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omments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10" yWindow="180" windowWidth="19335" windowHeight="10920" tabRatio="787"/>
  </bookViews>
  <sheets>
    <sheet name="Profile" sheetId="1" r:id="rId1"/>
    <sheet name="Data for Graphs" sheetId="108" state="hidden" r:id="rId2"/>
    <sheet name="Spending By Region" sheetId="123" r:id="rId3"/>
    <sheet name="Agency Level &amp; HR Policy" sheetId="69" r:id="rId4"/>
    <sheet name="IT Support" sheetId="68" r:id="rId5"/>
    <sheet name="2015 Population" sheetId="84" r:id="rId6"/>
    <sheet name="Poverty Estimates" sheetId="100" r:id="rId7"/>
    <sheet name="Poverty_All ages" sheetId="86" r:id="rId8"/>
    <sheet name="Poverty_Child" sheetId="87" r:id="rId9"/>
    <sheet name="Income to Poverty Ratio" sheetId="97" state="hidden" r:id="rId10"/>
    <sheet name="Unemployment" sheetId="24" r:id="rId11"/>
    <sheet name="Non-marital births" sheetId="73" r:id="rId12"/>
    <sheet name="Teen births" sheetId="114" r:id="rId13"/>
    <sheet name="NM Births_Trend" sheetId="109" r:id="rId14"/>
    <sheet name="Teen Births_Trend" sheetId="113" r:id="rId15"/>
    <sheet name="Children in Single Parent Homes" sheetId="115" r:id="rId16"/>
    <sheet name="SNAP Clients by SFY-2005-2015" sheetId="31" state="hidden" r:id="rId17"/>
    <sheet name="SNAP Clients_Annual" sheetId="125" r:id="rId18"/>
    <sheet name="TANF Clients by SFY" sheetId="32" state="hidden" r:id="rId19"/>
    <sheet name="TANF Clients_Annual" sheetId="126" r:id="rId20"/>
    <sheet name="Medicaid Clients by SFY" sheetId="89" state="hidden" r:id="rId21"/>
    <sheet name="Medicaid Clients_Annual" sheetId="127" r:id="rId22"/>
    <sheet name="EA Clients by FFY" sheetId="116" r:id="rId23"/>
    <sheet name="Benefit Clients by SFY" sheetId="94" r:id="rId24"/>
    <sheet name="ChildCareClients by SFY" sheetId="121" r:id="rId25"/>
    <sheet name="TANF Cases by SFY" sheetId="110" r:id="rId26"/>
    <sheet name="SNAP Cases by SFY" sheetId="111" r:id="rId27"/>
    <sheet name="Medicaid Cases by SFY" sheetId="112" r:id="rId28"/>
    <sheet name="EA Cases by FFY" sheetId="106" r:id="rId29"/>
    <sheet name="Child Care Cases" sheetId="120" r:id="rId30"/>
    <sheet name="SNAP Client Demographics" sheetId="49" r:id="rId31"/>
    <sheet name="TANF Client Demographics" sheetId="102" r:id="rId32"/>
    <sheet name="MA Client Demographics" sheetId="103" r:id="rId33"/>
    <sheet name="Hispanic Adjustment" sheetId="95" state="hidden" r:id="rId34"/>
    <sheet name="Benefit Client Demographics" sheetId="104" r:id="rId35"/>
    <sheet name="Children in Foster Care" sheetId="6" r:id="rId36"/>
    <sheet name="Adoption Child by Race" sheetId="63" state="hidden" r:id="rId37"/>
    <sheet name="Adopted Children" sheetId="122" r:id="rId38"/>
    <sheet name="Adoption Services" sheetId="96" r:id="rId39"/>
    <sheet name="APS Reports" sheetId="91" r:id="rId40"/>
    <sheet name="CPS Referrals" sheetId="92" r:id="rId41"/>
    <sheet name="Compare Recipients Census Med" sheetId="39" state="hidden" r:id="rId42"/>
    <sheet name="Compare Recipients Census SNAP" sheetId="40" state="hidden" r:id="rId43"/>
    <sheet name="Compare Recipients Census TANF" sheetId="41" state="hidden" r:id="rId44"/>
    <sheet name="Adoption Counts Summed SFY 2010" sheetId="38" state="hidden" r:id="rId45"/>
    <sheet name="CPS Ref Child Demo 2010 (2)" sheetId="36" state="hidden" r:id="rId46"/>
    <sheet name="Administration LASER" sheetId="53" r:id="rId47"/>
    <sheet name="Other Oper Exp. LASER" sheetId="55" r:id="rId48"/>
    <sheet name="Client Services LASER" sheetId="56" r:id="rId49"/>
    <sheet name="Medicaid &amp; FAMIS - LASER" sheetId="57" r:id="rId50"/>
    <sheet name="SNAP LASER" sheetId="58" r:id="rId51"/>
    <sheet name="TANF LASER" sheetId="61" r:id="rId52"/>
    <sheet name="Energy Assistance LASER" sheetId="59" r:id="rId53"/>
    <sheet name="FC &amp; Adoptions LASER" sheetId="60" r:id="rId54"/>
    <sheet name="CSA LASER" sheetId="117" r:id="rId55"/>
    <sheet name="ChildCare LASER" sheetId="101" r:id="rId56"/>
    <sheet name="Other Benefits LASER" sheetId="62" r:id="rId57"/>
    <sheet name="Benefits Spending LASER" sheetId="118" r:id="rId58"/>
    <sheet name="Social Svcs Spending Summary" sheetId="79" r:id="rId59"/>
    <sheet name="Medicaid Clients" sheetId="46" state="hidden" r:id="rId60"/>
    <sheet name="Staffing" sheetId="85" r:id="rId61"/>
    <sheet name="Children in Single-Parent Homes" sheetId="72" state="hidden" r:id="rId62"/>
    <sheet name="Married Parent Households" sheetId="75" state="hidden" r:id="rId63"/>
    <sheet name="SNAP Participation Rate" sheetId="10" state="hidden" r:id="rId64"/>
    <sheet name="AuxGrant" sheetId="90" state="hidden" r:id="rId65"/>
    <sheet name="Locality Name" sheetId="4" r:id="rId66"/>
    <sheet name="Password" sheetId="42" state="hidden" r:id="rId67"/>
    <sheet name="Region Name" sheetId="124" r:id="rId68"/>
  </sheets>
  <externalReferences>
    <externalReference r:id="rId69"/>
  </externalReferences>
  <definedNames>
    <definedName name="_xlnm._FilterDatabase" localSheetId="5" hidden="1">'2015 Population'!$A$4:$D$125</definedName>
    <definedName name="_xlnm._FilterDatabase" localSheetId="46" hidden="1">'Administration LASER'!$A$3:$C$124</definedName>
    <definedName name="_xlnm._FilterDatabase" localSheetId="36" hidden="1">'Adoption Child by Race'!$A$3:$C$3</definedName>
    <definedName name="_xlnm._FilterDatabase" localSheetId="44" hidden="1">'Adoption Counts Summed SFY 2010'!$A$1:$F$125</definedName>
    <definedName name="_xlnm._FilterDatabase" localSheetId="38" hidden="1">'Adoption Services'!$A$3:$C$3</definedName>
    <definedName name="_xlnm._FilterDatabase" localSheetId="3" hidden="1">'Agency Level &amp; HR Policy'!$A$3:$I$123</definedName>
    <definedName name="_xlnm._FilterDatabase" localSheetId="39" hidden="1">'APS Reports'!$A$4:$C$125</definedName>
    <definedName name="_xlnm._FilterDatabase" localSheetId="64" hidden="1">AuxGrant!$A$4:$C$4</definedName>
    <definedName name="_xlnm._FilterDatabase" localSheetId="23" hidden="1">'Benefit Clients by SFY'!$A$3:$C$3</definedName>
    <definedName name="_xlnm._FilterDatabase" localSheetId="55" hidden="1">'ChildCare LASER'!$A$3:$C$124</definedName>
    <definedName name="_xlnm._FilterDatabase" localSheetId="35" hidden="1">'Children in Foster Care'!$A$4:$C$4</definedName>
    <definedName name="_xlnm._FilterDatabase" localSheetId="15" hidden="1">'Children in Single Parent Homes'!$A$3:$C$124</definedName>
    <definedName name="_xlnm._FilterDatabase" localSheetId="48" hidden="1">'Client Services LASER'!$A$3:$B$3</definedName>
    <definedName name="_xlnm._FilterDatabase" localSheetId="41" hidden="1">'Compare Recipients Census Med'!$A$3:$Y$127</definedName>
    <definedName name="_xlnm._FilterDatabase" localSheetId="42" hidden="1">'Compare Recipients Census SNAP'!$A$3:$Y$127</definedName>
    <definedName name="_xlnm._FilterDatabase" localSheetId="43" hidden="1">'Compare Recipients Census TANF'!$A$3:$Y$127</definedName>
    <definedName name="_xlnm._FilterDatabase" localSheetId="45" hidden="1">'CPS Ref Child Demo 2010 (2)'!$B$4:$X$125</definedName>
    <definedName name="_xlnm._FilterDatabase" localSheetId="40" hidden="1">'CPS Referrals'!$A$3:$C$3</definedName>
    <definedName name="_xlnm._FilterDatabase" localSheetId="54" hidden="1">'CSA LASER'!$A$3:$I$124</definedName>
    <definedName name="_xlnm._FilterDatabase" localSheetId="28" hidden="1">'EA Cases by FFY'!$A$4:$C$125</definedName>
    <definedName name="_xlnm._FilterDatabase" localSheetId="52" hidden="1">'Energy Assistance LASER'!$A$3:$C$124</definedName>
    <definedName name="_xlnm._FilterDatabase" localSheetId="53" hidden="1">'FC &amp; Adoptions LASER'!$A$3:$C$124</definedName>
    <definedName name="_xlnm._FilterDatabase" localSheetId="4" hidden="1">'IT Support'!$A$3:$D$123</definedName>
    <definedName name="_xlnm._FilterDatabase" localSheetId="32" hidden="1">'MA Client Demographics'!$A$4:$C$4</definedName>
    <definedName name="_xlnm._FilterDatabase" localSheetId="49" hidden="1">'Medicaid &amp; FAMIS - LASER'!$A$3:$C$124</definedName>
    <definedName name="_xlnm._FilterDatabase" localSheetId="27" hidden="1">'Medicaid Cases by SFY'!$A$3:$C$3</definedName>
    <definedName name="_xlnm._FilterDatabase" localSheetId="20" hidden="1">'Medicaid Clients by SFY'!$A$3:$C$3</definedName>
    <definedName name="_xlnm._FilterDatabase" localSheetId="13" hidden="1">'NM Births_Trend'!$A$4:$C$125</definedName>
    <definedName name="_xlnm._FilterDatabase" localSheetId="11" hidden="1">'Non-marital births'!$A$4:$C$126</definedName>
    <definedName name="_xlnm._FilterDatabase" localSheetId="56" hidden="1">'Other Benefits LASER'!$A$3:$C$124</definedName>
    <definedName name="_xlnm._FilterDatabase" localSheetId="47" hidden="1">'Other Oper Exp. LASER'!$A$3:$C$124</definedName>
    <definedName name="_xlnm._FilterDatabase" localSheetId="6" hidden="1">'Poverty Estimates'!$A$4:$C$125</definedName>
    <definedName name="_xlnm._FilterDatabase" localSheetId="7" hidden="1">'Poverty_All ages'!$A$3:$C$3</definedName>
    <definedName name="_xlnm._FilterDatabase" localSheetId="8" hidden="1">Poverty_Child!$A$4:$C$4</definedName>
    <definedName name="_xlnm._FilterDatabase" localSheetId="26" hidden="1">'SNAP Cases by SFY'!$A$3:$C$3</definedName>
    <definedName name="_xlnm._FilterDatabase" localSheetId="30" hidden="1">'SNAP Client Demographics'!$A$4:$C$4</definedName>
    <definedName name="_xlnm._FilterDatabase" localSheetId="16" hidden="1">'SNAP Clients by SFY-2005-2015'!$A$3:$C$3</definedName>
    <definedName name="_xlnm._FilterDatabase" localSheetId="50" hidden="1">'SNAP LASER'!$A$3:$C$124</definedName>
    <definedName name="_xlnm._FilterDatabase" localSheetId="63" hidden="1">'SNAP Participation Rate'!$A$3:$C$3</definedName>
    <definedName name="_xlnm._FilterDatabase" localSheetId="58" hidden="1">'Social Svcs Spending Summary'!$A$4:$C$4</definedName>
    <definedName name="_xlnm._FilterDatabase" localSheetId="60" hidden="1">Staffing!$A$5:$C$5</definedName>
    <definedName name="_xlnm._FilterDatabase" localSheetId="25" hidden="1">'TANF Cases by SFY'!$A$3:$C$3</definedName>
    <definedName name="_xlnm._FilterDatabase" localSheetId="31" hidden="1">'TANF Client Demographics'!$A$4:$C$4</definedName>
    <definedName name="_xlnm._FilterDatabase" localSheetId="18" hidden="1">'TANF Clients by SFY'!$A$3:$C$3</definedName>
    <definedName name="_xlnm._FilterDatabase" localSheetId="51" hidden="1">'TANF LASER'!$A$3:$C$124</definedName>
    <definedName name="_xlnm._FilterDatabase" localSheetId="12" hidden="1">'Teen births'!$A$4:$C$125</definedName>
    <definedName name="_xlnm._FilterDatabase" localSheetId="14" hidden="1">'Teen Births_Trend'!$A$4:$C$125</definedName>
    <definedName name="_xlnm._FilterDatabase" localSheetId="10" hidden="1">Unemployment!$A$3:$C$124</definedName>
    <definedName name="adj_span_amer_med">#REF!</definedName>
    <definedName name="ADOP_AVG" localSheetId="41">'Compare Recipients Census Med'!$A$4:$M$124</definedName>
    <definedName name="ADOP_AVG" localSheetId="42">'Compare Recipients Census SNAP'!$A$4:$M$124</definedName>
    <definedName name="ADOP_AVG" localSheetId="43">'Compare Recipients Census TANF'!$A$4:$M$124</definedName>
    <definedName name="ADOP_AVG">'Adoption Counts Summed SFY 2010'!$A$2:$F$122</definedName>
    <definedName name="Adoption_Child_Demo">'Adopted Children'!$A$4:Z$124</definedName>
    <definedName name="adoption_race" comment="Number of Foster Children Adopted, by Race of Child, FFY 2012">'Adoption Child by Race'!$A$3:$G$124</definedName>
    <definedName name="AdoptionServices" comment="As of February 1, 2015.">'Adoption Services'!$A$4:$R$124</definedName>
    <definedName name="AG_CASES">#REF!</definedName>
    <definedName name="Agency_Level" comment="Agency Level (or Size), Board Type, and HR Policy/Practice Deviation">'Agency Level &amp; HR Policy'!$A$3:$I$123</definedName>
    <definedName name="APS_Reports" comment="Number of unduplicated APS reports, SFY 2015">'APS Reports'!$A$3:$P$125</definedName>
    <definedName name="AuxGrant" comment="Auxiliary Grant Recipients, SFY 2012">AuxGrant!$A$3:$J$125</definedName>
    <definedName name="BenefitClient_Demo" comment="Unique count of clients who received SNAP, TANF, and/or Medicaid, by gender, age group, and race/ethnicity, SFY 2015.">'Benefit Client Demographics'!$A$5:$L$125</definedName>
    <definedName name="BenefitClients" comment="Counts of clients who receive TANF, SNAP and/or Medicaid benefits, by SFY. Client counts are unique.">'Benefit Clients by SFY'!$A$4:$H$124</definedName>
    <definedName name="Child_SingleParentHH" comment="Source: U.S. Census Bureau, ACS 2009-2013 (5-Year Estimate)">'Children in Single Parent Homes'!$A$4:$X$124</definedName>
    <definedName name="ChildCareClients">'ChildCareClients by SFY'!$A$4:$F$124</definedName>
    <definedName name="ChildCareFamilies">'Child Care Cases'!$A$4:$F$124</definedName>
    <definedName name="ChildCareLASER">'ChildCare LASER'!$A$4:$K$131</definedName>
    <definedName name="Children_CPS_Referrals">'CPS Referrals'!$A$4:AA$124</definedName>
    <definedName name="Client_Svcs_LASER">'Client Services LASER'!$A$4:$K$131</definedName>
    <definedName name="CPS_REF_RACE_2011">#REF!</definedName>
    <definedName name="CPSReferrals" comment="Number of children in CPS referrals by race and locality, SFY 2015.">'CPS Referrals'!$A$4:$Y$124</definedName>
    <definedName name="CSA_LASER">'CSA LASER'!$A$4:$I$131</definedName>
    <definedName name="EA_LASER">'Energy Assistance LASER'!$A$4:$J$131</definedName>
    <definedName name="EACases_FFY" comment="Energy Assistance Program Reports (from Data Warehouse, &quot;Case Counts Agency Summary Report&quot;). Reported by federal fiscal year for each program component.">'EA Cases by FFY'!$A$5:$O$125</definedName>
    <definedName name="EAClients_FFY" comment="Unduplicated number of Energy Assistance clients served in each federal fiscal year.">'EA Clients by FFY'!$A$4:$E$124</definedName>
    <definedName name="Eligibility_2013">'Administration LASER'!$A$4:$F$124</definedName>
    <definedName name="Employment" comment="Annual employment data for CY 2000 - 2015. Source: Virginia Employment Commission. Rates are not seasonally adjusted.">Unemployment!$A$4:$AZ$130</definedName>
    <definedName name="FC_Adop_LASER">'FC &amp; Adoptions LASER'!$A$3:$I$131</definedName>
    <definedName name="FC_DEMO">'Children in Foster Care'!$A$5:$AE$125</definedName>
    <definedName name="FCMAP">'Children in Foster Care'!$A$6:$Q$125</definedName>
    <definedName name="FIPS">'Locality Name'!$D$7:$E$128</definedName>
    <definedName name="FIPS_NUM">'Locality Name'!$C$8:$E$128</definedName>
    <definedName name="FIPSN">'Locality Name'!$C$9:$E$128</definedName>
    <definedName name="IT_Support" comment="Level of IT Support">'IT Support'!$A$3:$D$123</definedName>
    <definedName name="Loc_Name">'Locality Name'!$D$9:$E$128</definedName>
    <definedName name="Locality">'Locality Name'!$D$9:$D$128</definedName>
    <definedName name="MAClnts_Annual">'Medicaid Clients_Annual'!$A$3:$H$124</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FAMIS_LASER">'Medicaid &amp; FAMIS - LASER'!$A$4:$O$131</definedName>
    <definedName name="MedicaidCases_SFY" comment="Unduplicated case count for each state fiscal year. Statewide totals include enrollees from state mental hospitals. Source: VDSS MMIS Data Mart.">'Medicaid Cases by SFY'!$A$4:$J$124</definedName>
    <definedName name="MedicaidClient_Demographics" comment="Number of Medicaid enrollees by gender, age group, and race/ethnicity, SFY 2015.  Excludes clients enrolled through state mental health facilities.">'MA Client Demographics'!$A$5:$M$125</definedName>
    <definedName name="MedicaidClients" comment="Number of Medicaid Clients by State Fiscal Year. Unique counts are reported. Source: Data Warehouse Client Cross-Program Locality Yearly Analysis.">'Medicaid Clients by SFY'!$A$4:$J$124</definedName>
    <definedName name="MedicaidR">#REF!</definedName>
    <definedName name="NMBirths_Trend" comment="Percentage of live births that are non-marital, 1998-2013. Source: VDH, Center for Health Statistics.">'NM Births_Trend'!$A$5:$BD$131</definedName>
    <definedName name="NonMaritalBirths" comment="Non-marital births and percentage rate, 2012. Source: Virginia Department of Health, Vital Records data.">'Non-marital births'!$A$6:$O$132</definedName>
    <definedName name="OT_BENE_LASER">'Other Benefits LASER'!$A$5:$I$131</definedName>
    <definedName name="OT_EXP_LASER">#REF!</definedName>
    <definedName name="OT_EXP_LASER_2013">'Other Oper Exp. LASER'!$A$4:$F$124</definedName>
    <definedName name="Other_Oper_Exp_LASER">'Other Oper Exp. LASER'!$A$4:$K$131</definedName>
    <definedName name="Pop">#REF!</definedName>
    <definedName name="Pop_2010">#REF!</definedName>
    <definedName name="Pop_2013" comment="Source: VDH, Center for Health Statistics. Hispanic ethnicity is not mutually exclusive of race.">'2015 Population'!$A$3:$AO$131</definedName>
    <definedName name="PopByRace_2010">#REF!</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ages'!$A$4:$AJ$130</definedName>
    <definedName name="Poverty_Child" comment="Poverty rate (%) among children (0-17 years). Source: U.S. Census Bureau.">Poverty_Child!$A$5:$AJ$132</definedName>
    <definedName name="_xlnm.Print_Area" localSheetId="35">'Children in Foster Care'!$A$6:$Q$130</definedName>
    <definedName name="_xlnm.Print_Area" localSheetId="65">'Locality Name'!$B$9:$E$132</definedName>
    <definedName name="_xlnm.Print_Area" localSheetId="0">Profile!$A$1:$N$186</definedName>
    <definedName name="_xlnm.Print_Area" localSheetId="63">'SNAP Participation Rate'!$A$5:$J$131</definedName>
    <definedName name="_xlnm.Print_Area" localSheetId="2">'Spending By Region'!$A$1:$L$30</definedName>
    <definedName name="_xlnm.Print_Area" localSheetId="10">Unemployment!$A$5:$N$132</definedName>
    <definedName name="_xlnm.Print_Titles" localSheetId="35">'Children in Foster Care'!$1:$5</definedName>
    <definedName name="_xlnm.Print_Titles" localSheetId="0">Profile!$1:$4</definedName>
    <definedName name="_xlnm.Print_Titles" localSheetId="63">'SNAP Participation Rate'!$1:$4</definedName>
    <definedName name="_xlnm.Print_Titles" localSheetId="10">Unemployment!$3:$4</definedName>
    <definedName name="Region">'Region Name'!$A$1:$A$6</definedName>
    <definedName name="SingleParentHomes">'Children in Single-Parent Homes'!$A$6:$S$133</definedName>
    <definedName name="SNAP_DEMO_2011">'[1]SNAP Demographics 2011'!$A$6:$K$126</definedName>
    <definedName name="SNAP_LASER">'SNAP LASER'!$A$4:$E$131</definedName>
    <definedName name="SNAP_RACE">'Locality Name'!$B$9:$E$129</definedName>
    <definedName name="SNAPCases_SFY" comment="Unduplicated case count for each state fiscal year. Source: VDSS ADAPT Data Mart.">'SNAP Cases by SFY'!$A$4:$J$124</definedName>
    <definedName name="SNAPClient_Demo" comment="SNAP client counts by gender, age group and by race/ethnicity, SFY 2015. &quot;Other race&quot; excludes missing and non-valid counts.">'SNAP Client Demographics'!$A$5:$L$125</definedName>
    <definedName name="SNAPClients">'SNAP Clients by SFY-2005-2015'!$A$4:$N$124</definedName>
    <definedName name="SNAPClnts_Yearly">'SNAP Clients_Annual'!$A$3:$H$124</definedName>
    <definedName name="Staffing" comment="Number of filled and unfilled positions. Source: Human Resources, Local Employment Tracking System (LETS). Data as of 10/1/2013.">Staffing!$A$6:$Z$126</definedName>
    <definedName name="Staffing_LASER">'Administration LASER'!$A$3:$K$131</definedName>
    <definedName name="TANF_LASER">'TANF LASER'!$A$4:$J$131</definedName>
    <definedName name="TANFCases_SFY" comment="Unduplicated case count for each state fiscal year. Source: VDSS ADAPT Data Mart.">'TANF Cases by SFY'!$A$4:$J$124</definedName>
    <definedName name="TANFClient_Demo" comment="TANF recipient counts by gender, age group, and race/ethnicity, SFY 2015. ">'TANF Client Demographics'!$A$5:$L$125</definedName>
    <definedName name="TANFClients" comment="TANF Client Caseload by SFY, 2005-2015. Source: ADAPT SFY Client Summary Analysis; Client Cross-Program Yearly Locality Count Analysis for 2009-2015.">'TANF Clients by SFY'!$A$4:$N$124</definedName>
    <definedName name="TANFClnts_Yearly">'TANF Clients_Annual'!$A$3:$H$124</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Births_Trend'!$A$5:$BD$131</definedName>
    <definedName name="YTD_EMP">Unemployment!#REF!</definedName>
  </definedNames>
  <calcPr calcId="145621"/>
</workbook>
</file>

<file path=xl/calcChain.xml><?xml version="1.0" encoding="utf-8"?>
<calcChain xmlns="http://schemas.openxmlformats.org/spreadsheetml/2006/main">
  <c r="F130" i="24" l="1"/>
  <c r="F129" i="24"/>
  <c r="F128" i="24"/>
  <c r="F127" i="24"/>
  <c r="F126"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Y6" i="122" l="1"/>
  <c r="Z6" i="122"/>
  <c r="Y7" i="122"/>
  <c r="Y4" i="122" s="1"/>
  <c r="Z7" i="122"/>
  <c r="Y8" i="122"/>
  <c r="Z8" i="122"/>
  <c r="Y9" i="122"/>
  <c r="Z9" i="122"/>
  <c r="Y10" i="122"/>
  <c r="Z10" i="122"/>
  <c r="Y11" i="122"/>
  <c r="Z11" i="122"/>
  <c r="Y12" i="122"/>
  <c r="Z12" i="122"/>
  <c r="Y13" i="122"/>
  <c r="Z13" i="122"/>
  <c r="Y14" i="122"/>
  <c r="Z14" i="122"/>
  <c r="Y15" i="122"/>
  <c r="Z15" i="122"/>
  <c r="Y16" i="122"/>
  <c r="Z16" i="122"/>
  <c r="Y17" i="122"/>
  <c r="Z17" i="122"/>
  <c r="Y18" i="122"/>
  <c r="Z18" i="122"/>
  <c r="Y19" i="122"/>
  <c r="Z19" i="122"/>
  <c r="Y20" i="122"/>
  <c r="Z20" i="122"/>
  <c r="Y21" i="122"/>
  <c r="Z21" i="122"/>
  <c r="Y22" i="122"/>
  <c r="Z22" i="122"/>
  <c r="Y23" i="122"/>
  <c r="Z23" i="122"/>
  <c r="Y24" i="122"/>
  <c r="Z24" i="122"/>
  <c r="Y25" i="122"/>
  <c r="Z25" i="122"/>
  <c r="Y26" i="122"/>
  <c r="Z26" i="122"/>
  <c r="Y27" i="122"/>
  <c r="Z27" i="122"/>
  <c r="Y28" i="122"/>
  <c r="Z28" i="122"/>
  <c r="Y29" i="122"/>
  <c r="Z29" i="122"/>
  <c r="Y30" i="122"/>
  <c r="Z30" i="122"/>
  <c r="Y31" i="122"/>
  <c r="Z31" i="122"/>
  <c r="Y32" i="122"/>
  <c r="Z32" i="122"/>
  <c r="Y33" i="122"/>
  <c r="Z33" i="122"/>
  <c r="Y34" i="122"/>
  <c r="Z34" i="122"/>
  <c r="Y35" i="122"/>
  <c r="Z35" i="122"/>
  <c r="Y36" i="122"/>
  <c r="Z36" i="122"/>
  <c r="Y37" i="122"/>
  <c r="Z37" i="122"/>
  <c r="Y38" i="122"/>
  <c r="Z38" i="122"/>
  <c r="Y39" i="122"/>
  <c r="Z39" i="122"/>
  <c r="Y40" i="122"/>
  <c r="Z40" i="122"/>
  <c r="Y41" i="122"/>
  <c r="Z41" i="122"/>
  <c r="Y42" i="122"/>
  <c r="Z42" i="122"/>
  <c r="Y43" i="122"/>
  <c r="Z43" i="122"/>
  <c r="Y44" i="122"/>
  <c r="Z44" i="122"/>
  <c r="Y45" i="122"/>
  <c r="Z45" i="122"/>
  <c r="Y46" i="122"/>
  <c r="Z46" i="122"/>
  <c r="Y47" i="122"/>
  <c r="Z47" i="122"/>
  <c r="Y48" i="122"/>
  <c r="Z48" i="122"/>
  <c r="Y49" i="122"/>
  <c r="Z49" i="122"/>
  <c r="Y50" i="122"/>
  <c r="Z50" i="122"/>
  <c r="Y51" i="122"/>
  <c r="Z51" i="122"/>
  <c r="Y52" i="122"/>
  <c r="Z52" i="122"/>
  <c r="Y53" i="122"/>
  <c r="Z53" i="122"/>
  <c r="Y54" i="122"/>
  <c r="Z54" i="122"/>
  <c r="Y55" i="122"/>
  <c r="Z55" i="122"/>
  <c r="Y56" i="122"/>
  <c r="Z56" i="122"/>
  <c r="Y57" i="122"/>
  <c r="Z57" i="122"/>
  <c r="Y58" i="122"/>
  <c r="Z58" i="122"/>
  <c r="Y59" i="122"/>
  <c r="Z59" i="122"/>
  <c r="Y60" i="122"/>
  <c r="Z60" i="122"/>
  <c r="Y61" i="122"/>
  <c r="Z61" i="122"/>
  <c r="Y62" i="122"/>
  <c r="Z62" i="122"/>
  <c r="Y63" i="122"/>
  <c r="Z63" i="122"/>
  <c r="Y64" i="122"/>
  <c r="Z64" i="122"/>
  <c r="Y65" i="122"/>
  <c r="Z65" i="122"/>
  <c r="Y66" i="122"/>
  <c r="Z66" i="122"/>
  <c r="Y67" i="122"/>
  <c r="Z67" i="122"/>
  <c r="Y68" i="122"/>
  <c r="Z68" i="122"/>
  <c r="Y69" i="122"/>
  <c r="Z69" i="122"/>
  <c r="Y70" i="122"/>
  <c r="Z70" i="122"/>
  <c r="Y71" i="122"/>
  <c r="Z71" i="122"/>
  <c r="Y72" i="122"/>
  <c r="Z72" i="122"/>
  <c r="Y73" i="122"/>
  <c r="Z73" i="122"/>
  <c r="Y74" i="122"/>
  <c r="Z74" i="122"/>
  <c r="Y75" i="122"/>
  <c r="Z75" i="122"/>
  <c r="Y76" i="122"/>
  <c r="Z76" i="122"/>
  <c r="Y77" i="122"/>
  <c r="Z77" i="122"/>
  <c r="Y78" i="122"/>
  <c r="Z78" i="122"/>
  <c r="Y79" i="122"/>
  <c r="Z79" i="122"/>
  <c r="Y80" i="122"/>
  <c r="Z80" i="122"/>
  <c r="Y81" i="122"/>
  <c r="Z81" i="122"/>
  <c r="Y82" i="122"/>
  <c r="Z82" i="122"/>
  <c r="Y83" i="122"/>
  <c r="Z83" i="122"/>
  <c r="Y84" i="122"/>
  <c r="Z84" i="122"/>
  <c r="Y85" i="122"/>
  <c r="Z85" i="122"/>
  <c r="Y86" i="122"/>
  <c r="Z86" i="122"/>
  <c r="Y87" i="122"/>
  <c r="Z87" i="122"/>
  <c r="Y88" i="122"/>
  <c r="Z88" i="122"/>
  <c r="Y89" i="122"/>
  <c r="Z89" i="122"/>
  <c r="Y90" i="122"/>
  <c r="Z90" i="122"/>
  <c r="Y91" i="122"/>
  <c r="Z91" i="122"/>
  <c r="Y92" i="122"/>
  <c r="Z92" i="122"/>
  <c r="Y93" i="122"/>
  <c r="Z93" i="122"/>
  <c r="Y94" i="122"/>
  <c r="Z94" i="122"/>
  <c r="Y95" i="122"/>
  <c r="Z95" i="122"/>
  <c r="Y96" i="122"/>
  <c r="Z96" i="122"/>
  <c r="Y97" i="122"/>
  <c r="Z97" i="122"/>
  <c r="Y98" i="122"/>
  <c r="Z98" i="122"/>
  <c r="Y99" i="122"/>
  <c r="Z99" i="122"/>
  <c r="Y100" i="122"/>
  <c r="Z100" i="122"/>
  <c r="Y101" i="122"/>
  <c r="Z101" i="122"/>
  <c r="Y102" i="122"/>
  <c r="Z102" i="122"/>
  <c r="Y103" i="122"/>
  <c r="Z103" i="122"/>
  <c r="Y104" i="122"/>
  <c r="Z104" i="122"/>
  <c r="Y105" i="122"/>
  <c r="Z105" i="122"/>
  <c r="Y106" i="122"/>
  <c r="Z106" i="122"/>
  <c r="Y107" i="122"/>
  <c r="Z107" i="122"/>
  <c r="Y108" i="122"/>
  <c r="Z108" i="122"/>
  <c r="Y109" i="122"/>
  <c r="Z109" i="122"/>
  <c r="Y110" i="122"/>
  <c r="Z110" i="122"/>
  <c r="Y111" i="122"/>
  <c r="Z111" i="122"/>
  <c r="Y112" i="122"/>
  <c r="Z112" i="122"/>
  <c r="Y113" i="122"/>
  <c r="Z113" i="122"/>
  <c r="Y114" i="122"/>
  <c r="Z114" i="122"/>
  <c r="Y115" i="122"/>
  <c r="Z115" i="122"/>
  <c r="Y116" i="122"/>
  <c r="Z116" i="122"/>
  <c r="Y117" i="122"/>
  <c r="Z117" i="122"/>
  <c r="Y118" i="122"/>
  <c r="Z118" i="122"/>
  <c r="Y119" i="122"/>
  <c r="Z119" i="122"/>
  <c r="Y120" i="122"/>
  <c r="Z120" i="122"/>
  <c r="Y121" i="122"/>
  <c r="Z121" i="122"/>
  <c r="Y122" i="122"/>
  <c r="Z122" i="122"/>
  <c r="Y123" i="122"/>
  <c r="Z123" i="122"/>
  <c r="Y124" i="122"/>
  <c r="Z124" i="122"/>
  <c r="Z5" i="122"/>
  <c r="Y5" i="122"/>
  <c r="AD125" i="6" l="1"/>
  <c r="AC125" i="6"/>
  <c r="AD124" i="6"/>
  <c r="AC124" i="6"/>
  <c r="AD123" i="6"/>
  <c r="AC123" i="6"/>
  <c r="AD122" i="6"/>
  <c r="AC122" i="6"/>
  <c r="AD121" i="6"/>
  <c r="AC121" i="6"/>
  <c r="AD120" i="6"/>
  <c r="AC120" i="6"/>
  <c r="AD119" i="6"/>
  <c r="AC119" i="6"/>
  <c r="AD118" i="6"/>
  <c r="AC118" i="6"/>
  <c r="AD117" i="6"/>
  <c r="AC117" i="6"/>
  <c r="AD116" i="6"/>
  <c r="AC116" i="6"/>
  <c r="AD115" i="6"/>
  <c r="AC115" i="6"/>
  <c r="AD114" i="6"/>
  <c r="AC114" i="6"/>
  <c r="AD113" i="6"/>
  <c r="AC113" i="6"/>
  <c r="AD112" i="6"/>
  <c r="AC112" i="6"/>
  <c r="AD111" i="6"/>
  <c r="AC111" i="6"/>
  <c r="AD110" i="6"/>
  <c r="AC110" i="6"/>
  <c r="AD109" i="6"/>
  <c r="AC109" i="6"/>
  <c r="AD108" i="6"/>
  <c r="AC108" i="6"/>
  <c r="AD107" i="6"/>
  <c r="AC107" i="6"/>
  <c r="AD106" i="6"/>
  <c r="AC106" i="6"/>
  <c r="AD105" i="6"/>
  <c r="AC105" i="6"/>
  <c r="AD104" i="6"/>
  <c r="AC104" i="6"/>
  <c r="AD103" i="6"/>
  <c r="AC103" i="6"/>
  <c r="AD102" i="6"/>
  <c r="AC102" i="6"/>
  <c r="AD101" i="6"/>
  <c r="AC101" i="6"/>
  <c r="AD100" i="6"/>
  <c r="AC100" i="6"/>
  <c r="AD99" i="6"/>
  <c r="AC99" i="6"/>
  <c r="AD98" i="6"/>
  <c r="AC98" i="6"/>
  <c r="AD97" i="6"/>
  <c r="AC97" i="6"/>
  <c r="AD96" i="6"/>
  <c r="AC96" i="6"/>
  <c r="AD95" i="6"/>
  <c r="AC95" i="6"/>
  <c r="AD94" i="6"/>
  <c r="AC94" i="6"/>
  <c r="AD93" i="6"/>
  <c r="AC93" i="6"/>
  <c r="AD92" i="6"/>
  <c r="AC92" i="6"/>
  <c r="AD91" i="6"/>
  <c r="AC91" i="6"/>
  <c r="AD90" i="6"/>
  <c r="AC90" i="6"/>
  <c r="AD89" i="6"/>
  <c r="AC89" i="6"/>
  <c r="AD88" i="6"/>
  <c r="AC88" i="6"/>
  <c r="AD87" i="6"/>
  <c r="AC87" i="6"/>
  <c r="AD86" i="6"/>
  <c r="AC86" i="6"/>
  <c r="AD85" i="6"/>
  <c r="AC85" i="6"/>
  <c r="AD84" i="6"/>
  <c r="AC84" i="6"/>
  <c r="AD83" i="6"/>
  <c r="AC83" i="6"/>
  <c r="AD82" i="6"/>
  <c r="AC82" i="6"/>
  <c r="AD81" i="6"/>
  <c r="AC81" i="6"/>
  <c r="AD80" i="6"/>
  <c r="AC80" i="6"/>
  <c r="AD79" i="6"/>
  <c r="AC79" i="6"/>
  <c r="AD78" i="6"/>
  <c r="AC78" i="6"/>
  <c r="AD77" i="6"/>
  <c r="AC77" i="6"/>
  <c r="AD76" i="6"/>
  <c r="AC76" i="6"/>
  <c r="AD75" i="6"/>
  <c r="AC75" i="6"/>
  <c r="AD74" i="6"/>
  <c r="AC74" i="6"/>
  <c r="AD73" i="6"/>
  <c r="AC73" i="6"/>
  <c r="AD72" i="6"/>
  <c r="AC72" i="6"/>
  <c r="AD71" i="6"/>
  <c r="AC71" i="6"/>
  <c r="AD70" i="6"/>
  <c r="AC70" i="6"/>
  <c r="AD69" i="6"/>
  <c r="AC69" i="6"/>
  <c r="AD68" i="6"/>
  <c r="AC68" i="6"/>
  <c r="AD67" i="6"/>
  <c r="AC67" i="6"/>
  <c r="AD66" i="6"/>
  <c r="AC66" i="6"/>
  <c r="AD65" i="6"/>
  <c r="AC65" i="6"/>
  <c r="AD64" i="6"/>
  <c r="AC64" i="6"/>
  <c r="AD63" i="6"/>
  <c r="AC63" i="6"/>
  <c r="AD62" i="6"/>
  <c r="AC62" i="6"/>
  <c r="AD61" i="6"/>
  <c r="AC61" i="6"/>
  <c r="AD60" i="6"/>
  <c r="AC60" i="6"/>
  <c r="AD59" i="6"/>
  <c r="AC59" i="6"/>
  <c r="AD58" i="6"/>
  <c r="AC58" i="6"/>
  <c r="AD57" i="6"/>
  <c r="AC57" i="6"/>
  <c r="AD56" i="6"/>
  <c r="AC56" i="6"/>
  <c r="AD55" i="6"/>
  <c r="AC55" i="6"/>
  <c r="AD54" i="6"/>
  <c r="AC54" i="6"/>
  <c r="AD53" i="6"/>
  <c r="AC53" i="6"/>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32" i="6"/>
  <c r="AC32" i="6"/>
  <c r="AD31" i="6"/>
  <c r="AC31" i="6"/>
  <c r="AD30" i="6"/>
  <c r="AC30" i="6"/>
  <c r="AD29" i="6"/>
  <c r="AC29" i="6"/>
  <c r="AD28" i="6"/>
  <c r="AC28" i="6"/>
  <c r="AD27" i="6"/>
  <c r="AC27" i="6"/>
  <c r="AD26" i="6"/>
  <c r="AC26" i="6"/>
  <c r="AD25" i="6"/>
  <c r="AC25" i="6"/>
  <c r="AD24" i="6"/>
  <c r="AC24" i="6"/>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C5" i="6" s="1"/>
  <c r="AD6" i="6"/>
  <c r="AC6" i="6"/>
  <c r="G139" i="1" l="1"/>
  <c r="F4" i="123"/>
  <c r="H40" i="1" l="1"/>
  <c r="H39" i="1"/>
  <c r="H38" i="1"/>
  <c r="H37" i="1"/>
  <c r="H36" i="1"/>
  <c r="H35" i="1"/>
  <c r="H34" i="1"/>
  <c r="H33" i="1"/>
  <c r="H32" i="1"/>
  <c r="H31" i="1"/>
  <c r="H30" i="1"/>
  <c r="G40" i="1"/>
  <c r="G39" i="1"/>
  <c r="G38" i="1"/>
  <c r="G37" i="1"/>
  <c r="G36" i="1"/>
  <c r="G35" i="1"/>
  <c r="G34" i="1"/>
  <c r="G33" i="1"/>
  <c r="G32" i="1"/>
  <c r="G31" i="1"/>
  <c r="G30" i="1"/>
  <c r="L131" i="100"/>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F7" i="100"/>
  <c r="F101" i="100"/>
  <c r="F8" i="100"/>
  <c r="F9" i="100"/>
  <c r="F10" i="100"/>
  <c r="F11" i="100"/>
  <c r="F12" i="100"/>
  <c r="F13" i="100"/>
  <c r="F14" i="100"/>
  <c r="F15" i="100"/>
  <c r="F16" i="100"/>
  <c r="F17" i="100"/>
  <c r="F102" i="100"/>
  <c r="F18" i="100"/>
  <c r="F19" i="100"/>
  <c r="F20" i="100"/>
  <c r="F21" i="100"/>
  <c r="F22" i="100"/>
  <c r="F23" i="100"/>
  <c r="F24" i="100"/>
  <c r="F25" i="100"/>
  <c r="F103" i="100"/>
  <c r="F104" i="100"/>
  <c r="F26" i="100"/>
  <c r="F27" i="100"/>
  <c r="F28" i="100"/>
  <c r="F29" i="100"/>
  <c r="F30" i="100"/>
  <c r="F105" i="100"/>
  <c r="F31" i="100"/>
  <c r="F32" i="100"/>
  <c r="F33" i="100"/>
  <c r="F34" i="100"/>
  <c r="F35" i="100"/>
  <c r="F36" i="100"/>
  <c r="F37" i="100"/>
  <c r="F106" i="100"/>
  <c r="F38" i="100"/>
  <c r="F39" i="100"/>
  <c r="F107" i="100"/>
  <c r="F108" i="100"/>
  <c r="F40" i="100"/>
  <c r="F41" i="100"/>
  <c r="F42" i="100"/>
  <c r="F43" i="100"/>
  <c r="F44" i="100"/>
  <c r="F45" i="100"/>
  <c r="F46" i="100"/>
  <c r="F109" i="100"/>
  <c r="F47" i="100"/>
  <c r="F48" i="100"/>
  <c r="F49" i="100"/>
  <c r="F50" i="100"/>
  <c r="F110" i="100"/>
  <c r="F51" i="100"/>
  <c r="F52" i="100"/>
  <c r="F53" i="100"/>
  <c r="F54" i="100"/>
  <c r="F55" i="100"/>
  <c r="F56" i="100"/>
  <c r="F57" i="100"/>
  <c r="F58" i="100"/>
  <c r="F59" i="100"/>
  <c r="F60" i="100"/>
  <c r="F111" i="100"/>
  <c r="F61" i="100"/>
  <c r="F112" i="100"/>
  <c r="F113" i="100"/>
  <c r="F62" i="100"/>
  <c r="F63" i="100"/>
  <c r="F64" i="100"/>
  <c r="F65" i="100"/>
  <c r="F66" i="100"/>
  <c r="F67" i="100"/>
  <c r="F114" i="100"/>
  <c r="F115" i="100"/>
  <c r="F68" i="100"/>
  <c r="F69" i="100"/>
  <c r="F116" i="100"/>
  <c r="F70" i="100"/>
  <c r="F71" i="100"/>
  <c r="F72" i="100"/>
  <c r="F73" i="100"/>
  <c r="F117" i="100"/>
  <c r="F74" i="100"/>
  <c r="F118" i="100"/>
  <c r="F75" i="100"/>
  <c r="F76" i="100"/>
  <c r="F77" i="100"/>
  <c r="F78" i="100"/>
  <c r="F79" i="100"/>
  <c r="F119" i="100"/>
  <c r="F80" i="100"/>
  <c r="F120" i="100"/>
  <c r="F81" i="100"/>
  <c r="F121" i="100"/>
  <c r="F82" i="100"/>
  <c r="F83" i="100"/>
  <c r="F84" i="100"/>
  <c r="F85" i="100"/>
  <c r="F86" i="100"/>
  <c r="F87" i="100"/>
  <c r="F88" i="100"/>
  <c r="F89" i="100"/>
  <c r="F90" i="100"/>
  <c r="F91" i="100"/>
  <c r="F122" i="100"/>
  <c r="F92" i="100"/>
  <c r="F93" i="100"/>
  <c r="F94" i="100"/>
  <c r="F123" i="100"/>
  <c r="F95" i="100"/>
  <c r="F96" i="100"/>
  <c r="F97" i="100"/>
  <c r="F124" i="100"/>
  <c r="F125" i="100"/>
  <c r="F98" i="100"/>
  <c r="F99" i="100"/>
  <c r="F100" i="100"/>
  <c r="F6" i="100"/>
  <c r="K5" i="114" l="1"/>
  <c r="J5" i="114"/>
  <c r="I5" i="114"/>
  <c r="H5" i="114"/>
  <c r="G5" i="114"/>
  <c r="F5" i="114"/>
  <c r="E5" i="114"/>
  <c r="D5" i="114"/>
  <c r="N5" i="91" l="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6" i="91"/>
  <c r="J92" i="91"/>
  <c r="I5" i="91"/>
  <c r="P5" i="91"/>
  <c r="O5" i="91"/>
  <c r="M5" i="91"/>
  <c r="J5" i="91" l="1"/>
  <c r="AA4" i="122"/>
  <c r="Z4" i="122"/>
  <c r="X4" i="122"/>
  <c r="W4" i="122"/>
  <c r="AA124" i="122"/>
  <c r="X124" i="122"/>
  <c r="W124" i="122"/>
  <c r="AA123" i="122"/>
  <c r="X123" i="122"/>
  <c r="W123" i="122"/>
  <c r="AA122" i="122"/>
  <c r="X122" i="122"/>
  <c r="W122" i="122"/>
  <c r="AA121" i="122"/>
  <c r="X121" i="122"/>
  <c r="W121" i="122"/>
  <c r="AA120" i="122"/>
  <c r="X120" i="122"/>
  <c r="W120" i="122"/>
  <c r="AA119" i="122"/>
  <c r="X119" i="122"/>
  <c r="W119" i="122"/>
  <c r="AA118" i="122"/>
  <c r="X118" i="122"/>
  <c r="W118" i="122"/>
  <c r="AA117" i="122"/>
  <c r="X117" i="122"/>
  <c r="W117" i="122"/>
  <c r="AA116" i="122"/>
  <c r="X116" i="122"/>
  <c r="W116" i="122"/>
  <c r="AA115" i="122"/>
  <c r="X115" i="122"/>
  <c r="W115" i="122"/>
  <c r="AA114" i="122"/>
  <c r="X114" i="122"/>
  <c r="W114" i="122"/>
  <c r="AA113" i="122"/>
  <c r="X113" i="122"/>
  <c r="W113" i="122"/>
  <c r="AA112" i="122"/>
  <c r="X112" i="122"/>
  <c r="W112" i="122"/>
  <c r="AA111" i="122"/>
  <c r="X111" i="122"/>
  <c r="W111" i="122"/>
  <c r="AA110" i="122"/>
  <c r="X110" i="122"/>
  <c r="W110" i="122"/>
  <c r="AA109" i="122"/>
  <c r="X109" i="122"/>
  <c r="W109" i="122"/>
  <c r="AA108" i="122"/>
  <c r="X108" i="122"/>
  <c r="W108" i="122"/>
  <c r="AA107" i="122"/>
  <c r="X107" i="122"/>
  <c r="W107" i="122"/>
  <c r="AA106" i="122"/>
  <c r="X106" i="122"/>
  <c r="W106" i="122"/>
  <c r="AA105" i="122"/>
  <c r="X105" i="122"/>
  <c r="W105" i="122"/>
  <c r="AA104" i="122"/>
  <c r="X104" i="122"/>
  <c r="W104" i="122"/>
  <c r="AA103" i="122"/>
  <c r="X103" i="122"/>
  <c r="W103" i="122"/>
  <c r="AA102" i="122"/>
  <c r="X102" i="122"/>
  <c r="W102" i="122"/>
  <c r="AA101" i="122"/>
  <c r="X101" i="122"/>
  <c r="W101" i="122"/>
  <c r="AA100" i="122"/>
  <c r="X100" i="122"/>
  <c r="W100" i="122"/>
  <c r="AA99" i="122"/>
  <c r="X99" i="122"/>
  <c r="W99" i="122"/>
  <c r="AA98" i="122"/>
  <c r="X98" i="122"/>
  <c r="W98" i="122"/>
  <c r="AA97" i="122"/>
  <c r="X97" i="122"/>
  <c r="W97" i="122"/>
  <c r="AA96" i="122"/>
  <c r="X96" i="122"/>
  <c r="W96" i="122"/>
  <c r="AA95" i="122"/>
  <c r="X95" i="122"/>
  <c r="W95" i="122"/>
  <c r="AA94" i="122"/>
  <c r="X94" i="122"/>
  <c r="W94" i="122"/>
  <c r="AA93" i="122"/>
  <c r="X93" i="122"/>
  <c r="W93" i="122"/>
  <c r="AA92" i="122"/>
  <c r="X92" i="122"/>
  <c r="W92" i="122"/>
  <c r="AA91" i="122"/>
  <c r="X91" i="122"/>
  <c r="W9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80" i="122"/>
  <c r="X80" i="122"/>
  <c r="W80" i="122"/>
  <c r="AA79" i="122"/>
  <c r="X79" i="122"/>
  <c r="W79" i="122"/>
  <c r="AA78" i="122"/>
  <c r="X78" i="122"/>
  <c r="W78" i="122"/>
  <c r="AA77" i="122"/>
  <c r="X77" i="122"/>
  <c r="W77" i="122"/>
  <c r="AA76" i="122"/>
  <c r="X76" i="122"/>
  <c r="W76" i="122"/>
  <c r="AA75" i="122"/>
  <c r="X75" i="122"/>
  <c r="W75" i="122"/>
  <c r="AA74" i="122"/>
  <c r="X74" i="122"/>
  <c r="W74" i="122"/>
  <c r="AA73" i="122"/>
  <c r="X73" i="122"/>
  <c r="W73" i="122"/>
  <c r="AA72" i="122"/>
  <c r="X72" i="122"/>
  <c r="W72" i="122"/>
  <c r="AA71" i="122"/>
  <c r="X71" i="122"/>
  <c r="W71" i="122"/>
  <c r="AA70" i="122"/>
  <c r="X70" i="122"/>
  <c r="W70" i="122"/>
  <c r="AA69" i="122"/>
  <c r="X69" i="122"/>
  <c r="W69" i="122"/>
  <c r="AA68" i="122"/>
  <c r="X68" i="122"/>
  <c r="W68" i="122"/>
  <c r="AA67" i="122"/>
  <c r="X67" i="122"/>
  <c r="W67" i="122"/>
  <c r="AA66" i="122"/>
  <c r="X66" i="122"/>
  <c r="W66" i="122"/>
  <c r="AA65" i="122"/>
  <c r="X65" i="122"/>
  <c r="W65" i="122"/>
  <c r="AA64" i="122"/>
  <c r="X64" i="122"/>
  <c r="W64" i="122"/>
  <c r="AA63" i="122"/>
  <c r="X63" i="122"/>
  <c r="W63" i="122"/>
  <c r="AA62" i="122"/>
  <c r="X62" i="122"/>
  <c r="W62" i="122"/>
  <c r="AA61" i="122"/>
  <c r="X61" i="122"/>
  <c r="W61" i="122"/>
  <c r="AA60" i="122"/>
  <c r="X60" i="122"/>
  <c r="W6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49" i="122"/>
  <c r="X49" i="122"/>
  <c r="W49" i="122"/>
  <c r="AA48" i="122"/>
  <c r="X48" i="122"/>
  <c r="W48" i="122"/>
  <c r="AA47" i="122"/>
  <c r="X47" i="122"/>
  <c r="W47" i="122"/>
  <c r="AA46" i="122"/>
  <c r="X46" i="122"/>
  <c r="W46" i="122"/>
  <c r="AA45" i="122"/>
  <c r="X45" i="122"/>
  <c r="W45" i="122"/>
  <c r="AA44" i="122"/>
  <c r="X44" i="122"/>
  <c r="W44" i="122"/>
  <c r="AA43" i="122"/>
  <c r="X43" i="122"/>
  <c r="W43" i="122"/>
  <c r="AA42" i="122"/>
  <c r="X42" i="122"/>
  <c r="W42" i="122"/>
  <c r="AA41" i="122"/>
  <c r="X41" i="122"/>
  <c r="W41" i="122"/>
  <c r="AA40" i="122"/>
  <c r="X40" i="122"/>
  <c r="W40" i="122"/>
  <c r="AA39" i="122"/>
  <c r="X39" i="122"/>
  <c r="W39" i="122"/>
  <c r="AA38" i="122"/>
  <c r="X38" i="122"/>
  <c r="W38" i="122"/>
  <c r="AA37" i="122"/>
  <c r="X37" i="122"/>
  <c r="W37" i="122"/>
  <c r="AA36" i="122"/>
  <c r="X36" i="122"/>
  <c r="W36" i="122"/>
  <c r="AA35" i="122"/>
  <c r="X35" i="122"/>
  <c r="W35" i="122"/>
  <c r="AA34" i="122"/>
  <c r="X34" i="122"/>
  <c r="W34" i="122"/>
  <c r="AA33" i="122"/>
  <c r="X33" i="122"/>
  <c r="W33" i="122"/>
  <c r="AA32" i="122"/>
  <c r="X32" i="122"/>
  <c r="W32" i="122"/>
  <c r="AA31" i="122"/>
  <c r="X31" i="122"/>
  <c r="W31" i="122"/>
  <c r="AA30" i="122"/>
  <c r="X30" i="122"/>
  <c r="W30" i="122"/>
  <c r="AA29" i="122"/>
  <c r="X29" i="122"/>
  <c r="W29" i="122"/>
  <c r="AA28" i="122"/>
  <c r="X28" i="122"/>
  <c r="W28" i="122"/>
  <c r="AA27" i="122"/>
  <c r="X27" i="122"/>
  <c r="W27" i="122"/>
  <c r="AA26" i="122"/>
  <c r="X26" i="122"/>
  <c r="W26" i="122"/>
  <c r="AA25" i="122"/>
  <c r="X25" i="122"/>
  <c r="W25"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6" i="122"/>
  <c r="X6" i="122"/>
  <c r="W6" i="122"/>
  <c r="AA5" i="122"/>
  <c r="X5" i="122"/>
  <c r="W5" i="122"/>
  <c r="P4" i="122"/>
  <c r="U4" i="122"/>
  <c r="AE5" i="6"/>
  <c r="AD5" i="6"/>
  <c r="AB5" i="6"/>
  <c r="AA5" i="6"/>
  <c r="AE125" i="6"/>
  <c r="AB125" i="6"/>
  <c r="AA125" i="6"/>
  <c r="AE124" i="6"/>
  <c r="AB124" i="6"/>
  <c r="AA124" i="6"/>
  <c r="AE123" i="6"/>
  <c r="AB123" i="6"/>
  <c r="AA123" i="6"/>
  <c r="AE122" i="6"/>
  <c r="AB122" i="6"/>
  <c r="AA122" i="6"/>
  <c r="AE121" i="6"/>
  <c r="AB121" i="6"/>
  <c r="AA121" i="6"/>
  <c r="AE120" i="6"/>
  <c r="AB120" i="6"/>
  <c r="AA120" i="6"/>
  <c r="AE119" i="6"/>
  <c r="AB119" i="6"/>
  <c r="AA119" i="6"/>
  <c r="AE118" i="6"/>
  <c r="AB118" i="6"/>
  <c r="AA118" i="6"/>
  <c r="AE117" i="6"/>
  <c r="AB117" i="6"/>
  <c r="AA117" i="6"/>
  <c r="AE116" i="6"/>
  <c r="AB116" i="6"/>
  <c r="AA116" i="6"/>
  <c r="AE115" i="6"/>
  <c r="AB115" i="6"/>
  <c r="AA115" i="6"/>
  <c r="AE114" i="6"/>
  <c r="AB114" i="6"/>
  <c r="AA114" i="6"/>
  <c r="AE113" i="6"/>
  <c r="AB113" i="6"/>
  <c r="AA113" i="6"/>
  <c r="AE112" i="6"/>
  <c r="AB112" i="6"/>
  <c r="AA112" i="6"/>
  <c r="AE111" i="6"/>
  <c r="AB111" i="6"/>
  <c r="AA111" i="6"/>
  <c r="AE110" i="6"/>
  <c r="AB110" i="6"/>
  <c r="AA110" i="6"/>
  <c r="AE109" i="6"/>
  <c r="AB109" i="6"/>
  <c r="AA109" i="6"/>
  <c r="AE108" i="6"/>
  <c r="AB108" i="6"/>
  <c r="AA108" i="6"/>
  <c r="AE107" i="6"/>
  <c r="AB107" i="6"/>
  <c r="AA107" i="6"/>
  <c r="AE106" i="6"/>
  <c r="AB106" i="6"/>
  <c r="AA106" i="6"/>
  <c r="AE105" i="6"/>
  <c r="AB105" i="6"/>
  <c r="AA105" i="6"/>
  <c r="AE104" i="6"/>
  <c r="AB104" i="6"/>
  <c r="AA104" i="6"/>
  <c r="AE103" i="6"/>
  <c r="AB103" i="6"/>
  <c r="AA103" i="6"/>
  <c r="AE102" i="6"/>
  <c r="AB102" i="6"/>
  <c r="AA102" i="6"/>
  <c r="AE101" i="6"/>
  <c r="AB101" i="6"/>
  <c r="AA101" i="6"/>
  <c r="AE100" i="6"/>
  <c r="AB100" i="6"/>
  <c r="AA100" i="6"/>
  <c r="AE99" i="6"/>
  <c r="AB99" i="6"/>
  <c r="AA99" i="6"/>
  <c r="AE98" i="6"/>
  <c r="AB98" i="6"/>
  <c r="AA98" i="6"/>
  <c r="AE97" i="6"/>
  <c r="AB97" i="6"/>
  <c r="AA97" i="6"/>
  <c r="AE96" i="6"/>
  <c r="AB96" i="6"/>
  <c r="AA96" i="6"/>
  <c r="AE95" i="6"/>
  <c r="AB95" i="6"/>
  <c r="AA95" i="6"/>
  <c r="AE94" i="6"/>
  <c r="AB94" i="6"/>
  <c r="AA94" i="6"/>
  <c r="AE93" i="6"/>
  <c r="AB93" i="6"/>
  <c r="AA93" i="6"/>
  <c r="AE92" i="6"/>
  <c r="AB92" i="6"/>
  <c r="AA92" i="6"/>
  <c r="AE91" i="6"/>
  <c r="AB91" i="6"/>
  <c r="AA91" i="6"/>
  <c r="AE90" i="6"/>
  <c r="AB90" i="6"/>
  <c r="AA90" i="6"/>
  <c r="AE89" i="6"/>
  <c r="AB89" i="6"/>
  <c r="AA89" i="6"/>
  <c r="AE88" i="6"/>
  <c r="AB88" i="6"/>
  <c r="AA88" i="6"/>
  <c r="AE87" i="6"/>
  <c r="AB87" i="6"/>
  <c r="AA87" i="6"/>
  <c r="AE86" i="6"/>
  <c r="AB86" i="6"/>
  <c r="AA86" i="6"/>
  <c r="AE85" i="6"/>
  <c r="AB85" i="6"/>
  <c r="AA85" i="6"/>
  <c r="AE84" i="6"/>
  <c r="AB84" i="6"/>
  <c r="AA84" i="6"/>
  <c r="AE83" i="6"/>
  <c r="AB83" i="6"/>
  <c r="AA83" i="6"/>
  <c r="AE82" i="6"/>
  <c r="AB82" i="6"/>
  <c r="AA82" i="6"/>
  <c r="AE81" i="6"/>
  <c r="AB81" i="6"/>
  <c r="AA81" i="6"/>
  <c r="AE80" i="6"/>
  <c r="AB80" i="6"/>
  <c r="AA80" i="6"/>
  <c r="AE79" i="6"/>
  <c r="AB79" i="6"/>
  <c r="AA79" i="6"/>
  <c r="AE78" i="6"/>
  <c r="AB78" i="6"/>
  <c r="AA78" i="6"/>
  <c r="AE77" i="6"/>
  <c r="AB77" i="6"/>
  <c r="AA77" i="6"/>
  <c r="AE76" i="6"/>
  <c r="AB76" i="6"/>
  <c r="AA76" i="6"/>
  <c r="AE75" i="6"/>
  <c r="AB75" i="6"/>
  <c r="AA75" i="6"/>
  <c r="AE74" i="6"/>
  <c r="AB74" i="6"/>
  <c r="AA74" i="6"/>
  <c r="AE73" i="6"/>
  <c r="AB73" i="6"/>
  <c r="AA73" i="6"/>
  <c r="AE72" i="6"/>
  <c r="AB72" i="6"/>
  <c r="AA72" i="6"/>
  <c r="AE71" i="6"/>
  <c r="AB71" i="6"/>
  <c r="AA71" i="6"/>
  <c r="AE70" i="6"/>
  <c r="AB70" i="6"/>
  <c r="AA70" i="6"/>
  <c r="AE69" i="6"/>
  <c r="AB69" i="6"/>
  <c r="AA69" i="6"/>
  <c r="AE68" i="6"/>
  <c r="AB68" i="6"/>
  <c r="AA68" i="6"/>
  <c r="AE67" i="6"/>
  <c r="AB67" i="6"/>
  <c r="AA67" i="6"/>
  <c r="AE66" i="6"/>
  <c r="AB66" i="6"/>
  <c r="AA66" i="6"/>
  <c r="AE65" i="6"/>
  <c r="AB65" i="6"/>
  <c r="AA65" i="6"/>
  <c r="AE64" i="6"/>
  <c r="AB64" i="6"/>
  <c r="AA64" i="6"/>
  <c r="AE63" i="6"/>
  <c r="AB63" i="6"/>
  <c r="AA63" i="6"/>
  <c r="AE62" i="6"/>
  <c r="AB62" i="6"/>
  <c r="AA62" i="6"/>
  <c r="AE61" i="6"/>
  <c r="AB61" i="6"/>
  <c r="AA61" i="6"/>
  <c r="AE60" i="6"/>
  <c r="AB60" i="6"/>
  <c r="AA60" i="6"/>
  <c r="AE59" i="6"/>
  <c r="AB59" i="6"/>
  <c r="AA59" i="6"/>
  <c r="AE58" i="6"/>
  <c r="AB58" i="6"/>
  <c r="AA58" i="6"/>
  <c r="AE57" i="6"/>
  <c r="AB57" i="6"/>
  <c r="AA57" i="6"/>
  <c r="AE56" i="6"/>
  <c r="AB56" i="6"/>
  <c r="AA56" i="6"/>
  <c r="AE55" i="6"/>
  <c r="AB55" i="6"/>
  <c r="AA55" i="6"/>
  <c r="AE54" i="6"/>
  <c r="AB54" i="6"/>
  <c r="AA54" i="6"/>
  <c r="AE53" i="6"/>
  <c r="AB53" i="6"/>
  <c r="AA53" i="6"/>
  <c r="AE52" i="6"/>
  <c r="AB52" i="6"/>
  <c r="AA52" i="6"/>
  <c r="AE51" i="6"/>
  <c r="AB51" i="6"/>
  <c r="AA51" i="6"/>
  <c r="AE50" i="6"/>
  <c r="AB50" i="6"/>
  <c r="AA50" i="6"/>
  <c r="AE49" i="6"/>
  <c r="AB49" i="6"/>
  <c r="AA49" i="6"/>
  <c r="AE48" i="6"/>
  <c r="AB48" i="6"/>
  <c r="AA48" i="6"/>
  <c r="AE47" i="6"/>
  <c r="AB47" i="6"/>
  <c r="AA47" i="6"/>
  <c r="AE46" i="6"/>
  <c r="AB46" i="6"/>
  <c r="AA46" i="6"/>
  <c r="AE45" i="6"/>
  <c r="AB45" i="6"/>
  <c r="AA45" i="6"/>
  <c r="AE44" i="6"/>
  <c r="AB44" i="6"/>
  <c r="AA44" i="6"/>
  <c r="AE43" i="6"/>
  <c r="AB43" i="6"/>
  <c r="AA43" i="6"/>
  <c r="AE42" i="6"/>
  <c r="AB42" i="6"/>
  <c r="AA42" i="6"/>
  <c r="AE41" i="6"/>
  <c r="AB41" i="6"/>
  <c r="AA41" i="6"/>
  <c r="AE40" i="6"/>
  <c r="AB40" i="6"/>
  <c r="AA40" i="6"/>
  <c r="AE39" i="6"/>
  <c r="AB39" i="6"/>
  <c r="AA39" i="6"/>
  <c r="AE38" i="6"/>
  <c r="AB38" i="6"/>
  <c r="AA38" i="6"/>
  <c r="AE37" i="6"/>
  <c r="AB37" i="6"/>
  <c r="AA37" i="6"/>
  <c r="AE36" i="6"/>
  <c r="AB36" i="6"/>
  <c r="AA36" i="6"/>
  <c r="AE35" i="6"/>
  <c r="AB35" i="6"/>
  <c r="AA35" i="6"/>
  <c r="AE34" i="6"/>
  <c r="AB34" i="6"/>
  <c r="AA34" i="6"/>
  <c r="AE33" i="6"/>
  <c r="AB33" i="6"/>
  <c r="AA33" i="6"/>
  <c r="AE32" i="6"/>
  <c r="AB32" i="6"/>
  <c r="AA32" i="6"/>
  <c r="AE31" i="6"/>
  <c r="AB31" i="6"/>
  <c r="AA31" i="6"/>
  <c r="AE30" i="6"/>
  <c r="AB30" i="6"/>
  <c r="AA30" i="6"/>
  <c r="AE29" i="6"/>
  <c r="AB29" i="6"/>
  <c r="AA29" i="6"/>
  <c r="AE28" i="6"/>
  <c r="AB28" i="6"/>
  <c r="AA28" i="6"/>
  <c r="AE27" i="6"/>
  <c r="AB27" i="6"/>
  <c r="AA27" i="6"/>
  <c r="AE26" i="6"/>
  <c r="AB26" i="6"/>
  <c r="AA26" i="6"/>
  <c r="AE25" i="6"/>
  <c r="AB25" i="6"/>
  <c r="AA25" i="6"/>
  <c r="AE24" i="6"/>
  <c r="AB24" i="6"/>
  <c r="AA24" i="6"/>
  <c r="AE23" i="6"/>
  <c r="AB23" i="6"/>
  <c r="AA23" i="6"/>
  <c r="AE22" i="6"/>
  <c r="AB22" i="6"/>
  <c r="AA22" i="6"/>
  <c r="AE21" i="6"/>
  <c r="AB21" i="6"/>
  <c r="AA21" i="6"/>
  <c r="AE20" i="6"/>
  <c r="AB20" i="6"/>
  <c r="AA20" i="6"/>
  <c r="AE19" i="6"/>
  <c r="AB19" i="6"/>
  <c r="AA19" i="6"/>
  <c r="AE18" i="6"/>
  <c r="AB18" i="6"/>
  <c r="AA18" i="6"/>
  <c r="AE17" i="6"/>
  <c r="AB17" i="6"/>
  <c r="AA17" i="6"/>
  <c r="AE16" i="6"/>
  <c r="AB16" i="6"/>
  <c r="AA16" i="6"/>
  <c r="AE15" i="6"/>
  <c r="AB15" i="6"/>
  <c r="AA15" i="6"/>
  <c r="AE14" i="6"/>
  <c r="AB14" i="6"/>
  <c r="AA14" i="6"/>
  <c r="AE13" i="6"/>
  <c r="AB13" i="6"/>
  <c r="AA13" i="6"/>
  <c r="AE12" i="6"/>
  <c r="AB12" i="6"/>
  <c r="AA12" i="6"/>
  <c r="AE11" i="6"/>
  <c r="AB11" i="6"/>
  <c r="AA11" i="6"/>
  <c r="AE10" i="6"/>
  <c r="AB10" i="6"/>
  <c r="AA10" i="6"/>
  <c r="AE9" i="6"/>
  <c r="AB9" i="6"/>
  <c r="AA9" i="6"/>
  <c r="AE8" i="6"/>
  <c r="AB8" i="6"/>
  <c r="AA8" i="6"/>
  <c r="AE7" i="6"/>
  <c r="AB7" i="6"/>
  <c r="AA7" i="6"/>
  <c r="AE6" i="6"/>
  <c r="AB6" i="6"/>
  <c r="AA6" i="6"/>
  <c r="Y5" i="6"/>
  <c r="X5" i="6"/>
  <c r="T5" i="6"/>
  <c r="Z6" i="92" l="1"/>
  <c r="AA6" i="92"/>
  <c r="Z100" i="92"/>
  <c r="AA100" i="92"/>
  <c r="Z7" i="92"/>
  <c r="AA7" i="92"/>
  <c r="Z8" i="92"/>
  <c r="AA8" i="92"/>
  <c r="Z9" i="92"/>
  <c r="AA9" i="92"/>
  <c r="Z10" i="92"/>
  <c r="AA10" i="92"/>
  <c r="Z11" i="92"/>
  <c r="AA11" i="92"/>
  <c r="Z12" i="92"/>
  <c r="AA12" i="92"/>
  <c r="Z13" i="92"/>
  <c r="AA13" i="92"/>
  <c r="Z14" i="92"/>
  <c r="AA14" i="92"/>
  <c r="Z15" i="92"/>
  <c r="AA15" i="92"/>
  <c r="Z16" i="92"/>
  <c r="AA16" i="92"/>
  <c r="Z101" i="92"/>
  <c r="AA101" i="92"/>
  <c r="Z17" i="92"/>
  <c r="AA17" i="92"/>
  <c r="Z18" i="92"/>
  <c r="AA18" i="92"/>
  <c r="Z19" i="92"/>
  <c r="AA19" i="92"/>
  <c r="Z20" i="92"/>
  <c r="AA20" i="92"/>
  <c r="Z21" i="92"/>
  <c r="AA21" i="92"/>
  <c r="Z22" i="92"/>
  <c r="AA22" i="92"/>
  <c r="Z23" i="92"/>
  <c r="AA23" i="92"/>
  <c r="Z24" i="92"/>
  <c r="AA24" i="92"/>
  <c r="Z102" i="92"/>
  <c r="AA102" i="92"/>
  <c r="Z103" i="92"/>
  <c r="AA103" i="92"/>
  <c r="Z25" i="92"/>
  <c r="AA25" i="92"/>
  <c r="Z26" i="92"/>
  <c r="AA26" i="92"/>
  <c r="Z27" i="92"/>
  <c r="AA27" i="92"/>
  <c r="Z28" i="92"/>
  <c r="AA28" i="92"/>
  <c r="Z29" i="92"/>
  <c r="AA29" i="92"/>
  <c r="Z104" i="92"/>
  <c r="AA104" i="92"/>
  <c r="Z30" i="92"/>
  <c r="AA30" i="92"/>
  <c r="Z31" i="92"/>
  <c r="AA31" i="92"/>
  <c r="Z32" i="92"/>
  <c r="AA32" i="92"/>
  <c r="Z33" i="92"/>
  <c r="AA33" i="92"/>
  <c r="Z34" i="92"/>
  <c r="AA34" i="92"/>
  <c r="Z35" i="92"/>
  <c r="AA35" i="92"/>
  <c r="Z36" i="92"/>
  <c r="AA36" i="92"/>
  <c r="Z105" i="92"/>
  <c r="AA105" i="92"/>
  <c r="Z37" i="92"/>
  <c r="AA37" i="92"/>
  <c r="Z38" i="92"/>
  <c r="AA38" i="92"/>
  <c r="Z106" i="92"/>
  <c r="AA106" i="92"/>
  <c r="Z107" i="92"/>
  <c r="AA107" i="92"/>
  <c r="Z39" i="92"/>
  <c r="AA39" i="92"/>
  <c r="Z40" i="92"/>
  <c r="AA40" i="92"/>
  <c r="Z41" i="92"/>
  <c r="AA41" i="92"/>
  <c r="Z42" i="92"/>
  <c r="AA42" i="92"/>
  <c r="Z43" i="92"/>
  <c r="AA43" i="92"/>
  <c r="Z44" i="92"/>
  <c r="AA44" i="92"/>
  <c r="Z45" i="92"/>
  <c r="AA45" i="92"/>
  <c r="Z108" i="92"/>
  <c r="AA108" i="92"/>
  <c r="Z46" i="92"/>
  <c r="AA46" i="92"/>
  <c r="Z47" i="92"/>
  <c r="AA47" i="92"/>
  <c r="Z48" i="92"/>
  <c r="AA48" i="92"/>
  <c r="Z49" i="92"/>
  <c r="AA49" i="92"/>
  <c r="Z109" i="92"/>
  <c r="AA109" i="92"/>
  <c r="Z50" i="92"/>
  <c r="AA50" i="92"/>
  <c r="Z51" i="92"/>
  <c r="AA51" i="92"/>
  <c r="Z52" i="92"/>
  <c r="AA52" i="92"/>
  <c r="Z53" i="92"/>
  <c r="AA53" i="92"/>
  <c r="Z54" i="92"/>
  <c r="AA54" i="92"/>
  <c r="Z55" i="92"/>
  <c r="AA55" i="92"/>
  <c r="Z56" i="92"/>
  <c r="AA56" i="92"/>
  <c r="Z57" i="92"/>
  <c r="AA57" i="92"/>
  <c r="Z58" i="92"/>
  <c r="AA58" i="92"/>
  <c r="Z59" i="92"/>
  <c r="AA59" i="92"/>
  <c r="Z110" i="92"/>
  <c r="AA110" i="92"/>
  <c r="Z60" i="92"/>
  <c r="AA60" i="92"/>
  <c r="Z111" i="92"/>
  <c r="AA111" i="92"/>
  <c r="Z112" i="92"/>
  <c r="AA112" i="92"/>
  <c r="Z61" i="92"/>
  <c r="AA61" i="92"/>
  <c r="Z62" i="92"/>
  <c r="AA62" i="92"/>
  <c r="Z63" i="92"/>
  <c r="AA63" i="92"/>
  <c r="Z64" i="92"/>
  <c r="AA64" i="92"/>
  <c r="Z65" i="92"/>
  <c r="AA65" i="92"/>
  <c r="Z66" i="92"/>
  <c r="AA66" i="92"/>
  <c r="Z113" i="92"/>
  <c r="AA113" i="92"/>
  <c r="Z114" i="92"/>
  <c r="AA114" i="92"/>
  <c r="Z67" i="92"/>
  <c r="AA67" i="92"/>
  <c r="Z68" i="92"/>
  <c r="AA68" i="92"/>
  <c r="Z115" i="92"/>
  <c r="AA115" i="92"/>
  <c r="Z69" i="92"/>
  <c r="AA69" i="92"/>
  <c r="Z70" i="92"/>
  <c r="AA70" i="92"/>
  <c r="Z71" i="92"/>
  <c r="AA71" i="92"/>
  <c r="Z72" i="92"/>
  <c r="AA72" i="92"/>
  <c r="Z116" i="92"/>
  <c r="AA116" i="92"/>
  <c r="Z73" i="92"/>
  <c r="AA73" i="92"/>
  <c r="Z117" i="92"/>
  <c r="AA117" i="92"/>
  <c r="Z74" i="92"/>
  <c r="AA74" i="92"/>
  <c r="Z75" i="92"/>
  <c r="AA75" i="92"/>
  <c r="Z76" i="92"/>
  <c r="AA76" i="92"/>
  <c r="Z77" i="92"/>
  <c r="AA77" i="92"/>
  <c r="Z78" i="92"/>
  <c r="AA78" i="92"/>
  <c r="Z118" i="92"/>
  <c r="AA118" i="92"/>
  <c r="Z79" i="92"/>
  <c r="AA79" i="92"/>
  <c r="Z119" i="92"/>
  <c r="AA119" i="92"/>
  <c r="Z80" i="92"/>
  <c r="AA80" i="92"/>
  <c r="Z120" i="92"/>
  <c r="AA120" i="92"/>
  <c r="Z81" i="92"/>
  <c r="AA81" i="92"/>
  <c r="Z82" i="92"/>
  <c r="AA82" i="92"/>
  <c r="Z83" i="92"/>
  <c r="AA83" i="92"/>
  <c r="Z84" i="92"/>
  <c r="AA84" i="92"/>
  <c r="Z85" i="92"/>
  <c r="AA85" i="92"/>
  <c r="Z86" i="92"/>
  <c r="AA86" i="92"/>
  <c r="Z87" i="92"/>
  <c r="AA87" i="92"/>
  <c r="Z88" i="92"/>
  <c r="AA88" i="92"/>
  <c r="Z89" i="92"/>
  <c r="AA89" i="92"/>
  <c r="Z90" i="92"/>
  <c r="AA90" i="92"/>
  <c r="Z121" i="92"/>
  <c r="AA121" i="92"/>
  <c r="Z91" i="92"/>
  <c r="AA91" i="92"/>
  <c r="Z92" i="92"/>
  <c r="AA92" i="92"/>
  <c r="Z93" i="92"/>
  <c r="AA93" i="92"/>
  <c r="Z122" i="92"/>
  <c r="AA122" i="92"/>
  <c r="Z94" i="92"/>
  <c r="AA94" i="92"/>
  <c r="Z95" i="92"/>
  <c r="AA95" i="92"/>
  <c r="Z96" i="92"/>
  <c r="AA96" i="92"/>
  <c r="Z123" i="92"/>
  <c r="AA123" i="92"/>
  <c r="Z124" i="92"/>
  <c r="AA124" i="92"/>
  <c r="Z97" i="92"/>
  <c r="AA97" i="92"/>
  <c r="Z98" i="92"/>
  <c r="AA98" i="92"/>
  <c r="Z99" i="92"/>
  <c r="AA99" i="92"/>
  <c r="AA5" i="92"/>
  <c r="AA4" i="92" s="1"/>
  <c r="Z5" i="92"/>
  <c r="Z4" i="92" s="1"/>
  <c r="F4" i="120" l="1"/>
  <c r="O5" i="106" l="1"/>
  <c r="G5" i="106"/>
  <c r="K5" i="106"/>
  <c r="J5" i="106"/>
  <c r="E5" i="106"/>
  <c r="R5" i="106" l="1"/>
  <c r="Q5" i="106"/>
  <c r="P5" i="106"/>
  <c r="BD131" i="113" l="1"/>
  <c r="BD130" i="113"/>
  <c r="BD129" i="113"/>
  <c r="BD128" i="113"/>
  <c r="BD127" i="113"/>
  <c r="BD125" i="113"/>
  <c r="BD124" i="113"/>
  <c r="BD123" i="113"/>
  <c r="BD122" i="113"/>
  <c r="BD121" i="113"/>
  <c r="BD120" i="113"/>
  <c r="BD119" i="113"/>
  <c r="BD118" i="113"/>
  <c r="BD117" i="113"/>
  <c r="BD116" i="113"/>
  <c r="BD115" i="113"/>
  <c r="BD114" i="113"/>
  <c r="BD113" i="113"/>
  <c r="BD112" i="113"/>
  <c r="BD111" i="113"/>
  <c r="BD110" i="113"/>
  <c r="BD109" i="113"/>
  <c r="BD108" i="113"/>
  <c r="BD107" i="113"/>
  <c r="BD106" i="113"/>
  <c r="BD105" i="113"/>
  <c r="BD104" i="113"/>
  <c r="BD103" i="113"/>
  <c r="BD102" i="113"/>
  <c r="BD101" i="113"/>
  <c r="BD100" i="113"/>
  <c r="BD99" i="113"/>
  <c r="BD98" i="113"/>
  <c r="BD97" i="113"/>
  <c r="BD96" i="113"/>
  <c r="BD95" i="113"/>
  <c r="BD94" i="113"/>
  <c r="BD93" i="113"/>
  <c r="BD92" i="113"/>
  <c r="BD91" i="113"/>
  <c r="BD90" i="113"/>
  <c r="BD89" i="113"/>
  <c r="BD88" i="113"/>
  <c r="BD87" i="113"/>
  <c r="BD86" i="113"/>
  <c r="BD85" i="113"/>
  <c r="BD84" i="113"/>
  <c r="BD83" i="113"/>
  <c r="BD82" i="113"/>
  <c r="BD81" i="113"/>
  <c r="BD80" i="113"/>
  <c r="BD79" i="113"/>
  <c r="BD78" i="113"/>
  <c r="BD77" i="113"/>
  <c r="BD76" i="113"/>
  <c r="BD75" i="113"/>
  <c r="BD74" i="113"/>
  <c r="BD73" i="113"/>
  <c r="BD72" i="113"/>
  <c r="BD71" i="113"/>
  <c r="BD70" i="113"/>
  <c r="BD69" i="113"/>
  <c r="BD68" i="113"/>
  <c r="BD67" i="113"/>
  <c r="BD66" i="113"/>
  <c r="BD65" i="113"/>
  <c r="BD64" i="113"/>
  <c r="BD63" i="113"/>
  <c r="BD62" i="113"/>
  <c r="BD61" i="113"/>
  <c r="BD60" i="113"/>
  <c r="BD59" i="113"/>
  <c r="BD58" i="113"/>
  <c r="BD57" i="113"/>
  <c r="BD56" i="113"/>
  <c r="BD55" i="113"/>
  <c r="BD54" i="113"/>
  <c r="BD53" i="113"/>
  <c r="BD52" i="113"/>
  <c r="BD51" i="113"/>
  <c r="BD50" i="113"/>
  <c r="BD49" i="113"/>
  <c r="BD48" i="113"/>
  <c r="BD47" i="113"/>
  <c r="BD46" i="113"/>
  <c r="BD45" i="113"/>
  <c r="BD44" i="113"/>
  <c r="BD43" i="113"/>
  <c r="BD42" i="113"/>
  <c r="BD41" i="113"/>
  <c r="BD40" i="113"/>
  <c r="BD39" i="113"/>
  <c r="BD38" i="113"/>
  <c r="BD37" i="113"/>
  <c r="BD36" i="113"/>
  <c r="BD35" i="113"/>
  <c r="BD34" i="113"/>
  <c r="BD33" i="113"/>
  <c r="BD32" i="113"/>
  <c r="BD31" i="113"/>
  <c r="BD30" i="113"/>
  <c r="BD29" i="113"/>
  <c r="BD28" i="113"/>
  <c r="BD27" i="113"/>
  <c r="BD26" i="113"/>
  <c r="BD25" i="113"/>
  <c r="BD24" i="113"/>
  <c r="BD23" i="113"/>
  <c r="BD22" i="113"/>
  <c r="BD21" i="113"/>
  <c r="BD20" i="113"/>
  <c r="BD19" i="113"/>
  <c r="BD18" i="113"/>
  <c r="BD17" i="113"/>
  <c r="BD16" i="113"/>
  <c r="BD15" i="113"/>
  <c r="BD14" i="113"/>
  <c r="BD13" i="113"/>
  <c r="BD12" i="113"/>
  <c r="BD11" i="113"/>
  <c r="BD10" i="113"/>
  <c r="BD9" i="113"/>
  <c r="BD8" i="113"/>
  <c r="BD7" i="113"/>
  <c r="BD6" i="113"/>
  <c r="BD5" i="113"/>
  <c r="D39" i="108" s="1"/>
  <c r="D5" i="108" l="1"/>
  <c r="D19" i="108"/>
  <c r="D18" i="108"/>
  <c r="D17" i="108"/>
  <c r="D16" i="108"/>
  <c r="D15" i="108"/>
  <c r="D14" i="108"/>
  <c r="D13" i="108"/>
  <c r="D12" i="108"/>
  <c r="D11" i="108"/>
  <c r="D10" i="108"/>
  <c r="D9" i="108"/>
  <c r="D8" i="108"/>
  <c r="D7" i="108"/>
  <c r="D6" i="108"/>
  <c r="D4" i="108"/>
  <c r="V4" i="53" l="1"/>
  <c r="J4" i="60"/>
  <c r="K4" i="60"/>
  <c r="L4" i="60"/>
  <c r="M4" i="60"/>
  <c r="N4" i="60"/>
  <c r="I5" i="60"/>
  <c r="I4" i="60" s="1"/>
  <c r="I6" i="60"/>
  <c r="I7" i="60"/>
  <c r="I8" i="60"/>
  <c r="K125" i="79"/>
  <c r="J125" i="79"/>
  <c r="I125" i="79"/>
  <c r="H125" i="79"/>
  <c r="K124" i="79"/>
  <c r="J124" i="79"/>
  <c r="I124" i="79"/>
  <c r="H124" i="79"/>
  <c r="K123" i="79"/>
  <c r="J123" i="79"/>
  <c r="I123" i="79"/>
  <c r="H123" i="79"/>
  <c r="K122" i="79"/>
  <c r="J122" i="79"/>
  <c r="I122" i="79"/>
  <c r="H122" i="79"/>
  <c r="K121" i="79"/>
  <c r="J121" i="79"/>
  <c r="I121" i="79"/>
  <c r="H121" i="79"/>
  <c r="K120" i="79"/>
  <c r="J120" i="79"/>
  <c r="I120" i="79"/>
  <c r="H120" i="79"/>
  <c r="K119" i="79"/>
  <c r="J119" i="79"/>
  <c r="I119" i="79"/>
  <c r="H119" i="79"/>
  <c r="K118" i="79"/>
  <c r="J118" i="79"/>
  <c r="I118" i="79"/>
  <c r="H118" i="79"/>
  <c r="K117" i="79"/>
  <c r="J117" i="79"/>
  <c r="I117" i="79"/>
  <c r="H117" i="79"/>
  <c r="K116" i="79"/>
  <c r="J116" i="79"/>
  <c r="I116" i="79"/>
  <c r="H116" i="79"/>
  <c r="K115" i="79"/>
  <c r="J115" i="79"/>
  <c r="I115" i="79"/>
  <c r="H115" i="79"/>
  <c r="K114" i="79"/>
  <c r="J114" i="79"/>
  <c r="I114" i="79"/>
  <c r="H114" i="79"/>
  <c r="K113" i="79"/>
  <c r="J113" i="79"/>
  <c r="I113" i="79"/>
  <c r="H113" i="79"/>
  <c r="K112" i="79"/>
  <c r="J112" i="79"/>
  <c r="I112" i="79"/>
  <c r="H112" i="79"/>
  <c r="K111" i="79"/>
  <c r="J111" i="79"/>
  <c r="I111" i="79"/>
  <c r="H111" i="79"/>
  <c r="K110" i="79"/>
  <c r="J110" i="79"/>
  <c r="I110" i="79"/>
  <c r="H110" i="79"/>
  <c r="K109" i="79"/>
  <c r="J109" i="79"/>
  <c r="I109" i="79"/>
  <c r="H109" i="79"/>
  <c r="K108" i="79"/>
  <c r="J108" i="79"/>
  <c r="I108" i="79"/>
  <c r="H108" i="79"/>
  <c r="K107" i="79"/>
  <c r="J107" i="79"/>
  <c r="I107" i="79"/>
  <c r="H107" i="79"/>
  <c r="K106" i="79"/>
  <c r="J106" i="79"/>
  <c r="I106" i="79"/>
  <c r="H106" i="79"/>
  <c r="K105" i="79"/>
  <c r="J105" i="79"/>
  <c r="I105" i="79"/>
  <c r="H105" i="79"/>
  <c r="K104" i="79"/>
  <c r="J104" i="79"/>
  <c r="I104" i="79"/>
  <c r="H104" i="79"/>
  <c r="K103" i="79"/>
  <c r="J103" i="79"/>
  <c r="I103" i="79"/>
  <c r="H103" i="79"/>
  <c r="K102" i="79"/>
  <c r="J102" i="79"/>
  <c r="I102" i="79"/>
  <c r="H102" i="79"/>
  <c r="K101" i="79"/>
  <c r="J101" i="79"/>
  <c r="I101" i="79"/>
  <c r="H101" i="79"/>
  <c r="K100" i="79"/>
  <c r="J100" i="79"/>
  <c r="I100" i="79"/>
  <c r="H100" i="79"/>
  <c r="K99" i="79"/>
  <c r="J99" i="79"/>
  <c r="I99" i="79"/>
  <c r="H99" i="79"/>
  <c r="K98" i="79"/>
  <c r="J98" i="79"/>
  <c r="I98" i="79"/>
  <c r="H98" i="79"/>
  <c r="K97" i="79"/>
  <c r="J97" i="79"/>
  <c r="I97" i="79"/>
  <c r="H97" i="79"/>
  <c r="K96" i="79"/>
  <c r="J96" i="79"/>
  <c r="I96" i="79"/>
  <c r="H96" i="79"/>
  <c r="K95" i="79"/>
  <c r="J95" i="79"/>
  <c r="I95" i="79"/>
  <c r="H95" i="79"/>
  <c r="K94" i="79"/>
  <c r="J94" i="79"/>
  <c r="I94" i="79"/>
  <c r="H94" i="79"/>
  <c r="K93" i="79"/>
  <c r="J93" i="79"/>
  <c r="I93" i="79"/>
  <c r="H93" i="79"/>
  <c r="K92" i="79"/>
  <c r="J92" i="79"/>
  <c r="I92" i="79"/>
  <c r="H92" i="79"/>
  <c r="K91" i="79"/>
  <c r="J91" i="79"/>
  <c r="I91" i="79"/>
  <c r="H91" i="79"/>
  <c r="K90" i="79"/>
  <c r="J90" i="79"/>
  <c r="I90" i="79"/>
  <c r="H90" i="79"/>
  <c r="K89" i="79"/>
  <c r="J89" i="79"/>
  <c r="I89" i="79"/>
  <c r="H89" i="79"/>
  <c r="K88" i="79"/>
  <c r="J88" i="79"/>
  <c r="I88" i="79"/>
  <c r="H88" i="79"/>
  <c r="K87" i="79"/>
  <c r="J87" i="79"/>
  <c r="I87" i="79"/>
  <c r="H87" i="79"/>
  <c r="K86" i="79"/>
  <c r="J86" i="79"/>
  <c r="I86" i="79"/>
  <c r="H86" i="79"/>
  <c r="K85" i="79"/>
  <c r="J85" i="79"/>
  <c r="I85" i="79"/>
  <c r="H85" i="79"/>
  <c r="K84" i="79"/>
  <c r="J84" i="79"/>
  <c r="I84" i="79"/>
  <c r="H84" i="79"/>
  <c r="K83" i="79"/>
  <c r="J83" i="79"/>
  <c r="I83" i="79"/>
  <c r="H83" i="79"/>
  <c r="K82" i="79"/>
  <c r="J82" i="79"/>
  <c r="I82" i="79"/>
  <c r="H82" i="79"/>
  <c r="K81" i="79"/>
  <c r="J81" i="79"/>
  <c r="I81" i="79"/>
  <c r="H81" i="79"/>
  <c r="K80" i="79"/>
  <c r="J80" i="79"/>
  <c r="I80" i="79"/>
  <c r="H80" i="79"/>
  <c r="K79" i="79"/>
  <c r="J79" i="79"/>
  <c r="I79" i="79"/>
  <c r="H79" i="79"/>
  <c r="K78" i="79"/>
  <c r="J78" i="79"/>
  <c r="I78" i="79"/>
  <c r="H78" i="79"/>
  <c r="K77" i="79"/>
  <c r="J77" i="79"/>
  <c r="I77" i="79"/>
  <c r="H77" i="79"/>
  <c r="K76" i="79"/>
  <c r="J76" i="79"/>
  <c r="I76" i="79"/>
  <c r="H76" i="79"/>
  <c r="K75" i="79"/>
  <c r="J75" i="79"/>
  <c r="I75" i="79"/>
  <c r="H75" i="79"/>
  <c r="K74" i="79"/>
  <c r="J74" i="79"/>
  <c r="I74" i="79"/>
  <c r="H74" i="79"/>
  <c r="K73" i="79"/>
  <c r="J73" i="79"/>
  <c r="I73" i="79"/>
  <c r="H73" i="79"/>
  <c r="K72" i="79"/>
  <c r="J72" i="79"/>
  <c r="I72" i="79"/>
  <c r="H72" i="79"/>
  <c r="K71" i="79"/>
  <c r="J71" i="79"/>
  <c r="I71" i="79"/>
  <c r="H71" i="79"/>
  <c r="K70" i="79"/>
  <c r="J70" i="79"/>
  <c r="I70" i="79"/>
  <c r="H70" i="79"/>
  <c r="K69" i="79"/>
  <c r="J69" i="79"/>
  <c r="I69" i="79"/>
  <c r="H69" i="79"/>
  <c r="K68" i="79"/>
  <c r="J68" i="79"/>
  <c r="I68" i="79"/>
  <c r="H68" i="79"/>
  <c r="K67" i="79"/>
  <c r="J67" i="79"/>
  <c r="I67" i="79"/>
  <c r="H67" i="79"/>
  <c r="K66" i="79"/>
  <c r="J66" i="79"/>
  <c r="I66" i="79"/>
  <c r="H66" i="79"/>
  <c r="K65" i="79"/>
  <c r="J65" i="79"/>
  <c r="I65" i="79"/>
  <c r="H65" i="79"/>
  <c r="K64" i="79"/>
  <c r="J64" i="79"/>
  <c r="I64" i="79"/>
  <c r="H64" i="79"/>
  <c r="K63" i="79"/>
  <c r="J63" i="79"/>
  <c r="I63" i="79"/>
  <c r="H63" i="79"/>
  <c r="K62" i="79"/>
  <c r="J62" i="79"/>
  <c r="I62" i="79"/>
  <c r="H62" i="79"/>
  <c r="K61" i="79"/>
  <c r="J61" i="79"/>
  <c r="I61" i="79"/>
  <c r="H61" i="79"/>
  <c r="K60" i="79"/>
  <c r="J60" i="79"/>
  <c r="I60" i="79"/>
  <c r="H60" i="79"/>
  <c r="K59" i="79"/>
  <c r="J59" i="79"/>
  <c r="I59" i="79"/>
  <c r="H59" i="79"/>
  <c r="K58" i="79"/>
  <c r="J58" i="79"/>
  <c r="I58" i="79"/>
  <c r="H58" i="79"/>
  <c r="K57" i="79"/>
  <c r="J57" i="79"/>
  <c r="I57" i="79"/>
  <c r="H57" i="79"/>
  <c r="K56" i="79"/>
  <c r="J56" i="79"/>
  <c r="I56" i="79"/>
  <c r="H56" i="79"/>
  <c r="K55" i="79"/>
  <c r="J55" i="79"/>
  <c r="I55" i="79"/>
  <c r="H55" i="79"/>
  <c r="K54" i="79"/>
  <c r="J54" i="79"/>
  <c r="I54" i="79"/>
  <c r="H54" i="79"/>
  <c r="K53" i="79"/>
  <c r="J53" i="79"/>
  <c r="I53" i="79"/>
  <c r="H53" i="79"/>
  <c r="K52" i="79"/>
  <c r="J52" i="79"/>
  <c r="I52" i="79"/>
  <c r="H52" i="79"/>
  <c r="K51" i="79"/>
  <c r="J51" i="79"/>
  <c r="I51" i="79"/>
  <c r="H51" i="79"/>
  <c r="K50" i="79"/>
  <c r="J50" i="79"/>
  <c r="I50" i="79"/>
  <c r="H50" i="79"/>
  <c r="K49" i="79"/>
  <c r="J49" i="79"/>
  <c r="I49" i="79"/>
  <c r="H49" i="79"/>
  <c r="K48" i="79"/>
  <c r="J48" i="79"/>
  <c r="I48" i="79"/>
  <c r="H48" i="79"/>
  <c r="K47" i="79"/>
  <c r="J47" i="79"/>
  <c r="I47" i="79"/>
  <c r="H47" i="79"/>
  <c r="K46" i="79"/>
  <c r="J46" i="79"/>
  <c r="I46" i="79"/>
  <c r="H46" i="79"/>
  <c r="K45" i="79"/>
  <c r="J45" i="79"/>
  <c r="I45" i="79"/>
  <c r="H45" i="79"/>
  <c r="K44" i="79"/>
  <c r="J44" i="79"/>
  <c r="I44" i="79"/>
  <c r="H44" i="79"/>
  <c r="K43" i="79"/>
  <c r="J43" i="79"/>
  <c r="I43" i="79"/>
  <c r="H43" i="79"/>
  <c r="K42" i="79"/>
  <c r="J42" i="79"/>
  <c r="I42" i="79"/>
  <c r="H42" i="79"/>
  <c r="K41" i="79"/>
  <c r="J41" i="79"/>
  <c r="I41" i="79"/>
  <c r="H41" i="79"/>
  <c r="K40" i="79"/>
  <c r="J40" i="79"/>
  <c r="I40" i="79"/>
  <c r="H40" i="79"/>
  <c r="K39" i="79"/>
  <c r="J39" i="79"/>
  <c r="I39" i="79"/>
  <c r="H39" i="79"/>
  <c r="K38" i="79"/>
  <c r="J38" i="79"/>
  <c r="I38" i="79"/>
  <c r="H38" i="79"/>
  <c r="K37" i="79"/>
  <c r="J37" i="79"/>
  <c r="I37" i="79"/>
  <c r="H37" i="79"/>
  <c r="K36" i="79"/>
  <c r="J36" i="79"/>
  <c r="I36" i="79"/>
  <c r="H36" i="79"/>
  <c r="K35" i="79"/>
  <c r="J35" i="79"/>
  <c r="I35" i="79"/>
  <c r="H35" i="79"/>
  <c r="K34" i="79"/>
  <c r="J34" i="79"/>
  <c r="I34" i="79"/>
  <c r="H34" i="79"/>
  <c r="K33" i="79"/>
  <c r="J33" i="79"/>
  <c r="I33" i="79"/>
  <c r="H33" i="79"/>
  <c r="K32" i="79"/>
  <c r="J32" i="79"/>
  <c r="I32" i="79"/>
  <c r="H32" i="79"/>
  <c r="K31" i="79"/>
  <c r="J31" i="79"/>
  <c r="I31" i="79"/>
  <c r="H31" i="79"/>
  <c r="K30" i="79"/>
  <c r="J30" i="79"/>
  <c r="I30" i="79"/>
  <c r="H30" i="79"/>
  <c r="K29" i="79"/>
  <c r="J29" i="79"/>
  <c r="I29" i="79"/>
  <c r="H29" i="79"/>
  <c r="K28" i="79"/>
  <c r="J28" i="79"/>
  <c r="I28" i="79"/>
  <c r="H28" i="79"/>
  <c r="K27" i="79"/>
  <c r="J27" i="79"/>
  <c r="I27" i="79"/>
  <c r="H27" i="79"/>
  <c r="K26" i="79"/>
  <c r="J26" i="79"/>
  <c r="I26" i="79"/>
  <c r="H26" i="79"/>
  <c r="K25" i="79"/>
  <c r="J25" i="79"/>
  <c r="I25" i="79"/>
  <c r="H25" i="79"/>
  <c r="K24" i="79"/>
  <c r="J24" i="79"/>
  <c r="I24" i="79"/>
  <c r="H24" i="79"/>
  <c r="K23" i="79"/>
  <c r="J23" i="79"/>
  <c r="I23" i="79"/>
  <c r="H23" i="79"/>
  <c r="K22" i="79"/>
  <c r="J22" i="79"/>
  <c r="I22" i="79"/>
  <c r="H22" i="79"/>
  <c r="K21" i="79"/>
  <c r="J21" i="79"/>
  <c r="I21" i="79"/>
  <c r="H21" i="79"/>
  <c r="K20" i="79"/>
  <c r="J20" i="79"/>
  <c r="I20" i="79"/>
  <c r="H20" i="79"/>
  <c r="K19" i="79"/>
  <c r="J19" i="79"/>
  <c r="I19" i="79"/>
  <c r="H19" i="79"/>
  <c r="K18" i="79"/>
  <c r="J18" i="79"/>
  <c r="I18" i="79"/>
  <c r="H18" i="79"/>
  <c r="K17" i="79"/>
  <c r="J17" i="79"/>
  <c r="I17" i="79"/>
  <c r="H17" i="79"/>
  <c r="K16" i="79"/>
  <c r="J16" i="79"/>
  <c r="I16" i="79"/>
  <c r="H16" i="79"/>
  <c r="K15" i="79"/>
  <c r="J15" i="79"/>
  <c r="I15" i="79"/>
  <c r="H15" i="79"/>
  <c r="K14" i="79"/>
  <c r="J14" i="79"/>
  <c r="I14" i="79"/>
  <c r="H14" i="79"/>
  <c r="K13" i="79"/>
  <c r="J13" i="79"/>
  <c r="I13" i="79"/>
  <c r="H13" i="79"/>
  <c r="K12" i="79"/>
  <c r="J12" i="79"/>
  <c r="I12" i="79"/>
  <c r="H12" i="79"/>
  <c r="K11" i="79"/>
  <c r="J11" i="79"/>
  <c r="I11" i="79"/>
  <c r="H11" i="79"/>
  <c r="K10" i="79"/>
  <c r="J10" i="79"/>
  <c r="I10" i="79"/>
  <c r="H10" i="79"/>
  <c r="K9" i="79"/>
  <c r="J9" i="79"/>
  <c r="I9" i="79"/>
  <c r="H9" i="79"/>
  <c r="K8" i="79"/>
  <c r="J8" i="79"/>
  <c r="I8" i="79"/>
  <c r="H8" i="79"/>
  <c r="K7" i="79"/>
  <c r="J7" i="79"/>
  <c r="I7" i="79"/>
  <c r="H7" i="79"/>
  <c r="K6" i="79"/>
  <c r="J6" i="79"/>
  <c r="I6" i="79"/>
  <c r="H6" i="79"/>
  <c r="K5" i="79"/>
  <c r="J5" i="79"/>
  <c r="I5" i="79"/>
  <c r="H5" i="79"/>
  <c r="H92" i="118" l="1"/>
  <c r="H124" i="118"/>
  <c r="I17" i="62"/>
  <c r="I21" i="62"/>
  <c r="I33" i="62"/>
  <c r="I37" i="62"/>
  <c r="I49" i="62"/>
  <c r="I53" i="62"/>
  <c r="I65" i="62"/>
  <c r="I69" i="62"/>
  <c r="I81" i="62"/>
  <c r="I85" i="62"/>
  <c r="I97" i="62"/>
  <c r="I101" i="62"/>
  <c r="I113" i="62"/>
  <c r="I117" i="62"/>
  <c r="G6" i="62"/>
  <c r="G7" i="118" s="1"/>
  <c r="G7" i="62"/>
  <c r="G8" i="118" s="1"/>
  <c r="G8" i="62"/>
  <c r="G9" i="118" s="1"/>
  <c r="G9" i="62"/>
  <c r="G10" i="118" s="1"/>
  <c r="G10" i="62"/>
  <c r="G11" i="118" s="1"/>
  <c r="G11" i="62"/>
  <c r="G12" i="118" s="1"/>
  <c r="G12" i="62"/>
  <c r="G13" i="118" s="1"/>
  <c r="G13" i="62"/>
  <c r="G14" i="118" s="1"/>
  <c r="G14" i="62"/>
  <c r="G15" i="118" s="1"/>
  <c r="G15" i="62"/>
  <c r="G16" i="118" s="1"/>
  <c r="G16" i="62"/>
  <c r="G17" i="118" s="1"/>
  <c r="G17" i="62"/>
  <c r="G18" i="118" s="1"/>
  <c r="G18" i="62"/>
  <c r="G19" i="118" s="1"/>
  <c r="G19" i="62"/>
  <c r="G20" i="118" s="1"/>
  <c r="G20" i="62"/>
  <c r="G21" i="118" s="1"/>
  <c r="G21" i="62"/>
  <c r="G22" i="118" s="1"/>
  <c r="G22" i="62"/>
  <c r="G23" i="118" s="1"/>
  <c r="G23" i="62"/>
  <c r="G24" i="118" s="1"/>
  <c r="G24" i="62"/>
  <c r="G25" i="118" s="1"/>
  <c r="G25" i="62"/>
  <c r="G26" i="118" s="1"/>
  <c r="G26" i="62"/>
  <c r="G27" i="118" s="1"/>
  <c r="G27" i="62"/>
  <c r="G28" i="118" s="1"/>
  <c r="G28" i="62"/>
  <c r="G29" i="118" s="1"/>
  <c r="G29" i="62"/>
  <c r="G30" i="118" s="1"/>
  <c r="G30" i="62"/>
  <c r="G31" i="118" s="1"/>
  <c r="G31" i="62"/>
  <c r="G32" i="118" s="1"/>
  <c r="G32" i="62"/>
  <c r="G33" i="118" s="1"/>
  <c r="G33" i="62"/>
  <c r="G34" i="118" s="1"/>
  <c r="G34" i="62"/>
  <c r="G35" i="118" s="1"/>
  <c r="G35" i="62"/>
  <c r="G36" i="118" s="1"/>
  <c r="G36" i="62"/>
  <c r="G37" i="118" s="1"/>
  <c r="G37" i="62"/>
  <c r="G38" i="118" s="1"/>
  <c r="G38" i="62"/>
  <c r="G39" i="118" s="1"/>
  <c r="G39" i="62"/>
  <c r="G40" i="118" s="1"/>
  <c r="G40" i="62"/>
  <c r="G41" i="118" s="1"/>
  <c r="G41" i="62"/>
  <c r="G42" i="118" s="1"/>
  <c r="G42" i="62"/>
  <c r="G43" i="118" s="1"/>
  <c r="G43" i="62"/>
  <c r="G44" i="118" s="1"/>
  <c r="G44" i="62"/>
  <c r="G45" i="118" s="1"/>
  <c r="G45" i="62"/>
  <c r="G46" i="118" s="1"/>
  <c r="G46" i="62"/>
  <c r="G47" i="118" s="1"/>
  <c r="G47" i="62"/>
  <c r="G48" i="118" s="1"/>
  <c r="G48" i="62"/>
  <c r="G49" i="118" s="1"/>
  <c r="G49" i="62"/>
  <c r="G50" i="118" s="1"/>
  <c r="G50" i="62"/>
  <c r="G51" i="118" s="1"/>
  <c r="G51" i="62"/>
  <c r="G52" i="118" s="1"/>
  <c r="G52" i="62"/>
  <c r="G53" i="118" s="1"/>
  <c r="G53" i="62"/>
  <c r="G54" i="118" s="1"/>
  <c r="G54" i="62"/>
  <c r="G55" i="118" s="1"/>
  <c r="G55" i="62"/>
  <c r="G56" i="118" s="1"/>
  <c r="G56" i="62"/>
  <c r="G57" i="118" s="1"/>
  <c r="G57" i="62"/>
  <c r="G58" i="118" s="1"/>
  <c r="G58" i="62"/>
  <c r="G59" i="118" s="1"/>
  <c r="G59" i="62"/>
  <c r="G60" i="118" s="1"/>
  <c r="G60" i="62"/>
  <c r="G61" i="118" s="1"/>
  <c r="G61" i="62"/>
  <c r="G62" i="118" s="1"/>
  <c r="G62" i="62"/>
  <c r="G63" i="118" s="1"/>
  <c r="G63" i="62"/>
  <c r="G64" i="118" s="1"/>
  <c r="G64" i="62"/>
  <c r="G65" i="118" s="1"/>
  <c r="G65" i="62"/>
  <c r="G66" i="118" s="1"/>
  <c r="G66" i="62"/>
  <c r="G67" i="118" s="1"/>
  <c r="G67" i="62"/>
  <c r="G68" i="118" s="1"/>
  <c r="G68" i="62"/>
  <c r="G69" i="118" s="1"/>
  <c r="G69" i="62"/>
  <c r="G70" i="118" s="1"/>
  <c r="G70" i="62"/>
  <c r="G71" i="118" s="1"/>
  <c r="G71" i="62"/>
  <c r="G72" i="118" s="1"/>
  <c r="G72" i="62"/>
  <c r="G73" i="118" s="1"/>
  <c r="G73" i="62"/>
  <c r="G74" i="118" s="1"/>
  <c r="G74" i="62"/>
  <c r="G75" i="118" s="1"/>
  <c r="G75" i="62"/>
  <c r="G76" i="118" s="1"/>
  <c r="G76" i="62"/>
  <c r="G77" i="118" s="1"/>
  <c r="G77" i="62"/>
  <c r="G78" i="118" s="1"/>
  <c r="G78" i="62"/>
  <c r="G79" i="118" s="1"/>
  <c r="G79" i="62"/>
  <c r="G80" i="118" s="1"/>
  <c r="G80" i="62"/>
  <c r="G81" i="118" s="1"/>
  <c r="G81" i="62"/>
  <c r="G82" i="118" s="1"/>
  <c r="G82" i="62"/>
  <c r="G83" i="118" s="1"/>
  <c r="G83" i="62"/>
  <c r="G84" i="118" s="1"/>
  <c r="G84" i="62"/>
  <c r="G85" i="118" s="1"/>
  <c r="G85" i="62"/>
  <c r="G86" i="118" s="1"/>
  <c r="G86" i="62"/>
  <c r="G87" i="118" s="1"/>
  <c r="G87" i="62"/>
  <c r="G88" i="118" s="1"/>
  <c r="G88" i="62"/>
  <c r="G89" i="118" s="1"/>
  <c r="G89" i="62"/>
  <c r="G90" i="118" s="1"/>
  <c r="G90" i="62"/>
  <c r="G91" i="118" s="1"/>
  <c r="G91" i="62"/>
  <c r="G92" i="118" s="1"/>
  <c r="G92" i="62"/>
  <c r="G93" i="118" s="1"/>
  <c r="G93" i="62"/>
  <c r="G94" i="118" s="1"/>
  <c r="G94" i="62"/>
  <c r="G95" i="118" s="1"/>
  <c r="G95" i="62"/>
  <c r="G96" i="118" s="1"/>
  <c r="G96" i="62"/>
  <c r="G97" i="118" s="1"/>
  <c r="G97" i="62"/>
  <c r="G98" i="118" s="1"/>
  <c r="G98" i="62"/>
  <c r="G99" i="118" s="1"/>
  <c r="G99" i="62"/>
  <c r="G100" i="118" s="1"/>
  <c r="G100" i="62"/>
  <c r="G101" i="118" s="1"/>
  <c r="G101" i="62"/>
  <c r="G102" i="118" s="1"/>
  <c r="G102" i="62"/>
  <c r="G103" i="118" s="1"/>
  <c r="G103" i="62"/>
  <c r="G104" i="118" s="1"/>
  <c r="G104" i="62"/>
  <c r="G105" i="118" s="1"/>
  <c r="G105" i="62"/>
  <c r="G106" i="118" s="1"/>
  <c r="G106" i="62"/>
  <c r="G107" i="118" s="1"/>
  <c r="G107" i="62"/>
  <c r="G108" i="118" s="1"/>
  <c r="G108" i="62"/>
  <c r="G109" i="118" s="1"/>
  <c r="G109" i="62"/>
  <c r="G110" i="118" s="1"/>
  <c r="G110" i="62"/>
  <c r="G111" i="118" s="1"/>
  <c r="G111" i="62"/>
  <c r="G112" i="118" s="1"/>
  <c r="G112" i="62"/>
  <c r="G113" i="118" s="1"/>
  <c r="G113" i="62"/>
  <c r="G114" i="118" s="1"/>
  <c r="G114" i="62"/>
  <c r="G115" i="118" s="1"/>
  <c r="G115" i="62"/>
  <c r="G116" i="118" s="1"/>
  <c r="G116" i="62"/>
  <c r="G117" i="118" s="1"/>
  <c r="G117" i="62"/>
  <c r="G118" i="118" s="1"/>
  <c r="G118" i="62"/>
  <c r="G119" i="118" s="1"/>
  <c r="G119" i="62"/>
  <c r="G120" i="118" s="1"/>
  <c r="G120" i="62"/>
  <c r="G121" i="118" s="1"/>
  <c r="G121" i="62"/>
  <c r="G122" i="118" s="1"/>
  <c r="G122" i="62"/>
  <c r="G123" i="118" s="1"/>
  <c r="G123" i="62"/>
  <c r="G124" i="118" s="1"/>
  <c r="G124" i="62"/>
  <c r="G125" i="118" s="1"/>
  <c r="G5" i="62"/>
  <c r="G6" i="118" s="1"/>
  <c r="F6" i="62"/>
  <c r="F7" i="118" s="1"/>
  <c r="F7" i="62"/>
  <c r="F8" i="118" s="1"/>
  <c r="F8" i="62"/>
  <c r="F9" i="118" s="1"/>
  <c r="F9" i="62"/>
  <c r="F10" i="118" s="1"/>
  <c r="F10" i="62"/>
  <c r="F11" i="118" s="1"/>
  <c r="F11" i="62"/>
  <c r="F12" i="118" s="1"/>
  <c r="F12" i="62"/>
  <c r="F13" i="118" s="1"/>
  <c r="F13" i="62"/>
  <c r="F14" i="118" s="1"/>
  <c r="F14" i="62"/>
  <c r="F15" i="118" s="1"/>
  <c r="F15" i="62"/>
  <c r="F16" i="118" s="1"/>
  <c r="F16" i="62"/>
  <c r="F17" i="118" s="1"/>
  <c r="F17" i="62"/>
  <c r="F18" i="118" s="1"/>
  <c r="F18" i="62"/>
  <c r="F19" i="118" s="1"/>
  <c r="F19" i="62"/>
  <c r="F20" i="118" s="1"/>
  <c r="F20" i="62"/>
  <c r="F21" i="118" s="1"/>
  <c r="F21" i="62"/>
  <c r="F22" i="118" s="1"/>
  <c r="F22" i="62"/>
  <c r="F23" i="118" s="1"/>
  <c r="F23" i="62"/>
  <c r="F24" i="118" s="1"/>
  <c r="F24" i="62"/>
  <c r="F25" i="118" s="1"/>
  <c r="F25" i="62"/>
  <c r="F26" i="118" s="1"/>
  <c r="F26" i="62"/>
  <c r="F27" i="118" s="1"/>
  <c r="F27" i="62"/>
  <c r="F28" i="118" s="1"/>
  <c r="F28" i="62"/>
  <c r="F29" i="118" s="1"/>
  <c r="F29" i="62"/>
  <c r="F30" i="118" s="1"/>
  <c r="F30" i="62"/>
  <c r="F31" i="118" s="1"/>
  <c r="F31" i="62"/>
  <c r="F32" i="118" s="1"/>
  <c r="F32" i="62"/>
  <c r="F33" i="118" s="1"/>
  <c r="F33" i="62"/>
  <c r="F34" i="118" s="1"/>
  <c r="F34" i="62"/>
  <c r="F35" i="118" s="1"/>
  <c r="F35" i="62"/>
  <c r="F36" i="118" s="1"/>
  <c r="F36" i="62"/>
  <c r="F37" i="118" s="1"/>
  <c r="F37" i="62"/>
  <c r="F38" i="118" s="1"/>
  <c r="F38" i="62"/>
  <c r="F39" i="118" s="1"/>
  <c r="F39" i="62"/>
  <c r="F40" i="118" s="1"/>
  <c r="F40" i="62"/>
  <c r="F41" i="118" s="1"/>
  <c r="F41" i="62"/>
  <c r="F42" i="118" s="1"/>
  <c r="F42" i="62"/>
  <c r="F43" i="118" s="1"/>
  <c r="F43" i="62"/>
  <c r="F44" i="118" s="1"/>
  <c r="F44" i="62"/>
  <c r="F45" i="118" s="1"/>
  <c r="F45" i="62"/>
  <c r="F46" i="118" s="1"/>
  <c r="F46" i="62"/>
  <c r="F47" i="118" s="1"/>
  <c r="F47" i="62"/>
  <c r="F48" i="118" s="1"/>
  <c r="F48" i="62"/>
  <c r="F49" i="118" s="1"/>
  <c r="F49" i="62"/>
  <c r="F50" i="118" s="1"/>
  <c r="F50" i="62"/>
  <c r="F51" i="118" s="1"/>
  <c r="F51" i="62"/>
  <c r="F52" i="118" s="1"/>
  <c r="F52" i="62"/>
  <c r="F53" i="118" s="1"/>
  <c r="F53" i="62"/>
  <c r="F54" i="118" s="1"/>
  <c r="F54" i="62"/>
  <c r="F55" i="118" s="1"/>
  <c r="F55" i="62"/>
  <c r="F56" i="118" s="1"/>
  <c r="F56" i="62"/>
  <c r="F57" i="118" s="1"/>
  <c r="F57" i="62"/>
  <c r="F58" i="118" s="1"/>
  <c r="F58" i="62"/>
  <c r="F59" i="118" s="1"/>
  <c r="F59" i="62"/>
  <c r="F60" i="118" s="1"/>
  <c r="F60" i="62"/>
  <c r="F61" i="118" s="1"/>
  <c r="F61" i="62"/>
  <c r="F62" i="118" s="1"/>
  <c r="F62" i="62"/>
  <c r="F63" i="118" s="1"/>
  <c r="F63" i="62"/>
  <c r="F64" i="118" s="1"/>
  <c r="F64" i="62"/>
  <c r="F65" i="118" s="1"/>
  <c r="F65" i="62"/>
  <c r="F66" i="118" s="1"/>
  <c r="F66" i="62"/>
  <c r="F67" i="118" s="1"/>
  <c r="F67" i="62"/>
  <c r="F68" i="118" s="1"/>
  <c r="F68" i="62"/>
  <c r="F69" i="118" s="1"/>
  <c r="F69" i="62"/>
  <c r="F70" i="118" s="1"/>
  <c r="F70" i="62"/>
  <c r="F71" i="118" s="1"/>
  <c r="F71" i="62"/>
  <c r="F72" i="118" s="1"/>
  <c r="F72" i="62"/>
  <c r="F73" i="118" s="1"/>
  <c r="F73" i="62"/>
  <c r="F74" i="118" s="1"/>
  <c r="F74" i="62"/>
  <c r="F75" i="118" s="1"/>
  <c r="F75" i="62"/>
  <c r="F76" i="118" s="1"/>
  <c r="F76" i="62"/>
  <c r="F77" i="118" s="1"/>
  <c r="F77" i="62"/>
  <c r="F78" i="118" s="1"/>
  <c r="F78" i="62"/>
  <c r="F79" i="118" s="1"/>
  <c r="F79" i="62"/>
  <c r="F80" i="118" s="1"/>
  <c r="F80" i="62"/>
  <c r="F81" i="118" s="1"/>
  <c r="F81" i="62"/>
  <c r="F82" i="118" s="1"/>
  <c r="F82" i="62"/>
  <c r="F83" i="118" s="1"/>
  <c r="F83" i="62"/>
  <c r="F84" i="118" s="1"/>
  <c r="F84" i="62"/>
  <c r="F85" i="118" s="1"/>
  <c r="F85" i="62"/>
  <c r="F86" i="118" s="1"/>
  <c r="F86" i="62"/>
  <c r="F87" i="118" s="1"/>
  <c r="F87" i="62"/>
  <c r="F88" i="118" s="1"/>
  <c r="F88" i="62"/>
  <c r="F89" i="118" s="1"/>
  <c r="F89" i="62"/>
  <c r="F90" i="118" s="1"/>
  <c r="F90" i="62"/>
  <c r="F91" i="118" s="1"/>
  <c r="F91" i="62"/>
  <c r="F92" i="118" s="1"/>
  <c r="F92" i="62"/>
  <c r="F93" i="118" s="1"/>
  <c r="F93" i="62"/>
  <c r="F94" i="118" s="1"/>
  <c r="F94" i="62"/>
  <c r="F95" i="118" s="1"/>
  <c r="F95" i="62"/>
  <c r="F96" i="118" s="1"/>
  <c r="F96" i="62"/>
  <c r="F97" i="118" s="1"/>
  <c r="F97" i="62"/>
  <c r="F98" i="118" s="1"/>
  <c r="F98" i="62"/>
  <c r="F99" i="118" s="1"/>
  <c r="F99" i="62"/>
  <c r="F100" i="118" s="1"/>
  <c r="F100" i="62"/>
  <c r="F101" i="118" s="1"/>
  <c r="F101" i="62"/>
  <c r="F102" i="118" s="1"/>
  <c r="F102" i="62"/>
  <c r="F103" i="118" s="1"/>
  <c r="F103" i="62"/>
  <c r="F104" i="118" s="1"/>
  <c r="F104" i="62"/>
  <c r="F105" i="118" s="1"/>
  <c r="F105" i="62"/>
  <c r="F106" i="118" s="1"/>
  <c r="F106" i="62"/>
  <c r="F107" i="118" s="1"/>
  <c r="F107" i="62"/>
  <c r="F108" i="118" s="1"/>
  <c r="F108" i="62"/>
  <c r="F109" i="118" s="1"/>
  <c r="F109" i="62"/>
  <c r="F110" i="118" s="1"/>
  <c r="F110" i="62"/>
  <c r="F111" i="118" s="1"/>
  <c r="F111" i="62"/>
  <c r="F112" i="118" s="1"/>
  <c r="F112" i="62"/>
  <c r="F113" i="118" s="1"/>
  <c r="F113" i="62"/>
  <c r="F114" i="118" s="1"/>
  <c r="F114" i="62"/>
  <c r="F115" i="118" s="1"/>
  <c r="F115" i="62"/>
  <c r="F116" i="118" s="1"/>
  <c r="F116" i="62"/>
  <c r="F117" i="118" s="1"/>
  <c r="F117" i="62"/>
  <c r="F118" i="118" s="1"/>
  <c r="F118" i="62"/>
  <c r="F119" i="118" s="1"/>
  <c r="F119" i="62"/>
  <c r="F120" i="118" s="1"/>
  <c r="F120" i="62"/>
  <c r="F121" i="118" s="1"/>
  <c r="F121" i="62"/>
  <c r="F122" i="118" s="1"/>
  <c r="F122" i="62"/>
  <c r="F123" i="118" s="1"/>
  <c r="F123" i="62"/>
  <c r="F124" i="118" s="1"/>
  <c r="F124" i="62"/>
  <c r="F125" i="118" s="1"/>
  <c r="F5" i="62"/>
  <c r="F6" i="118" s="1"/>
  <c r="E6" i="62"/>
  <c r="E7" i="118" s="1"/>
  <c r="E7" i="62"/>
  <c r="E8" i="118" s="1"/>
  <c r="E8" i="62"/>
  <c r="E9" i="118" s="1"/>
  <c r="E9" i="62"/>
  <c r="E10" i="118" s="1"/>
  <c r="E10" i="62"/>
  <c r="E11" i="118" s="1"/>
  <c r="E11" i="62"/>
  <c r="E12" i="118" s="1"/>
  <c r="E12" i="62"/>
  <c r="E13" i="118" s="1"/>
  <c r="E13" i="62"/>
  <c r="E14" i="118" s="1"/>
  <c r="E14" i="62"/>
  <c r="E15" i="118" s="1"/>
  <c r="E15" i="62"/>
  <c r="E16" i="118" s="1"/>
  <c r="E16" i="62"/>
  <c r="E17" i="118" s="1"/>
  <c r="E17" i="62"/>
  <c r="E18" i="118" s="1"/>
  <c r="E18" i="62"/>
  <c r="E19" i="118" s="1"/>
  <c r="E19" i="62"/>
  <c r="E20" i="118" s="1"/>
  <c r="E20" i="62"/>
  <c r="E21" i="118" s="1"/>
  <c r="E21" i="62"/>
  <c r="E22" i="118" s="1"/>
  <c r="E22" i="62"/>
  <c r="E23" i="118" s="1"/>
  <c r="E23" i="62"/>
  <c r="E24" i="118" s="1"/>
  <c r="E24" i="62"/>
  <c r="E25" i="118" s="1"/>
  <c r="E25" i="62"/>
  <c r="E26" i="118" s="1"/>
  <c r="E26" i="62"/>
  <c r="E27" i="118" s="1"/>
  <c r="E27" i="62"/>
  <c r="E28" i="118" s="1"/>
  <c r="E28" i="62"/>
  <c r="E29" i="118" s="1"/>
  <c r="E29" i="62"/>
  <c r="E30" i="118" s="1"/>
  <c r="E30" i="62"/>
  <c r="E31" i="118" s="1"/>
  <c r="E31" i="62"/>
  <c r="E32" i="118" s="1"/>
  <c r="E32" i="62"/>
  <c r="E33" i="118" s="1"/>
  <c r="E33" i="62"/>
  <c r="E34" i="118" s="1"/>
  <c r="E34" i="62"/>
  <c r="E35" i="118" s="1"/>
  <c r="E35" i="62"/>
  <c r="E36" i="118" s="1"/>
  <c r="E36" i="62"/>
  <c r="E37" i="118" s="1"/>
  <c r="E37" i="62"/>
  <c r="E38" i="118" s="1"/>
  <c r="E38" i="62"/>
  <c r="E39" i="118" s="1"/>
  <c r="E39" i="62"/>
  <c r="E40" i="118" s="1"/>
  <c r="E40" i="62"/>
  <c r="E41" i="118" s="1"/>
  <c r="E41" i="62"/>
  <c r="E42" i="118" s="1"/>
  <c r="E42" i="62"/>
  <c r="E43" i="118" s="1"/>
  <c r="E43" i="62"/>
  <c r="E44" i="118" s="1"/>
  <c r="E44" i="62"/>
  <c r="E45" i="118" s="1"/>
  <c r="E45" i="62"/>
  <c r="E46" i="118" s="1"/>
  <c r="E46" i="62"/>
  <c r="E47" i="118" s="1"/>
  <c r="E47" i="62"/>
  <c r="E48" i="118" s="1"/>
  <c r="E48" i="62"/>
  <c r="E49" i="118" s="1"/>
  <c r="E49" i="62"/>
  <c r="E50" i="118" s="1"/>
  <c r="E50" i="62"/>
  <c r="E51" i="118" s="1"/>
  <c r="E51" i="62"/>
  <c r="E52" i="118" s="1"/>
  <c r="E52" i="62"/>
  <c r="E53" i="118" s="1"/>
  <c r="E53" i="62"/>
  <c r="E54" i="118" s="1"/>
  <c r="E54" i="62"/>
  <c r="E55" i="118" s="1"/>
  <c r="E55" i="62"/>
  <c r="E56" i="118" s="1"/>
  <c r="E56" i="62"/>
  <c r="E57" i="118" s="1"/>
  <c r="E57" i="62"/>
  <c r="E58" i="118" s="1"/>
  <c r="E58" i="62"/>
  <c r="E59" i="118" s="1"/>
  <c r="E59" i="62"/>
  <c r="E60" i="118" s="1"/>
  <c r="E60" i="62"/>
  <c r="E61" i="118" s="1"/>
  <c r="E61" i="62"/>
  <c r="E62" i="118" s="1"/>
  <c r="E62" i="62"/>
  <c r="E63" i="118" s="1"/>
  <c r="E63" i="62"/>
  <c r="E64" i="118" s="1"/>
  <c r="E64" i="62"/>
  <c r="E65" i="118" s="1"/>
  <c r="E65" i="62"/>
  <c r="E66" i="118" s="1"/>
  <c r="E66" i="62"/>
  <c r="E67" i="118" s="1"/>
  <c r="E67" i="62"/>
  <c r="E68" i="118" s="1"/>
  <c r="E68" i="62"/>
  <c r="E69" i="118" s="1"/>
  <c r="E69" i="62"/>
  <c r="E70" i="118" s="1"/>
  <c r="E70" i="62"/>
  <c r="E71" i="118" s="1"/>
  <c r="E71" i="62"/>
  <c r="E72" i="118" s="1"/>
  <c r="E72" i="62"/>
  <c r="E73" i="118" s="1"/>
  <c r="E73" i="62"/>
  <c r="E74" i="118" s="1"/>
  <c r="E74" i="62"/>
  <c r="E75" i="118" s="1"/>
  <c r="E75" i="62"/>
  <c r="E76" i="118" s="1"/>
  <c r="E76" i="62"/>
  <c r="E77" i="118" s="1"/>
  <c r="E77" i="62"/>
  <c r="E78" i="118" s="1"/>
  <c r="E78" i="62"/>
  <c r="E79" i="118" s="1"/>
  <c r="E79" i="62"/>
  <c r="E80" i="118" s="1"/>
  <c r="E80" i="62"/>
  <c r="E81" i="118" s="1"/>
  <c r="E81" i="62"/>
  <c r="E82" i="118" s="1"/>
  <c r="E82" i="62"/>
  <c r="E83" i="118" s="1"/>
  <c r="E83" i="62"/>
  <c r="E84" i="118" s="1"/>
  <c r="E84" i="62"/>
  <c r="E85" i="118" s="1"/>
  <c r="E85" i="62"/>
  <c r="E86" i="118" s="1"/>
  <c r="E86" i="62"/>
  <c r="E87" i="118" s="1"/>
  <c r="E87" i="62"/>
  <c r="E88" i="118" s="1"/>
  <c r="E88" i="62"/>
  <c r="E89" i="118" s="1"/>
  <c r="E89" i="62"/>
  <c r="E90" i="118" s="1"/>
  <c r="E90" i="62"/>
  <c r="E91" i="118" s="1"/>
  <c r="E91" i="62"/>
  <c r="E92" i="118" s="1"/>
  <c r="E92" i="62"/>
  <c r="E93" i="118" s="1"/>
  <c r="E93" i="62"/>
  <c r="E94" i="118" s="1"/>
  <c r="E94" i="62"/>
  <c r="E95" i="118" s="1"/>
  <c r="E95" i="62"/>
  <c r="E96" i="118" s="1"/>
  <c r="E96" i="62"/>
  <c r="E97" i="118" s="1"/>
  <c r="E97" i="62"/>
  <c r="E98" i="118" s="1"/>
  <c r="E98" i="62"/>
  <c r="E99" i="118" s="1"/>
  <c r="E99" i="62"/>
  <c r="E100" i="118" s="1"/>
  <c r="E100" i="62"/>
  <c r="E101" i="118" s="1"/>
  <c r="E101" i="62"/>
  <c r="E102" i="118" s="1"/>
  <c r="E102" i="62"/>
  <c r="E103" i="118" s="1"/>
  <c r="E103" i="62"/>
  <c r="E104" i="118" s="1"/>
  <c r="E104" i="62"/>
  <c r="E105" i="118" s="1"/>
  <c r="E105" i="62"/>
  <c r="E106" i="118" s="1"/>
  <c r="E106" i="62"/>
  <c r="E107" i="118" s="1"/>
  <c r="E107" i="62"/>
  <c r="E108" i="118" s="1"/>
  <c r="E108" i="62"/>
  <c r="E109" i="118" s="1"/>
  <c r="E109" i="62"/>
  <c r="E110" i="118" s="1"/>
  <c r="E110" i="62"/>
  <c r="E111" i="118" s="1"/>
  <c r="E111" i="62"/>
  <c r="E112" i="118" s="1"/>
  <c r="E112" i="62"/>
  <c r="E113" i="118" s="1"/>
  <c r="E113" i="62"/>
  <c r="E114" i="118" s="1"/>
  <c r="E114" i="62"/>
  <c r="E115" i="118" s="1"/>
  <c r="E115" i="62"/>
  <c r="E116" i="118" s="1"/>
  <c r="E116" i="62"/>
  <c r="E117" i="118" s="1"/>
  <c r="E117" i="62"/>
  <c r="E118" i="118" s="1"/>
  <c r="E118" i="62"/>
  <c r="E119" i="118" s="1"/>
  <c r="E119" i="62"/>
  <c r="E120" i="118" s="1"/>
  <c r="E120" i="62"/>
  <c r="E121" i="118" s="1"/>
  <c r="E121" i="62"/>
  <c r="E122" i="118" s="1"/>
  <c r="E122" i="62"/>
  <c r="E123" i="118" s="1"/>
  <c r="E123" i="62"/>
  <c r="E124" i="118" s="1"/>
  <c r="E124" i="62"/>
  <c r="E125" i="118" s="1"/>
  <c r="E5" i="62"/>
  <c r="E6" i="118" s="1"/>
  <c r="D6" i="62"/>
  <c r="D7" i="118" s="1"/>
  <c r="H7" i="118" s="1"/>
  <c r="D7" i="62"/>
  <c r="D8" i="118" s="1"/>
  <c r="H8" i="118" s="1"/>
  <c r="D8" i="62"/>
  <c r="D9" i="118" s="1"/>
  <c r="H9" i="118" s="1"/>
  <c r="D9" i="62"/>
  <c r="D10" i="118" s="1"/>
  <c r="H10" i="118" s="1"/>
  <c r="D10" i="62"/>
  <c r="D11" i="118" s="1"/>
  <c r="H11" i="118" s="1"/>
  <c r="D11" i="62"/>
  <c r="D12" i="118" s="1"/>
  <c r="H12" i="118" s="1"/>
  <c r="D12" i="62"/>
  <c r="D13" i="118" s="1"/>
  <c r="H13" i="118" s="1"/>
  <c r="D13" i="62"/>
  <c r="D14" i="118" s="1"/>
  <c r="H14" i="118" s="1"/>
  <c r="D14" i="62"/>
  <c r="D15" i="118" s="1"/>
  <c r="H15" i="118" s="1"/>
  <c r="D15" i="62"/>
  <c r="D16" i="118" s="1"/>
  <c r="H16" i="118" s="1"/>
  <c r="D16" i="62"/>
  <c r="D17" i="118" s="1"/>
  <c r="H17" i="118" s="1"/>
  <c r="D17" i="62"/>
  <c r="D18" i="118" s="1"/>
  <c r="H18" i="118" s="1"/>
  <c r="D18" i="62"/>
  <c r="D19" i="118" s="1"/>
  <c r="H19" i="118" s="1"/>
  <c r="D19" i="62"/>
  <c r="D20" i="118" s="1"/>
  <c r="H20" i="118" s="1"/>
  <c r="D20" i="62"/>
  <c r="D21" i="118" s="1"/>
  <c r="H21" i="118" s="1"/>
  <c r="D21" i="62"/>
  <c r="D22" i="118" s="1"/>
  <c r="H22" i="118" s="1"/>
  <c r="D22" i="62"/>
  <c r="D23" i="118" s="1"/>
  <c r="H23" i="118" s="1"/>
  <c r="D23" i="62"/>
  <c r="D24" i="118" s="1"/>
  <c r="H24" i="118" s="1"/>
  <c r="D24" i="62"/>
  <c r="D25" i="118" s="1"/>
  <c r="H25" i="118" s="1"/>
  <c r="D25" i="62"/>
  <c r="D26" i="118" s="1"/>
  <c r="H26" i="118" s="1"/>
  <c r="D26" i="62"/>
  <c r="D27" i="118" s="1"/>
  <c r="H27" i="118" s="1"/>
  <c r="D27" i="62"/>
  <c r="D28" i="118" s="1"/>
  <c r="H28" i="118" s="1"/>
  <c r="D28" i="62"/>
  <c r="D29" i="118" s="1"/>
  <c r="H29" i="118" s="1"/>
  <c r="D29" i="62"/>
  <c r="D30" i="118" s="1"/>
  <c r="H30" i="118" s="1"/>
  <c r="D30" i="62"/>
  <c r="D31" i="118" s="1"/>
  <c r="H31" i="118" s="1"/>
  <c r="D31" i="62"/>
  <c r="D32" i="118" s="1"/>
  <c r="H32" i="118" s="1"/>
  <c r="D32" i="62"/>
  <c r="D33" i="118" s="1"/>
  <c r="H33" i="118" s="1"/>
  <c r="D33" i="62"/>
  <c r="D34" i="118" s="1"/>
  <c r="H34" i="118" s="1"/>
  <c r="D34" i="62"/>
  <c r="D35" i="118" s="1"/>
  <c r="H35" i="118" s="1"/>
  <c r="D35" i="62"/>
  <c r="D36" i="118" s="1"/>
  <c r="H36" i="118" s="1"/>
  <c r="D36" i="62"/>
  <c r="D37" i="118" s="1"/>
  <c r="H37" i="118" s="1"/>
  <c r="D37" i="62"/>
  <c r="D38" i="118" s="1"/>
  <c r="H38" i="118" s="1"/>
  <c r="D38" i="62"/>
  <c r="D39" i="118" s="1"/>
  <c r="H39" i="118" s="1"/>
  <c r="D39" i="62"/>
  <c r="D40" i="118" s="1"/>
  <c r="H40" i="118" s="1"/>
  <c r="D40" i="62"/>
  <c r="D41" i="118" s="1"/>
  <c r="H41" i="118" s="1"/>
  <c r="D41" i="62"/>
  <c r="D42" i="118" s="1"/>
  <c r="H42" i="118" s="1"/>
  <c r="D42" i="62"/>
  <c r="D43" i="118" s="1"/>
  <c r="H43" i="118" s="1"/>
  <c r="D43" i="62"/>
  <c r="D44" i="118" s="1"/>
  <c r="H44" i="118" s="1"/>
  <c r="D44" i="62"/>
  <c r="D45" i="118" s="1"/>
  <c r="H45" i="118" s="1"/>
  <c r="D45" i="62"/>
  <c r="D46" i="118" s="1"/>
  <c r="H46" i="118" s="1"/>
  <c r="D46" i="62"/>
  <c r="D47" i="118" s="1"/>
  <c r="H47" i="118" s="1"/>
  <c r="D47" i="62"/>
  <c r="D48" i="118" s="1"/>
  <c r="H48" i="118" s="1"/>
  <c r="D48" i="62"/>
  <c r="D49" i="118" s="1"/>
  <c r="H49" i="118" s="1"/>
  <c r="D49" i="62"/>
  <c r="D50" i="118" s="1"/>
  <c r="H50" i="118" s="1"/>
  <c r="D50" i="62"/>
  <c r="D51" i="118" s="1"/>
  <c r="H51" i="118" s="1"/>
  <c r="D51" i="62"/>
  <c r="D52" i="118" s="1"/>
  <c r="H52" i="118" s="1"/>
  <c r="D52" i="62"/>
  <c r="D53" i="118" s="1"/>
  <c r="H53" i="118" s="1"/>
  <c r="D53" i="62"/>
  <c r="D54" i="118" s="1"/>
  <c r="H54" i="118" s="1"/>
  <c r="D54" i="62"/>
  <c r="D55" i="118" s="1"/>
  <c r="H55" i="118" s="1"/>
  <c r="D55" i="62"/>
  <c r="D56" i="118" s="1"/>
  <c r="H56" i="118" s="1"/>
  <c r="D56" i="62"/>
  <c r="D57" i="118" s="1"/>
  <c r="H57" i="118" s="1"/>
  <c r="D57" i="62"/>
  <c r="D58" i="118" s="1"/>
  <c r="H58" i="118" s="1"/>
  <c r="D58" i="62"/>
  <c r="D59" i="118" s="1"/>
  <c r="H59" i="118" s="1"/>
  <c r="D59" i="62"/>
  <c r="D60" i="118" s="1"/>
  <c r="H60" i="118" s="1"/>
  <c r="D60" i="62"/>
  <c r="D61" i="118" s="1"/>
  <c r="H61" i="118" s="1"/>
  <c r="D61" i="62"/>
  <c r="D62" i="118" s="1"/>
  <c r="H62" i="118" s="1"/>
  <c r="D62" i="62"/>
  <c r="D63" i="118" s="1"/>
  <c r="H63" i="118" s="1"/>
  <c r="D63" i="62"/>
  <c r="D64" i="118" s="1"/>
  <c r="H64" i="118" s="1"/>
  <c r="D64" i="62"/>
  <c r="D65" i="118" s="1"/>
  <c r="H65" i="118" s="1"/>
  <c r="D65" i="62"/>
  <c r="D66" i="118" s="1"/>
  <c r="H66" i="118" s="1"/>
  <c r="D66" i="62"/>
  <c r="D67" i="118" s="1"/>
  <c r="H67" i="118" s="1"/>
  <c r="D67" i="62"/>
  <c r="D68" i="118" s="1"/>
  <c r="H68" i="118" s="1"/>
  <c r="D68" i="62"/>
  <c r="D69" i="118" s="1"/>
  <c r="H69" i="118" s="1"/>
  <c r="D69" i="62"/>
  <c r="D70" i="118" s="1"/>
  <c r="H70" i="118" s="1"/>
  <c r="D70" i="62"/>
  <c r="D71" i="118" s="1"/>
  <c r="H71" i="118" s="1"/>
  <c r="D71" i="62"/>
  <c r="D72" i="118" s="1"/>
  <c r="H72" i="118" s="1"/>
  <c r="D72" i="62"/>
  <c r="D73" i="118" s="1"/>
  <c r="H73" i="118" s="1"/>
  <c r="D73" i="62"/>
  <c r="D74" i="118" s="1"/>
  <c r="H74" i="118" s="1"/>
  <c r="D74" i="62"/>
  <c r="D75" i="118" s="1"/>
  <c r="H75" i="118" s="1"/>
  <c r="D75" i="62"/>
  <c r="D76" i="118" s="1"/>
  <c r="H76" i="118" s="1"/>
  <c r="D76" i="62"/>
  <c r="D77" i="118" s="1"/>
  <c r="H77" i="118" s="1"/>
  <c r="D77" i="62"/>
  <c r="D78" i="118" s="1"/>
  <c r="H78" i="118" s="1"/>
  <c r="D78" i="62"/>
  <c r="D79" i="118" s="1"/>
  <c r="H79" i="118" s="1"/>
  <c r="D79" i="62"/>
  <c r="D80" i="118" s="1"/>
  <c r="H80" i="118" s="1"/>
  <c r="D80" i="62"/>
  <c r="D81" i="118" s="1"/>
  <c r="H81" i="118" s="1"/>
  <c r="D81" i="62"/>
  <c r="D82" i="118" s="1"/>
  <c r="H82" i="118" s="1"/>
  <c r="D82" i="62"/>
  <c r="D83" i="118" s="1"/>
  <c r="H83" i="118" s="1"/>
  <c r="D83" i="62"/>
  <c r="D84" i="118" s="1"/>
  <c r="H84" i="118" s="1"/>
  <c r="D84" i="62"/>
  <c r="D85" i="118" s="1"/>
  <c r="H85" i="118" s="1"/>
  <c r="D85" i="62"/>
  <c r="D86" i="118" s="1"/>
  <c r="H86" i="118" s="1"/>
  <c r="D86" i="62"/>
  <c r="D87" i="118" s="1"/>
  <c r="H87" i="118" s="1"/>
  <c r="D87" i="62"/>
  <c r="D88" i="118" s="1"/>
  <c r="H88" i="118" s="1"/>
  <c r="D88" i="62"/>
  <c r="D89" i="118" s="1"/>
  <c r="H89" i="118" s="1"/>
  <c r="D89" i="62"/>
  <c r="D90" i="118" s="1"/>
  <c r="H90" i="118" s="1"/>
  <c r="D90" i="62"/>
  <c r="D91" i="118" s="1"/>
  <c r="H91" i="118" s="1"/>
  <c r="D91" i="62"/>
  <c r="D92" i="118" s="1"/>
  <c r="D92" i="62"/>
  <c r="D93" i="118" s="1"/>
  <c r="H93" i="118" s="1"/>
  <c r="D93" i="62"/>
  <c r="D94" i="118" s="1"/>
  <c r="H94" i="118" s="1"/>
  <c r="D94" i="62"/>
  <c r="D95" i="118" s="1"/>
  <c r="H95" i="118" s="1"/>
  <c r="D95" i="62"/>
  <c r="D96" i="118" s="1"/>
  <c r="H96" i="118" s="1"/>
  <c r="D96" i="62"/>
  <c r="D97" i="118" s="1"/>
  <c r="H97" i="118" s="1"/>
  <c r="D97" i="62"/>
  <c r="D98" i="118" s="1"/>
  <c r="H98" i="118" s="1"/>
  <c r="D98" i="62"/>
  <c r="D99" i="118" s="1"/>
  <c r="H99" i="118" s="1"/>
  <c r="D99" i="62"/>
  <c r="D100" i="118" s="1"/>
  <c r="H100" i="118" s="1"/>
  <c r="D100" i="62"/>
  <c r="D101" i="118" s="1"/>
  <c r="H101" i="118" s="1"/>
  <c r="D101" i="62"/>
  <c r="D102" i="118" s="1"/>
  <c r="H102" i="118" s="1"/>
  <c r="D102" i="62"/>
  <c r="D103" i="118" s="1"/>
  <c r="H103" i="118" s="1"/>
  <c r="D103" i="62"/>
  <c r="D104" i="118" s="1"/>
  <c r="H104" i="118" s="1"/>
  <c r="D104" i="62"/>
  <c r="D105" i="118" s="1"/>
  <c r="H105" i="118" s="1"/>
  <c r="D105" i="62"/>
  <c r="D106" i="118" s="1"/>
  <c r="H106" i="118" s="1"/>
  <c r="D106" i="62"/>
  <c r="D107" i="118" s="1"/>
  <c r="H107" i="118" s="1"/>
  <c r="D107" i="62"/>
  <c r="D108" i="118" s="1"/>
  <c r="H108" i="118" s="1"/>
  <c r="D108" i="62"/>
  <c r="D109" i="118" s="1"/>
  <c r="H109" i="118" s="1"/>
  <c r="D109" i="62"/>
  <c r="D110" i="118" s="1"/>
  <c r="H110" i="118" s="1"/>
  <c r="D110" i="62"/>
  <c r="D111" i="118" s="1"/>
  <c r="H111" i="118" s="1"/>
  <c r="D111" i="62"/>
  <c r="D112" i="118" s="1"/>
  <c r="H112" i="118" s="1"/>
  <c r="D112" i="62"/>
  <c r="D113" i="118" s="1"/>
  <c r="H113" i="118" s="1"/>
  <c r="D113" i="62"/>
  <c r="D114" i="118" s="1"/>
  <c r="H114" i="118" s="1"/>
  <c r="D114" i="62"/>
  <c r="D115" i="118" s="1"/>
  <c r="H115" i="118" s="1"/>
  <c r="D115" i="62"/>
  <c r="D116" i="118" s="1"/>
  <c r="H116" i="118" s="1"/>
  <c r="D116" i="62"/>
  <c r="D117" i="118" s="1"/>
  <c r="H117" i="118" s="1"/>
  <c r="D117" i="62"/>
  <c r="D118" i="118" s="1"/>
  <c r="H118" i="118" s="1"/>
  <c r="D118" i="62"/>
  <c r="D119" i="118" s="1"/>
  <c r="H119" i="118" s="1"/>
  <c r="D119" i="62"/>
  <c r="D120" i="118" s="1"/>
  <c r="H120" i="118" s="1"/>
  <c r="D120" i="62"/>
  <c r="D121" i="118" s="1"/>
  <c r="H121" i="118" s="1"/>
  <c r="D121" i="62"/>
  <c r="D122" i="118" s="1"/>
  <c r="H122" i="118" s="1"/>
  <c r="D122" i="62"/>
  <c r="D123" i="118" s="1"/>
  <c r="H123" i="118" s="1"/>
  <c r="D123" i="62"/>
  <c r="D124" i="118" s="1"/>
  <c r="D124" i="62"/>
  <c r="D125" i="118" s="1"/>
  <c r="H125" i="118" s="1"/>
  <c r="D5" i="62"/>
  <c r="D6" i="118" s="1"/>
  <c r="I109" i="62" l="1"/>
  <c r="I93" i="62"/>
  <c r="I77" i="62"/>
  <c r="I61" i="62"/>
  <c r="I45" i="62"/>
  <c r="I29" i="62"/>
  <c r="I13" i="62"/>
  <c r="I121" i="62"/>
  <c r="I105" i="62"/>
  <c r="I89" i="62"/>
  <c r="I73" i="62"/>
  <c r="I57" i="62"/>
  <c r="I41" i="62"/>
  <c r="I25" i="62"/>
  <c r="I9" i="62"/>
  <c r="I123" i="62"/>
  <c r="I115" i="62"/>
  <c r="I107" i="62"/>
  <c r="I99" i="62"/>
  <c r="I91" i="62"/>
  <c r="I83" i="62"/>
  <c r="I75" i="62"/>
  <c r="I67" i="62"/>
  <c r="I59" i="62"/>
  <c r="I51" i="62"/>
  <c r="I43" i="62"/>
  <c r="I35" i="62"/>
  <c r="I27" i="62"/>
  <c r="I19" i="62"/>
  <c r="I11" i="62"/>
  <c r="I119" i="62"/>
  <c r="I111" i="62"/>
  <c r="I103" i="62"/>
  <c r="I95" i="62"/>
  <c r="I87" i="62"/>
  <c r="I79" i="62"/>
  <c r="I71" i="62"/>
  <c r="I63" i="62"/>
  <c r="I55" i="62"/>
  <c r="I47" i="62"/>
  <c r="I39" i="62"/>
  <c r="I31" i="62"/>
  <c r="I23" i="62"/>
  <c r="I15" i="62"/>
  <c r="I7" i="62"/>
  <c r="I122" i="62"/>
  <c r="I118" i="62"/>
  <c r="I114" i="62"/>
  <c r="I110" i="62"/>
  <c r="I106" i="62"/>
  <c r="I102" i="62"/>
  <c r="I98" i="62"/>
  <c r="I94" i="62"/>
  <c r="I90" i="62"/>
  <c r="I86" i="62"/>
  <c r="I82" i="62"/>
  <c r="I78" i="62"/>
  <c r="I74" i="62"/>
  <c r="I70" i="62"/>
  <c r="I66" i="62"/>
  <c r="I62" i="62"/>
  <c r="I58" i="62"/>
  <c r="I54" i="62"/>
  <c r="I50" i="62"/>
  <c r="I46" i="62"/>
  <c r="I42" i="62"/>
  <c r="I38" i="62"/>
  <c r="I34" i="62"/>
  <c r="I30" i="62"/>
  <c r="I26" i="62"/>
  <c r="I22" i="62"/>
  <c r="I18" i="62"/>
  <c r="I14" i="62"/>
  <c r="I10" i="62"/>
  <c r="I6" i="62"/>
  <c r="I124" i="62"/>
  <c r="I120" i="62"/>
  <c r="I116" i="62"/>
  <c r="I112" i="62"/>
  <c r="I108" i="62"/>
  <c r="I104" i="62"/>
  <c r="I100" i="62"/>
  <c r="I96" i="62"/>
  <c r="I92" i="62"/>
  <c r="I88" i="62"/>
  <c r="I84" i="62"/>
  <c r="I80" i="62"/>
  <c r="I76" i="62"/>
  <c r="I72" i="62"/>
  <c r="I68" i="62"/>
  <c r="I64" i="62"/>
  <c r="I60" i="62"/>
  <c r="I56" i="62"/>
  <c r="I52" i="62"/>
  <c r="I48" i="62"/>
  <c r="I44" i="62"/>
  <c r="I40" i="62"/>
  <c r="I36" i="62"/>
  <c r="I32" i="62"/>
  <c r="I28" i="62"/>
  <c r="I24" i="62"/>
  <c r="I20" i="62"/>
  <c r="I16" i="62"/>
  <c r="I12" i="62"/>
  <c r="I8" i="62"/>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H73" i="53"/>
  <c r="H74" i="53"/>
  <c r="H75" i="53"/>
  <c r="H76" i="53"/>
  <c r="H77" i="53"/>
  <c r="H78" i="53"/>
  <c r="H79" i="53"/>
  <c r="H80" i="53"/>
  <c r="H81" i="53"/>
  <c r="H82" i="53"/>
  <c r="H83"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5" i="53"/>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5" i="53"/>
  <c r="E6" i="53"/>
  <c r="E7" i="53"/>
  <c r="E8" i="53"/>
  <c r="E9" i="53"/>
  <c r="E10" i="53"/>
  <c r="E11" i="53"/>
  <c r="E12" i="53"/>
  <c r="E13" i="53"/>
  <c r="E14" i="53"/>
  <c r="E15" i="53"/>
  <c r="E16" i="53"/>
  <c r="E17" i="53"/>
  <c r="E18" i="53"/>
  <c r="E19" i="53"/>
  <c r="E20" i="53"/>
  <c r="E21" i="53"/>
  <c r="E22" i="53"/>
  <c r="E23" i="53"/>
  <c r="E24" i="53"/>
  <c r="E25" i="53"/>
  <c r="E26" i="53"/>
  <c r="E27" i="53"/>
  <c r="E28" i="53"/>
  <c r="E29" i="53"/>
  <c r="E30" i="53"/>
  <c r="E31" i="53"/>
  <c r="E32" i="53"/>
  <c r="E33" i="53"/>
  <c r="E34" i="53"/>
  <c r="E35" i="53"/>
  <c r="E36" i="53"/>
  <c r="E37" i="53"/>
  <c r="E38" i="53"/>
  <c r="E39" i="53"/>
  <c r="E40" i="53"/>
  <c r="E41" i="53"/>
  <c r="E42" i="53"/>
  <c r="E43" i="53"/>
  <c r="E44" i="53"/>
  <c r="E45" i="53"/>
  <c r="E46" i="53"/>
  <c r="E47" i="53"/>
  <c r="E48" i="53"/>
  <c r="E49" i="53"/>
  <c r="E50" i="53"/>
  <c r="E51" i="53"/>
  <c r="E52" i="53"/>
  <c r="E53" i="53"/>
  <c r="E54" i="53"/>
  <c r="E55" i="53"/>
  <c r="E56" i="53"/>
  <c r="E57" i="53"/>
  <c r="E58" i="53"/>
  <c r="E59" i="53"/>
  <c r="E60" i="53"/>
  <c r="E61" i="53"/>
  <c r="E62" i="53"/>
  <c r="E63" i="53"/>
  <c r="E64" i="53"/>
  <c r="E65" i="53"/>
  <c r="E66" i="53"/>
  <c r="E67" i="53"/>
  <c r="E68" i="53"/>
  <c r="E69" i="53"/>
  <c r="E70" i="53"/>
  <c r="E71" i="53"/>
  <c r="E72" i="53"/>
  <c r="E73" i="53"/>
  <c r="E74" i="53"/>
  <c r="E75" i="53"/>
  <c r="E76" i="53"/>
  <c r="E77" i="53"/>
  <c r="E78" i="53"/>
  <c r="E79" i="53"/>
  <c r="E80" i="53"/>
  <c r="E81" i="53"/>
  <c r="E82" i="53"/>
  <c r="E83" i="53"/>
  <c r="E84" i="53"/>
  <c r="E85" i="53"/>
  <c r="E86" i="53"/>
  <c r="E87" i="53"/>
  <c r="E88" i="53"/>
  <c r="E89" i="53"/>
  <c r="E90" i="53"/>
  <c r="E91" i="53"/>
  <c r="E92" i="53"/>
  <c r="E93" i="53"/>
  <c r="E94" i="53"/>
  <c r="E95" i="53"/>
  <c r="E96" i="53"/>
  <c r="E97" i="53"/>
  <c r="E98" i="53"/>
  <c r="E99" i="53"/>
  <c r="E100" i="53"/>
  <c r="E101" i="53"/>
  <c r="E102" i="53"/>
  <c r="E103" i="53"/>
  <c r="E104" i="53"/>
  <c r="E105" i="53"/>
  <c r="E106" i="53"/>
  <c r="E107" i="53"/>
  <c r="E108" i="53"/>
  <c r="E109" i="53"/>
  <c r="E110" i="53"/>
  <c r="E111" i="53"/>
  <c r="E112" i="53"/>
  <c r="E113" i="53"/>
  <c r="E114" i="53"/>
  <c r="E115" i="53"/>
  <c r="E116" i="53"/>
  <c r="E117" i="53"/>
  <c r="E118" i="53"/>
  <c r="E119" i="53"/>
  <c r="E120" i="53"/>
  <c r="E121" i="53"/>
  <c r="E122" i="53"/>
  <c r="E123" i="53"/>
  <c r="E124" i="53"/>
  <c r="E5"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5" i="53"/>
  <c r="AO124" i="53"/>
  <c r="AO123" i="53"/>
  <c r="AO122" i="53"/>
  <c r="AO121" i="53"/>
  <c r="AO120" i="53"/>
  <c r="AO119" i="53"/>
  <c r="AO118" i="53"/>
  <c r="AO117" i="53"/>
  <c r="AO116" i="53"/>
  <c r="AO115" i="53"/>
  <c r="AO114" i="53"/>
  <c r="AO113" i="53"/>
  <c r="AO112" i="53"/>
  <c r="AO111" i="53"/>
  <c r="AO110" i="53"/>
  <c r="AO109" i="53"/>
  <c r="AO108" i="53"/>
  <c r="AO107" i="53"/>
  <c r="AO106" i="53"/>
  <c r="AO105" i="53"/>
  <c r="AO104" i="53"/>
  <c r="AO103" i="53"/>
  <c r="AO102" i="53"/>
  <c r="AO101" i="53"/>
  <c r="AO100" i="53"/>
  <c r="AO99" i="53"/>
  <c r="AO98" i="53"/>
  <c r="AO97" i="53"/>
  <c r="AO96" i="53"/>
  <c r="AO95" i="53"/>
  <c r="AO94" i="53"/>
  <c r="AO93" i="53"/>
  <c r="AO92" i="53"/>
  <c r="AO91" i="53"/>
  <c r="AO90" i="53"/>
  <c r="AO89" i="53"/>
  <c r="AO88" i="53"/>
  <c r="AO87" i="53"/>
  <c r="AO86" i="53"/>
  <c r="AO85" i="53"/>
  <c r="AO84" i="53"/>
  <c r="AO83" i="53"/>
  <c r="AO82" i="53"/>
  <c r="AO81" i="53"/>
  <c r="AO80" i="53"/>
  <c r="AO79" i="53"/>
  <c r="AO78" i="53"/>
  <c r="AO77" i="53"/>
  <c r="AO76" i="53"/>
  <c r="AO75" i="53"/>
  <c r="AO74" i="53"/>
  <c r="AO73" i="53"/>
  <c r="AO72" i="53"/>
  <c r="AO71" i="53"/>
  <c r="AO70" i="53"/>
  <c r="AO69" i="53"/>
  <c r="AO68" i="53"/>
  <c r="AO67" i="53"/>
  <c r="AO66" i="53"/>
  <c r="AO65" i="53"/>
  <c r="AO64" i="53"/>
  <c r="AO63" i="53"/>
  <c r="AO62" i="53"/>
  <c r="AO61" i="53"/>
  <c r="AO60" i="53"/>
  <c r="AO59" i="53"/>
  <c r="AO58" i="53"/>
  <c r="AO57" i="53"/>
  <c r="AO56" i="53"/>
  <c r="AO55" i="53"/>
  <c r="AO54" i="53"/>
  <c r="AO53" i="53"/>
  <c r="AO52" i="53"/>
  <c r="AO51" i="53"/>
  <c r="AO50" i="53"/>
  <c r="AO49" i="53"/>
  <c r="AO48" i="53"/>
  <c r="AO47" i="53"/>
  <c r="AO46" i="53"/>
  <c r="AO45" i="53"/>
  <c r="AO44" i="53"/>
  <c r="AO43" i="53"/>
  <c r="AO42" i="53"/>
  <c r="AO41" i="53"/>
  <c r="AO40" i="53"/>
  <c r="AO39" i="53"/>
  <c r="AO38" i="53"/>
  <c r="AO37" i="53"/>
  <c r="AO36" i="53"/>
  <c r="AO35" i="53"/>
  <c r="AO34" i="53"/>
  <c r="AO33" i="53"/>
  <c r="AO32" i="53"/>
  <c r="AO31" i="53"/>
  <c r="AO30" i="53"/>
  <c r="AO29" i="53"/>
  <c r="AO28" i="53"/>
  <c r="AO27" i="53"/>
  <c r="AO26" i="53"/>
  <c r="AO25" i="53"/>
  <c r="AO24" i="53"/>
  <c r="AO23" i="53"/>
  <c r="AO22" i="53"/>
  <c r="AO21" i="53"/>
  <c r="AO20" i="53"/>
  <c r="AO19" i="53"/>
  <c r="AO18" i="53"/>
  <c r="AO17" i="53"/>
  <c r="AO16" i="53"/>
  <c r="AO15" i="53"/>
  <c r="AO14" i="53"/>
  <c r="AO13" i="53"/>
  <c r="AO12" i="53"/>
  <c r="AO11" i="53"/>
  <c r="AO10" i="53"/>
  <c r="AO9" i="53"/>
  <c r="AO8" i="53"/>
  <c r="AO7" i="53"/>
  <c r="AO6" i="53"/>
  <c r="AO5" i="53"/>
  <c r="AN4" i="53"/>
  <c r="AM4" i="53"/>
  <c r="AL4" i="53"/>
  <c r="AK4" i="53"/>
  <c r="AJ4" i="53"/>
  <c r="H6" i="56"/>
  <c r="H7" i="56"/>
  <c r="H8" i="56"/>
  <c r="H9" i="56"/>
  <c r="H10" i="56"/>
  <c r="H11" i="56"/>
  <c r="H12" i="56"/>
  <c r="H13" i="56"/>
  <c r="H14" i="56"/>
  <c r="H15" i="56"/>
  <c r="H16" i="56"/>
  <c r="H17" i="56"/>
  <c r="H18" i="56"/>
  <c r="H19" i="56"/>
  <c r="H20" i="56"/>
  <c r="H21" i="56"/>
  <c r="H22" i="56"/>
  <c r="H23" i="56"/>
  <c r="H24" i="56"/>
  <c r="H25" i="56"/>
  <c r="H26" i="56"/>
  <c r="H27" i="56"/>
  <c r="H28" i="56"/>
  <c r="H29" i="56"/>
  <c r="H30" i="56"/>
  <c r="H31" i="56"/>
  <c r="H32" i="56"/>
  <c r="H33" i="56"/>
  <c r="H34" i="56"/>
  <c r="H35" i="56"/>
  <c r="H36" i="56"/>
  <c r="H37" i="56"/>
  <c r="H38" i="56"/>
  <c r="H39" i="56"/>
  <c r="H40" i="56"/>
  <c r="H41" i="56"/>
  <c r="H42" i="56"/>
  <c r="H43" i="56"/>
  <c r="H44" i="56"/>
  <c r="H45" i="56"/>
  <c r="H46" i="56"/>
  <c r="H47" i="56"/>
  <c r="H48" i="56"/>
  <c r="H49" i="56"/>
  <c r="H50" i="56"/>
  <c r="H51" i="56"/>
  <c r="H52" i="56"/>
  <c r="H53" i="56"/>
  <c r="H54" i="56"/>
  <c r="H55" i="56"/>
  <c r="H56"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111" i="56"/>
  <c r="H112" i="56"/>
  <c r="H113" i="56"/>
  <c r="H114" i="56"/>
  <c r="H115" i="56"/>
  <c r="H116" i="56"/>
  <c r="H117" i="56"/>
  <c r="H118" i="56"/>
  <c r="H119" i="56"/>
  <c r="H120" i="56"/>
  <c r="H121" i="56"/>
  <c r="H122" i="56"/>
  <c r="H123" i="56"/>
  <c r="H124" i="56"/>
  <c r="H5" i="56"/>
  <c r="G6" i="56"/>
  <c r="G7" i="56"/>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5" i="56"/>
  <c r="F6" i="56"/>
  <c r="F7" i="56"/>
  <c r="F8" i="56"/>
  <c r="F9"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111" i="56"/>
  <c r="F112" i="56"/>
  <c r="F113" i="56"/>
  <c r="F114" i="56"/>
  <c r="F115" i="56"/>
  <c r="F116" i="56"/>
  <c r="F117" i="56"/>
  <c r="F118" i="56"/>
  <c r="F119" i="56"/>
  <c r="F120" i="56"/>
  <c r="F121" i="56"/>
  <c r="F122" i="56"/>
  <c r="F123" i="56"/>
  <c r="F124" i="56"/>
  <c r="F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5" i="56"/>
  <c r="D6" i="56"/>
  <c r="D7" i="56"/>
  <c r="D8" i="56"/>
  <c r="D9" i="56"/>
  <c r="D10" i="56"/>
  <c r="D11" i="56"/>
  <c r="D12" i="56"/>
  <c r="D13" i="56"/>
  <c r="D14" i="56"/>
  <c r="D15" i="56"/>
  <c r="D16"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D67" i="56"/>
  <c r="D68" i="56"/>
  <c r="D69" i="56"/>
  <c r="D70" i="56"/>
  <c r="D71" i="56"/>
  <c r="D72" i="56"/>
  <c r="D73" i="56"/>
  <c r="D74" i="56"/>
  <c r="D75" i="56"/>
  <c r="D76" i="56"/>
  <c r="D77" i="56"/>
  <c r="D78" i="56"/>
  <c r="D79" i="56"/>
  <c r="D80" i="56"/>
  <c r="D81" i="56"/>
  <c r="D82" i="56"/>
  <c r="D83" i="56"/>
  <c r="D84" i="56"/>
  <c r="D85" i="56"/>
  <c r="D86" i="56"/>
  <c r="D87" i="56"/>
  <c r="D88" i="56"/>
  <c r="D89" i="56"/>
  <c r="D90" i="56"/>
  <c r="D91" i="56"/>
  <c r="D92" i="56"/>
  <c r="D93" i="56"/>
  <c r="D94" i="56"/>
  <c r="D95" i="56"/>
  <c r="D96" i="56"/>
  <c r="D97" i="56"/>
  <c r="D98" i="56"/>
  <c r="D99" i="56"/>
  <c r="D100" i="56"/>
  <c r="D101" i="56"/>
  <c r="D102" i="56"/>
  <c r="D103" i="56"/>
  <c r="D104" i="56"/>
  <c r="D105" i="56"/>
  <c r="D106" i="56"/>
  <c r="D107" i="56"/>
  <c r="D108" i="56"/>
  <c r="D109" i="56"/>
  <c r="D110" i="56"/>
  <c r="D111" i="56"/>
  <c r="D112" i="56"/>
  <c r="D113" i="56"/>
  <c r="D114" i="56"/>
  <c r="D115" i="56"/>
  <c r="D116" i="56"/>
  <c r="D117" i="56"/>
  <c r="D118" i="56"/>
  <c r="D119" i="56"/>
  <c r="D120" i="56"/>
  <c r="D121" i="56"/>
  <c r="D122" i="56"/>
  <c r="D123" i="56"/>
  <c r="D124" i="56"/>
  <c r="D5" i="56"/>
  <c r="AE89" i="60"/>
  <c r="AO4" i="53" l="1"/>
  <c r="AM131" i="53"/>
  <c r="AL131" i="53"/>
  <c r="AK131" i="53"/>
  <c r="AO128" i="53"/>
  <c r="AJ131" i="53"/>
  <c r="AN131" i="53"/>
  <c r="AO129" i="53"/>
  <c r="AO130" i="53"/>
  <c r="AO126" i="53"/>
  <c r="AO127" i="53"/>
  <c r="D6" i="58"/>
  <c r="D100" i="58"/>
  <c r="D7" i="58"/>
  <c r="D8" i="58"/>
  <c r="D9" i="58"/>
  <c r="D10" i="58"/>
  <c r="D11" i="58"/>
  <c r="D12" i="58"/>
  <c r="D13" i="58"/>
  <c r="D14" i="58"/>
  <c r="D15" i="58"/>
  <c r="D16" i="58"/>
  <c r="D101" i="58"/>
  <c r="D17" i="58"/>
  <c r="D18" i="58"/>
  <c r="D19" i="58"/>
  <c r="D20" i="58"/>
  <c r="D21" i="58"/>
  <c r="D22" i="58"/>
  <c r="D23" i="58"/>
  <c r="D24" i="58"/>
  <c r="D102" i="58"/>
  <c r="D103" i="58"/>
  <c r="D25" i="58"/>
  <c r="D26" i="58"/>
  <c r="D27" i="58"/>
  <c r="D28" i="58"/>
  <c r="D29" i="58"/>
  <c r="D104" i="58"/>
  <c r="D30" i="58"/>
  <c r="D31" i="58"/>
  <c r="D32" i="58"/>
  <c r="D33" i="58"/>
  <c r="D34" i="58"/>
  <c r="D35" i="58"/>
  <c r="D36" i="58"/>
  <c r="D105" i="58"/>
  <c r="D37" i="58"/>
  <c r="D38" i="58"/>
  <c r="D106" i="58"/>
  <c r="D107" i="58"/>
  <c r="D39" i="58"/>
  <c r="D40" i="58"/>
  <c r="D41" i="58"/>
  <c r="D42" i="58"/>
  <c r="D43" i="58"/>
  <c r="D44" i="58"/>
  <c r="D45" i="58"/>
  <c r="D108" i="58"/>
  <c r="D46" i="58"/>
  <c r="D47" i="58"/>
  <c r="D48" i="58"/>
  <c r="D49" i="58"/>
  <c r="D109" i="58"/>
  <c r="D50" i="58"/>
  <c r="D51" i="58"/>
  <c r="D52" i="58"/>
  <c r="D53" i="58"/>
  <c r="D54" i="58"/>
  <c r="D55" i="58"/>
  <c r="D56" i="58"/>
  <c r="D57" i="58"/>
  <c r="D58" i="58"/>
  <c r="D59" i="58"/>
  <c r="D110" i="58"/>
  <c r="D60" i="58"/>
  <c r="D111" i="58"/>
  <c r="D112" i="58"/>
  <c r="D61" i="58"/>
  <c r="D62" i="58"/>
  <c r="D63" i="58"/>
  <c r="D64" i="58"/>
  <c r="D65" i="58"/>
  <c r="D66" i="58"/>
  <c r="D113" i="58"/>
  <c r="D114" i="58"/>
  <c r="D67" i="58"/>
  <c r="D68" i="58"/>
  <c r="D115" i="58"/>
  <c r="D69" i="58"/>
  <c r="D70" i="58"/>
  <c r="D71" i="58"/>
  <c r="D72" i="58"/>
  <c r="D116" i="58"/>
  <c r="D73" i="58"/>
  <c r="D117" i="58"/>
  <c r="D74" i="58"/>
  <c r="D75" i="58"/>
  <c r="D76" i="58"/>
  <c r="D77" i="58"/>
  <c r="D78" i="58"/>
  <c r="D118" i="58"/>
  <c r="D79" i="58"/>
  <c r="D119" i="58"/>
  <c r="D80" i="58"/>
  <c r="D120" i="58"/>
  <c r="D81" i="58"/>
  <c r="D82" i="58"/>
  <c r="D83" i="58"/>
  <c r="D84" i="58"/>
  <c r="D85" i="58"/>
  <c r="D86" i="58"/>
  <c r="D87" i="58"/>
  <c r="D88" i="58"/>
  <c r="D89" i="58"/>
  <c r="D90" i="58"/>
  <c r="D121" i="58"/>
  <c r="D91" i="58"/>
  <c r="D92" i="58"/>
  <c r="D93" i="58"/>
  <c r="D122" i="58"/>
  <c r="D94" i="58"/>
  <c r="D95" i="58"/>
  <c r="D96" i="58"/>
  <c r="D123" i="58"/>
  <c r="D124" i="58"/>
  <c r="D97" i="58"/>
  <c r="D98" i="58"/>
  <c r="D99" i="58"/>
  <c r="D5" i="58"/>
  <c r="AO131" i="53" l="1"/>
  <c r="G6" i="57"/>
  <c r="G100" i="57"/>
  <c r="G7" i="57"/>
  <c r="G8" i="57"/>
  <c r="G9" i="57"/>
  <c r="G10" i="57"/>
  <c r="G11" i="57"/>
  <c r="G12" i="57"/>
  <c r="G13" i="57"/>
  <c r="G14" i="57"/>
  <c r="G15" i="57"/>
  <c r="G16" i="57"/>
  <c r="G101" i="57"/>
  <c r="G17" i="57"/>
  <c r="G18" i="57"/>
  <c r="G19" i="57"/>
  <c r="G20" i="57"/>
  <c r="G21" i="57"/>
  <c r="G22" i="57"/>
  <c r="G23" i="57"/>
  <c r="G24" i="57"/>
  <c r="G102" i="57"/>
  <c r="G103" i="57"/>
  <c r="G25" i="57"/>
  <c r="G26" i="57"/>
  <c r="G27" i="57"/>
  <c r="G28" i="57"/>
  <c r="G29" i="57"/>
  <c r="G104" i="57"/>
  <c r="G30" i="57"/>
  <c r="G31" i="57"/>
  <c r="G32" i="57"/>
  <c r="G33" i="57"/>
  <c r="G34" i="57"/>
  <c r="G35" i="57"/>
  <c r="G36" i="57"/>
  <c r="G105" i="57"/>
  <c r="G37" i="57"/>
  <c r="G38" i="57"/>
  <c r="G106" i="57"/>
  <c r="G107" i="57"/>
  <c r="G39" i="57"/>
  <c r="G40" i="57"/>
  <c r="G41" i="57"/>
  <c r="G42" i="57"/>
  <c r="G43" i="57"/>
  <c r="G44" i="57"/>
  <c r="G45" i="57"/>
  <c r="G108" i="57"/>
  <c r="G46" i="57"/>
  <c r="G47" i="57"/>
  <c r="G48" i="57"/>
  <c r="G49" i="57"/>
  <c r="G109" i="57"/>
  <c r="G50" i="57"/>
  <c r="G51" i="57"/>
  <c r="G52" i="57"/>
  <c r="G53" i="57"/>
  <c r="G54" i="57"/>
  <c r="G55" i="57"/>
  <c r="G56" i="57"/>
  <c r="G57" i="57"/>
  <c r="G58" i="57"/>
  <c r="G59" i="57"/>
  <c r="G110" i="57"/>
  <c r="G60" i="57"/>
  <c r="G111" i="57"/>
  <c r="G112" i="57"/>
  <c r="G61" i="57"/>
  <c r="G62" i="57"/>
  <c r="G63" i="57"/>
  <c r="G64" i="57"/>
  <c r="G65" i="57"/>
  <c r="G66" i="57"/>
  <c r="G113" i="57"/>
  <c r="G114" i="57"/>
  <c r="G67" i="57"/>
  <c r="G68" i="57"/>
  <c r="G115" i="57"/>
  <c r="G69" i="57"/>
  <c r="G70" i="57"/>
  <c r="G71" i="57"/>
  <c r="G72" i="57"/>
  <c r="G116" i="57"/>
  <c r="G73" i="57"/>
  <c r="G117" i="57"/>
  <c r="G74" i="57"/>
  <c r="G75" i="57"/>
  <c r="G76" i="57"/>
  <c r="G77" i="57"/>
  <c r="G78" i="57"/>
  <c r="G118" i="57"/>
  <c r="G79" i="57"/>
  <c r="G119" i="57"/>
  <c r="G80" i="57"/>
  <c r="G120" i="57"/>
  <c r="G81" i="57"/>
  <c r="G82" i="57"/>
  <c r="G83" i="57"/>
  <c r="G84" i="57"/>
  <c r="G85" i="57"/>
  <c r="G86" i="57"/>
  <c r="G87" i="57"/>
  <c r="G88" i="57"/>
  <c r="G89" i="57"/>
  <c r="G90" i="57"/>
  <c r="G121" i="57"/>
  <c r="G91" i="57"/>
  <c r="G92" i="57"/>
  <c r="G93" i="57"/>
  <c r="G122" i="57"/>
  <c r="G94" i="57"/>
  <c r="G95" i="57"/>
  <c r="G96" i="57"/>
  <c r="G123" i="57"/>
  <c r="G124" i="57"/>
  <c r="G97" i="57"/>
  <c r="G98" i="57"/>
  <c r="G99" i="57"/>
  <c r="G5" i="57"/>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K131" i="57" l="1"/>
  <c r="F49" i="1"/>
  <c r="F48" i="1"/>
  <c r="F47" i="1"/>
  <c r="F46" i="1"/>
  <c r="F45" i="1"/>
  <c r="F50" i="1"/>
  <c r="F51" i="1"/>
  <c r="F52" i="1"/>
  <c r="F53" i="1"/>
  <c r="F54" i="1"/>
  <c r="F55" i="1"/>
  <c r="S130" i="24"/>
  <c r="S129" i="24"/>
  <c r="S128" i="24"/>
  <c r="S127" i="24"/>
  <c r="S126" i="24"/>
  <c r="S99" i="24"/>
  <c r="S98" i="24"/>
  <c r="S97" i="24"/>
  <c r="S124" i="24"/>
  <c r="S123" i="24"/>
  <c r="S96" i="24"/>
  <c r="S95" i="24"/>
  <c r="S94" i="24"/>
  <c r="S122" i="24"/>
  <c r="S93" i="24"/>
  <c r="S92" i="24"/>
  <c r="S91" i="24"/>
  <c r="S121" i="24"/>
  <c r="S90" i="24"/>
  <c r="S89" i="24"/>
  <c r="S88" i="24"/>
  <c r="S87" i="24"/>
  <c r="S86" i="24"/>
  <c r="S85" i="24"/>
  <c r="S84" i="24"/>
  <c r="S83" i="24"/>
  <c r="S82" i="24"/>
  <c r="S81" i="24"/>
  <c r="S120" i="24"/>
  <c r="S80" i="24"/>
  <c r="S119" i="24"/>
  <c r="S79" i="24"/>
  <c r="S118" i="24"/>
  <c r="S78" i="24"/>
  <c r="S77" i="24"/>
  <c r="S76" i="24"/>
  <c r="S75" i="24"/>
  <c r="S74" i="24"/>
  <c r="S117" i="24"/>
  <c r="S73" i="24"/>
  <c r="S116" i="24"/>
  <c r="S72" i="24"/>
  <c r="S71" i="24"/>
  <c r="S70" i="24"/>
  <c r="S69" i="24"/>
  <c r="S115" i="24"/>
  <c r="S68" i="24"/>
  <c r="S67" i="24"/>
  <c r="S114" i="24"/>
  <c r="S113" i="24"/>
  <c r="S66" i="24"/>
  <c r="S65" i="24"/>
  <c r="S64" i="24"/>
  <c r="S63" i="24"/>
  <c r="S62" i="24"/>
  <c r="S61" i="24"/>
  <c r="S112" i="24"/>
  <c r="S111" i="24"/>
  <c r="S60" i="24"/>
  <c r="S110" i="24"/>
  <c r="S59" i="24"/>
  <c r="S58" i="24"/>
  <c r="S57" i="24"/>
  <c r="S56" i="24"/>
  <c r="S55" i="24"/>
  <c r="S54" i="24"/>
  <c r="S53" i="24"/>
  <c r="S52" i="24"/>
  <c r="S51" i="24"/>
  <c r="S50" i="24"/>
  <c r="S109" i="24"/>
  <c r="S49" i="24"/>
  <c r="S48" i="24"/>
  <c r="S47" i="24"/>
  <c r="S46" i="24"/>
  <c r="S108" i="24"/>
  <c r="S45" i="24"/>
  <c r="S44" i="24"/>
  <c r="S43" i="24"/>
  <c r="S42" i="24"/>
  <c r="S41" i="24"/>
  <c r="S40" i="24"/>
  <c r="S39" i="24"/>
  <c r="S107" i="24"/>
  <c r="S106" i="24"/>
  <c r="S38" i="24"/>
  <c r="S37" i="24"/>
  <c r="S105" i="24"/>
  <c r="S36" i="24"/>
  <c r="S35" i="24"/>
  <c r="S34" i="24"/>
  <c r="S33" i="24"/>
  <c r="S32" i="24"/>
  <c r="S31" i="24"/>
  <c r="S30" i="24"/>
  <c r="S104" i="24"/>
  <c r="S29" i="24"/>
  <c r="S28" i="24"/>
  <c r="S27" i="24"/>
  <c r="S26" i="24"/>
  <c r="S25" i="24"/>
  <c r="S103" i="24"/>
  <c r="S102" i="24"/>
  <c r="S24" i="24"/>
  <c r="S23" i="24"/>
  <c r="S22" i="24"/>
  <c r="S21" i="24"/>
  <c r="S20" i="24"/>
  <c r="S19" i="24"/>
  <c r="S18" i="24"/>
  <c r="S17" i="24"/>
  <c r="S101" i="24"/>
  <c r="S16" i="24"/>
  <c r="S15" i="24"/>
  <c r="S14" i="24"/>
  <c r="S13" i="24"/>
  <c r="S12" i="24"/>
  <c r="S11" i="24"/>
  <c r="S10" i="24"/>
  <c r="S9" i="24"/>
  <c r="S8" i="24"/>
  <c r="S7" i="24"/>
  <c r="S100" i="24"/>
  <c r="S6" i="24"/>
  <c r="S5" i="24"/>
  <c r="AZ4" i="24"/>
  <c r="AY4" i="24"/>
  <c r="S4" i="24" l="1"/>
  <c r="O99" i="115"/>
  <c r="O98" i="115"/>
  <c r="O97" i="115"/>
  <c r="O124" i="115"/>
  <c r="O123" i="115"/>
  <c r="O96" i="115"/>
  <c r="O95" i="115"/>
  <c r="O94" i="115"/>
  <c r="O122" i="115"/>
  <c r="O93" i="115"/>
  <c r="O92" i="115"/>
  <c r="O91" i="115"/>
  <c r="O121" i="115"/>
  <c r="O90" i="115"/>
  <c r="O89" i="115"/>
  <c r="O88" i="115"/>
  <c r="O87" i="115"/>
  <c r="O86" i="115"/>
  <c r="O85" i="115"/>
  <c r="O84" i="115"/>
  <c r="O83" i="115"/>
  <c r="O82" i="115"/>
  <c r="O81" i="115"/>
  <c r="O120" i="115"/>
  <c r="O80" i="115"/>
  <c r="O119" i="115"/>
  <c r="O79" i="115"/>
  <c r="O118" i="115"/>
  <c r="O78" i="115"/>
  <c r="O77" i="115"/>
  <c r="O76" i="115"/>
  <c r="O75" i="115"/>
  <c r="O74" i="115"/>
  <c r="O117" i="115"/>
  <c r="O73" i="115"/>
  <c r="O116" i="115"/>
  <c r="O72" i="115"/>
  <c r="O71" i="115"/>
  <c r="O70" i="115"/>
  <c r="O69" i="115"/>
  <c r="O115" i="115"/>
  <c r="O68" i="115"/>
  <c r="O67" i="115"/>
  <c r="O114" i="115"/>
  <c r="O113" i="115"/>
  <c r="O66" i="115"/>
  <c r="O65" i="115"/>
  <c r="O64" i="115"/>
  <c r="O63" i="115"/>
  <c r="O62" i="115"/>
  <c r="O61" i="115"/>
  <c r="O112" i="115"/>
  <c r="O111" i="115"/>
  <c r="O60" i="115"/>
  <c r="O110" i="115"/>
  <c r="O59" i="115"/>
  <c r="O58" i="115"/>
  <c r="O57" i="115"/>
  <c r="O56" i="115"/>
  <c r="O55" i="115"/>
  <c r="O54" i="115"/>
  <c r="O53" i="115"/>
  <c r="O52" i="115"/>
  <c r="O51" i="115"/>
  <c r="O50" i="115"/>
  <c r="O109" i="115"/>
  <c r="O49" i="115"/>
  <c r="O48" i="115"/>
  <c r="O47" i="115"/>
  <c r="O46" i="115"/>
  <c r="O108" i="115"/>
  <c r="O45" i="115"/>
  <c r="O44" i="115"/>
  <c r="O43" i="115"/>
  <c r="O42" i="115"/>
  <c r="O41" i="115"/>
  <c r="O40" i="115"/>
  <c r="O39" i="115"/>
  <c r="O107" i="115"/>
  <c r="O106" i="115"/>
  <c r="O38" i="115"/>
  <c r="O37" i="115"/>
  <c r="O105" i="115"/>
  <c r="O36" i="115"/>
  <c r="O35" i="115"/>
  <c r="O34" i="115"/>
  <c r="O33" i="115"/>
  <c r="O32" i="115"/>
  <c r="O31" i="115"/>
  <c r="O30" i="115"/>
  <c r="O104" i="115"/>
  <c r="O29" i="115"/>
  <c r="O28" i="115"/>
  <c r="O27" i="115"/>
  <c r="O26" i="115"/>
  <c r="O25" i="115"/>
  <c r="O103" i="115"/>
  <c r="O102" i="115"/>
  <c r="O24" i="115"/>
  <c r="O23" i="115"/>
  <c r="O22" i="115"/>
  <c r="O21" i="115"/>
  <c r="O20" i="115"/>
  <c r="O19" i="115"/>
  <c r="O18" i="115"/>
  <c r="O17" i="115"/>
  <c r="O101" i="115"/>
  <c r="O16" i="115"/>
  <c r="O15" i="115"/>
  <c r="O14" i="115"/>
  <c r="O13" i="115"/>
  <c r="O12" i="115"/>
  <c r="O11" i="115"/>
  <c r="O10" i="115"/>
  <c r="O9" i="115"/>
  <c r="O8" i="115"/>
  <c r="O7" i="115"/>
  <c r="O100" i="115"/>
  <c r="O6" i="115"/>
  <c r="O5" i="115"/>
  <c r="S4" i="115"/>
  <c r="R4" i="115"/>
  <c r="P4" i="115"/>
  <c r="H4" i="115"/>
  <c r="G4" i="115"/>
  <c r="F4" i="115"/>
  <c r="E4" i="115"/>
  <c r="D4" i="115"/>
  <c r="Q4" i="115" l="1"/>
  <c r="O4" i="115"/>
  <c r="H5" i="91" l="1"/>
  <c r="Y99" i="92" l="1"/>
  <c r="Y98" i="92"/>
  <c r="Y97" i="92"/>
  <c r="Y124" i="92"/>
  <c r="Y123" i="92"/>
  <c r="Y96" i="92"/>
  <c r="Y95" i="92"/>
  <c r="Y94" i="92"/>
  <c r="Y122" i="92"/>
  <c r="Y93" i="92"/>
  <c r="Y92" i="92"/>
  <c r="Y91" i="92"/>
  <c r="Y121" i="92"/>
  <c r="Y90" i="92"/>
  <c r="Y89" i="92"/>
  <c r="Y88" i="92"/>
  <c r="Y87" i="92"/>
  <c r="Y86" i="92"/>
  <c r="Y85" i="92"/>
  <c r="Y84" i="92"/>
  <c r="Y83" i="92"/>
  <c r="Y82" i="92"/>
  <c r="Y81" i="92"/>
  <c r="Y120" i="92"/>
  <c r="Y80" i="92"/>
  <c r="Y119" i="92"/>
  <c r="Y79" i="92"/>
  <c r="Y118" i="92"/>
  <c r="Y78" i="92"/>
  <c r="Y77" i="92"/>
  <c r="Y76" i="92"/>
  <c r="Y75" i="92"/>
  <c r="Y74" i="92"/>
  <c r="Y117" i="92"/>
  <c r="Y73" i="92"/>
  <c r="Y116" i="92"/>
  <c r="Y72" i="92"/>
  <c r="Y71" i="92"/>
  <c r="Y70" i="92"/>
  <c r="Y69" i="92"/>
  <c r="Y115" i="92"/>
  <c r="Y68" i="92"/>
  <c r="Y67" i="92"/>
  <c r="Y114" i="92"/>
  <c r="Y113" i="92"/>
  <c r="Y66" i="92"/>
  <c r="Y65" i="92"/>
  <c r="Y64" i="92"/>
  <c r="Y63" i="92"/>
  <c r="Y62" i="92"/>
  <c r="Y61" i="92"/>
  <c r="Y112" i="92"/>
  <c r="Y111" i="92"/>
  <c r="Y60" i="92"/>
  <c r="Y110" i="92"/>
  <c r="Y59" i="92"/>
  <c r="Y58" i="92"/>
  <c r="Y57" i="92"/>
  <c r="Y56" i="92"/>
  <c r="Y55" i="92"/>
  <c r="Y54" i="92"/>
  <c r="Y53" i="92"/>
  <c r="Y52" i="92"/>
  <c r="Y51" i="92"/>
  <c r="Y50" i="92"/>
  <c r="Y109" i="92"/>
  <c r="Y49" i="92"/>
  <c r="Y48" i="92"/>
  <c r="Y47" i="92"/>
  <c r="Y46" i="92"/>
  <c r="Y108" i="92"/>
  <c r="Y45" i="92"/>
  <c r="Y44" i="92"/>
  <c r="Y43" i="92"/>
  <c r="Y42" i="92"/>
  <c r="Y41" i="92"/>
  <c r="Y40" i="92"/>
  <c r="Y39" i="92"/>
  <c r="Y107" i="92"/>
  <c r="Y106" i="92"/>
  <c r="Y38" i="92"/>
  <c r="Y37" i="92"/>
  <c r="Y105" i="92"/>
  <c r="Y36" i="92"/>
  <c r="Y35" i="92"/>
  <c r="Y34" i="92"/>
  <c r="Y33" i="92"/>
  <c r="Y32" i="92"/>
  <c r="Y31" i="92"/>
  <c r="Y30" i="92"/>
  <c r="Y104" i="92"/>
  <c r="Y29" i="92"/>
  <c r="Y28" i="92"/>
  <c r="Y27" i="92"/>
  <c r="Y26" i="92"/>
  <c r="Y25" i="92"/>
  <c r="Y103" i="92"/>
  <c r="Y102" i="92"/>
  <c r="Y24" i="92"/>
  <c r="Y23" i="92"/>
  <c r="Y22" i="92"/>
  <c r="Y21" i="92"/>
  <c r="Y20" i="92"/>
  <c r="Y19" i="92"/>
  <c r="Y18" i="92"/>
  <c r="Y17" i="92"/>
  <c r="Y101" i="92"/>
  <c r="Y16" i="92"/>
  <c r="Y15" i="92"/>
  <c r="Y14" i="92"/>
  <c r="Y13" i="92"/>
  <c r="Y12" i="92"/>
  <c r="Y11" i="92"/>
  <c r="Y10" i="92"/>
  <c r="Y9" i="92"/>
  <c r="Y8" i="92"/>
  <c r="Y7" i="92"/>
  <c r="Y100" i="92"/>
  <c r="Y6" i="92"/>
  <c r="Y5" i="92"/>
  <c r="W4" i="92"/>
  <c r="V4" i="92"/>
  <c r="U4" i="92"/>
  <c r="N125" i="6"/>
  <c r="N124" i="6"/>
  <c r="N123" i="6"/>
  <c r="N122" i="6"/>
  <c r="N121" i="6"/>
  <c r="N120" i="6"/>
  <c r="N119" i="6"/>
  <c r="N118" i="6"/>
  <c r="N117" i="6"/>
  <c r="N116" i="6"/>
  <c r="N115" i="6"/>
  <c r="N114" i="6"/>
  <c r="N113" i="6"/>
  <c r="N112" i="6"/>
  <c r="N111" i="6"/>
  <c r="N110" i="6"/>
  <c r="N109" i="6"/>
  <c r="N108" i="6"/>
  <c r="N107" i="6"/>
  <c r="N106" i="6"/>
  <c r="N105" i="6"/>
  <c r="N104" i="6"/>
  <c r="N103" i="6"/>
  <c r="N102" i="6"/>
  <c r="N101" i="6"/>
  <c r="N100" i="6"/>
  <c r="N99" i="6"/>
  <c r="N98" i="6"/>
  <c r="N97" i="6"/>
  <c r="N96" i="6"/>
  <c r="N95" i="6"/>
  <c r="N94" i="6"/>
  <c r="N93" i="6"/>
  <c r="N92" i="6"/>
  <c r="N91" i="6"/>
  <c r="N90" i="6"/>
  <c r="N89"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H5" i="6"/>
  <c r="O99" i="92"/>
  <c r="O98" i="92"/>
  <c r="O97" i="92"/>
  <c r="O124" i="92"/>
  <c r="O123" i="92"/>
  <c r="O96" i="92"/>
  <c r="O95" i="92"/>
  <c r="O94" i="92"/>
  <c r="O122" i="92"/>
  <c r="O93" i="92"/>
  <c r="O92" i="92"/>
  <c r="O91" i="92"/>
  <c r="O121" i="92"/>
  <c r="O90" i="92"/>
  <c r="O89" i="92"/>
  <c r="O88" i="92"/>
  <c r="O87" i="92"/>
  <c r="O86" i="92"/>
  <c r="O85" i="92"/>
  <c r="O84" i="92"/>
  <c r="O83" i="92"/>
  <c r="O82" i="92"/>
  <c r="O81" i="92"/>
  <c r="O120" i="92"/>
  <c r="O80" i="92"/>
  <c r="O119" i="92"/>
  <c r="O79" i="92"/>
  <c r="O118" i="92"/>
  <c r="O78" i="92"/>
  <c r="O77" i="92"/>
  <c r="O76" i="92"/>
  <c r="O75" i="92"/>
  <c r="O74" i="92"/>
  <c r="O117" i="92"/>
  <c r="O73" i="92"/>
  <c r="O116" i="92"/>
  <c r="O72" i="92"/>
  <c r="O71" i="92"/>
  <c r="O70" i="92"/>
  <c r="O69" i="92"/>
  <c r="O115" i="92"/>
  <c r="O68" i="92"/>
  <c r="O67" i="92"/>
  <c r="O114" i="92"/>
  <c r="O113" i="92"/>
  <c r="O66" i="92"/>
  <c r="O65" i="92"/>
  <c r="O64" i="92"/>
  <c r="O63" i="92"/>
  <c r="O62" i="92"/>
  <c r="O61" i="92"/>
  <c r="O112" i="92"/>
  <c r="O111" i="92"/>
  <c r="O60" i="92"/>
  <c r="O110" i="92"/>
  <c r="O59" i="92"/>
  <c r="O58" i="92"/>
  <c r="O57" i="92"/>
  <c r="O56" i="92"/>
  <c r="O55" i="92"/>
  <c r="O54" i="92"/>
  <c r="O53" i="92"/>
  <c r="O52" i="92"/>
  <c r="O51" i="92"/>
  <c r="O50" i="92"/>
  <c r="O109" i="92"/>
  <c r="O49" i="92"/>
  <c r="O48" i="92"/>
  <c r="O47" i="92"/>
  <c r="O46" i="92"/>
  <c r="O108" i="92"/>
  <c r="O45" i="92"/>
  <c r="O44" i="92"/>
  <c r="O43" i="92"/>
  <c r="O42" i="92"/>
  <c r="O41" i="92"/>
  <c r="O40" i="92"/>
  <c r="O39" i="92"/>
  <c r="O107" i="92"/>
  <c r="O106" i="92"/>
  <c r="O38" i="92"/>
  <c r="O37" i="92"/>
  <c r="O105" i="92"/>
  <c r="O36" i="92"/>
  <c r="O35" i="92"/>
  <c r="O34" i="92"/>
  <c r="O33" i="92"/>
  <c r="O32" i="92"/>
  <c r="O31" i="92"/>
  <c r="O30" i="92"/>
  <c r="O104" i="92"/>
  <c r="O29" i="92"/>
  <c r="O28" i="92"/>
  <c r="O27" i="92"/>
  <c r="O26" i="92"/>
  <c r="O25" i="92"/>
  <c r="O103" i="92"/>
  <c r="O102" i="92"/>
  <c r="O24" i="92"/>
  <c r="O23" i="92"/>
  <c r="O22" i="92"/>
  <c r="O21" i="92"/>
  <c r="O20" i="92"/>
  <c r="O19" i="92"/>
  <c r="O18" i="92"/>
  <c r="O17" i="92"/>
  <c r="O101" i="92"/>
  <c r="O16" i="92"/>
  <c r="O15" i="92"/>
  <c r="O14" i="92"/>
  <c r="O13" i="92"/>
  <c r="O12" i="92"/>
  <c r="O11" i="92"/>
  <c r="O10" i="92"/>
  <c r="O9" i="92"/>
  <c r="O8" i="92"/>
  <c r="O7" i="92"/>
  <c r="O100" i="92"/>
  <c r="O6" i="92"/>
  <c r="O5" i="92"/>
  <c r="M121" i="122"/>
  <c r="M120" i="122"/>
  <c r="M116" i="122"/>
  <c r="M112" i="122"/>
  <c r="M101" i="122"/>
  <c r="M99" i="122"/>
  <c r="M97" i="122"/>
  <c r="M91" i="122"/>
  <c r="M89" i="122"/>
  <c r="M84" i="122"/>
  <c r="M81" i="122"/>
  <c r="M80" i="122"/>
  <c r="M73" i="122"/>
  <c r="M72" i="122"/>
  <c r="M70" i="122"/>
  <c r="M59" i="122"/>
  <c r="M54" i="122"/>
  <c r="M46" i="122"/>
  <c r="M45" i="122"/>
  <c r="M42" i="122"/>
  <c r="M34" i="122"/>
  <c r="M28" i="122"/>
  <c r="M27" i="122"/>
  <c r="M18" i="122"/>
  <c r="M7" i="122"/>
  <c r="M124" i="122"/>
  <c r="M123" i="122"/>
  <c r="M122" i="122"/>
  <c r="M119" i="122"/>
  <c r="M118" i="122"/>
  <c r="M117" i="122"/>
  <c r="M115" i="122"/>
  <c r="M114" i="122"/>
  <c r="M113" i="122"/>
  <c r="M111" i="122"/>
  <c r="M110" i="122"/>
  <c r="M109" i="122"/>
  <c r="M108" i="122"/>
  <c r="M107" i="122"/>
  <c r="M106" i="122"/>
  <c r="M105" i="122"/>
  <c r="M104" i="122"/>
  <c r="M103" i="122"/>
  <c r="M102" i="122"/>
  <c r="M100" i="122"/>
  <c r="M98" i="122"/>
  <c r="M96" i="122"/>
  <c r="M95" i="122"/>
  <c r="M94" i="122"/>
  <c r="M93" i="122"/>
  <c r="M92" i="122"/>
  <c r="M90" i="122"/>
  <c r="M88" i="122"/>
  <c r="M87" i="122"/>
  <c r="M86" i="122"/>
  <c r="M85" i="122"/>
  <c r="M83" i="122"/>
  <c r="M82" i="122"/>
  <c r="M79" i="122"/>
  <c r="M78" i="122"/>
  <c r="M77" i="122"/>
  <c r="M76" i="122"/>
  <c r="M75" i="122"/>
  <c r="M74" i="122"/>
  <c r="M71" i="122"/>
  <c r="M69" i="122"/>
  <c r="M68" i="122"/>
  <c r="M67" i="122"/>
  <c r="M66" i="122"/>
  <c r="M65" i="122"/>
  <c r="M64" i="122"/>
  <c r="M63" i="122"/>
  <c r="M62" i="122"/>
  <c r="M61" i="122"/>
  <c r="M60" i="122"/>
  <c r="M58" i="122"/>
  <c r="M57" i="122"/>
  <c r="M56" i="122"/>
  <c r="M55" i="122"/>
  <c r="M53" i="122"/>
  <c r="M52" i="122"/>
  <c r="M51" i="122"/>
  <c r="M50" i="122"/>
  <c r="M49" i="122"/>
  <c r="M48" i="122"/>
  <c r="M47" i="122"/>
  <c r="M44" i="122"/>
  <c r="M43" i="122"/>
  <c r="M41" i="122"/>
  <c r="M40" i="122"/>
  <c r="M39" i="122"/>
  <c r="M38" i="122"/>
  <c r="M37" i="122"/>
  <c r="M36" i="122"/>
  <c r="M35" i="122"/>
  <c r="M33" i="122"/>
  <c r="M32" i="122"/>
  <c r="M31" i="122"/>
  <c r="M30" i="122"/>
  <c r="M29" i="122"/>
  <c r="M26" i="122"/>
  <c r="M25" i="122"/>
  <c r="M24" i="122"/>
  <c r="M23" i="122"/>
  <c r="M22" i="122"/>
  <c r="M21" i="122"/>
  <c r="M20" i="122"/>
  <c r="M19" i="122"/>
  <c r="M17" i="122"/>
  <c r="M16" i="122"/>
  <c r="M15" i="122"/>
  <c r="M14" i="122"/>
  <c r="M13" i="122"/>
  <c r="M12" i="122"/>
  <c r="M11" i="122"/>
  <c r="M10" i="122"/>
  <c r="M9" i="122"/>
  <c r="M8" i="122"/>
  <c r="M6" i="122"/>
  <c r="M5" i="122"/>
  <c r="D121" i="122"/>
  <c r="D120" i="122"/>
  <c r="D116" i="122"/>
  <c r="D112" i="122"/>
  <c r="D101" i="122"/>
  <c r="D99" i="122"/>
  <c r="D97" i="122"/>
  <c r="D91" i="122"/>
  <c r="D89" i="122"/>
  <c r="D84" i="122"/>
  <c r="D81" i="122"/>
  <c r="D80" i="122"/>
  <c r="D73" i="122"/>
  <c r="D72" i="122"/>
  <c r="D70" i="122"/>
  <c r="D59" i="122"/>
  <c r="D54" i="122"/>
  <c r="D46" i="122"/>
  <c r="D45" i="122"/>
  <c r="D42" i="122"/>
  <c r="D34" i="122"/>
  <c r="D28" i="122"/>
  <c r="D27" i="122"/>
  <c r="D18" i="122"/>
  <c r="D7" i="122"/>
  <c r="D124" i="122"/>
  <c r="D123" i="122"/>
  <c r="D122" i="122"/>
  <c r="D119" i="122"/>
  <c r="D118" i="122"/>
  <c r="D117" i="122"/>
  <c r="D115" i="122"/>
  <c r="D114" i="122"/>
  <c r="D113" i="122"/>
  <c r="D111" i="122"/>
  <c r="D110" i="122"/>
  <c r="D109" i="122"/>
  <c r="D108" i="122"/>
  <c r="D107" i="122"/>
  <c r="D106" i="122"/>
  <c r="D105" i="122"/>
  <c r="D104" i="122"/>
  <c r="D103" i="122"/>
  <c r="D102" i="122"/>
  <c r="D100" i="122"/>
  <c r="D98" i="122"/>
  <c r="D96" i="122"/>
  <c r="D95" i="122"/>
  <c r="D94" i="122"/>
  <c r="D93" i="122"/>
  <c r="D92" i="122"/>
  <c r="D90" i="122"/>
  <c r="D88" i="122"/>
  <c r="D87" i="122"/>
  <c r="D86" i="122"/>
  <c r="D85" i="122"/>
  <c r="D83" i="122"/>
  <c r="D82" i="122"/>
  <c r="D79" i="122"/>
  <c r="D78" i="122"/>
  <c r="D77" i="122"/>
  <c r="D76" i="122"/>
  <c r="D75" i="122"/>
  <c r="D74" i="122"/>
  <c r="D71" i="122"/>
  <c r="D69" i="122"/>
  <c r="D68" i="122"/>
  <c r="D67" i="122"/>
  <c r="D66" i="122"/>
  <c r="D65" i="122"/>
  <c r="D64" i="122"/>
  <c r="D63" i="122"/>
  <c r="D62" i="122"/>
  <c r="D61" i="122"/>
  <c r="D60" i="122"/>
  <c r="D58" i="122"/>
  <c r="D57" i="122"/>
  <c r="D56" i="122"/>
  <c r="D55" i="122"/>
  <c r="D53" i="122"/>
  <c r="D52" i="122"/>
  <c r="D51" i="122"/>
  <c r="D50" i="122"/>
  <c r="D49" i="122"/>
  <c r="D48" i="122"/>
  <c r="D47" i="122"/>
  <c r="D44" i="122"/>
  <c r="D43" i="122"/>
  <c r="D41" i="122"/>
  <c r="D40" i="122"/>
  <c r="D39" i="122"/>
  <c r="D38" i="122"/>
  <c r="D37" i="122"/>
  <c r="D36" i="122"/>
  <c r="D35" i="122"/>
  <c r="D33" i="122"/>
  <c r="D32" i="122"/>
  <c r="D31" i="122"/>
  <c r="D30" i="122"/>
  <c r="D29" i="122"/>
  <c r="D26" i="122"/>
  <c r="D25" i="122"/>
  <c r="D24" i="122"/>
  <c r="D23" i="122"/>
  <c r="D22" i="122"/>
  <c r="D21" i="122"/>
  <c r="D20" i="122"/>
  <c r="D19" i="122"/>
  <c r="D17" i="122"/>
  <c r="D16" i="122"/>
  <c r="D15" i="122"/>
  <c r="D14" i="122"/>
  <c r="D13" i="122"/>
  <c r="D12" i="122"/>
  <c r="D11" i="122"/>
  <c r="D10" i="122"/>
  <c r="D9" i="122"/>
  <c r="D8" i="122"/>
  <c r="D6" i="122"/>
  <c r="D5" i="122"/>
  <c r="L124" i="96"/>
  <c r="L123" i="96"/>
  <c r="L122" i="96"/>
  <c r="L121" i="96"/>
  <c r="L120" i="96"/>
  <c r="L119" i="96"/>
  <c r="L118" i="96"/>
  <c r="L117" i="96"/>
  <c r="L116" i="96"/>
  <c r="L115" i="96"/>
  <c r="L114" i="96"/>
  <c r="L113" i="96"/>
  <c r="L112" i="96"/>
  <c r="L111" i="96"/>
  <c r="L110" i="96"/>
  <c r="L109" i="96"/>
  <c r="L108" i="96"/>
  <c r="L107" i="96"/>
  <c r="L106" i="96"/>
  <c r="L105" i="96"/>
  <c r="L104" i="96"/>
  <c r="L103" i="96"/>
  <c r="L102" i="96"/>
  <c r="L101" i="96"/>
  <c r="L100" i="96"/>
  <c r="L99" i="96"/>
  <c r="L98" i="96"/>
  <c r="L97" i="96"/>
  <c r="L96" i="96"/>
  <c r="L95" i="96"/>
  <c r="L94" i="96"/>
  <c r="L93" i="96"/>
  <c r="L92" i="96"/>
  <c r="L91" i="96"/>
  <c r="L90" i="96"/>
  <c r="L89" i="96"/>
  <c r="L88" i="96"/>
  <c r="L87" i="96"/>
  <c r="L86" i="96"/>
  <c r="L85" i="96"/>
  <c r="L84" i="96"/>
  <c r="L83" i="96"/>
  <c r="L82" i="96"/>
  <c r="L81" i="96"/>
  <c r="L80" i="96"/>
  <c r="L79" i="96"/>
  <c r="L78" i="96"/>
  <c r="L77" i="96"/>
  <c r="L76" i="96"/>
  <c r="L75" i="96"/>
  <c r="L74" i="96"/>
  <c r="L73" i="96"/>
  <c r="L72" i="96"/>
  <c r="L71" i="96"/>
  <c r="L70" i="96"/>
  <c r="L69" i="96"/>
  <c r="L68" i="96"/>
  <c r="L67" i="96"/>
  <c r="L66" i="96"/>
  <c r="L65" i="96"/>
  <c r="L64" i="96"/>
  <c r="L63" i="96"/>
  <c r="L62" i="96"/>
  <c r="L61" i="96"/>
  <c r="L60" i="96"/>
  <c r="L59" i="96"/>
  <c r="L58" i="96"/>
  <c r="L57" i="96"/>
  <c r="L56" i="96"/>
  <c r="L55" i="96"/>
  <c r="L54" i="96"/>
  <c r="L53" i="96"/>
  <c r="L52" i="96"/>
  <c r="L51" i="96"/>
  <c r="L50" i="96"/>
  <c r="L49" i="96"/>
  <c r="L48" i="96"/>
  <c r="L47" i="96"/>
  <c r="L46" i="96"/>
  <c r="L45" i="96"/>
  <c r="L44" i="96"/>
  <c r="L43" i="96"/>
  <c r="L42" i="96"/>
  <c r="L41" i="96"/>
  <c r="L40" i="96"/>
  <c r="L39" i="96"/>
  <c r="L38" i="96"/>
  <c r="L37" i="96"/>
  <c r="L36" i="96"/>
  <c r="L35" i="96"/>
  <c r="L34" i="96"/>
  <c r="L33" i="96"/>
  <c r="L32" i="96"/>
  <c r="L31" i="96"/>
  <c r="L30" i="96"/>
  <c r="L29" i="96"/>
  <c r="L28" i="96"/>
  <c r="L27" i="96"/>
  <c r="L26" i="96"/>
  <c r="L25" i="96"/>
  <c r="L24" i="96"/>
  <c r="L23" i="96"/>
  <c r="L22" i="96"/>
  <c r="L21" i="96"/>
  <c r="L20" i="96"/>
  <c r="L19" i="96"/>
  <c r="L18" i="96"/>
  <c r="L17" i="96"/>
  <c r="L16" i="96"/>
  <c r="L15" i="96"/>
  <c r="L14" i="96"/>
  <c r="L13" i="96"/>
  <c r="L12" i="96"/>
  <c r="L11" i="96"/>
  <c r="L10" i="96"/>
  <c r="L9" i="96"/>
  <c r="L8" i="96"/>
  <c r="L7" i="96"/>
  <c r="L6" i="96"/>
  <c r="L5" i="96"/>
  <c r="D124" i="96"/>
  <c r="D123" i="96"/>
  <c r="D122" i="96"/>
  <c r="D121" i="96"/>
  <c r="D120" i="96"/>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Y4" i="92" l="1"/>
  <c r="P4" i="55"/>
  <c r="O4" i="55"/>
  <c r="N4" i="55"/>
  <c r="M4" i="55"/>
  <c r="L4" i="55"/>
  <c r="O124" i="62" l="1"/>
  <c r="O123" i="62"/>
  <c r="O122" i="62"/>
  <c r="O121" i="62"/>
  <c r="O120" i="62"/>
  <c r="O119" i="62"/>
  <c r="O118" i="62"/>
  <c r="O117" i="62"/>
  <c r="O116" i="62"/>
  <c r="O115" i="62"/>
  <c r="O114" i="62"/>
  <c r="O113" i="62"/>
  <c r="O112" i="62"/>
  <c r="O111" i="62"/>
  <c r="O110" i="62"/>
  <c r="O109" i="62"/>
  <c r="O108" i="62"/>
  <c r="O107" i="62"/>
  <c r="O106" i="62"/>
  <c r="O105" i="62"/>
  <c r="O104" i="62"/>
  <c r="O103" i="62"/>
  <c r="O102" i="62"/>
  <c r="O101" i="62"/>
  <c r="O100" i="62"/>
  <c r="O99" i="62"/>
  <c r="O98" i="62"/>
  <c r="O97" i="62"/>
  <c r="O96" i="62"/>
  <c r="O95" i="62"/>
  <c r="O94" i="62"/>
  <c r="O93" i="62"/>
  <c r="O92" i="62"/>
  <c r="O91" i="62"/>
  <c r="O90" i="62"/>
  <c r="O89" i="62"/>
  <c r="O88" i="62"/>
  <c r="O87" i="62"/>
  <c r="O86" i="62"/>
  <c r="O85" i="62"/>
  <c r="O84" i="62"/>
  <c r="O83" i="62"/>
  <c r="O82" i="62"/>
  <c r="O81" i="62"/>
  <c r="O80" i="62"/>
  <c r="O79" i="62"/>
  <c r="O78" i="62"/>
  <c r="O77" i="62"/>
  <c r="O76" i="62"/>
  <c r="O75" i="62"/>
  <c r="O74" i="62"/>
  <c r="O73" i="62"/>
  <c r="O72" i="62"/>
  <c r="O71" i="62"/>
  <c r="O70" i="62"/>
  <c r="O69" i="62"/>
  <c r="O68" i="62"/>
  <c r="O67" i="62"/>
  <c r="O66" i="62"/>
  <c r="O65" i="62"/>
  <c r="O64" i="62"/>
  <c r="O63" i="62"/>
  <c r="O62" i="62"/>
  <c r="O61" i="62"/>
  <c r="O60" i="62"/>
  <c r="O59" i="62"/>
  <c r="O58" i="62"/>
  <c r="O57" i="62"/>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14" i="62"/>
  <c r="O13" i="62"/>
  <c r="O12" i="62"/>
  <c r="O11" i="62"/>
  <c r="O10" i="62"/>
  <c r="O9" i="62"/>
  <c r="O8" i="62"/>
  <c r="O7" i="62"/>
  <c r="O6" i="62"/>
  <c r="F124" i="60"/>
  <c r="E124" i="60"/>
  <c r="D124" i="60"/>
  <c r="F123" i="60"/>
  <c r="E123" i="60"/>
  <c r="D123" i="60"/>
  <c r="F122" i="60"/>
  <c r="E122" i="60"/>
  <c r="D122" i="60"/>
  <c r="F121" i="60"/>
  <c r="E121" i="60"/>
  <c r="D121" i="60"/>
  <c r="F120" i="60"/>
  <c r="E120" i="60"/>
  <c r="D120" i="60"/>
  <c r="F119" i="60"/>
  <c r="E119" i="60"/>
  <c r="D119" i="60"/>
  <c r="F118" i="60"/>
  <c r="E118" i="60"/>
  <c r="D118" i="60"/>
  <c r="F117" i="60"/>
  <c r="E117" i="60"/>
  <c r="D117" i="60"/>
  <c r="F116" i="60"/>
  <c r="E116" i="60"/>
  <c r="D116" i="60"/>
  <c r="F115" i="60"/>
  <c r="E115" i="60"/>
  <c r="D115" i="60"/>
  <c r="F114" i="60"/>
  <c r="E114" i="60"/>
  <c r="D114" i="60"/>
  <c r="F113" i="60"/>
  <c r="E113" i="60"/>
  <c r="D113" i="60"/>
  <c r="F112" i="60"/>
  <c r="E112" i="60"/>
  <c r="D112" i="60"/>
  <c r="F111" i="60"/>
  <c r="E111" i="60"/>
  <c r="D111" i="60"/>
  <c r="F110" i="60"/>
  <c r="E110" i="60"/>
  <c r="D110" i="60"/>
  <c r="F109" i="60"/>
  <c r="E109" i="60"/>
  <c r="D109" i="60"/>
  <c r="F108" i="60"/>
  <c r="E108" i="60"/>
  <c r="D108" i="60"/>
  <c r="F107" i="60"/>
  <c r="E107" i="60"/>
  <c r="D107" i="60"/>
  <c r="F106" i="60"/>
  <c r="E106" i="60"/>
  <c r="D106" i="60"/>
  <c r="F105" i="60"/>
  <c r="E105" i="60"/>
  <c r="D105" i="60"/>
  <c r="F104" i="60"/>
  <c r="E104" i="60"/>
  <c r="D104" i="60"/>
  <c r="F103" i="60"/>
  <c r="E103" i="60"/>
  <c r="D103" i="60"/>
  <c r="F102" i="60"/>
  <c r="E102" i="60"/>
  <c r="D102" i="60"/>
  <c r="F101" i="60"/>
  <c r="E101" i="60"/>
  <c r="D101" i="60"/>
  <c r="F100" i="60"/>
  <c r="E100" i="60"/>
  <c r="D100" i="60"/>
  <c r="F99" i="60"/>
  <c r="E99" i="60"/>
  <c r="D99" i="60"/>
  <c r="F98" i="60"/>
  <c r="E98" i="60"/>
  <c r="D98" i="60"/>
  <c r="F97" i="60"/>
  <c r="E97" i="60"/>
  <c r="D97" i="60"/>
  <c r="F96" i="60"/>
  <c r="E96" i="60"/>
  <c r="D96" i="60"/>
  <c r="F95" i="60"/>
  <c r="E95" i="60"/>
  <c r="D95" i="60"/>
  <c r="F94" i="60"/>
  <c r="E94" i="60"/>
  <c r="D94" i="60"/>
  <c r="F93" i="60"/>
  <c r="E93" i="60"/>
  <c r="D93" i="60"/>
  <c r="F92" i="60"/>
  <c r="E92" i="60"/>
  <c r="D92" i="60"/>
  <c r="F91" i="60"/>
  <c r="E91" i="60"/>
  <c r="D91" i="60"/>
  <c r="F90" i="60"/>
  <c r="E90" i="60"/>
  <c r="D90" i="60"/>
  <c r="F89" i="60"/>
  <c r="E89" i="60"/>
  <c r="D89" i="60"/>
  <c r="F88" i="60"/>
  <c r="E88" i="60"/>
  <c r="D88" i="60"/>
  <c r="F87" i="60"/>
  <c r="E87" i="60"/>
  <c r="D87" i="60"/>
  <c r="F86" i="60"/>
  <c r="E86" i="60"/>
  <c r="D86" i="60"/>
  <c r="F85" i="60"/>
  <c r="E85" i="60"/>
  <c r="D85" i="60"/>
  <c r="F84" i="60"/>
  <c r="E84" i="60"/>
  <c r="D84" i="60"/>
  <c r="F83" i="60"/>
  <c r="E83" i="60"/>
  <c r="D83" i="60"/>
  <c r="F82" i="60"/>
  <c r="E82" i="60"/>
  <c r="D82" i="60"/>
  <c r="F81" i="60"/>
  <c r="E81" i="60"/>
  <c r="D81" i="60"/>
  <c r="F80" i="60"/>
  <c r="E80" i="60"/>
  <c r="D80" i="60"/>
  <c r="F79" i="60"/>
  <c r="E79" i="60"/>
  <c r="D79" i="60"/>
  <c r="F78" i="60"/>
  <c r="E78" i="60"/>
  <c r="D78" i="60"/>
  <c r="F77" i="60"/>
  <c r="E77" i="60"/>
  <c r="D77" i="60"/>
  <c r="F76" i="60"/>
  <c r="E76" i="60"/>
  <c r="D76" i="60"/>
  <c r="F75" i="60"/>
  <c r="E75" i="60"/>
  <c r="D75" i="60"/>
  <c r="F74" i="60"/>
  <c r="E74" i="60"/>
  <c r="D74" i="60"/>
  <c r="F73" i="60"/>
  <c r="E73" i="60"/>
  <c r="D73" i="60"/>
  <c r="F72" i="60"/>
  <c r="E72" i="60"/>
  <c r="D72" i="60"/>
  <c r="F71" i="60"/>
  <c r="E71" i="60"/>
  <c r="D71" i="60"/>
  <c r="F70" i="60"/>
  <c r="E70" i="60"/>
  <c r="D70" i="60"/>
  <c r="F69" i="60"/>
  <c r="E69" i="60"/>
  <c r="D69" i="60"/>
  <c r="F68" i="60"/>
  <c r="E68" i="60"/>
  <c r="D68" i="60"/>
  <c r="F67" i="60"/>
  <c r="E67" i="60"/>
  <c r="D67" i="60"/>
  <c r="F66" i="60"/>
  <c r="E66" i="60"/>
  <c r="D66" i="60"/>
  <c r="F65" i="60"/>
  <c r="E65" i="60"/>
  <c r="D65" i="60"/>
  <c r="F64" i="60"/>
  <c r="E64" i="60"/>
  <c r="D64" i="60"/>
  <c r="F63" i="60"/>
  <c r="E63" i="60"/>
  <c r="D63" i="60"/>
  <c r="F62" i="60"/>
  <c r="E62" i="60"/>
  <c r="D62" i="60"/>
  <c r="F61" i="60"/>
  <c r="E61" i="60"/>
  <c r="D61" i="60"/>
  <c r="F60" i="60"/>
  <c r="E60" i="60"/>
  <c r="D60" i="60"/>
  <c r="F59" i="60"/>
  <c r="E59" i="60"/>
  <c r="D59" i="60"/>
  <c r="F58" i="60"/>
  <c r="E58" i="60"/>
  <c r="D58" i="60"/>
  <c r="F57" i="60"/>
  <c r="E57" i="60"/>
  <c r="D57" i="60"/>
  <c r="F56" i="60"/>
  <c r="E56" i="60"/>
  <c r="D56" i="60"/>
  <c r="F55" i="60"/>
  <c r="E55" i="60"/>
  <c r="D55" i="60"/>
  <c r="F54" i="60"/>
  <c r="E54" i="60"/>
  <c r="D54" i="60"/>
  <c r="F53" i="60"/>
  <c r="E53" i="60"/>
  <c r="D53" i="60"/>
  <c r="F52" i="60"/>
  <c r="E52" i="60"/>
  <c r="D52" i="60"/>
  <c r="F51" i="60"/>
  <c r="E51" i="60"/>
  <c r="D51" i="60"/>
  <c r="F50" i="60"/>
  <c r="E50" i="60"/>
  <c r="D50" i="60"/>
  <c r="F49" i="60"/>
  <c r="E49" i="60"/>
  <c r="D49" i="60"/>
  <c r="F48" i="60"/>
  <c r="E48" i="60"/>
  <c r="D48" i="60"/>
  <c r="F47" i="60"/>
  <c r="E47" i="60"/>
  <c r="D47" i="60"/>
  <c r="F46" i="60"/>
  <c r="E46" i="60"/>
  <c r="D46" i="60"/>
  <c r="F45" i="60"/>
  <c r="E45" i="60"/>
  <c r="D45" i="60"/>
  <c r="F44" i="60"/>
  <c r="E44" i="60"/>
  <c r="D44" i="60"/>
  <c r="F43" i="60"/>
  <c r="E43" i="60"/>
  <c r="D43" i="60"/>
  <c r="F42" i="60"/>
  <c r="E42" i="60"/>
  <c r="D42" i="60"/>
  <c r="F41" i="60"/>
  <c r="E41" i="60"/>
  <c r="D41" i="60"/>
  <c r="F40" i="60"/>
  <c r="E40" i="60"/>
  <c r="D40" i="60"/>
  <c r="F39" i="60"/>
  <c r="E39" i="60"/>
  <c r="D39" i="60"/>
  <c r="F38" i="60"/>
  <c r="E38" i="60"/>
  <c r="D38" i="60"/>
  <c r="F37" i="60"/>
  <c r="E37" i="60"/>
  <c r="D37" i="60"/>
  <c r="F36" i="60"/>
  <c r="E36" i="60"/>
  <c r="D36" i="60"/>
  <c r="F35" i="60"/>
  <c r="E35" i="60"/>
  <c r="D35" i="60"/>
  <c r="F34" i="60"/>
  <c r="E34" i="60"/>
  <c r="D34" i="60"/>
  <c r="F33" i="60"/>
  <c r="E33" i="60"/>
  <c r="D33" i="60"/>
  <c r="F32" i="60"/>
  <c r="E32" i="60"/>
  <c r="D32" i="60"/>
  <c r="F31" i="60"/>
  <c r="E31" i="60"/>
  <c r="D31" i="60"/>
  <c r="F30" i="60"/>
  <c r="E30" i="60"/>
  <c r="D30" i="60"/>
  <c r="F29" i="60"/>
  <c r="E29" i="60"/>
  <c r="D29" i="60"/>
  <c r="F28" i="60"/>
  <c r="E28" i="60"/>
  <c r="D28" i="60"/>
  <c r="F27" i="60"/>
  <c r="E27" i="60"/>
  <c r="D27" i="60"/>
  <c r="F26" i="60"/>
  <c r="E26" i="60"/>
  <c r="D26" i="60"/>
  <c r="F25" i="60"/>
  <c r="E25" i="60"/>
  <c r="D25" i="60"/>
  <c r="F24" i="60"/>
  <c r="E24" i="60"/>
  <c r="D24" i="60"/>
  <c r="F23" i="60"/>
  <c r="E23" i="60"/>
  <c r="D23" i="60"/>
  <c r="F22" i="60"/>
  <c r="E22" i="60"/>
  <c r="D22" i="60"/>
  <c r="F21" i="60"/>
  <c r="E21" i="60"/>
  <c r="D21" i="60"/>
  <c r="F20" i="60"/>
  <c r="E20" i="60"/>
  <c r="D20" i="60"/>
  <c r="F19" i="60"/>
  <c r="E19" i="60"/>
  <c r="D19" i="60"/>
  <c r="F18" i="60"/>
  <c r="E18" i="60"/>
  <c r="D18" i="60"/>
  <c r="F17" i="60"/>
  <c r="E17" i="60"/>
  <c r="D17" i="60"/>
  <c r="F16" i="60"/>
  <c r="E16" i="60"/>
  <c r="D16" i="60"/>
  <c r="F15" i="60"/>
  <c r="E15" i="60"/>
  <c r="D15" i="60"/>
  <c r="F14" i="60"/>
  <c r="E14" i="60"/>
  <c r="D14" i="60"/>
  <c r="F13" i="60"/>
  <c r="E13" i="60"/>
  <c r="D13" i="60"/>
  <c r="F12" i="60"/>
  <c r="E12" i="60"/>
  <c r="D12" i="60"/>
  <c r="F11" i="60"/>
  <c r="E11" i="60"/>
  <c r="D11" i="60"/>
  <c r="F10" i="60"/>
  <c r="E10" i="60"/>
  <c r="D10" i="60"/>
  <c r="F9" i="60"/>
  <c r="E9" i="60"/>
  <c r="D9" i="60"/>
  <c r="F8" i="60"/>
  <c r="E8" i="60"/>
  <c r="D8" i="60"/>
  <c r="F7" i="60"/>
  <c r="E7" i="60"/>
  <c r="D7" i="60"/>
  <c r="F6" i="60"/>
  <c r="E6" i="60"/>
  <c r="D6" i="60"/>
  <c r="F5" i="60"/>
  <c r="E5" i="60"/>
  <c r="D5" i="60"/>
  <c r="AV124" i="60"/>
  <c r="AW124" i="60" s="1"/>
  <c r="AU124" i="60"/>
  <c r="AV123" i="60"/>
  <c r="AW123" i="60" s="1"/>
  <c r="AU123" i="60"/>
  <c r="AV122" i="60"/>
  <c r="AW122" i="60" s="1"/>
  <c r="AU122" i="60"/>
  <c r="AV121" i="60"/>
  <c r="AW121" i="60" s="1"/>
  <c r="AU121" i="60"/>
  <c r="AV120" i="60"/>
  <c r="AW120" i="60" s="1"/>
  <c r="AU120" i="60"/>
  <c r="AV119" i="60"/>
  <c r="AW119" i="60" s="1"/>
  <c r="AU119" i="60"/>
  <c r="AV118" i="60"/>
  <c r="AW118" i="60" s="1"/>
  <c r="AU118" i="60"/>
  <c r="AV117" i="60"/>
  <c r="AW117" i="60" s="1"/>
  <c r="AU117" i="60"/>
  <c r="AV116" i="60"/>
  <c r="AW116" i="60" s="1"/>
  <c r="AU116" i="60"/>
  <c r="AV115" i="60"/>
  <c r="AW115" i="60" s="1"/>
  <c r="AU115" i="60"/>
  <c r="AV114" i="60"/>
  <c r="AW114" i="60" s="1"/>
  <c r="AU114" i="60"/>
  <c r="AV113" i="60"/>
  <c r="AW113" i="60" s="1"/>
  <c r="AU113" i="60"/>
  <c r="AV112" i="60"/>
  <c r="AW112" i="60" s="1"/>
  <c r="AU112" i="60"/>
  <c r="AV111" i="60"/>
  <c r="AW111" i="60" s="1"/>
  <c r="AU111" i="60"/>
  <c r="AV110" i="60"/>
  <c r="AW110" i="60" s="1"/>
  <c r="AU110" i="60"/>
  <c r="AV109" i="60"/>
  <c r="AW109" i="60" s="1"/>
  <c r="AU109" i="60"/>
  <c r="AV108" i="60"/>
  <c r="AW108" i="60" s="1"/>
  <c r="AU108" i="60"/>
  <c r="AV107" i="60"/>
  <c r="AW107" i="60" s="1"/>
  <c r="AU107" i="60"/>
  <c r="AV106" i="60"/>
  <c r="AW106" i="60" s="1"/>
  <c r="AU106" i="60"/>
  <c r="AV105" i="60"/>
  <c r="AW105" i="60" s="1"/>
  <c r="AU105" i="60"/>
  <c r="AV104" i="60"/>
  <c r="AW104" i="60" s="1"/>
  <c r="AU104" i="60"/>
  <c r="AV103" i="60"/>
  <c r="AW103" i="60" s="1"/>
  <c r="AU103" i="60"/>
  <c r="AV102" i="60"/>
  <c r="AW102" i="60" s="1"/>
  <c r="AU102" i="60"/>
  <c r="AV101" i="60"/>
  <c r="AW101" i="60" s="1"/>
  <c r="AU101" i="60"/>
  <c r="AV100" i="60"/>
  <c r="AW100" i="60" s="1"/>
  <c r="AU100" i="60"/>
  <c r="AV99" i="60"/>
  <c r="AW99" i="60" s="1"/>
  <c r="AU99" i="60"/>
  <c r="AV98" i="60"/>
  <c r="AW98" i="60" s="1"/>
  <c r="AU98" i="60"/>
  <c r="AV97" i="60"/>
  <c r="AW97" i="60" s="1"/>
  <c r="AU97" i="60"/>
  <c r="AV96" i="60"/>
  <c r="AW96" i="60" s="1"/>
  <c r="AU96" i="60"/>
  <c r="AV95" i="60"/>
  <c r="AW95" i="60" s="1"/>
  <c r="AU95" i="60"/>
  <c r="AV94" i="60"/>
  <c r="AW94" i="60" s="1"/>
  <c r="AU94" i="60"/>
  <c r="AV93" i="60"/>
  <c r="AW93" i="60" s="1"/>
  <c r="AU93" i="60"/>
  <c r="AV92" i="60"/>
  <c r="AW92" i="60" s="1"/>
  <c r="AU92" i="60"/>
  <c r="AV91" i="60"/>
  <c r="AW91" i="60" s="1"/>
  <c r="AU91" i="60"/>
  <c r="AV90" i="60"/>
  <c r="AW90" i="60" s="1"/>
  <c r="AU90" i="60"/>
  <c r="AV89" i="60"/>
  <c r="AW89" i="60" s="1"/>
  <c r="AU89" i="60"/>
  <c r="AV88" i="60"/>
  <c r="AW88" i="60" s="1"/>
  <c r="AU88" i="60"/>
  <c r="AV87" i="60"/>
  <c r="AW87" i="60" s="1"/>
  <c r="AU87" i="60"/>
  <c r="AV86" i="60"/>
  <c r="AW86" i="60" s="1"/>
  <c r="AU86" i="60"/>
  <c r="AV85" i="60"/>
  <c r="AW85" i="60" s="1"/>
  <c r="AU85" i="60"/>
  <c r="AV84" i="60"/>
  <c r="AW84" i="60" s="1"/>
  <c r="AU84" i="60"/>
  <c r="AV83" i="60"/>
  <c r="AW83" i="60" s="1"/>
  <c r="AU83" i="60"/>
  <c r="AV82" i="60"/>
  <c r="AW82" i="60" s="1"/>
  <c r="AU82" i="60"/>
  <c r="AV81" i="60"/>
  <c r="AW81" i="60" s="1"/>
  <c r="AU81" i="60"/>
  <c r="AV80" i="60"/>
  <c r="AW80" i="60" s="1"/>
  <c r="AU80" i="60"/>
  <c r="AV79" i="60"/>
  <c r="AW79" i="60" s="1"/>
  <c r="AU79" i="60"/>
  <c r="AV78" i="60"/>
  <c r="AW78" i="60" s="1"/>
  <c r="AU78" i="60"/>
  <c r="AV77" i="60"/>
  <c r="AW77" i="60" s="1"/>
  <c r="AU77" i="60"/>
  <c r="AV76" i="60"/>
  <c r="AW76" i="60" s="1"/>
  <c r="AU76" i="60"/>
  <c r="AV75" i="60"/>
  <c r="AW75" i="60" s="1"/>
  <c r="AU75" i="60"/>
  <c r="AV74" i="60"/>
  <c r="AW74" i="60" s="1"/>
  <c r="AU74" i="60"/>
  <c r="AV73" i="60"/>
  <c r="AW73" i="60" s="1"/>
  <c r="AU73" i="60"/>
  <c r="AV72" i="60"/>
  <c r="AW72" i="60" s="1"/>
  <c r="AU72" i="60"/>
  <c r="AV71" i="60"/>
  <c r="AW71" i="60" s="1"/>
  <c r="AU71" i="60"/>
  <c r="AV70" i="60"/>
  <c r="AW70" i="60" s="1"/>
  <c r="AU70" i="60"/>
  <c r="AV69" i="60"/>
  <c r="AW69" i="60" s="1"/>
  <c r="AU69" i="60"/>
  <c r="AV68" i="60"/>
  <c r="AW68" i="60" s="1"/>
  <c r="AU68" i="60"/>
  <c r="AV67" i="60"/>
  <c r="AW67" i="60" s="1"/>
  <c r="AU67" i="60"/>
  <c r="AV66" i="60"/>
  <c r="AW66" i="60" s="1"/>
  <c r="AU66" i="60"/>
  <c r="AV65" i="60"/>
  <c r="AW65" i="60" s="1"/>
  <c r="AU65" i="60"/>
  <c r="AV64" i="60"/>
  <c r="AW64" i="60" s="1"/>
  <c r="AU64" i="60"/>
  <c r="AV63" i="60"/>
  <c r="AW63" i="60" s="1"/>
  <c r="AU63" i="60"/>
  <c r="AV62" i="60"/>
  <c r="AW62" i="60" s="1"/>
  <c r="AU62" i="60"/>
  <c r="AV61" i="60"/>
  <c r="AW61" i="60" s="1"/>
  <c r="AU61" i="60"/>
  <c r="AV60" i="60"/>
  <c r="AW60" i="60" s="1"/>
  <c r="AU60" i="60"/>
  <c r="AV59" i="60"/>
  <c r="AW59" i="60" s="1"/>
  <c r="AU59" i="60"/>
  <c r="AV58" i="60"/>
  <c r="AW58" i="60" s="1"/>
  <c r="AU58" i="60"/>
  <c r="AV57" i="60"/>
  <c r="AW57" i="60" s="1"/>
  <c r="AU57" i="60"/>
  <c r="AV56" i="60"/>
  <c r="AW56" i="60" s="1"/>
  <c r="AU56" i="60"/>
  <c r="AV55" i="60"/>
  <c r="AW55" i="60" s="1"/>
  <c r="AU55" i="60"/>
  <c r="AV54" i="60"/>
  <c r="AW54" i="60" s="1"/>
  <c r="AU54" i="60"/>
  <c r="AV53" i="60"/>
  <c r="AW53" i="60" s="1"/>
  <c r="AU53" i="60"/>
  <c r="AV52" i="60"/>
  <c r="AW52" i="60" s="1"/>
  <c r="AU52" i="60"/>
  <c r="AV51" i="60"/>
  <c r="AW51" i="60" s="1"/>
  <c r="AU51" i="60"/>
  <c r="AV50" i="60"/>
  <c r="AW50" i="60" s="1"/>
  <c r="AU50" i="60"/>
  <c r="AV49" i="60"/>
  <c r="AW49" i="60" s="1"/>
  <c r="AU49" i="60"/>
  <c r="AV48" i="60"/>
  <c r="AW48" i="60" s="1"/>
  <c r="AU48" i="60"/>
  <c r="AV47" i="60"/>
  <c r="AW47" i="60" s="1"/>
  <c r="AU47" i="60"/>
  <c r="AV46" i="60"/>
  <c r="AW46" i="60" s="1"/>
  <c r="AU46" i="60"/>
  <c r="AV45" i="60"/>
  <c r="AW45" i="60" s="1"/>
  <c r="AU45" i="60"/>
  <c r="AV44" i="60"/>
  <c r="AW44" i="60" s="1"/>
  <c r="AU44" i="60"/>
  <c r="AV43" i="60"/>
  <c r="AW43" i="60" s="1"/>
  <c r="AU43" i="60"/>
  <c r="AV42" i="60"/>
  <c r="AW42" i="60" s="1"/>
  <c r="AU42" i="60"/>
  <c r="AV41" i="60"/>
  <c r="AW41" i="60" s="1"/>
  <c r="AU41" i="60"/>
  <c r="AV40" i="60"/>
  <c r="AW40" i="60" s="1"/>
  <c r="AU40" i="60"/>
  <c r="AV39" i="60"/>
  <c r="AW39" i="60" s="1"/>
  <c r="AU39" i="60"/>
  <c r="AV38" i="60"/>
  <c r="AW38" i="60" s="1"/>
  <c r="AU38" i="60"/>
  <c r="AV37" i="60"/>
  <c r="AW37" i="60" s="1"/>
  <c r="AU37" i="60"/>
  <c r="AV36" i="60"/>
  <c r="AW36" i="60" s="1"/>
  <c r="AU36" i="60"/>
  <c r="AV35" i="60"/>
  <c r="AW35" i="60" s="1"/>
  <c r="AU35" i="60"/>
  <c r="AV34" i="60"/>
  <c r="AW34" i="60" s="1"/>
  <c r="AU34" i="60"/>
  <c r="AV33" i="60"/>
  <c r="AW33" i="60" s="1"/>
  <c r="AU33" i="60"/>
  <c r="AV32" i="60"/>
  <c r="AW32" i="60" s="1"/>
  <c r="AU32" i="60"/>
  <c r="AV31" i="60"/>
  <c r="AW31" i="60" s="1"/>
  <c r="AU31" i="60"/>
  <c r="AV30" i="60"/>
  <c r="AW30" i="60" s="1"/>
  <c r="AU30" i="60"/>
  <c r="AV29" i="60"/>
  <c r="AW29" i="60" s="1"/>
  <c r="AU29" i="60"/>
  <c r="AV28" i="60"/>
  <c r="AW28" i="60" s="1"/>
  <c r="AU28" i="60"/>
  <c r="AV27" i="60"/>
  <c r="AW27" i="60" s="1"/>
  <c r="AU27" i="60"/>
  <c r="AV26" i="60"/>
  <c r="AW26" i="60" s="1"/>
  <c r="AU26" i="60"/>
  <c r="AV25" i="60"/>
  <c r="AW25" i="60" s="1"/>
  <c r="AU25" i="60"/>
  <c r="AV24" i="60"/>
  <c r="AW24" i="60" s="1"/>
  <c r="AU24" i="60"/>
  <c r="AV23" i="60"/>
  <c r="AW23" i="60" s="1"/>
  <c r="AU23" i="60"/>
  <c r="AV22" i="60"/>
  <c r="AW22" i="60" s="1"/>
  <c r="AU22" i="60"/>
  <c r="AV21" i="60"/>
  <c r="AW21" i="60" s="1"/>
  <c r="AU21" i="60"/>
  <c r="AV20" i="60"/>
  <c r="AW20" i="60" s="1"/>
  <c r="AU20" i="60"/>
  <c r="AV19" i="60"/>
  <c r="AW19" i="60" s="1"/>
  <c r="AU19" i="60"/>
  <c r="AV18" i="60"/>
  <c r="AW18" i="60" s="1"/>
  <c r="AU18" i="60"/>
  <c r="AV17" i="60"/>
  <c r="AW17" i="60" s="1"/>
  <c r="AU17" i="60"/>
  <c r="AV16" i="60"/>
  <c r="AW16" i="60" s="1"/>
  <c r="AU16" i="60"/>
  <c r="AV15" i="60"/>
  <c r="AW15" i="60" s="1"/>
  <c r="AU15" i="60"/>
  <c r="AV14" i="60"/>
  <c r="AW14" i="60" s="1"/>
  <c r="AU14" i="60"/>
  <c r="AV13" i="60"/>
  <c r="AW13" i="60" s="1"/>
  <c r="AU13" i="60"/>
  <c r="AV12" i="60"/>
  <c r="AW12" i="60" s="1"/>
  <c r="AU12" i="60"/>
  <c r="AV11" i="60"/>
  <c r="AW11" i="60" s="1"/>
  <c r="AU11" i="60"/>
  <c r="AV10" i="60"/>
  <c r="AW10" i="60" s="1"/>
  <c r="AU10" i="60"/>
  <c r="AV9" i="60"/>
  <c r="AW9" i="60" s="1"/>
  <c r="AU9" i="60"/>
  <c r="AV8" i="60"/>
  <c r="AW8" i="60" s="1"/>
  <c r="AU8" i="60"/>
  <c r="AV7" i="60"/>
  <c r="AW7" i="60" s="1"/>
  <c r="AU7" i="60"/>
  <c r="AV6" i="60"/>
  <c r="AW6" i="60" s="1"/>
  <c r="AU6" i="60"/>
  <c r="AV5" i="60"/>
  <c r="AW5" i="60" s="1"/>
  <c r="AU5" i="60"/>
  <c r="AT4" i="60"/>
  <c r="AS4" i="60"/>
  <c r="AR4" i="60"/>
  <c r="AQ4" i="60"/>
  <c r="AP4" i="60"/>
  <c r="DO5" i="56"/>
  <c r="DN4" i="56"/>
  <c r="DM4" i="56"/>
  <c r="DL4" i="56"/>
  <c r="DK4" i="56"/>
  <c r="DJ4" i="56"/>
  <c r="DO124" i="56"/>
  <c r="DO123" i="56"/>
  <c r="DO122" i="56"/>
  <c r="DO121" i="56"/>
  <c r="DO120" i="56"/>
  <c r="DO119" i="56"/>
  <c r="DO118" i="56"/>
  <c r="DO117" i="56"/>
  <c r="DO116" i="56"/>
  <c r="DO115" i="56"/>
  <c r="DO114" i="56"/>
  <c r="DO113" i="56"/>
  <c r="DO112" i="56"/>
  <c r="DO111" i="56"/>
  <c r="DO110" i="56"/>
  <c r="DO109" i="56"/>
  <c r="DO108" i="56"/>
  <c r="DO107" i="56"/>
  <c r="DO106" i="56"/>
  <c r="DO105" i="56"/>
  <c r="DO104" i="56"/>
  <c r="DO103" i="56"/>
  <c r="DO102" i="56"/>
  <c r="DO101" i="56"/>
  <c r="DO100" i="56"/>
  <c r="DO99" i="56"/>
  <c r="DO98" i="56"/>
  <c r="DO97" i="56"/>
  <c r="DO96" i="56"/>
  <c r="DO95" i="56"/>
  <c r="DO94" i="56"/>
  <c r="DO93" i="56"/>
  <c r="DO92" i="56"/>
  <c r="DO91" i="56"/>
  <c r="DO90" i="56"/>
  <c r="DO89" i="56"/>
  <c r="DO88" i="56"/>
  <c r="DO87" i="56"/>
  <c r="DO86" i="56"/>
  <c r="DO85" i="56"/>
  <c r="DO84" i="56"/>
  <c r="DO83" i="56"/>
  <c r="DO82" i="56"/>
  <c r="DO81" i="56"/>
  <c r="DO80" i="56"/>
  <c r="DO79" i="56"/>
  <c r="DO78" i="56"/>
  <c r="DO77" i="56"/>
  <c r="DO76" i="56"/>
  <c r="DO75" i="56"/>
  <c r="DO74" i="56"/>
  <c r="DO73" i="56"/>
  <c r="DO72" i="56"/>
  <c r="DO71" i="56"/>
  <c r="DO70" i="56"/>
  <c r="DO69" i="56"/>
  <c r="DO68" i="56"/>
  <c r="DO67" i="56"/>
  <c r="DO66" i="56"/>
  <c r="DO65" i="56"/>
  <c r="DO64" i="56"/>
  <c r="DO63" i="56"/>
  <c r="DO62" i="56"/>
  <c r="DO61" i="56"/>
  <c r="DO60" i="56"/>
  <c r="DO59" i="56"/>
  <c r="DO58" i="56"/>
  <c r="DO57" i="56"/>
  <c r="DO56" i="56"/>
  <c r="DO55" i="56"/>
  <c r="DO54" i="56"/>
  <c r="DO53" i="56"/>
  <c r="DO52" i="56"/>
  <c r="DO51" i="56"/>
  <c r="DO50" i="56"/>
  <c r="DO49" i="56"/>
  <c r="DO48" i="56"/>
  <c r="DO47" i="56"/>
  <c r="DO46" i="56"/>
  <c r="DO45" i="56"/>
  <c r="DO44" i="56"/>
  <c r="DO43" i="56"/>
  <c r="DO42" i="56"/>
  <c r="DO41" i="56"/>
  <c r="DO40" i="56"/>
  <c r="DO39" i="56"/>
  <c r="DO38" i="56"/>
  <c r="DO37" i="56"/>
  <c r="DO36" i="56"/>
  <c r="DO35" i="56"/>
  <c r="DO34" i="56"/>
  <c r="DO33" i="56"/>
  <c r="DO32" i="56"/>
  <c r="DO31" i="56"/>
  <c r="DO30" i="56"/>
  <c r="DO29" i="56"/>
  <c r="DO28" i="56"/>
  <c r="DO27" i="56"/>
  <c r="DO26" i="56"/>
  <c r="DO25" i="56"/>
  <c r="DO24" i="56"/>
  <c r="DO23" i="56"/>
  <c r="DO22" i="56"/>
  <c r="DO21" i="56"/>
  <c r="DO20" i="56"/>
  <c r="DO19" i="56"/>
  <c r="DO18" i="56"/>
  <c r="DO17" i="56"/>
  <c r="DO16" i="56"/>
  <c r="DO15" i="56"/>
  <c r="DO14" i="56"/>
  <c r="DO13" i="56"/>
  <c r="DO12" i="56"/>
  <c r="DO11" i="56"/>
  <c r="DO10" i="56"/>
  <c r="DO9" i="56"/>
  <c r="DO8" i="56"/>
  <c r="DO7" i="56"/>
  <c r="DO6" i="56"/>
  <c r="H124" i="55"/>
  <c r="H123" i="55"/>
  <c r="H122" i="55"/>
  <c r="H121" i="55"/>
  <c r="H120" i="55"/>
  <c r="H119" i="55"/>
  <c r="H118" i="55"/>
  <c r="H117" i="55"/>
  <c r="H116" i="55"/>
  <c r="H115" i="55"/>
  <c r="H114" i="55"/>
  <c r="H113" i="55"/>
  <c r="H112" i="55"/>
  <c r="H111" i="55"/>
  <c r="H110" i="55"/>
  <c r="H109" i="55"/>
  <c r="H108" i="55"/>
  <c r="H107" i="55"/>
  <c r="H106" i="55"/>
  <c r="H105" i="55"/>
  <c r="H104" i="55"/>
  <c r="H103" i="55"/>
  <c r="H102" i="55"/>
  <c r="H101" i="55"/>
  <c r="H100" i="55"/>
  <c r="H99" i="55"/>
  <c r="H98" i="55"/>
  <c r="H97" i="55"/>
  <c r="H96" i="55"/>
  <c r="H95" i="55"/>
  <c r="H94" i="55"/>
  <c r="H93" i="55"/>
  <c r="H92" i="55"/>
  <c r="H91" i="55"/>
  <c r="H90" i="55"/>
  <c r="H89" i="55"/>
  <c r="H88" i="55"/>
  <c r="H87" i="55"/>
  <c r="H86" i="55"/>
  <c r="H85" i="55"/>
  <c r="H84" i="55"/>
  <c r="H83" i="55"/>
  <c r="H82" i="55"/>
  <c r="H81" i="55"/>
  <c r="H80" i="55"/>
  <c r="H79" i="55"/>
  <c r="H78" i="55"/>
  <c r="H77" i="55"/>
  <c r="H76" i="55"/>
  <c r="H75" i="55"/>
  <c r="H74" i="55"/>
  <c r="H73" i="55"/>
  <c r="H72" i="55"/>
  <c r="H71" i="55"/>
  <c r="H70" i="55"/>
  <c r="H69" i="55"/>
  <c r="H68" i="55"/>
  <c r="H67" i="55"/>
  <c r="H66" i="55"/>
  <c r="H65" i="55"/>
  <c r="H64" i="55"/>
  <c r="H63" i="55"/>
  <c r="H62" i="55"/>
  <c r="H61" i="55"/>
  <c r="H60" i="55"/>
  <c r="H59" i="55"/>
  <c r="H58" i="55"/>
  <c r="H57" i="55"/>
  <c r="H56" i="55"/>
  <c r="H55" i="55"/>
  <c r="H54" i="55"/>
  <c r="H53" i="55"/>
  <c r="H52" i="55"/>
  <c r="H51" i="55"/>
  <c r="H50" i="55"/>
  <c r="H49" i="55"/>
  <c r="H48" i="55"/>
  <c r="H47" i="55"/>
  <c r="H46" i="55"/>
  <c r="H45" i="55"/>
  <c r="H44" i="55"/>
  <c r="H43" i="55"/>
  <c r="H42" i="55"/>
  <c r="H41" i="55"/>
  <c r="H40" i="55"/>
  <c r="H39" i="55"/>
  <c r="H38" i="55"/>
  <c r="H37" i="55"/>
  <c r="H36" i="55"/>
  <c r="H35" i="55"/>
  <c r="H34" i="55"/>
  <c r="H33" i="55"/>
  <c r="H32" i="55"/>
  <c r="H31" i="55"/>
  <c r="H30" i="55"/>
  <c r="H29" i="55"/>
  <c r="H28" i="55"/>
  <c r="H27" i="55"/>
  <c r="H26" i="55"/>
  <c r="H25" i="55"/>
  <c r="H24" i="55"/>
  <c r="H23" i="55"/>
  <c r="H22" i="55"/>
  <c r="H21" i="55"/>
  <c r="H20" i="55"/>
  <c r="H19" i="55"/>
  <c r="H18" i="55"/>
  <c r="H17" i="55"/>
  <c r="H16" i="55"/>
  <c r="H15" i="55"/>
  <c r="H14" i="55"/>
  <c r="H13" i="55"/>
  <c r="H12" i="55"/>
  <c r="H11" i="55"/>
  <c r="H10" i="55"/>
  <c r="H9" i="55"/>
  <c r="H8" i="55"/>
  <c r="H7" i="55"/>
  <c r="H6" i="55"/>
  <c r="H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G98" i="55"/>
  <c r="G97" i="55"/>
  <c r="G96" i="55"/>
  <c r="G95" i="55"/>
  <c r="G94" i="55"/>
  <c r="G93" i="55"/>
  <c r="G92" i="55"/>
  <c r="G91" i="55"/>
  <c r="G90" i="55"/>
  <c r="G89" i="55"/>
  <c r="G88" i="55"/>
  <c r="G87" i="55"/>
  <c r="G86" i="55"/>
  <c r="G85" i="55"/>
  <c r="G84" i="55"/>
  <c r="G83" i="55"/>
  <c r="G82" i="55"/>
  <c r="G81" i="55"/>
  <c r="G80" i="55"/>
  <c r="G79" i="55"/>
  <c r="G78" i="55"/>
  <c r="G77" i="55"/>
  <c r="G76" i="55"/>
  <c r="G75" i="55"/>
  <c r="G74" i="55"/>
  <c r="G73" i="55"/>
  <c r="G72" i="55"/>
  <c r="G71" i="55"/>
  <c r="G70" i="55"/>
  <c r="G69" i="55"/>
  <c r="G68" i="55"/>
  <c r="G67" i="55"/>
  <c r="G66" i="55"/>
  <c r="G65" i="55"/>
  <c r="G64" i="55"/>
  <c r="G63" i="55"/>
  <c r="G62" i="55"/>
  <c r="G61" i="55"/>
  <c r="G60" i="55"/>
  <c r="G59"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G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D13" i="55"/>
  <c r="D12" i="55"/>
  <c r="D11" i="55"/>
  <c r="D10" i="55"/>
  <c r="D9" i="55"/>
  <c r="D8" i="55"/>
  <c r="D7" i="55"/>
  <c r="D6" i="55"/>
  <c r="D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E124" i="55"/>
  <c r="E123" i="55"/>
  <c r="E122" i="55"/>
  <c r="E121" i="55"/>
  <c r="E120" i="55"/>
  <c r="E119" i="55"/>
  <c r="E118" i="55"/>
  <c r="E117" i="55"/>
  <c r="E116" i="55"/>
  <c r="E115" i="55"/>
  <c r="E114" i="55"/>
  <c r="E113" i="55"/>
  <c r="E112" i="55"/>
  <c r="E111" i="55"/>
  <c r="E110" i="55"/>
  <c r="E109" i="55"/>
  <c r="E108" i="55"/>
  <c r="E107" i="55"/>
  <c r="E106" i="55"/>
  <c r="E105" i="55"/>
  <c r="E104" i="55"/>
  <c r="E103" i="55"/>
  <c r="E102" i="55"/>
  <c r="E101" i="55"/>
  <c r="E100" i="55"/>
  <c r="E99" i="55"/>
  <c r="E98" i="55"/>
  <c r="E97" i="55"/>
  <c r="E96" i="55"/>
  <c r="E95" i="55"/>
  <c r="E94" i="55"/>
  <c r="E93" i="55"/>
  <c r="E92" i="55"/>
  <c r="E91" i="55"/>
  <c r="E90" i="55"/>
  <c r="E89" i="55"/>
  <c r="E88" i="55"/>
  <c r="E87" i="55"/>
  <c r="E86" i="55"/>
  <c r="E85" i="55"/>
  <c r="E84" i="55"/>
  <c r="E83" i="55"/>
  <c r="E82" i="55"/>
  <c r="E81" i="55"/>
  <c r="E80" i="55"/>
  <c r="E79" i="55"/>
  <c r="E78" i="55"/>
  <c r="E77" i="55"/>
  <c r="E76" i="55"/>
  <c r="E75" i="55"/>
  <c r="E74" i="55"/>
  <c r="E73" i="55"/>
  <c r="E72" i="55"/>
  <c r="E71" i="55"/>
  <c r="E70" i="55"/>
  <c r="E69" i="55"/>
  <c r="E68" i="55"/>
  <c r="E67" i="55"/>
  <c r="E66" i="55"/>
  <c r="E65" i="55"/>
  <c r="E64" i="55"/>
  <c r="E63" i="55"/>
  <c r="E62" i="55"/>
  <c r="E61" i="55"/>
  <c r="E60" i="55"/>
  <c r="E59" i="55"/>
  <c r="E58" i="55"/>
  <c r="E57" i="55"/>
  <c r="E56" i="55"/>
  <c r="E55" i="55"/>
  <c r="E54" i="55"/>
  <c r="E53" i="55"/>
  <c r="E52" i="55"/>
  <c r="E51" i="55"/>
  <c r="E50" i="55"/>
  <c r="E49" i="55"/>
  <c r="E48" i="55"/>
  <c r="E47" i="55"/>
  <c r="E46" i="55"/>
  <c r="E45" i="55"/>
  <c r="E44" i="55"/>
  <c r="E43" i="55"/>
  <c r="E42" i="55"/>
  <c r="E41" i="55"/>
  <c r="E40" i="55"/>
  <c r="E39" i="55"/>
  <c r="E38" i="55"/>
  <c r="E37" i="55"/>
  <c r="E36" i="55"/>
  <c r="E35" i="55"/>
  <c r="E34" i="55"/>
  <c r="E33" i="55"/>
  <c r="E32" i="55"/>
  <c r="E31" i="55"/>
  <c r="E30" i="55"/>
  <c r="E29" i="55"/>
  <c r="E28" i="55"/>
  <c r="E27" i="55"/>
  <c r="E26" i="55"/>
  <c r="E25" i="55"/>
  <c r="E24" i="55"/>
  <c r="E23" i="55"/>
  <c r="E22" i="55"/>
  <c r="E21" i="55"/>
  <c r="E20" i="55"/>
  <c r="E19" i="55"/>
  <c r="E18" i="55"/>
  <c r="E17" i="55"/>
  <c r="E16" i="55"/>
  <c r="E15" i="55"/>
  <c r="E14" i="55"/>
  <c r="E13" i="55"/>
  <c r="E12" i="55"/>
  <c r="E11" i="55"/>
  <c r="E10" i="55"/>
  <c r="E9" i="55"/>
  <c r="E8" i="55"/>
  <c r="E7" i="55"/>
  <c r="E6" i="55"/>
  <c r="E5" i="55"/>
  <c r="AI124" i="53"/>
  <c r="AI123" i="53"/>
  <c r="AI122" i="53"/>
  <c r="AI121" i="53"/>
  <c r="AI120" i="53"/>
  <c r="AI119" i="53"/>
  <c r="AI118" i="53"/>
  <c r="AI117" i="53"/>
  <c r="AI116" i="53"/>
  <c r="AI115" i="53"/>
  <c r="AI114" i="53"/>
  <c r="AI113" i="53"/>
  <c r="AI112" i="53"/>
  <c r="AI111" i="53"/>
  <c r="AI110" i="53"/>
  <c r="AI109" i="53"/>
  <c r="AI108" i="53"/>
  <c r="AI107" i="53"/>
  <c r="AI106" i="53"/>
  <c r="AI105" i="53"/>
  <c r="AI104" i="53"/>
  <c r="AI103" i="53"/>
  <c r="AI102" i="53"/>
  <c r="AI101" i="53"/>
  <c r="AI100" i="53"/>
  <c r="AI99" i="53"/>
  <c r="AI98" i="53"/>
  <c r="AI97" i="53"/>
  <c r="AI96" i="53"/>
  <c r="AI95" i="53"/>
  <c r="AI94" i="53"/>
  <c r="AI93" i="53"/>
  <c r="AI92" i="53"/>
  <c r="AI91" i="53"/>
  <c r="AI90" i="53"/>
  <c r="AI89" i="53"/>
  <c r="AI88" i="53"/>
  <c r="AI87" i="53"/>
  <c r="AI86" i="53"/>
  <c r="AI85" i="53"/>
  <c r="AI84" i="53"/>
  <c r="AI83" i="53"/>
  <c r="AI82" i="53"/>
  <c r="AI81" i="53"/>
  <c r="AI80" i="53"/>
  <c r="AI79" i="53"/>
  <c r="AI78" i="53"/>
  <c r="AI77" i="53"/>
  <c r="AI76" i="53"/>
  <c r="AI75" i="53"/>
  <c r="AI74" i="53"/>
  <c r="AI73" i="53"/>
  <c r="AI72" i="53"/>
  <c r="AI71" i="53"/>
  <c r="AI70" i="53"/>
  <c r="AI69" i="53"/>
  <c r="AI68" i="53"/>
  <c r="AI67" i="53"/>
  <c r="AI66" i="53"/>
  <c r="AI65" i="53"/>
  <c r="AI64" i="53"/>
  <c r="AI63" i="53"/>
  <c r="AI62" i="53"/>
  <c r="AI61" i="53"/>
  <c r="AI60" i="53"/>
  <c r="AI59" i="53"/>
  <c r="AI58" i="53"/>
  <c r="AI57" i="53"/>
  <c r="AI56" i="53"/>
  <c r="AI55" i="53"/>
  <c r="AI54" i="53"/>
  <c r="AI53" i="53"/>
  <c r="AI52" i="53"/>
  <c r="AI51" i="53"/>
  <c r="AI50" i="53"/>
  <c r="AI49" i="53"/>
  <c r="AI48" i="53"/>
  <c r="AI47" i="53"/>
  <c r="AI46" i="53"/>
  <c r="AI45" i="53"/>
  <c r="AI44" i="53"/>
  <c r="AI43" i="53"/>
  <c r="AI42" i="53"/>
  <c r="AI41" i="53"/>
  <c r="AI40" i="53"/>
  <c r="AI39" i="53"/>
  <c r="AI38" i="53"/>
  <c r="AI37" i="53"/>
  <c r="AI36" i="53"/>
  <c r="AI35" i="53"/>
  <c r="AI34" i="53"/>
  <c r="AI33" i="53"/>
  <c r="AI32" i="53"/>
  <c r="AI31" i="53"/>
  <c r="AI30" i="53"/>
  <c r="AI29" i="53"/>
  <c r="AI28" i="53"/>
  <c r="AI27" i="53"/>
  <c r="AI26" i="53"/>
  <c r="AI25" i="53"/>
  <c r="AI24" i="53"/>
  <c r="AI23" i="53"/>
  <c r="AI22" i="53"/>
  <c r="AI21" i="53"/>
  <c r="AI20" i="53"/>
  <c r="AI19" i="53"/>
  <c r="AI18" i="53"/>
  <c r="AI17" i="53"/>
  <c r="AI16" i="53"/>
  <c r="AI15" i="53"/>
  <c r="AI14" i="53"/>
  <c r="AI13" i="53"/>
  <c r="AI12" i="53"/>
  <c r="AI11" i="53"/>
  <c r="AI10" i="53"/>
  <c r="AI9" i="53"/>
  <c r="AI8" i="53"/>
  <c r="AI7" i="53"/>
  <c r="AI6" i="53"/>
  <c r="AI5" i="53"/>
  <c r="AG131" i="53"/>
  <c r="AF131" i="53"/>
  <c r="AE131" i="53"/>
  <c r="V131" i="55"/>
  <c r="U131" i="55"/>
  <c r="S131" i="55"/>
  <c r="Q130" i="53" l="1"/>
  <c r="AI129" i="53"/>
  <c r="AI128" i="53"/>
  <c r="T131" i="55"/>
  <c r="AH131" i="53"/>
  <c r="AI130" i="53"/>
  <c r="DO4" i="56"/>
  <c r="AI126" i="53"/>
  <c r="AI127" i="53"/>
  <c r="Y131" i="53"/>
  <c r="X131" i="53"/>
  <c r="AB131" i="53"/>
  <c r="AC130" i="53"/>
  <c r="AD131" i="53"/>
  <c r="AC128" i="53"/>
  <c r="AC129" i="53"/>
  <c r="AA131" i="53"/>
  <c r="Z131" i="53"/>
  <c r="T131" i="53"/>
  <c r="W128" i="53"/>
  <c r="R131" i="53"/>
  <c r="V131" i="53"/>
  <c r="W130" i="53"/>
  <c r="S131" i="53"/>
  <c r="W126" i="53"/>
  <c r="W129" i="53"/>
  <c r="U131" i="53"/>
  <c r="Q126" i="53"/>
  <c r="L131" i="53"/>
  <c r="P131" i="53"/>
  <c r="N131" i="53"/>
  <c r="M131" i="53"/>
  <c r="Q128" i="53"/>
  <c r="O131" i="53"/>
  <c r="Q129" i="53"/>
  <c r="AP131" i="60"/>
  <c r="AT131" i="60"/>
  <c r="AU4" i="60"/>
  <c r="AQ131" i="60"/>
  <c r="AS131" i="60"/>
  <c r="AR131" i="60"/>
  <c r="AV4" i="60"/>
  <c r="AW4" i="60"/>
  <c r="DM131" i="56"/>
  <c r="DL131" i="56"/>
  <c r="DK131" i="56"/>
  <c r="DJ131" i="56"/>
  <c r="DN131" i="56"/>
  <c r="W127" i="55"/>
  <c r="W128" i="55"/>
  <c r="Q130" i="55"/>
  <c r="Q127" i="53"/>
  <c r="W127" i="53"/>
  <c r="AC126" i="53"/>
  <c r="AC127" i="53"/>
  <c r="W129" i="55"/>
  <c r="W130" i="55"/>
  <c r="O131" i="55"/>
  <c r="Q128" i="55"/>
  <c r="Q126" i="55"/>
  <c r="M131" i="55"/>
  <c r="N131" i="55"/>
  <c r="L131" i="55"/>
  <c r="P131" i="55"/>
  <c r="Q129" i="55"/>
  <c r="Q127" i="55"/>
  <c r="R131" i="55"/>
  <c r="W126" i="55"/>
  <c r="F131" i="60" l="1"/>
  <c r="E131" i="60"/>
  <c r="D131" i="60"/>
  <c r="AI131" i="53"/>
  <c r="E131" i="56"/>
  <c r="D131" i="56"/>
  <c r="G131" i="56"/>
  <c r="F131" i="56"/>
  <c r="H131" i="56"/>
  <c r="AC131" i="53"/>
  <c r="W131" i="53"/>
  <c r="Q131" i="53"/>
  <c r="AV131" i="60"/>
  <c r="AW131" i="60" s="1"/>
  <c r="AU131" i="60"/>
  <c r="DO131" i="56"/>
  <c r="W131" i="55"/>
  <c r="Q131" i="55"/>
  <c r="DY131" i="56" l="1"/>
  <c r="DX131" i="56"/>
  <c r="DW131" i="56"/>
  <c r="DV131" i="56"/>
  <c r="H130" i="57"/>
  <c r="H128" i="57"/>
  <c r="H126" i="57"/>
  <c r="G130" i="57"/>
  <c r="G129" i="57"/>
  <c r="G128" i="57"/>
  <c r="G127" i="57"/>
  <c r="G126" i="57"/>
  <c r="I131" i="59"/>
  <c r="G131" i="59"/>
  <c r="G131" i="61" l="1"/>
  <c r="H127" i="57"/>
  <c r="H129" i="57"/>
  <c r="J131" i="57"/>
  <c r="F131" i="59"/>
  <c r="H131" i="59"/>
  <c r="M131" i="60"/>
  <c r="N131" i="60"/>
  <c r="AA131" i="60"/>
  <c r="Z131" i="60"/>
  <c r="AD131" i="60"/>
  <c r="AK131" i="60"/>
  <c r="E131" i="59"/>
  <c r="E131" i="58"/>
  <c r="D131" i="58" s="1"/>
  <c r="D131" i="101"/>
  <c r="AB131" i="60"/>
  <c r="AI131" i="60"/>
  <c r="AL131" i="60"/>
  <c r="J131" i="60"/>
  <c r="D131" i="61"/>
  <c r="AG131" i="56"/>
  <c r="E131" i="101"/>
  <c r="F131" i="101"/>
  <c r="E131" i="117"/>
  <c r="F131" i="117"/>
  <c r="K131" i="60"/>
  <c r="L131" i="60"/>
  <c r="S131" i="60"/>
  <c r="AC131" i="60"/>
  <c r="N131" i="57"/>
  <c r="O131" i="57"/>
  <c r="G131" i="57" s="1"/>
  <c r="I131" i="57"/>
  <c r="CO131" i="56"/>
  <c r="M131" i="56"/>
  <c r="G131" i="101"/>
  <c r="G131" i="117"/>
  <c r="T131" i="60"/>
  <c r="AH131" i="60"/>
  <c r="E131" i="61"/>
  <c r="H131" i="61"/>
  <c r="CP131" i="56"/>
  <c r="BK131" i="56"/>
  <c r="AX131" i="56"/>
  <c r="D131" i="117"/>
  <c r="R131" i="60"/>
  <c r="V131" i="60"/>
  <c r="U131" i="60"/>
  <c r="AJ131" i="60"/>
  <c r="F131" i="61"/>
  <c r="M131" i="57"/>
  <c r="CN131" i="56"/>
  <c r="CM131" i="56"/>
  <c r="CF131" i="56"/>
  <c r="CJ131" i="56"/>
  <c r="DZ131" i="56"/>
  <c r="DP131" i="56"/>
  <c r="DT131" i="56"/>
  <c r="DS131" i="56"/>
  <c r="DQ131" i="56"/>
  <c r="DR131" i="56"/>
  <c r="BD131" i="56"/>
  <c r="BE131" i="56"/>
  <c r="BB131" i="56"/>
  <c r="BF131" i="56"/>
  <c r="BI131" i="56"/>
  <c r="BL131" i="56"/>
  <c r="BJ131" i="56"/>
  <c r="BN131" i="56"/>
  <c r="BR131" i="56"/>
  <c r="BO131" i="56"/>
  <c r="BP131" i="56"/>
  <c r="BQ131" i="56"/>
  <c r="BV131" i="56"/>
  <c r="BU131" i="56"/>
  <c r="BT131" i="56"/>
  <c r="BX131" i="56"/>
  <c r="BW131" i="56"/>
  <c r="CC131" i="56"/>
  <c r="CA131" i="56"/>
  <c r="BZ131" i="56"/>
  <c r="CD131" i="56"/>
  <c r="CB131" i="56"/>
  <c r="CI131" i="56"/>
  <c r="CG131" i="56"/>
  <c r="CH131" i="56"/>
  <c r="CL131" i="56"/>
  <c r="CZ131" i="56"/>
  <c r="CY131" i="56"/>
  <c r="CU131" i="56"/>
  <c r="CT131" i="56"/>
  <c r="CS131" i="56"/>
  <c r="CR131" i="56"/>
  <c r="CV131" i="56"/>
  <c r="DB131" i="56"/>
  <c r="CX131" i="56"/>
  <c r="DA131" i="56"/>
  <c r="DF131" i="56"/>
  <c r="DE131" i="56"/>
  <c r="DG131" i="56"/>
  <c r="DH131" i="56"/>
  <c r="AV131" i="56"/>
  <c r="AZ131" i="56"/>
  <c r="AY131" i="56"/>
  <c r="AP131" i="56"/>
  <c r="AT131" i="56"/>
  <c r="AS131" i="56"/>
  <c r="AR131" i="56"/>
  <c r="AL131" i="56"/>
  <c r="AK131" i="56"/>
  <c r="AJ131" i="56"/>
  <c r="AN131" i="56"/>
  <c r="AM131" i="56"/>
  <c r="AE131" i="56"/>
  <c r="AD131" i="56"/>
  <c r="AH131" i="56"/>
  <c r="AF131" i="56"/>
  <c r="Z131" i="56"/>
  <c r="Y131" i="56"/>
  <c r="AA131" i="56"/>
  <c r="X131" i="56"/>
  <c r="AB131" i="56"/>
  <c r="T131" i="56"/>
  <c r="S131" i="56"/>
  <c r="R131" i="56"/>
  <c r="V131" i="56"/>
  <c r="U131" i="56"/>
  <c r="P131" i="56"/>
  <c r="L131" i="56"/>
  <c r="N131" i="56"/>
  <c r="O131" i="56"/>
  <c r="AQ131" i="56"/>
  <c r="AW131" i="56"/>
  <c r="BC131" i="56"/>
  <c r="BH131" i="56"/>
  <c r="DD131" i="56"/>
  <c r="AF131" i="60" l="1"/>
  <c r="J131" i="61"/>
  <c r="H131" i="57"/>
  <c r="CQ131" i="56"/>
  <c r="CK131" i="56"/>
  <c r="AC131" i="56"/>
  <c r="AG131" i="60"/>
  <c r="AI131" i="56"/>
  <c r="BA131" i="56"/>
  <c r="EA131" i="56"/>
  <c r="DU131" i="56"/>
  <c r="BG131" i="56"/>
  <c r="BM131" i="56"/>
  <c r="BS131" i="56"/>
  <c r="BY131" i="56"/>
  <c r="CE131" i="56"/>
  <c r="DC131" i="56"/>
  <c r="CW131" i="56"/>
  <c r="DI131" i="56"/>
  <c r="AU131" i="56"/>
  <c r="AO131" i="56"/>
  <c r="W131" i="56"/>
  <c r="Q131" i="56"/>
  <c r="J131" i="56" l="1"/>
  <c r="K131" i="56"/>
  <c r="AM131" i="60" l="1"/>
  <c r="AE131" i="60"/>
  <c r="AN131" i="60"/>
  <c r="AO131" i="60" s="1"/>
  <c r="D130" i="58" l="1"/>
  <c r="D129" i="58"/>
  <c r="D128" i="58"/>
  <c r="D127" i="58"/>
  <c r="D126" i="58"/>
  <c r="F131" i="57"/>
  <c r="L131" i="57"/>
  <c r="L130" i="57"/>
  <c r="L129" i="57"/>
  <c r="L128" i="57"/>
  <c r="L127" i="57"/>
  <c r="E131" i="57"/>
  <c r="F130" i="57"/>
  <c r="E130" i="57"/>
  <c r="F129" i="57"/>
  <c r="E129" i="57"/>
  <c r="F128" i="57"/>
  <c r="E128" i="57"/>
  <c r="F127" i="57"/>
  <c r="E127" i="57"/>
  <c r="L126" i="57"/>
  <c r="F126" i="57"/>
  <c r="E126" i="57"/>
  <c r="E4" i="120"/>
  <c r="D126" i="57" l="1"/>
  <c r="D131" i="57"/>
  <c r="D130" i="57"/>
  <c r="D129" i="57"/>
  <c r="D128" i="57"/>
  <c r="D127" i="57"/>
  <c r="J131" i="101"/>
  <c r="I131" i="101"/>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J124" i="101"/>
  <c r="I124" i="101"/>
  <c r="J123" i="101"/>
  <c r="I123" i="101"/>
  <c r="J122" i="101"/>
  <c r="I122" i="101"/>
  <c r="J121" i="101"/>
  <c r="I121" i="101"/>
  <c r="J120" i="101"/>
  <c r="I120" i="101"/>
  <c r="J119" i="101"/>
  <c r="I119" i="101"/>
  <c r="J118" i="101"/>
  <c r="I118" i="101"/>
  <c r="J117" i="101"/>
  <c r="I117" i="101"/>
  <c r="J116" i="101"/>
  <c r="I116" i="101"/>
  <c r="J115" i="101"/>
  <c r="I115" i="101"/>
  <c r="J114" i="101"/>
  <c r="I114" i="101"/>
  <c r="J113" i="101"/>
  <c r="I113" i="101"/>
  <c r="J112" i="101"/>
  <c r="I112" i="101"/>
  <c r="J111" i="101"/>
  <c r="I111" i="101"/>
  <c r="J110" i="101"/>
  <c r="I110" i="101"/>
  <c r="J109" i="101"/>
  <c r="I109" i="101"/>
  <c r="J108" i="101"/>
  <c r="I108" i="101"/>
  <c r="J107" i="101"/>
  <c r="I107" i="101"/>
  <c r="J106" i="101"/>
  <c r="I106" i="101"/>
  <c r="J105" i="101"/>
  <c r="I105" i="101"/>
  <c r="J104" i="101"/>
  <c r="I104" i="101"/>
  <c r="J103" i="101"/>
  <c r="I103" i="101"/>
  <c r="J102" i="101"/>
  <c r="I102" i="101"/>
  <c r="J101" i="101"/>
  <c r="I101" i="101"/>
  <c r="J100" i="101"/>
  <c r="I100" i="101"/>
  <c r="J99" i="101"/>
  <c r="I99" i="101"/>
  <c r="J98" i="101"/>
  <c r="I98" i="101"/>
  <c r="J97" i="101"/>
  <c r="I97" i="101"/>
  <c r="J96" i="101"/>
  <c r="I96" i="101"/>
  <c r="J95" i="101"/>
  <c r="I95" i="101"/>
  <c r="J94" i="101"/>
  <c r="I94" i="101"/>
  <c r="J93" i="101"/>
  <c r="I93" i="101"/>
  <c r="J92" i="101"/>
  <c r="I92" i="101"/>
  <c r="J91" i="101"/>
  <c r="I91" i="101"/>
  <c r="J90" i="101"/>
  <c r="I90" i="101"/>
  <c r="J89" i="101"/>
  <c r="I89" i="101"/>
  <c r="J88" i="101"/>
  <c r="I88" i="101"/>
  <c r="J87" i="101"/>
  <c r="I87" i="101"/>
  <c r="J86" i="101"/>
  <c r="I86" i="101"/>
  <c r="J85" i="101"/>
  <c r="I85" i="101"/>
  <c r="J84" i="101"/>
  <c r="I84" i="101"/>
  <c r="J83" i="101"/>
  <c r="I83" i="101"/>
  <c r="J82" i="101"/>
  <c r="I82" i="101"/>
  <c r="J81" i="101"/>
  <c r="I81" i="101"/>
  <c r="J80" i="101"/>
  <c r="I80" i="101"/>
  <c r="J79" i="101"/>
  <c r="I79" i="101"/>
  <c r="J78" i="101"/>
  <c r="I78" i="101"/>
  <c r="J77" i="101"/>
  <c r="I77" i="101"/>
  <c r="J76" i="101"/>
  <c r="I76" i="101"/>
  <c r="J75" i="101"/>
  <c r="I75" i="101"/>
  <c r="J74" i="101"/>
  <c r="I74" i="101"/>
  <c r="J73" i="101"/>
  <c r="I73" i="101"/>
  <c r="J72" i="101"/>
  <c r="I72" i="101"/>
  <c r="J71" i="101"/>
  <c r="I71" i="101"/>
  <c r="J70" i="101"/>
  <c r="I70" i="101"/>
  <c r="J69" i="101"/>
  <c r="I69" i="101"/>
  <c r="J68" i="101"/>
  <c r="I68" i="101"/>
  <c r="J67" i="101"/>
  <c r="I67" i="101"/>
  <c r="J66" i="101"/>
  <c r="I66" i="101"/>
  <c r="J65" i="101"/>
  <c r="I65" i="101"/>
  <c r="J64" i="101"/>
  <c r="I64" i="101"/>
  <c r="J63" i="101"/>
  <c r="I63" i="101"/>
  <c r="J62" i="101"/>
  <c r="I62" i="101"/>
  <c r="J61" i="101"/>
  <c r="I61" i="101"/>
  <c r="J60" i="101"/>
  <c r="I60" i="101"/>
  <c r="J59" i="101"/>
  <c r="I59" i="101"/>
  <c r="J58" i="101"/>
  <c r="I58" i="101"/>
  <c r="J57" i="101"/>
  <c r="I57" i="101"/>
  <c r="J56" i="101"/>
  <c r="I56" i="101"/>
  <c r="J55" i="101"/>
  <c r="I55" i="101"/>
  <c r="J54" i="101"/>
  <c r="I54" i="101"/>
  <c r="J53" i="101"/>
  <c r="I53" i="101"/>
  <c r="J52" i="101"/>
  <c r="I52" i="101"/>
  <c r="J51" i="101"/>
  <c r="I51" i="101"/>
  <c r="J50" i="101"/>
  <c r="I50" i="101"/>
  <c r="J49" i="101"/>
  <c r="I49" i="101"/>
  <c r="J48" i="101"/>
  <c r="I48" i="101"/>
  <c r="J47" i="101"/>
  <c r="I47" i="101"/>
  <c r="J46" i="101"/>
  <c r="I46" i="101"/>
  <c r="J45" i="101"/>
  <c r="I45" i="101"/>
  <c r="J44" i="101"/>
  <c r="I44" i="101"/>
  <c r="J43" i="101"/>
  <c r="I43" i="101"/>
  <c r="J42" i="101"/>
  <c r="I42" i="101"/>
  <c r="J41" i="101"/>
  <c r="I41" i="101"/>
  <c r="J40" i="101"/>
  <c r="I40" i="101"/>
  <c r="J39" i="101"/>
  <c r="I39" i="101"/>
  <c r="J38" i="101"/>
  <c r="I38" i="101"/>
  <c r="J37" i="101"/>
  <c r="I37" i="101"/>
  <c r="J36" i="101"/>
  <c r="I36" i="101"/>
  <c r="J35" i="101"/>
  <c r="I35" i="101"/>
  <c r="J34" i="101"/>
  <c r="I34" i="101"/>
  <c r="J33" i="101"/>
  <c r="I33" i="101"/>
  <c r="J32" i="101"/>
  <c r="I32" i="101"/>
  <c r="J31" i="101"/>
  <c r="I31" i="101"/>
  <c r="J30" i="101"/>
  <c r="I30" i="101"/>
  <c r="J29" i="101"/>
  <c r="I29" i="101"/>
  <c r="J28" i="101"/>
  <c r="I28" i="101"/>
  <c r="J27" i="101"/>
  <c r="I27" i="101"/>
  <c r="J26" i="101"/>
  <c r="I26" i="101"/>
  <c r="J25" i="101"/>
  <c r="I25" i="101"/>
  <c r="J24" i="101"/>
  <c r="I24" i="101"/>
  <c r="J23" i="101"/>
  <c r="I23" i="101"/>
  <c r="J22" i="101"/>
  <c r="I22" i="101"/>
  <c r="J21" i="101"/>
  <c r="I21" i="101"/>
  <c r="J20" i="101"/>
  <c r="I20" i="101"/>
  <c r="J19" i="101"/>
  <c r="I19" i="101"/>
  <c r="J18" i="101"/>
  <c r="I18" i="101"/>
  <c r="J17" i="101"/>
  <c r="I17" i="101"/>
  <c r="J16" i="101"/>
  <c r="I16" i="101"/>
  <c r="J15" i="101"/>
  <c r="I15" i="101"/>
  <c r="J14" i="101"/>
  <c r="I14" i="101"/>
  <c r="J13" i="101"/>
  <c r="I13" i="101"/>
  <c r="J12" i="101"/>
  <c r="I12" i="101"/>
  <c r="J11" i="101"/>
  <c r="I11" i="101"/>
  <c r="J10" i="101"/>
  <c r="I10" i="101"/>
  <c r="J9" i="101"/>
  <c r="I9" i="101"/>
  <c r="J8" i="101"/>
  <c r="I8" i="101"/>
  <c r="J7" i="101"/>
  <c r="I7" i="101"/>
  <c r="J6" i="101"/>
  <c r="I6" i="101"/>
  <c r="J5" i="101"/>
  <c r="I5" i="101"/>
  <c r="K131" i="101" l="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J131" i="59"/>
  <c r="D130" i="59"/>
  <c r="D129" i="59"/>
  <c r="D128" i="59"/>
  <c r="D127" i="59"/>
  <c r="D126" i="59"/>
  <c r="I131" i="61"/>
  <c r="F5" i="106"/>
  <c r="N5" i="106"/>
  <c r="F127" i="84"/>
  <c r="G127" i="84"/>
  <c r="H127" i="84"/>
  <c r="I127" i="84"/>
  <c r="L5" i="104"/>
  <c r="K5" i="104"/>
  <c r="J5" i="104"/>
  <c r="I5" i="104"/>
  <c r="H5" i="104"/>
  <c r="G5" i="104"/>
  <c r="L5" i="103"/>
  <c r="P98" i="31"/>
  <c r="P97" i="31"/>
  <c r="P124" i="31"/>
  <c r="P123" i="31"/>
  <c r="P96" i="31"/>
  <c r="P95" i="31"/>
  <c r="P94" i="31"/>
  <c r="P122" i="31"/>
  <c r="P93" i="31"/>
  <c r="P92" i="31"/>
  <c r="P91" i="31"/>
  <c r="P121" i="31"/>
  <c r="P90" i="31"/>
  <c r="P89" i="31"/>
  <c r="P88" i="31"/>
  <c r="P87" i="31"/>
  <c r="P86" i="31"/>
  <c r="P85" i="31"/>
  <c r="P84" i="31"/>
  <c r="P83" i="31"/>
  <c r="P82" i="31"/>
  <c r="P81" i="31"/>
  <c r="P120" i="31"/>
  <c r="P80" i="31"/>
  <c r="P119" i="31"/>
  <c r="P79" i="31"/>
  <c r="P118" i="31"/>
  <c r="P78" i="31"/>
  <c r="P77" i="31"/>
  <c r="P76" i="31"/>
  <c r="P75" i="31"/>
  <c r="P74" i="31"/>
  <c r="P117" i="31"/>
  <c r="P73" i="31"/>
  <c r="P116" i="31"/>
  <c r="P72" i="31"/>
  <c r="P71" i="31"/>
  <c r="P70" i="31"/>
  <c r="P69" i="31"/>
  <c r="P115" i="31"/>
  <c r="P68" i="31"/>
  <c r="P67" i="31"/>
  <c r="P114" i="31"/>
  <c r="P113" i="31"/>
  <c r="P66" i="31"/>
  <c r="P65" i="31"/>
  <c r="P64" i="31"/>
  <c r="P63" i="31"/>
  <c r="P62" i="31"/>
  <c r="P61" i="31"/>
  <c r="P112" i="31"/>
  <c r="P111" i="31"/>
  <c r="P60" i="31"/>
  <c r="P110" i="31"/>
  <c r="P59" i="31"/>
  <c r="P58" i="31"/>
  <c r="P57" i="31"/>
  <c r="P56" i="31"/>
  <c r="P55" i="31"/>
  <c r="P54" i="31"/>
  <c r="P53" i="31"/>
  <c r="P52" i="31"/>
  <c r="P51" i="31"/>
  <c r="P50" i="31"/>
  <c r="P109" i="31"/>
  <c r="P49" i="31"/>
  <c r="P48" i="31"/>
  <c r="P47" i="31"/>
  <c r="P46" i="31"/>
  <c r="P108" i="31"/>
  <c r="P45" i="31"/>
  <c r="P44" i="31"/>
  <c r="P43" i="31"/>
  <c r="P42" i="31"/>
  <c r="P41" i="31"/>
  <c r="P40" i="31"/>
  <c r="P39" i="31"/>
  <c r="P107" i="31"/>
  <c r="P106" i="31"/>
  <c r="P38" i="31"/>
  <c r="P37" i="31"/>
  <c r="P105" i="31"/>
  <c r="P36" i="31"/>
  <c r="P35" i="31"/>
  <c r="P34" i="31"/>
  <c r="P33" i="31"/>
  <c r="P32" i="31"/>
  <c r="P31" i="31"/>
  <c r="P30" i="31"/>
  <c r="P104" i="31"/>
  <c r="P29" i="31"/>
  <c r="P28" i="31"/>
  <c r="P27" i="31"/>
  <c r="P26" i="31"/>
  <c r="P25" i="31"/>
  <c r="P103" i="31"/>
  <c r="P102" i="31"/>
  <c r="P24" i="31"/>
  <c r="P23" i="31"/>
  <c r="P22" i="31"/>
  <c r="P21" i="31"/>
  <c r="P20" i="31"/>
  <c r="P19" i="31"/>
  <c r="P18" i="31"/>
  <c r="P17" i="31"/>
  <c r="P101" i="31"/>
  <c r="P16" i="31"/>
  <c r="P15" i="31"/>
  <c r="P14" i="31"/>
  <c r="P13" i="31"/>
  <c r="P12" i="31"/>
  <c r="P11" i="31"/>
  <c r="P10" i="31"/>
  <c r="P9" i="31"/>
  <c r="P8" i="31"/>
  <c r="P7" i="31"/>
  <c r="P100" i="31"/>
  <c r="P6" i="31"/>
  <c r="P5" i="31"/>
  <c r="P99" i="31"/>
  <c r="R130" i="24"/>
  <c r="R129" i="24"/>
  <c r="R128" i="24"/>
  <c r="R127" i="24"/>
  <c r="R126" i="24"/>
  <c r="R99" i="24"/>
  <c r="R98" i="24"/>
  <c r="R97" i="24"/>
  <c r="R124" i="24"/>
  <c r="R123" i="24"/>
  <c r="R96" i="24"/>
  <c r="R95" i="24"/>
  <c r="R94" i="24"/>
  <c r="R122" i="24"/>
  <c r="R93" i="24"/>
  <c r="R92" i="24"/>
  <c r="R91" i="24"/>
  <c r="R121" i="24"/>
  <c r="R90" i="24"/>
  <c r="R89" i="24"/>
  <c r="R88" i="24"/>
  <c r="R87" i="24"/>
  <c r="R86" i="24"/>
  <c r="R85" i="24"/>
  <c r="R84" i="24"/>
  <c r="R83" i="24"/>
  <c r="R82" i="24"/>
  <c r="R81" i="24"/>
  <c r="R120" i="24"/>
  <c r="R80" i="24"/>
  <c r="R119" i="24"/>
  <c r="R79" i="24"/>
  <c r="R118" i="24"/>
  <c r="R78" i="24"/>
  <c r="R77" i="24"/>
  <c r="R76" i="24"/>
  <c r="R75" i="24"/>
  <c r="R74" i="24"/>
  <c r="R117" i="24"/>
  <c r="R73" i="24"/>
  <c r="R116" i="24"/>
  <c r="R72" i="24"/>
  <c r="R71" i="24"/>
  <c r="R70" i="24"/>
  <c r="R69" i="24"/>
  <c r="R115" i="24"/>
  <c r="R68" i="24"/>
  <c r="R67" i="24"/>
  <c r="R114" i="24"/>
  <c r="R113" i="24"/>
  <c r="R66" i="24"/>
  <c r="R65" i="24"/>
  <c r="R64" i="24"/>
  <c r="R63" i="24"/>
  <c r="R62" i="24"/>
  <c r="R61" i="24"/>
  <c r="R112" i="24"/>
  <c r="R111" i="24"/>
  <c r="R60" i="24"/>
  <c r="R110" i="24"/>
  <c r="R59" i="24"/>
  <c r="R58" i="24"/>
  <c r="R57" i="24"/>
  <c r="R56" i="24"/>
  <c r="R55" i="24"/>
  <c r="R54" i="24"/>
  <c r="R53" i="24"/>
  <c r="R52" i="24"/>
  <c r="R51" i="24"/>
  <c r="R50" i="24"/>
  <c r="R109" i="24"/>
  <c r="R49" i="24"/>
  <c r="R48" i="24"/>
  <c r="R47" i="24"/>
  <c r="R46" i="24"/>
  <c r="R108" i="24"/>
  <c r="R45" i="24"/>
  <c r="R44" i="24"/>
  <c r="R43" i="24"/>
  <c r="R42" i="24"/>
  <c r="R41" i="24"/>
  <c r="R40" i="24"/>
  <c r="R39" i="24"/>
  <c r="R107" i="24"/>
  <c r="R106" i="24"/>
  <c r="R38" i="24"/>
  <c r="R37" i="24"/>
  <c r="R105" i="24"/>
  <c r="R36" i="24"/>
  <c r="R35" i="24"/>
  <c r="R34" i="24"/>
  <c r="R33" i="24"/>
  <c r="R32" i="24"/>
  <c r="R31" i="24"/>
  <c r="R30" i="24"/>
  <c r="R104" i="24"/>
  <c r="R29" i="24"/>
  <c r="R28" i="24"/>
  <c r="R27" i="24"/>
  <c r="R26" i="24"/>
  <c r="R25" i="24"/>
  <c r="R103" i="24"/>
  <c r="R102" i="24"/>
  <c r="R24" i="24"/>
  <c r="R23" i="24"/>
  <c r="R22" i="24"/>
  <c r="R21" i="24"/>
  <c r="R20" i="24"/>
  <c r="R19" i="24"/>
  <c r="R18" i="24"/>
  <c r="R17" i="24"/>
  <c r="R101" i="24"/>
  <c r="R16" i="24"/>
  <c r="R15" i="24"/>
  <c r="R14" i="24"/>
  <c r="R13" i="24"/>
  <c r="R12" i="24"/>
  <c r="R11" i="24"/>
  <c r="R10" i="24"/>
  <c r="R9" i="24"/>
  <c r="R8" i="24"/>
  <c r="R7" i="24"/>
  <c r="R100" i="24"/>
  <c r="R6" i="24"/>
  <c r="R5" i="24"/>
  <c r="R4" i="24"/>
  <c r="BB131" i="113"/>
  <c r="BA131" i="113"/>
  <c r="AZ131" i="113"/>
  <c r="AY131" i="113"/>
  <c r="AX131" i="113"/>
  <c r="AW131" i="113"/>
  <c r="AV131" i="113"/>
  <c r="AU131" i="113"/>
  <c r="AT131" i="113"/>
  <c r="AS131" i="113"/>
  <c r="AR131" i="113"/>
  <c r="AQ131" i="113"/>
  <c r="AP131" i="113"/>
  <c r="AO131" i="113"/>
  <c r="AN131" i="113"/>
  <c r="BB130" i="113"/>
  <c r="BA130" i="113"/>
  <c r="AZ130" i="113"/>
  <c r="AY130" i="113"/>
  <c r="AX130" i="113"/>
  <c r="AW130" i="113"/>
  <c r="AV130" i="113"/>
  <c r="AU130" i="113"/>
  <c r="AT130" i="113"/>
  <c r="AS130" i="113"/>
  <c r="AR130" i="113"/>
  <c r="AQ130" i="113"/>
  <c r="AP130" i="113"/>
  <c r="AO130" i="113"/>
  <c r="AN130" i="113"/>
  <c r="BB129" i="113"/>
  <c r="BA129" i="113"/>
  <c r="AZ129" i="113"/>
  <c r="AY129" i="113"/>
  <c r="AX129" i="113"/>
  <c r="AW129" i="113"/>
  <c r="AV129" i="113"/>
  <c r="AU129" i="113"/>
  <c r="AT129" i="113"/>
  <c r="AS129" i="113"/>
  <c r="AR129" i="113"/>
  <c r="AQ129" i="113"/>
  <c r="AP129" i="113"/>
  <c r="AO129" i="113"/>
  <c r="AN129" i="113"/>
  <c r="BB128" i="113"/>
  <c r="BA128" i="113"/>
  <c r="AZ128" i="113"/>
  <c r="AY128" i="113"/>
  <c r="AX128" i="113"/>
  <c r="AW128" i="113"/>
  <c r="AV128" i="113"/>
  <c r="AU128" i="113"/>
  <c r="AT128" i="113"/>
  <c r="AS128" i="113"/>
  <c r="AR128" i="113"/>
  <c r="AQ128" i="113"/>
  <c r="AP128" i="113"/>
  <c r="AO128" i="113"/>
  <c r="AN128" i="113"/>
  <c r="BB127" i="113"/>
  <c r="BA127" i="113"/>
  <c r="AZ127" i="113"/>
  <c r="AY127" i="113"/>
  <c r="AX127" i="113"/>
  <c r="AW127" i="113"/>
  <c r="AV127" i="113"/>
  <c r="AU127" i="113"/>
  <c r="AT127" i="113"/>
  <c r="AS127" i="113"/>
  <c r="AR127" i="113"/>
  <c r="AQ127" i="113"/>
  <c r="AP127" i="113"/>
  <c r="AO127" i="113"/>
  <c r="AN127" i="113"/>
  <c r="BB125" i="113"/>
  <c r="BA125" i="113"/>
  <c r="AZ125" i="113"/>
  <c r="AY125" i="113"/>
  <c r="AX125" i="113"/>
  <c r="AW125" i="113"/>
  <c r="AV125" i="113"/>
  <c r="AU125" i="113"/>
  <c r="AT125" i="113"/>
  <c r="AS125" i="113"/>
  <c r="AR125" i="113"/>
  <c r="AQ125" i="113"/>
  <c r="AP125" i="113"/>
  <c r="AO125" i="113"/>
  <c r="AN125" i="113"/>
  <c r="BB124" i="113"/>
  <c r="BA124" i="113"/>
  <c r="AZ124" i="113"/>
  <c r="AY124" i="113"/>
  <c r="AX124" i="113"/>
  <c r="AW124" i="113"/>
  <c r="AV124" i="113"/>
  <c r="AU124" i="113"/>
  <c r="AT124" i="113"/>
  <c r="AS124" i="113"/>
  <c r="AR124" i="113"/>
  <c r="AQ124" i="113"/>
  <c r="AP124" i="113"/>
  <c r="AO124" i="113"/>
  <c r="AN124" i="113"/>
  <c r="BB123" i="113"/>
  <c r="BA123" i="113"/>
  <c r="AZ123" i="113"/>
  <c r="AY123" i="113"/>
  <c r="AX123" i="113"/>
  <c r="AW123" i="113"/>
  <c r="AV123" i="113"/>
  <c r="AU123" i="113"/>
  <c r="AT123" i="113"/>
  <c r="AS123" i="113"/>
  <c r="AR123" i="113"/>
  <c r="AQ123" i="113"/>
  <c r="AP123" i="113"/>
  <c r="AO123" i="113"/>
  <c r="AN123" i="113"/>
  <c r="BB122" i="113"/>
  <c r="BA122" i="113"/>
  <c r="AZ122" i="113"/>
  <c r="AY122" i="113"/>
  <c r="AX122" i="113"/>
  <c r="AW122" i="113"/>
  <c r="AV122" i="113"/>
  <c r="AU122" i="113"/>
  <c r="AT122" i="113"/>
  <c r="AS122" i="113"/>
  <c r="AR122" i="113"/>
  <c r="AQ122" i="113"/>
  <c r="AP122" i="113"/>
  <c r="AO122" i="113"/>
  <c r="AN122" i="113"/>
  <c r="BB121" i="113"/>
  <c r="BA121" i="113"/>
  <c r="AZ121" i="113"/>
  <c r="AY121" i="113"/>
  <c r="AX121" i="113"/>
  <c r="AW121" i="113"/>
  <c r="AV121" i="113"/>
  <c r="AU121" i="113"/>
  <c r="AT121" i="113"/>
  <c r="AS121" i="113"/>
  <c r="AR121" i="113"/>
  <c r="AQ121" i="113"/>
  <c r="AP121" i="113"/>
  <c r="AO121" i="113"/>
  <c r="AN121" i="113"/>
  <c r="BB120" i="113"/>
  <c r="BA120" i="113"/>
  <c r="AZ120" i="113"/>
  <c r="AY120" i="113"/>
  <c r="AX120" i="113"/>
  <c r="AW120" i="113"/>
  <c r="AV120" i="113"/>
  <c r="AU120" i="113"/>
  <c r="AT120" i="113"/>
  <c r="AS120" i="113"/>
  <c r="AR120" i="113"/>
  <c r="AQ120" i="113"/>
  <c r="AP120" i="113"/>
  <c r="AO120" i="113"/>
  <c r="AN120" i="113"/>
  <c r="BB119" i="113"/>
  <c r="BA119" i="113"/>
  <c r="AZ119" i="113"/>
  <c r="AY119" i="113"/>
  <c r="AX119" i="113"/>
  <c r="AW119" i="113"/>
  <c r="AV119" i="113"/>
  <c r="AU119" i="113"/>
  <c r="AT119" i="113"/>
  <c r="AS119" i="113"/>
  <c r="AR119" i="113"/>
  <c r="AQ119" i="113"/>
  <c r="AP119" i="113"/>
  <c r="AO119" i="113"/>
  <c r="AN119" i="113"/>
  <c r="BB118" i="113"/>
  <c r="BA118" i="113"/>
  <c r="AZ118" i="113"/>
  <c r="AY118" i="113"/>
  <c r="AX118" i="113"/>
  <c r="AW118" i="113"/>
  <c r="AV118" i="113"/>
  <c r="AU118" i="113"/>
  <c r="AT118" i="113"/>
  <c r="AS118" i="113"/>
  <c r="AR118" i="113"/>
  <c r="AQ118" i="113"/>
  <c r="AP118" i="113"/>
  <c r="AO118" i="113"/>
  <c r="AN118" i="113"/>
  <c r="BB117" i="113"/>
  <c r="BA117" i="113"/>
  <c r="AZ117" i="113"/>
  <c r="AY117" i="113"/>
  <c r="AX117" i="113"/>
  <c r="AW117" i="113"/>
  <c r="AV117" i="113"/>
  <c r="AU117" i="113"/>
  <c r="AT117" i="113"/>
  <c r="AS117" i="113"/>
  <c r="AR117" i="113"/>
  <c r="AQ117" i="113"/>
  <c r="AP117" i="113"/>
  <c r="AO117" i="113"/>
  <c r="AN117" i="113"/>
  <c r="BB116" i="113"/>
  <c r="BA116" i="113"/>
  <c r="AZ116" i="113"/>
  <c r="AY116" i="113"/>
  <c r="AX116" i="113"/>
  <c r="AW116" i="113"/>
  <c r="AV116" i="113"/>
  <c r="AU116" i="113"/>
  <c r="AT116" i="113"/>
  <c r="AS116" i="113"/>
  <c r="AR116" i="113"/>
  <c r="AQ116" i="113"/>
  <c r="AP116" i="113"/>
  <c r="AO116" i="113"/>
  <c r="AN116" i="113"/>
  <c r="BB115" i="113"/>
  <c r="BA115" i="113"/>
  <c r="AZ115" i="113"/>
  <c r="AY115" i="113"/>
  <c r="AX115" i="113"/>
  <c r="AW115" i="113"/>
  <c r="AV115" i="113"/>
  <c r="AU115" i="113"/>
  <c r="AT115" i="113"/>
  <c r="AS115" i="113"/>
  <c r="AR115" i="113"/>
  <c r="AQ115" i="113"/>
  <c r="AP115" i="113"/>
  <c r="AO115" i="113"/>
  <c r="AN115" i="113"/>
  <c r="BB114" i="113"/>
  <c r="BA114" i="113"/>
  <c r="AZ114" i="113"/>
  <c r="AY114" i="113"/>
  <c r="AX114" i="113"/>
  <c r="AW114" i="113"/>
  <c r="AV114" i="113"/>
  <c r="AU114" i="113"/>
  <c r="AT114" i="113"/>
  <c r="AS114" i="113"/>
  <c r="AR114" i="113"/>
  <c r="AQ114" i="113"/>
  <c r="AP114" i="113"/>
  <c r="AO114" i="113"/>
  <c r="AN114" i="113"/>
  <c r="BB113" i="113"/>
  <c r="BA113" i="113"/>
  <c r="AZ113" i="113"/>
  <c r="AY113" i="113"/>
  <c r="AX113" i="113"/>
  <c r="AW113" i="113"/>
  <c r="AV113" i="113"/>
  <c r="AU113" i="113"/>
  <c r="AT113" i="113"/>
  <c r="AS113" i="113"/>
  <c r="AR113" i="113"/>
  <c r="AQ113" i="113"/>
  <c r="AP113" i="113"/>
  <c r="AO113" i="113"/>
  <c r="AN113" i="113"/>
  <c r="BB112" i="113"/>
  <c r="BA112" i="113"/>
  <c r="AZ112" i="113"/>
  <c r="AY112" i="113"/>
  <c r="AX112" i="113"/>
  <c r="AW112" i="113"/>
  <c r="AV112" i="113"/>
  <c r="AU112" i="113"/>
  <c r="AT112" i="113"/>
  <c r="AS112" i="113"/>
  <c r="AR112" i="113"/>
  <c r="AQ112" i="113"/>
  <c r="AP112" i="113"/>
  <c r="AO112" i="113"/>
  <c r="AN112" i="113"/>
  <c r="BB111" i="113"/>
  <c r="BA111" i="113"/>
  <c r="AZ111" i="113"/>
  <c r="AY111" i="113"/>
  <c r="AX111" i="113"/>
  <c r="AW111" i="113"/>
  <c r="AV111" i="113"/>
  <c r="AU111" i="113"/>
  <c r="AT111" i="113"/>
  <c r="AS111" i="113"/>
  <c r="AR111" i="113"/>
  <c r="AQ111" i="113"/>
  <c r="AP111" i="113"/>
  <c r="AO111" i="113"/>
  <c r="AN111" i="113"/>
  <c r="BB110" i="113"/>
  <c r="BA110" i="113"/>
  <c r="AZ110" i="113"/>
  <c r="AY110" i="113"/>
  <c r="AX110" i="113"/>
  <c r="AW110" i="113"/>
  <c r="AV110" i="113"/>
  <c r="AU110" i="113"/>
  <c r="AT110" i="113"/>
  <c r="AS110" i="113"/>
  <c r="AR110" i="113"/>
  <c r="AQ110" i="113"/>
  <c r="AP110" i="113"/>
  <c r="AO110" i="113"/>
  <c r="AN110" i="113"/>
  <c r="BB109" i="113"/>
  <c r="BA109" i="113"/>
  <c r="AZ109" i="113"/>
  <c r="AY109" i="113"/>
  <c r="AX109" i="113"/>
  <c r="AW109" i="113"/>
  <c r="AV109" i="113"/>
  <c r="AU109" i="113"/>
  <c r="AT109" i="113"/>
  <c r="AS109" i="113"/>
  <c r="AR109" i="113"/>
  <c r="AQ109" i="113"/>
  <c r="AP109" i="113"/>
  <c r="AO109" i="113"/>
  <c r="AN109" i="113"/>
  <c r="BB108" i="113"/>
  <c r="BA108" i="113"/>
  <c r="AZ108" i="113"/>
  <c r="AY108" i="113"/>
  <c r="AX108" i="113"/>
  <c r="AW108" i="113"/>
  <c r="AV108" i="113"/>
  <c r="AU108" i="113"/>
  <c r="AT108" i="113"/>
  <c r="AS108" i="113"/>
  <c r="AR108" i="113"/>
  <c r="AQ108" i="113"/>
  <c r="AP108" i="113"/>
  <c r="AO108" i="113"/>
  <c r="AN108" i="113"/>
  <c r="BB107" i="113"/>
  <c r="BA107" i="113"/>
  <c r="AZ107" i="113"/>
  <c r="AY107" i="113"/>
  <c r="AX107" i="113"/>
  <c r="AW107" i="113"/>
  <c r="AV107" i="113"/>
  <c r="AU107" i="113"/>
  <c r="AT107" i="113"/>
  <c r="AS107" i="113"/>
  <c r="AR107" i="113"/>
  <c r="AQ107" i="113"/>
  <c r="AP107" i="113"/>
  <c r="AO107" i="113"/>
  <c r="AN107" i="113"/>
  <c r="BB106" i="113"/>
  <c r="BA106" i="113"/>
  <c r="AZ106" i="113"/>
  <c r="AY106" i="113"/>
  <c r="AX106" i="113"/>
  <c r="AW106" i="113"/>
  <c r="AV106" i="113"/>
  <c r="AU106" i="113"/>
  <c r="AT106" i="113"/>
  <c r="AS106" i="113"/>
  <c r="AR106" i="113"/>
  <c r="AQ106" i="113"/>
  <c r="AP106" i="113"/>
  <c r="AO106" i="113"/>
  <c r="AN106" i="113"/>
  <c r="BB105" i="113"/>
  <c r="BA105" i="113"/>
  <c r="AZ105" i="113"/>
  <c r="AY105" i="113"/>
  <c r="AX105" i="113"/>
  <c r="AW105" i="113"/>
  <c r="AV105" i="113"/>
  <c r="AU105" i="113"/>
  <c r="AT105" i="113"/>
  <c r="AS105" i="113"/>
  <c r="AR105" i="113"/>
  <c r="AQ105" i="113"/>
  <c r="AP105" i="113"/>
  <c r="AO105" i="113"/>
  <c r="AN105" i="113"/>
  <c r="BB104" i="113"/>
  <c r="BA104" i="113"/>
  <c r="AZ104" i="113"/>
  <c r="AY104" i="113"/>
  <c r="AX104" i="113"/>
  <c r="AW104" i="113"/>
  <c r="AV104" i="113"/>
  <c r="AU104" i="113"/>
  <c r="AT104" i="113"/>
  <c r="AS104" i="113"/>
  <c r="AR104" i="113"/>
  <c r="AQ104" i="113"/>
  <c r="AP104" i="113"/>
  <c r="AO104" i="113"/>
  <c r="AN104" i="113"/>
  <c r="BB103" i="113"/>
  <c r="BA103" i="113"/>
  <c r="AZ103" i="113"/>
  <c r="AY103" i="113"/>
  <c r="AX103" i="113"/>
  <c r="AW103" i="113"/>
  <c r="AV103" i="113"/>
  <c r="AU103" i="113"/>
  <c r="AT103" i="113"/>
  <c r="AS103" i="113"/>
  <c r="AR103" i="113"/>
  <c r="AQ103" i="113"/>
  <c r="AP103" i="113"/>
  <c r="AO103" i="113"/>
  <c r="AN103" i="113"/>
  <c r="BB102" i="113"/>
  <c r="BA102" i="113"/>
  <c r="AZ102" i="113"/>
  <c r="AY102" i="113"/>
  <c r="AX102" i="113"/>
  <c r="AW102" i="113"/>
  <c r="AV102" i="113"/>
  <c r="AU102" i="113"/>
  <c r="AT102" i="113"/>
  <c r="AS102" i="113"/>
  <c r="AR102" i="113"/>
  <c r="AQ102" i="113"/>
  <c r="AP102" i="113"/>
  <c r="AO102" i="113"/>
  <c r="AN102" i="113"/>
  <c r="BB101" i="113"/>
  <c r="BA101" i="113"/>
  <c r="AZ101" i="113"/>
  <c r="AY101" i="113"/>
  <c r="AX101" i="113"/>
  <c r="AW101" i="113"/>
  <c r="AV101" i="113"/>
  <c r="AU101" i="113"/>
  <c r="AT101" i="113"/>
  <c r="AS101" i="113"/>
  <c r="AR101" i="113"/>
  <c r="AQ101" i="113"/>
  <c r="AP101" i="113"/>
  <c r="AO101" i="113"/>
  <c r="AN101" i="113"/>
  <c r="BB100" i="113"/>
  <c r="BA100" i="113"/>
  <c r="AZ100" i="113"/>
  <c r="AY100" i="113"/>
  <c r="AX100" i="113"/>
  <c r="AW100" i="113"/>
  <c r="AV100" i="113"/>
  <c r="AU100" i="113"/>
  <c r="AT100" i="113"/>
  <c r="AS100" i="113"/>
  <c r="AR100" i="113"/>
  <c r="AQ100" i="113"/>
  <c r="AP100" i="113"/>
  <c r="AO100" i="113"/>
  <c r="AN100" i="113"/>
  <c r="BB99" i="113"/>
  <c r="BA99" i="113"/>
  <c r="AZ99" i="113"/>
  <c r="AY99" i="113"/>
  <c r="AX99" i="113"/>
  <c r="AW99" i="113"/>
  <c r="AV99" i="113"/>
  <c r="AU99" i="113"/>
  <c r="AT99" i="113"/>
  <c r="AS99" i="113"/>
  <c r="AR99" i="113"/>
  <c r="AQ99" i="113"/>
  <c r="AP99" i="113"/>
  <c r="AO99" i="113"/>
  <c r="AN99" i="113"/>
  <c r="BB98" i="113"/>
  <c r="BA98" i="113"/>
  <c r="AZ98" i="113"/>
  <c r="AY98" i="113"/>
  <c r="AX98" i="113"/>
  <c r="AW98" i="113"/>
  <c r="AV98" i="113"/>
  <c r="AU98" i="113"/>
  <c r="AT98" i="113"/>
  <c r="AS98" i="113"/>
  <c r="AR98" i="113"/>
  <c r="AQ98" i="113"/>
  <c r="AP98" i="113"/>
  <c r="AO98" i="113"/>
  <c r="AN98" i="113"/>
  <c r="BB97" i="113"/>
  <c r="BA97" i="113"/>
  <c r="AZ97" i="113"/>
  <c r="AY97" i="113"/>
  <c r="AX97" i="113"/>
  <c r="AW97" i="113"/>
  <c r="AV97" i="113"/>
  <c r="AU97" i="113"/>
  <c r="AT97" i="113"/>
  <c r="AS97" i="113"/>
  <c r="AR97" i="113"/>
  <c r="AQ97" i="113"/>
  <c r="AP97" i="113"/>
  <c r="AO97" i="113"/>
  <c r="AN97" i="113"/>
  <c r="BB96" i="113"/>
  <c r="BA96" i="113"/>
  <c r="AZ96" i="113"/>
  <c r="AY96" i="113"/>
  <c r="AX96" i="113"/>
  <c r="AW96" i="113"/>
  <c r="AV96" i="113"/>
  <c r="AU96" i="113"/>
  <c r="AT96" i="113"/>
  <c r="AS96" i="113"/>
  <c r="AR96" i="113"/>
  <c r="AQ96" i="113"/>
  <c r="AP96" i="113"/>
  <c r="AO96" i="113"/>
  <c r="AN96" i="113"/>
  <c r="BB95" i="113"/>
  <c r="BA95" i="113"/>
  <c r="AZ95" i="113"/>
  <c r="AY95" i="113"/>
  <c r="AX95" i="113"/>
  <c r="AW95" i="113"/>
  <c r="AV95" i="113"/>
  <c r="AU95" i="113"/>
  <c r="AT95" i="113"/>
  <c r="AS95" i="113"/>
  <c r="AR95" i="113"/>
  <c r="AQ95" i="113"/>
  <c r="AP95" i="113"/>
  <c r="AO95" i="113"/>
  <c r="AN95" i="113"/>
  <c r="BB94" i="113"/>
  <c r="BA94" i="113"/>
  <c r="AZ94" i="113"/>
  <c r="AY94" i="113"/>
  <c r="AX94" i="113"/>
  <c r="AW94" i="113"/>
  <c r="AV94" i="113"/>
  <c r="AU94" i="113"/>
  <c r="AT94" i="113"/>
  <c r="AS94" i="113"/>
  <c r="AR94" i="113"/>
  <c r="AQ94" i="113"/>
  <c r="AP94" i="113"/>
  <c r="AO94" i="113"/>
  <c r="AN94" i="113"/>
  <c r="BB93" i="113"/>
  <c r="BA93" i="113"/>
  <c r="AZ93" i="113"/>
  <c r="AY93" i="113"/>
  <c r="AX93" i="113"/>
  <c r="AW93" i="113"/>
  <c r="AV93" i="113"/>
  <c r="AU93" i="113"/>
  <c r="AT93" i="113"/>
  <c r="AS93" i="113"/>
  <c r="AR93" i="113"/>
  <c r="AQ93" i="113"/>
  <c r="AP93" i="113"/>
  <c r="AO93" i="113"/>
  <c r="AN93" i="113"/>
  <c r="BB92" i="113"/>
  <c r="BA92" i="113"/>
  <c r="AZ92" i="113"/>
  <c r="AY92" i="113"/>
  <c r="AX92" i="113"/>
  <c r="AW92" i="113"/>
  <c r="AV92" i="113"/>
  <c r="AU92" i="113"/>
  <c r="AT92" i="113"/>
  <c r="AS92" i="113"/>
  <c r="AR92" i="113"/>
  <c r="AQ92" i="113"/>
  <c r="AP92" i="113"/>
  <c r="AO92" i="113"/>
  <c r="AN92" i="113"/>
  <c r="BB91" i="113"/>
  <c r="BA91" i="113"/>
  <c r="AZ91" i="113"/>
  <c r="AY91" i="113"/>
  <c r="AX91" i="113"/>
  <c r="AW91" i="113"/>
  <c r="AV91" i="113"/>
  <c r="AU91" i="113"/>
  <c r="AT91" i="113"/>
  <c r="AS91" i="113"/>
  <c r="AR91" i="113"/>
  <c r="AQ91" i="113"/>
  <c r="AP91" i="113"/>
  <c r="AO91" i="113"/>
  <c r="AN91" i="113"/>
  <c r="BB90" i="113"/>
  <c r="BA90" i="113"/>
  <c r="AZ90" i="113"/>
  <c r="AY90" i="113"/>
  <c r="AX90" i="113"/>
  <c r="AW90" i="113"/>
  <c r="AV90" i="113"/>
  <c r="AU90" i="113"/>
  <c r="AT90" i="113"/>
  <c r="AS90" i="113"/>
  <c r="AR90" i="113"/>
  <c r="AQ90" i="113"/>
  <c r="AP90" i="113"/>
  <c r="AO90" i="113"/>
  <c r="AN90" i="113"/>
  <c r="BB89" i="113"/>
  <c r="BA89" i="113"/>
  <c r="AZ89" i="113"/>
  <c r="AY89" i="113"/>
  <c r="AX89" i="113"/>
  <c r="AW89" i="113"/>
  <c r="AV89" i="113"/>
  <c r="AU89" i="113"/>
  <c r="AT89" i="113"/>
  <c r="AS89" i="113"/>
  <c r="AR89" i="113"/>
  <c r="AQ89" i="113"/>
  <c r="AP89" i="113"/>
  <c r="AO89" i="113"/>
  <c r="AN89" i="113"/>
  <c r="BB88" i="113"/>
  <c r="BA88" i="113"/>
  <c r="AZ88" i="113"/>
  <c r="AY88" i="113"/>
  <c r="AX88" i="113"/>
  <c r="AW88" i="113"/>
  <c r="AV88" i="113"/>
  <c r="AU88" i="113"/>
  <c r="AT88" i="113"/>
  <c r="AS88" i="113"/>
  <c r="AR88" i="113"/>
  <c r="AQ88" i="113"/>
  <c r="AP88" i="113"/>
  <c r="AO88" i="113"/>
  <c r="AN88" i="113"/>
  <c r="BB87" i="113"/>
  <c r="BA87" i="113"/>
  <c r="AZ87" i="113"/>
  <c r="AY87" i="113"/>
  <c r="AX87" i="113"/>
  <c r="AW87" i="113"/>
  <c r="AV87" i="113"/>
  <c r="AU87" i="113"/>
  <c r="AT87" i="113"/>
  <c r="AS87" i="113"/>
  <c r="AR87" i="113"/>
  <c r="AQ87" i="113"/>
  <c r="AP87" i="113"/>
  <c r="AO87" i="113"/>
  <c r="AN87" i="113"/>
  <c r="BB86" i="113"/>
  <c r="BA86" i="113"/>
  <c r="AZ86" i="113"/>
  <c r="AY86" i="113"/>
  <c r="AX86" i="113"/>
  <c r="AW86" i="113"/>
  <c r="AV86" i="113"/>
  <c r="AU86" i="113"/>
  <c r="AT86" i="113"/>
  <c r="AS86" i="113"/>
  <c r="AR86" i="113"/>
  <c r="AQ86" i="113"/>
  <c r="AP86" i="113"/>
  <c r="AO86" i="113"/>
  <c r="AN86" i="113"/>
  <c r="BB85" i="113"/>
  <c r="BA85" i="113"/>
  <c r="AZ85" i="113"/>
  <c r="AY85" i="113"/>
  <c r="AX85" i="113"/>
  <c r="AW85" i="113"/>
  <c r="AV85" i="113"/>
  <c r="AU85" i="113"/>
  <c r="AT85" i="113"/>
  <c r="AS85" i="113"/>
  <c r="AR85" i="113"/>
  <c r="AQ85" i="113"/>
  <c r="AP85" i="113"/>
  <c r="AO85" i="113"/>
  <c r="AN85" i="113"/>
  <c r="BB84" i="113"/>
  <c r="BA84" i="113"/>
  <c r="AZ84" i="113"/>
  <c r="AY84" i="113"/>
  <c r="AX84" i="113"/>
  <c r="AW84" i="113"/>
  <c r="AV84" i="113"/>
  <c r="AU84" i="113"/>
  <c r="AT84" i="113"/>
  <c r="AS84" i="113"/>
  <c r="AR84" i="113"/>
  <c r="AQ84" i="113"/>
  <c r="AP84" i="113"/>
  <c r="AO84" i="113"/>
  <c r="AN84" i="113"/>
  <c r="BB83" i="113"/>
  <c r="BA83" i="113"/>
  <c r="AZ83" i="113"/>
  <c r="AY83" i="113"/>
  <c r="AX83" i="113"/>
  <c r="AW83" i="113"/>
  <c r="AV83" i="113"/>
  <c r="AU83" i="113"/>
  <c r="AT83" i="113"/>
  <c r="AS83" i="113"/>
  <c r="AR83" i="113"/>
  <c r="AQ83" i="113"/>
  <c r="AP83" i="113"/>
  <c r="AO83" i="113"/>
  <c r="AN83" i="113"/>
  <c r="BB82" i="113"/>
  <c r="BA82" i="113"/>
  <c r="AZ82" i="113"/>
  <c r="AY82" i="113"/>
  <c r="AX82" i="113"/>
  <c r="AW82" i="113"/>
  <c r="AV82" i="113"/>
  <c r="AU82" i="113"/>
  <c r="AT82" i="113"/>
  <c r="AS82" i="113"/>
  <c r="AR82" i="113"/>
  <c r="AQ82" i="113"/>
  <c r="AP82" i="113"/>
  <c r="AO82" i="113"/>
  <c r="AN82" i="113"/>
  <c r="BB81" i="113"/>
  <c r="BA81" i="113"/>
  <c r="AZ81" i="113"/>
  <c r="AY81" i="113"/>
  <c r="AX81" i="113"/>
  <c r="AW81" i="113"/>
  <c r="AV81" i="113"/>
  <c r="AU81" i="113"/>
  <c r="AT81" i="113"/>
  <c r="AS81" i="113"/>
  <c r="AR81" i="113"/>
  <c r="AQ81" i="113"/>
  <c r="AP81" i="113"/>
  <c r="AO81" i="113"/>
  <c r="AN81" i="113"/>
  <c r="BB80" i="113"/>
  <c r="BA80" i="113"/>
  <c r="AZ80" i="113"/>
  <c r="AY80" i="113"/>
  <c r="AX80" i="113"/>
  <c r="AW80" i="113"/>
  <c r="AV80" i="113"/>
  <c r="AU80" i="113"/>
  <c r="AT80" i="113"/>
  <c r="AS80" i="113"/>
  <c r="AR80" i="113"/>
  <c r="AQ80" i="113"/>
  <c r="AP80" i="113"/>
  <c r="AO80" i="113"/>
  <c r="AN80" i="113"/>
  <c r="BB79" i="113"/>
  <c r="BA79" i="113"/>
  <c r="AZ79" i="113"/>
  <c r="AY79" i="113"/>
  <c r="AX79" i="113"/>
  <c r="AW79" i="113"/>
  <c r="AV79" i="113"/>
  <c r="AU79" i="113"/>
  <c r="AT79" i="113"/>
  <c r="AS79" i="113"/>
  <c r="AR79" i="113"/>
  <c r="AQ79" i="113"/>
  <c r="AP79" i="113"/>
  <c r="AO79" i="113"/>
  <c r="AN79" i="113"/>
  <c r="BB78" i="113"/>
  <c r="BA78" i="113"/>
  <c r="AZ78" i="113"/>
  <c r="AY78" i="113"/>
  <c r="AX78" i="113"/>
  <c r="AW78" i="113"/>
  <c r="AV78" i="113"/>
  <c r="AU78" i="113"/>
  <c r="AT78" i="113"/>
  <c r="AS78" i="113"/>
  <c r="AR78" i="113"/>
  <c r="AQ78" i="113"/>
  <c r="AP78" i="113"/>
  <c r="AO78" i="113"/>
  <c r="AN78" i="113"/>
  <c r="BB77" i="113"/>
  <c r="BA77" i="113"/>
  <c r="AZ77" i="113"/>
  <c r="AY77" i="113"/>
  <c r="AX77" i="113"/>
  <c r="AW77" i="113"/>
  <c r="AV77" i="113"/>
  <c r="AU77" i="113"/>
  <c r="AT77" i="113"/>
  <c r="AS77" i="113"/>
  <c r="AR77" i="113"/>
  <c r="AQ77" i="113"/>
  <c r="AP77" i="113"/>
  <c r="AO77" i="113"/>
  <c r="AN77" i="113"/>
  <c r="BB76" i="113"/>
  <c r="BA76" i="113"/>
  <c r="AZ76" i="113"/>
  <c r="AY76" i="113"/>
  <c r="AX76" i="113"/>
  <c r="AW76" i="113"/>
  <c r="AV76" i="113"/>
  <c r="AU76" i="113"/>
  <c r="AT76" i="113"/>
  <c r="AS76" i="113"/>
  <c r="AR76" i="113"/>
  <c r="AQ76" i="113"/>
  <c r="AP76" i="113"/>
  <c r="AO76" i="113"/>
  <c r="AN76" i="113"/>
  <c r="BB75" i="113"/>
  <c r="BA75" i="113"/>
  <c r="AZ75" i="113"/>
  <c r="AY75" i="113"/>
  <c r="AX75" i="113"/>
  <c r="AW75" i="113"/>
  <c r="AV75" i="113"/>
  <c r="AU75" i="113"/>
  <c r="AT75" i="113"/>
  <c r="AS75" i="113"/>
  <c r="AR75" i="113"/>
  <c r="AQ75" i="113"/>
  <c r="AP75" i="113"/>
  <c r="AO75" i="113"/>
  <c r="AN75" i="113"/>
  <c r="BB74" i="113"/>
  <c r="BA74" i="113"/>
  <c r="AZ74" i="113"/>
  <c r="AY74" i="113"/>
  <c r="AX74" i="113"/>
  <c r="AW74" i="113"/>
  <c r="AV74" i="113"/>
  <c r="AU74" i="113"/>
  <c r="AT74" i="113"/>
  <c r="AS74" i="113"/>
  <c r="AR74" i="113"/>
  <c r="AQ74" i="113"/>
  <c r="AP74" i="113"/>
  <c r="AO74" i="113"/>
  <c r="AN74" i="113"/>
  <c r="BB73" i="113"/>
  <c r="BA73" i="113"/>
  <c r="AZ73" i="113"/>
  <c r="AY73" i="113"/>
  <c r="AX73" i="113"/>
  <c r="AW73" i="113"/>
  <c r="AV73" i="113"/>
  <c r="AU73" i="113"/>
  <c r="AT73" i="113"/>
  <c r="AS73" i="113"/>
  <c r="AR73" i="113"/>
  <c r="AQ73" i="113"/>
  <c r="AP73" i="113"/>
  <c r="AO73" i="113"/>
  <c r="AN73" i="113"/>
  <c r="BB72" i="113"/>
  <c r="BA72" i="113"/>
  <c r="AZ72" i="113"/>
  <c r="AY72" i="113"/>
  <c r="AX72" i="113"/>
  <c r="AW72" i="113"/>
  <c r="AV72" i="113"/>
  <c r="AU72" i="113"/>
  <c r="AT72" i="113"/>
  <c r="AS72" i="113"/>
  <c r="AR72" i="113"/>
  <c r="AQ72" i="113"/>
  <c r="AP72" i="113"/>
  <c r="AO72" i="113"/>
  <c r="AN72" i="113"/>
  <c r="BB71" i="113"/>
  <c r="BA71" i="113"/>
  <c r="AZ71" i="113"/>
  <c r="AY71" i="113"/>
  <c r="AX71" i="113"/>
  <c r="AW71" i="113"/>
  <c r="AV71" i="113"/>
  <c r="AU71" i="113"/>
  <c r="AT71" i="113"/>
  <c r="AS71" i="113"/>
  <c r="AR71" i="113"/>
  <c r="AQ71" i="113"/>
  <c r="AP71" i="113"/>
  <c r="AO71" i="113"/>
  <c r="AN71" i="113"/>
  <c r="BB70" i="113"/>
  <c r="BA70" i="113"/>
  <c r="AZ70" i="113"/>
  <c r="AY70" i="113"/>
  <c r="AX70" i="113"/>
  <c r="AW70" i="113"/>
  <c r="AV70" i="113"/>
  <c r="AU70" i="113"/>
  <c r="AT70" i="113"/>
  <c r="AS70" i="113"/>
  <c r="AR70" i="113"/>
  <c r="AQ70" i="113"/>
  <c r="AP70" i="113"/>
  <c r="AO70" i="113"/>
  <c r="AN70" i="113"/>
  <c r="BB69" i="113"/>
  <c r="BA69" i="113"/>
  <c r="AZ69" i="113"/>
  <c r="AY69" i="113"/>
  <c r="AX69" i="113"/>
  <c r="AW69" i="113"/>
  <c r="AV69" i="113"/>
  <c r="AU69" i="113"/>
  <c r="AT69" i="113"/>
  <c r="AS69" i="113"/>
  <c r="AR69" i="113"/>
  <c r="AQ69" i="113"/>
  <c r="AP69" i="113"/>
  <c r="AO69" i="113"/>
  <c r="AN69" i="113"/>
  <c r="BB68" i="113"/>
  <c r="BA68" i="113"/>
  <c r="AZ68" i="113"/>
  <c r="AY68" i="113"/>
  <c r="AX68" i="113"/>
  <c r="AW68" i="113"/>
  <c r="AV68" i="113"/>
  <c r="AU68" i="113"/>
  <c r="AT68" i="113"/>
  <c r="AS68" i="113"/>
  <c r="AR68" i="113"/>
  <c r="AQ68" i="113"/>
  <c r="AP68" i="113"/>
  <c r="AO68" i="113"/>
  <c r="AN68" i="113"/>
  <c r="BB67" i="113"/>
  <c r="BA67" i="113"/>
  <c r="AZ67" i="113"/>
  <c r="AY67" i="113"/>
  <c r="AX67" i="113"/>
  <c r="AW67" i="113"/>
  <c r="AV67" i="113"/>
  <c r="AU67" i="113"/>
  <c r="AT67" i="113"/>
  <c r="AS67" i="113"/>
  <c r="AR67" i="113"/>
  <c r="AQ67" i="113"/>
  <c r="AP67" i="113"/>
  <c r="AO67" i="113"/>
  <c r="AN67" i="113"/>
  <c r="BB66" i="113"/>
  <c r="BA66" i="113"/>
  <c r="AZ66" i="113"/>
  <c r="AY66" i="113"/>
  <c r="AX66" i="113"/>
  <c r="AW66" i="113"/>
  <c r="AV66" i="113"/>
  <c r="AU66" i="113"/>
  <c r="AT66" i="113"/>
  <c r="AS66" i="113"/>
  <c r="AR66" i="113"/>
  <c r="AQ66" i="113"/>
  <c r="AP66" i="113"/>
  <c r="AO66" i="113"/>
  <c r="AN66" i="113"/>
  <c r="BB65" i="113"/>
  <c r="BA65" i="113"/>
  <c r="AZ65" i="113"/>
  <c r="AY65" i="113"/>
  <c r="AX65" i="113"/>
  <c r="AW65" i="113"/>
  <c r="AV65" i="113"/>
  <c r="AU65" i="113"/>
  <c r="AT65" i="113"/>
  <c r="AS65" i="113"/>
  <c r="AR65" i="113"/>
  <c r="AQ65" i="113"/>
  <c r="AP65" i="113"/>
  <c r="AO65" i="113"/>
  <c r="AN65" i="113"/>
  <c r="BB64" i="113"/>
  <c r="BA64" i="113"/>
  <c r="AZ64" i="113"/>
  <c r="AY64" i="113"/>
  <c r="AX64" i="113"/>
  <c r="AW64" i="113"/>
  <c r="AV64" i="113"/>
  <c r="AU64" i="113"/>
  <c r="AT64" i="113"/>
  <c r="AS64" i="113"/>
  <c r="AR64" i="113"/>
  <c r="AQ64" i="113"/>
  <c r="AP64" i="113"/>
  <c r="AO64" i="113"/>
  <c r="AN64" i="113"/>
  <c r="BB63" i="113"/>
  <c r="BA63" i="113"/>
  <c r="AZ63" i="113"/>
  <c r="AY63" i="113"/>
  <c r="AX63" i="113"/>
  <c r="AW63" i="113"/>
  <c r="AV63" i="113"/>
  <c r="AU63" i="113"/>
  <c r="AT63" i="113"/>
  <c r="AS63" i="113"/>
  <c r="AR63" i="113"/>
  <c r="AQ63" i="113"/>
  <c r="AP63" i="113"/>
  <c r="AO63" i="113"/>
  <c r="AN63" i="113"/>
  <c r="BB62" i="113"/>
  <c r="BA62" i="113"/>
  <c r="AZ62" i="113"/>
  <c r="AY62" i="113"/>
  <c r="AX62" i="113"/>
  <c r="AW62" i="113"/>
  <c r="AV62" i="113"/>
  <c r="AU62" i="113"/>
  <c r="AT62" i="113"/>
  <c r="AS62" i="113"/>
  <c r="AR62" i="113"/>
  <c r="AQ62" i="113"/>
  <c r="AP62" i="113"/>
  <c r="AO62" i="113"/>
  <c r="AN62" i="113"/>
  <c r="BB61" i="113"/>
  <c r="BA61" i="113"/>
  <c r="AZ61" i="113"/>
  <c r="AY61" i="113"/>
  <c r="AX61" i="113"/>
  <c r="AW61" i="113"/>
  <c r="AV61" i="113"/>
  <c r="AU61" i="113"/>
  <c r="AT61" i="113"/>
  <c r="AS61" i="113"/>
  <c r="AR61" i="113"/>
  <c r="AQ61" i="113"/>
  <c r="AP61" i="113"/>
  <c r="AO61" i="113"/>
  <c r="AN61" i="113"/>
  <c r="BB60" i="113"/>
  <c r="BA60" i="113"/>
  <c r="AZ60" i="113"/>
  <c r="AY60" i="113"/>
  <c r="AX60" i="113"/>
  <c r="AW60" i="113"/>
  <c r="AV60" i="113"/>
  <c r="AU60" i="113"/>
  <c r="AT60" i="113"/>
  <c r="AS60" i="113"/>
  <c r="AR60" i="113"/>
  <c r="AQ60" i="113"/>
  <c r="AP60" i="113"/>
  <c r="AO60" i="113"/>
  <c r="AN60" i="113"/>
  <c r="BB59" i="113"/>
  <c r="BA59" i="113"/>
  <c r="AZ59" i="113"/>
  <c r="AY59" i="113"/>
  <c r="AX59" i="113"/>
  <c r="AW59" i="113"/>
  <c r="AV59" i="113"/>
  <c r="AU59" i="113"/>
  <c r="AT59" i="113"/>
  <c r="AS59" i="113"/>
  <c r="AR59" i="113"/>
  <c r="AQ59" i="113"/>
  <c r="AP59" i="113"/>
  <c r="AO59" i="113"/>
  <c r="AN59" i="113"/>
  <c r="BB58" i="113"/>
  <c r="BA58" i="113"/>
  <c r="AZ58" i="113"/>
  <c r="AY58" i="113"/>
  <c r="AX58" i="113"/>
  <c r="AW58" i="113"/>
  <c r="AV58" i="113"/>
  <c r="AU58" i="113"/>
  <c r="AT58" i="113"/>
  <c r="AS58" i="113"/>
  <c r="AR58" i="113"/>
  <c r="AQ58" i="113"/>
  <c r="AP58" i="113"/>
  <c r="AO58" i="113"/>
  <c r="AN58" i="113"/>
  <c r="BB57" i="113"/>
  <c r="BA57" i="113"/>
  <c r="AZ57" i="113"/>
  <c r="AY57" i="113"/>
  <c r="AX57" i="113"/>
  <c r="AW57" i="113"/>
  <c r="AV57" i="113"/>
  <c r="AU57" i="113"/>
  <c r="AT57" i="113"/>
  <c r="AS57" i="113"/>
  <c r="AR57" i="113"/>
  <c r="AQ57" i="113"/>
  <c r="AP57" i="113"/>
  <c r="AO57" i="113"/>
  <c r="AN57" i="113"/>
  <c r="BB56" i="113"/>
  <c r="BA56" i="113"/>
  <c r="AZ56" i="113"/>
  <c r="AY56" i="113"/>
  <c r="AX56" i="113"/>
  <c r="AW56" i="113"/>
  <c r="AV56" i="113"/>
  <c r="AU56" i="113"/>
  <c r="AT56" i="113"/>
  <c r="AS56" i="113"/>
  <c r="AR56" i="113"/>
  <c r="AQ56" i="113"/>
  <c r="AP56" i="113"/>
  <c r="AO56" i="113"/>
  <c r="AN56" i="113"/>
  <c r="BB55" i="113"/>
  <c r="BA55" i="113"/>
  <c r="AZ55" i="113"/>
  <c r="AY55" i="113"/>
  <c r="AX55" i="113"/>
  <c r="AW55" i="113"/>
  <c r="AV55" i="113"/>
  <c r="AU55" i="113"/>
  <c r="AT55" i="113"/>
  <c r="AS55" i="113"/>
  <c r="AR55" i="113"/>
  <c r="AQ55" i="113"/>
  <c r="AP55" i="113"/>
  <c r="AO55" i="113"/>
  <c r="AN55" i="113"/>
  <c r="BB54" i="113"/>
  <c r="BA54" i="113"/>
  <c r="AZ54" i="113"/>
  <c r="AY54" i="113"/>
  <c r="AX54" i="113"/>
  <c r="AW54" i="113"/>
  <c r="AV54" i="113"/>
  <c r="AU54" i="113"/>
  <c r="AT54" i="113"/>
  <c r="AS54" i="113"/>
  <c r="AR54" i="113"/>
  <c r="AQ54" i="113"/>
  <c r="AP54" i="113"/>
  <c r="AO54" i="113"/>
  <c r="AN54" i="113"/>
  <c r="BB53" i="113"/>
  <c r="BA53" i="113"/>
  <c r="AZ53" i="113"/>
  <c r="AY53" i="113"/>
  <c r="AX53" i="113"/>
  <c r="AW53" i="113"/>
  <c r="AV53" i="113"/>
  <c r="AU53" i="113"/>
  <c r="AT53" i="113"/>
  <c r="AS53" i="113"/>
  <c r="AR53" i="113"/>
  <c r="AQ53" i="113"/>
  <c r="AP53" i="113"/>
  <c r="AO53" i="113"/>
  <c r="AN53" i="113"/>
  <c r="BB52" i="113"/>
  <c r="BA52" i="113"/>
  <c r="AZ52" i="113"/>
  <c r="AY52" i="113"/>
  <c r="AX52" i="113"/>
  <c r="AW52" i="113"/>
  <c r="AV52" i="113"/>
  <c r="AU52" i="113"/>
  <c r="AT52" i="113"/>
  <c r="AS52" i="113"/>
  <c r="AR52" i="113"/>
  <c r="AQ52" i="113"/>
  <c r="AP52" i="113"/>
  <c r="AO52" i="113"/>
  <c r="AN52" i="113"/>
  <c r="BB51" i="113"/>
  <c r="BA51" i="113"/>
  <c r="AZ51" i="113"/>
  <c r="AY51" i="113"/>
  <c r="AX51" i="113"/>
  <c r="AW51" i="113"/>
  <c r="AV51" i="113"/>
  <c r="AU51" i="113"/>
  <c r="AT51" i="113"/>
  <c r="AS51" i="113"/>
  <c r="AR51" i="113"/>
  <c r="AQ51" i="113"/>
  <c r="AP51" i="113"/>
  <c r="AO51" i="113"/>
  <c r="AN51" i="113"/>
  <c r="BB50" i="113"/>
  <c r="BA50" i="113"/>
  <c r="AZ50" i="113"/>
  <c r="AY50" i="113"/>
  <c r="AX50" i="113"/>
  <c r="AW50" i="113"/>
  <c r="AV50" i="113"/>
  <c r="AU50" i="113"/>
  <c r="AT50" i="113"/>
  <c r="AS50" i="113"/>
  <c r="AR50" i="113"/>
  <c r="AQ50" i="113"/>
  <c r="AP50" i="113"/>
  <c r="AO50" i="113"/>
  <c r="AN50" i="113"/>
  <c r="BB49" i="113"/>
  <c r="BA49" i="113"/>
  <c r="AZ49" i="113"/>
  <c r="AY49" i="113"/>
  <c r="AX49" i="113"/>
  <c r="AW49" i="113"/>
  <c r="AV49" i="113"/>
  <c r="AU49" i="113"/>
  <c r="AT49" i="113"/>
  <c r="AS49" i="113"/>
  <c r="AR49" i="113"/>
  <c r="AQ49" i="113"/>
  <c r="AP49" i="113"/>
  <c r="AO49" i="113"/>
  <c r="AN49" i="113"/>
  <c r="BB48" i="113"/>
  <c r="BA48" i="113"/>
  <c r="AZ48" i="113"/>
  <c r="AY48" i="113"/>
  <c r="AX48" i="113"/>
  <c r="AW48" i="113"/>
  <c r="AV48" i="113"/>
  <c r="AU48" i="113"/>
  <c r="AT48" i="113"/>
  <c r="AS48" i="113"/>
  <c r="AR48" i="113"/>
  <c r="AQ48" i="113"/>
  <c r="AP48" i="113"/>
  <c r="AO48" i="113"/>
  <c r="AN48" i="113"/>
  <c r="BB47" i="113"/>
  <c r="BA47" i="113"/>
  <c r="AZ47" i="113"/>
  <c r="AY47" i="113"/>
  <c r="AX47" i="113"/>
  <c r="AW47" i="113"/>
  <c r="AV47" i="113"/>
  <c r="AU47" i="113"/>
  <c r="AT47" i="113"/>
  <c r="AS47" i="113"/>
  <c r="AR47" i="113"/>
  <c r="AQ47" i="113"/>
  <c r="AP47" i="113"/>
  <c r="AO47" i="113"/>
  <c r="AN47" i="113"/>
  <c r="BB46" i="113"/>
  <c r="BA46" i="113"/>
  <c r="AZ46" i="113"/>
  <c r="AY46" i="113"/>
  <c r="AX46" i="113"/>
  <c r="AW46" i="113"/>
  <c r="AV46" i="113"/>
  <c r="AU46" i="113"/>
  <c r="AT46" i="113"/>
  <c r="AS46" i="113"/>
  <c r="AR46" i="113"/>
  <c r="AQ46" i="113"/>
  <c r="AP46" i="113"/>
  <c r="AO46" i="113"/>
  <c r="AN46" i="113"/>
  <c r="BB45" i="113"/>
  <c r="BA45" i="113"/>
  <c r="AZ45" i="113"/>
  <c r="AY45" i="113"/>
  <c r="AX45" i="113"/>
  <c r="AW45" i="113"/>
  <c r="AV45" i="113"/>
  <c r="AU45" i="113"/>
  <c r="AT45" i="113"/>
  <c r="AS45" i="113"/>
  <c r="AR45" i="113"/>
  <c r="AQ45" i="113"/>
  <c r="AP45" i="113"/>
  <c r="AO45" i="113"/>
  <c r="AN45" i="113"/>
  <c r="BB44" i="113"/>
  <c r="BA44" i="113"/>
  <c r="AZ44" i="113"/>
  <c r="AY44" i="113"/>
  <c r="AX44" i="113"/>
  <c r="AW44" i="113"/>
  <c r="AV44" i="113"/>
  <c r="AU44" i="113"/>
  <c r="AT44" i="113"/>
  <c r="AS44" i="113"/>
  <c r="AR44" i="113"/>
  <c r="AQ44" i="113"/>
  <c r="AP44" i="113"/>
  <c r="AO44" i="113"/>
  <c r="AN44" i="113"/>
  <c r="BB43" i="113"/>
  <c r="BA43" i="113"/>
  <c r="AZ43" i="113"/>
  <c r="AY43" i="113"/>
  <c r="AX43" i="113"/>
  <c r="AW43" i="113"/>
  <c r="AV43" i="113"/>
  <c r="AU43" i="113"/>
  <c r="AT43" i="113"/>
  <c r="AS43" i="113"/>
  <c r="AR43" i="113"/>
  <c r="AQ43" i="113"/>
  <c r="AP43" i="113"/>
  <c r="AO43" i="113"/>
  <c r="AN43" i="113"/>
  <c r="BB42" i="113"/>
  <c r="BA42" i="113"/>
  <c r="AZ42" i="113"/>
  <c r="AY42" i="113"/>
  <c r="AX42" i="113"/>
  <c r="AW42" i="113"/>
  <c r="AV42" i="113"/>
  <c r="AU42" i="113"/>
  <c r="AT42" i="113"/>
  <c r="AS42" i="113"/>
  <c r="AR42" i="113"/>
  <c r="AQ42" i="113"/>
  <c r="AP42" i="113"/>
  <c r="AO42" i="113"/>
  <c r="AN42" i="113"/>
  <c r="BB41" i="113"/>
  <c r="BA41" i="113"/>
  <c r="AZ41" i="113"/>
  <c r="AY41" i="113"/>
  <c r="AX41" i="113"/>
  <c r="AW41" i="113"/>
  <c r="AV41" i="113"/>
  <c r="AU41" i="113"/>
  <c r="AT41" i="113"/>
  <c r="AS41" i="113"/>
  <c r="AR41" i="113"/>
  <c r="AQ41" i="113"/>
  <c r="AP41" i="113"/>
  <c r="AO41" i="113"/>
  <c r="AN41" i="113"/>
  <c r="BB40" i="113"/>
  <c r="BA40" i="113"/>
  <c r="AZ40" i="113"/>
  <c r="AY40" i="113"/>
  <c r="AX40" i="113"/>
  <c r="AW40" i="113"/>
  <c r="AV40" i="113"/>
  <c r="AU40" i="113"/>
  <c r="AT40" i="113"/>
  <c r="AS40" i="113"/>
  <c r="AR40" i="113"/>
  <c r="AQ40" i="113"/>
  <c r="AP40" i="113"/>
  <c r="AO40" i="113"/>
  <c r="AN40" i="113"/>
  <c r="BB39" i="113"/>
  <c r="BA39" i="113"/>
  <c r="AZ39" i="113"/>
  <c r="AY39" i="113"/>
  <c r="AX39" i="113"/>
  <c r="AW39" i="113"/>
  <c r="AV39" i="113"/>
  <c r="AU39" i="113"/>
  <c r="AT39" i="113"/>
  <c r="AS39" i="113"/>
  <c r="AR39" i="113"/>
  <c r="AQ39" i="113"/>
  <c r="AP39" i="113"/>
  <c r="AO39" i="113"/>
  <c r="AN39" i="113"/>
  <c r="BB38" i="113"/>
  <c r="BA38" i="113"/>
  <c r="AZ38" i="113"/>
  <c r="AY38" i="113"/>
  <c r="AX38" i="113"/>
  <c r="AW38" i="113"/>
  <c r="AV38" i="113"/>
  <c r="AU38" i="113"/>
  <c r="AT38" i="113"/>
  <c r="AS38" i="113"/>
  <c r="AR38" i="113"/>
  <c r="AQ38" i="113"/>
  <c r="AP38" i="113"/>
  <c r="AO38" i="113"/>
  <c r="AN38" i="113"/>
  <c r="BB37" i="113"/>
  <c r="BA37" i="113"/>
  <c r="AZ37" i="113"/>
  <c r="AY37" i="113"/>
  <c r="AX37" i="113"/>
  <c r="AW37" i="113"/>
  <c r="AV37" i="113"/>
  <c r="AU37" i="113"/>
  <c r="AT37" i="113"/>
  <c r="AS37" i="113"/>
  <c r="AR37" i="113"/>
  <c r="AQ37" i="113"/>
  <c r="AP37" i="113"/>
  <c r="AO37" i="113"/>
  <c r="AN37" i="113"/>
  <c r="BB36" i="113"/>
  <c r="BA36" i="113"/>
  <c r="AZ36" i="113"/>
  <c r="AY36" i="113"/>
  <c r="AX36" i="113"/>
  <c r="AW36" i="113"/>
  <c r="AV36" i="113"/>
  <c r="AU36" i="113"/>
  <c r="AT36" i="113"/>
  <c r="AS36" i="113"/>
  <c r="AR36" i="113"/>
  <c r="AQ36" i="113"/>
  <c r="AP36" i="113"/>
  <c r="AO36" i="113"/>
  <c r="AN36" i="113"/>
  <c r="BB35" i="113"/>
  <c r="BA35" i="113"/>
  <c r="AZ35" i="113"/>
  <c r="AY35" i="113"/>
  <c r="AX35" i="113"/>
  <c r="AW35" i="113"/>
  <c r="AV35" i="113"/>
  <c r="AU35" i="113"/>
  <c r="AT35" i="113"/>
  <c r="AS35" i="113"/>
  <c r="AR35" i="113"/>
  <c r="AQ35" i="113"/>
  <c r="AP35" i="113"/>
  <c r="AO35" i="113"/>
  <c r="AN35" i="113"/>
  <c r="BB34" i="113"/>
  <c r="BA34" i="113"/>
  <c r="AZ34" i="113"/>
  <c r="AY34" i="113"/>
  <c r="AX34" i="113"/>
  <c r="AW34" i="113"/>
  <c r="AV34" i="113"/>
  <c r="AU34" i="113"/>
  <c r="AT34" i="113"/>
  <c r="AS34" i="113"/>
  <c r="AR34" i="113"/>
  <c r="AQ34" i="113"/>
  <c r="AP34" i="113"/>
  <c r="AO34" i="113"/>
  <c r="AN34" i="113"/>
  <c r="BB33" i="113"/>
  <c r="BA33" i="113"/>
  <c r="AZ33" i="113"/>
  <c r="AY33" i="113"/>
  <c r="AX33" i="113"/>
  <c r="AW33" i="113"/>
  <c r="AV33" i="113"/>
  <c r="AU33" i="113"/>
  <c r="AT33" i="113"/>
  <c r="AS33" i="113"/>
  <c r="AR33" i="113"/>
  <c r="AQ33" i="113"/>
  <c r="AP33" i="113"/>
  <c r="AO33" i="113"/>
  <c r="AN33" i="113"/>
  <c r="BB32" i="113"/>
  <c r="BA32" i="113"/>
  <c r="AZ32" i="113"/>
  <c r="AY32" i="113"/>
  <c r="AX32" i="113"/>
  <c r="AW32" i="113"/>
  <c r="AV32" i="113"/>
  <c r="AU32" i="113"/>
  <c r="AT32" i="113"/>
  <c r="AS32" i="113"/>
  <c r="AR32" i="113"/>
  <c r="AQ32" i="113"/>
  <c r="AP32" i="113"/>
  <c r="AO32" i="113"/>
  <c r="AN32" i="113"/>
  <c r="BB31" i="113"/>
  <c r="BA31" i="113"/>
  <c r="AZ31" i="113"/>
  <c r="AY31" i="113"/>
  <c r="AX31" i="113"/>
  <c r="AW31" i="113"/>
  <c r="AV31" i="113"/>
  <c r="AU31" i="113"/>
  <c r="AT31" i="113"/>
  <c r="AS31" i="113"/>
  <c r="AR31" i="113"/>
  <c r="AQ31" i="113"/>
  <c r="AP31" i="113"/>
  <c r="AO31" i="113"/>
  <c r="AN31" i="113"/>
  <c r="BB30" i="113"/>
  <c r="BA30" i="113"/>
  <c r="AZ30" i="113"/>
  <c r="AY30" i="113"/>
  <c r="AX30" i="113"/>
  <c r="AW30" i="113"/>
  <c r="AV30" i="113"/>
  <c r="AU30" i="113"/>
  <c r="AT30" i="113"/>
  <c r="AS30" i="113"/>
  <c r="AR30" i="113"/>
  <c r="AQ30" i="113"/>
  <c r="AP30" i="113"/>
  <c r="AO30" i="113"/>
  <c r="AN30" i="113"/>
  <c r="BB29" i="113"/>
  <c r="BA29" i="113"/>
  <c r="AZ29" i="113"/>
  <c r="AY29" i="113"/>
  <c r="AX29" i="113"/>
  <c r="AW29" i="113"/>
  <c r="AV29" i="113"/>
  <c r="AU29" i="113"/>
  <c r="AT29" i="113"/>
  <c r="AS29" i="113"/>
  <c r="AR29" i="113"/>
  <c r="AQ29" i="113"/>
  <c r="AP29" i="113"/>
  <c r="AO29" i="113"/>
  <c r="AN29" i="113"/>
  <c r="BB28" i="113"/>
  <c r="BA28" i="113"/>
  <c r="AZ28" i="113"/>
  <c r="AY28" i="113"/>
  <c r="AX28" i="113"/>
  <c r="AW28" i="113"/>
  <c r="AV28" i="113"/>
  <c r="AU28" i="113"/>
  <c r="AT28" i="113"/>
  <c r="AS28" i="113"/>
  <c r="AR28" i="113"/>
  <c r="AQ28" i="113"/>
  <c r="AP28" i="113"/>
  <c r="AO28" i="113"/>
  <c r="AN28" i="113"/>
  <c r="BB27" i="113"/>
  <c r="BA27" i="113"/>
  <c r="AZ27" i="113"/>
  <c r="AY27" i="113"/>
  <c r="AX27" i="113"/>
  <c r="AW27" i="113"/>
  <c r="AV27" i="113"/>
  <c r="AU27" i="113"/>
  <c r="AT27" i="113"/>
  <c r="AS27" i="113"/>
  <c r="AR27" i="113"/>
  <c r="AQ27" i="113"/>
  <c r="AP27" i="113"/>
  <c r="AO27" i="113"/>
  <c r="AN27" i="113"/>
  <c r="BB26" i="113"/>
  <c r="BA26" i="113"/>
  <c r="AZ26" i="113"/>
  <c r="AY26" i="113"/>
  <c r="AX26" i="113"/>
  <c r="AW26" i="113"/>
  <c r="AV26" i="113"/>
  <c r="AU26" i="113"/>
  <c r="AT26" i="113"/>
  <c r="AS26" i="113"/>
  <c r="AR26" i="113"/>
  <c r="AQ26" i="113"/>
  <c r="AP26" i="113"/>
  <c r="AO26" i="113"/>
  <c r="AN26" i="113"/>
  <c r="BB25" i="113"/>
  <c r="BA25" i="113"/>
  <c r="AZ25" i="113"/>
  <c r="AY25" i="113"/>
  <c r="AX25" i="113"/>
  <c r="AW25" i="113"/>
  <c r="AV25" i="113"/>
  <c r="AU25" i="113"/>
  <c r="AT25" i="113"/>
  <c r="AS25" i="113"/>
  <c r="AR25" i="113"/>
  <c r="AQ25" i="113"/>
  <c r="AP25" i="113"/>
  <c r="AO25" i="113"/>
  <c r="AN25" i="113"/>
  <c r="BB24" i="113"/>
  <c r="BA24" i="113"/>
  <c r="AZ24" i="113"/>
  <c r="AY24" i="113"/>
  <c r="AX24" i="113"/>
  <c r="AW24" i="113"/>
  <c r="AV24" i="113"/>
  <c r="AU24" i="113"/>
  <c r="AT24" i="113"/>
  <c r="AS24" i="113"/>
  <c r="AR24" i="113"/>
  <c r="AQ24" i="113"/>
  <c r="AP24" i="113"/>
  <c r="AO24" i="113"/>
  <c r="AN24" i="113"/>
  <c r="BB23" i="113"/>
  <c r="BA23" i="113"/>
  <c r="AZ23" i="113"/>
  <c r="AY23" i="113"/>
  <c r="AX23" i="113"/>
  <c r="AW23" i="113"/>
  <c r="AV23" i="113"/>
  <c r="AU23" i="113"/>
  <c r="AT23" i="113"/>
  <c r="AS23" i="113"/>
  <c r="AR23" i="113"/>
  <c r="AQ23" i="113"/>
  <c r="AP23" i="113"/>
  <c r="AO23" i="113"/>
  <c r="AN23" i="113"/>
  <c r="BB22" i="113"/>
  <c r="BA22" i="113"/>
  <c r="AZ22" i="113"/>
  <c r="AY22" i="113"/>
  <c r="AX22" i="113"/>
  <c r="AW22" i="113"/>
  <c r="AV22" i="113"/>
  <c r="AU22" i="113"/>
  <c r="AT22" i="113"/>
  <c r="AS22" i="113"/>
  <c r="AR22" i="113"/>
  <c r="AQ22" i="113"/>
  <c r="AP22" i="113"/>
  <c r="AO22" i="113"/>
  <c r="AN22" i="113"/>
  <c r="BB21" i="113"/>
  <c r="BA21" i="113"/>
  <c r="AZ21" i="113"/>
  <c r="AY21" i="113"/>
  <c r="AX21" i="113"/>
  <c r="AW21" i="113"/>
  <c r="AV21" i="113"/>
  <c r="AU21" i="113"/>
  <c r="AT21" i="113"/>
  <c r="AS21" i="113"/>
  <c r="AR21" i="113"/>
  <c r="AQ21" i="113"/>
  <c r="AP21" i="113"/>
  <c r="AO21" i="113"/>
  <c r="AN21" i="113"/>
  <c r="BB20" i="113"/>
  <c r="BA20" i="113"/>
  <c r="AZ20" i="113"/>
  <c r="AY20" i="113"/>
  <c r="AX20" i="113"/>
  <c r="AW20" i="113"/>
  <c r="AV20" i="113"/>
  <c r="AU20" i="113"/>
  <c r="AT20" i="113"/>
  <c r="AS20" i="113"/>
  <c r="AR20" i="113"/>
  <c r="AQ20" i="113"/>
  <c r="AP20" i="113"/>
  <c r="AO20" i="113"/>
  <c r="AN20" i="113"/>
  <c r="BB19" i="113"/>
  <c r="BA19" i="113"/>
  <c r="AZ19" i="113"/>
  <c r="AY19" i="113"/>
  <c r="AX19" i="113"/>
  <c r="AW19" i="113"/>
  <c r="AV19" i="113"/>
  <c r="AU19" i="113"/>
  <c r="AT19" i="113"/>
  <c r="AS19" i="113"/>
  <c r="AR19" i="113"/>
  <c r="AQ19" i="113"/>
  <c r="AP19" i="113"/>
  <c r="AO19" i="113"/>
  <c r="AN19" i="113"/>
  <c r="BB18" i="113"/>
  <c r="BA18" i="113"/>
  <c r="AZ18" i="113"/>
  <c r="AY18" i="113"/>
  <c r="AX18" i="113"/>
  <c r="AW18" i="113"/>
  <c r="AV18" i="113"/>
  <c r="AU18" i="113"/>
  <c r="AT18" i="113"/>
  <c r="AS18" i="113"/>
  <c r="AR18" i="113"/>
  <c r="AQ18" i="113"/>
  <c r="AP18" i="113"/>
  <c r="AO18" i="113"/>
  <c r="AN18" i="113"/>
  <c r="BB17" i="113"/>
  <c r="BA17" i="113"/>
  <c r="AZ17" i="113"/>
  <c r="AY17" i="113"/>
  <c r="AX17" i="113"/>
  <c r="AW17" i="113"/>
  <c r="AV17" i="113"/>
  <c r="AU17" i="113"/>
  <c r="AT17" i="113"/>
  <c r="AS17" i="113"/>
  <c r="AR17" i="113"/>
  <c r="AQ17" i="113"/>
  <c r="AP17" i="113"/>
  <c r="AO17" i="113"/>
  <c r="AN17" i="113"/>
  <c r="BB16" i="113"/>
  <c r="BA16" i="113"/>
  <c r="AZ16" i="113"/>
  <c r="AY16" i="113"/>
  <c r="AX16" i="113"/>
  <c r="AW16" i="113"/>
  <c r="AV16" i="113"/>
  <c r="AU16" i="113"/>
  <c r="AT16" i="113"/>
  <c r="AS16" i="113"/>
  <c r="AR16" i="113"/>
  <c r="AQ16" i="113"/>
  <c r="AP16" i="113"/>
  <c r="AO16" i="113"/>
  <c r="AN16" i="113"/>
  <c r="BB15" i="113"/>
  <c r="BA15" i="113"/>
  <c r="AZ15" i="113"/>
  <c r="AY15" i="113"/>
  <c r="AX15" i="113"/>
  <c r="AW15" i="113"/>
  <c r="AV15" i="113"/>
  <c r="AU15" i="113"/>
  <c r="AT15" i="113"/>
  <c r="AS15" i="113"/>
  <c r="AR15" i="113"/>
  <c r="AQ15" i="113"/>
  <c r="AP15" i="113"/>
  <c r="AO15" i="113"/>
  <c r="AN15" i="113"/>
  <c r="BB14" i="113"/>
  <c r="BA14" i="113"/>
  <c r="AZ14" i="113"/>
  <c r="AY14" i="113"/>
  <c r="AX14" i="113"/>
  <c r="AW14" i="113"/>
  <c r="AV14" i="113"/>
  <c r="AU14" i="113"/>
  <c r="AT14" i="113"/>
  <c r="AS14" i="113"/>
  <c r="AR14" i="113"/>
  <c r="AQ14" i="113"/>
  <c r="AP14" i="113"/>
  <c r="AO14" i="113"/>
  <c r="AN14" i="113"/>
  <c r="BB13" i="113"/>
  <c r="BA13" i="113"/>
  <c r="AZ13" i="113"/>
  <c r="AY13" i="113"/>
  <c r="AX13" i="113"/>
  <c r="AW13" i="113"/>
  <c r="AV13" i="113"/>
  <c r="AU13" i="113"/>
  <c r="AT13" i="113"/>
  <c r="AS13" i="113"/>
  <c r="AR13" i="113"/>
  <c r="AQ13" i="113"/>
  <c r="AP13" i="113"/>
  <c r="AO13" i="113"/>
  <c r="AN13" i="113"/>
  <c r="BB12" i="113"/>
  <c r="BA12" i="113"/>
  <c r="AZ12" i="113"/>
  <c r="AY12" i="113"/>
  <c r="AX12" i="113"/>
  <c r="AW12" i="113"/>
  <c r="AV12" i="113"/>
  <c r="AU12" i="113"/>
  <c r="AT12" i="113"/>
  <c r="AS12" i="113"/>
  <c r="AR12" i="113"/>
  <c r="AQ12" i="113"/>
  <c r="AP12" i="113"/>
  <c r="AO12" i="113"/>
  <c r="AN12" i="113"/>
  <c r="BB11" i="113"/>
  <c r="BA11" i="113"/>
  <c r="AZ11" i="113"/>
  <c r="AY11" i="113"/>
  <c r="AX11" i="113"/>
  <c r="AW11" i="113"/>
  <c r="AV11" i="113"/>
  <c r="AU11" i="113"/>
  <c r="AT11" i="113"/>
  <c r="AS11" i="113"/>
  <c r="AR11" i="113"/>
  <c r="AQ11" i="113"/>
  <c r="AP11" i="113"/>
  <c r="AO11" i="113"/>
  <c r="AN11" i="113"/>
  <c r="BB10" i="113"/>
  <c r="BA10" i="113"/>
  <c r="AZ10" i="113"/>
  <c r="AY10" i="113"/>
  <c r="AX10" i="113"/>
  <c r="AW10" i="113"/>
  <c r="AV10" i="113"/>
  <c r="AU10" i="113"/>
  <c r="AT10" i="113"/>
  <c r="AS10" i="113"/>
  <c r="AR10" i="113"/>
  <c r="AQ10" i="113"/>
  <c r="AP10" i="113"/>
  <c r="AO10" i="113"/>
  <c r="AN10" i="113"/>
  <c r="BB9" i="113"/>
  <c r="BA9" i="113"/>
  <c r="AZ9" i="113"/>
  <c r="AY9" i="113"/>
  <c r="AX9" i="113"/>
  <c r="AW9" i="113"/>
  <c r="AV9" i="113"/>
  <c r="AU9" i="113"/>
  <c r="AT9" i="113"/>
  <c r="AS9" i="113"/>
  <c r="AR9" i="113"/>
  <c r="AQ9" i="113"/>
  <c r="AP9" i="113"/>
  <c r="AO9" i="113"/>
  <c r="AN9" i="113"/>
  <c r="BB8" i="113"/>
  <c r="BA8" i="113"/>
  <c r="AZ8" i="113"/>
  <c r="AY8" i="113"/>
  <c r="AX8" i="113"/>
  <c r="AW8" i="113"/>
  <c r="AV8" i="113"/>
  <c r="AU8" i="113"/>
  <c r="AT8" i="113"/>
  <c r="AS8" i="113"/>
  <c r="AR8" i="113"/>
  <c r="AQ8" i="113"/>
  <c r="AP8" i="113"/>
  <c r="AO8" i="113"/>
  <c r="AN8" i="113"/>
  <c r="BB7" i="113"/>
  <c r="BA7" i="113"/>
  <c r="AZ7" i="113"/>
  <c r="AY7" i="113"/>
  <c r="AX7" i="113"/>
  <c r="AW7" i="113"/>
  <c r="AV7" i="113"/>
  <c r="AU7" i="113"/>
  <c r="AT7" i="113"/>
  <c r="AS7" i="113"/>
  <c r="AR7" i="113"/>
  <c r="AQ7" i="113"/>
  <c r="AP7" i="113"/>
  <c r="AO7" i="113"/>
  <c r="AN7" i="113"/>
  <c r="BB6" i="113"/>
  <c r="BA6" i="113"/>
  <c r="AZ6" i="113"/>
  <c r="AY6" i="113"/>
  <c r="AX6" i="113"/>
  <c r="AW6" i="113"/>
  <c r="AV6" i="113"/>
  <c r="AU6" i="113"/>
  <c r="AT6" i="113"/>
  <c r="AS6" i="113"/>
  <c r="AR6" i="113"/>
  <c r="AQ6" i="113"/>
  <c r="AP6" i="113"/>
  <c r="AO6" i="113"/>
  <c r="AN6" i="113"/>
  <c r="BB5" i="113"/>
  <c r="BA5" i="113"/>
  <c r="AZ5" i="113"/>
  <c r="AY5" i="113"/>
  <c r="AX5" i="113"/>
  <c r="AW5" i="113"/>
  <c r="AV5" i="113"/>
  <c r="AU5" i="113"/>
  <c r="AT5" i="113"/>
  <c r="AS5" i="113"/>
  <c r="AR5" i="113"/>
  <c r="AQ5" i="113"/>
  <c r="AP5" i="113"/>
  <c r="AO5" i="113"/>
  <c r="AN5" i="113"/>
  <c r="AK131" i="113"/>
  <c r="AK130" i="113"/>
  <c r="AK129" i="113"/>
  <c r="AK128" i="113"/>
  <c r="AK127" i="113"/>
  <c r="O131" i="114"/>
  <c r="N131" i="114"/>
  <c r="M131" i="114"/>
  <c r="L131" i="114"/>
  <c r="O130" i="114"/>
  <c r="N130" i="114"/>
  <c r="M130" i="114"/>
  <c r="L130" i="114"/>
  <c r="O129" i="114"/>
  <c r="N129" i="114"/>
  <c r="M129" i="114"/>
  <c r="L129" i="114"/>
  <c r="O128" i="114"/>
  <c r="N128" i="114"/>
  <c r="M128" i="114"/>
  <c r="L128" i="114"/>
  <c r="O127" i="114"/>
  <c r="N127" i="114"/>
  <c r="M127" i="114"/>
  <c r="L127" i="114"/>
  <c r="O125" i="114"/>
  <c r="N125" i="114"/>
  <c r="M125" i="114"/>
  <c r="L125" i="114"/>
  <c r="O124" i="114"/>
  <c r="N124" i="114"/>
  <c r="M124" i="114"/>
  <c r="L124" i="114"/>
  <c r="O123" i="114"/>
  <c r="N123" i="114"/>
  <c r="M123" i="114"/>
  <c r="L123" i="114"/>
  <c r="O122" i="114"/>
  <c r="N122" i="114"/>
  <c r="M122" i="114"/>
  <c r="L122" i="114"/>
  <c r="O121" i="114"/>
  <c r="N121" i="114"/>
  <c r="M121" i="114"/>
  <c r="L121" i="114"/>
  <c r="O120" i="114"/>
  <c r="N120" i="114"/>
  <c r="M120" i="114"/>
  <c r="L120" i="114"/>
  <c r="O119" i="114"/>
  <c r="N119" i="114"/>
  <c r="M119" i="114"/>
  <c r="L119" i="114"/>
  <c r="O118" i="114"/>
  <c r="N118" i="114"/>
  <c r="M118" i="114"/>
  <c r="L118" i="114"/>
  <c r="O117" i="114"/>
  <c r="N117" i="114"/>
  <c r="M117" i="114"/>
  <c r="L117" i="114"/>
  <c r="O116" i="114"/>
  <c r="N116" i="114"/>
  <c r="M116" i="114"/>
  <c r="L116" i="114"/>
  <c r="O115" i="114"/>
  <c r="N115" i="114"/>
  <c r="M115" i="114"/>
  <c r="L115" i="114"/>
  <c r="O114" i="114"/>
  <c r="N114" i="114"/>
  <c r="M114" i="114"/>
  <c r="L114" i="114"/>
  <c r="O113" i="114"/>
  <c r="N113" i="114"/>
  <c r="M113" i="114"/>
  <c r="L113" i="114"/>
  <c r="O112" i="114"/>
  <c r="N112" i="114"/>
  <c r="M112" i="114"/>
  <c r="L112" i="114"/>
  <c r="O111" i="114"/>
  <c r="N111" i="114"/>
  <c r="M111" i="114"/>
  <c r="L111" i="114"/>
  <c r="O110" i="114"/>
  <c r="N110" i="114"/>
  <c r="M110" i="114"/>
  <c r="L110" i="114"/>
  <c r="O109" i="114"/>
  <c r="N109" i="114"/>
  <c r="M109" i="114"/>
  <c r="L109" i="114"/>
  <c r="O108" i="114"/>
  <c r="N108" i="114"/>
  <c r="M108" i="114"/>
  <c r="L108" i="114"/>
  <c r="O107" i="114"/>
  <c r="N107" i="114"/>
  <c r="M107" i="114"/>
  <c r="L107" i="114"/>
  <c r="O106" i="114"/>
  <c r="N106" i="114"/>
  <c r="M106" i="114"/>
  <c r="L106" i="114"/>
  <c r="O105" i="114"/>
  <c r="N105" i="114"/>
  <c r="M105" i="114"/>
  <c r="L105" i="114"/>
  <c r="O104" i="114"/>
  <c r="N104" i="114"/>
  <c r="M104" i="114"/>
  <c r="L104" i="114"/>
  <c r="O103" i="114"/>
  <c r="N103" i="114"/>
  <c r="M103" i="114"/>
  <c r="L103" i="114"/>
  <c r="O102" i="114"/>
  <c r="N102" i="114"/>
  <c r="M102" i="114"/>
  <c r="L102" i="114"/>
  <c r="O101" i="114"/>
  <c r="N101" i="114"/>
  <c r="M101" i="114"/>
  <c r="L101" i="114"/>
  <c r="O100" i="114"/>
  <c r="N100" i="114"/>
  <c r="M100" i="114"/>
  <c r="L100" i="114"/>
  <c r="O99" i="114"/>
  <c r="N99" i="114"/>
  <c r="M99" i="114"/>
  <c r="L99" i="114"/>
  <c r="O98" i="114"/>
  <c r="N98" i="114"/>
  <c r="M98" i="114"/>
  <c r="L98" i="114"/>
  <c r="O97" i="114"/>
  <c r="N97" i="114"/>
  <c r="M97" i="114"/>
  <c r="L97" i="114"/>
  <c r="O96" i="114"/>
  <c r="N96" i="114"/>
  <c r="M96" i="114"/>
  <c r="L96" i="114"/>
  <c r="O95" i="114"/>
  <c r="N95" i="114"/>
  <c r="M95" i="114"/>
  <c r="L95" i="114"/>
  <c r="O94" i="114"/>
  <c r="N94" i="114"/>
  <c r="M94" i="114"/>
  <c r="L94" i="114"/>
  <c r="O93" i="114"/>
  <c r="N93" i="114"/>
  <c r="M93" i="114"/>
  <c r="L93" i="114"/>
  <c r="O92" i="114"/>
  <c r="N92" i="114"/>
  <c r="M92" i="114"/>
  <c r="L92" i="114"/>
  <c r="O91" i="114"/>
  <c r="N91" i="114"/>
  <c r="M91" i="114"/>
  <c r="L91" i="114"/>
  <c r="O90" i="114"/>
  <c r="N90" i="114"/>
  <c r="M90" i="114"/>
  <c r="L90" i="114"/>
  <c r="O89" i="114"/>
  <c r="N89" i="114"/>
  <c r="M89" i="114"/>
  <c r="L89" i="114"/>
  <c r="O88" i="114"/>
  <c r="N88" i="114"/>
  <c r="M88" i="114"/>
  <c r="L88" i="114"/>
  <c r="O87" i="114"/>
  <c r="N87" i="114"/>
  <c r="M87" i="114"/>
  <c r="L87" i="114"/>
  <c r="O86" i="114"/>
  <c r="N86" i="114"/>
  <c r="M86" i="114"/>
  <c r="L86" i="114"/>
  <c r="O85" i="114"/>
  <c r="N85" i="114"/>
  <c r="M85" i="114"/>
  <c r="L85" i="114"/>
  <c r="O84" i="114"/>
  <c r="N84" i="114"/>
  <c r="M84" i="114"/>
  <c r="L84" i="114"/>
  <c r="O83" i="114"/>
  <c r="N83" i="114"/>
  <c r="M83" i="114"/>
  <c r="L83" i="114"/>
  <c r="O82" i="114"/>
  <c r="N82" i="114"/>
  <c r="M82" i="114"/>
  <c r="L82" i="114"/>
  <c r="O81" i="114"/>
  <c r="N81" i="114"/>
  <c r="M81" i="114"/>
  <c r="L81" i="114"/>
  <c r="O80" i="114"/>
  <c r="N80" i="114"/>
  <c r="M80" i="114"/>
  <c r="L80" i="114"/>
  <c r="O79" i="114"/>
  <c r="N79" i="114"/>
  <c r="M79" i="114"/>
  <c r="L79" i="114"/>
  <c r="O78" i="114"/>
  <c r="N78" i="114"/>
  <c r="M78" i="114"/>
  <c r="L78" i="114"/>
  <c r="O77" i="114"/>
  <c r="N77" i="114"/>
  <c r="M77" i="114"/>
  <c r="L77" i="114"/>
  <c r="O76" i="114"/>
  <c r="N76" i="114"/>
  <c r="M76" i="114"/>
  <c r="L76" i="114"/>
  <c r="O75" i="114"/>
  <c r="N75" i="114"/>
  <c r="M75" i="114"/>
  <c r="L75" i="114"/>
  <c r="O74" i="114"/>
  <c r="N74" i="114"/>
  <c r="M74" i="114"/>
  <c r="L74" i="114"/>
  <c r="O73" i="114"/>
  <c r="N73" i="114"/>
  <c r="M73" i="114"/>
  <c r="L73" i="114"/>
  <c r="O72" i="114"/>
  <c r="N72" i="114"/>
  <c r="M72" i="114"/>
  <c r="L72" i="114"/>
  <c r="O71" i="114"/>
  <c r="N71" i="114"/>
  <c r="M71" i="114"/>
  <c r="L71" i="114"/>
  <c r="O70" i="114"/>
  <c r="N70" i="114"/>
  <c r="M70" i="114"/>
  <c r="L70" i="114"/>
  <c r="O69" i="114"/>
  <c r="N69" i="114"/>
  <c r="M69" i="114"/>
  <c r="L69" i="114"/>
  <c r="O68" i="114"/>
  <c r="N68" i="114"/>
  <c r="M68" i="114"/>
  <c r="L68" i="114"/>
  <c r="O67" i="114"/>
  <c r="N67" i="114"/>
  <c r="M67" i="114"/>
  <c r="L67" i="114"/>
  <c r="O66" i="114"/>
  <c r="N66" i="114"/>
  <c r="M66" i="114"/>
  <c r="L66" i="114"/>
  <c r="O65" i="114"/>
  <c r="N65" i="114"/>
  <c r="M65" i="114"/>
  <c r="L65" i="114"/>
  <c r="O64" i="114"/>
  <c r="N64" i="114"/>
  <c r="M64" i="114"/>
  <c r="L64" i="114"/>
  <c r="O63" i="114"/>
  <c r="N63" i="114"/>
  <c r="M63" i="114"/>
  <c r="L63" i="114"/>
  <c r="O62" i="114"/>
  <c r="N62" i="114"/>
  <c r="M62" i="114"/>
  <c r="L62" i="114"/>
  <c r="O61" i="114"/>
  <c r="N61" i="114"/>
  <c r="M61" i="114"/>
  <c r="L61" i="114"/>
  <c r="O60" i="114"/>
  <c r="N60" i="114"/>
  <c r="M60" i="114"/>
  <c r="L60" i="114"/>
  <c r="O59" i="114"/>
  <c r="N59" i="114"/>
  <c r="M59" i="114"/>
  <c r="L59" i="114"/>
  <c r="O58" i="114"/>
  <c r="N58" i="114"/>
  <c r="M58" i="114"/>
  <c r="L58" i="114"/>
  <c r="O57" i="114"/>
  <c r="N57" i="114"/>
  <c r="M57" i="114"/>
  <c r="L57" i="114"/>
  <c r="O56" i="114"/>
  <c r="N56" i="114"/>
  <c r="M56" i="114"/>
  <c r="L56" i="114"/>
  <c r="O55" i="114"/>
  <c r="N55" i="114"/>
  <c r="M55" i="114"/>
  <c r="L55" i="114"/>
  <c r="O54" i="114"/>
  <c r="N54" i="114"/>
  <c r="M54" i="114"/>
  <c r="L54" i="114"/>
  <c r="O53" i="114"/>
  <c r="N53" i="114"/>
  <c r="M53" i="114"/>
  <c r="L53" i="114"/>
  <c r="O52" i="114"/>
  <c r="N52" i="114"/>
  <c r="M52" i="114"/>
  <c r="L52" i="114"/>
  <c r="O51" i="114"/>
  <c r="N51" i="114"/>
  <c r="M51" i="114"/>
  <c r="L51" i="114"/>
  <c r="O50" i="114"/>
  <c r="N50" i="114"/>
  <c r="M50" i="114"/>
  <c r="L50" i="114"/>
  <c r="O49" i="114"/>
  <c r="N49" i="114"/>
  <c r="M49" i="114"/>
  <c r="L49" i="114"/>
  <c r="O48" i="114"/>
  <c r="N48" i="114"/>
  <c r="M48" i="114"/>
  <c r="L48" i="114"/>
  <c r="O47" i="114"/>
  <c r="N47" i="114"/>
  <c r="M47" i="114"/>
  <c r="L47" i="114"/>
  <c r="O46" i="114"/>
  <c r="N46" i="114"/>
  <c r="M46" i="114"/>
  <c r="L46" i="114"/>
  <c r="O45" i="114"/>
  <c r="N45" i="114"/>
  <c r="M45" i="114"/>
  <c r="L45" i="114"/>
  <c r="O44" i="114"/>
  <c r="N44" i="114"/>
  <c r="M44" i="114"/>
  <c r="L44" i="114"/>
  <c r="O43" i="114"/>
  <c r="N43" i="114"/>
  <c r="M43" i="114"/>
  <c r="L43" i="114"/>
  <c r="O42" i="114"/>
  <c r="N42" i="114"/>
  <c r="M42" i="114"/>
  <c r="L42" i="114"/>
  <c r="O41" i="114"/>
  <c r="N41" i="114"/>
  <c r="M41" i="114"/>
  <c r="L41" i="114"/>
  <c r="O40" i="114"/>
  <c r="N40" i="114"/>
  <c r="M40" i="114"/>
  <c r="L40" i="114"/>
  <c r="O39" i="114"/>
  <c r="N39" i="114"/>
  <c r="M39" i="114"/>
  <c r="L39" i="114"/>
  <c r="O38" i="114"/>
  <c r="N38" i="114"/>
  <c r="M38" i="114"/>
  <c r="L38" i="114"/>
  <c r="O37" i="114"/>
  <c r="N37" i="114"/>
  <c r="M37" i="114"/>
  <c r="L37" i="114"/>
  <c r="O36" i="114"/>
  <c r="N36" i="114"/>
  <c r="M36" i="114"/>
  <c r="L36" i="114"/>
  <c r="O35" i="114"/>
  <c r="N35" i="114"/>
  <c r="M35" i="114"/>
  <c r="L35" i="114"/>
  <c r="O34" i="114"/>
  <c r="N34" i="114"/>
  <c r="M34" i="114"/>
  <c r="L34" i="114"/>
  <c r="O33" i="114"/>
  <c r="N33" i="114"/>
  <c r="M33" i="114"/>
  <c r="L33" i="114"/>
  <c r="O32" i="114"/>
  <c r="N32" i="114"/>
  <c r="M32" i="114"/>
  <c r="L32" i="114"/>
  <c r="O31" i="114"/>
  <c r="N31" i="114"/>
  <c r="M31" i="114"/>
  <c r="L31" i="114"/>
  <c r="O30" i="114"/>
  <c r="N30" i="114"/>
  <c r="M30" i="114"/>
  <c r="L30" i="114"/>
  <c r="O29" i="114"/>
  <c r="N29" i="114"/>
  <c r="M29" i="114"/>
  <c r="L29" i="114"/>
  <c r="O28" i="114"/>
  <c r="N28" i="114"/>
  <c r="M28" i="114"/>
  <c r="L28" i="114"/>
  <c r="O27" i="114"/>
  <c r="N27" i="114"/>
  <c r="M27" i="114"/>
  <c r="L27" i="114"/>
  <c r="O26" i="114"/>
  <c r="N26" i="114"/>
  <c r="M26" i="114"/>
  <c r="L26" i="114"/>
  <c r="O25" i="114"/>
  <c r="N25" i="114"/>
  <c r="M25" i="114"/>
  <c r="L25" i="114"/>
  <c r="O24" i="114"/>
  <c r="N24" i="114"/>
  <c r="M24" i="114"/>
  <c r="L24" i="114"/>
  <c r="O23" i="114"/>
  <c r="N23" i="114"/>
  <c r="M23" i="114"/>
  <c r="L23" i="114"/>
  <c r="O22" i="114"/>
  <c r="N22" i="114"/>
  <c r="M22" i="114"/>
  <c r="L22" i="114"/>
  <c r="O21" i="114"/>
  <c r="N21" i="114"/>
  <c r="M21" i="114"/>
  <c r="L21" i="114"/>
  <c r="O20" i="114"/>
  <c r="N20" i="114"/>
  <c r="M20" i="114"/>
  <c r="L20" i="114"/>
  <c r="O19" i="114"/>
  <c r="N19" i="114"/>
  <c r="M19" i="114"/>
  <c r="L19" i="114"/>
  <c r="O18" i="114"/>
  <c r="N18" i="114"/>
  <c r="M18" i="114"/>
  <c r="L18" i="114"/>
  <c r="O17" i="114"/>
  <c r="N17" i="114"/>
  <c r="M17" i="114"/>
  <c r="L17" i="114"/>
  <c r="O16" i="114"/>
  <c r="N16" i="114"/>
  <c r="M16" i="114"/>
  <c r="L16" i="114"/>
  <c r="O15" i="114"/>
  <c r="N15" i="114"/>
  <c r="M15" i="114"/>
  <c r="L15" i="114"/>
  <c r="O14" i="114"/>
  <c r="N14" i="114"/>
  <c r="M14" i="114"/>
  <c r="L14" i="114"/>
  <c r="O13" i="114"/>
  <c r="N13" i="114"/>
  <c r="M13" i="114"/>
  <c r="L13" i="114"/>
  <c r="O12" i="114"/>
  <c r="N12" i="114"/>
  <c r="M12" i="114"/>
  <c r="L12" i="114"/>
  <c r="O11" i="114"/>
  <c r="N11" i="114"/>
  <c r="M11" i="114"/>
  <c r="L11" i="114"/>
  <c r="O10" i="114"/>
  <c r="N10" i="114"/>
  <c r="M10" i="114"/>
  <c r="L10" i="114"/>
  <c r="O9" i="114"/>
  <c r="N9" i="114"/>
  <c r="M9" i="114"/>
  <c r="L9" i="114"/>
  <c r="O8" i="114"/>
  <c r="N8" i="114"/>
  <c r="M8" i="114"/>
  <c r="L8" i="114"/>
  <c r="O7" i="114"/>
  <c r="N7" i="114"/>
  <c r="M7" i="114"/>
  <c r="L7" i="114"/>
  <c r="O6" i="114"/>
  <c r="N6" i="114"/>
  <c r="M6" i="114"/>
  <c r="L6" i="114"/>
  <c r="O5" i="114"/>
  <c r="N5" i="114"/>
  <c r="M5" i="114"/>
  <c r="L5" i="114"/>
  <c r="AK131" i="109"/>
  <c r="AK130" i="109"/>
  <c r="AK129" i="109"/>
  <c r="AK128" i="109"/>
  <c r="AK127" i="109"/>
  <c r="AK125" i="109"/>
  <c r="AK124" i="109"/>
  <c r="AK123" i="109"/>
  <c r="AK122" i="109"/>
  <c r="AK121" i="109"/>
  <c r="AK120" i="109"/>
  <c r="AK119" i="109"/>
  <c r="AK118" i="109"/>
  <c r="AK117" i="109"/>
  <c r="AK116" i="109"/>
  <c r="AK115" i="109"/>
  <c r="AK114" i="109"/>
  <c r="AK113" i="109"/>
  <c r="AK112" i="109"/>
  <c r="AK111" i="109"/>
  <c r="AK110" i="109"/>
  <c r="AK109" i="109"/>
  <c r="AK108" i="109"/>
  <c r="AK107" i="109"/>
  <c r="AK106" i="109"/>
  <c r="AK105" i="109"/>
  <c r="AK104" i="109"/>
  <c r="AK103" i="109"/>
  <c r="AK102" i="109"/>
  <c r="AK101" i="109"/>
  <c r="AK100" i="109"/>
  <c r="AK99" i="109"/>
  <c r="AK98" i="109"/>
  <c r="AK97" i="109"/>
  <c r="AK96" i="109"/>
  <c r="AK95" i="109"/>
  <c r="AK94" i="109"/>
  <c r="AK93" i="109"/>
  <c r="AK92" i="109"/>
  <c r="AK91" i="109"/>
  <c r="AK90" i="109"/>
  <c r="AK89" i="109"/>
  <c r="AK88" i="109"/>
  <c r="AK87" i="109"/>
  <c r="AK86" i="109"/>
  <c r="AK85" i="109"/>
  <c r="AK84" i="109"/>
  <c r="AK83" i="109"/>
  <c r="AK82" i="109"/>
  <c r="AK81" i="109"/>
  <c r="AK80" i="109"/>
  <c r="AK79" i="109"/>
  <c r="AK78" i="109"/>
  <c r="AK77" i="109"/>
  <c r="AK76" i="109"/>
  <c r="AK75" i="109"/>
  <c r="AK74" i="109"/>
  <c r="AK73" i="109"/>
  <c r="AK72" i="109"/>
  <c r="AK71" i="109"/>
  <c r="AK70" i="109"/>
  <c r="AK69" i="109"/>
  <c r="AK68" i="109"/>
  <c r="AK67" i="109"/>
  <c r="AK66" i="109"/>
  <c r="AK65" i="109"/>
  <c r="AK64" i="109"/>
  <c r="AK63" i="109"/>
  <c r="AK62" i="109"/>
  <c r="AK61" i="109"/>
  <c r="AK60" i="109"/>
  <c r="AK59" i="109"/>
  <c r="AK58" i="109"/>
  <c r="AK57" i="109"/>
  <c r="AK56" i="109"/>
  <c r="AK55" i="109"/>
  <c r="AK54" i="109"/>
  <c r="AK53" i="109"/>
  <c r="AK52" i="109"/>
  <c r="AK51" i="109"/>
  <c r="AK50" i="109"/>
  <c r="AK49" i="109"/>
  <c r="AK48" i="109"/>
  <c r="AK47" i="109"/>
  <c r="AK46" i="109"/>
  <c r="AK45" i="109"/>
  <c r="AK44" i="109"/>
  <c r="AK43" i="109"/>
  <c r="AK42" i="109"/>
  <c r="AK41" i="109"/>
  <c r="AK40" i="109"/>
  <c r="AK39" i="109"/>
  <c r="AK38" i="109"/>
  <c r="AK37" i="109"/>
  <c r="AK36" i="109"/>
  <c r="AK35" i="109"/>
  <c r="AK34" i="109"/>
  <c r="AK33" i="109"/>
  <c r="AK32" i="109"/>
  <c r="AK31" i="109"/>
  <c r="AK30" i="109"/>
  <c r="AK29" i="109"/>
  <c r="AK28" i="109"/>
  <c r="AK27" i="109"/>
  <c r="AK26" i="109"/>
  <c r="AK25" i="109"/>
  <c r="AK24" i="109"/>
  <c r="AK23" i="109"/>
  <c r="AK22" i="109"/>
  <c r="AK21" i="109"/>
  <c r="AK20" i="109"/>
  <c r="AK19" i="109"/>
  <c r="AK18" i="109"/>
  <c r="AK17" i="109"/>
  <c r="AK16" i="109"/>
  <c r="AK15" i="109"/>
  <c r="AK14" i="109"/>
  <c r="AK13" i="109"/>
  <c r="AK12" i="109"/>
  <c r="AK11" i="109"/>
  <c r="AK10" i="109"/>
  <c r="AK9" i="109"/>
  <c r="AK8" i="109"/>
  <c r="AK7" i="109"/>
  <c r="AK6" i="109"/>
  <c r="AK5" i="109"/>
  <c r="S131" i="109"/>
  <c r="S130" i="109"/>
  <c r="S129" i="109"/>
  <c r="S128" i="109"/>
  <c r="S127" i="109"/>
  <c r="S125" i="109"/>
  <c r="S124" i="109"/>
  <c r="S123" i="109"/>
  <c r="S122" i="109"/>
  <c r="S121" i="109"/>
  <c r="S120" i="109"/>
  <c r="S119" i="109"/>
  <c r="S118" i="109"/>
  <c r="S117" i="109"/>
  <c r="S116" i="109"/>
  <c r="S115" i="109"/>
  <c r="S114" i="109"/>
  <c r="S113" i="109"/>
  <c r="S112" i="109"/>
  <c r="S111" i="109"/>
  <c r="S110" i="109"/>
  <c r="S109" i="109"/>
  <c r="S108" i="109"/>
  <c r="S107" i="109"/>
  <c r="S106" i="109"/>
  <c r="S105" i="109"/>
  <c r="S104" i="109"/>
  <c r="S103" i="109"/>
  <c r="S102" i="109"/>
  <c r="S101" i="109"/>
  <c r="S100" i="109"/>
  <c r="S99" i="109"/>
  <c r="S98" i="109"/>
  <c r="S97" i="109"/>
  <c r="S96" i="109"/>
  <c r="S95" i="109"/>
  <c r="S94" i="109"/>
  <c r="S93" i="109"/>
  <c r="S92" i="109"/>
  <c r="S91" i="109"/>
  <c r="S90" i="109"/>
  <c r="S89" i="109"/>
  <c r="S88" i="109"/>
  <c r="S87" i="109"/>
  <c r="S86" i="109"/>
  <c r="S85" i="109"/>
  <c r="S84" i="109"/>
  <c r="S83" i="109"/>
  <c r="S82" i="109"/>
  <c r="S81" i="109"/>
  <c r="S80" i="109"/>
  <c r="S79" i="109"/>
  <c r="S78" i="109"/>
  <c r="S77" i="109"/>
  <c r="S76" i="109"/>
  <c r="S75" i="109"/>
  <c r="S74" i="109"/>
  <c r="S73" i="109"/>
  <c r="S72" i="109"/>
  <c r="S71" i="109"/>
  <c r="S70" i="109"/>
  <c r="S69" i="109"/>
  <c r="S68" i="109"/>
  <c r="S67" i="109"/>
  <c r="S66" i="109"/>
  <c r="S65" i="109"/>
  <c r="S64" i="109"/>
  <c r="S63" i="109"/>
  <c r="S62" i="109"/>
  <c r="S61" i="109"/>
  <c r="S60" i="109"/>
  <c r="S59" i="109"/>
  <c r="S58" i="109"/>
  <c r="S57" i="109"/>
  <c r="S56" i="109"/>
  <c r="S55" i="109"/>
  <c r="S54" i="109"/>
  <c r="S53" i="109"/>
  <c r="S52" i="109"/>
  <c r="S51" i="109"/>
  <c r="S50" i="109"/>
  <c r="S49" i="109"/>
  <c r="S48" i="109"/>
  <c r="S47" i="109"/>
  <c r="S46" i="109"/>
  <c r="S45" i="109"/>
  <c r="S44" i="109"/>
  <c r="S43" i="109"/>
  <c r="S42" i="109"/>
  <c r="S41" i="109"/>
  <c r="S40" i="109"/>
  <c r="S39" i="109"/>
  <c r="S38" i="109"/>
  <c r="S37" i="109"/>
  <c r="S36" i="109"/>
  <c r="S35" i="109"/>
  <c r="S34" i="109"/>
  <c r="S33" i="109"/>
  <c r="S32" i="109"/>
  <c r="S31" i="109"/>
  <c r="S30" i="109"/>
  <c r="S29" i="109"/>
  <c r="S28" i="109"/>
  <c r="S27" i="109"/>
  <c r="S26" i="109"/>
  <c r="S25" i="109"/>
  <c r="S24" i="109"/>
  <c r="S23" i="109"/>
  <c r="S22" i="109"/>
  <c r="S21" i="109"/>
  <c r="S20" i="109"/>
  <c r="S19" i="109"/>
  <c r="S18" i="109"/>
  <c r="S17" i="109"/>
  <c r="S16" i="109"/>
  <c r="S15" i="109"/>
  <c r="S14" i="109"/>
  <c r="S13" i="109"/>
  <c r="S12" i="109"/>
  <c r="S11" i="109"/>
  <c r="S10" i="109"/>
  <c r="S9" i="109"/>
  <c r="S8" i="109"/>
  <c r="S7" i="109"/>
  <c r="S5" i="109"/>
  <c r="S6" i="109"/>
  <c r="I100" i="84"/>
  <c r="H100" i="84"/>
  <c r="I99" i="84"/>
  <c r="H99" i="84"/>
  <c r="I98" i="84"/>
  <c r="H98" i="84"/>
  <c r="I125" i="84"/>
  <c r="H125" i="84"/>
  <c r="I124" i="84"/>
  <c r="H124" i="84"/>
  <c r="I97" i="84"/>
  <c r="H97" i="84"/>
  <c r="I96" i="84"/>
  <c r="H96" i="84"/>
  <c r="I95" i="84"/>
  <c r="H95" i="84"/>
  <c r="I123" i="84"/>
  <c r="H123" i="84"/>
  <c r="I94" i="84"/>
  <c r="H94" i="84"/>
  <c r="I93" i="84"/>
  <c r="H93" i="84"/>
  <c r="I92" i="84"/>
  <c r="H92" i="84"/>
  <c r="I122" i="84"/>
  <c r="H122" i="84"/>
  <c r="I91" i="84"/>
  <c r="H91" i="84"/>
  <c r="I90" i="84"/>
  <c r="H90" i="84"/>
  <c r="I89" i="84"/>
  <c r="H89" i="84"/>
  <c r="I88" i="84"/>
  <c r="H88" i="84"/>
  <c r="I87" i="84"/>
  <c r="H87" i="84"/>
  <c r="I86" i="84"/>
  <c r="H86" i="84"/>
  <c r="I85" i="84"/>
  <c r="H85" i="84"/>
  <c r="I84" i="84"/>
  <c r="H84" i="84"/>
  <c r="I83" i="84"/>
  <c r="H83" i="84"/>
  <c r="I82" i="84"/>
  <c r="H82" i="84"/>
  <c r="I121" i="84"/>
  <c r="H121" i="84"/>
  <c r="I81" i="84"/>
  <c r="H81" i="84"/>
  <c r="I120" i="84"/>
  <c r="H120" i="84"/>
  <c r="I80" i="84"/>
  <c r="H80" i="84"/>
  <c r="I119" i="84"/>
  <c r="H119" i="84"/>
  <c r="I79" i="84"/>
  <c r="H79" i="84"/>
  <c r="I78" i="84"/>
  <c r="H78" i="84"/>
  <c r="I77" i="84"/>
  <c r="H77" i="84"/>
  <c r="I76" i="84"/>
  <c r="H76" i="84"/>
  <c r="I75" i="84"/>
  <c r="H75" i="84"/>
  <c r="I118" i="84"/>
  <c r="H118" i="84"/>
  <c r="I74" i="84"/>
  <c r="H74" i="84"/>
  <c r="I117" i="84"/>
  <c r="H117" i="84"/>
  <c r="I73" i="84"/>
  <c r="H73" i="84"/>
  <c r="I72" i="84"/>
  <c r="H72" i="84"/>
  <c r="I71" i="84"/>
  <c r="H71" i="84"/>
  <c r="I70" i="84"/>
  <c r="H70" i="84"/>
  <c r="I116" i="84"/>
  <c r="H116" i="84"/>
  <c r="I69" i="84"/>
  <c r="H69" i="84"/>
  <c r="I68" i="84"/>
  <c r="H68" i="84"/>
  <c r="I115" i="84"/>
  <c r="H115" i="84"/>
  <c r="I114" i="84"/>
  <c r="H114" i="84"/>
  <c r="I67" i="84"/>
  <c r="H67" i="84"/>
  <c r="I66" i="84"/>
  <c r="H66" i="84"/>
  <c r="I65" i="84"/>
  <c r="H65" i="84"/>
  <c r="I64" i="84"/>
  <c r="H64" i="84"/>
  <c r="I63" i="84"/>
  <c r="H63" i="84"/>
  <c r="I62" i="84"/>
  <c r="H62" i="84"/>
  <c r="I113" i="84"/>
  <c r="H113" i="84"/>
  <c r="I112" i="84"/>
  <c r="H112" i="84"/>
  <c r="I61" i="84"/>
  <c r="H61" i="84"/>
  <c r="I111" i="84"/>
  <c r="H111" i="84"/>
  <c r="I60" i="84"/>
  <c r="H60" i="84"/>
  <c r="I59" i="84"/>
  <c r="H59" i="84"/>
  <c r="I58" i="84"/>
  <c r="H58" i="84"/>
  <c r="I57" i="84"/>
  <c r="H57" i="84"/>
  <c r="I56" i="84"/>
  <c r="H56" i="84"/>
  <c r="I55" i="84"/>
  <c r="H55" i="84"/>
  <c r="I54" i="84"/>
  <c r="H54" i="84"/>
  <c r="I53" i="84"/>
  <c r="H53" i="84"/>
  <c r="I52" i="84"/>
  <c r="H52" i="84"/>
  <c r="I51" i="84"/>
  <c r="H51" i="84"/>
  <c r="I110" i="84"/>
  <c r="H110" i="84"/>
  <c r="I50" i="84"/>
  <c r="H50" i="84"/>
  <c r="I49" i="84"/>
  <c r="H49" i="84"/>
  <c r="I48" i="84"/>
  <c r="H48" i="84"/>
  <c r="I47" i="84"/>
  <c r="H47" i="84"/>
  <c r="I109" i="84"/>
  <c r="H109" i="84"/>
  <c r="I46" i="84"/>
  <c r="H46" i="84"/>
  <c r="I45" i="84"/>
  <c r="H45" i="84"/>
  <c r="I44" i="84"/>
  <c r="H44" i="84"/>
  <c r="I43" i="84"/>
  <c r="H43" i="84"/>
  <c r="I42" i="84"/>
  <c r="H42" i="84"/>
  <c r="I41" i="84"/>
  <c r="H41" i="84"/>
  <c r="I40" i="84"/>
  <c r="H40" i="84"/>
  <c r="I108" i="84"/>
  <c r="H108" i="84"/>
  <c r="I107" i="84"/>
  <c r="H107" i="84"/>
  <c r="I39" i="84"/>
  <c r="H39" i="84"/>
  <c r="I38" i="84"/>
  <c r="H38" i="84"/>
  <c r="I106" i="84"/>
  <c r="H106" i="84"/>
  <c r="I37" i="84"/>
  <c r="H37" i="84"/>
  <c r="I36" i="84"/>
  <c r="H36" i="84"/>
  <c r="I35" i="84"/>
  <c r="H35" i="84"/>
  <c r="I34" i="84"/>
  <c r="H34" i="84"/>
  <c r="I33" i="84"/>
  <c r="H33" i="84"/>
  <c r="I32" i="84"/>
  <c r="H32" i="84"/>
  <c r="I31" i="84"/>
  <c r="H31" i="84"/>
  <c r="I105" i="84"/>
  <c r="H105" i="84"/>
  <c r="I30" i="84"/>
  <c r="H30" i="84"/>
  <c r="I29" i="84"/>
  <c r="H29" i="84"/>
  <c r="I28" i="84"/>
  <c r="H28" i="84"/>
  <c r="I27" i="84"/>
  <c r="H27" i="84"/>
  <c r="I26" i="84"/>
  <c r="H26" i="84"/>
  <c r="I104" i="84"/>
  <c r="H104" i="84"/>
  <c r="I103" i="84"/>
  <c r="H103" i="84"/>
  <c r="I25" i="84"/>
  <c r="H25" i="84"/>
  <c r="I24" i="84"/>
  <c r="H24" i="84"/>
  <c r="I23" i="84"/>
  <c r="H23" i="84"/>
  <c r="I22" i="84"/>
  <c r="H22" i="84"/>
  <c r="I21" i="84"/>
  <c r="H21" i="84"/>
  <c r="I20" i="84"/>
  <c r="H20" i="84"/>
  <c r="I19" i="84"/>
  <c r="H19" i="84"/>
  <c r="I18" i="84"/>
  <c r="H18" i="84"/>
  <c r="I102" i="84"/>
  <c r="H102" i="84"/>
  <c r="I17" i="84"/>
  <c r="H17" i="84"/>
  <c r="I16" i="84"/>
  <c r="H16" i="84"/>
  <c r="I15" i="84"/>
  <c r="H15" i="84"/>
  <c r="I14" i="84"/>
  <c r="H14" i="84"/>
  <c r="I13" i="84"/>
  <c r="H13" i="84"/>
  <c r="I12" i="84"/>
  <c r="H12" i="84"/>
  <c r="I11" i="84"/>
  <c r="H11" i="84"/>
  <c r="I10" i="84"/>
  <c r="H10" i="84"/>
  <c r="I9" i="84"/>
  <c r="H9" i="84"/>
  <c r="I8" i="84"/>
  <c r="H8" i="84"/>
  <c r="I101" i="84"/>
  <c r="H101" i="84"/>
  <c r="I7" i="84"/>
  <c r="H7" i="84"/>
  <c r="I6" i="84"/>
  <c r="H6" i="84"/>
  <c r="G100" i="84"/>
  <c r="G99" i="84"/>
  <c r="G98" i="84"/>
  <c r="G125" i="84"/>
  <c r="G124" i="84"/>
  <c r="G97" i="84"/>
  <c r="G96" i="84"/>
  <c r="G95" i="84"/>
  <c r="G123" i="84"/>
  <c r="G94" i="84"/>
  <c r="G93" i="84"/>
  <c r="G92" i="84"/>
  <c r="G122" i="84"/>
  <c r="G91" i="84"/>
  <c r="G90" i="84"/>
  <c r="G89" i="84"/>
  <c r="G88" i="84"/>
  <c r="G87" i="84"/>
  <c r="G86" i="84"/>
  <c r="G85" i="84"/>
  <c r="G84" i="84"/>
  <c r="G83" i="84"/>
  <c r="G82" i="84"/>
  <c r="G121" i="84"/>
  <c r="G81" i="84"/>
  <c r="G120" i="84"/>
  <c r="G80" i="84"/>
  <c r="G119" i="84"/>
  <c r="G79" i="84"/>
  <c r="G78" i="84"/>
  <c r="G77" i="84"/>
  <c r="G76" i="84"/>
  <c r="G75" i="84"/>
  <c r="G118" i="84"/>
  <c r="G74" i="84"/>
  <c r="G117" i="84"/>
  <c r="G73" i="84"/>
  <c r="G72" i="84"/>
  <c r="G71" i="84"/>
  <c r="G70" i="84"/>
  <c r="G116" i="84"/>
  <c r="G69" i="84"/>
  <c r="G68" i="84"/>
  <c r="G115" i="84"/>
  <c r="G114" i="84"/>
  <c r="G67" i="84"/>
  <c r="G66" i="84"/>
  <c r="G65" i="84"/>
  <c r="G64" i="84"/>
  <c r="G63" i="84"/>
  <c r="G62" i="84"/>
  <c r="G113" i="84"/>
  <c r="G112" i="84"/>
  <c r="G61" i="84"/>
  <c r="G111" i="84"/>
  <c r="G60" i="84"/>
  <c r="G59" i="84"/>
  <c r="G58" i="84"/>
  <c r="G57" i="84"/>
  <c r="G56" i="84"/>
  <c r="G55" i="84"/>
  <c r="G54" i="84"/>
  <c r="G53" i="84"/>
  <c r="G52" i="84"/>
  <c r="G51" i="84"/>
  <c r="G110" i="84"/>
  <c r="G50" i="84"/>
  <c r="G49" i="84"/>
  <c r="G48" i="84"/>
  <c r="G47" i="84"/>
  <c r="G109" i="84"/>
  <c r="G46" i="84"/>
  <c r="G45" i="84"/>
  <c r="G44" i="84"/>
  <c r="G43" i="84"/>
  <c r="G42" i="84"/>
  <c r="G41" i="84"/>
  <c r="G40" i="84"/>
  <c r="G108" i="84"/>
  <c r="G107" i="84"/>
  <c r="G39" i="84"/>
  <c r="G38" i="84"/>
  <c r="G106" i="84"/>
  <c r="G37" i="84"/>
  <c r="G36" i="84"/>
  <c r="G35" i="84"/>
  <c r="G34" i="84"/>
  <c r="G33" i="84"/>
  <c r="G32" i="84"/>
  <c r="G31" i="84"/>
  <c r="G105" i="84"/>
  <c r="G30" i="84"/>
  <c r="G29" i="84"/>
  <c r="G28" i="84"/>
  <c r="G27" i="84"/>
  <c r="G26" i="84"/>
  <c r="G104" i="84"/>
  <c r="G103" i="84"/>
  <c r="G25" i="84"/>
  <c r="G24" i="84"/>
  <c r="G23" i="84"/>
  <c r="G22" i="84"/>
  <c r="G21" i="84"/>
  <c r="G20" i="84"/>
  <c r="G19" i="84"/>
  <c r="G18" i="84"/>
  <c r="G102" i="84"/>
  <c r="G17" i="84"/>
  <c r="G16" i="84"/>
  <c r="G15" i="84"/>
  <c r="G14" i="84"/>
  <c r="G13" i="84"/>
  <c r="G12" i="84"/>
  <c r="G11" i="84"/>
  <c r="G10" i="84"/>
  <c r="G9" i="84"/>
  <c r="G8" i="84"/>
  <c r="G101" i="84"/>
  <c r="G7" i="84"/>
  <c r="G6" i="84"/>
  <c r="F100" i="84"/>
  <c r="F99" i="84"/>
  <c r="F98" i="84"/>
  <c r="F125" i="84"/>
  <c r="F124" i="84"/>
  <c r="F97" i="84"/>
  <c r="F96" i="84"/>
  <c r="F95" i="84"/>
  <c r="F123" i="84"/>
  <c r="F94" i="84"/>
  <c r="F93" i="84"/>
  <c r="F92" i="84"/>
  <c r="F122" i="84"/>
  <c r="F91" i="84"/>
  <c r="F90" i="84"/>
  <c r="F89" i="84"/>
  <c r="F88" i="84"/>
  <c r="F87" i="84"/>
  <c r="F86" i="84"/>
  <c r="F85" i="84"/>
  <c r="F84" i="84"/>
  <c r="F83" i="84"/>
  <c r="F82" i="84"/>
  <c r="F121" i="84"/>
  <c r="F81" i="84"/>
  <c r="F120" i="84"/>
  <c r="F80" i="84"/>
  <c r="F119" i="84"/>
  <c r="F79" i="84"/>
  <c r="F78" i="84"/>
  <c r="F77" i="84"/>
  <c r="F76" i="84"/>
  <c r="F75" i="84"/>
  <c r="F118" i="84"/>
  <c r="F74" i="84"/>
  <c r="F117" i="84"/>
  <c r="F73" i="84"/>
  <c r="F72" i="84"/>
  <c r="F71" i="84"/>
  <c r="F70" i="84"/>
  <c r="F116" i="84"/>
  <c r="F69" i="84"/>
  <c r="F68" i="84"/>
  <c r="F115" i="84"/>
  <c r="F114" i="84"/>
  <c r="F67" i="84"/>
  <c r="F66" i="84"/>
  <c r="F65" i="84"/>
  <c r="F64" i="84"/>
  <c r="F63" i="84"/>
  <c r="F62" i="84"/>
  <c r="F113" i="84"/>
  <c r="F112" i="84"/>
  <c r="F61" i="84"/>
  <c r="F111" i="84"/>
  <c r="F60" i="84"/>
  <c r="F59" i="84"/>
  <c r="F58" i="84"/>
  <c r="F57" i="84"/>
  <c r="F56" i="84"/>
  <c r="F55" i="84"/>
  <c r="F54" i="84"/>
  <c r="F53" i="84"/>
  <c r="F52" i="84"/>
  <c r="F51" i="84"/>
  <c r="F110" i="84"/>
  <c r="F50" i="84"/>
  <c r="F49" i="84"/>
  <c r="F48" i="84"/>
  <c r="F47" i="84"/>
  <c r="F109" i="84"/>
  <c r="F46" i="84"/>
  <c r="F45" i="84"/>
  <c r="F44" i="84"/>
  <c r="F43" i="84"/>
  <c r="F42" i="84"/>
  <c r="F41" i="84"/>
  <c r="F40" i="84"/>
  <c r="F108" i="84"/>
  <c r="F107" i="84"/>
  <c r="F39" i="84"/>
  <c r="F38" i="84"/>
  <c r="F106" i="84"/>
  <c r="F37" i="84"/>
  <c r="F36" i="84"/>
  <c r="F35" i="84"/>
  <c r="F34" i="84"/>
  <c r="F33" i="84"/>
  <c r="F32" i="84"/>
  <c r="F31" i="84"/>
  <c r="F105" i="84"/>
  <c r="F30" i="84"/>
  <c r="F29" i="84"/>
  <c r="F28" i="84"/>
  <c r="F27" i="84"/>
  <c r="F26" i="84"/>
  <c r="F104" i="84"/>
  <c r="F103" i="84"/>
  <c r="F25" i="84"/>
  <c r="F24" i="84"/>
  <c r="F23" i="84"/>
  <c r="F22" i="84"/>
  <c r="F21" i="84"/>
  <c r="F20" i="84"/>
  <c r="F19" i="84"/>
  <c r="F18" i="84"/>
  <c r="F102" i="84"/>
  <c r="F17" i="84"/>
  <c r="F16" i="84"/>
  <c r="F15" i="84"/>
  <c r="F14" i="84"/>
  <c r="F13" i="84"/>
  <c r="F12" i="84"/>
  <c r="F11" i="84"/>
  <c r="F10" i="84"/>
  <c r="F9" i="84"/>
  <c r="F8" i="84"/>
  <c r="F101" i="84"/>
  <c r="F7" i="84"/>
  <c r="F6" i="84"/>
  <c r="AK125" i="84"/>
  <c r="AK124" i="84"/>
  <c r="AK123" i="84"/>
  <c r="AK122" i="84"/>
  <c r="AK121" i="84"/>
  <c r="AK120" i="84"/>
  <c r="AK119" i="84"/>
  <c r="AK118" i="84"/>
  <c r="AK117" i="84"/>
  <c r="AK116" i="84"/>
  <c r="AK115" i="84"/>
  <c r="AK114" i="84"/>
  <c r="AK113" i="84"/>
  <c r="AK112" i="84"/>
  <c r="AK111" i="84"/>
  <c r="AK110" i="84"/>
  <c r="AK109" i="84"/>
  <c r="AK108" i="84"/>
  <c r="AK107" i="84"/>
  <c r="AK106" i="84"/>
  <c r="AK105" i="84"/>
  <c r="AK104" i="84"/>
  <c r="AK103" i="84"/>
  <c r="AK102" i="84"/>
  <c r="AK101" i="84"/>
  <c r="AK100" i="84"/>
  <c r="AK99" i="84"/>
  <c r="AK98" i="84"/>
  <c r="AK97" i="84"/>
  <c r="AK96" i="84"/>
  <c r="AK95" i="84"/>
  <c r="AK94" i="84"/>
  <c r="AK93" i="84"/>
  <c r="AK92" i="84"/>
  <c r="AK91" i="84"/>
  <c r="AK90" i="84"/>
  <c r="AK89" i="84"/>
  <c r="AK88" i="84"/>
  <c r="AK87" i="84"/>
  <c r="AK86" i="84"/>
  <c r="AK85" i="84"/>
  <c r="AK84" i="84"/>
  <c r="AK83" i="84"/>
  <c r="AK82" i="84"/>
  <c r="AK81" i="84"/>
  <c r="AK80" i="84"/>
  <c r="AK79" i="84"/>
  <c r="AK78" i="84"/>
  <c r="AK77" i="84"/>
  <c r="AK76" i="84"/>
  <c r="AK75" i="84"/>
  <c r="AK74" i="84"/>
  <c r="AK73" i="84"/>
  <c r="AK72" i="84"/>
  <c r="AK71" i="84"/>
  <c r="AK70" i="84"/>
  <c r="AK69" i="84"/>
  <c r="AK68" i="84"/>
  <c r="AK67" i="84"/>
  <c r="AK66" i="84"/>
  <c r="AK65" i="84"/>
  <c r="AK64" i="84"/>
  <c r="AK63" i="84"/>
  <c r="AK62" i="84"/>
  <c r="AK61" i="84"/>
  <c r="AK60" i="84"/>
  <c r="AK59" i="84"/>
  <c r="AK58" i="84"/>
  <c r="AK57" i="84"/>
  <c r="AK56" i="84"/>
  <c r="AK55" i="84"/>
  <c r="AK54" i="84"/>
  <c r="AK53" i="84"/>
  <c r="AK52" i="84"/>
  <c r="AK51" i="84"/>
  <c r="AK50" i="84"/>
  <c r="AK49" i="84"/>
  <c r="AK48" i="84"/>
  <c r="AK47" i="84"/>
  <c r="AK46" i="84"/>
  <c r="AK45" i="84"/>
  <c r="AK44" i="84"/>
  <c r="AK43" i="84"/>
  <c r="AK42" i="84"/>
  <c r="AK41" i="84"/>
  <c r="AK40" i="84"/>
  <c r="AK39" i="84"/>
  <c r="AK38" i="84"/>
  <c r="AK37" i="84"/>
  <c r="AK36" i="84"/>
  <c r="AK35" i="84"/>
  <c r="AK34" i="84"/>
  <c r="AK33" i="84"/>
  <c r="AK32" i="84"/>
  <c r="AK31" i="84"/>
  <c r="AK30" i="84"/>
  <c r="AK29" i="84"/>
  <c r="AK28" i="84"/>
  <c r="AK27" i="84"/>
  <c r="AK26" i="84"/>
  <c r="AK25" i="84"/>
  <c r="AK24" i="84"/>
  <c r="AK23" i="84"/>
  <c r="AK22" i="84"/>
  <c r="AK21" i="84"/>
  <c r="AK20" i="84"/>
  <c r="AK19" i="84"/>
  <c r="AK18" i="84"/>
  <c r="AK17" i="84"/>
  <c r="AK16" i="84"/>
  <c r="AK15" i="84"/>
  <c r="AK14" i="84"/>
  <c r="AK13" i="84"/>
  <c r="AK12" i="84"/>
  <c r="AK11" i="84"/>
  <c r="AK10" i="84"/>
  <c r="AK9" i="84"/>
  <c r="AK8" i="84"/>
  <c r="AK7" i="84"/>
  <c r="AK6" i="84"/>
  <c r="W125" i="84"/>
  <c r="W124" i="84"/>
  <c r="W123" i="84"/>
  <c r="W122" i="84"/>
  <c r="W121" i="84"/>
  <c r="W120" i="84"/>
  <c r="W119" i="84"/>
  <c r="W118" i="84"/>
  <c r="W117" i="84"/>
  <c r="W116" i="84"/>
  <c r="W115" i="84"/>
  <c r="W114" i="84"/>
  <c r="W113" i="84"/>
  <c r="W112" i="84"/>
  <c r="W111" i="84"/>
  <c r="W110" i="84"/>
  <c r="W109" i="84"/>
  <c r="W108" i="84"/>
  <c r="W107" i="84"/>
  <c r="W106" i="84"/>
  <c r="W105" i="84"/>
  <c r="W104" i="84"/>
  <c r="W103" i="84"/>
  <c r="W102" i="84"/>
  <c r="W101" i="84"/>
  <c r="W100" i="84"/>
  <c r="W99" i="84"/>
  <c r="W98" i="84"/>
  <c r="W97" i="84"/>
  <c r="W96" i="84"/>
  <c r="W95" i="84"/>
  <c r="W94" i="84"/>
  <c r="W93" i="84"/>
  <c r="W92" i="84"/>
  <c r="W91" i="84"/>
  <c r="W90" i="84"/>
  <c r="W89" i="84"/>
  <c r="W88" i="84"/>
  <c r="W87" i="84"/>
  <c r="W86" i="84"/>
  <c r="W85" i="84"/>
  <c r="W84" i="84"/>
  <c r="W83" i="84"/>
  <c r="W82" i="84"/>
  <c r="W81" i="84"/>
  <c r="W80" i="84"/>
  <c r="W79" i="84"/>
  <c r="W78" i="84"/>
  <c r="W77" i="84"/>
  <c r="W76" i="84"/>
  <c r="W75" i="84"/>
  <c r="W74" i="84"/>
  <c r="W73" i="84"/>
  <c r="W72" i="84"/>
  <c r="W71" i="84"/>
  <c r="W70" i="84"/>
  <c r="W69" i="84"/>
  <c r="W68" i="84"/>
  <c r="W67" i="84"/>
  <c r="W66" i="84"/>
  <c r="W65" i="84"/>
  <c r="W64" i="84"/>
  <c r="W63" i="84"/>
  <c r="W62" i="84"/>
  <c r="W61" i="84"/>
  <c r="W60" i="84"/>
  <c r="W59" i="84"/>
  <c r="W58" i="84"/>
  <c r="W57" i="84"/>
  <c r="W56" i="84"/>
  <c r="W55" i="84"/>
  <c r="W54" i="84"/>
  <c r="W53" i="84"/>
  <c r="W52" i="84"/>
  <c r="W51" i="84"/>
  <c r="W50" i="84"/>
  <c r="W49" i="84"/>
  <c r="W48" i="84"/>
  <c r="W47" i="84"/>
  <c r="W46" i="84"/>
  <c r="W45" i="84"/>
  <c r="W44" i="84"/>
  <c r="W43" i="84"/>
  <c r="W42" i="84"/>
  <c r="W41" i="84"/>
  <c r="W40" i="84"/>
  <c r="W39" i="84"/>
  <c r="W38" i="84"/>
  <c r="W37" i="84"/>
  <c r="W36" i="84"/>
  <c r="W35" i="84"/>
  <c r="W34" i="84"/>
  <c r="W33" i="84"/>
  <c r="W32" i="84"/>
  <c r="W31" i="84"/>
  <c r="W30" i="84"/>
  <c r="W29" i="84"/>
  <c r="W28" i="84"/>
  <c r="W27" i="84"/>
  <c r="W26" i="84"/>
  <c r="W25" i="84"/>
  <c r="W24" i="84"/>
  <c r="W23" i="84"/>
  <c r="W22" i="84"/>
  <c r="W21" i="84"/>
  <c r="W20" i="84"/>
  <c r="W19" i="84"/>
  <c r="W18" i="84"/>
  <c r="W17" i="84"/>
  <c r="W16" i="84"/>
  <c r="W15" i="84"/>
  <c r="W14" i="84"/>
  <c r="W13" i="84"/>
  <c r="W12" i="84"/>
  <c r="W11" i="84"/>
  <c r="W10" i="84"/>
  <c r="W9" i="84"/>
  <c r="W8" i="84"/>
  <c r="W7" i="84"/>
  <c r="W6" i="84"/>
  <c r="Q125" i="84"/>
  <c r="Q124" i="84"/>
  <c r="Q123" i="84"/>
  <c r="Q122" i="84"/>
  <c r="Q121" i="84"/>
  <c r="Q120" i="84"/>
  <c r="Q119" i="84"/>
  <c r="Q118" i="84"/>
  <c r="Q117" i="84"/>
  <c r="Q116" i="84"/>
  <c r="Q115" i="84"/>
  <c r="Q114" i="84"/>
  <c r="Q113" i="84"/>
  <c r="Q112" i="84"/>
  <c r="Q111" i="84"/>
  <c r="Q110" i="84"/>
  <c r="Q109" i="84"/>
  <c r="Q108" i="84"/>
  <c r="Q107" i="84"/>
  <c r="Q106" i="84"/>
  <c r="Q105" i="84"/>
  <c r="Q104" i="84"/>
  <c r="Q103" i="84"/>
  <c r="Q102" i="84"/>
  <c r="Q101" i="84"/>
  <c r="Q100" i="84"/>
  <c r="Q99" i="84"/>
  <c r="Q98" i="84"/>
  <c r="Q97" i="84"/>
  <c r="Q96" i="84"/>
  <c r="Q95" i="84"/>
  <c r="Q94" i="84"/>
  <c r="Q93" i="84"/>
  <c r="Q92" i="84"/>
  <c r="Q91" i="84"/>
  <c r="Q90" i="84"/>
  <c r="Q89" i="84"/>
  <c r="Q88" i="84"/>
  <c r="Q87" i="84"/>
  <c r="Q86" i="84"/>
  <c r="Q85" i="84"/>
  <c r="Q84" i="84"/>
  <c r="Q83" i="84"/>
  <c r="Q82" i="84"/>
  <c r="Q81" i="84"/>
  <c r="Q80" i="84"/>
  <c r="Q79" i="84"/>
  <c r="Q78" i="84"/>
  <c r="Q77" i="84"/>
  <c r="Q76" i="84"/>
  <c r="Q75" i="84"/>
  <c r="Q74" i="84"/>
  <c r="Q73" i="84"/>
  <c r="Q72" i="84"/>
  <c r="Q71" i="84"/>
  <c r="Q70" i="84"/>
  <c r="Q69" i="84"/>
  <c r="Q68" i="84"/>
  <c r="Q67" i="84"/>
  <c r="Q66" i="84"/>
  <c r="Q65" i="84"/>
  <c r="Q64" i="84"/>
  <c r="Q63" i="84"/>
  <c r="Q62" i="84"/>
  <c r="Q61" i="84"/>
  <c r="Q60" i="84"/>
  <c r="Q59" i="84"/>
  <c r="Q58" i="84"/>
  <c r="Q57" i="84"/>
  <c r="Q56" i="84"/>
  <c r="Q55" i="84"/>
  <c r="Q54" i="84"/>
  <c r="Q53" i="84"/>
  <c r="Q52" i="84"/>
  <c r="Q51" i="84"/>
  <c r="Q50" i="84"/>
  <c r="Q49" i="84"/>
  <c r="Q48" i="84"/>
  <c r="Q47" i="84"/>
  <c r="Q46" i="84"/>
  <c r="Q45" i="84"/>
  <c r="Q44" i="84"/>
  <c r="Q43" i="84"/>
  <c r="Q42" i="84"/>
  <c r="Q41" i="84"/>
  <c r="Q40" i="84"/>
  <c r="Q39"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11" i="84"/>
  <c r="Q10" i="84"/>
  <c r="Q9" i="84"/>
  <c r="Q8" i="84"/>
  <c r="Q7" i="84"/>
  <c r="Q6" i="84"/>
  <c r="K125" i="84"/>
  <c r="K124" i="84"/>
  <c r="K123" i="84"/>
  <c r="K122" i="84"/>
  <c r="K121" i="84"/>
  <c r="K120" i="84"/>
  <c r="K119" i="84"/>
  <c r="K118" i="84"/>
  <c r="K117" i="84"/>
  <c r="K116" i="84"/>
  <c r="K115" i="84"/>
  <c r="K114" i="84"/>
  <c r="K113" i="84"/>
  <c r="K112" i="84"/>
  <c r="K111" i="84"/>
  <c r="K110" i="84"/>
  <c r="K109" i="84"/>
  <c r="K108" i="84"/>
  <c r="K107" i="84"/>
  <c r="K106" i="84"/>
  <c r="K105" i="84"/>
  <c r="K104" i="84"/>
  <c r="K103" i="84"/>
  <c r="K102" i="84"/>
  <c r="K101" i="84"/>
  <c r="K100" i="84"/>
  <c r="K99" i="84"/>
  <c r="K98" i="84"/>
  <c r="K97" i="84"/>
  <c r="K96" i="84"/>
  <c r="K95" i="84"/>
  <c r="K94" i="84"/>
  <c r="K93" i="84"/>
  <c r="K92" i="84"/>
  <c r="K91" i="84"/>
  <c r="K90" i="84"/>
  <c r="K89" i="84"/>
  <c r="K88" i="84"/>
  <c r="K87" i="84"/>
  <c r="K86" i="84"/>
  <c r="K85" i="84"/>
  <c r="K84" i="84"/>
  <c r="K83" i="84"/>
  <c r="K82" i="84"/>
  <c r="K81" i="84"/>
  <c r="K80" i="84"/>
  <c r="K79" i="84"/>
  <c r="K78" i="84"/>
  <c r="K77" i="84"/>
  <c r="K76" i="84"/>
  <c r="K75" i="84"/>
  <c r="K74" i="84"/>
  <c r="K73" i="84"/>
  <c r="K72" i="84"/>
  <c r="K71" i="84"/>
  <c r="K70" i="84"/>
  <c r="K69" i="84"/>
  <c r="K68" i="84"/>
  <c r="K67" i="84"/>
  <c r="K66" i="84"/>
  <c r="K65" i="84"/>
  <c r="K64" i="84"/>
  <c r="K63" i="84"/>
  <c r="K62" i="84"/>
  <c r="K61" i="84"/>
  <c r="K60" i="84"/>
  <c r="K59" i="84"/>
  <c r="K58" i="84"/>
  <c r="K57" i="84"/>
  <c r="K56" i="84"/>
  <c r="K55" i="84"/>
  <c r="K54" i="84"/>
  <c r="K53" i="84"/>
  <c r="K52" i="84"/>
  <c r="K51" i="84"/>
  <c r="K50" i="84"/>
  <c r="K49" i="84"/>
  <c r="K48" i="84"/>
  <c r="K47" i="84"/>
  <c r="K46" i="84"/>
  <c r="K45" i="84"/>
  <c r="K44" i="84"/>
  <c r="K43" i="84"/>
  <c r="K42" i="84"/>
  <c r="K41" i="84"/>
  <c r="K40" i="84"/>
  <c r="K39" i="84"/>
  <c r="K38" i="84"/>
  <c r="K37" i="84"/>
  <c r="K36" i="84"/>
  <c r="K35" i="84"/>
  <c r="K34" i="84"/>
  <c r="K33" i="84"/>
  <c r="K32" i="84"/>
  <c r="K31" i="84"/>
  <c r="K30" i="84"/>
  <c r="K29" i="84"/>
  <c r="K28" i="84"/>
  <c r="K27" i="84"/>
  <c r="K26" i="84"/>
  <c r="K25" i="84"/>
  <c r="K24" i="84"/>
  <c r="K23" i="84"/>
  <c r="K22" i="84"/>
  <c r="K21" i="84"/>
  <c r="K20" i="84"/>
  <c r="K19" i="84"/>
  <c r="K18" i="84"/>
  <c r="K17" i="84"/>
  <c r="K16" i="84"/>
  <c r="K15" i="84"/>
  <c r="K14" i="84"/>
  <c r="K13" i="84"/>
  <c r="K12" i="84"/>
  <c r="K11" i="84"/>
  <c r="K10" i="84"/>
  <c r="K9" i="84"/>
  <c r="K8" i="84"/>
  <c r="K7" i="84"/>
  <c r="K6" i="84"/>
  <c r="BC7" i="113" l="1"/>
  <c r="BC11" i="113"/>
  <c r="BC15" i="113"/>
  <c r="BC19" i="113"/>
  <c r="BC23" i="113"/>
  <c r="BC27" i="113"/>
  <c r="BC31" i="113"/>
  <c r="BC35" i="113"/>
  <c r="BC39" i="113"/>
  <c r="BC43" i="113"/>
  <c r="BC47" i="113"/>
  <c r="BC6" i="113"/>
  <c r="BC10" i="113"/>
  <c r="BC14" i="113"/>
  <c r="BC18" i="113"/>
  <c r="BC22" i="113"/>
  <c r="BC26" i="113"/>
  <c r="BC30" i="113"/>
  <c r="BC34" i="113"/>
  <c r="BC38" i="113"/>
  <c r="BC42" i="113"/>
  <c r="BC46" i="113"/>
  <c r="BC8" i="113"/>
  <c r="BC12" i="113"/>
  <c r="BC16" i="113"/>
  <c r="BC20" i="113"/>
  <c r="BC24" i="113"/>
  <c r="BC28" i="113"/>
  <c r="BC32" i="113"/>
  <c r="BC36" i="113"/>
  <c r="BC40" i="113"/>
  <c r="BC44" i="113"/>
  <c r="BC48" i="113"/>
  <c r="BC52" i="113"/>
  <c r="BC56" i="113"/>
  <c r="BC60" i="113"/>
  <c r="BC64" i="113"/>
  <c r="BC68" i="113"/>
  <c r="BC72" i="113"/>
  <c r="BC76" i="113"/>
  <c r="BC80" i="113"/>
  <c r="BC84" i="113"/>
  <c r="BC88" i="113"/>
  <c r="BC5" i="113"/>
  <c r="D38" i="108" s="1"/>
  <c r="BC9" i="113"/>
  <c r="BC13" i="113"/>
  <c r="BC17" i="113"/>
  <c r="BC21" i="113"/>
  <c r="BC25" i="113"/>
  <c r="BC29" i="113"/>
  <c r="BC33" i="113"/>
  <c r="BC37" i="113"/>
  <c r="BC41" i="113"/>
  <c r="BC45" i="113"/>
  <c r="BC49" i="113"/>
  <c r="BC53" i="113"/>
  <c r="BC57" i="113"/>
  <c r="BC61" i="113"/>
  <c r="BC65" i="113"/>
  <c r="BC69" i="113"/>
  <c r="BC73" i="113"/>
  <c r="BC77" i="113"/>
  <c r="BC81" i="113"/>
  <c r="BC85" i="113"/>
  <c r="BC89" i="113"/>
  <c r="D131" i="59"/>
  <c r="I131" i="117"/>
  <c r="H131" i="117"/>
  <c r="BC50" i="113"/>
  <c r="BC54" i="113"/>
  <c r="BC58" i="113"/>
  <c r="BC62" i="113"/>
  <c r="BC66" i="113"/>
  <c r="BC70" i="113"/>
  <c r="BC74" i="113"/>
  <c r="BC78" i="113"/>
  <c r="BC82" i="113"/>
  <c r="BC86" i="113"/>
  <c r="BC90" i="113"/>
  <c r="BC94" i="113"/>
  <c r="BC98" i="113"/>
  <c r="BC102" i="113"/>
  <c r="BC106" i="113"/>
  <c r="BC110" i="113"/>
  <c r="BC114" i="113"/>
  <c r="BC118" i="113"/>
  <c r="BC122" i="113"/>
  <c r="BC127" i="113"/>
  <c r="BC131" i="113"/>
  <c r="BC51" i="113"/>
  <c r="BC55" i="113"/>
  <c r="BC59" i="113"/>
  <c r="BC63" i="113"/>
  <c r="BC67" i="113"/>
  <c r="BC71" i="113"/>
  <c r="BC75" i="113"/>
  <c r="BC79" i="113"/>
  <c r="BC83" i="113"/>
  <c r="BC87" i="113"/>
  <c r="BC91" i="113"/>
  <c r="BC95" i="113"/>
  <c r="BC99" i="113"/>
  <c r="BC103" i="113"/>
  <c r="BC107" i="113"/>
  <c r="BC111" i="113"/>
  <c r="BC115" i="113"/>
  <c r="BC119" i="113"/>
  <c r="BC123" i="113"/>
  <c r="BC128" i="113"/>
  <c r="BC92" i="113"/>
  <c r="BC96" i="113"/>
  <c r="BC100" i="113"/>
  <c r="BC104" i="113"/>
  <c r="BC108" i="113"/>
  <c r="BC112" i="113"/>
  <c r="BC116" i="113"/>
  <c r="BC120" i="113"/>
  <c r="BC124" i="113"/>
  <c r="BC129" i="113"/>
  <c r="E33" i="84"/>
  <c r="E60" i="84"/>
  <c r="E119" i="84"/>
  <c r="BC93" i="113"/>
  <c r="BC97" i="113"/>
  <c r="BC101" i="113"/>
  <c r="BC105" i="113"/>
  <c r="BC109" i="113"/>
  <c r="BC113" i="113"/>
  <c r="BC117" i="113"/>
  <c r="BC121" i="113"/>
  <c r="BC125" i="113"/>
  <c r="BC130" i="113"/>
  <c r="E9" i="84"/>
  <c r="E92" i="84"/>
  <c r="E81" i="84"/>
  <c r="E13" i="84"/>
  <c r="E24" i="84"/>
  <c r="E37" i="84"/>
  <c r="E46" i="84"/>
  <c r="E113" i="84"/>
  <c r="E65" i="84"/>
  <c r="E76" i="84"/>
  <c r="E121" i="84"/>
  <c r="E95" i="84"/>
  <c r="E114" i="84"/>
  <c r="E20" i="84"/>
  <c r="E26" i="84"/>
  <c r="E107" i="84"/>
  <c r="E42" i="84"/>
  <c r="E49" i="84"/>
  <c r="E56" i="84"/>
  <c r="E117" i="84"/>
  <c r="E89" i="84"/>
  <c r="E125" i="84"/>
  <c r="E118" i="84"/>
  <c r="E52" i="84"/>
  <c r="E115" i="84"/>
  <c r="E85" i="84"/>
  <c r="E11" i="84"/>
  <c r="E18" i="84"/>
  <c r="E103" i="84"/>
  <c r="E35" i="84"/>
  <c r="E47" i="84"/>
  <c r="E54" i="84"/>
  <c r="E61" i="84"/>
  <c r="E63" i="84"/>
  <c r="E67" i="84"/>
  <c r="E69" i="84"/>
  <c r="E78" i="84"/>
  <c r="E120" i="84"/>
  <c r="E87" i="84"/>
  <c r="E91" i="84"/>
  <c r="E94" i="84"/>
  <c r="E97" i="84"/>
  <c r="E99" i="84"/>
  <c r="E12" i="84"/>
  <c r="E19" i="84"/>
  <c r="E21" i="84"/>
  <c r="E104" i="84"/>
  <c r="E29" i="84"/>
  <c r="E32" i="84"/>
  <c r="E36" i="84"/>
  <c r="E39" i="84"/>
  <c r="E41" i="84"/>
  <c r="E48" i="84"/>
  <c r="E55" i="84"/>
  <c r="E57" i="84"/>
  <c r="E112" i="84"/>
  <c r="E64" i="84"/>
  <c r="E116" i="84"/>
  <c r="E73" i="84"/>
  <c r="E74" i="84"/>
  <c r="E75" i="84"/>
  <c r="E84" i="84"/>
  <c r="E122" i="84"/>
  <c r="E124" i="84"/>
  <c r="E17" i="84"/>
  <c r="E30" i="84"/>
  <c r="E70" i="84"/>
  <c r="E101" i="84"/>
  <c r="E15" i="84"/>
  <c r="E22" i="84"/>
  <c r="E28" i="84"/>
  <c r="E31" i="84"/>
  <c r="E38" i="84"/>
  <c r="E40" i="84"/>
  <c r="E44" i="84"/>
  <c r="E110" i="84"/>
  <c r="E58" i="84"/>
  <c r="E72" i="84"/>
  <c r="E83" i="84"/>
  <c r="E6" i="84"/>
  <c r="E8" i="84"/>
  <c r="E16" i="84"/>
  <c r="E23" i="84"/>
  <c r="E106" i="84"/>
  <c r="E45" i="84"/>
  <c r="E51" i="84"/>
  <c r="E59" i="84"/>
  <c r="E79" i="84"/>
  <c r="E88" i="84"/>
  <c r="E90" i="84"/>
  <c r="E123" i="84"/>
  <c r="E100" i="84"/>
  <c r="E10" i="84"/>
  <c r="E102" i="84"/>
  <c r="E25" i="84"/>
  <c r="E34" i="84"/>
  <c r="E108" i="84"/>
  <c r="E109" i="84"/>
  <c r="E53" i="84"/>
  <c r="E111" i="84"/>
  <c r="E62" i="84"/>
  <c r="E68" i="84"/>
  <c r="E77" i="84"/>
  <c r="E80" i="84"/>
  <c r="E86" i="84"/>
  <c r="E93" i="84"/>
  <c r="E96" i="84"/>
  <c r="E7" i="84"/>
  <c r="E14" i="84"/>
  <c r="E27" i="84"/>
  <c r="E105" i="84"/>
  <c r="E43" i="84"/>
  <c r="E50" i="84"/>
  <c r="E66" i="84"/>
  <c r="E71" i="84"/>
  <c r="E82" i="84"/>
  <c r="E98" i="84"/>
  <c r="L17" i="123" l="1"/>
  <c r="K17" i="123"/>
  <c r="J17" i="123"/>
  <c r="I17" i="123"/>
  <c r="L16" i="123"/>
  <c r="K16" i="123"/>
  <c r="J16" i="123"/>
  <c r="I16" i="123"/>
  <c r="I15" i="123"/>
  <c r="L14" i="123"/>
  <c r="K14" i="123"/>
  <c r="J14" i="123"/>
  <c r="I14" i="123"/>
  <c r="K10" i="123"/>
  <c r="J10" i="123"/>
  <c r="I10" i="123"/>
  <c r="H4" i="111"/>
  <c r="G4" i="111"/>
  <c r="F4" i="111"/>
  <c r="E4" i="111"/>
  <c r="D4" i="111"/>
  <c r="R99" i="31"/>
  <c r="R98" i="31"/>
  <c r="R97" i="31"/>
  <c r="R124" i="31"/>
  <c r="R123" i="31"/>
  <c r="R96" i="31"/>
  <c r="R95" i="31"/>
  <c r="R94" i="31"/>
  <c r="R122" i="31"/>
  <c r="R93" i="31"/>
  <c r="R92" i="31"/>
  <c r="R91" i="31"/>
  <c r="R121" i="31"/>
  <c r="R90" i="31"/>
  <c r="R89" i="31"/>
  <c r="R88" i="31"/>
  <c r="R87" i="31"/>
  <c r="R86" i="31"/>
  <c r="R85" i="31"/>
  <c r="R84" i="31"/>
  <c r="R83" i="31"/>
  <c r="R82" i="31"/>
  <c r="R81" i="31"/>
  <c r="R120" i="31"/>
  <c r="R80" i="31"/>
  <c r="R119" i="31"/>
  <c r="R79" i="31"/>
  <c r="R118" i="31"/>
  <c r="R78" i="31"/>
  <c r="R77" i="31"/>
  <c r="R76" i="31"/>
  <c r="R75" i="31"/>
  <c r="R74" i="31"/>
  <c r="R117" i="31"/>
  <c r="R73" i="31"/>
  <c r="R116" i="31"/>
  <c r="R72" i="31"/>
  <c r="R71" i="31"/>
  <c r="R70" i="31"/>
  <c r="R69" i="31"/>
  <c r="R115" i="31"/>
  <c r="R68" i="31"/>
  <c r="R67" i="31"/>
  <c r="R114" i="31"/>
  <c r="R113" i="31"/>
  <c r="R66" i="31"/>
  <c r="R65" i="31"/>
  <c r="R64" i="31"/>
  <c r="R63" i="31"/>
  <c r="R62" i="31"/>
  <c r="R61" i="31"/>
  <c r="R112" i="31"/>
  <c r="R111" i="31"/>
  <c r="R60" i="31"/>
  <c r="R110" i="31"/>
  <c r="R59" i="31"/>
  <c r="R58" i="31"/>
  <c r="R57" i="31"/>
  <c r="R56" i="31"/>
  <c r="R55" i="31"/>
  <c r="R54" i="31"/>
  <c r="R53" i="31"/>
  <c r="R52" i="31"/>
  <c r="R51" i="31"/>
  <c r="R50" i="31"/>
  <c r="R109" i="31"/>
  <c r="R49" i="31"/>
  <c r="R48" i="31"/>
  <c r="R47" i="31"/>
  <c r="R46" i="31"/>
  <c r="R108" i="31"/>
  <c r="R45" i="31"/>
  <c r="R44" i="31"/>
  <c r="R43" i="31"/>
  <c r="R42" i="31"/>
  <c r="R41" i="31"/>
  <c r="R40" i="31"/>
  <c r="R39" i="31"/>
  <c r="R107" i="31"/>
  <c r="R106" i="31"/>
  <c r="R38" i="31"/>
  <c r="R37" i="31"/>
  <c r="R105" i="31"/>
  <c r="R36" i="31"/>
  <c r="R35" i="31"/>
  <c r="R34" i="31"/>
  <c r="R33" i="31"/>
  <c r="R32" i="31"/>
  <c r="R31" i="31"/>
  <c r="R30" i="31"/>
  <c r="R104" i="31"/>
  <c r="R29" i="31"/>
  <c r="R28" i="31"/>
  <c r="R27" i="31"/>
  <c r="R26" i="31"/>
  <c r="R25" i="31"/>
  <c r="R103" i="31"/>
  <c r="R102" i="31"/>
  <c r="R24" i="31"/>
  <c r="R23" i="31"/>
  <c r="R22" i="31"/>
  <c r="R21" i="31"/>
  <c r="R20" i="31"/>
  <c r="R19" i="31"/>
  <c r="R18" i="31"/>
  <c r="R17" i="31"/>
  <c r="R101" i="31"/>
  <c r="R16" i="31"/>
  <c r="R15" i="31"/>
  <c r="R14" i="31"/>
  <c r="R13" i="31"/>
  <c r="R12" i="31"/>
  <c r="R11" i="31"/>
  <c r="R10" i="31"/>
  <c r="R9" i="31"/>
  <c r="R8" i="31"/>
  <c r="R7" i="31"/>
  <c r="R100" i="31"/>
  <c r="R6" i="31"/>
  <c r="R5" i="31"/>
  <c r="Q99" i="31"/>
  <c r="Q98" i="31"/>
  <c r="Q97" i="31"/>
  <c r="Q124" i="31"/>
  <c r="Q123" i="31"/>
  <c r="Q96" i="31"/>
  <c r="Q95" i="31"/>
  <c r="Q94" i="31"/>
  <c r="Q122" i="31"/>
  <c r="Q93" i="31"/>
  <c r="Q92" i="31"/>
  <c r="Q91" i="31"/>
  <c r="Q121" i="31"/>
  <c r="Q90" i="31"/>
  <c r="Q89" i="31"/>
  <c r="Q88" i="31"/>
  <c r="Q87" i="31"/>
  <c r="Q86" i="31"/>
  <c r="Q85" i="31"/>
  <c r="Q84" i="31"/>
  <c r="Q83" i="31"/>
  <c r="Q82" i="31"/>
  <c r="Q81" i="31"/>
  <c r="Q120" i="31"/>
  <c r="Q80" i="31"/>
  <c r="Q119" i="31"/>
  <c r="Q79" i="31"/>
  <c r="Q118" i="31"/>
  <c r="Q78" i="31"/>
  <c r="Q77" i="31"/>
  <c r="Q76" i="31"/>
  <c r="Q75" i="31"/>
  <c r="Q74" i="31"/>
  <c r="Q117" i="31"/>
  <c r="Q73" i="31"/>
  <c r="Q116" i="31"/>
  <c r="Q72" i="31"/>
  <c r="Q71" i="31"/>
  <c r="Q70" i="31"/>
  <c r="Q69" i="31"/>
  <c r="Q115" i="31"/>
  <c r="Q68" i="31"/>
  <c r="Q67" i="31"/>
  <c r="Q114" i="31"/>
  <c r="Q113" i="31"/>
  <c r="Q66" i="31"/>
  <c r="Q65" i="31"/>
  <c r="Q64" i="31"/>
  <c r="Q63" i="31"/>
  <c r="Q62" i="31"/>
  <c r="Q61" i="31"/>
  <c r="Q112" i="31"/>
  <c r="Q111" i="31"/>
  <c r="Q60" i="31"/>
  <c r="Q110" i="31"/>
  <c r="Q59" i="31"/>
  <c r="Q58" i="31"/>
  <c r="Q57" i="31"/>
  <c r="Q56" i="31"/>
  <c r="Q55" i="31"/>
  <c r="Q54" i="31"/>
  <c r="Q53" i="31"/>
  <c r="Q52" i="31"/>
  <c r="Q51" i="31"/>
  <c r="Q50" i="31"/>
  <c r="Q109" i="31"/>
  <c r="Q49" i="31"/>
  <c r="Q48" i="31"/>
  <c r="Q47" i="31"/>
  <c r="Q46" i="31"/>
  <c r="Q108" i="31"/>
  <c r="Q45" i="31"/>
  <c r="Q44" i="31"/>
  <c r="Q43" i="31"/>
  <c r="Q42" i="31"/>
  <c r="Q41" i="31"/>
  <c r="Q40" i="31"/>
  <c r="Q39" i="31"/>
  <c r="Q107" i="31"/>
  <c r="Q106" i="31"/>
  <c r="Q38" i="31"/>
  <c r="Q37" i="31"/>
  <c r="Q105" i="31"/>
  <c r="Q36" i="31"/>
  <c r="Q35" i="31"/>
  <c r="Q34" i="31"/>
  <c r="Q33" i="31"/>
  <c r="Q32" i="31"/>
  <c r="Q31" i="31"/>
  <c r="Q30" i="31"/>
  <c r="Q104" i="31"/>
  <c r="Q29" i="31"/>
  <c r="Q28" i="31"/>
  <c r="Q27" i="31"/>
  <c r="Q26" i="31"/>
  <c r="Q25" i="31"/>
  <c r="Q103" i="31"/>
  <c r="Q102" i="31"/>
  <c r="Q24" i="31"/>
  <c r="Q23" i="31"/>
  <c r="Q22" i="31"/>
  <c r="Q21" i="31"/>
  <c r="Q20" i="31"/>
  <c r="Q19" i="31"/>
  <c r="Q18" i="31"/>
  <c r="Q17" i="31"/>
  <c r="Q101" i="31"/>
  <c r="Q16" i="31"/>
  <c r="Q15" i="31"/>
  <c r="Q14" i="31"/>
  <c r="Q13" i="31"/>
  <c r="Q12" i="31"/>
  <c r="Q11" i="31"/>
  <c r="Q10" i="31"/>
  <c r="Q9" i="31"/>
  <c r="Q8" i="31"/>
  <c r="Q7" i="31"/>
  <c r="Q100" i="31"/>
  <c r="Q6" i="31"/>
  <c r="Q5" i="31"/>
  <c r="M4" i="122"/>
  <c r="K4" i="122"/>
  <c r="T4" i="122"/>
  <c r="S4" i="122"/>
  <c r="R4" i="122"/>
  <c r="Q4" i="122"/>
  <c r="O4" i="122"/>
  <c r="L4" i="122"/>
  <c r="J4" i="122"/>
  <c r="I4" i="122"/>
  <c r="H4" i="122"/>
  <c r="G4" i="122"/>
  <c r="F4" i="122"/>
  <c r="E4" i="122"/>
  <c r="D4" i="122"/>
  <c r="R4" i="96"/>
  <c r="Q4" i="96"/>
  <c r="P4" i="96"/>
  <c r="O4" i="96"/>
  <c r="N4" i="96"/>
  <c r="W5" i="6"/>
  <c r="V5" i="6"/>
  <c r="U5" i="6"/>
  <c r="S5" i="6"/>
  <c r="D4" i="121"/>
  <c r="V131" i="62" l="1"/>
  <c r="Z131" i="62"/>
  <c r="AE131" i="62"/>
  <c r="AT131" i="62"/>
  <c r="AX131" i="62"/>
  <c r="J131" i="62"/>
  <c r="N131" i="62"/>
  <c r="K131" i="62"/>
  <c r="S131" i="62"/>
  <c r="R131" i="62"/>
  <c r="W131" i="62"/>
  <c r="AD131" i="62"/>
  <c r="AI131" i="62"/>
  <c r="AH131" i="62"/>
  <c r="AL131" i="62"/>
  <c r="AQ131" i="62"/>
  <c r="AP131" i="62"/>
  <c r="AU131" i="62"/>
  <c r="J19" i="123"/>
  <c r="I19" i="123"/>
  <c r="M131" i="62"/>
  <c r="Q131" i="62"/>
  <c r="Y131" i="62"/>
  <c r="AC131" i="62"/>
  <c r="AK131" i="62"/>
  <c r="AO131" i="62"/>
  <c r="AW131" i="62"/>
  <c r="L131" i="62"/>
  <c r="P131" i="62"/>
  <c r="T131" i="62"/>
  <c r="X131" i="62"/>
  <c r="AB131" i="62"/>
  <c r="AF131" i="62"/>
  <c r="AJ131" i="62"/>
  <c r="AN131" i="62"/>
  <c r="AR131" i="62"/>
  <c r="AV131" i="62"/>
  <c r="D4" i="120"/>
  <c r="T4" i="92" l="1"/>
  <c r="S4" i="92"/>
  <c r="R4" i="92"/>
  <c r="Q4" i="92"/>
  <c r="J124" i="61"/>
  <c r="J123" i="61"/>
  <c r="J122" i="61"/>
  <c r="J121"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J7" i="61"/>
  <c r="J6" i="61"/>
  <c r="J5" i="61"/>
  <c r="AY124" i="62"/>
  <c r="AY123" i="62"/>
  <c r="AY122" i="62"/>
  <c r="AY121" i="62"/>
  <c r="AY120" i="62"/>
  <c r="AY119" i="62"/>
  <c r="AY118" i="62"/>
  <c r="AY117" i="62"/>
  <c r="AY116" i="62"/>
  <c r="AY115" i="62"/>
  <c r="AY114" i="62"/>
  <c r="AY113" i="62"/>
  <c r="AY112" i="62"/>
  <c r="AY111" i="62"/>
  <c r="AY110" i="62"/>
  <c r="AY109" i="62"/>
  <c r="AY108" i="62"/>
  <c r="AY107" i="62"/>
  <c r="AY106" i="62"/>
  <c r="AY105" i="62"/>
  <c r="AY104" i="62"/>
  <c r="AY103" i="62"/>
  <c r="AY102" i="62"/>
  <c r="AY101" i="62"/>
  <c r="AY100" i="62"/>
  <c r="AY99" i="62"/>
  <c r="AY98" i="62"/>
  <c r="AY97" i="62"/>
  <c r="AY96" i="62"/>
  <c r="AY95" i="62"/>
  <c r="AY94" i="62"/>
  <c r="AY93" i="62"/>
  <c r="AY92" i="62"/>
  <c r="AY91" i="62"/>
  <c r="AY90" i="62"/>
  <c r="AY89" i="62"/>
  <c r="AY88" i="62"/>
  <c r="AY87" i="62"/>
  <c r="AY86" i="62"/>
  <c r="AY85" i="62"/>
  <c r="AY84" i="62"/>
  <c r="AY83" i="62"/>
  <c r="AY82" i="62"/>
  <c r="AY81" i="62"/>
  <c r="AY80" i="62"/>
  <c r="AY79" i="62"/>
  <c r="AY78" i="62"/>
  <c r="AY77" i="62"/>
  <c r="AY76" i="62"/>
  <c r="AY75" i="62"/>
  <c r="AY74" i="62"/>
  <c r="AY73" i="62"/>
  <c r="AY72" i="62"/>
  <c r="AY71" i="62"/>
  <c r="AY70" i="62"/>
  <c r="AY69" i="62"/>
  <c r="AY68" i="62"/>
  <c r="AY67" i="62"/>
  <c r="AY66" i="62"/>
  <c r="AY65" i="62"/>
  <c r="AY64" i="62"/>
  <c r="AY63" i="62"/>
  <c r="AY62" i="62"/>
  <c r="AY61" i="62"/>
  <c r="AY60" i="62"/>
  <c r="AY59" i="62"/>
  <c r="AY58" i="62"/>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14" i="62"/>
  <c r="AY13" i="62"/>
  <c r="AY12" i="62"/>
  <c r="AY11" i="62"/>
  <c r="AY10" i="62"/>
  <c r="AY9" i="62"/>
  <c r="AY8" i="62"/>
  <c r="AY7" i="62"/>
  <c r="AY6" i="62"/>
  <c r="AY5" i="62"/>
  <c r="AX4" i="62"/>
  <c r="AW4" i="62"/>
  <c r="AV4" i="62"/>
  <c r="AU4" i="62"/>
  <c r="AT4"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R4" i="62"/>
  <c r="AQ4" i="62"/>
  <c r="AP4" i="62"/>
  <c r="AO4" i="62"/>
  <c r="AN4"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5" i="62"/>
  <c r="AA14" i="62"/>
  <c r="AA13" i="62"/>
  <c r="AA12" i="62"/>
  <c r="AA11" i="62"/>
  <c r="AA10" i="62"/>
  <c r="AA9" i="62"/>
  <c r="AA8" i="62"/>
  <c r="AA7" i="62"/>
  <c r="AA6" i="62"/>
  <c r="AA5" i="62"/>
  <c r="Z4" i="62"/>
  <c r="Y4" i="62"/>
  <c r="X4" i="62"/>
  <c r="W4" i="62"/>
  <c r="V4" i="62"/>
  <c r="U124" i="62"/>
  <c r="U123" i="62"/>
  <c r="U122" i="62"/>
  <c r="U121" i="62"/>
  <c r="U120" i="62"/>
  <c r="U119" i="62"/>
  <c r="U118" i="62"/>
  <c r="U117" i="62"/>
  <c r="U116" i="62"/>
  <c r="U115" i="62"/>
  <c r="U114" i="62"/>
  <c r="U113" i="62"/>
  <c r="U112" i="62"/>
  <c r="U111" i="62"/>
  <c r="U110" i="62"/>
  <c r="U109" i="62"/>
  <c r="U108" i="62"/>
  <c r="U107" i="62"/>
  <c r="U106" i="62"/>
  <c r="U105" i="62"/>
  <c r="U104" i="62"/>
  <c r="U103" i="62"/>
  <c r="U102" i="62"/>
  <c r="U101" i="62"/>
  <c r="U100" i="62"/>
  <c r="U99" i="62"/>
  <c r="U98" i="62"/>
  <c r="U97" i="62"/>
  <c r="U96" i="62"/>
  <c r="U95" i="62"/>
  <c r="U94" i="62"/>
  <c r="U93" i="62"/>
  <c r="U92" i="62"/>
  <c r="U91" i="62"/>
  <c r="U90" i="62"/>
  <c r="U89" i="62"/>
  <c r="U88" i="62"/>
  <c r="U87" i="62"/>
  <c r="U86" i="62"/>
  <c r="U85" i="62"/>
  <c r="U84" i="62"/>
  <c r="U83" i="62"/>
  <c r="U82" i="62"/>
  <c r="U81" i="62"/>
  <c r="U80" i="62"/>
  <c r="U79" i="62"/>
  <c r="U78" i="62"/>
  <c r="U77" i="62"/>
  <c r="U76" i="62"/>
  <c r="U75" i="62"/>
  <c r="U74" i="62"/>
  <c r="U73" i="62"/>
  <c r="U72" i="62"/>
  <c r="U71" i="62"/>
  <c r="U70" i="62"/>
  <c r="U69" i="62"/>
  <c r="U68" i="62"/>
  <c r="U67" i="62"/>
  <c r="U66" i="62"/>
  <c r="U65" i="62"/>
  <c r="U64" i="62"/>
  <c r="U63" i="62"/>
  <c r="U62" i="62"/>
  <c r="U61" i="62"/>
  <c r="U60" i="62"/>
  <c r="U59" i="62"/>
  <c r="U58" i="62"/>
  <c r="U57" i="62"/>
  <c r="U56" i="62"/>
  <c r="U55" i="62"/>
  <c r="U54" i="62"/>
  <c r="U53" i="62"/>
  <c r="U52" i="62"/>
  <c r="U51" i="62"/>
  <c r="U50" i="62"/>
  <c r="U49" i="62"/>
  <c r="U48" i="62"/>
  <c r="U47" i="62"/>
  <c r="U46" i="62"/>
  <c r="U45" i="62"/>
  <c r="U44" i="62"/>
  <c r="U43" i="62"/>
  <c r="U42" i="62"/>
  <c r="U41" i="62"/>
  <c r="U40" i="62"/>
  <c r="U39" i="62"/>
  <c r="U38" i="62"/>
  <c r="U37" i="62"/>
  <c r="U36" i="62"/>
  <c r="U35" i="62"/>
  <c r="U34" i="62"/>
  <c r="U33" i="62"/>
  <c r="U32" i="62"/>
  <c r="U31" i="62"/>
  <c r="U30" i="62"/>
  <c r="U29" i="62"/>
  <c r="U28" i="62"/>
  <c r="U27" i="62"/>
  <c r="U26" i="62"/>
  <c r="U25" i="62"/>
  <c r="U24" i="62"/>
  <c r="U23" i="62"/>
  <c r="U22" i="62"/>
  <c r="U21" i="62"/>
  <c r="U20" i="62"/>
  <c r="U19" i="62"/>
  <c r="U18" i="62"/>
  <c r="U17" i="62"/>
  <c r="U16" i="62"/>
  <c r="U15" i="62"/>
  <c r="U14" i="62"/>
  <c r="U13" i="62"/>
  <c r="U12" i="62"/>
  <c r="U11" i="62"/>
  <c r="U10" i="62"/>
  <c r="U9" i="62"/>
  <c r="U8" i="62"/>
  <c r="U7" i="62"/>
  <c r="U6" i="62"/>
  <c r="U5" i="62"/>
  <c r="T4" i="62"/>
  <c r="S4" i="62"/>
  <c r="R4" i="62"/>
  <c r="Q4" i="62"/>
  <c r="P4" i="62"/>
  <c r="AS4" i="62" l="1"/>
  <c r="G4" i="57"/>
  <c r="AY4" i="62"/>
  <c r="AA4" i="62"/>
  <c r="U4" i="62"/>
  <c r="D131" i="62" l="1"/>
  <c r="I21" i="123" s="1"/>
  <c r="E131" i="62"/>
  <c r="J21" i="123" s="1"/>
  <c r="F131" i="62"/>
  <c r="AS131" i="62"/>
  <c r="U131" i="62"/>
  <c r="G131" i="62"/>
  <c r="AY131" i="62"/>
  <c r="AA131" i="62"/>
  <c r="J123" i="56"/>
  <c r="K123" i="56" s="1"/>
  <c r="J122" i="56"/>
  <c r="K122" i="56" s="1"/>
  <c r="J121" i="56"/>
  <c r="K121" i="56" s="1"/>
  <c r="J120" i="56"/>
  <c r="K120" i="56" s="1"/>
  <c r="J119" i="56"/>
  <c r="J118" i="56"/>
  <c r="K118" i="56" s="1"/>
  <c r="J117" i="56"/>
  <c r="K117" i="56" s="1"/>
  <c r="J116" i="56"/>
  <c r="K116" i="56" s="1"/>
  <c r="J115" i="56"/>
  <c r="K115" i="56" s="1"/>
  <c r="J114" i="56"/>
  <c r="K114" i="56" s="1"/>
  <c r="J113" i="56"/>
  <c r="K113" i="56" s="1"/>
  <c r="J112" i="56"/>
  <c r="K112" i="56" s="1"/>
  <c r="J111" i="56"/>
  <c r="J110" i="56"/>
  <c r="K110" i="56" s="1"/>
  <c r="J109" i="56"/>
  <c r="K109" i="56" s="1"/>
  <c r="J108" i="56"/>
  <c r="K108" i="56" s="1"/>
  <c r="J107" i="56"/>
  <c r="K107" i="56" s="1"/>
  <c r="J106" i="56"/>
  <c r="K106" i="56" s="1"/>
  <c r="J105" i="56"/>
  <c r="K105" i="56" s="1"/>
  <c r="J104" i="56"/>
  <c r="K104" i="56" s="1"/>
  <c r="J103" i="56"/>
  <c r="J102" i="56"/>
  <c r="K102" i="56" s="1"/>
  <c r="J101" i="56"/>
  <c r="K101" i="56" s="1"/>
  <c r="J100" i="56"/>
  <c r="K100" i="56" s="1"/>
  <c r="J99" i="56"/>
  <c r="K99" i="56" s="1"/>
  <c r="J98" i="56"/>
  <c r="K98" i="56" s="1"/>
  <c r="J97" i="56"/>
  <c r="K97" i="56" s="1"/>
  <c r="J96" i="56"/>
  <c r="K96" i="56" s="1"/>
  <c r="J95" i="56"/>
  <c r="J94" i="56"/>
  <c r="K94" i="56" s="1"/>
  <c r="J93" i="56"/>
  <c r="K93" i="56" s="1"/>
  <c r="J92" i="56"/>
  <c r="K92" i="56" s="1"/>
  <c r="J91" i="56"/>
  <c r="K91" i="56" s="1"/>
  <c r="J90" i="56"/>
  <c r="K90" i="56" s="1"/>
  <c r="J89" i="56"/>
  <c r="K89" i="56" s="1"/>
  <c r="J88" i="56"/>
  <c r="K88" i="56" s="1"/>
  <c r="J87" i="56"/>
  <c r="J86" i="56"/>
  <c r="K86" i="56" s="1"/>
  <c r="J85" i="56"/>
  <c r="K85" i="56" s="1"/>
  <c r="J84" i="56"/>
  <c r="K84" i="56" s="1"/>
  <c r="J83" i="56"/>
  <c r="K83" i="56" s="1"/>
  <c r="J82" i="56"/>
  <c r="K82" i="56" s="1"/>
  <c r="J81" i="56"/>
  <c r="K81" i="56" s="1"/>
  <c r="J80" i="56"/>
  <c r="K80" i="56" s="1"/>
  <c r="J79" i="56"/>
  <c r="J78" i="56"/>
  <c r="K78" i="56" s="1"/>
  <c r="J77" i="56"/>
  <c r="K77" i="56" s="1"/>
  <c r="J76" i="56"/>
  <c r="K76" i="56" s="1"/>
  <c r="J75" i="56"/>
  <c r="K75" i="56" s="1"/>
  <c r="J74" i="56"/>
  <c r="K74" i="56" s="1"/>
  <c r="J73" i="56"/>
  <c r="K73" i="56" s="1"/>
  <c r="J72" i="56"/>
  <c r="K72" i="56" s="1"/>
  <c r="J71" i="56"/>
  <c r="J70" i="56"/>
  <c r="K70" i="56" s="1"/>
  <c r="J69" i="56"/>
  <c r="K69" i="56" s="1"/>
  <c r="J68" i="56"/>
  <c r="K68" i="56" s="1"/>
  <c r="J67" i="56"/>
  <c r="K67" i="56" s="1"/>
  <c r="J66" i="56"/>
  <c r="K66" i="56" s="1"/>
  <c r="J65" i="56"/>
  <c r="K65" i="56" s="1"/>
  <c r="J64" i="56"/>
  <c r="K64" i="56" s="1"/>
  <c r="J63" i="56"/>
  <c r="J62" i="56"/>
  <c r="K62" i="56" s="1"/>
  <c r="J61" i="56"/>
  <c r="K61" i="56" s="1"/>
  <c r="J60" i="56"/>
  <c r="K60" i="56" s="1"/>
  <c r="J59" i="56"/>
  <c r="K59" i="56" s="1"/>
  <c r="J58" i="56"/>
  <c r="K58" i="56" s="1"/>
  <c r="J57" i="56"/>
  <c r="J56" i="56"/>
  <c r="K56" i="56" s="1"/>
  <c r="J55" i="56"/>
  <c r="J54" i="56"/>
  <c r="K54" i="56" s="1"/>
  <c r="J53" i="56"/>
  <c r="K53" i="56" s="1"/>
  <c r="J52" i="56"/>
  <c r="K52" i="56" s="1"/>
  <c r="J51" i="56"/>
  <c r="K51" i="56" s="1"/>
  <c r="J50" i="56"/>
  <c r="K50" i="56" s="1"/>
  <c r="J49" i="56"/>
  <c r="K49" i="56" s="1"/>
  <c r="J48" i="56"/>
  <c r="K48" i="56" s="1"/>
  <c r="J47" i="56"/>
  <c r="J46" i="56"/>
  <c r="K46" i="56" s="1"/>
  <c r="J45" i="56"/>
  <c r="K45" i="56" s="1"/>
  <c r="J44" i="56"/>
  <c r="K44" i="56" s="1"/>
  <c r="J43" i="56"/>
  <c r="K43" i="56" s="1"/>
  <c r="J42" i="56"/>
  <c r="K42" i="56" s="1"/>
  <c r="J41" i="56"/>
  <c r="K41" i="56" s="1"/>
  <c r="J40" i="56"/>
  <c r="K40" i="56" s="1"/>
  <c r="J39" i="56"/>
  <c r="J38" i="56"/>
  <c r="K38" i="56" s="1"/>
  <c r="J37" i="56"/>
  <c r="K37" i="56" s="1"/>
  <c r="J36" i="56"/>
  <c r="K36" i="56" s="1"/>
  <c r="J35" i="56"/>
  <c r="K35" i="56" s="1"/>
  <c r="J34" i="56"/>
  <c r="K34" i="56" s="1"/>
  <c r="J33" i="56"/>
  <c r="K33" i="56" s="1"/>
  <c r="J32" i="56"/>
  <c r="K32" i="56" s="1"/>
  <c r="J31" i="56"/>
  <c r="J30" i="56"/>
  <c r="K30" i="56" s="1"/>
  <c r="J29" i="56"/>
  <c r="K29" i="56" s="1"/>
  <c r="J28" i="56"/>
  <c r="K28" i="56" s="1"/>
  <c r="J27" i="56"/>
  <c r="K27" i="56" s="1"/>
  <c r="J26" i="56"/>
  <c r="K26" i="56" s="1"/>
  <c r="J25" i="56"/>
  <c r="J24" i="56"/>
  <c r="K24" i="56" s="1"/>
  <c r="J23" i="56"/>
  <c r="J22" i="56"/>
  <c r="K22" i="56" s="1"/>
  <c r="J21" i="56"/>
  <c r="J20" i="56"/>
  <c r="J19" i="56"/>
  <c r="K19" i="56" s="1"/>
  <c r="J18" i="56"/>
  <c r="J17" i="56"/>
  <c r="J16" i="56"/>
  <c r="J15" i="56"/>
  <c r="K15" i="56" s="1"/>
  <c r="J14" i="56"/>
  <c r="J13" i="56"/>
  <c r="J12" i="56"/>
  <c r="J11" i="56"/>
  <c r="K11" i="56" s="1"/>
  <c r="J10" i="56"/>
  <c r="J9" i="56"/>
  <c r="J8" i="56"/>
  <c r="J7" i="56"/>
  <c r="J6" i="56"/>
  <c r="J5" i="56"/>
  <c r="I120" i="56"/>
  <c r="I104" i="56"/>
  <c r="I72" i="56"/>
  <c r="I56" i="56"/>
  <c r="I40" i="56"/>
  <c r="I8" i="56"/>
  <c r="I5" i="62"/>
  <c r="H116" i="62"/>
  <c r="H105" i="62"/>
  <c r="H104" i="62"/>
  <c r="H98" i="62"/>
  <c r="H97" i="62"/>
  <c r="H96" i="62"/>
  <c r="H94" i="62"/>
  <c r="H93" i="62"/>
  <c r="H92" i="62"/>
  <c r="H88" i="62"/>
  <c r="H85" i="62"/>
  <c r="H84" i="62"/>
  <c r="H76" i="62"/>
  <c r="H74" i="62"/>
  <c r="H72" i="62"/>
  <c r="H70" i="62"/>
  <c r="H69" i="62"/>
  <c r="H68" i="62"/>
  <c r="H66" i="62"/>
  <c r="H65" i="62"/>
  <c r="H64" i="62"/>
  <c r="H62" i="62"/>
  <c r="H61" i="62"/>
  <c r="H58" i="62"/>
  <c r="H57" i="62"/>
  <c r="H56" i="62"/>
  <c r="H54" i="62"/>
  <c r="H49" i="62"/>
  <c r="H48" i="62"/>
  <c r="H45" i="62"/>
  <c r="H44" i="62"/>
  <c r="H40" i="62"/>
  <c r="H36" i="62"/>
  <c r="H24" i="62"/>
  <c r="H22" i="62"/>
  <c r="H21" i="62"/>
  <c r="H18" i="62"/>
  <c r="H17" i="62"/>
  <c r="H16" i="62"/>
  <c r="H14" i="62"/>
  <c r="H13" i="62"/>
  <c r="H8" i="62"/>
  <c r="H124" i="62"/>
  <c r="H123" i="62"/>
  <c r="H122" i="62"/>
  <c r="H121" i="62"/>
  <c r="H120" i="62"/>
  <c r="H119" i="62"/>
  <c r="H118" i="62"/>
  <c r="H117" i="62"/>
  <c r="H115" i="62"/>
  <c r="H114" i="62"/>
  <c r="H113" i="62"/>
  <c r="H112" i="62"/>
  <c r="H111" i="62"/>
  <c r="H110" i="62"/>
  <c r="H109" i="62"/>
  <c r="H108" i="62"/>
  <c r="H107" i="62"/>
  <c r="H106" i="62"/>
  <c r="H103" i="62"/>
  <c r="H102" i="62"/>
  <c r="H101" i="62"/>
  <c r="H100" i="62"/>
  <c r="H99" i="62"/>
  <c r="H95" i="62"/>
  <c r="H91" i="62"/>
  <c r="H90" i="62"/>
  <c r="H89" i="62"/>
  <c r="H87" i="62"/>
  <c r="H86" i="62"/>
  <c r="H83" i="62"/>
  <c r="H82" i="62"/>
  <c r="H81" i="62"/>
  <c r="H80" i="62"/>
  <c r="H79" i="62"/>
  <c r="H78" i="62"/>
  <c r="H77" i="62"/>
  <c r="H75" i="62"/>
  <c r="H73" i="62"/>
  <c r="H71" i="62"/>
  <c r="H67" i="62"/>
  <c r="H63" i="62"/>
  <c r="H60" i="62"/>
  <c r="H59" i="62"/>
  <c r="H55" i="62"/>
  <c r="H53" i="62"/>
  <c r="H52" i="62"/>
  <c r="H51" i="62"/>
  <c r="H50" i="62"/>
  <c r="H47" i="62"/>
  <c r="H46" i="62"/>
  <c r="H43" i="62"/>
  <c r="H42" i="62"/>
  <c r="H41" i="62"/>
  <c r="H39" i="62"/>
  <c r="H38" i="62"/>
  <c r="H37" i="62"/>
  <c r="H35" i="62"/>
  <c r="H34" i="62"/>
  <c r="H33" i="62"/>
  <c r="H32" i="62"/>
  <c r="H31" i="62"/>
  <c r="H30" i="62"/>
  <c r="H29" i="62"/>
  <c r="H28" i="62"/>
  <c r="H27" i="62"/>
  <c r="H26" i="62"/>
  <c r="H25" i="62"/>
  <c r="H23" i="62"/>
  <c r="H20" i="62"/>
  <c r="H19" i="62"/>
  <c r="H15" i="62"/>
  <c r="H12" i="62"/>
  <c r="H11" i="62"/>
  <c r="H10" i="62"/>
  <c r="H9" i="62"/>
  <c r="H7" i="62"/>
  <c r="H6" i="62"/>
  <c r="H5" i="62"/>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AN124" i="60"/>
  <c r="AO124" i="60" s="1"/>
  <c r="AN123" i="60"/>
  <c r="AO123" i="60" s="1"/>
  <c r="AN122" i="60"/>
  <c r="AO122" i="60" s="1"/>
  <c r="AN121" i="60"/>
  <c r="AO121" i="60" s="1"/>
  <c r="AN120" i="60"/>
  <c r="AO120" i="60" s="1"/>
  <c r="AN119" i="60"/>
  <c r="AO119" i="60" s="1"/>
  <c r="AN118" i="60"/>
  <c r="AO118" i="60" s="1"/>
  <c r="AN117" i="60"/>
  <c r="AO117" i="60" s="1"/>
  <c r="AN116" i="60"/>
  <c r="AO116" i="60" s="1"/>
  <c r="AN115" i="60"/>
  <c r="AO115" i="60" s="1"/>
  <c r="AN114" i="60"/>
  <c r="AO114" i="60" s="1"/>
  <c r="AN113" i="60"/>
  <c r="AO113" i="60" s="1"/>
  <c r="AN112" i="60"/>
  <c r="AO112" i="60" s="1"/>
  <c r="AN111" i="60"/>
  <c r="AO111" i="60" s="1"/>
  <c r="AN110" i="60"/>
  <c r="AN109" i="60"/>
  <c r="AO109" i="60" s="1"/>
  <c r="AN108" i="60"/>
  <c r="AO108" i="60" s="1"/>
  <c r="AN107" i="60"/>
  <c r="AO107" i="60" s="1"/>
  <c r="AN106" i="60"/>
  <c r="AO106" i="60" s="1"/>
  <c r="AN105" i="60"/>
  <c r="AO105" i="60" s="1"/>
  <c r="AN104" i="60"/>
  <c r="AO104" i="60" s="1"/>
  <c r="AN103" i="60"/>
  <c r="AO103" i="60" s="1"/>
  <c r="AN102" i="60"/>
  <c r="AN101" i="60"/>
  <c r="AO101" i="60" s="1"/>
  <c r="AN100" i="60"/>
  <c r="AO100" i="60" s="1"/>
  <c r="AN99" i="60"/>
  <c r="AO99" i="60" s="1"/>
  <c r="AN98" i="60"/>
  <c r="AO98" i="60" s="1"/>
  <c r="AN97" i="60"/>
  <c r="AO97" i="60" s="1"/>
  <c r="AN96" i="60"/>
  <c r="AO96" i="60" s="1"/>
  <c r="AN95" i="60"/>
  <c r="AO95" i="60" s="1"/>
  <c r="AN94" i="60"/>
  <c r="AN93" i="60"/>
  <c r="AO93" i="60" s="1"/>
  <c r="AN92" i="60"/>
  <c r="AO92" i="60" s="1"/>
  <c r="AN91" i="60"/>
  <c r="AO91" i="60" s="1"/>
  <c r="AN90" i="60"/>
  <c r="AO90" i="60" s="1"/>
  <c r="AN89" i="60"/>
  <c r="AO89" i="60" s="1"/>
  <c r="AN88" i="60"/>
  <c r="AO88" i="60" s="1"/>
  <c r="AN87" i="60"/>
  <c r="AO87" i="60" s="1"/>
  <c r="AN86" i="60"/>
  <c r="AO86" i="60" s="1"/>
  <c r="AN85" i="60"/>
  <c r="AO85" i="60" s="1"/>
  <c r="AN84" i="60"/>
  <c r="AO84" i="60" s="1"/>
  <c r="AN83" i="60"/>
  <c r="AO83" i="60" s="1"/>
  <c r="AN82" i="60"/>
  <c r="AO82" i="60" s="1"/>
  <c r="AN81" i="60"/>
  <c r="AO81" i="60" s="1"/>
  <c r="AN80" i="60"/>
  <c r="AO80" i="60" s="1"/>
  <c r="AN79" i="60"/>
  <c r="AO79" i="60" s="1"/>
  <c r="AN78" i="60"/>
  <c r="AN77" i="60"/>
  <c r="AO77" i="60" s="1"/>
  <c r="AN76" i="60"/>
  <c r="AO76" i="60" s="1"/>
  <c r="AN75" i="60"/>
  <c r="AO75" i="60" s="1"/>
  <c r="AN74" i="60"/>
  <c r="AO74" i="60" s="1"/>
  <c r="AN73" i="60"/>
  <c r="AO73" i="60" s="1"/>
  <c r="AN72" i="60"/>
  <c r="AO72" i="60" s="1"/>
  <c r="AN71" i="60"/>
  <c r="AO71" i="60" s="1"/>
  <c r="AN70" i="60"/>
  <c r="AO70" i="60" s="1"/>
  <c r="AN69" i="60"/>
  <c r="AO69" i="60" s="1"/>
  <c r="AN68" i="60"/>
  <c r="AO68" i="60" s="1"/>
  <c r="AN67" i="60"/>
  <c r="AO67" i="60" s="1"/>
  <c r="AN66" i="60"/>
  <c r="AO66" i="60" s="1"/>
  <c r="AN65" i="60"/>
  <c r="AO65" i="60" s="1"/>
  <c r="AN64" i="60"/>
  <c r="AO64" i="60" s="1"/>
  <c r="AN63" i="60"/>
  <c r="AO63" i="60" s="1"/>
  <c r="AN62" i="60"/>
  <c r="AN61" i="60"/>
  <c r="AO61" i="60" s="1"/>
  <c r="AN60" i="60"/>
  <c r="AO60" i="60" s="1"/>
  <c r="AN59" i="60"/>
  <c r="AO59" i="60" s="1"/>
  <c r="AN58" i="60"/>
  <c r="AO58" i="60" s="1"/>
  <c r="AN57" i="60"/>
  <c r="AO57" i="60" s="1"/>
  <c r="AN56" i="60"/>
  <c r="AO56" i="60" s="1"/>
  <c r="AN55" i="60"/>
  <c r="AO55" i="60" s="1"/>
  <c r="AN54" i="60"/>
  <c r="AN53" i="60"/>
  <c r="AO53" i="60" s="1"/>
  <c r="AN52" i="60"/>
  <c r="AO52" i="60" s="1"/>
  <c r="AN51" i="60"/>
  <c r="AO51" i="60" s="1"/>
  <c r="AN50" i="60"/>
  <c r="AO50" i="60" s="1"/>
  <c r="AN49" i="60"/>
  <c r="AO49" i="60" s="1"/>
  <c r="AN48" i="60"/>
  <c r="AO48" i="60" s="1"/>
  <c r="AN47" i="60"/>
  <c r="AO47" i="60" s="1"/>
  <c r="AN46" i="60"/>
  <c r="AN45" i="60"/>
  <c r="AO45" i="60" s="1"/>
  <c r="AN44" i="60"/>
  <c r="AO44" i="60" s="1"/>
  <c r="AN43" i="60"/>
  <c r="AO43" i="60" s="1"/>
  <c r="AN42" i="60"/>
  <c r="AO42" i="60" s="1"/>
  <c r="AN41" i="60"/>
  <c r="AO41" i="60" s="1"/>
  <c r="AN40" i="60"/>
  <c r="AO40" i="60" s="1"/>
  <c r="AN39" i="60"/>
  <c r="AO39" i="60" s="1"/>
  <c r="AN38" i="60"/>
  <c r="AO38" i="60" s="1"/>
  <c r="AN37" i="60"/>
  <c r="AO37" i="60" s="1"/>
  <c r="AN36" i="60"/>
  <c r="AO36" i="60" s="1"/>
  <c r="AN35" i="60"/>
  <c r="AO35" i="60" s="1"/>
  <c r="AN34" i="60"/>
  <c r="AO34" i="60" s="1"/>
  <c r="AN33" i="60"/>
  <c r="AO33" i="60" s="1"/>
  <c r="AN32" i="60"/>
  <c r="AO32" i="60" s="1"/>
  <c r="AN31" i="60"/>
  <c r="AO31" i="60" s="1"/>
  <c r="AN30" i="60"/>
  <c r="AN29" i="60"/>
  <c r="AO29" i="60" s="1"/>
  <c r="AN28" i="60"/>
  <c r="AO28" i="60" s="1"/>
  <c r="AN27" i="60"/>
  <c r="AO27" i="60" s="1"/>
  <c r="AN26" i="60"/>
  <c r="AO26" i="60" s="1"/>
  <c r="AN25" i="60"/>
  <c r="AO25" i="60" s="1"/>
  <c r="AN24" i="60"/>
  <c r="AO24" i="60" s="1"/>
  <c r="AN23" i="60"/>
  <c r="AO23" i="60" s="1"/>
  <c r="AN22" i="60"/>
  <c r="AN21" i="60"/>
  <c r="AO21" i="60" s="1"/>
  <c r="AN20" i="60"/>
  <c r="AO20" i="60" s="1"/>
  <c r="AN19" i="60"/>
  <c r="AO19" i="60" s="1"/>
  <c r="AN18" i="60"/>
  <c r="AO18" i="60" s="1"/>
  <c r="AN17" i="60"/>
  <c r="AO17" i="60" s="1"/>
  <c r="AN16" i="60"/>
  <c r="AO16" i="60" s="1"/>
  <c r="AN15" i="60"/>
  <c r="AO15" i="60" s="1"/>
  <c r="AN14" i="60"/>
  <c r="AN13" i="60"/>
  <c r="AO13" i="60" s="1"/>
  <c r="AN12" i="60"/>
  <c r="AO12" i="60" s="1"/>
  <c r="AN11" i="60"/>
  <c r="AO11" i="60" s="1"/>
  <c r="AN10" i="60"/>
  <c r="AO10" i="60" s="1"/>
  <c r="AN9" i="60"/>
  <c r="AO9" i="60" s="1"/>
  <c r="AN8" i="60"/>
  <c r="AO8" i="60" s="1"/>
  <c r="AN7" i="60"/>
  <c r="AO7" i="60" s="1"/>
  <c r="AN6" i="60"/>
  <c r="AO6" i="60" s="1"/>
  <c r="AN5" i="60"/>
  <c r="AO5" i="60" s="1"/>
  <c r="AF124" i="60"/>
  <c r="AG124" i="60" s="1"/>
  <c r="AF123" i="60"/>
  <c r="AG123" i="60" s="1"/>
  <c r="AF122" i="60"/>
  <c r="AG122" i="60" s="1"/>
  <c r="AF121" i="60"/>
  <c r="AG121" i="60" s="1"/>
  <c r="AF120" i="60"/>
  <c r="AG120" i="60" s="1"/>
  <c r="AF119" i="60"/>
  <c r="AG119" i="60" s="1"/>
  <c r="AF118" i="60"/>
  <c r="AG118" i="60" s="1"/>
  <c r="AF117" i="60"/>
  <c r="AG117" i="60" s="1"/>
  <c r="AF116" i="60"/>
  <c r="AG116" i="60" s="1"/>
  <c r="AF115" i="60"/>
  <c r="AG115" i="60" s="1"/>
  <c r="AF114" i="60"/>
  <c r="AG114" i="60" s="1"/>
  <c r="AF113" i="60"/>
  <c r="AG113" i="60" s="1"/>
  <c r="AF112" i="60"/>
  <c r="AG112" i="60" s="1"/>
  <c r="AF111" i="60"/>
  <c r="AG111" i="60" s="1"/>
  <c r="AF110" i="60"/>
  <c r="AG110" i="60" s="1"/>
  <c r="AF109" i="60"/>
  <c r="AG109" i="60" s="1"/>
  <c r="AF108" i="60"/>
  <c r="AG108" i="60" s="1"/>
  <c r="AF107" i="60"/>
  <c r="AG107" i="60" s="1"/>
  <c r="AF106" i="60"/>
  <c r="AG106" i="60" s="1"/>
  <c r="AF105" i="60"/>
  <c r="AG105" i="60" s="1"/>
  <c r="AF104" i="60"/>
  <c r="AG104" i="60" s="1"/>
  <c r="AF103" i="60"/>
  <c r="AG103" i="60" s="1"/>
  <c r="AF102" i="60"/>
  <c r="AG102" i="60" s="1"/>
  <c r="AF101" i="60"/>
  <c r="AG101" i="60" s="1"/>
  <c r="AF100" i="60"/>
  <c r="AG100" i="60" s="1"/>
  <c r="AF99" i="60"/>
  <c r="AG99" i="60" s="1"/>
  <c r="AF98" i="60"/>
  <c r="AG98" i="60" s="1"/>
  <c r="AF97" i="60"/>
  <c r="AG97" i="60" s="1"/>
  <c r="AF96" i="60"/>
  <c r="AG96" i="60" s="1"/>
  <c r="AF95" i="60"/>
  <c r="AG95" i="60" s="1"/>
  <c r="AF94" i="60"/>
  <c r="AG94" i="60" s="1"/>
  <c r="AF93" i="60"/>
  <c r="AG93" i="60" s="1"/>
  <c r="AF92" i="60"/>
  <c r="AG92" i="60" s="1"/>
  <c r="AF91" i="60"/>
  <c r="AG91" i="60" s="1"/>
  <c r="AF90" i="60"/>
  <c r="AG90" i="60" s="1"/>
  <c r="AF89" i="60"/>
  <c r="AG89" i="60" s="1"/>
  <c r="AF88" i="60"/>
  <c r="AG88" i="60" s="1"/>
  <c r="AF87" i="60"/>
  <c r="AG87" i="60" s="1"/>
  <c r="AF86" i="60"/>
  <c r="AG86" i="60" s="1"/>
  <c r="AF85" i="60"/>
  <c r="AG85" i="60" s="1"/>
  <c r="AF84" i="60"/>
  <c r="AG84" i="60" s="1"/>
  <c r="AF83" i="60"/>
  <c r="AG83" i="60" s="1"/>
  <c r="AF82" i="60"/>
  <c r="AG82" i="60" s="1"/>
  <c r="AF81" i="60"/>
  <c r="AG81" i="60" s="1"/>
  <c r="AF80" i="60"/>
  <c r="AG80" i="60" s="1"/>
  <c r="AF79" i="60"/>
  <c r="AG79" i="60" s="1"/>
  <c r="AF78" i="60"/>
  <c r="AG78" i="60" s="1"/>
  <c r="AF77" i="60"/>
  <c r="AG77" i="60" s="1"/>
  <c r="AF76" i="60"/>
  <c r="AG76" i="60" s="1"/>
  <c r="AF75" i="60"/>
  <c r="AG75" i="60" s="1"/>
  <c r="AF74" i="60"/>
  <c r="AG74" i="60" s="1"/>
  <c r="AF73" i="60"/>
  <c r="AG73" i="60" s="1"/>
  <c r="AF72" i="60"/>
  <c r="AG72" i="60" s="1"/>
  <c r="AF71" i="60"/>
  <c r="AG71" i="60" s="1"/>
  <c r="AF70" i="60"/>
  <c r="AG70" i="60" s="1"/>
  <c r="AF69" i="60"/>
  <c r="AG69" i="60" s="1"/>
  <c r="AF68" i="60"/>
  <c r="AG68" i="60" s="1"/>
  <c r="AF67" i="60"/>
  <c r="AG67" i="60" s="1"/>
  <c r="AF66" i="60"/>
  <c r="AG66" i="60" s="1"/>
  <c r="AF65" i="60"/>
  <c r="AG65" i="60" s="1"/>
  <c r="AF64" i="60"/>
  <c r="AG64" i="60" s="1"/>
  <c r="AF63" i="60"/>
  <c r="AF62" i="60"/>
  <c r="AG62" i="60" s="1"/>
  <c r="AF61" i="60"/>
  <c r="AG61" i="60" s="1"/>
  <c r="AF60" i="60"/>
  <c r="AG60" i="60" s="1"/>
  <c r="AF59" i="60"/>
  <c r="AG59" i="60" s="1"/>
  <c r="AF58" i="60"/>
  <c r="AG58" i="60" s="1"/>
  <c r="AF57" i="60"/>
  <c r="AG57" i="60" s="1"/>
  <c r="AF56" i="60"/>
  <c r="AG56" i="60" s="1"/>
  <c r="AF55" i="60"/>
  <c r="AG55" i="60" s="1"/>
  <c r="AF54" i="60"/>
  <c r="AG54" i="60" s="1"/>
  <c r="AF53" i="60"/>
  <c r="AG53" i="60" s="1"/>
  <c r="AF52" i="60"/>
  <c r="AG52" i="60" s="1"/>
  <c r="AF51" i="60"/>
  <c r="AG51" i="60" s="1"/>
  <c r="AF50" i="60"/>
  <c r="AG50" i="60" s="1"/>
  <c r="AF49" i="60"/>
  <c r="AG49" i="60" s="1"/>
  <c r="AF48" i="60"/>
  <c r="AG48" i="60" s="1"/>
  <c r="AF47" i="60"/>
  <c r="AG47" i="60" s="1"/>
  <c r="AF46" i="60"/>
  <c r="AG46" i="60" s="1"/>
  <c r="AF45" i="60"/>
  <c r="AG45" i="60" s="1"/>
  <c r="AF44" i="60"/>
  <c r="AG44" i="60" s="1"/>
  <c r="AF43" i="60"/>
  <c r="AG43" i="60" s="1"/>
  <c r="AF42" i="60"/>
  <c r="AG42" i="60" s="1"/>
  <c r="AF41" i="60"/>
  <c r="AG41" i="60" s="1"/>
  <c r="AF40" i="60"/>
  <c r="AG40" i="60" s="1"/>
  <c r="AF39" i="60"/>
  <c r="AG39" i="60" s="1"/>
  <c r="AF38" i="60"/>
  <c r="AG38" i="60" s="1"/>
  <c r="AF37" i="60"/>
  <c r="AG37" i="60" s="1"/>
  <c r="AF36" i="60"/>
  <c r="AG36" i="60" s="1"/>
  <c r="AF35" i="60"/>
  <c r="AG35" i="60" s="1"/>
  <c r="AF34" i="60"/>
  <c r="AG34" i="60" s="1"/>
  <c r="AF33" i="60"/>
  <c r="AG33" i="60" s="1"/>
  <c r="AF32" i="60"/>
  <c r="AG32" i="60" s="1"/>
  <c r="AF31" i="60"/>
  <c r="AG31" i="60" s="1"/>
  <c r="AF30" i="60"/>
  <c r="AG30" i="60" s="1"/>
  <c r="AF29" i="60"/>
  <c r="AG29" i="60" s="1"/>
  <c r="AF28" i="60"/>
  <c r="AG28" i="60" s="1"/>
  <c r="AF27" i="60"/>
  <c r="AG27" i="60" s="1"/>
  <c r="AF26" i="60"/>
  <c r="AG26" i="60" s="1"/>
  <c r="AF25" i="60"/>
  <c r="AG25" i="60" s="1"/>
  <c r="AF24" i="60"/>
  <c r="AG24" i="60" s="1"/>
  <c r="AF23" i="60"/>
  <c r="AG23" i="60" s="1"/>
  <c r="AF22" i="60"/>
  <c r="AG22" i="60" s="1"/>
  <c r="AF21" i="60"/>
  <c r="AG21" i="60" s="1"/>
  <c r="AF20" i="60"/>
  <c r="AG20" i="60" s="1"/>
  <c r="AF19" i="60"/>
  <c r="AG19" i="60" s="1"/>
  <c r="AF18" i="60"/>
  <c r="AG18" i="60" s="1"/>
  <c r="AF17" i="60"/>
  <c r="AG17" i="60" s="1"/>
  <c r="AF16" i="60"/>
  <c r="AG16" i="60" s="1"/>
  <c r="AF15" i="60"/>
  <c r="AG15" i="60" s="1"/>
  <c r="AF14" i="60"/>
  <c r="AG14" i="60" s="1"/>
  <c r="AF13" i="60"/>
  <c r="AG13" i="60" s="1"/>
  <c r="AF12" i="60"/>
  <c r="AG12" i="60" s="1"/>
  <c r="AF11" i="60"/>
  <c r="AG11" i="60" s="1"/>
  <c r="AF10" i="60"/>
  <c r="AG10" i="60" s="1"/>
  <c r="AF9" i="60"/>
  <c r="AG9" i="60" s="1"/>
  <c r="AF8" i="60"/>
  <c r="AG8" i="60" s="1"/>
  <c r="AF7" i="60"/>
  <c r="AG7" i="60" s="1"/>
  <c r="AF6" i="60"/>
  <c r="AG6" i="60" s="1"/>
  <c r="AF5" i="60"/>
  <c r="AG5" i="60" s="1"/>
  <c r="X124" i="60"/>
  <c r="Y124" i="60" s="1"/>
  <c r="X123" i="60"/>
  <c r="X122" i="60"/>
  <c r="X121" i="60"/>
  <c r="Y121" i="60" s="1"/>
  <c r="X120" i="60"/>
  <c r="Y120" i="60" s="1"/>
  <c r="X119" i="60"/>
  <c r="Y119" i="60" s="1"/>
  <c r="X118" i="60"/>
  <c r="Y118" i="60" s="1"/>
  <c r="X117" i="60"/>
  <c r="Y117" i="60" s="1"/>
  <c r="X116" i="60"/>
  <c r="Y116" i="60" s="1"/>
  <c r="X115" i="60"/>
  <c r="Y115" i="60" s="1"/>
  <c r="X114" i="60"/>
  <c r="X113" i="60"/>
  <c r="Y113" i="60" s="1"/>
  <c r="X112" i="60"/>
  <c r="Y112" i="60" s="1"/>
  <c r="X111" i="60"/>
  <c r="Y111" i="60" s="1"/>
  <c r="X110" i="60"/>
  <c r="Y110" i="60" s="1"/>
  <c r="X109" i="60"/>
  <c r="Y109" i="60" s="1"/>
  <c r="X108" i="60"/>
  <c r="Y108" i="60" s="1"/>
  <c r="X107" i="60"/>
  <c r="Y107" i="60" s="1"/>
  <c r="X106" i="60"/>
  <c r="X105" i="60"/>
  <c r="Y105" i="60" s="1"/>
  <c r="X104" i="60"/>
  <c r="Y104" i="60" s="1"/>
  <c r="X103" i="60"/>
  <c r="Y103" i="60" s="1"/>
  <c r="X102" i="60"/>
  <c r="Y102" i="60" s="1"/>
  <c r="X101" i="60"/>
  <c r="Y101" i="60" s="1"/>
  <c r="X100" i="60"/>
  <c r="Y100" i="60" s="1"/>
  <c r="X99" i="60"/>
  <c r="Y99" i="60" s="1"/>
  <c r="X98" i="60"/>
  <c r="X97" i="60"/>
  <c r="Y97" i="60" s="1"/>
  <c r="X96" i="60"/>
  <c r="Y96" i="60" s="1"/>
  <c r="X95" i="60"/>
  <c r="Y95" i="60" s="1"/>
  <c r="X94" i="60"/>
  <c r="Y94" i="60" s="1"/>
  <c r="X93" i="60"/>
  <c r="Y93" i="60" s="1"/>
  <c r="X92" i="60"/>
  <c r="Y92" i="60" s="1"/>
  <c r="X91" i="60"/>
  <c r="Y91" i="60" s="1"/>
  <c r="X90" i="60"/>
  <c r="X89" i="60"/>
  <c r="Y89" i="60" s="1"/>
  <c r="X88" i="60"/>
  <c r="Y88" i="60" s="1"/>
  <c r="X87" i="60"/>
  <c r="Y87" i="60" s="1"/>
  <c r="X86" i="60"/>
  <c r="Y86" i="60" s="1"/>
  <c r="X85" i="60"/>
  <c r="Y85" i="60" s="1"/>
  <c r="X84" i="60"/>
  <c r="Y84" i="60" s="1"/>
  <c r="X83" i="60"/>
  <c r="Y83" i="60" s="1"/>
  <c r="X82" i="60"/>
  <c r="X81" i="60"/>
  <c r="Y81" i="60" s="1"/>
  <c r="X80" i="60"/>
  <c r="Y80" i="60" s="1"/>
  <c r="X79" i="60"/>
  <c r="Y79" i="60" s="1"/>
  <c r="X78" i="60"/>
  <c r="Y78" i="60" s="1"/>
  <c r="X77" i="60"/>
  <c r="Y77" i="60" s="1"/>
  <c r="X76" i="60"/>
  <c r="Y76" i="60" s="1"/>
  <c r="X75" i="60"/>
  <c r="Y75" i="60" s="1"/>
  <c r="X74" i="60"/>
  <c r="X73" i="60"/>
  <c r="Y73" i="60" s="1"/>
  <c r="X72" i="60"/>
  <c r="Y72" i="60" s="1"/>
  <c r="X71" i="60"/>
  <c r="Y71" i="60" s="1"/>
  <c r="X70" i="60"/>
  <c r="Y70" i="60" s="1"/>
  <c r="X69" i="60"/>
  <c r="Y69" i="60" s="1"/>
  <c r="X68" i="60"/>
  <c r="Y68" i="60" s="1"/>
  <c r="X67" i="60"/>
  <c r="Y67" i="60" s="1"/>
  <c r="X66" i="60"/>
  <c r="X65" i="60"/>
  <c r="Y65" i="60" s="1"/>
  <c r="X64" i="60"/>
  <c r="Y64" i="60" s="1"/>
  <c r="X63" i="60"/>
  <c r="Y63" i="60" s="1"/>
  <c r="X62" i="60"/>
  <c r="Y62" i="60" s="1"/>
  <c r="X61" i="60"/>
  <c r="Y61" i="60" s="1"/>
  <c r="X60" i="60"/>
  <c r="Y60" i="60" s="1"/>
  <c r="X59" i="60"/>
  <c r="Y59" i="60" s="1"/>
  <c r="X58" i="60"/>
  <c r="X57" i="60"/>
  <c r="Y57" i="60" s="1"/>
  <c r="X56" i="60"/>
  <c r="Y56" i="60" s="1"/>
  <c r="X55" i="60"/>
  <c r="Y55" i="60" s="1"/>
  <c r="X54" i="60"/>
  <c r="Y54" i="60" s="1"/>
  <c r="X53" i="60"/>
  <c r="Y53" i="60" s="1"/>
  <c r="X52" i="60"/>
  <c r="Y52" i="60" s="1"/>
  <c r="X51" i="60"/>
  <c r="Y51" i="60" s="1"/>
  <c r="X50" i="60"/>
  <c r="X49" i="60"/>
  <c r="Y49" i="60" s="1"/>
  <c r="X48" i="60"/>
  <c r="Y48" i="60" s="1"/>
  <c r="X47" i="60"/>
  <c r="Y47" i="60" s="1"/>
  <c r="X46" i="60"/>
  <c r="Y46" i="60" s="1"/>
  <c r="X45" i="60"/>
  <c r="Y45" i="60" s="1"/>
  <c r="X44" i="60"/>
  <c r="Y44" i="60" s="1"/>
  <c r="X43" i="60"/>
  <c r="Y43" i="60" s="1"/>
  <c r="X42" i="60"/>
  <c r="X41" i="60"/>
  <c r="Y41" i="60" s="1"/>
  <c r="X40" i="60"/>
  <c r="Y40" i="60" s="1"/>
  <c r="X39" i="60"/>
  <c r="Y39" i="60" s="1"/>
  <c r="X38" i="60"/>
  <c r="Y38" i="60" s="1"/>
  <c r="X37" i="60"/>
  <c r="Y37" i="60" s="1"/>
  <c r="X36" i="60"/>
  <c r="Y36" i="60" s="1"/>
  <c r="X35" i="60"/>
  <c r="Y35" i="60" s="1"/>
  <c r="X34" i="60"/>
  <c r="X33" i="60"/>
  <c r="Y33" i="60" s="1"/>
  <c r="X32" i="60"/>
  <c r="Y32" i="60" s="1"/>
  <c r="X31" i="60"/>
  <c r="Y31" i="60" s="1"/>
  <c r="X30" i="60"/>
  <c r="Y30" i="60" s="1"/>
  <c r="X29" i="60"/>
  <c r="Y29" i="60" s="1"/>
  <c r="X28" i="60"/>
  <c r="Y28" i="60" s="1"/>
  <c r="X27" i="60"/>
  <c r="Y27" i="60" s="1"/>
  <c r="X26" i="60"/>
  <c r="X25" i="60"/>
  <c r="Y25" i="60" s="1"/>
  <c r="X24" i="60"/>
  <c r="Y24" i="60" s="1"/>
  <c r="X23" i="60"/>
  <c r="Y23" i="60" s="1"/>
  <c r="X22" i="60"/>
  <c r="Y22" i="60" s="1"/>
  <c r="X21" i="60"/>
  <c r="Y21" i="60" s="1"/>
  <c r="X20" i="60"/>
  <c r="Y20" i="60" s="1"/>
  <c r="X19" i="60"/>
  <c r="Y19" i="60" s="1"/>
  <c r="X18" i="60"/>
  <c r="X17" i="60"/>
  <c r="Y17" i="60" s="1"/>
  <c r="X16" i="60"/>
  <c r="Y16" i="60" s="1"/>
  <c r="X15" i="60"/>
  <c r="Y15" i="60" s="1"/>
  <c r="X14" i="60"/>
  <c r="Y14" i="60" s="1"/>
  <c r="X13" i="60"/>
  <c r="Y13" i="60" s="1"/>
  <c r="X12" i="60"/>
  <c r="Y12" i="60" s="1"/>
  <c r="X11" i="60"/>
  <c r="Y11" i="60" s="1"/>
  <c r="X10" i="60"/>
  <c r="X9" i="60"/>
  <c r="Y9" i="60" s="1"/>
  <c r="X8" i="60"/>
  <c r="Y8" i="60" s="1"/>
  <c r="X7" i="60"/>
  <c r="Y7" i="60" s="1"/>
  <c r="X6" i="60"/>
  <c r="Y6" i="60" s="1"/>
  <c r="X5" i="60"/>
  <c r="Y5" i="60" s="1"/>
  <c r="P124" i="60"/>
  <c r="G124" i="60" s="1"/>
  <c r="P123" i="60"/>
  <c r="P122" i="60"/>
  <c r="P121" i="60"/>
  <c r="G121" i="60" s="1"/>
  <c r="P120" i="60"/>
  <c r="G120" i="60" s="1"/>
  <c r="P119" i="60"/>
  <c r="P118" i="60"/>
  <c r="P117" i="60"/>
  <c r="P116" i="60"/>
  <c r="G116" i="60" s="1"/>
  <c r="P115" i="60"/>
  <c r="P114" i="60"/>
  <c r="P113" i="60"/>
  <c r="G113" i="60" s="1"/>
  <c r="P112" i="60"/>
  <c r="G112" i="60" s="1"/>
  <c r="P111" i="60"/>
  <c r="P110" i="60"/>
  <c r="P109" i="60"/>
  <c r="P108" i="60"/>
  <c r="G108" i="60" s="1"/>
  <c r="P107" i="60"/>
  <c r="P106" i="60"/>
  <c r="P105" i="60"/>
  <c r="G105" i="60" s="1"/>
  <c r="P104" i="60"/>
  <c r="G104" i="60" s="1"/>
  <c r="P103" i="60"/>
  <c r="P102" i="60"/>
  <c r="P101" i="60"/>
  <c r="G101" i="60" s="1"/>
  <c r="P100" i="60"/>
  <c r="G100" i="60" s="1"/>
  <c r="P99" i="60"/>
  <c r="P98" i="60"/>
  <c r="P97" i="60"/>
  <c r="G97" i="60" s="1"/>
  <c r="P96" i="60"/>
  <c r="G96" i="60" s="1"/>
  <c r="P95" i="60"/>
  <c r="P94" i="60"/>
  <c r="P93" i="60"/>
  <c r="P92" i="60"/>
  <c r="G92" i="60" s="1"/>
  <c r="P91" i="60"/>
  <c r="P90" i="60"/>
  <c r="P89" i="60"/>
  <c r="G89" i="60" s="1"/>
  <c r="P88" i="60"/>
  <c r="G88" i="60" s="1"/>
  <c r="P87" i="60"/>
  <c r="P86" i="60"/>
  <c r="P85" i="60"/>
  <c r="P84" i="60"/>
  <c r="G84" i="60" s="1"/>
  <c r="P83" i="60"/>
  <c r="P82" i="60"/>
  <c r="P81" i="60"/>
  <c r="G81" i="60" s="1"/>
  <c r="P80" i="60"/>
  <c r="G80" i="60" s="1"/>
  <c r="P79" i="60"/>
  <c r="P78" i="60"/>
  <c r="P77" i="60"/>
  <c r="P76" i="60"/>
  <c r="G76" i="60" s="1"/>
  <c r="P75" i="60"/>
  <c r="P74" i="60"/>
  <c r="P73" i="60"/>
  <c r="G73" i="60" s="1"/>
  <c r="P72" i="60"/>
  <c r="G72" i="60" s="1"/>
  <c r="P71" i="60"/>
  <c r="P70" i="60"/>
  <c r="P69" i="60"/>
  <c r="G69" i="60" s="1"/>
  <c r="P68" i="60"/>
  <c r="G68" i="60" s="1"/>
  <c r="P67" i="60"/>
  <c r="P66" i="60"/>
  <c r="P65" i="60"/>
  <c r="G65" i="60" s="1"/>
  <c r="P64" i="60"/>
  <c r="G64" i="60" s="1"/>
  <c r="P63" i="60"/>
  <c r="P62" i="60"/>
  <c r="P61" i="60"/>
  <c r="P60" i="60"/>
  <c r="G60" i="60" s="1"/>
  <c r="P59" i="60"/>
  <c r="P58" i="60"/>
  <c r="P57" i="60"/>
  <c r="G57" i="60" s="1"/>
  <c r="P56" i="60"/>
  <c r="G56" i="60" s="1"/>
  <c r="P55" i="60"/>
  <c r="P54" i="60"/>
  <c r="P53" i="60"/>
  <c r="P52" i="60"/>
  <c r="G52" i="60" s="1"/>
  <c r="P51" i="60"/>
  <c r="P50" i="60"/>
  <c r="P49" i="60"/>
  <c r="G49" i="60" s="1"/>
  <c r="P48" i="60"/>
  <c r="G48" i="60" s="1"/>
  <c r="P47" i="60"/>
  <c r="P46" i="60"/>
  <c r="P45" i="60"/>
  <c r="P44" i="60"/>
  <c r="G44" i="60" s="1"/>
  <c r="P43" i="60"/>
  <c r="P42" i="60"/>
  <c r="P41" i="60"/>
  <c r="G41" i="60" s="1"/>
  <c r="P40" i="60"/>
  <c r="G40" i="60" s="1"/>
  <c r="P39" i="60"/>
  <c r="P38" i="60"/>
  <c r="P37" i="60"/>
  <c r="G37" i="60" s="1"/>
  <c r="P36" i="60"/>
  <c r="G36" i="60" s="1"/>
  <c r="P35" i="60"/>
  <c r="P34" i="60"/>
  <c r="P33" i="60"/>
  <c r="G33" i="60" s="1"/>
  <c r="P32" i="60"/>
  <c r="G32" i="60" s="1"/>
  <c r="P31" i="60"/>
  <c r="P30" i="60"/>
  <c r="P29" i="60"/>
  <c r="P28" i="60"/>
  <c r="G28" i="60" s="1"/>
  <c r="P27" i="60"/>
  <c r="P26" i="60"/>
  <c r="P25" i="60"/>
  <c r="G25" i="60" s="1"/>
  <c r="P24" i="60"/>
  <c r="G24" i="60" s="1"/>
  <c r="P23" i="60"/>
  <c r="P22" i="60"/>
  <c r="P21" i="60"/>
  <c r="P20" i="60"/>
  <c r="G20" i="60" s="1"/>
  <c r="P19" i="60"/>
  <c r="P18" i="60"/>
  <c r="P17" i="60"/>
  <c r="G17" i="60" s="1"/>
  <c r="P16" i="60"/>
  <c r="G16" i="60" s="1"/>
  <c r="P15" i="60"/>
  <c r="P14" i="60"/>
  <c r="P13" i="60"/>
  <c r="P12" i="60"/>
  <c r="G12" i="60" s="1"/>
  <c r="P11" i="60"/>
  <c r="P10" i="60"/>
  <c r="P9" i="60"/>
  <c r="G9" i="60" s="1"/>
  <c r="P8" i="60"/>
  <c r="G8" i="60" s="1"/>
  <c r="P7" i="60"/>
  <c r="P6" i="60"/>
  <c r="P5" i="60"/>
  <c r="G5" i="60" s="1"/>
  <c r="O124" i="60"/>
  <c r="O123" i="60"/>
  <c r="O122" i="60"/>
  <c r="O121" i="60"/>
  <c r="O120" i="60"/>
  <c r="O119" i="60"/>
  <c r="O118" i="60"/>
  <c r="O117" i="60"/>
  <c r="O116" i="60"/>
  <c r="O115" i="60"/>
  <c r="O114" i="60"/>
  <c r="O113" i="60"/>
  <c r="O112" i="60"/>
  <c r="O111" i="60"/>
  <c r="O110" i="60"/>
  <c r="O109" i="60"/>
  <c r="O108" i="60"/>
  <c r="O107" i="60"/>
  <c r="O106" i="60"/>
  <c r="O105" i="60"/>
  <c r="O104" i="60"/>
  <c r="O103" i="60"/>
  <c r="O102" i="60"/>
  <c r="O101" i="60"/>
  <c r="O100" i="60"/>
  <c r="O99" i="60"/>
  <c r="O98" i="60"/>
  <c r="O97" i="60"/>
  <c r="O96" i="60"/>
  <c r="O95" i="60"/>
  <c r="O94" i="60"/>
  <c r="O93" i="60"/>
  <c r="O92" i="60"/>
  <c r="O91" i="60"/>
  <c r="O90" i="60"/>
  <c r="O89" i="60"/>
  <c r="O88" i="60"/>
  <c r="O87" i="60"/>
  <c r="O86" i="60"/>
  <c r="O85" i="60"/>
  <c r="O84" i="60"/>
  <c r="O83" i="60"/>
  <c r="O82" i="60"/>
  <c r="O81" i="60"/>
  <c r="O80" i="60"/>
  <c r="O79" i="60"/>
  <c r="O78" i="60"/>
  <c r="O77" i="60"/>
  <c r="O76" i="60"/>
  <c r="O75" i="60"/>
  <c r="O74" i="60"/>
  <c r="O73" i="60"/>
  <c r="O72" i="60"/>
  <c r="O71" i="60"/>
  <c r="O70" i="60"/>
  <c r="O69" i="60"/>
  <c r="O68" i="60"/>
  <c r="O67" i="60"/>
  <c r="O66" i="60"/>
  <c r="O65" i="60"/>
  <c r="O64" i="60"/>
  <c r="O63" i="60"/>
  <c r="O62" i="60"/>
  <c r="O61" i="60"/>
  <c r="O60" i="60"/>
  <c r="O59" i="60"/>
  <c r="O58" i="60"/>
  <c r="O57" i="60"/>
  <c r="O56" i="60"/>
  <c r="O55" i="60"/>
  <c r="O54" i="60"/>
  <c r="O53" i="60"/>
  <c r="O52" i="60"/>
  <c r="O51" i="60"/>
  <c r="O50" i="60"/>
  <c r="O49" i="60"/>
  <c r="O48" i="60"/>
  <c r="O47" i="60"/>
  <c r="O46" i="60"/>
  <c r="O45" i="60"/>
  <c r="O44" i="60"/>
  <c r="O43" i="60"/>
  <c r="O42" i="60"/>
  <c r="O41" i="60"/>
  <c r="O40" i="60"/>
  <c r="O39" i="60"/>
  <c r="O38" i="60"/>
  <c r="O37" i="60"/>
  <c r="O36" i="60"/>
  <c r="O35" i="60"/>
  <c r="O34" i="60"/>
  <c r="O33" i="60"/>
  <c r="O32" i="60"/>
  <c r="O31" i="60"/>
  <c r="O30" i="60"/>
  <c r="O29" i="60"/>
  <c r="O28" i="60"/>
  <c r="O27" i="60"/>
  <c r="O26" i="60"/>
  <c r="O25" i="60"/>
  <c r="O24" i="60"/>
  <c r="O23" i="60"/>
  <c r="O22" i="60"/>
  <c r="O21" i="60"/>
  <c r="O20" i="60"/>
  <c r="O19" i="60"/>
  <c r="O18" i="60"/>
  <c r="O17" i="60"/>
  <c r="O16" i="60"/>
  <c r="O15" i="60"/>
  <c r="O14" i="60"/>
  <c r="O13" i="60"/>
  <c r="O12" i="60"/>
  <c r="O11" i="60"/>
  <c r="O10" i="60"/>
  <c r="O9" i="60"/>
  <c r="O8" i="60"/>
  <c r="O7" i="60"/>
  <c r="O6" i="60"/>
  <c r="O5" i="60"/>
  <c r="G4" i="117"/>
  <c r="F4" i="117"/>
  <c r="E4" i="117"/>
  <c r="D4" i="117"/>
  <c r="W124" i="55"/>
  <c r="W123" i="55"/>
  <c r="W122" i="55"/>
  <c r="W121" i="55"/>
  <c r="W120" i="55"/>
  <c r="W119" i="55"/>
  <c r="W118" i="55"/>
  <c r="W117" i="55"/>
  <c r="W116" i="55"/>
  <c r="W115" i="55"/>
  <c r="W114" i="55"/>
  <c r="W113" i="55"/>
  <c r="W112" i="55"/>
  <c r="W111" i="55"/>
  <c r="W110" i="55"/>
  <c r="W109" i="55"/>
  <c r="W108" i="55"/>
  <c r="W107" i="55"/>
  <c r="W106" i="55"/>
  <c r="W105" i="55"/>
  <c r="W104" i="55"/>
  <c r="W103" i="55"/>
  <c r="W102" i="55"/>
  <c r="W101" i="55"/>
  <c r="W100" i="55"/>
  <c r="W99" i="55"/>
  <c r="W98" i="55"/>
  <c r="W97" i="55"/>
  <c r="W96" i="55"/>
  <c r="W95" i="55"/>
  <c r="W94" i="55"/>
  <c r="W93" i="55"/>
  <c r="W92" i="55"/>
  <c r="W91" i="55"/>
  <c r="W90" i="55"/>
  <c r="W89" i="55"/>
  <c r="W88" i="55"/>
  <c r="W87" i="55"/>
  <c r="W86" i="55"/>
  <c r="W85" i="55"/>
  <c r="W84" i="55"/>
  <c r="W83" i="55"/>
  <c r="W82" i="55"/>
  <c r="W81" i="55"/>
  <c r="W80" i="55"/>
  <c r="W79" i="55"/>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9" i="55"/>
  <c r="W48" i="55"/>
  <c r="W47" i="55"/>
  <c r="W46"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W10" i="55"/>
  <c r="W9" i="55"/>
  <c r="W8" i="55"/>
  <c r="W7" i="55"/>
  <c r="W6" i="55"/>
  <c r="W5" i="55"/>
  <c r="V4" i="55"/>
  <c r="U4" i="55"/>
  <c r="T4" i="55"/>
  <c r="S4" i="55"/>
  <c r="R4" i="55"/>
  <c r="Q11" i="60" l="1"/>
  <c r="H11" i="60" s="1"/>
  <c r="G11" i="60"/>
  <c r="I11" i="60" s="1"/>
  <c r="Q23" i="60"/>
  <c r="H23" i="60" s="1"/>
  <c r="G23" i="60"/>
  <c r="I23" i="60" s="1"/>
  <c r="Q31" i="60"/>
  <c r="H31" i="60" s="1"/>
  <c r="G31" i="60"/>
  <c r="Q39" i="60"/>
  <c r="H39" i="60" s="1"/>
  <c r="G39" i="60"/>
  <c r="I39" i="60" s="1"/>
  <c r="Q47" i="60"/>
  <c r="H47" i="60" s="1"/>
  <c r="G47" i="60"/>
  <c r="I47" i="60" s="1"/>
  <c r="Q51" i="60"/>
  <c r="H51" i="60" s="1"/>
  <c r="G51" i="60"/>
  <c r="I51" i="60" s="1"/>
  <c r="Q59" i="60"/>
  <c r="H59" i="60" s="1"/>
  <c r="G59" i="60"/>
  <c r="I59" i="60" s="1"/>
  <c r="Q67" i="60"/>
  <c r="H67" i="60" s="1"/>
  <c r="G67" i="60"/>
  <c r="I67" i="60" s="1"/>
  <c r="Q75" i="60"/>
  <c r="H75" i="60" s="1"/>
  <c r="G75" i="60"/>
  <c r="I75" i="60" s="1"/>
  <c r="Q83" i="60"/>
  <c r="H83" i="60" s="1"/>
  <c r="G83" i="60"/>
  <c r="I83" i="60" s="1"/>
  <c r="Q91" i="60"/>
  <c r="H91" i="60" s="1"/>
  <c r="G91" i="60"/>
  <c r="I91" i="60" s="1"/>
  <c r="Q99" i="60"/>
  <c r="H99" i="60" s="1"/>
  <c r="G99" i="60"/>
  <c r="I99" i="60" s="1"/>
  <c r="Q107" i="60"/>
  <c r="H107" i="60" s="1"/>
  <c r="G107" i="60"/>
  <c r="I107" i="60" s="1"/>
  <c r="Q115" i="60"/>
  <c r="H115" i="60" s="1"/>
  <c r="G115" i="60"/>
  <c r="I115" i="60" s="1"/>
  <c r="Q123" i="60"/>
  <c r="G123" i="60"/>
  <c r="I123" i="60" s="1"/>
  <c r="Q13" i="60"/>
  <c r="H13" i="60" s="1"/>
  <c r="G13" i="60"/>
  <c r="I13" i="60" s="1"/>
  <c r="Q21" i="60"/>
  <c r="H21" i="60" s="1"/>
  <c r="G21" i="60"/>
  <c r="I21" i="60" s="1"/>
  <c r="Q29" i="60"/>
  <c r="H29" i="60" s="1"/>
  <c r="G29" i="60"/>
  <c r="I29" i="60" s="1"/>
  <c r="Q45" i="60"/>
  <c r="H45" i="60" s="1"/>
  <c r="G45" i="60"/>
  <c r="I45" i="60" s="1"/>
  <c r="Q53" i="60"/>
  <c r="H53" i="60" s="1"/>
  <c r="G53" i="60"/>
  <c r="I53" i="60" s="1"/>
  <c r="Q61" i="60"/>
  <c r="H61" i="60" s="1"/>
  <c r="G61" i="60"/>
  <c r="I61" i="60" s="1"/>
  <c r="Q77" i="60"/>
  <c r="H77" i="60" s="1"/>
  <c r="G77" i="60"/>
  <c r="I77" i="60" s="1"/>
  <c r="Q85" i="60"/>
  <c r="H85" i="60" s="1"/>
  <c r="G85" i="60"/>
  <c r="I85" i="60" s="1"/>
  <c r="Q93" i="60"/>
  <c r="H93" i="60" s="1"/>
  <c r="G93" i="60"/>
  <c r="Q109" i="60"/>
  <c r="H109" i="60" s="1"/>
  <c r="G109" i="60"/>
  <c r="I109" i="60" s="1"/>
  <c r="Q117" i="60"/>
  <c r="H117" i="60" s="1"/>
  <c r="G117" i="60"/>
  <c r="I117" i="60" s="1"/>
  <c r="Q7" i="60"/>
  <c r="H7" i="60" s="1"/>
  <c r="G7" i="60"/>
  <c r="Q15" i="60"/>
  <c r="H15" i="60" s="1"/>
  <c r="G15" i="60"/>
  <c r="Q19" i="60"/>
  <c r="H19" i="60" s="1"/>
  <c r="G19" i="60"/>
  <c r="I19" i="60" s="1"/>
  <c r="Q27" i="60"/>
  <c r="H27" i="60" s="1"/>
  <c r="G27" i="60"/>
  <c r="I27" i="60" s="1"/>
  <c r="Q35" i="60"/>
  <c r="H35" i="60" s="1"/>
  <c r="G35" i="60"/>
  <c r="I35" i="60" s="1"/>
  <c r="Q43" i="60"/>
  <c r="H43" i="60" s="1"/>
  <c r="G43" i="60"/>
  <c r="I43" i="60" s="1"/>
  <c r="Q55" i="60"/>
  <c r="H55" i="60" s="1"/>
  <c r="G55" i="60"/>
  <c r="I55" i="60" s="1"/>
  <c r="Q63" i="60"/>
  <c r="G63" i="60"/>
  <c r="I63" i="60" s="1"/>
  <c r="Q71" i="60"/>
  <c r="H71" i="60" s="1"/>
  <c r="G71" i="60"/>
  <c r="I71" i="60" s="1"/>
  <c r="Q79" i="60"/>
  <c r="H79" i="60" s="1"/>
  <c r="G79" i="60"/>
  <c r="I79" i="60" s="1"/>
  <c r="Q87" i="60"/>
  <c r="H87" i="60" s="1"/>
  <c r="G87" i="60"/>
  <c r="I87" i="60" s="1"/>
  <c r="Q95" i="60"/>
  <c r="H95" i="60" s="1"/>
  <c r="G95" i="60"/>
  <c r="I95" i="60" s="1"/>
  <c r="Q103" i="60"/>
  <c r="H103" i="60" s="1"/>
  <c r="G103" i="60"/>
  <c r="I103" i="60" s="1"/>
  <c r="Q111" i="60"/>
  <c r="H111" i="60" s="1"/>
  <c r="G111" i="60"/>
  <c r="I111" i="60" s="1"/>
  <c r="Q119" i="60"/>
  <c r="H119" i="60" s="1"/>
  <c r="G119" i="60"/>
  <c r="I119" i="60" s="1"/>
  <c r="Q6" i="60"/>
  <c r="H6" i="60" s="1"/>
  <c r="G6" i="60"/>
  <c r="Q10" i="60"/>
  <c r="G10" i="60"/>
  <c r="I10" i="60" s="1"/>
  <c r="Q14" i="60"/>
  <c r="G14" i="60"/>
  <c r="Q18" i="60"/>
  <c r="G18" i="60"/>
  <c r="I18" i="60" s="1"/>
  <c r="Q22" i="60"/>
  <c r="G22" i="60"/>
  <c r="Q26" i="60"/>
  <c r="G26" i="60"/>
  <c r="I26" i="60" s="1"/>
  <c r="Q30" i="60"/>
  <c r="G30" i="60"/>
  <c r="I30" i="60" s="1"/>
  <c r="Q34" i="60"/>
  <c r="G34" i="60"/>
  <c r="I34" i="60" s="1"/>
  <c r="Q38" i="60"/>
  <c r="H38" i="60" s="1"/>
  <c r="G38" i="60"/>
  <c r="Q42" i="60"/>
  <c r="G42" i="60"/>
  <c r="I42" i="60" s="1"/>
  <c r="Q46" i="60"/>
  <c r="G46" i="60"/>
  <c r="I46" i="60" s="1"/>
  <c r="Q50" i="60"/>
  <c r="G50" i="60"/>
  <c r="I50" i="60" s="1"/>
  <c r="Q54" i="60"/>
  <c r="G54" i="60"/>
  <c r="Q58" i="60"/>
  <c r="G58" i="60"/>
  <c r="I58" i="60" s="1"/>
  <c r="Q62" i="60"/>
  <c r="G62" i="60"/>
  <c r="I62" i="60" s="1"/>
  <c r="Q66" i="60"/>
  <c r="G66" i="60"/>
  <c r="I66" i="60" s="1"/>
  <c r="Q70" i="60"/>
  <c r="H70" i="60" s="1"/>
  <c r="G70" i="60"/>
  <c r="I70" i="60" s="1"/>
  <c r="Q74" i="60"/>
  <c r="G74" i="60"/>
  <c r="I74" i="60" s="1"/>
  <c r="Q78" i="60"/>
  <c r="G78" i="60"/>
  <c r="I78" i="60" s="1"/>
  <c r="Q82" i="60"/>
  <c r="G82" i="60"/>
  <c r="I82" i="60" s="1"/>
  <c r="Q86" i="60"/>
  <c r="H86" i="60" s="1"/>
  <c r="G86" i="60"/>
  <c r="Q90" i="60"/>
  <c r="G90" i="60"/>
  <c r="I90" i="60" s="1"/>
  <c r="Q94" i="60"/>
  <c r="G94" i="60"/>
  <c r="I94" i="60" s="1"/>
  <c r="Q98" i="60"/>
  <c r="G98" i="60"/>
  <c r="I98" i="60" s="1"/>
  <c r="Q102" i="60"/>
  <c r="G102" i="60"/>
  <c r="I102" i="60" s="1"/>
  <c r="Q106" i="60"/>
  <c r="G106" i="60"/>
  <c r="I106" i="60" s="1"/>
  <c r="Q110" i="60"/>
  <c r="G110" i="60"/>
  <c r="I110" i="60" s="1"/>
  <c r="Q114" i="60"/>
  <c r="G114" i="60"/>
  <c r="I114" i="60" s="1"/>
  <c r="Q118" i="60"/>
  <c r="H118" i="60" s="1"/>
  <c r="G118" i="60"/>
  <c r="I118" i="60" s="1"/>
  <c r="Q122" i="60"/>
  <c r="G122" i="60"/>
  <c r="I122" i="60" s="1"/>
  <c r="J124" i="56"/>
  <c r="K124" i="56" s="1"/>
  <c r="K57" i="56"/>
  <c r="I9" i="60"/>
  <c r="I17" i="60"/>
  <c r="I57" i="60"/>
  <c r="I81" i="60"/>
  <c r="I105" i="60"/>
  <c r="I121" i="60"/>
  <c r="I73" i="60"/>
  <c r="I41" i="60"/>
  <c r="Q5" i="60"/>
  <c r="H5" i="60" s="1"/>
  <c r="Q37" i="60"/>
  <c r="H37" i="60" s="1"/>
  <c r="I33" i="60"/>
  <c r="I49" i="60"/>
  <c r="I69" i="60"/>
  <c r="I89" i="60"/>
  <c r="I113" i="60"/>
  <c r="K31" i="56"/>
  <c r="K47" i="56"/>
  <c r="K63" i="56"/>
  <c r="K79" i="56"/>
  <c r="K95" i="56"/>
  <c r="K111" i="56"/>
  <c r="K7" i="56"/>
  <c r="K23" i="56"/>
  <c r="K39" i="56"/>
  <c r="K55" i="56"/>
  <c r="K71" i="56"/>
  <c r="K87" i="56"/>
  <c r="K103" i="56"/>
  <c r="K119" i="56"/>
  <c r="Q69" i="60"/>
  <c r="H69" i="60" s="1"/>
  <c r="Q101" i="60"/>
  <c r="H101" i="60" s="1"/>
  <c r="K9" i="56"/>
  <c r="K13" i="56"/>
  <c r="K21" i="56"/>
  <c r="I5" i="56"/>
  <c r="I9" i="56"/>
  <c r="I13" i="56"/>
  <c r="I17" i="56"/>
  <c r="I21" i="56"/>
  <c r="I25" i="56"/>
  <c r="I29" i="56"/>
  <c r="I33" i="56"/>
  <c r="I37" i="56"/>
  <c r="I41" i="56"/>
  <c r="I45" i="56"/>
  <c r="I49" i="56"/>
  <c r="I53" i="56"/>
  <c r="I57" i="56"/>
  <c r="I61" i="56"/>
  <c r="I65" i="56"/>
  <c r="I69" i="56"/>
  <c r="I73" i="56"/>
  <c r="I77" i="56"/>
  <c r="I81" i="56"/>
  <c r="I85" i="56"/>
  <c r="I89" i="56"/>
  <c r="I93" i="56"/>
  <c r="I97" i="56"/>
  <c r="I101" i="56"/>
  <c r="I105" i="56"/>
  <c r="I109" i="56"/>
  <c r="I113" i="56"/>
  <c r="I117" i="56"/>
  <c r="I121" i="56"/>
  <c r="AG63" i="60"/>
  <c r="I14" i="60"/>
  <c r="F5" i="118"/>
  <c r="K6" i="56"/>
  <c r="K10" i="56"/>
  <c r="K14" i="56"/>
  <c r="K18" i="56"/>
  <c r="I6" i="56"/>
  <c r="I10" i="56"/>
  <c r="I14" i="56"/>
  <c r="I18" i="56"/>
  <c r="I22" i="56"/>
  <c r="I26" i="56"/>
  <c r="I30" i="56"/>
  <c r="I34" i="56"/>
  <c r="I38" i="56"/>
  <c r="I42" i="56"/>
  <c r="I46" i="56"/>
  <c r="I50" i="56"/>
  <c r="I54" i="56"/>
  <c r="I58" i="56"/>
  <c r="I62" i="56"/>
  <c r="I66" i="56"/>
  <c r="I70" i="56"/>
  <c r="I74" i="56"/>
  <c r="I78" i="56"/>
  <c r="I82" i="56"/>
  <c r="I86" i="56"/>
  <c r="I90" i="56"/>
  <c r="I94" i="56"/>
  <c r="I98" i="56"/>
  <c r="I102" i="56"/>
  <c r="I106" i="56"/>
  <c r="I110" i="56"/>
  <c r="I114" i="56"/>
  <c r="I118" i="56"/>
  <c r="I122" i="56"/>
  <c r="K5" i="56"/>
  <c r="K17" i="56"/>
  <c r="K25" i="56"/>
  <c r="Q9" i="60"/>
  <c r="H9" i="60" s="1"/>
  <c r="Q17" i="60"/>
  <c r="H17" i="60" s="1"/>
  <c r="Q25" i="60"/>
  <c r="H25" i="60" s="1"/>
  <c r="Q33" i="60"/>
  <c r="H33" i="60" s="1"/>
  <c r="Q41" i="60"/>
  <c r="H41" i="60" s="1"/>
  <c r="Q49" i="60"/>
  <c r="H49" i="60" s="1"/>
  <c r="Q57" i="60"/>
  <c r="H57" i="60" s="1"/>
  <c r="Q65" i="60"/>
  <c r="H65" i="60" s="1"/>
  <c r="Q73" i="60"/>
  <c r="H73" i="60" s="1"/>
  <c r="Q81" i="60"/>
  <c r="H81" i="60" s="1"/>
  <c r="Q89" i="60"/>
  <c r="H89" i="60" s="1"/>
  <c r="Q97" i="60"/>
  <c r="H97" i="60" s="1"/>
  <c r="Q105" i="60"/>
  <c r="H105" i="60" s="1"/>
  <c r="Q113" i="60"/>
  <c r="H113" i="60" s="1"/>
  <c r="Q121" i="60"/>
  <c r="H121" i="60" s="1"/>
  <c r="I7" i="56"/>
  <c r="I11" i="56"/>
  <c r="I15" i="56"/>
  <c r="I19" i="56"/>
  <c r="I23" i="56"/>
  <c r="I27" i="56"/>
  <c r="I31" i="56"/>
  <c r="I35" i="56"/>
  <c r="I39" i="56"/>
  <c r="I43" i="56"/>
  <c r="I47" i="56"/>
  <c r="I51" i="56"/>
  <c r="I55" i="56"/>
  <c r="I59" i="56"/>
  <c r="I63" i="56"/>
  <c r="I67" i="56"/>
  <c r="I71" i="56"/>
  <c r="I75" i="56"/>
  <c r="I79" i="56"/>
  <c r="I83" i="56"/>
  <c r="I87" i="56"/>
  <c r="I91" i="56"/>
  <c r="I95" i="56"/>
  <c r="I99" i="56"/>
  <c r="I103" i="56"/>
  <c r="I107" i="56"/>
  <c r="I111" i="56"/>
  <c r="I115" i="56"/>
  <c r="I119" i="56"/>
  <c r="I123" i="56"/>
  <c r="I93" i="60"/>
  <c r="I22" i="60"/>
  <c r="I54" i="60"/>
  <c r="K8" i="56"/>
  <c r="K12" i="56"/>
  <c r="K16" i="56"/>
  <c r="K20" i="56"/>
  <c r="I12" i="56"/>
  <c r="I16" i="56"/>
  <c r="I20" i="56"/>
  <c r="I24" i="56"/>
  <c r="I28" i="56"/>
  <c r="I32" i="56"/>
  <c r="I36" i="56"/>
  <c r="I44" i="56"/>
  <c r="I48" i="56"/>
  <c r="I52" i="56"/>
  <c r="I60" i="56"/>
  <c r="I64" i="56"/>
  <c r="I68" i="56"/>
  <c r="I76" i="56"/>
  <c r="I80" i="56"/>
  <c r="I84" i="56"/>
  <c r="I88" i="56"/>
  <c r="I92" i="56"/>
  <c r="I96" i="56"/>
  <c r="I100" i="56"/>
  <c r="I108" i="56"/>
  <c r="I112" i="56"/>
  <c r="I116" i="56"/>
  <c r="I124" i="56"/>
  <c r="G4" i="56"/>
  <c r="E4" i="62"/>
  <c r="H4" i="62"/>
  <c r="F4" i="62"/>
  <c r="I4" i="62"/>
  <c r="I4" i="117"/>
  <c r="H4" i="117"/>
  <c r="I38" i="60"/>
  <c r="I86" i="60"/>
  <c r="AO14" i="60"/>
  <c r="AO22" i="60"/>
  <c r="AO30" i="60"/>
  <c r="AO46" i="60"/>
  <c r="AO54" i="60"/>
  <c r="AO62" i="60"/>
  <c r="AO78" i="60"/>
  <c r="AO94" i="60"/>
  <c r="AO102" i="60"/>
  <c r="AO110" i="60"/>
  <c r="AN4" i="60"/>
  <c r="Y123" i="60"/>
  <c r="I12" i="60"/>
  <c r="I16" i="60"/>
  <c r="I20" i="60"/>
  <c r="I24" i="60"/>
  <c r="I28" i="60"/>
  <c r="I32" i="60"/>
  <c r="I36" i="60"/>
  <c r="I40" i="60"/>
  <c r="I44" i="60"/>
  <c r="I48" i="60"/>
  <c r="I52" i="60"/>
  <c r="I56" i="60"/>
  <c r="I60" i="60"/>
  <c r="I64" i="60"/>
  <c r="I68" i="60"/>
  <c r="I72" i="60"/>
  <c r="I76" i="60"/>
  <c r="I80" i="60"/>
  <c r="I84" i="60"/>
  <c r="I88" i="60"/>
  <c r="I92" i="60"/>
  <c r="I96" i="60"/>
  <c r="I100" i="60"/>
  <c r="I104" i="60"/>
  <c r="I108" i="60"/>
  <c r="I112" i="60"/>
  <c r="I116" i="60"/>
  <c r="I120" i="60"/>
  <c r="I124" i="60"/>
  <c r="Y10" i="60"/>
  <c r="Y18" i="60"/>
  <c r="Y26" i="60"/>
  <c r="Y34" i="60"/>
  <c r="Y42" i="60"/>
  <c r="Y50" i="60"/>
  <c r="Y58" i="60"/>
  <c r="Y66" i="60"/>
  <c r="Y74" i="60"/>
  <c r="Y82" i="60"/>
  <c r="Y90" i="60"/>
  <c r="Y98" i="60"/>
  <c r="Y106" i="60"/>
  <c r="Y114" i="60"/>
  <c r="Y122" i="60"/>
  <c r="I25" i="60"/>
  <c r="I37" i="60"/>
  <c r="I65" i="60"/>
  <c r="I97" i="60"/>
  <c r="I101" i="60"/>
  <c r="P4" i="60"/>
  <c r="Q8" i="60"/>
  <c r="H8" i="60" s="1"/>
  <c r="Q12" i="60"/>
  <c r="H12" i="60" s="1"/>
  <c r="Q16" i="60"/>
  <c r="H16" i="60" s="1"/>
  <c r="Q20" i="60"/>
  <c r="H20" i="60" s="1"/>
  <c r="Q24" i="60"/>
  <c r="H24" i="60" s="1"/>
  <c r="Q28" i="60"/>
  <c r="H28" i="60" s="1"/>
  <c r="Q32" i="60"/>
  <c r="H32" i="60" s="1"/>
  <c r="Q36" i="60"/>
  <c r="H36" i="60" s="1"/>
  <c r="Q40" i="60"/>
  <c r="H40" i="60" s="1"/>
  <c r="Q44" i="60"/>
  <c r="H44" i="60" s="1"/>
  <c r="Q48" i="60"/>
  <c r="H48" i="60" s="1"/>
  <c r="Q52" i="60"/>
  <c r="H52" i="60" s="1"/>
  <c r="Q56" i="60"/>
  <c r="H56" i="60" s="1"/>
  <c r="Q60" i="60"/>
  <c r="H60" i="60" s="1"/>
  <c r="Q64" i="60"/>
  <c r="H64" i="60" s="1"/>
  <c r="Q68" i="60"/>
  <c r="H68" i="60" s="1"/>
  <c r="Q72" i="60"/>
  <c r="H72" i="60" s="1"/>
  <c r="Q76" i="60"/>
  <c r="H76" i="60" s="1"/>
  <c r="Q80" i="60"/>
  <c r="H80" i="60" s="1"/>
  <c r="Q84" i="60"/>
  <c r="H84" i="60" s="1"/>
  <c r="Q88" i="60"/>
  <c r="H88" i="60" s="1"/>
  <c r="Q92" i="60"/>
  <c r="H92" i="60" s="1"/>
  <c r="Q96" i="60"/>
  <c r="H96" i="60" s="1"/>
  <c r="Q100" i="60"/>
  <c r="H100" i="60" s="1"/>
  <c r="Q104" i="60"/>
  <c r="H104" i="60" s="1"/>
  <c r="Q108" i="60"/>
  <c r="H108" i="60" s="1"/>
  <c r="Q112" i="60"/>
  <c r="H112" i="60" s="1"/>
  <c r="Q116" i="60"/>
  <c r="H116" i="60" s="1"/>
  <c r="Q120" i="60"/>
  <c r="H120" i="60" s="1"/>
  <c r="Q124" i="60"/>
  <c r="H124" i="60" s="1"/>
  <c r="AF4" i="60"/>
  <c r="X4" i="60"/>
  <c r="W4" i="55"/>
  <c r="H102" i="60" l="1"/>
  <c r="H78" i="60"/>
  <c r="H54" i="60"/>
  <c r="H30" i="60"/>
  <c r="H14" i="60"/>
  <c r="H63" i="60"/>
  <c r="H46" i="60"/>
  <c r="H94" i="60"/>
  <c r="H110" i="60"/>
  <c r="H22" i="60"/>
  <c r="I31" i="60"/>
  <c r="H62" i="60"/>
  <c r="I15" i="60"/>
  <c r="H122" i="60"/>
  <c r="H114" i="60"/>
  <c r="H106" i="60"/>
  <c r="H98" i="60"/>
  <c r="H90" i="60"/>
  <c r="H82" i="60"/>
  <c r="H74" i="60"/>
  <c r="H66" i="60"/>
  <c r="H58" i="60"/>
  <c r="H50" i="60"/>
  <c r="H42" i="60"/>
  <c r="H34" i="60"/>
  <c r="H26" i="60"/>
  <c r="H18" i="60"/>
  <c r="H10" i="60"/>
  <c r="H123" i="60"/>
  <c r="K128" i="55"/>
  <c r="I127" i="55"/>
  <c r="J127" i="55"/>
  <c r="J126" i="55"/>
  <c r="K130" i="55"/>
  <c r="J130" i="55"/>
  <c r="K127" i="55"/>
  <c r="J128" i="55"/>
  <c r="I130" i="55"/>
  <c r="F131" i="55"/>
  <c r="I128" i="55"/>
  <c r="I129" i="55"/>
  <c r="K126" i="55"/>
  <c r="I126" i="55"/>
  <c r="E131" i="55"/>
  <c r="J7" i="123" s="1"/>
  <c r="H131" i="55"/>
  <c r="D131" i="55"/>
  <c r="I7" i="123" s="1"/>
  <c r="J129" i="55"/>
  <c r="K129" i="55"/>
  <c r="G131" i="55"/>
  <c r="H131" i="62"/>
  <c r="K21" i="123" s="1"/>
  <c r="AG4" i="60"/>
  <c r="L19" i="123"/>
  <c r="K19" i="123"/>
  <c r="I131" i="62"/>
  <c r="L21" i="123" s="1"/>
  <c r="I4" i="56"/>
  <c r="K4" i="56"/>
  <c r="AO4" i="60"/>
  <c r="Y4" i="60"/>
  <c r="Q4" i="60"/>
  <c r="G131" i="60" l="1"/>
  <c r="I131" i="56"/>
  <c r="L10" i="123" s="1"/>
  <c r="J131" i="55"/>
  <c r="I131" i="55"/>
  <c r="L7" i="123" s="1"/>
  <c r="K131" i="55"/>
  <c r="K7" i="123" s="1"/>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J5" i="59"/>
  <c r="D124" i="59"/>
  <c r="D123" i="59"/>
  <c r="D122" i="59"/>
  <c r="D121" i="59"/>
  <c r="D120" i="59"/>
  <c r="D119" i="59"/>
  <c r="D118" i="59"/>
  <c r="D117" i="59"/>
  <c r="D116" i="59"/>
  <c r="D115" i="59"/>
  <c r="D114" i="59"/>
  <c r="D113" i="59"/>
  <c r="D112" i="59"/>
  <c r="D111" i="59"/>
  <c r="D110" i="59"/>
  <c r="D109" i="59"/>
  <c r="D108" i="59"/>
  <c r="D107" i="59"/>
  <c r="D106" i="59"/>
  <c r="D105" i="59"/>
  <c r="D104" i="59"/>
  <c r="D103" i="59"/>
  <c r="D102" i="59"/>
  <c r="D101" i="59"/>
  <c r="D100" i="59"/>
  <c r="D99" i="59"/>
  <c r="D98" i="59"/>
  <c r="D97" i="59"/>
  <c r="D96" i="59"/>
  <c r="D95" i="59"/>
  <c r="D94" i="59"/>
  <c r="D93" i="59"/>
  <c r="D92" i="59"/>
  <c r="D91" i="59"/>
  <c r="D90" i="59"/>
  <c r="D89" i="59"/>
  <c r="D88" i="59"/>
  <c r="D87" i="59"/>
  <c r="D86" i="59"/>
  <c r="D85" i="59"/>
  <c r="D84" i="59"/>
  <c r="D83" i="59"/>
  <c r="D82" i="59"/>
  <c r="D81" i="59"/>
  <c r="D80" i="59"/>
  <c r="D79" i="59"/>
  <c r="D78" i="59"/>
  <c r="D77" i="59"/>
  <c r="D76" i="59"/>
  <c r="D75" i="59"/>
  <c r="D74" i="59"/>
  <c r="D73" i="59"/>
  <c r="D72" i="59"/>
  <c r="D71" i="59"/>
  <c r="D70" i="59"/>
  <c r="D69" i="59"/>
  <c r="D68" i="59"/>
  <c r="D67" i="59"/>
  <c r="D66" i="59"/>
  <c r="D65" i="59"/>
  <c r="D64" i="59"/>
  <c r="D63" i="59"/>
  <c r="D62" i="59"/>
  <c r="D61" i="59"/>
  <c r="D60" i="59"/>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I4" i="59"/>
  <c r="H4" i="59"/>
  <c r="G4" i="59"/>
  <c r="F4" i="59"/>
  <c r="I131" i="60" l="1"/>
  <c r="H131" i="60"/>
  <c r="I11" i="123"/>
  <c r="L11" i="123"/>
  <c r="J11" i="123"/>
  <c r="K11" i="123"/>
  <c r="J4" i="59"/>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H4" i="61"/>
  <c r="G4" i="61"/>
  <c r="F4" i="61"/>
  <c r="E4" i="61"/>
  <c r="D4" i="61"/>
  <c r="L124" i="57"/>
  <c r="L123" i="57"/>
  <c r="L122" i="57"/>
  <c r="L121" i="57"/>
  <c r="L120" i="57"/>
  <c r="L119" i="57"/>
  <c r="L118" i="57"/>
  <c r="L117" i="57"/>
  <c r="L116" i="57"/>
  <c r="L115" i="57"/>
  <c r="L114" i="57"/>
  <c r="L113" i="57"/>
  <c r="L112" i="57"/>
  <c r="L111" i="57"/>
  <c r="L110" i="57"/>
  <c r="L109" i="57"/>
  <c r="L108" i="57"/>
  <c r="L107" i="57"/>
  <c r="L106" i="57"/>
  <c r="L105" i="57"/>
  <c r="L104" i="57"/>
  <c r="L103" i="57"/>
  <c r="L102" i="57"/>
  <c r="L101" i="57"/>
  <c r="D101" i="57" s="1"/>
  <c r="L100" i="57"/>
  <c r="D100" i="57" s="1"/>
  <c r="L99" i="57"/>
  <c r="D99" i="57" s="1"/>
  <c r="L98" i="57"/>
  <c r="L97" i="57"/>
  <c r="D97" i="57" s="1"/>
  <c r="L96" i="57"/>
  <c r="D96" i="57" s="1"/>
  <c r="L95" i="57"/>
  <c r="D95" i="57" s="1"/>
  <c r="L94" i="57"/>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L81" i="57"/>
  <c r="D81" i="57" s="1"/>
  <c r="L80" i="57"/>
  <c r="D80" i="57" s="1"/>
  <c r="L79" i="57"/>
  <c r="D79" i="57" s="1"/>
  <c r="L78" i="57"/>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L65" i="57"/>
  <c r="D65" i="57" s="1"/>
  <c r="L64" i="57"/>
  <c r="D64" i="57" s="1"/>
  <c r="L63" i="57"/>
  <c r="D63" i="57" s="1"/>
  <c r="L62" i="57"/>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L49" i="57"/>
  <c r="D49" i="57" s="1"/>
  <c r="L48" i="57"/>
  <c r="D48" i="57" s="1"/>
  <c r="L47" i="57"/>
  <c r="D47" i="57" s="1"/>
  <c r="L46" i="57"/>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L33" i="57"/>
  <c r="D33" i="57" s="1"/>
  <c r="L32" i="57"/>
  <c r="D32" i="57" s="1"/>
  <c r="L31" i="57"/>
  <c r="D31" i="57" s="1"/>
  <c r="L30" i="57"/>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L17" i="57"/>
  <c r="D17" i="57" s="1"/>
  <c r="L16" i="57"/>
  <c r="D16" i="57" s="1"/>
  <c r="L15" i="57"/>
  <c r="D15" i="57" s="1"/>
  <c r="L14" i="57"/>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3" i="57"/>
  <c r="D112" i="57"/>
  <c r="D111" i="57"/>
  <c r="D110" i="57"/>
  <c r="D109" i="57"/>
  <c r="D108" i="57"/>
  <c r="D107" i="57"/>
  <c r="D106" i="57"/>
  <c r="D105" i="57"/>
  <c r="D104" i="57"/>
  <c r="D103" i="57"/>
  <c r="D98" i="57"/>
  <c r="D94" i="57"/>
  <c r="D82" i="57"/>
  <c r="D78" i="57"/>
  <c r="D66" i="57"/>
  <c r="D62" i="57"/>
  <c r="D50" i="57"/>
  <c r="D46" i="57"/>
  <c r="D34" i="57"/>
  <c r="D30" i="57"/>
  <c r="D18" i="57"/>
  <c r="D14"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K5" i="55" s="1"/>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Q124" i="55"/>
  <c r="Q123" i="55"/>
  <c r="Q122" i="55"/>
  <c r="Q121" i="55"/>
  <c r="Q120" i="55"/>
  <c r="Q119" i="55"/>
  <c r="Q118" i="55"/>
  <c r="Q117" i="55"/>
  <c r="Q116" i="55"/>
  <c r="Q115" i="55"/>
  <c r="Q114" i="55"/>
  <c r="Q113" i="55"/>
  <c r="Q112" i="55"/>
  <c r="Q111" i="55"/>
  <c r="Q110" i="55"/>
  <c r="Q109" i="55"/>
  <c r="Q108" i="55"/>
  <c r="Q107" i="55"/>
  <c r="Q106" i="55"/>
  <c r="Q105" i="55"/>
  <c r="Q104" i="55"/>
  <c r="Q103" i="55"/>
  <c r="Q102" i="55"/>
  <c r="Q101" i="55"/>
  <c r="Q100" i="55"/>
  <c r="Q99" i="55"/>
  <c r="Q98" i="55"/>
  <c r="Q97" i="55"/>
  <c r="Q96" i="55"/>
  <c r="Q95" i="55"/>
  <c r="Q94" i="55"/>
  <c r="Q93" i="55"/>
  <c r="Q92" i="55"/>
  <c r="Q91" i="55"/>
  <c r="Q90" i="55"/>
  <c r="Q89" i="55"/>
  <c r="Q88" i="55"/>
  <c r="Q87" i="55"/>
  <c r="Q86" i="55"/>
  <c r="Q85" i="55"/>
  <c r="Q84" i="55"/>
  <c r="Q83" i="55"/>
  <c r="Q82" i="55"/>
  <c r="Q81" i="55"/>
  <c r="Q80" i="55"/>
  <c r="Q79" i="55"/>
  <c r="Q78" i="55"/>
  <c r="Q77" i="55"/>
  <c r="Q76" i="55"/>
  <c r="Q75" i="55"/>
  <c r="Q74" i="55"/>
  <c r="Q73" i="55"/>
  <c r="Q72" i="55"/>
  <c r="Q71" i="55"/>
  <c r="Q70" i="55"/>
  <c r="Q69" i="55"/>
  <c r="Q68" i="55"/>
  <c r="Q67" i="55"/>
  <c r="Q66" i="55"/>
  <c r="Q65" i="55"/>
  <c r="Q64" i="55"/>
  <c r="Q63" i="55"/>
  <c r="Q62" i="55"/>
  <c r="Q61" i="55"/>
  <c r="Q60" i="55"/>
  <c r="Q59" i="55"/>
  <c r="Q58" i="55"/>
  <c r="Q57" i="55"/>
  <c r="Q56" i="55"/>
  <c r="Q55" i="55"/>
  <c r="Q54" i="55"/>
  <c r="Q53" i="55"/>
  <c r="Q52" i="55"/>
  <c r="Q51" i="55"/>
  <c r="Q50" i="55"/>
  <c r="Q49" i="55"/>
  <c r="Q48" i="55"/>
  <c r="Q47" i="55"/>
  <c r="Q46" i="55"/>
  <c r="Q45" i="55"/>
  <c r="Q44" i="55"/>
  <c r="Q43" i="55"/>
  <c r="Q42" i="55"/>
  <c r="Q41" i="55"/>
  <c r="Q40" i="55"/>
  <c r="Q39" i="55"/>
  <c r="Q38" i="55"/>
  <c r="Q37" i="55"/>
  <c r="Q36" i="55"/>
  <c r="Q35" i="55"/>
  <c r="Q34" i="55"/>
  <c r="Q33" i="55"/>
  <c r="Q32" i="55"/>
  <c r="Q31" i="55"/>
  <c r="Q30" i="55"/>
  <c r="Q29" i="55"/>
  <c r="Q28" i="55"/>
  <c r="Q27" i="55"/>
  <c r="Q26" i="55"/>
  <c r="Q25" i="55"/>
  <c r="Q24" i="55"/>
  <c r="Q23" i="55"/>
  <c r="Q22" i="55"/>
  <c r="Q21" i="55"/>
  <c r="Q20" i="55"/>
  <c r="Q19" i="55"/>
  <c r="Q18" i="55"/>
  <c r="Q17" i="55"/>
  <c r="Q16" i="55"/>
  <c r="Q15" i="55"/>
  <c r="Q14" i="55"/>
  <c r="Q13" i="55"/>
  <c r="Q12" i="55"/>
  <c r="Q11" i="55"/>
  <c r="Q10" i="55"/>
  <c r="Q9" i="55"/>
  <c r="Q8" i="55"/>
  <c r="Q7" i="55"/>
  <c r="Q6" i="55"/>
  <c r="Q5" i="55"/>
  <c r="J124" i="53"/>
  <c r="J123" i="53"/>
  <c r="J122" i="53"/>
  <c r="K122" i="53" s="1"/>
  <c r="J121" i="53"/>
  <c r="K121" i="53" s="1"/>
  <c r="J120" i="53"/>
  <c r="K120" i="53" s="1"/>
  <c r="J119" i="53"/>
  <c r="J118" i="53"/>
  <c r="J117" i="53"/>
  <c r="K117" i="53" s="1"/>
  <c r="J116" i="53"/>
  <c r="K116" i="53" s="1"/>
  <c r="J115" i="53"/>
  <c r="J113" i="53"/>
  <c r="K113" i="53" s="1"/>
  <c r="J112" i="53"/>
  <c r="K112" i="53" s="1"/>
  <c r="J111" i="53"/>
  <c r="J110" i="53"/>
  <c r="K110" i="53" s="1"/>
  <c r="J109" i="53"/>
  <c r="J108" i="53"/>
  <c r="K108" i="53" s="1"/>
  <c r="J107" i="53"/>
  <c r="J106" i="53"/>
  <c r="K106" i="53" s="1"/>
  <c r="J105" i="53"/>
  <c r="K105" i="53" s="1"/>
  <c r="J104" i="53"/>
  <c r="K104" i="53" s="1"/>
  <c r="J103" i="53"/>
  <c r="J102" i="53"/>
  <c r="J101" i="53"/>
  <c r="J100" i="53"/>
  <c r="J99" i="53"/>
  <c r="J98" i="53"/>
  <c r="J97" i="53"/>
  <c r="J96" i="53"/>
  <c r="J95" i="53"/>
  <c r="J94" i="53"/>
  <c r="J93" i="53"/>
  <c r="K93" i="53" s="1"/>
  <c r="J92" i="53"/>
  <c r="K92" i="53" s="1"/>
  <c r="J91" i="53"/>
  <c r="J90" i="53"/>
  <c r="K90" i="53" s="1"/>
  <c r="J89" i="53"/>
  <c r="J88" i="53"/>
  <c r="K88" i="53" s="1"/>
  <c r="J87" i="53"/>
  <c r="J86" i="53"/>
  <c r="J85" i="53"/>
  <c r="K85" i="53" s="1"/>
  <c r="J84" i="53"/>
  <c r="K84" i="53" s="1"/>
  <c r="J83" i="53"/>
  <c r="J82" i="53"/>
  <c r="J81" i="53"/>
  <c r="J80" i="53"/>
  <c r="K80" i="53" s="1"/>
  <c r="J79" i="53"/>
  <c r="J78" i="53"/>
  <c r="K78" i="53" s="1"/>
  <c r="J77" i="53"/>
  <c r="K77" i="53" s="1"/>
  <c r="J76" i="53"/>
  <c r="K76" i="53" s="1"/>
  <c r="J75" i="53"/>
  <c r="J74" i="53"/>
  <c r="J73" i="53"/>
  <c r="J72" i="53"/>
  <c r="K72" i="53" s="1"/>
  <c r="J71" i="53"/>
  <c r="J70" i="53"/>
  <c r="J69" i="53"/>
  <c r="K69" i="53" s="1"/>
  <c r="J68" i="53"/>
  <c r="K68" i="53" s="1"/>
  <c r="J67" i="53"/>
  <c r="J66" i="53"/>
  <c r="J65" i="53"/>
  <c r="J64" i="53"/>
  <c r="K64" i="53" s="1"/>
  <c r="J63" i="53"/>
  <c r="J62" i="53"/>
  <c r="K62" i="53" s="1"/>
  <c r="J61" i="53"/>
  <c r="K61" i="53" s="1"/>
  <c r="J60" i="53"/>
  <c r="K60" i="53" s="1"/>
  <c r="J59" i="53"/>
  <c r="J58" i="53"/>
  <c r="K58" i="53" s="1"/>
  <c r="J57" i="53"/>
  <c r="J56" i="53"/>
  <c r="J55" i="53"/>
  <c r="J54" i="53"/>
  <c r="J53" i="53"/>
  <c r="K53" i="53" s="1"/>
  <c r="J52" i="53"/>
  <c r="K52" i="53" s="1"/>
  <c r="J51" i="53"/>
  <c r="J50" i="53"/>
  <c r="K50" i="53" s="1"/>
  <c r="J49" i="53"/>
  <c r="J48" i="53"/>
  <c r="K48" i="53" s="1"/>
  <c r="J47" i="53"/>
  <c r="J45" i="53"/>
  <c r="K45" i="53" s="1"/>
  <c r="J44" i="53"/>
  <c r="K44" i="53" s="1"/>
  <c r="J43" i="53"/>
  <c r="J42" i="53"/>
  <c r="K42" i="53" s="1"/>
  <c r="J41" i="53"/>
  <c r="J40" i="53"/>
  <c r="J39" i="53"/>
  <c r="J38" i="53"/>
  <c r="K38" i="53" s="1"/>
  <c r="J37" i="53"/>
  <c r="K37" i="53" s="1"/>
  <c r="J36" i="53"/>
  <c r="K36" i="53" s="1"/>
  <c r="J35" i="53"/>
  <c r="J34" i="53"/>
  <c r="K34" i="53" s="1"/>
  <c r="J33" i="53"/>
  <c r="K33" i="53" s="1"/>
  <c r="J32" i="53"/>
  <c r="J31" i="53"/>
  <c r="J30" i="53"/>
  <c r="K30" i="53" s="1"/>
  <c r="J29" i="53"/>
  <c r="K29" i="53" s="1"/>
  <c r="J28" i="53"/>
  <c r="K28" i="53" s="1"/>
  <c r="J27" i="53"/>
  <c r="J26" i="53"/>
  <c r="K26" i="53" s="1"/>
  <c r="J25" i="53"/>
  <c r="J24" i="53"/>
  <c r="J23" i="53"/>
  <c r="J21" i="53"/>
  <c r="K21" i="53" s="1"/>
  <c r="J20" i="53"/>
  <c r="K20" i="53" s="1"/>
  <c r="J19" i="53"/>
  <c r="J18" i="53"/>
  <c r="K18" i="53" s="1"/>
  <c r="J17" i="53"/>
  <c r="K17" i="53" s="1"/>
  <c r="J16" i="53"/>
  <c r="J14" i="53"/>
  <c r="J13" i="53"/>
  <c r="K13" i="53" s="1"/>
  <c r="J12" i="53"/>
  <c r="K12" i="53" s="1"/>
  <c r="J10" i="53"/>
  <c r="J9" i="53"/>
  <c r="J7" i="53"/>
  <c r="K124" i="53"/>
  <c r="K118" i="53"/>
  <c r="K109" i="53"/>
  <c r="K102" i="53"/>
  <c r="K101" i="53"/>
  <c r="K98" i="53"/>
  <c r="K97" i="53"/>
  <c r="K96" i="53"/>
  <c r="K94" i="53"/>
  <c r="K89" i="53"/>
  <c r="K86" i="53"/>
  <c r="K82" i="53"/>
  <c r="K81" i="53"/>
  <c r="K74" i="53"/>
  <c r="K73" i="53"/>
  <c r="K70" i="53"/>
  <c r="K66" i="53"/>
  <c r="K65" i="53"/>
  <c r="K57" i="53"/>
  <c r="K56" i="53"/>
  <c r="K54" i="53"/>
  <c r="K49" i="53"/>
  <c r="K41" i="53"/>
  <c r="K40" i="53"/>
  <c r="K32" i="53"/>
  <c r="K25" i="53"/>
  <c r="K24" i="53"/>
  <c r="K16" i="53"/>
  <c r="K14" i="53"/>
  <c r="K10" i="53"/>
  <c r="K9"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AI4" i="53"/>
  <c r="AH4" i="53"/>
  <c r="AG4" i="53"/>
  <c r="AF4" i="53"/>
  <c r="AE4" i="53"/>
  <c r="AD4" i="53"/>
  <c r="AB4" i="53"/>
  <c r="AC124" i="53"/>
  <c r="AC123" i="53"/>
  <c r="AC122" i="53"/>
  <c r="AC121" i="53"/>
  <c r="AC120" i="53"/>
  <c r="AC119" i="53"/>
  <c r="AC118" i="53"/>
  <c r="AC117" i="53"/>
  <c r="AC116" i="53"/>
  <c r="AC115" i="53"/>
  <c r="AC114" i="53"/>
  <c r="AC113" i="53"/>
  <c r="AC112" i="53"/>
  <c r="AC111" i="53"/>
  <c r="AC110" i="53"/>
  <c r="AC109" i="53"/>
  <c r="AC108" i="53"/>
  <c r="AC107" i="53"/>
  <c r="AC106" i="53"/>
  <c r="AC105" i="53"/>
  <c r="AC104" i="53"/>
  <c r="AC103" i="53"/>
  <c r="AC102" i="53"/>
  <c r="AC101" i="53"/>
  <c r="AC100" i="53"/>
  <c r="AC99" i="53"/>
  <c r="AC98" i="53"/>
  <c r="AC97" i="53"/>
  <c r="AC96" i="53"/>
  <c r="AC95" i="53"/>
  <c r="AC94" i="53"/>
  <c r="AC93" i="53"/>
  <c r="AC92" i="53"/>
  <c r="AC91" i="53"/>
  <c r="AC90" i="53"/>
  <c r="AC89" i="53"/>
  <c r="AC88" i="53"/>
  <c r="AC87" i="53"/>
  <c r="AC86" i="53"/>
  <c r="AC85" i="53"/>
  <c r="AC84" i="53"/>
  <c r="AC83" i="53"/>
  <c r="AC82" i="53"/>
  <c r="AC81" i="53"/>
  <c r="AC80" i="53"/>
  <c r="AC79" i="53"/>
  <c r="AC78" i="53"/>
  <c r="AC77" i="53"/>
  <c r="AC76" i="53"/>
  <c r="AC75" i="53"/>
  <c r="AC74" i="53"/>
  <c r="AC73" i="53"/>
  <c r="AC72" i="53"/>
  <c r="AC71" i="53"/>
  <c r="AC70" i="53"/>
  <c r="AC69" i="53"/>
  <c r="AC68" i="53"/>
  <c r="AC67" i="53"/>
  <c r="AC66" i="53"/>
  <c r="AC65" i="53"/>
  <c r="AC64" i="53"/>
  <c r="AC63" i="53"/>
  <c r="AC62" i="53"/>
  <c r="AC61" i="53"/>
  <c r="AC60" i="53"/>
  <c r="AC59" i="53"/>
  <c r="AC58" i="53"/>
  <c r="AC57" i="53"/>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13" i="53"/>
  <c r="AC12" i="53"/>
  <c r="AC11" i="53"/>
  <c r="AC10" i="53"/>
  <c r="AC9" i="53"/>
  <c r="AC8" i="53"/>
  <c r="AC7" i="53"/>
  <c r="AC6" i="53"/>
  <c r="AC5" i="53"/>
  <c r="X4" i="53"/>
  <c r="AA4" i="53"/>
  <c r="Z4" i="53"/>
  <c r="Y4"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P4" i="53"/>
  <c r="O4" i="53"/>
  <c r="D11" i="79" l="1"/>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F101" i="79" s="1"/>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F30" i="79"/>
  <c r="F50" i="79"/>
  <c r="F122" i="79"/>
  <c r="E23" i="79"/>
  <c r="D23" i="79"/>
  <c r="J22" i="53"/>
  <c r="K22" i="53" s="1"/>
  <c r="F23" i="79" s="1"/>
  <c r="D115" i="79"/>
  <c r="E115" i="79"/>
  <c r="J114" i="53"/>
  <c r="K114" i="53" s="1"/>
  <c r="F115" i="79" s="1"/>
  <c r="D47" i="79"/>
  <c r="E47" i="79"/>
  <c r="J46" i="53"/>
  <c r="K46" i="53" s="1"/>
  <c r="F39" i="79"/>
  <c r="F43" i="79"/>
  <c r="F14" i="79"/>
  <c r="F18" i="79"/>
  <c r="F34" i="79"/>
  <c r="F54" i="79"/>
  <c r="F58" i="79"/>
  <c r="F98" i="79"/>
  <c r="F102" i="79"/>
  <c r="F106" i="79"/>
  <c r="F110" i="79"/>
  <c r="F49" i="79"/>
  <c r="F78" i="79"/>
  <c r="F86" i="79"/>
  <c r="F74" i="79"/>
  <c r="F90" i="79"/>
  <c r="F21" i="79"/>
  <c r="F45" i="79"/>
  <c r="F65" i="79"/>
  <c r="F117" i="79"/>
  <c r="F11" i="79"/>
  <c r="F27" i="79"/>
  <c r="F31" i="79"/>
  <c r="F51" i="79"/>
  <c r="F63" i="79"/>
  <c r="F67" i="79"/>
  <c r="F71" i="79"/>
  <c r="F75" i="79"/>
  <c r="F79" i="79"/>
  <c r="F87" i="79"/>
  <c r="F91" i="79"/>
  <c r="F95" i="79"/>
  <c r="F123" i="79"/>
  <c r="D102" i="57"/>
  <c r="D5" i="57"/>
  <c r="J4" i="61"/>
  <c r="E7" i="79"/>
  <c r="J6" i="53"/>
  <c r="K6" i="53" s="1"/>
  <c r="D16" i="79"/>
  <c r="E12" i="79"/>
  <c r="E16" i="79"/>
  <c r="J11" i="53"/>
  <c r="J15" i="53"/>
  <c r="K15" i="53" s="1"/>
  <c r="F17" i="79" s="1"/>
  <c r="E9" i="79"/>
  <c r="J8" i="53"/>
  <c r="K8" i="53" s="1"/>
  <c r="F10" i="79" s="1"/>
  <c r="E6" i="79"/>
  <c r="J5" i="53"/>
  <c r="K5" i="53" s="1"/>
  <c r="D7" i="79"/>
  <c r="D12" i="79"/>
  <c r="D6" i="79"/>
  <c r="D9" i="79"/>
  <c r="F69" i="79"/>
  <c r="F81" i="79"/>
  <c r="F89" i="79"/>
  <c r="F93" i="79"/>
  <c r="F15" i="79"/>
  <c r="F19" i="79"/>
  <c r="F35" i="79"/>
  <c r="F55" i="79"/>
  <c r="F59" i="79"/>
  <c r="F103" i="79"/>
  <c r="F107" i="79"/>
  <c r="F111" i="79"/>
  <c r="F38" i="79"/>
  <c r="F42" i="79"/>
  <c r="F46" i="79"/>
  <c r="F118" i="79"/>
  <c r="K19" i="53"/>
  <c r="F20" i="79" s="1"/>
  <c r="K27" i="53"/>
  <c r="F28" i="79" s="1"/>
  <c r="K35" i="53"/>
  <c r="F36" i="79" s="1"/>
  <c r="K43" i="53"/>
  <c r="F44" i="79" s="1"/>
  <c r="K51" i="53"/>
  <c r="K59" i="53"/>
  <c r="F60" i="79" s="1"/>
  <c r="K67" i="53"/>
  <c r="F68" i="79" s="1"/>
  <c r="K75" i="53"/>
  <c r="F76" i="79" s="1"/>
  <c r="K83" i="53"/>
  <c r="F84" i="79" s="1"/>
  <c r="K91" i="53"/>
  <c r="F92" i="79" s="1"/>
  <c r="K99" i="53"/>
  <c r="F125" i="79" s="1"/>
  <c r="K107" i="53"/>
  <c r="F108" i="79" s="1"/>
  <c r="K115" i="53"/>
  <c r="F116" i="79" s="1"/>
  <c r="K123" i="53"/>
  <c r="F124" i="79" s="1"/>
  <c r="F33" i="79"/>
  <c r="F53" i="79"/>
  <c r="F61" i="79"/>
  <c r="F97" i="79"/>
  <c r="F113" i="79"/>
  <c r="K7" i="53"/>
  <c r="K23" i="53"/>
  <c r="F24" i="79" s="1"/>
  <c r="K31" i="53"/>
  <c r="F37" i="79" s="1"/>
  <c r="K39" i="53"/>
  <c r="F40" i="79" s="1"/>
  <c r="K47" i="53"/>
  <c r="K55" i="53"/>
  <c r="F66" i="79" s="1"/>
  <c r="K63" i="53"/>
  <c r="F64" i="79" s="1"/>
  <c r="K71" i="53"/>
  <c r="F72" i="79" s="1"/>
  <c r="K79" i="53"/>
  <c r="F80" i="79" s="1"/>
  <c r="K87" i="53"/>
  <c r="F109" i="79" s="1"/>
  <c r="K95" i="53"/>
  <c r="F96" i="79" s="1"/>
  <c r="K103" i="53"/>
  <c r="F104" i="79" s="1"/>
  <c r="K111" i="53"/>
  <c r="F112" i="79" s="1"/>
  <c r="K119" i="53"/>
  <c r="F120" i="79" s="1"/>
  <c r="I6" i="118"/>
  <c r="N6" i="79" s="1"/>
  <c r="I10" i="118"/>
  <c r="N10" i="79" s="1"/>
  <c r="I14" i="118"/>
  <c r="N14" i="79" s="1"/>
  <c r="I18" i="118"/>
  <c r="N18" i="79" s="1"/>
  <c r="I22" i="118"/>
  <c r="N22" i="79" s="1"/>
  <c r="I26" i="118"/>
  <c r="N26" i="79" s="1"/>
  <c r="I30" i="118"/>
  <c r="N30" i="79" s="1"/>
  <c r="I34" i="118"/>
  <c r="N34" i="79" s="1"/>
  <c r="I38" i="118"/>
  <c r="N38" i="79" s="1"/>
  <c r="I42" i="118"/>
  <c r="N42" i="79" s="1"/>
  <c r="I46" i="118"/>
  <c r="N46" i="79" s="1"/>
  <c r="I50" i="118"/>
  <c r="N50" i="79" s="1"/>
  <c r="I54" i="118"/>
  <c r="N54" i="79" s="1"/>
  <c r="I58" i="118"/>
  <c r="N58" i="79" s="1"/>
  <c r="I62" i="118"/>
  <c r="N62" i="79" s="1"/>
  <c r="I66" i="118"/>
  <c r="N66" i="79" s="1"/>
  <c r="I70" i="118"/>
  <c r="N70" i="79" s="1"/>
  <c r="I74" i="118"/>
  <c r="N74" i="79" s="1"/>
  <c r="I78" i="118"/>
  <c r="N78" i="79" s="1"/>
  <c r="I82" i="118"/>
  <c r="N82" i="79" s="1"/>
  <c r="I86" i="118"/>
  <c r="N86" i="79" s="1"/>
  <c r="I90" i="118"/>
  <c r="N90" i="79" s="1"/>
  <c r="I94" i="118"/>
  <c r="N94" i="79" s="1"/>
  <c r="I98" i="118"/>
  <c r="N98" i="79" s="1"/>
  <c r="I102" i="118"/>
  <c r="N102" i="79" s="1"/>
  <c r="I106" i="118"/>
  <c r="N106" i="79" s="1"/>
  <c r="I110" i="118"/>
  <c r="N110" i="79" s="1"/>
  <c r="I114" i="118"/>
  <c r="N114" i="79" s="1"/>
  <c r="I118" i="118"/>
  <c r="N118" i="79" s="1"/>
  <c r="I122" i="118"/>
  <c r="N122" i="79" s="1"/>
  <c r="I9" i="118"/>
  <c r="N9" i="79" s="1"/>
  <c r="I13" i="118"/>
  <c r="N13" i="79" s="1"/>
  <c r="I17" i="118"/>
  <c r="N17" i="79" s="1"/>
  <c r="I21" i="118"/>
  <c r="N21" i="79" s="1"/>
  <c r="I25" i="118"/>
  <c r="N25" i="79" s="1"/>
  <c r="I29" i="118"/>
  <c r="N29" i="79" s="1"/>
  <c r="I33" i="118"/>
  <c r="N33" i="79" s="1"/>
  <c r="I37" i="118"/>
  <c r="N37" i="79" s="1"/>
  <c r="I41" i="118"/>
  <c r="N41" i="79" s="1"/>
  <c r="I45" i="118"/>
  <c r="N45" i="79" s="1"/>
  <c r="I49" i="118"/>
  <c r="N49" i="79" s="1"/>
  <c r="I53" i="118"/>
  <c r="N53" i="79" s="1"/>
  <c r="I57" i="118"/>
  <c r="N57" i="79" s="1"/>
  <c r="I61" i="118"/>
  <c r="N61" i="79" s="1"/>
  <c r="I65" i="118"/>
  <c r="N65" i="79" s="1"/>
  <c r="I69" i="118"/>
  <c r="N69" i="79" s="1"/>
  <c r="I73" i="118"/>
  <c r="N73" i="79" s="1"/>
  <c r="I77" i="118"/>
  <c r="N77" i="79" s="1"/>
  <c r="I81" i="118"/>
  <c r="N81" i="79" s="1"/>
  <c r="I85" i="118"/>
  <c r="N85" i="79" s="1"/>
  <c r="I89" i="118"/>
  <c r="N89" i="79" s="1"/>
  <c r="I93" i="118"/>
  <c r="N93" i="79" s="1"/>
  <c r="I97" i="118"/>
  <c r="N97" i="79" s="1"/>
  <c r="I101" i="118"/>
  <c r="N101" i="79" s="1"/>
  <c r="I105" i="118"/>
  <c r="N105" i="79" s="1"/>
  <c r="I109" i="118"/>
  <c r="N109" i="79" s="1"/>
  <c r="I113" i="118"/>
  <c r="N113" i="79" s="1"/>
  <c r="I117" i="118"/>
  <c r="N117" i="79" s="1"/>
  <c r="I121" i="118"/>
  <c r="N121" i="79" s="1"/>
  <c r="I125" i="118"/>
  <c r="N125" i="79" s="1"/>
  <c r="I8" i="118"/>
  <c r="N8" i="79" s="1"/>
  <c r="I12" i="118"/>
  <c r="N12" i="79" s="1"/>
  <c r="I16" i="118"/>
  <c r="N16" i="79" s="1"/>
  <c r="I20" i="118"/>
  <c r="N20" i="79" s="1"/>
  <c r="I24" i="118"/>
  <c r="N24" i="79" s="1"/>
  <c r="I28" i="118"/>
  <c r="N28" i="79" s="1"/>
  <c r="I32" i="118"/>
  <c r="N32" i="79" s="1"/>
  <c r="I36" i="118"/>
  <c r="N36" i="79" s="1"/>
  <c r="I40" i="118"/>
  <c r="N40" i="79" s="1"/>
  <c r="I44" i="118"/>
  <c r="N44" i="79" s="1"/>
  <c r="I48" i="118"/>
  <c r="N48" i="79" s="1"/>
  <c r="I52" i="118"/>
  <c r="N52" i="79" s="1"/>
  <c r="I56" i="118"/>
  <c r="N56" i="79" s="1"/>
  <c r="I60" i="118"/>
  <c r="N60" i="79" s="1"/>
  <c r="I64" i="118"/>
  <c r="N64" i="79" s="1"/>
  <c r="I68" i="118"/>
  <c r="N68" i="79" s="1"/>
  <c r="I72" i="118"/>
  <c r="N72" i="79" s="1"/>
  <c r="I76" i="118"/>
  <c r="N76" i="79" s="1"/>
  <c r="I80" i="118"/>
  <c r="N80" i="79" s="1"/>
  <c r="I84" i="118"/>
  <c r="N84" i="79" s="1"/>
  <c r="I88" i="118"/>
  <c r="N88" i="79" s="1"/>
  <c r="I92" i="118"/>
  <c r="N92" i="79" s="1"/>
  <c r="I96" i="118"/>
  <c r="N96" i="79" s="1"/>
  <c r="I100" i="118"/>
  <c r="N100" i="79" s="1"/>
  <c r="I104" i="118"/>
  <c r="N104" i="79" s="1"/>
  <c r="I108" i="118"/>
  <c r="N108" i="79" s="1"/>
  <c r="I112" i="118"/>
  <c r="N112" i="79" s="1"/>
  <c r="I116" i="118"/>
  <c r="N116" i="79" s="1"/>
  <c r="I120" i="118"/>
  <c r="N120" i="79" s="1"/>
  <c r="I124" i="118"/>
  <c r="N124" i="79" s="1"/>
  <c r="I7" i="118"/>
  <c r="N7" i="79" s="1"/>
  <c r="I11" i="118"/>
  <c r="N11" i="79" s="1"/>
  <c r="I15" i="118"/>
  <c r="N15" i="79" s="1"/>
  <c r="I19" i="118"/>
  <c r="N19" i="79" s="1"/>
  <c r="I23" i="118"/>
  <c r="N23" i="79" s="1"/>
  <c r="I27" i="118"/>
  <c r="N27" i="79" s="1"/>
  <c r="I31" i="118"/>
  <c r="N31" i="79" s="1"/>
  <c r="I35" i="118"/>
  <c r="N35" i="79" s="1"/>
  <c r="I39" i="118"/>
  <c r="N39" i="79" s="1"/>
  <c r="I43" i="118"/>
  <c r="N43" i="79" s="1"/>
  <c r="I47" i="118"/>
  <c r="N47" i="79" s="1"/>
  <c r="I51" i="118"/>
  <c r="N51" i="79" s="1"/>
  <c r="I55" i="118"/>
  <c r="N55" i="79" s="1"/>
  <c r="I59" i="118"/>
  <c r="N59" i="79" s="1"/>
  <c r="I63" i="118"/>
  <c r="N63" i="79" s="1"/>
  <c r="I67" i="118"/>
  <c r="N67" i="79" s="1"/>
  <c r="I71" i="118"/>
  <c r="N71" i="79" s="1"/>
  <c r="I75" i="118"/>
  <c r="N75" i="79" s="1"/>
  <c r="I79" i="118"/>
  <c r="N79" i="79" s="1"/>
  <c r="I83" i="118"/>
  <c r="N83" i="79" s="1"/>
  <c r="I87" i="118"/>
  <c r="N87" i="79" s="1"/>
  <c r="I91" i="118"/>
  <c r="N91" i="79" s="1"/>
  <c r="I95" i="118"/>
  <c r="N95" i="79" s="1"/>
  <c r="I99" i="118"/>
  <c r="N99" i="79" s="1"/>
  <c r="I103" i="118"/>
  <c r="N103" i="79" s="1"/>
  <c r="I107" i="118"/>
  <c r="N107" i="79" s="1"/>
  <c r="I111" i="118"/>
  <c r="N111" i="79" s="1"/>
  <c r="I115" i="118"/>
  <c r="N115" i="79" s="1"/>
  <c r="I119" i="118"/>
  <c r="N119" i="79" s="1"/>
  <c r="I123" i="118"/>
  <c r="N123" i="79" s="1"/>
  <c r="I4" i="61"/>
  <c r="I25" i="55"/>
  <c r="I4" i="55" s="1"/>
  <c r="H4" i="55"/>
  <c r="K4" i="55"/>
  <c r="H4" i="53"/>
  <c r="AC4" i="53"/>
  <c r="M5" i="103"/>
  <c r="K5" i="103"/>
  <c r="J5" i="103"/>
  <c r="I5" i="103"/>
  <c r="L5" i="102"/>
  <c r="K5" i="102"/>
  <c r="J5" i="102"/>
  <c r="I5" i="102"/>
  <c r="L5" i="49"/>
  <c r="K5" i="49"/>
  <c r="J5" i="49"/>
  <c r="I5" i="49"/>
  <c r="F25" i="79" l="1"/>
  <c r="R25" i="79" s="1"/>
  <c r="F26" i="79"/>
  <c r="F47" i="79"/>
  <c r="R47" i="79" s="1"/>
  <c r="AE47" i="79" s="1"/>
  <c r="F48" i="79"/>
  <c r="R48" i="79" s="1"/>
  <c r="AE48" i="79" s="1"/>
  <c r="F8" i="79"/>
  <c r="R8" i="79" s="1"/>
  <c r="AE8" i="79" s="1"/>
  <c r="F119" i="79"/>
  <c r="R119" i="79" s="1"/>
  <c r="AF119" i="79" s="1"/>
  <c r="F83" i="79"/>
  <c r="R83" i="79" s="1"/>
  <c r="AE83" i="79" s="1"/>
  <c r="F52" i="79"/>
  <c r="R52" i="79" s="1"/>
  <c r="AE52" i="79" s="1"/>
  <c r="F77" i="79"/>
  <c r="R77" i="79" s="1"/>
  <c r="AE77" i="79" s="1"/>
  <c r="F41" i="79"/>
  <c r="F70" i="79"/>
  <c r="R70" i="79" s="1"/>
  <c r="AF70" i="79" s="1"/>
  <c r="F121" i="79"/>
  <c r="R121" i="79" s="1"/>
  <c r="AE121" i="79" s="1"/>
  <c r="R10" i="79"/>
  <c r="AD10" i="79" s="1"/>
  <c r="F73" i="79"/>
  <c r="R73" i="79" s="1"/>
  <c r="AF73" i="79" s="1"/>
  <c r="F32" i="79"/>
  <c r="R32" i="79" s="1"/>
  <c r="AE32" i="79" s="1"/>
  <c r="F100" i="79"/>
  <c r="R100" i="79" s="1"/>
  <c r="F22" i="79"/>
  <c r="R22" i="79" s="1"/>
  <c r="AE22" i="79" s="1"/>
  <c r="F99" i="79"/>
  <c r="R99" i="79" s="1"/>
  <c r="AE99" i="79" s="1"/>
  <c r="F85" i="79"/>
  <c r="R85" i="79" s="1"/>
  <c r="AE85" i="79" s="1"/>
  <c r="F82" i="79"/>
  <c r="R82" i="79" s="1"/>
  <c r="AF82" i="79" s="1"/>
  <c r="F29" i="79"/>
  <c r="R29" i="79" s="1"/>
  <c r="AE29" i="79" s="1"/>
  <c r="F62" i="79"/>
  <c r="R62" i="79" s="1"/>
  <c r="F88" i="79"/>
  <c r="R88" i="79" s="1"/>
  <c r="AE88" i="79" s="1"/>
  <c r="F56" i="79"/>
  <c r="R56" i="79" s="1"/>
  <c r="AE56" i="79" s="1"/>
  <c r="F105" i="79"/>
  <c r="R105" i="79" s="1"/>
  <c r="AE105" i="79" s="1"/>
  <c r="F57" i="79"/>
  <c r="R57" i="79" s="1"/>
  <c r="AE57" i="79" s="1"/>
  <c r="F114" i="79"/>
  <c r="R114" i="79" s="1"/>
  <c r="F94" i="79"/>
  <c r="R94" i="79" s="1"/>
  <c r="AF94" i="79" s="1"/>
  <c r="R14" i="79"/>
  <c r="AE14" i="79" s="1"/>
  <c r="R41" i="79"/>
  <c r="AE41" i="79" s="1"/>
  <c r="R110" i="79"/>
  <c r="AE110" i="79" s="1"/>
  <c r="R74" i="79"/>
  <c r="AE74" i="79" s="1"/>
  <c r="K130" i="53"/>
  <c r="J130" i="53"/>
  <c r="R43" i="79"/>
  <c r="AE43" i="79" s="1"/>
  <c r="I130" i="53"/>
  <c r="J127" i="53"/>
  <c r="K127" i="53"/>
  <c r="J126" i="53"/>
  <c r="J129" i="53"/>
  <c r="D131" i="53"/>
  <c r="K126" i="53"/>
  <c r="I127" i="53"/>
  <c r="R115" i="79"/>
  <c r="AE115" i="79" s="1"/>
  <c r="J128" i="53"/>
  <c r="H131" i="53"/>
  <c r="K128" i="53"/>
  <c r="E131" i="53"/>
  <c r="G131" i="53"/>
  <c r="I126" i="53"/>
  <c r="F131" i="53"/>
  <c r="I128" i="53"/>
  <c r="I129" i="53"/>
  <c r="K129" i="53"/>
  <c r="R102" i="79"/>
  <c r="AF102" i="79" s="1"/>
  <c r="R106" i="79"/>
  <c r="AE106" i="79" s="1"/>
  <c r="R58" i="79"/>
  <c r="AD58" i="79" s="1"/>
  <c r="R26" i="79"/>
  <c r="AE26" i="79" s="1"/>
  <c r="R117" i="79"/>
  <c r="AE117" i="79" s="1"/>
  <c r="R21" i="79"/>
  <c r="AE21" i="79" s="1"/>
  <c r="R86" i="79"/>
  <c r="AD86" i="79" s="1"/>
  <c r="R90" i="79"/>
  <c r="AE90" i="79" s="1"/>
  <c r="R111" i="79"/>
  <c r="AD111" i="79" s="1"/>
  <c r="R51" i="79"/>
  <c r="AE51" i="79" s="1"/>
  <c r="R23" i="79"/>
  <c r="AD23" i="79" s="1"/>
  <c r="R67" i="79"/>
  <c r="AD67" i="79" s="1"/>
  <c r="R87" i="79"/>
  <c r="AD87" i="79" s="1"/>
  <c r="R91" i="79"/>
  <c r="AE91" i="79" s="1"/>
  <c r="R84" i="79"/>
  <c r="AE84" i="79" s="1"/>
  <c r="R59" i="79"/>
  <c r="AE59" i="79" s="1"/>
  <c r="R97" i="79"/>
  <c r="AD97" i="79" s="1"/>
  <c r="R118" i="79"/>
  <c r="AD118" i="79" s="1"/>
  <c r="F6" i="79"/>
  <c r="R6" i="79" s="1"/>
  <c r="F9" i="79"/>
  <c r="R9" i="79" s="1"/>
  <c r="K11" i="53"/>
  <c r="F13" i="79" s="1"/>
  <c r="R13" i="79" s="1"/>
  <c r="F7" i="79"/>
  <c r="R7" i="79" s="1"/>
  <c r="F16" i="79"/>
  <c r="R16" i="79" s="1"/>
  <c r="AE16" i="79" s="1"/>
  <c r="R35" i="79"/>
  <c r="AE35" i="79" s="1"/>
  <c r="R19" i="79"/>
  <c r="AE19" i="79" s="1"/>
  <c r="R124" i="79"/>
  <c r="AF124" i="79" s="1"/>
  <c r="R108" i="79"/>
  <c r="AD108" i="79" s="1"/>
  <c r="R60" i="79"/>
  <c r="AE60" i="79" s="1"/>
  <c r="R44" i="79"/>
  <c r="AE44" i="79" s="1"/>
  <c r="R28" i="79"/>
  <c r="AE28" i="79" s="1"/>
  <c r="R101" i="79"/>
  <c r="AE101" i="79" s="1"/>
  <c r="R69" i="79"/>
  <c r="AD69" i="79" s="1"/>
  <c r="R37" i="79"/>
  <c r="AE37" i="79" s="1"/>
  <c r="R55" i="79"/>
  <c r="AE55" i="79" s="1"/>
  <c r="R17" i="79"/>
  <c r="AE17" i="79" s="1"/>
  <c r="R116" i="79"/>
  <c r="AE116" i="79" s="1"/>
  <c r="R20" i="79"/>
  <c r="AE20" i="79" s="1"/>
  <c r="R92" i="79"/>
  <c r="AE92" i="79" s="1"/>
  <c r="R42" i="79"/>
  <c r="AE42" i="79" s="1"/>
  <c r="R112" i="79"/>
  <c r="AF112" i="79" s="1"/>
  <c r="R80" i="79"/>
  <c r="AF80" i="79" s="1"/>
  <c r="R61" i="79"/>
  <c r="AF61" i="79" s="1"/>
  <c r="R79" i="79"/>
  <c r="R15" i="79"/>
  <c r="R38" i="79"/>
  <c r="R18" i="79"/>
  <c r="AF18" i="79" s="1"/>
  <c r="R125" i="79"/>
  <c r="AF125" i="79" s="1"/>
  <c r="R104" i="79"/>
  <c r="AE104" i="79" s="1"/>
  <c r="R72" i="79"/>
  <c r="AE72" i="79" s="1"/>
  <c r="R40" i="79"/>
  <c r="AE40" i="79" s="1"/>
  <c r="R54" i="79"/>
  <c r="AF54" i="79" s="1"/>
  <c r="R120" i="79"/>
  <c r="AE120" i="79" s="1"/>
  <c r="R68" i="79"/>
  <c r="AF68" i="79" s="1"/>
  <c r="R36" i="79"/>
  <c r="R24" i="79"/>
  <c r="AE24" i="79" s="1"/>
  <c r="R45" i="79"/>
  <c r="AF45" i="79" s="1"/>
  <c r="R34" i="79"/>
  <c r="R123" i="79"/>
  <c r="R75" i="79"/>
  <c r="AF75" i="79" s="1"/>
  <c r="R27" i="79"/>
  <c r="R113" i="79"/>
  <c r="AF113" i="79" s="1"/>
  <c r="R93" i="79"/>
  <c r="AF93" i="79" s="1"/>
  <c r="R98" i="79"/>
  <c r="R78" i="79"/>
  <c r="R66" i="79"/>
  <c r="R30" i="79"/>
  <c r="AF30" i="79" s="1"/>
  <c r="R107" i="79"/>
  <c r="R11" i="79"/>
  <c r="R103" i="79"/>
  <c r="R71" i="79"/>
  <c r="AF71" i="79" s="1"/>
  <c r="R39" i="79"/>
  <c r="R96" i="79"/>
  <c r="AE96" i="79" s="1"/>
  <c r="R76" i="79"/>
  <c r="R64" i="79"/>
  <c r="AE64" i="79" s="1"/>
  <c r="R46" i="79"/>
  <c r="R89" i="79"/>
  <c r="R65" i="79"/>
  <c r="AF65" i="79" s="1"/>
  <c r="R49" i="79"/>
  <c r="R33" i="79"/>
  <c r="R95" i="79"/>
  <c r="R63" i="79"/>
  <c r="R31" i="79"/>
  <c r="AF31" i="79" s="1"/>
  <c r="R122" i="79"/>
  <c r="R50" i="79"/>
  <c r="AF50" i="79" s="1"/>
  <c r="R109" i="79"/>
  <c r="AF109" i="79" s="1"/>
  <c r="R81" i="79"/>
  <c r="R53" i="79"/>
  <c r="I5" i="118"/>
  <c r="E4" i="116"/>
  <c r="D4" i="116"/>
  <c r="AF10" i="79" l="1"/>
  <c r="AE10" i="79"/>
  <c r="AD14" i="79"/>
  <c r="AF14" i="79"/>
  <c r="AF41" i="79"/>
  <c r="AD41" i="79"/>
  <c r="AD110" i="79"/>
  <c r="AF43" i="79"/>
  <c r="AF58" i="79"/>
  <c r="AE58" i="79"/>
  <c r="AF74" i="79"/>
  <c r="AF110" i="79"/>
  <c r="AD119" i="79"/>
  <c r="AE87" i="79"/>
  <c r="AD74" i="79"/>
  <c r="AF115" i="79"/>
  <c r="AD115" i="79"/>
  <c r="AF86" i="79"/>
  <c r="AD43" i="79"/>
  <c r="AF106" i="79"/>
  <c r="AF87" i="79"/>
  <c r="AD47" i="79"/>
  <c r="J131" i="53"/>
  <c r="AF121" i="79"/>
  <c r="AD121" i="79"/>
  <c r="K131" i="53"/>
  <c r="AF47" i="79"/>
  <c r="I131" i="53"/>
  <c r="AF21" i="79"/>
  <c r="AE23" i="79"/>
  <c r="AF29" i="79"/>
  <c r="AF117" i="79"/>
  <c r="AE102" i="79"/>
  <c r="AD106" i="79"/>
  <c r="AF26" i="79"/>
  <c r="AD26" i="79"/>
  <c r="AD117" i="79"/>
  <c r="AD102" i="79"/>
  <c r="AE111" i="79"/>
  <c r="AD29" i="79"/>
  <c r="AF51" i="79"/>
  <c r="AD51" i="79"/>
  <c r="AD21" i="79"/>
  <c r="AE119" i="79"/>
  <c r="AF23" i="79"/>
  <c r="AE86" i="79"/>
  <c r="AF90" i="79"/>
  <c r="AD90" i="79"/>
  <c r="AE67" i="79"/>
  <c r="AF111" i="79"/>
  <c r="AF67" i="79"/>
  <c r="AD91" i="79"/>
  <c r="AF83" i="79"/>
  <c r="AD83" i="79"/>
  <c r="AF91" i="79"/>
  <c r="AD57" i="79"/>
  <c r="AF57" i="79"/>
  <c r="AE118" i="79"/>
  <c r="AD84" i="79"/>
  <c r="AF84" i="79"/>
  <c r="AD59" i="79"/>
  <c r="AF59" i="79"/>
  <c r="AD77" i="79"/>
  <c r="AF77" i="79"/>
  <c r="AF108" i="79"/>
  <c r="AF118" i="79"/>
  <c r="AE97" i="79"/>
  <c r="AD44" i="79"/>
  <c r="AF97" i="79"/>
  <c r="AF19" i="79"/>
  <c r="AD19" i="79"/>
  <c r="AF85" i="79"/>
  <c r="F12" i="79"/>
  <c r="R12" i="79" s="1"/>
  <c r="AF12" i="79" s="1"/>
  <c r="AD85" i="79"/>
  <c r="AF44" i="79"/>
  <c r="AD55" i="79"/>
  <c r="AF42" i="79"/>
  <c r="AF105" i="79"/>
  <c r="AE108" i="79"/>
  <c r="AD22" i="79"/>
  <c r="AD124" i="79"/>
  <c r="AD60" i="79"/>
  <c r="AF22" i="79"/>
  <c r="AD35" i="79"/>
  <c r="AD42" i="79"/>
  <c r="AD101" i="79"/>
  <c r="AF101" i="79"/>
  <c r="AF60" i="79"/>
  <c r="AF35" i="79"/>
  <c r="AF52" i="79"/>
  <c r="AE124" i="79"/>
  <c r="AD52" i="79"/>
  <c r="AF28" i="79"/>
  <c r="AF55" i="79"/>
  <c r="AD28" i="79"/>
  <c r="AE69" i="79"/>
  <c r="AD116" i="79"/>
  <c r="AD37" i="79"/>
  <c r="AD105" i="79"/>
  <c r="AF37" i="79"/>
  <c r="AD99" i="79"/>
  <c r="AF69" i="79"/>
  <c r="AF92" i="79"/>
  <c r="AF99" i="79"/>
  <c r="AF17" i="79"/>
  <c r="AD92" i="79"/>
  <c r="AD17" i="79"/>
  <c r="AF20" i="79"/>
  <c r="AD20" i="79"/>
  <c r="AF48" i="79"/>
  <c r="AF56" i="79"/>
  <c r="AF16" i="79"/>
  <c r="AF116" i="79"/>
  <c r="AD104" i="79"/>
  <c r="AD24" i="79"/>
  <c r="AD16" i="79"/>
  <c r="AD120" i="79"/>
  <c r="AD40" i="79"/>
  <c r="AF120" i="79"/>
  <c r="AF104" i="79"/>
  <c r="AE25" i="79"/>
  <c r="AD25" i="79"/>
  <c r="AE46" i="79"/>
  <c r="AD46" i="79"/>
  <c r="AE76" i="79"/>
  <c r="AD76" i="79"/>
  <c r="AF76" i="79"/>
  <c r="AE6" i="79"/>
  <c r="AD6" i="79"/>
  <c r="AE100" i="79"/>
  <c r="AD100" i="79"/>
  <c r="AF72" i="79"/>
  <c r="AE53" i="79"/>
  <c r="AD53" i="79"/>
  <c r="AE33" i="79"/>
  <c r="AD33" i="79"/>
  <c r="AE70" i="79"/>
  <c r="AD70" i="79"/>
  <c r="AE7" i="79"/>
  <c r="AD7" i="79"/>
  <c r="AE107" i="79"/>
  <c r="AD107" i="79"/>
  <c r="AE98" i="79"/>
  <c r="AD98" i="79"/>
  <c r="AE27" i="79"/>
  <c r="AD27" i="79"/>
  <c r="AD34" i="79"/>
  <c r="AE34" i="79"/>
  <c r="AE68" i="79"/>
  <c r="AD68" i="79"/>
  <c r="AF46" i="79"/>
  <c r="AF64" i="79"/>
  <c r="AF7" i="79"/>
  <c r="AF100" i="79"/>
  <c r="AE15" i="79"/>
  <c r="AD15" i="79"/>
  <c r="AD80" i="79"/>
  <c r="AE80" i="79"/>
  <c r="AF34" i="79"/>
  <c r="AF98" i="79"/>
  <c r="AF33" i="79"/>
  <c r="AF15" i="79"/>
  <c r="AE122" i="79"/>
  <c r="AD122" i="79"/>
  <c r="AE9" i="79"/>
  <c r="AD9" i="79"/>
  <c r="AE103" i="79"/>
  <c r="AD103" i="79"/>
  <c r="AF122" i="79"/>
  <c r="AE11" i="79"/>
  <c r="AD11" i="79"/>
  <c r="AE113" i="79"/>
  <c r="AD113" i="79"/>
  <c r="AE82" i="79"/>
  <c r="AD82" i="79"/>
  <c r="AF11" i="79"/>
  <c r="AE62" i="79"/>
  <c r="AD62" i="79"/>
  <c r="AE31" i="79"/>
  <c r="AD31" i="79"/>
  <c r="AE81" i="79"/>
  <c r="AD81" i="79"/>
  <c r="AE94" i="79"/>
  <c r="AD94" i="79"/>
  <c r="AE63" i="79"/>
  <c r="AD63" i="79"/>
  <c r="AE49" i="79"/>
  <c r="AD49" i="79"/>
  <c r="AD64" i="79"/>
  <c r="AD96" i="79"/>
  <c r="AE39" i="79"/>
  <c r="AD39" i="79"/>
  <c r="AF81" i="79"/>
  <c r="AF63" i="79"/>
  <c r="AE30" i="79"/>
  <c r="AD30" i="79"/>
  <c r="AD114" i="79"/>
  <c r="AE114" i="79"/>
  <c r="AE75" i="79"/>
  <c r="AD75" i="79"/>
  <c r="AE45" i="79"/>
  <c r="AD45" i="79"/>
  <c r="AE36" i="79"/>
  <c r="AD36" i="79"/>
  <c r="AD88" i="79"/>
  <c r="AF62" i="79"/>
  <c r="AF9" i="79"/>
  <c r="AF107" i="79"/>
  <c r="AE54" i="79"/>
  <c r="AD54" i="79"/>
  <c r="AF40" i="79"/>
  <c r="AE18" i="79"/>
  <c r="AD18" i="79"/>
  <c r="AE79" i="79"/>
  <c r="AD79" i="79"/>
  <c r="AF114" i="79"/>
  <c r="AF79" i="79"/>
  <c r="AD50" i="79"/>
  <c r="AE50" i="79"/>
  <c r="AD89" i="79"/>
  <c r="AE89" i="79"/>
  <c r="AE78" i="79"/>
  <c r="AD78" i="79"/>
  <c r="AE125" i="79"/>
  <c r="AD125" i="79"/>
  <c r="AE109" i="79"/>
  <c r="AD109" i="79"/>
  <c r="AE95" i="79"/>
  <c r="AD95" i="79"/>
  <c r="AE65" i="79"/>
  <c r="AD65" i="79"/>
  <c r="AD32" i="79"/>
  <c r="AE71" i="79"/>
  <c r="AD71" i="79"/>
  <c r="AF53" i="79"/>
  <c r="AF8" i="79"/>
  <c r="AD66" i="79"/>
  <c r="AE66" i="79"/>
  <c r="AE93" i="79"/>
  <c r="AD93" i="79"/>
  <c r="AE123" i="79"/>
  <c r="AD123" i="79"/>
  <c r="AE73" i="79"/>
  <c r="AD73" i="79"/>
  <c r="AD56" i="79"/>
  <c r="AF78" i="79"/>
  <c r="AF25" i="79"/>
  <c r="AF89" i="79"/>
  <c r="AF32" i="79"/>
  <c r="AF96" i="79"/>
  <c r="AF39" i="79"/>
  <c r="AF103" i="79"/>
  <c r="AF36" i="79"/>
  <c r="AF27" i="79"/>
  <c r="AF123" i="79"/>
  <c r="AD8" i="79"/>
  <c r="AD72" i="79"/>
  <c r="AF6" i="79"/>
  <c r="AF49" i="79"/>
  <c r="AF88" i="79"/>
  <c r="AF95" i="79"/>
  <c r="AE38" i="79"/>
  <c r="AD38" i="79"/>
  <c r="AE61" i="79"/>
  <c r="AD61" i="79"/>
  <c r="AE13" i="79"/>
  <c r="AD13" i="79"/>
  <c r="AD48" i="79"/>
  <c r="AD112" i="79"/>
  <c r="AE112" i="79"/>
  <c r="AF66" i="79"/>
  <c r="AF13" i="79"/>
  <c r="AF38" i="79"/>
  <c r="AF24" i="79"/>
  <c r="R5" i="79" l="1"/>
  <c r="AE5" i="79" s="1"/>
  <c r="AE12" i="79"/>
  <c r="AE128" i="79" s="1"/>
  <c r="AD12" i="79"/>
  <c r="AD128" i="79" s="1"/>
  <c r="AF127" i="79"/>
  <c r="AF128" i="79"/>
  <c r="X130" i="115"/>
  <c r="W130" i="115"/>
  <c r="V130" i="115"/>
  <c r="U130" i="115"/>
  <c r="X129" i="115"/>
  <c r="W129" i="115"/>
  <c r="V129" i="115"/>
  <c r="U129" i="115"/>
  <c r="X128" i="115"/>
  <c r="W128" i="115"/>
  <c r="V128" i="115"/>
  <c r="U128" i="115"/>
  <c r="X127" i="115"/>
  <c r="W127" i="115"/>
  <c r="V127" i="115"/>
  <c r="U127" i="115"/>
  <c r="X126" i="115"/>
  <c r="W126" i="115"/>
  <c r="V126" i="115"/>
  <c r="U126" i="115"/>
  <c r="M130" i="115"/>
  <c r="L130" i="115"/>
  <c r="K130" i="115"/>
  <c r="J130" i="115"/>
  <c r="M129" i="115"/>
  <c r="L129" i="115"/>
  <c r="K129" i="115"/>
  <c r="J129" i="115"/>
  <c r="M128" i="115"/>
  <c r="L128" i="115"/>
  <c r="K128" i="115"/>
  <c r="J128" i="115"/>
  <c r="M127" i="115"/>
  <c r="L127" i="115"/>
  <c r="K127" i="115"/>
  <c r="J127" i="115"/>
  <c r="M126" i="115"/>
  <c r="L126" i="115"/>
  <c r="K126" i="115"/>
  <c r="J126" i="115"/>
  <c r="X99" i="115"/>
  <c r="W99" i="115"/>
  <c r="U99" i="115"/>
  <c r="X98" i="115"/>
  <c r="W98" i="115"/>
  <c r="U98" i="115"/>
  <c r="X97" i="115"/>
  <c r="W97" i="115"/>
  <c r="U97" i="115"/>
  <c r="X124" i="115"/>
  <c r="W124" i="115"/>
  <c r="U124" i="115"/>
  <c r="X123" i="115"/>
  <c r="W123" i="115"/>
  <c r="U123" i="115"/>
  <c r="X96" i="115"/>
  <c r="W96" i="115"/>
  <c r="U96" i="115"/>
  <c r="X95" i="115"/>
  <c r="W95" i="115"/>
  <c r="U95" i="115"/>
  <c r="X94" i="115"/>
  <c r="W94" i="115"/>
  <c r="U94" i="115"/>
  <c r="X122" i="115"/>
  <c r="W122" i="115"/>
  <c r="U122" i="115"/>
  <c r="X93" i="115"/>
  <c r="W93" i="115"/>
  <c r="U93" i="115"/>
  <c r="X92" i="115"/>
  <c r="W92" i="115"/>
  <c r="U92" i="115"/>
  <c r="X91" i="115"/>
  <c r="W91" i="115"/>
  <c r="U91" i="115"/>
  <c r="X121" i="115"/>
  <c r="W121" i="115"/>
  <c r="U121" i="115"/>
  <c r="X90" i="115"/>
  <c r="W90" i="115"/>
  <c r="U90" i="115"/>
  <c r="X89" i="115"/>
  <c r="W89" i="115"/>
  <c r="U89" i="115"/>
  <c r="X88" i="115"/>
  <c r="W88" i="115"/>
  <c r="U88" i="115"/>
  <c r="X87" i="115"/>
  <c r="W87" i="115"/>
  <c r="U87" i="115"/>
  <c r="X86" i="115"/>
  <c r="W86" i="115"/>
  <c r="U86" i="115"/>
  <c r="X85" i="115"/>
  <c r="W85" i="115"/>
  <c r="U85" i="115"/>
  <c r="X84" i="115"/>
  <c r="W84" i="115"/>
  <c r="U84" i="115"/>
  <c r="X83" i="115"/>
  <c r="W83" i="115"/>
  <c r="U83" i="115"/>
  <c r="X82" i="115"/>
  <c r="W82" i="115"/>
  <c r="U82" i="115"/>
  <c r="X81" i="115"/>
  <c r="W81" i="115"/>
  <c r="U81" i="115"/>
  <c r="X120" i="115"/>
  <c r="W120" i="115"/>
  <c r="U120" i="115"/>
  <c r="X80" i="115"/>
  <c r="W80" i="115"/>
  <c r="U80" i="115"/>
  <c r="X119" i="115"/>
  <c r="W119" i="115"/>
  <c r="U119" i="115"/>
  <c r="X79" i="115"/>
  <c r="W79" i="115"/>
  <c r="U79" i="115"/>
  <c r="X118" i="115"/>
  <c r="W118" i="115"/>
  <c r="U118" i="115"/>
  <c r="X78" i="115"/>
  <c r="W78" i="115"/>
  <c r="U78" i="115"/>
  <c r="X77" i="115"/>
  <c r="W77" i="115"/>
  <c r="U77" i="115"/>
  <c r="X76" i="115"/>
  <c r="W76" i="115"/>
  <c r="U76" i="115"/>
  <c r="X75" i="115"/>
  <c r="W75" i="115"/>
  <c r="U75" i="115"/>
  <c r="X74" i="115"/>
  <c r="W74" i="115"/>
  <c r="U74" i="115"/>
  <c r="X117" i="115"/>
  <c r="W117" i="115"/>
  <c r="U117" i="115"/>
  <c r="X73" i="115"/>
  <c r="W73" i="115"/>
  <c r="U73" i="115"/>
  <c r="X116" i="115"/>
  <c r="W116" i="115"/>
  <c r="U116" i="115"/>
  <c r="X72" i="115"/>
  <c r="W72" i="115"/>
  <c r="U72" i="115"/>
  <c r="X71" i="115"/>
  <c r="W71" i="115"/>
  <c r="U71" i="115"/>
  <c r="X70" i="115"/>
  <c r="W70" i="115"/>
  <c r="U70" i="115"/>
  <c r="X69" i="115"/>
  <c r="W69" i="115"/>
  <c r="U69" i="115"/>
  <c r="X115" i="115"/>
  <c r="W115" i="115"/>
  <c r="U115" i="115"/>
  <c r="X68" i="115"/>
  <c r="W68" i="115"/>
  <c r="U68" i="115"/>
  <c r="X67" i="115"/>
  <c r="W67" i="115"/>
  <c r="U67" i="115"/>
  <c r="X114" i="115"/>
  <c r="W114" i="115"/>
  <c r="U114" i="115"/>
  <c r="X113" i="115"/>
  <c r="W113" i="115"/>
  <c r="U113" i="115"/>
  <c r="X66" i="115"/>
  <c r="W66" i="115"/>
  <c r="U66" i="115"/>
  <c r="X65" i="115"/>
  <c r="W65" i="115"/>
  <c r="U65" i="115"/>
  <c r="X64" i="115"/>
  <c r="W64" i="115"/>
  <c r="U64" i="115"/>
  <c r="X63" i="115"/>
  <c r="W63" i="115"/>
  <c r="U63" i="115"/>
  <c r="X62" i="115"/>
  <c r="W62" i="115"/>
  <c r="U62" i="115"/>
  <c r="X61" i="115"/>
  <c r="W61" i="115"/>
  <c r="U61" i="115"/>
  <c r="X112" i="115"/>
  <c r="W112" i="115"/>
  <c r="U112" i="115"/>
  <c r="X111" i="115"/>
  <c r="W111" i="115"/>
  <c r="U111" i="115"/>
  <c r="X60" i="115"/>
  <c r="W60" i="115"/>
  <c r="U60" i="115"/>
  <c r="X110" i="115"/>
  <c r="W110" i="115"/>
  <c r="U110" i="115"/>
  <c r="X59" i="115"/>
  <c r="W59" i="115"/>
  <c r="U59" i="115"/>
  <c r="X58" i="115"/>
  <c r="W58" i="115"/>
  <c r="U58" i="115"/>
  <c r="X57" i="115"/>
  <c r="W57" i="115"/>
  <c r="U57" i="115"/>
  <c r="X56" i="115"/>
  <c r="W56" i="115"/>
  <c r="U56" i="115"/>
  <c r="X55" i="115"/>
  <c r="W55" i="115"/>
  <c r="U55" i="115"/>
  <c r="X54" i="115"/>
  <c r="W54" i="115"/>
  <c r="U54" i="115"/>
  <c r="X53" i="115"/>
  <c r="W53" i="115"/>
  <c r="U53" i="115"/>
  <c r="X52" i="115"/>
  <c r="W52" i="115"/>
  <c r="U52" i="115"/>
  <c r="X51" i="115"/>
  <c r="W51" i="115"/>
  <c r="U51" i="115"/>
  <c r="X50" i="115"/>
  <c r="W50" i="115"/>
  <c r="U50" i="115"/>
  <c r="X109" i="115"/>
  <c r="W109" i="115"/>
  <c r="U109" i="115"/>
  <c r="X49" i="115"/>
  <c r="W49" i="115"/>
  <c r="U49" i="115"/>
  <c r="X48" i="115"/>
  <c r="W48" i="115"/>
  <c r="U48" i="115"/>
  <c r="X47" i="115"/>
  <c r="W47" i="115"/>
  <c r="U47" i="115"/>
  <c r="X46" i="115"/>
  <c r="W46" i="115"/>
  <c r="U46" i="115"/>
  <c r="X108" i="115"/>
  <c r="W108" i="115"/>
  <c r="U108" i="115"/>
  <c r="X45" i="115"/>
  <c r="W45" i="115"/>
  <c r="U45" i="115"/>
  <c r="X44" i="115"/>
  <c r="W44" i="115"/>
  <c r="U44" i="115"/>
  <c r="X43" i="115"/>
  <c r="W43" i="115"/>
  <c r="U43" i="115"/>
  <c r="X42" i="115"/>
  <c r="W42" i="115"/>
  <c r="U42" i="115"/>
  <c r="X41" i="115"/>
  <c r="W41" i="115"/>
  <c r="U41" i="115"/>
  <c r="X40" i="115"/>
  <c r="W40" i="115"/>
  <c r="U40" i="115"/>
  <c r="X39" i="115"/>
  <c r="W39" i="115"/>
  <c r="U39" i="115"/>
  <c r="X107" i="115"/>
  <c r="W107" i="115"/>
  <c r="U107" i="115"/>
  <c r="X106" i="115"/>
  <c r="W106" i="115"/>
  <c r="U106" i="115"/>
  <c r="X38" i="115"/>
  <c r="W38" i="115"/>
  <c r="U38" i="115"/>
  <c r="X37" i="115"/>
  <c r="W37" i="115"/>
  <c r="U37" i="115"/>
  <c r="X105" i="115"/>
  <c r="W105" i="115"/>
  <c r="U105" i="115"/>
  <c r="X36" i="115"/>
  <c r="W36" i="115"/>
  <c r="U36" i="115"/>
  <c r="X35" i="115"/>
  <c r="W35" i="115"/>
  <c r="U35" i="115"/>
  <c r="X34" i="115"/>
  <c r="W34" i="115"/>
  <c r="U34" i="115"/>
  <c r="X33" i="115"/>
  <c r="W33" i="115"/>
  <c r="U33" i="115"/>
  <c r="X32" i="115"/>
  <c r="W32" i="115"/>
  <c r="U32" i="115"/>
  <c r="X31" i="115"/>
  <c r="W31" i="115"/>
  <c r="U31" i="115"/>
  <c r="X30" i="115"/>
  <c r="W30" i="115"/>
  <c r="U30" i="115"/>
  <c r="X104" i="115"/>
  <c r="W104" i="115"/>
  <c r="U104" i="115"/>
  <c r="X29" i="115"/>
  <c r="W29" i="115"/>
  <c r="U29" i="115"/>
  <c r="X28" i="115"/>
  <c r="W28" i="115"/>
  <c r="U28" i="115"/>
  <c r="X27" i="115"/>
  <c r="W27" i="115"/>
  <c r="U27" i="115"/>
  <c r="X26" i="115"/>
  <c r="W26" i="115"/>
  <c r="U26" i="115"/>
  <c r="X25" i="115"/>
  <c r="W25" i="115"/>
  <c r="U25" i="115"/>
  <c r="X103" i="115"/>
  <c r="W103" i="115"/>
  <c r="U103" i="115"/>
  <c r="X102" i="115"/>
  <c r="W102" i="115"/>
  <c r="U102" i="115"/>
  <c r="X24" i="115"/>
  <c r="W24" i="115"/>
  <c r="U24" i="115"/>
  <c r="X23" i="115"/>
  <c r="W23" i="115"/>
  <c r="U23" i="115"/>
  <c r="X22" i="115"/>
  <c r="W22" i="115"/>
  <c r="U22" i="115"/>
  <c r="X21" i="115"/>
  <c r="W21" i="115"/>
  <c r="U21" i="115"/>
  <c r="X20" i="115"/>
  <c r="W20" i="115"/>
  <c r="U20" i="115"/>
  <c r="X19" i="115"/>
  <c r="W19" i="115"/>
  <c r="U19" i="115"/>
  <c r="X18" i="115"/>
  <c r="W18" i="115"/>
  <c r="U18" i="115"/>
  <c r="X17" i="115"/>
  <c r="W17" i="115"/>
  <c r="U17" i="115"/>
  <c r="X101" i="115"/>
  <c r="W101" i="115"/>
  <c r="U101" i="115"/>
  <c r="X16" i="115"/>
  <c r="W16" i="115"/>
  <c r="U16" i="115"/>
  <c r="X15" i="115"/>
  <c r="W15" i="115"/>
  <c r="U15" i="115"/>
  <c r="X14" i="115"/>
  <c r="W14" i="115"/>
  <c r="U14" i="115"/>
  <c r="X13" i="115"/>
  <c r="W13" i="115"/>
  <c r="U13" i="115"/>
  <c r="X12" i="115"/>
  <c r="W12" i="115"/>
  <c r="U12" i="115"/>
  <c r="X11" i="115"/>
  <c r="W11" i="115"/>
  <c r="U11" i="115"/>
  <c r="X10" i="115"/>
  <c r="W10" i="115"/>
  <c r="U10" i="115"/>
  <c r="X9" i="115"/>
  <c r="W9" i="115"/>
  <c r="U9" i="115"/>
  <c r="X8" i="115"/>
  <c r="W8" i="115"/>
  <c r="U8" i="115"/>
  <c r="X7" i="115"/>
  <c r="W7" i="115"/>
  <c r="U7" i="115"/>
  <c r="X100" i="115"/>
  <c r="W100" i="115"/>
  <c r="U100" i="115"/>
  <c r="X6" i="115"/>
  <c r="W6" i="115"/>
  <c r="U6" i="115"/>
  <c r="X5" i="115"/>
  <c r="W5" i="115"/>
  <c r="U5" i="115"/>
  <c r="X4" i="115"/>
  <c r="W4" i="115"/>
  <c r="U4" i="115"/>
  <c r="V99" i="115"/>
  <c r="V98" i="115"/>
  <c r="V97" i="115"/>
  <c r="V124" i="115"/>
  <c r="V123" i="115"/>
  <c r="V96" i="115"/>
  <c r="V95" i="115"/>
  <c r="V94" i="115"/>
  <c r="V122" i="115"/>
  <c r="V93" i="115"/>
  <c r="V92" i="115"/>
  <c r="V91" i="115"/>
  <c r="V121" i="115"/>
  <c r="V90" i="115"/>
  <c r="V89" i="115"/>
  <c r="V88" i="115"/>
  <c r="V87" i="115"/>
  <c r="V86" i="115"/>
  <c r="V85" i="115"/>
  <c r="V84" i="115"/>
  <c r="V83" i="115"/>
  <c r="V82" i="115"/>
  <c r="V81" i="115"/>
  <c r="V120" i="115"/>
  <c r="V80" i="115"/>
  <c r="V119" i="115"/>
  <c r="V79" i="115"/>
  <c r="V118" i="115"/>
  <c r="V78" i="115"/>
  <c r="V77" i="115"/>
  <c r="V76" i="115"/>
  <c r="V75" i="115"/>
  <c r="V74" i="115"/>
  <c r="V117" i="115"/>
  <c r="V73" i="115"/>
  <c r="V116" i="115"/>
  <c r="V72" i="115"/>
  <c r="V71" i="115"/>
  <c r="V70" i="115"/>
  <c r="V69" i="115"/>
  <c r="V115" i="115"/>
  <c r="V68" i="115"/>
  <c r="V67" i="115"/>
  <c r="V114" i="115"/>
  <c r="V113" i="115"/>
  <c r="V66" i="115"/>
  <c r="V65" i="115"/>
  <c r="V64" i="115"/>
  <c r="V63" i="115"/>
  <c r="V62" i="115"/>
  <c r="V61" i="115"/>
  <c r="V112" i="115"/>
  <c r="V111" i="115"/>
  <c r="V60" i="115"/>
  <c r="V110" i="115"/>
  <c r="V59" i="115"/>
  <c r="V58" i="115"/>
  <c r="V57" i="115"/>
  <c r="V56" i="115"/>
  <c r="V55" i="115"/>
  <c r="V54" i="115"/>
  <c r="V53" i="115"/>
  <c r="V52" i="115"/>
  <c r="V51" i="115"/>
  <c r="V50" i="115"/>
  <c r="V109" i="115"/>
  <c r="V49" i="115"/>
  <c r="V48" i="115"/>
  <c r="V47" i="115"/>
  <c r="V46" i="115"/>
  <c r="V108" i="115"/>
  <c r="V45" i="115"/>
  <c r="V44" i="115"/>
  <c r="V43" i="115"/>
  <c r="V42" i="115"/>
  <c r="V41" i="115"/>
  <c r="V40" i="115"/>
  <c r="V39" i="115"/>
  <c r="V107" i="115"/>
  <c r="V106" i="115"/>
  <c r="V38" i="115"/>
  <c r="V37" i="115"/>
  <c r="V105" i="115"/>
  <c r="V36" i="115"/>
  <c r="V35" i="115"/>
  <c r="V34" i="115"/>
  <c r="V33" i="115"/>
  <c r="V32" i="115"/>
  <c r="V31" i="115"/>
  <c r="V30" i="115"/>
  <c r="V104" i="115"/>
  <c r="V29" i="115"/>
  <c r="V28" i="115"/>
  <c r="V27" i="115"/>
  <c r="V26" i="115"/>
  <c r="V25" i="115"/>
  <c r="V103" i="115"/>
  <c r="V102" i="115"/>
  <c r="V24" i="115"/>
  <c r="V23" i="115"/>
  <c r="V22" i="115"/>
  <c r="V21" i="115"/>
  <c r="V20" i="115"/>
  <c r="V19" i="115"/>
  <c r="V18" i="115"/>
  <c r="V17" i="115"/>
  <c r="V101" i="115"/>
  <c r="V16" i="115"/>
  <c r="V15" i="115"/>
  <c r="V14" i="115"/>
  <c r="V13" i="115"/>
  <c r="V12" i="115"/>
  <c r="V11" i="115"/>
  <c r="V10" i="115"/>
  <c r="V9" i="115"/>
  <c r="V8" i="115"/>
  <c r="V7" i="115"/>
  <c r="V100" i="115"/>
  <c r="V6" i="115"/>
  <c r="V5" i="115"/>
  <c r="V4"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AD127" i="79" l="1"/>
  <c r="AE127" i="79"/>
  <c r="G58" i="1"/>
  <c r="J63" i="1"/>
  <c r="J62" i="1"/>
  <c r="J61" i="1"/>
  <c r="J60" i="1"/>
  <c r="B22" i="108" l="1"/>
  <c r="D37" i="108"/>
  <c r="D36" i="108"/>
  <c r="D35" i="108"/>
  <c r="D34" i="108"/>
  <c r="D33" i="108"/>
  <c r="D32" i="108"/>
  <c r="D31" i="108"/>
  <c r="D30" i="108"/>
  <c r="D29" i="108"/>
  <c r="D28" i="108"/>
  <c r="D27" i="108"/>
  <c r="D26" i="108"/>
  <c r="D25" i="108"/>
  <c r="D24" i="108"/>
  <c r="D23" i="108"/>
  <c r="B2" i="108" l="1"/>
  <c r="BB131" i="109"/>
  <c r="BA131" i="109"/>
  <c r="AZ131" i="109"/>
  <c r="AY131" i="109"/>
  <c r="AX131" i="109"/>
  <c r="AW131" i="109"/>
  <c r="AV131" i="109"/>
  <c r="AU131" i="109"/>
  <c r="AT131" i="109"/>
  <c r="AS131" i="109"/>
  <c r="AR131" i="109"/>
  <c r="AQ131" i="109"/>
  <c r="AP131" i="109"/>
  <c r="AO131" i="109"/>
  <c r="AN131" i="109"/>
  <c r="BB130" i="109"/>
  <c r="BA130" i="109"/>
  <c r="AZ130" i="109"/>
  <c r="AY130" i="109"/>
  <c r="AX130" i="109"/>
  <c r="AW130" i="109"/>
  <c r="AV130" i="109"/>
  <c r="AU130" i="109"/>
  <c r="AT130" i="109"/>
  <c r="AS130" i="109"/>
  <c r="AR130" i="109"/>
  <c r="AQ130" i="109"/>
  <c r="AP130" i="109"/>
  <c r="AO130" i="109"/>
  <c r="AN130" i="109"/>
  <c r="BB129" i="109"/>
  <c r="BA129" i="109"/>
  <c r="AZ129" i="109"/>
  <c r="AY129" i="109"/>
  <c r="AX129" i="109"/>
  <c r="AW129" i="109"/>
  <c r="AV129" i="109"/>
  <c r="AU129" i="109"/>
  <c r="AT129" i="109"/>
  <c r="AS129" i="109"/>
  <c r="AR129" i="109"/>
  <c r="AQ129" i="109"/>
  <c r="AP129" i="109"/>
  <c r="AO129" i="109"/>
  <c r="AN129" i="109"/>
  <c r="BB128" i="109"/>
  <c r="BA128" i="109"/>
  <c r="AZ128" i="109"/>
  <c r="AY128" i="109"/>
  <c r="AX128" i="109"/>
  <c r="AW128" i="109"/>
  <c r="AV128" i="109"/>
  <c r="AU128" i="109"/>
  <c r="AT128" i="109"/>
  <c r="AS128" i="109"/>
  <c r="AR128" i="109"/>
  <c r="AQ128" i="109"/>
  <c r="AP128" i="109"/>
  <c r="AO128" i="109"/>
  <c r="AN128" i="109"/>
  <c r="BB127" i="109"/>
  <c r="BA127" i="109"/>
  <c r="AZ127" i="109"/>
  <c r="AY127" i="109"/>
  <c r="AX127" i="109"/>
  <c r="AW127" i="109"/>
  <c r="AV127" i="109"/>
  <c r="AU127" i="109"/>
  <c r="AT127" i="109"/>
  <c r="AS127" i="109"/>
  <c r="AR127" i="109"/>
  <c r="AQ127" i="109"/>
  <c r="AP127" i="109"/>
  <c r="AO127" i="109"/>
  <c r="AN127" i="109"/>
  <c r="BB100" i="109"/>
  <c r="BA100" i="109"/>
  <c r="AZ100" i="109"/>
  <c r="AY100" i="109"/>
  <c r="AX100" i="109"/>
  <c r="AW100" i="109"/>
  <c r="AV100" i="109"/>
  <c r="AU100" i="109"/>
  <c r="AT100" i="109"/>
  <c r="AS100" i="109"/>
  <c r="AR100" i="109"/>
  <c r="AQ100" i="109"/>
  <c r="AP100" i="109"/>
  <c r="AO100" i="109"/>
  <c r="AN100" i="109"/>
  <c r="BB99" i="109"/>
  <c r="BA99" i="109"/>
  <c r="AZ99" i="109"/>
  <c r="AY99" i="109"/>
  <c r="AX99" i="109"/>
  <c r="AW99" i="109"/>
  <c r="AV99" i="109"/>
  <c r="AU99" i="109"/>
  <c r="AT99" i="109"/>
  <c r="AS99" i="109"/>
  <c r="AR99" i="109"/>
  <c r="AQ99" i="109"/>
  <c r="AP99" i="109"/>
  <c r="AO99" i="109"/>
  <c r="AN99" i="109"/>
  <c r="BB98" i="109"/>
  <c r="BA98" i="109"/>
  <c r="AZ98" i="109"/>
  <c r="AY98" i="109"/>
  <c r="AX98" i="109"/>
  <c r="AW98" i="109"/>
  <c r="AV98" i="109"/>
  <c r="AU98" i="109"/>
  <c r="AT98" i="109"/>
  <c r="AS98" i="109"/>
  <c r="AR98" i="109"/>
  <c r="AQ98" i="109"/>
  <c r="AP98" i="109"/>
  <c r="AO98" i="109"/>
  <c r="AN98" i="109"/>
  <c r="BB125" i="109"/>
  <c r="BA125" i="109"/>
  <c r="AZ125" i="109"/>
  <c r="AY125" i="109"/>
  <c r="AX125" i="109"/>
  <c r="AW125" i="109"/>
  <c r="AV125" i="109"/>
  <c r="AU125" i="109"/>
  <c r="AT125" i="109"/>
  <c r="AS125" i="109"/>
  <c r="AR125" i="109"/>
  <c r="AQ125" i="109"/>
  <c r="AP125" i="109"/>
  <c r="AO125" i="109"/>
  <c r="AN125" i="109"/>
  <c r="BB124" i="109"/>
  <c r="BA124" i="109"/>
  <c r="AZ124" i="109"/>
  <c r="AY124" i="109"/>
  <c r="AX124" i="109"/>
  <c r="AW124" i="109"/>
  <c r="AV124" i="109"/>
  <c r="AU124" i="109"/>
  <c r="AT124" i="109"/>
  <c r="AS124" i="109"/>
  <c r="AR124" i="109"/>
  <c r="AQ124" i="109"/>
  <c r="AP124" i="109"/>
  <c r="AO124" i="109"/>
  <c r="AN124" i="109"/>
  <c r="BB97" i="109"/>
  <c r="BA97" i="109"/>
  <c r="AZ97" i="109"/>
  <c r="AY97" i="109"/>
  <c r="AX97" i="109"/>
  <c r="AW97" i="109"/>
  <c r="AV97" i="109"/>
  <c r="AU97" i="109"/>
  <c r="AT97" i="109"/>
  <c r="AS97" i="109"/>
  <c r="AR97" i="109"/>
  <c r="AQ97" i="109"/>
  <c r="AP97" i="109"/>
  <c r="AO97" i="109"/>
  <c r="AN97" i="109"/>
  <c r="BB96" i="109"/>
  <c r="BA96" i="109"/>
  <c r="AZ96" i="109"/>
  <c r="AY96" i="109"/>
  <c r="AX96" i="109"/>
  <c r="AW96" i="109"/>
  <c r="AV96" i="109"/>
  <c r="AU96" i="109"/>
  <c r="AT96" i="109"/>
  <c r="AS96" i="109"/>
  <c r="AR96" i="109"/>
  <c r="AQ96" i="109"/>
  <c r="AP96" i="109"/>
  <c r="AO96" i="109"/>
  <c r="AN96" i="109"/>
  <c r="BB95" i="109"/>
  <c r="BA95" i="109"/>
  <c r="AZ95" i="109"/>
  <c r="AY95" i="109"/>
  <c r="AX95" i="109"/>
  <c r="AW95" i="109"/>
  <c r="AV95" i="109"/>
  <c r="AU95" i="109"/>
  <c r="AT95" i="109"/>
  <c r="AS95" i="109"/>
  <c r="AR95" i="109"/>
  <c r="AQ95" i="109"/>
  <c r="AP95" i="109"/>
  <c r="AO95" i="109"/>
  <c r="AN95" i="109"/>
  <c r="BB123" i="109"/>
  <c r="BA123" i="109"/>
  <c r="AZ123" i="109"/>
  <c r="AY123" i="109"/>
  <c r="AX123" i="109"/>
  <c r="AW123" i="109"/>
  <c r="AV123" i="109"/>
  <c r="AU123" i="109"/>
  <c r="AT123" i="109"/>
  <c r="AS123" i="109"/>
  <c r="AR123" i="109"/>
  <c r="AQ123" i="109"/>
  <c r="AP123" i="109"/>
  <c r="AO123" i="109"/>
  <c r="AN123" i="109"/>
  <c r="BB94" i="109"/>
  <c r="BA94" i="109"/>
  <c r="AZ94" i="109"/>
  <c r="AY94" i="109"/>
  <c r="AX94" i="109"/>
  <c r="AW94" i="109"/>
  <c r="AV94" i="109"/>
  <c r="AU94" i="109"/>
  <c r="AT94" i="109"/>
  <c r="AS94" i="109"/>
  <c r="AR94" i="109"/>
  <c r="AQ94" i="109"/>
  <c r="AP94" i="109"/>
  <c r="AO94" i="109"/>
  <c r="AN94" i="109"/>
  <c r="BB93" i="109"/>
  <c r="BA93" i="109"/>
  <c r="AZ93" i="109"/>
  <c r="AY93" i="109"/>
  <c r="AX93" i="109"/>
  <c r="AW93" i="109"/>
  <c r="AV93" i="109"/>
  <c r="AU93" i="109"/>
  <c r="AT93" i="109"/>
  <c r="AS93" i="109"/>
  <c r="AR93" i="109"/>
  <c r="AQ93" i="109"/>
  <c r="AP93" i="109"/>
  <c r="AO93" i="109"/>
  <c r="AN93" i="109"/>
  <c r="BB92" i="109"/>
  <c r="BA92" i="109"/>
  <c r="AZ92" i="109"/>
  <c r="AY92" i="109"/>
  <c r="AX92" i="109"/>
  <c r="AW92" i="109"/>
  <c r="AV92" i="109"/>
  <c r="AU92" i="109"/>
  <c r="AT92" i="109"/>
  <c r="AS92" i="109"/>
  <c r="AR92" i="109"/>
  <c r="AQ92" i="109"/>
  <c r="AP92" i="109"/>
  <c r="AO92" i="109"/>
  <c r="AN92" i="109"/>
  <c r="BB122" i="109"/>
  <c r="BA122" i="109"/>
  <c r="AZ122" i="109"/>
  <c r="AY122" i="109"/>
  <c r="AX122" i="109"/>
  <c r="AW122" i="109"/>
  <c r="AV122" i="109"/>
  <c r="AU122" i="109"/>
  <c r="AT122" i="109"/>
  <c r="AS122" i="109"/>
  <c r="AR122" i="109"/>
  <c r="AQ122" i="109"/>
  <c r="AP122" i="109"/>
  <c r="AO122" i="109"/>
  <c r="AN122" i="109"/>
  <c r="BB91" i="109"/>
  <c r="BA91" i="109"/>
  <c r="AZ91" i="109"/>
  <c r="AY91" i="109"/>
  <c r="AX91" i="109"/>
  <c r="AW91" i="109"/>
  <c r="AV91" i="109"/>
  <c r="AU91" i="109"/>
  <c r="AT91" i="109"/>
  <c r="AS91" i="109"/>
  <c r="AR91" i="109"/>
  <c r="AQ91" i="109"/>
  <c r="AP91" i="109"/>
  <c r="AO91" i="109"/>
  <c r="AN91" i="109"/>
  <c r="BB90" i="109"/>
  <c r="BA90" i="109"/>
  <c r="AZ90" i="109"/>
  <c r="AY90" i="109"/>
  <c r="AX90" i="109"/>
  <c r="AW90" i="109"/>
  <c r="AV90" i="109"/>
  <c r="AU90" i="109"/>
  <c r="AT90" i="109"/>
  <c r="AS90" i="109"/>
  <c r="AR90" i="109"/>
  <c r="AQ90" i="109"/>
  <c r="AP90" i="109"/>
  <c r="AO90" i="109"/>
  <c r="AN90" i="109"/>
  <c r="BB89" i="109"/>
  <c r="BA89" i="109"/>
  <c r="AZ89" i="109"/>
  <c r="AY89" i="109"/>
  <c r="AX89" i="109"/>
  <c r="AW89" i="109"/>
  <c r="AV89" i="109"/>
  <c r="AU89" i="109"/>
  <c r="AT89" i="109"/>
  <c r="AS89" i="109"/>
  <c r="AR89" i="109"/>
  <c r="AQ89" i="109"/>
  <c r="AP89" i="109"/>
  <c r="AO89" i="109"/>
  <c r="AN89" i="109"/>
  <c r="BB88" i="109"/>
  <c r="BA88" i="109"/>
  <c r="AZ88" i="109"/>
  <c r="AY88" i="109"/>
  <c r="AX88" i="109"/>
  <c r="AW88" i="109"/>
  <c r="AV88" i="109"/>
  <c r="AU88" i="109"/>
  <c r="AT88" i="109"/>
  <c r="AS88" i="109"/>
  <c r="AR88" i="109"/>
  <c r="AQ88" i="109"/>
  <c r="AP88" i="109"/>
  <c r="AO88" i="109"/>
  <c r="AN88" i="109"/>
  <c r="BB87" i="109"/>
  <c r="BA87" i="109"/>
  <c r="AZ87" i="109"/>
  <c r="AY87" i="109"/>
  <c r="AX87" i="109"/>
  <c r="AW87" i="109"/>
  <c r="AV87" i="109"/>
  <c r="AU87" i="109"/>
  <c r="AT87" i="109"/>
  <c r="AS87" i="109"/>
  <c r="AR87" i="109"/>
  <c r="AQ87" i="109"/>
  <c r="AP87" i="109"/>
  <c r="AO87" i="109"/>
  <c r="AN87" i="109"/>
  <c r="BB86" i="109"/>
  <c r="BA86" i="109"/>
  <c r="AZ86" i="109"/>
  <c r="AY86" i="109"/>
  <c r="AX86" i="109"/>
  <c r="AW86" i="109"/>
  <c r="AV86" i="109"/>
  <c r="AU86" i="109"/>
  <c r="AT86" i="109"/>
  <c r="AS86" i="109"/>
  <c r="AR86" i="109"/>
  <c r="AQ86" i="109"/>
  <c r="AP86" i="109"/>
  <c r="AO86" i="109"/>
  <c r="AN86" i="109"/>
  <c r="BB85" i="109"/>
  <c r="BA85" i="109"/>
  <c r="AZ85" i="109"/>
  <c r="AY85" i="109"/>
  <c r="AX85" i="109"/>
  <c r="AW85" i="109"/>
  <c r="AV85" i="109"/>
  <c r="AU85" i="109"/>
  <c r="AT85" i="109"/>
  <c r="AS85" i="109"/>
  <c r="AR85" i="109"/>
  <c r="AQ85" i="109"/>
  <c r="AP85" i="109"/>
  <c r="AO85" i="109"/>
  <c r="AN85" i="109"/>
  <c r="BB84" i="109"/>
  <c r="BA84" i="109"/>
  <c r="AZ84" i="109"/>
  <c r="AY84" i="109"/>
  <c r="AX84" i="109"/>
  <c r="AW84" i="109"/>
  <c r="AV84" i="109"/>
  <c r="AU84" i="109"/>
  <c r="AT84" i="109"/>
  <c r="AS84" i="109"/>
  <c r="AR84" i="109"/>
  <c r="AQ84" i="109"/>
  <c r="AP84" i="109"/>
  <c r="AO84" i="109"/>
  <c r="AN84" i="109"/>
  <c r="BB83" i="109"/>
  <c r="BA83" i="109"/>
  <c r="AZ83" i="109"/>
  <c r="AY83" i="109"/>
  <c r="AX83" i="109"/>
  <c r="AW83" i="109"/>
  <c r="AV83" i="109"/>
  <c r="AU83" i="109"/>
  <c r="AT83" i="109"/>
  <c r="AS83" i="109"/>
  <c r="AR83" i="109"/>
  <c r="AQ83" i="109"/>
  <c r="AP83" i="109"/>
  <c r="AO83" i="109"/>
  <c r="AN83" i="109"/>
  <c r="BB82" i="109"/>
  <c r="BA82" i="109"/>
  <c r="AZ82" i="109"/>
  <c r="AY82" i="109"/>
  <c r="AX82" i="109"/>
  <c r="AW82" i="109"/>
  <c r="AV82" i="109"/>
  <c r="AU82" i="109"/>
  <c r="AT82" i="109"/>
  <c r="AS82" i="109"/>
  <c r="AR82" i="109"/>
  <c r="AQ82" i="109"/>
  <c r="AP82" i="109"/>
  <c r="AO82" i="109"/>
  <c r="AN82" i="109"/>
  <c r="BB121" i="109"/>
  <c r="BA121" i="109"/>
  <c r="AZ121" i="109"/>
  <c r="AY121" i="109"/>
  <c r="AX121" i="109"/>
  <c r="AW121" i="109"/>
  <c r="AV121" i="109"/>
  <c r="AU121" i="109"/>
  <c r="AT121" i="109"/>
  <c r="AS121" i="109"/>
  <c r="AR121" i="109"/>
  <c r="AQ121" i="109"/>
  <c r="AP121" i="109"/>
  <c r="AO121" i="109"/>
  <c r="AN121" i="109"/>
  <c r="BB81" i="109"/>
  <c r="BA81" i="109"/>
  <c r="AZ81" i="109"/>
  <c r="AY81" i="109"/>
  <c r="AX81" i="109"/>
  <c r="AW81" i="109"/>
  <c r="AV81" i="109"/>
  <c r="AU81" i="109"/>
  <c r="AT81" i="109"/>
  <c r="AS81" i="109"/>
  <c r="AR81" i="109"/>
  <c r="AQ81" i="109"/>
  <c r="AP81" i="109"/>
  <c r="AO81" i="109"/>
  <c r="AN81" i="109"/>
  <c r="BB120" i="109"/>
  <c r="BA120" i="109"/>
  <c r="AZ120" i="109"/>
  <c r="AY120" i="109"/>
  <c r="AX120" i="109"/>
  <c r="AW120" i="109"/>
  <c r="AV120" i="109"/>
  <c r="AU120" i="109"/>
  <c r="AT120" i="109"/>
  <c r="AS120" i="109"/>
  <c r="AR120" i="109"/>
  <c r="AQ120" i="109"/>
  <c r="AP120" i="109"/>
  <c r="AO120" i="109"/>
  <c r="AN120" i="109"/>
  <c r="BB80" i="109"/>
  <c r="BA80" i="109"/>
  <c r="AZ80" i="109"/>
  <c r="AY80" i="109"/>
  <c r="AX80" i="109"/>
  <c r="AW80" i="109"/>
  <c r="AV80" i="109"/>
  <c r="AU80" i="109"/>
  <c r="AT80" i="109"/>
  <c r="AS80" i="109"/>
  <c r="AR80" i="109"/>
  <c r="AQ80" i="109"/>
  <c r="AP80" i="109"/>
  <c r="AO80" i="109"/>
  <c r="AN80" i="109"/>
  <c r="BB119" i="109"/>
  <c r="BA119" i="109"/>
  <c r="AZ119" i="109"/>
  <c r="AY119" i="109"/>
  <c r="AX119" i="109"/>
  <c r="AW119" i="109"/>
  <c r="AV119" i="109"/>
  <c r="AU119" i="109"/>
  <c r="AT119" i="109"/>
  <c r="AS119" i="109"/>
  <c r="AR119" i="109"/>
  <c r="AQ119" i="109"/>
  <c r="AP119" i="109"/>
  <c r="AO119" i="109"/>
  <c r="AN119" i="109"/>
  <c r="BB79" i="109"/>
  <c r="BA79" i="109"/>
  <c r="AZ79" i="109"/>
  <c r="AY79" i="109"/>
  <c r="AX79" i="109"/>
  <c r="AW79" i="109"/>
  <c r="AV79" i="109"/>
  <c r="AU79" i="109"/>
  <c r="AT79" i="109"/>
  <c r="AS79" i="109"/>
  <c r="AR79" i="109"/>
  <c r="AQ79" i="109"/>
  <c r="AP79" i="109"/>
  <c r="AO79" i="109"/>
  <c r="AN79" i="109"/>
  <c r="BB78" i="109"/>
  <c r="BA78" i="109"/>
  <c r="AZ78" i="109"/>
  <c r="AY78" i="109"/>
  <c r="AX78" i="109"/>
  <c r="AW78" i="109"/>
  <c r="AV78" i="109"/>
  <c r="AU78" i="109"/>
  <c r="AT78" i="109"/>
  <c r="AS78" i="109"/>
  <c r="AR78" i="109"/>
  <c r="AQ78" i="109"/>
  <c r="AP78" i="109"/>
  <c r="AO78" i="109"/>
  <c r="AN78" i="109"/>
  <c r="BB77" i="109"/>
  <c r="BA77" i="109"/>
  <c r="AZ77" i="109"/>
  <c r="AY77" i="109"/>
  <c r="AX77" i="109"/>
  <c r="AW77" i="109"/>
  <c r="AV77" i="109"/>
  <c r="AU77" i="109"/>
  <c r="AT77" i="109"/>
  <c r="AS77" i="109"/>
  <c r="AR77" i="109"/>
  <c r="AQ77" i="109"/>
  <c r="AP77" i="109"/>
  <c r="AO77" i="109"/>
  <c r="AN77" i="109"/>
  <c r="BB76" i="109"/>
  <c r="BA76" i="109"/>
  <c r="AZ76" i="109"/>
  <c r="AY76" i="109"/>
  <c r="AX76" i="109"/>
  <c r="AW76" i="109"/>
  <c r="AV76" i="109"/>
  <c r="AU76" i="109"/>
  <c r="AT76" i="109"/>
  <c r="AS76" i="109"/>
  <c r="AR76" i="109"/>
  <c r="AQ76" i="109"/>
  <c r="AP76" i="109"/>
  <c r="AO76" i="109"/>
  <c r="AN76" i="109"/>
  <c r="BB75" i="109"/>
  <c r="BA75" i="109"/>
  <c r="AZ75" i="109"/>
  <c r="AY75" i="109"/>
  <c r="AX75" i="109"/>
  <c r="AW75" i="109"/>
  <c r="AV75" i="109"/>
  <c r="AU75" i="109"/>
  <c r="AT75" i="109"/>
  <c r="AS75" i="109"/>
  <c r="AR75" i="109"/>
  <c r="AQ75" i="109"/>
  <c r="AP75" i="109"/>
  <c r="AO75" i="109"/>
  <c r="AN75" i="109"/>
  <c r="BB118" i="109"/>
  <c r="BA118" i="109"/>
  <c r="AZ118" i="109"/>
  <c r="AY118" i="109"/>
  <c r="AX118" i="109"/>
  <c r="AW118" i="109"/>
  <c r="AV118" i="109"/>
  <c r="AU118" i="109"/>
  <c r="AT118" i="109"/>
  <c r="AS118" i="109"/>
  <c r="AR118" i="109"/>
  <c r="AQ118" i="109"/>
  <c r="AP118" i="109"/>
  <c r="AO118" i="109"/>
  <c r="AN118" i="109"/>
  <c r="BB74" i="109"/>
  <c r="BA74" i="109"/>
  <c r="AZ74" i="109"/>
  <c r="AY74" i="109"/>
  <c r="AX74" i="109"/>
  <c r="AW74" i="109"/>
  <c r="AV74" i="109"/>
  <c r="AU74" i="109"/>
  <c r="AT74" i="109"/>
  <c r="AS74" i="109"/>
  <c r="AR74" i="109"/>
  <c r="AQ74" i="109"/>
  <c r="AP74" i="109"/>
  <c r="AO74" i="109"/>
  <c r="AN74" i="109"/>
  <c r="BB117" i="109"/>
  <c r="BA117" i="109"/>
  <c r="AZ117" i="109"/>
  <c r="AY117" i="109"/>
  <c r="AX117" i="109"/>
  <c r="AW117" i="109"/>
  <c r="AV117" i="109"/>
  <c r="AU117" i="109"/>
  <c r="AT117" i="109"/>
  <c r="AS117" i="109"/>
  <c r="AR117" i="109"/>
  <c r="AQ117" i="109"/>
  <c r="AP117" i="109"/>
  <c r="AO117" i="109"/>
  <c r="AN117" i="109"/>
  <c r="BB73" i="109"/>
  <c r="BA73" i="109"/>
  <c r="AZ73" i="109"/>
  <c r="AY73" i="109"/>
  <c r="AX73" i="109"/>
  <c r="AW73" i="109"/>
  <c r="AV73" i="109"/>
  <c r="AU73" i="109"/>
  <c r="AT73" i="109"/>
  <c r="AS73" i="109"/>
  <c r="AR73" i="109"/>
  <c r="AQ73" i="109"/>
  <c r="AP73" i="109"/>
  <c r="AO73" i="109"/>
  <c r="AN73" i="109"/>
  <c r="BB72" i="109"/>
  <c r="BA72" i="109"/>
  <c r="AZ72" i="109"/>
  <c r="AY72" i="109"/>
  <c r="AX72" i="109"/>
  <c r="AW72" i="109"/>
  <c r="AV72" i="109"/>
  <c r="AU72" i="109"/>
  <c r="AT72" i="109"/>
  <c r="AS72" i="109"/>
  <c r="AR72" i="109"/>
  <c r="AQ72" i="109"/>
  <c r="AP72" i="109"/>
  <c r="AO72" i="109"/>
  <c r="AN72" i="109"/>
  <c r="BB71" i="109"/>
  <c r="BA71" i="109"/>
  <c r="AZ71" i="109"/>
  <c r="AY71" i="109"/>
  <c r="AX71" i="109"/>
  <c r="AW71" i="109"/>
  <c r="AV71" i="109"/>
  <c r="AU71" i="109"/>
  <c r="AT71" i="109"/>
  <c r="AS71" i="109"/>
  <c r="AR71" i="109"/>
  <c r="AQ71" i="109"/>
  <c r="AP71" i="109"/>
  <c r="AO71" i="109"/>
  <c r="AN71" i="109"/>
  <c r="BB70" i="109"/>
  <c r="BA70" i="109"/>
  <c r="AZ70" i="109"/>
  <c r="AY70" i="109"/>
  <c r="AX70" i="109"/>
  <c r="AW70" i="109"/>
  <c r="AV70" i="109"/>
  <c r="AU70" i="109"/>
  <c r="AT70" i="109"/>
  <c r="AS70" i="109"/>
  <c r="AR70" i="109"/>
  <c r="AQ70" i="109"/>
  <c r="AP70" i="109"/>
  <c r="AO70" i="109"/>
  <c r="AN70" i="109"/>
  <c r="BB116" i="109"/>
  <c r="BA116" i="109"/>
  <c r="AZ116" i="109"/>
  <c r="AY116" i="109"/>
  <c r="AX116" i="109"/>
  <c r="AW116" i="109"/>
  <c r="AV116" i="109"/>
  <c r="AU116" i="109"/>
  <c r="AT116" i="109"/>
  <c r="AS116" i="109"/>
  <c r="AR116" i="109"/>
  <c r="AQ116" i="109"/>
  <c r="AP116" i="109"/>
  <c r="AO116" i="109"/>
  <c r="AN116" i="109"/>
  <c r="BB69" i="109"/>
  <c r="BA69" i="109"/>
  <c r="AZ69" i="109"/>
  <c r="AY69" i="109"/>
  <c r="AX69" i="109"/>
  <c r="AW69" i="109"/>
  <c r="AV69" i="109"/>
  <c r="AU69" i="109"/>
  <c r="AT69" i="109"/>
  <c r="AS69" i="109"/>
  <c r="AR69" i="109"/>
  <c r="AQ69" i="109"/>
  <c r="AP69" i="109"/>
  <c r="AO69" i="109"/>
  <c r="AN69" i="109"/>
  <c r="BB68" i="109"/>
  <c r="BA68" i="109"/>
  <c r="AZ68" i="109"/>
  <c r="AY68" i="109"/>
  <c r="AX68" i="109"/>
  <c r="AW68" i="109"/>
  <c r="AV68" i="109"/>
  <c r="AU68" i="109"/>
  <c r="AT68" i="109"/>
  <c r="AS68" i="109"/>
  <c r="AR68" i="109"/>
  <c r="AQ68" i="109"/>
  <c r="AP68" i="109"/>
  <c r="AO68" i="109"/>
  <c r="AN68" i="109"/>
  <c r="BB115" i="109"/>
  <c r="BA115" i="109"/>
  <c r="AZ115" i="109"/>
  <c r="AY115" i="109"/>
  <c r="AX115" i="109"/>
  <c r="AW115" i="109"/>
  <c r="AV115" i="109"/>
  <c r="AU115" i="109"/>
  <c r="AT115" i="109"/>
  <c r="AS115" i="109"/>
  <c r="AR115" i="109"/>
  <c r="AQ115" i="109"/>
  <c r="AP115" i="109"/>
  <c r="AO115" i="109"/>
  <c r="AN115" i="109"/>
  <c r="BB114" i="109"/>
  <c r="BA114" i="109"/>
  <c r="AZ114" i="109"/>
  <c r="AY114" i="109"/>
  <c r="AX114" i="109"/>
  <c r="AW114" i="109"/>
  <c r="AV114" i="109"/>
  <c r="AU114" i="109"/>
  <c r="AT114" i="109"/>
  <c r="AS114" i="109"/>
  <c r="AR114" i="109"/>
  <c r="AQ114" i="109"/>
  <c r="AP114" i="109"/>
  <c r="AO114" i="109"/>
  <c r="AN114" i="109"/>
  <c r="BB67" i="109"/>
  <c r="BA67" i="109"/>
  <c r="AZ67" i="109"/>
  <c r="AY67" i="109"/>
  <c r="AX67" i="109"/>
  <c r="AW67" i="109"/>
  <c r="AV67" i="109"/>
  <c r="AU67" i="109"/>
  <c r="AT67" i="109"/>
  <c r="AS67" i="109"/>
  <c r="AR67" i="109"/>
  <c r="AQ67" i="109"/>
  <c r="AP67" i="109"/>
  <c r="AO67" i="109"/>
  <c r="AN67" i="109"/>
  <c r="BB66" i="109"/>
  <c r="BA66" i="109"/>
  <c r="AZ66" i="109"/>
  <c r="AY66" i="109"/>
  <c r="AX66" i="109"/>
  <c r="AW66" i="109"/>
  <c r="AV66" i="109"/>
  <c r="AU66" i="109"/>
  <c r="AT66" i="109"/>
  <c r="AS66" i="109"/>
  <c r="AR66" i="109"/>
  <c r="AQ66" i="109"/>
  <c r="AP66" i="109"/>
  <c r="AO66" i="109"/>
  <c r="AN66" i="109"/>
  <c r="BB65" i="109"/>
  <c r="BA65" i="109"/>
  <c r="AZ65" i="109"/>
  <c r="AY65" i="109"/>
  <c r="AX65" i="109"/>
  <c r="AW65" i="109"/>
  <c r="AV65" i="109"/>
  <c r="AU65" i="109"/>
  <c r="AT65" i="109"/>
  <c r="AS65" i="109"/>
  <c r="AR65" i="109"/>
  <c r="AQ65" i="109"/>
  <c r="AP65" i="109"/>
  <c r="AO65" i="109"/>
  <c r="AN65" i="109"/>
  <c r="BB64" i="109"/>
  <c r="BA64" i="109"/>
  <c r="AZ64" i="109"/>
  <c r="AY64" i="109"/>
  <c r="AX64" i="109"/>
  <c r="AW64" i="109"/>
  <c r="AV64" i="109"/>
  <c r="AU64" i="109"/>
  <c r="AT64" i="109"/>
  <c r="AS64" i="109"/>
  <c r="AR64" i="109"/>
  <c r="AQ64" i="109"/>
  <c r="AP64" i="109"/>
  <c r="AO64" i="109"/>
  <c r="AN64" i="109"/>
  <c r="BB63" i="109"/>
  <c r="BA63" i="109"/>
  <c r="AZ63" i="109"/>
  <c r="AY63" i="109"/>
  <c r="AX63" i="109"/>
  <c r="AW63" i="109"/>
  <c r="AV63" i="109"/>
  <c r="AU63" i="109"/>
  <c r="AT63" i="109"/>
  <c r="AS63" i="109"/>
  <c r="AR63" i="109"/>
  <c r="AQ63" i="109"/>
  <c r="AP63" i="109"/>
  <c r="AO63" i="109"/>
  <c r="AN63" i="109"/>
  <c r="BB62" i="109"/>
  <c r="BA62" i="109"/>
  <c r="AZ62" i="109"/>
  <c r="AY62" i="109"/>
  <c r="AX62" i="109"/>
  <c r="AW62" i="109"/>
  <c r="AV62" i="109"/>
  <c r="AU62" i="109"/>
  <c r="AT62" i="109"/>
  <c r="AS62" i="109"/>
  <c r="AR62" i="109"/>
  <c r="AQ62" i="109"/>
  <c r="AP62" i="109"/>
  <c r="AO62" i="109"/>
  <c r="AN62" i="109"/>
  <c r="BB113" i="109"/>
  <c r="BA113" i="109"/>
  <c r="AZ113" i="109"/>
  <c r="AY113" i="109"/>
  <c r="AX113" i="109"/>
  <c r="AW113" i="109"/>
  <c r="AV113" i="109"/>
  <c r="AU113" i="109"/>
  <c r="AT113" i="109"/>
  <c r="AS113" i="109"/>
  <c r="AR113" i="109"/>
  <c r="AQ113" i="109"/>
  <c r="AP113" i="109"/>
  <c r="AO113" i="109"/>
  <c r="AN113" i="109"/>
  <c r="BB112" i="109"/>
  <c r="BA112" i="109"/>
  <c r="AZ112" i="109"/>
  <c r="AY112" i="109"/>
  <c r="AX112" i="109"/>
  <c r="AW112" i="109"/>
  <c r="AV112" i="109"/>
  <c r="AU112" i="109"/>
  <c r="AT112" i="109"/>
  <c r="AS112" i="109"/>
  <c r="AR112" i="109"/>
  <c r="AQ112" i="109"/>
  <c r="AP112" i="109"/>
  <c r="AO112" i="109"/>
  <c r="AN112" i="109"/>
  <c r="BB61" i="109"/>
  <c r="BA61" i="109"/>
  <c r="AZ61" i="109"/>
  <c r="AY61" i="109"/>
  <c r="AX61" i="109"/>
  <c r="AW61" i="109"/>
  <c r="AV61" i="109"/>
  <c r="AU61" i="109"/>
  <c r="AT61" i="109"/>
  <c r="AS61" i="109"/>
  <c r="AR61" i="109"/>
  <c r="AQ61" i="109"/>
  <c r="AP61" i="109"/>
  <c r="AO61" i="109"/>
  <c r="AN61" i="109"/>
  <c r="BB111" i="109"/>
  <c r="BA111" i="109"/>
  <c r="AZ111" i="109"/>
  <c r="AY111" i="109"/>
  <c r="AX111" i="109"/>
  <c r="AW111" i="109"/>
  <c r="AV111" i="109"/>
  <c r="AU111" i="109"/>
  <c r="AT111" i="109"/>
  <c r="AS111" i="109"/>
  <c r="AR111" i="109"/>
  <c r="AQ111" i="109"/>
  <c r="AP111" i="109"/>
  <c r="AO111" i="109"/>
  <c r="AN111" i="109"/>
  <c r="BB60" i="109"/>
  <c r="BA60" i="109"/>
  <c r="AZ60" i="109"/>
  <c r="AY60" i="109"/>
  <c r="AX60" i="109"/>
  <c r="AW60" i="109"/>
  <c r="AV60" i="109"/>
  <c r="AU60" i="109"/>
  <c r="AT60" i="109"/>
  <c r="AS60" i="109"/>
  <c r="AR60" i="109"/>
  <c r="AQ60" i="109"/>
  <c r="AP60" i="109"/>
  <c r="AO60" i="109"/>
  <c r="AN60" i="109"/>
  <c r="BB59" i="109"/>
  <c r="BA59" i="109"/>
  <c r="AZ59" i="109"/>
  <c r="AY59" i="109"/>
  <c r="AX59" i="109"/>
  <c r="AW59" i="109"/>
  <c r="AV59" i="109"/>
  <c r="AU59" i="109"/>
  <c r="AT59" i="109"/>
  <c r="AS59" i="109"/>
  <c r="AR59" i="109"/>
  <c r="AQ59" i="109"/>
  <c r="AP59" i="109"/>
  <c r="AO59" i="109"/>
  <c r="AN59" i="109"/>
  <c r="BB58" i="109"/>
  <c r="BA58" i="109"/>
  <c r="AZ58" i="109"/>
  <c r="AY58" i="109"/>
  <c r="AX58" i="109"/>
  <c r="AW58" i="109"/>
  <c r="AV58" i="109"/>
  <c r="AU58" i="109"/>
  <c r="AT58" i="109"/>
  <c r="AS58" i="109"/>
  <c r="AR58" i="109"/>
  <c r="AQ58" i="109"/>
  <c r="AP58" i="109"/>
  <c r="AO58" i="109"/>
  <c r="AN58" i="109"/>
  <c r="BB57" i="109"/>
  <c r="BA57" i="109"/>
  <c r="AZ57" i="109"/>
  <c r="AY57" i="109"/>
  <c r="AX57" i="109"/>
  <c r="AW57" i="109"/>
  <c r="AV57" i="109"/>
  <c r="AU57" i="109"/>
  <c r="AT57" i="109"/>
  <c r="AS57" i="109"/>
  <c r="AR57" i="109"/>
  <c r="AQ57" i="109"/>
  <c r="AP57" i="109"/>
  <c r="AO57" i="109"/>
  <c r="AN57" i="109"/>
  <c r="BB56" i="109"/>
  <c r="BA56" i="109"/>
  <c r="AZ56" i="109"/>
  <c r="AY56" i="109"/>
  <c r="AX56" i="109"/>
  <c r="AW56" i="109"/>
  <c r="AV56" i="109"/>
  <c r="AU56" i="109"/>
  <c r="AT56" i="109"/>
  <c r="AS56" i="109"/>
  <c r="AR56" i="109"/>
  <c r="AQ56" i="109"/>
  <c r="AP56" i="109"/>
  <c r="AO56" i="109"/>
  <c r="AN56" i="109"/>
  <c r="BB55" i="109"/>
  <c r="BA55" i="109"/>
  <c r="AZ55" i="109"/>
  <c r="AY55" i="109"/>
  <c r="AX55" i="109"/>
  <c r="AW55" i="109"/>
  <c r="AV55" i="109"/>
  <c r="AU55" i="109"/>
  <c r="AT55" i="109"/>
  <c r="AS55" i="109"/>
  <c r="AR55" i="109"/>
  <c r="AQ55" i="109"/>
  <c r="AP55" i="109"/>
  <c r="AO55" i="109"/>
  <c r="AN55" i="109"/>
  <c r="BB54" i="109"/>
  <c r="BA54" i="109"/>
  <c r="AZ54" i="109"/>
  <c r="AY54" i="109"/>
  <c r="AX54" i="109"/>
  <c r="AW54" i="109"/>
  <c r="AV54" i="109"/>
  <c r="AU54" i="109"/>
  <c r="AT54" i="109"/>
  <c r="AS54" i="109"/>
  <c r="AR54" i="109"/>
  <c r="AQ54" i="109"/>
  <c r="AP54" i="109"/>
  <c r="AO54" i="109"/>
  <c r="AN54" i="109"/>
  <c r="BB53" i="109"/>
  <c r="BA53" i="109"/>
  <c r="AZ53" i="109"/>
  <c r="AY53" i="109"/>
  <c r="AX53" i="109"/>
  <c r="AW53" i="109"/>
  <c r="AV53" i="109"/>
  <c r="AU53" i="109"/>
  <c r="AT53" i="109"/>
  <c r="AS53" i="109"/>
  <c r="AR53" i="109"/>
  <c r="AQ53" i="109"/>
  <c r="AP53" i="109"/>
  <c r="AO53" i="109"/>
  <c r="AN53" i="109"/>
  <c r="BB52" i="109"/>
  <c r="BA52" i="109"/>
  <c r="AZ52" i="109"/>
  <c r="AY52" i="109"/>
  <c r="AX52" i="109"/>
  <c r="AW52" i="109"/>
  <c r="AV52" i="109"/>
  <c r="AU52" i="109"/>
  <c r="AT52" i="109"/>
  <c r="AS52" i="109"/>
  <c r="AR52" i="109"/>
  <c r="AQ52" i="109"/>
  <c r="AP52" i="109"/>
  <c r="AO52" i="109"/>
  <c r="AN52" i="109"/>
  <c r="BB51" i="109"/>
  <c r="BA51" i="109"/>
  <c r="AZ51" i="109"/>
  <c r="AY51" i="109"/>
  <c r="AX51" i="109"/>
  <c r="AW51" i="109"/>
  <c r="AV51" i="109"/>
  <c r="AU51" i="109"/>
  <c r="AT51" i="109"/>
  <c r="AS51" i="109"/>
  <c r="AR51" i="109"/>
  <c r="AQ51" i="109"/>
  <c r="AP51" i="109"/>
  <c r="AO51" i="109"/>
  <c r="AN51" i="109"/>
  <c r="BB110" i="109"/>
  <c r="BA110" i="109"/>
  <c r="AZ110" i="109"/>
  <c r="AY110" i="109"/>
  <c r="AX110" i="109"/>
  <c r="AW110" i="109"/>
  <c r="AV110" i="109"/>
  <c r="AU110" i="109"/>
  <c r="AT110" i="109"/>
  <c r="AS110" i="109"/>
  <c r="AR110" i="109"/>
  <c r="AQ110" i="109"/>
  <c r="AP110" i="109"/>
  <c r="AO110" i="109"/>
  <c r="AN110" i="109"/>
  <c r="BB50" i="109"/>
  <c r="BA50" i="109"/>
  <c r="AZ50" i="109"/>
  <c r="AY50" i="109"/>
  <c r="AX50" i="109"/>
  <c r="AW50" i="109"/>
  <c r="AV50" i="109"/>
  <c r="AU50" i="109"/>
  <c r="AT50" i="109"/>
  <c r="AS50" i="109"/>
  <c r="AR50" i="109"/>
  <c r="AQ50" i="109"/>
  <c r="AP50" i="109"/>
  <c r="AO50" i="109"/>
  <c r="AN50" i="109"/>
  <c r="BB49" i="109"/>
  <c r="BA49" i="109"/>
  <c r="AZ49" i="109"/>
  <c r="AY49" i="109"/>
  <c r="AX49" i="109"/>
  <c r="AW49" i="109"/>
  <c r="AV49" i="109"/>
  <c r="AU49" i="109"/>
  <c r="AT49" i="109"/>
  <c r="AS49" i="109"/>
  <c r="AR49" i="109"/>
  <c r="AQ49" i="109"/>
  <c r="AP49" i="109"/>
  <c r="AO49" i="109"/>
  <c r="AN49" i="109"/>
  <c r="BB48" i="109"/>
  <c r="BA48" i="109"/>
  <c r="AZ48" i="109"/>
  <c r="AY48" i="109"/>
  <c r="AX48" i="109"/>
  <c r="AW48" i="109"/>
  <c r="AV48" i="109"/>
  <c r="AU48" i="109"/>
  <c r="AT48" i="109"/>
  <c r="AS48" i="109"/>
  <c r="AR48" i="109"/>
  <c r="AQ48" i="109"/>
  <c r="AP48" i="109"/>
  <c r="AO48" i="109"/>
  <c r="AN48" i="109"/>
  <c r="BB47" i="109"/>
  <c r="BA47" i="109"/>
  <c r="AZ47" i="109"/>
  <c r="AY47" i="109"/>
  <c r="AX47" i="109"/>
  <c r="AW47" i="109"/>
  <c r="AV47" i="109"/>
  <c r="AU47" i="109"/>
  <c r="AT47" i="109"/>
  <c r="AS47" i="109"/>
  <c r="AR47" i="109"/>
  <c r="AQ47" i="109"/>
  <c r="AP47" i="109"/>
  <c r="AO47" i="109"/>
  <c r="AN47" i="109"/>
  <c r="BB109" i="109"/>
  <c r="BA109" i="109"/>
  <c r="AZ109" i="109"/>
  <c r="AY109" i="109"/>
  <c r="AX109" i="109"/>
  <c r="AW109" i="109"/>
  <c r="AV109" i="109"/>
  <c r="AU109" i="109"/>
  <c r="AT109" i="109"/>
  <c r="AS109" i="109"/>
  <c r="AR109" i="109"/>
  <c r="AQ109" i="109"/>
  <c r="AP109" i="109"/>
  <c r="AO109" i="109"/>
  <c r="AN109" i="109"/>
  <c r="BB46" i="109"/>
  <c r="BA46" i="109"/>
  <c r="AZ46" i="109"/>
  <c r="AY46" i="109"/>
  <c r="AX46" i="109"/>
  <c r="AW46" i="109"/>
  <c r="AV46" i="109"/>
  <c r="AU46" i="109"/>
  <c r="AT46" i="109"/>
  <c r="AS46" i="109"/>
  <c r="AR46" i="109"/>
  <c r="AQ46" i="109"/>
  <c r="AP46" i="109"/>
  <c r="AO46" i="109"/>
  <c r="AN46" i="109"/>
  <c r="BB45" i="109"/>
  <c r="BA45" i="109"/>
  <c r="AZ45" i="109"/>
  <c r="AY45" i="109"/>
  <c r="AX45" i="109"/>
  <c r="AW45" i="109"/>
  <c r="AV45" i="109"/>
  <c r="AU45" i="109"/>
  <c r="AT45" i="109"/>
  <c r="AS45" i="109"/>
  <c r="AR45" i="109"/>
  <c r="AQ45" i="109"/>
  <c r="AP45" i="109"/>
  <c r="AO45" i="109"/>
  <c r="AN45" i="109"/>
  <c r="BB44" i="109"/>
  <c r="BA44" i="109"/>
  <c r="AZ44" i="109"/>
  <c r="AY44" i="109"/>
  <c r="AX44" i="109"/>
  <c r="AW44" i="109"/>
  <c r="AV44" i="109"/>
  <c r="AU44" i="109"/>
  <c r="AT44" i="109"/>
  <c r="AS44" i="109"/>
  <c r="AR44" i="109"/>
  <c r="AQ44" i="109"/>
  <c r="AP44" i="109"/>
  <c r="AO44" i="109"/>
  <c r="AN44" i="109"/>
  <c r="BB43" i="109"/>
  <c r="BA43" i="109"/>
  <c r="AZ43" i="109"/>
  <c r="AY43" i="109"/>
  <c r="AX43" i="109"/>
  <c r="AW43" i="109"/>
  <c r="AV43" i="109"/>
  <c r="AU43" i="109"/>
  <c r="AT43" i="109"/>
  <c r="AS43" i="109"/>
  <c r="AR43" i="109"/>
  <c r="AQ43" i="109"/>
  <c r="AP43" i="109"/>
  <c r="AO43" i="109"/>
  <c r="AN43" i="109"/>
  <c r="BB42" i="109"/>
  <c r="BA42" i="109"/>
  <c r="AZ42" i="109"/>
  <c r="AY42" i="109"/>
  <c r="AX42" i="109"/>
  <c r="AW42" i="109"/>
  <c r="AV42" i="109"/>
  <c r="AU42" i="109"/>
  <c r="AT42" i="109"/>
  <c r="AS42" i="109"/>
  <c r="AR42" i="109"/>
  <c r="AQ42" i="109"/>
  <c r="AP42" i="109"/>
  <c r="AO42" i="109"/>
  <c r="AN42" i="109"/>
  <c r="BB41" i="109"/>
  <c r="BA41" i="109"/>
  <c r="AZ41" i="109"/>
  <c r="AY41" i="109"/>
  <c r="AX41" i="109"/>
  <c r="AW41" i="109"/>
  <c r="AV41" i="109"/>
  <c r="AU41" i="109"/>
  <c r="AT41" i="109"/>
  <c r="AS41" i="109"/>
  <c r="AR41" i="109"/>
  <c r="AQ41" i="109"/>
  <c r="AP41" i="109"/>
  <c r="AO41" i="109"/>
  <c r="AN41" i="109"/>
  <c r="BB40" i="109"/>
  <c r="BA40" i="109"/>
  <c r="AZ40" i="109"/>
  <c r="AY40" i="109"/>
  <c r="AX40" i="109"/>
  <c r="AW40" i="109"/>
  <c r="AV40" i="109"/>
  <c r="AU40" i="109"/>
  <c r="AT40" i="109"/>
  <c r="AS40" i="109"/>
  <c r="AR40" i="109"/>
  <c r="AQ40" i="109"/>
  <c r="AP40" i="109"/>
  <c r="AO40" i="109"/>
  <c r="AN40" i="109"/>
  <c r="BB108" i="109"/>
  <c r="BA108" i="109"/>
  <c r="AZ108" i="109"/>
  <c r="AY108" i="109"/>
  <c r="AX108" i="109"/>
  <c r="AW108" i="109"/>
  <c r="AV108" i="109"/>
  <c r="AU108" i="109"/>
  <c r="AT108" i="109"/>
  <c r="AS108" i="109"/>
  <c r="AR108" i="109"/>
  <c r="AQ108" i="109"/>
  <c r="AP108" i="109"/>
  <c r="AO108" i="109"/>
  <c r="AN108" i="109"/>
  <c r="BB107" i="109"/>
  <c r="BA107" i="109"/>
  <c r="AZ107" i="109"/>
  <c r="AY107" i="109"/>
  <c r="AX107" i="109"/>
  <c r="AW107" i="109"/>
  <c r="AV107" i="109"/>
  <c r="AU107" i="109"/>
  <c r="AT107" i="109"/>
  <c r="AS107" i="109"/>
  <c r="AR107" i="109"/>
  <c r="AQ107" i="109"/>
  <c r="AP107" i="109"/>
  <c r="AO107" i="109"/>
  <c r="AN107" i="109"/>
  <c r="BB39" i="109"/>
  <c r="BA39" i="109"/>
  <c r="AZ39" i="109"/>
  <c r="AY39" i="109"/>
  <c r="AX39" i="109"/>
  <c r="AW39" i="109"/>
  <c r="AV39" i="109"/>
  <c r="AU39" i="109"/>
  <c r="AT39" i="109"/>
  <c r="AS39" i="109"/>
  <c r="AR39" i="109"/>
  <c r="AQ39" i="109"/>
  <c r="AP39" i="109"/>
  <c r="AO39" i="109"/>
  <c r="AN39" i="109"/>
  <c r="BB38" i="109"/>
  <c r="BA38" i="109"/>
  <c r="AZ38" i="109"/>
  <c r="AY38" i="109"/>
  <c r="AX38" i="109"/>
  <c r="AW38" i="109"/>
  <c r="AV38" i="109"/>
  <c r="AU38" i="109"/>
  <c r="AT38" i="109"/>
  <c r="AS38" i="109"/>
  <c r="AR38" i="109"/>
  <c r="AQ38" i="109"/>
  <c r="AP38" i="109"/>
  <c r="AO38" i="109"/>
  <c r="AN38" i="109"/>
  <c r="BB106" i="109"/>
  <c r="BA106" i="109"/>
  <c r="AZ106" i="109"/>
  <c r="AY106" i="109"/>
  <c r="AX106" i="109"/>
  <c r="AW106" i="109"/>
  <c r="AV106" i="109"/>
  <c r="AU106" i="109"/>
  <c r="AT106" i="109"/>
  <c r="AS106" i="109"/>
  <c r="AR106" i="109"/>
  <c r="AQ106" i="109"/>
  <c r="AP106" i="109"/>
  <c r="AO106" i="109"/>
  <c r="AN106" i="109"/>
  <c r="BB37" i="109"/>
  <c r="BA37" i="109"/>
  <c r="AZ37" i="109"/>
  <c r="AY37" i="109"/>
  <c r="AX37" i="109"/>
  <c r="AW37" i="109"/>
  <c r="AV37" i="109"/>
  <c r="AU37" i="109"/>
  <c r="AT37" i="109"/>
  <c r="AS37" i="109"/>
  <c r="AR37" i="109"/>
  <c r="AQ37" i="109"/>
  <c r="AP37" i="109"/>
  <c r="AO37" i="109"/>
  <c r="AN37" i="109"/>
  <c r="BB36" i="109"/>
  <c r="BA36" i="109"/>
  <c r="AZ36" i="109"/>
  <c r="AY36" i="109"/>
  <c r="AX36" i="109"/>
  <c r="AW36" i="109"/>
  <c r="AV36" i="109"/>
  <c r="AU36" i="109"/>
  <c r="AT36" i="109"/>
  <c r="AS36" i="109"/>
  <c r="AR36" i="109"/>
  <c r="AQ36" i="109"/>
  <c r="AP36" i="109"/>
  <c r="AO36" i="109"/>
  <c r="AN36" i="109"/>
  <c r="BB35" i="109"/>
  <c r="BA35" i="109"/>
  <c r="AZ35" i="109"/>
  <c r="AY35" i="109"/>
  <c r="AX35" i="109"/>
  <c r="AW35" i="109"/>
  <c r="AV35" i="109"/>
  <c r="AU35" i="109"/>
  <c r="AT35" i="109"/>
  <c r="AS35" i="109"/>
  <c r="AR35" i="109"/>
  <c r="AQ35" i="109"/>
  <c r="AP35" i="109"/>
  <c r="AO35" i="109"/>
  <c r="AN35" i="109"/>
  <c r="BB34" i="109"/>
  <c r="BA34" i="109"/>
  <c r="AZ34" i="109"/>
  <c r="AY34" i="109"/>
  <c r="AX34" i="109"/>
  <c r="AW34" i="109"/>
  <c r="AV34" i="109"/>
  <c r="AU34" i="109"/>
  <c r="AT34" i="109"/>
  <c r="AS34" i="109"/>
  <c r="AR34" i="109"/>
  <c r="AQ34" i="109"/>
  <c r="AP34" i="109"/>
  <c r="AO34" i="109"/>
  <c r="AN34" i="109"/>
  <c r="BB33" i="109"/>
  <c r="BA33" i="109"/>
  <c r="AZ33" i="109"/>
  <c r="AY33" i="109"/>
  <c r="AX33" i="109"/>
  <c r="AW33" i="109"/>
  <c r="AV33" i="109"/>
  <c r="AU33" i="109"/>
  <c r="AT33" i="109"/>
  <c r="AS33" i="109"/>
  <c r="AR33" i="109"/>
  <c r="AQ33" i="109"/>
  <c r="AP33" i="109"/>
  <c r="AO33" i="109"/>
  <c r="AN33" i="109"/>
  <c r="BB32" i="109"/>
  <c r="BA32" i="109"/>
  <c r="AZ32" i="109"/>
  <c r="AY32" i="109"/>
  <c r="AX32" i="109"/>
  <c r="AW32" i="109"/>
  <c r="AV32" i="109"/>
  <c r="AU32" i="109"/>
  <c r="AT32" i="109"/>
  <c r="AS32" i="109"/>
  <c r="AR32" i="109"/>
  <c r="AQ32" i="109"/>
  <c r="AP32" i="109"/>
  <c r="AO32" i="109"/>
  <c r="AN32" i="109"/>
  <c r="BB31" i="109"/>
  <c r="BA31" i="109"/>
  <c r="AZ31" i="109"/>
  <c r="AY31" i="109"/>
  <c r="AX31" i="109"/>
  <c r="AW31" i="109"/>
  <c r="AV31" i="109"/>
  <c r="AU31" i="109"/>
  <c r="AT31" i="109"/>
  <c r="AS31" i="109"/>
  <c r="AR31" i="109"/>
  <c r="AQ31" i="109"/>
  <c r="AP31" i="109"/>
  <c r="AO31" i="109"/>
  <c r="AN31" i="109"/>
  <c r="BB105" i="109"/>
  <c r="BA105" i="109"/>
  <c r="AZ105" i="109"/>
  <c r="AY105" i="109"/>
  <c r="AX105" i="109"/>
  <c r="AW105" i="109"/>
  <c r="AV105" i="109"/>
  <c r="AU105" i="109"/>
  <c r="AT105" i="109"/>
  <c r="AS105" i="109"/>
  <c r="AR105" i="109"/>
  <c r="AQ105" i="109"/>
  <c r="AP105" i="109"/>
  <c r="AO105" i="109"/>
  <c r="AN105" i="109"/>
  <c r="BB30" i="109"/>
  <c r="BA30" i="109"/>
  <c r="AZ30" i="109"/>
  <c r="AY30" i="109"/>
  <c r="AX30" i="109"/>
  <c r="AW30" i="109"/>
  <c r="AV30" i="109"/>
  <c r="AU30" i="109"/>
  <c r="AT30" i="109"/>
  <c r="AS30" i="109"/>
  <c r="AR30" i="109"/>
  <c r="AQ30" i="109"/>
  <c r="AP30" i="109"/>
  <c r="AO30" i="109"/>
  <c r="AN30" i="109"/>
  <c r="BB29" i="109"/>
  <c r="BA29" i="109"/>
  <c r="AZ29" i="109"/>
  <c r="AY29" i="109"/>
  <c r="AX29" i="109"/>
  <c r="AW29" i="109"/>
  <c r="AV29" i="109"/>
  <c r="AU29" i="109"/>
  <c r="AT29" i="109"/>
  <c r="AS29" i="109"/>
  <c r="AR29" i="109"/>
  <c r="AQ29" i="109"/>
  <c r="AP29" i="109"/>
  <c r="AO29" i="109"/>
  <c r="AN29" i="109"/>
  <c r="BB28" i="109"/>
  <c r="BA28" i="109"/>
  <c r="AZ28" i="109"/>
  <c r="AY28" i="109"/>
  <c r="AX28" i="109"/>
  <c r="AW28" i="109"/>
  <c r="AV28" i="109"/>
  <c r="AU28" i="109"/>
  <c r="AT28" i="109"/>
  <c r="AS28" i="109"/>
  <c r="AR28" i="109"/>
  <c r="AQ28" i="109"/>
  <c r="AP28" i="109"/>
  <c r="AO28" i="109"/>
  <c r="AN28" i="109"/>
  <c r="BB27" i="109"/>
  <c r="BA27" i="109"/>
  <c r="AZ27" i="109"/>
  <c r="AY27" i="109"/>
  <c r="AX27" i="109"/>
  <c r="AW27" i="109"/>
  <c r="AV27" i="109"/>
  <c r="AU27" i="109"/>
  <c r="AT27" i="109"/>
  <c r="AS27" i="109"/>
  <c r="AR27" i="109"/>
  <c r="AQ27" i="109"/>
  <c r="AP27" i="109"/>
  <c r="AO27" i="109"/>
  <c r="AN27" i="109"/>
  <c r="BB26" i="109"/>
  <c r="BA26" i="109"/>
  <c r="AZ26" i="109"/>
  <c r="AY26" i="109"/>
  <c r="AX26" i="109"/>
  <c r="AW26" i="109"/>
  <c r="AV26" i="109"/>
  <c r="AU26" i="109"/>
  <c r="AT26" i="109"/>
  <c r="AS26" i="109"/>
  <c r="AR26" i="109"/>
  <c r="AQ26" i="109"/>
  <c r="AP26" i="109"/>
  <c r="AO26" i="109"/>
  <c r="AN26" i="109"/>
  <c r="BB104" i="109"/>
  <c r="BA104" i="109"/>
  <c r="AZ104" i="109"/>
  <c r="AY104" i="109"/>
  <c r="AX104" i="109"/>
  <c r="AW104" i="109"/>
  <c r="AV104" i="109"/>
  <c r="AU104" i="109"/>
  <c r="AT104" i="109"/>
  <c r="AS104" i="109"/>
  <c r="AR104" i="109"/>
  <c r="AQ104" i="109"/>
  <c r="AP104" i="109"/>
  <c r="AO104" i="109"/>
  <c r="AN104" i="109"/>
  <c r="BB103" i="109"/>
  <c r="BA103" i="109"/>
  <c r="AZ103" i="109"/>
  <c r="AY103" i="109"/>
  <c r="AX103" i="109"/>
  <c r="AW103" i="109"/>
  <c r="AV103" i="109"/>
  <c r="AU103" i="109"/>
  <c r="AT103" i="109"/>
  <c r="AS103" i="109"/>
  <c r="AR103" i="109"/>
  <c r="AQ103" i="109"/>
  <c r="AP103" i="109"/>
  <c r="AO103" i="109"/>
  <c r="AN103" i="109"/>
  <c r="BB25" i="109"/>
  <c r="BA25" i="109"/>
  <c r="AZ25" i="109"/>
  <c r="AY25" i="109"/>
  <c r="AX25" i="109"/>
  <c r="AW25" i="109"/>
  <c r="AV25" i="109"/>
  <c r="AU25" i="109"/>
  <c r="AT25" i="109"/>
  <c r="AS25" i="109"/>
  <c r="AR25" i="109"/>
  <c r="AQ25" i="109"/>
  <c r="AP25" i="109"/>
  <c r="AO25" i="109"/>
  <c r="AN25" i="109"/>
  <c r="BB24" i="109"/>
  <c r="BA24" i="109"/>
  <c r="AZ24" i="109"/>
  <c r="AY24" i="109"/>
  <c r="AX24" i="109"/>
  <c r="AW24" i="109"/>
  <c r="AV24" i="109"/>
  <c r="AU24" i="109"/>
  <c r="AT24" i="109"/>
  <c r="AS24" i="109"/>
  <c r="AR24" i="109"/>
  <c r="AQ24" i="109"/>
  <c r="AP24" i="109"/>
  <c r="AO24" i="109"/>
  <c r="AN24" i="109"/>
  <c r="BB23" i="109"/>
  <c r="BA23" i="109"/>
  <c r="AZ23" i="109"/>
  <c r="AY23" i="109"/>
  <c r="AX23" i="109"/>
  <c r="AW23" i="109"/>
  <c r="AV23" i="109"/>
  <c r="AU23" i="109"/>
  <c r="AT23" i="109"/>
  <c r="AS23" i="109"/>
  <c r="AR23" i="109"/>
  <c r="AQ23" i="109"/>
  <c r="AP23" i="109"/>
  <c r="AO23" i="109"/>
  <c r="AN23" i="109"/>
  <c r="BB22" i="109"/>
  <c r="BA22" i="109"/>
  <c r="AZ22" i="109"/>
  <c r="AY22" i="109"/>
  <c r="AX22" i="109"/>
  <c r="AW22" i="109"/>
  <c r="AV22" i="109"/>
  <c r="AU22" i="109"/>
  <c r="AT22" i="109"/>
  <c r="AS22" i="109"/>
  <c r="AR22" i="109"/>
  <c r="AQ22" i="109"/>
  <c r="AP22" i="109"/>
  <c r="AO22" i="109"/>
  <c r="AN22" i="109"/>
  <c r="BB21" i="109"/>
  <c r="BA21" i="109"/>
  <c r="AZ21" i="109"/>
  <c r="AY21" i="109"/>
  <c r="AX21" i="109"/>
  <c r="AW21" i="109"/>
  <c r="AV21" i="109"/>
  <c r="AU21" i="109"/>
  <c r="AT21" i="109"/>
  <c r="AS21" i="109"/>
  <c r="AR21" i="109"/>
  <c r="AQ21" i="109"/>
  <c r="AP21" i="109"/>
  <c r="AO21" i="109"/>
  <c r="AN21" i="109"/>
  <c r="BB20" i="109"/>
  <c r="BA20" i="109"/>
  <c r="AZ20" i="109"/>
  <c r="AY20" i="109"/>
  <c r="AX20" i="109"/>
  <c r="AW20" i="109"/>
  <c r="AV20" i="109"/>
  <c r="AU20" i="109"/>
  <c r="AT20" i="109"/>
  <c r="AS20" i="109"/>
  <c r="AR20" i="109"/>
  <c r="AQ20" i="109"/>
  <c r="AP20" i="109"/>
  <c r="AO20" i="109"/>
  <c r="AN20" i="109"/>
  <c r="BB19" i="109"/>
  <c r="BA19" i="109"/>
  <c r="AZ19" i="109"/>
  <c r="AY19" i="109"/>
  <c r="AX19" i="109"/>
  <c r="AW19" i="109"/>
  <c r="AV19" i="109"/>
  <c r="AU19" i="109"/>
  <c r="AT19" i="109"/>
  <c r="AS19" i="109"/>
  <c r="AR19" i="109"/>
  <c r="AQ19" i="109"/>
  <c r="AP19" i="109"/>
  <c r="AO19" i="109"/>
  <c r="AN19" i="109"/>
  <c r="BB18" i="109"/>
  <c r="BA18" i="109"/>
  <c r="AZ18" i="109"/>
  <c r="AY18" i="109"/>
  <c r="AX18" i="109"/>
  <c r="AW18" i="109"/>
  <c r="AV18" i="109"/>
  <c r="AU18" i="109"/>
  <c r="AT18" i="109"/>
  <c r="AS18" i="109"/>
  <c r="AR18" i="109"/>
  <c r="AQ18" i="109"/>
  <c r="AP18" i="109"/>
  <c r="AO18" i="109"/>
  <c r="AN18" i="109"/>
  <c r="BB102" i="109"/>
  <c r="BA102" i="109"/>
  <c r="AZ102" i="109"/>
  <c r="AY102" i="109"/>
  <c r="AX102" i="109"/>
  <c r="AW102" i="109"/>
  <c r="AV102" i="109"/>
  <c r="AU102" i="109"/>
  <c r="AT102" i="109"/>
  <c r="AS102" i="109"/>
  <c r="AR102" i="109"/>
  <c r="AQ102" i="109"/>
  <c r="AP102" i="109"/>
  <c r="AO102" i="109"/>
  <c r="AN102" i="109"/>
  <c r="BB17" i="109"/>
  <c r="BA17" i="109"/>
  <c r="AZ17" i="109"/>
  <c r="AY17" i="109"/>
  <c r="AX17" i="109"/>
  <c r="AW17" i="109"/>
  <c r="AV17" i="109"/>
  <c r="AU17" i="109"/>
  <c r="AT17" i="109"/>
  <c r="AS17" i="109"/>
  <c r="AR17" i="109"/>
  <c r="AQ17" i="109"/>
  <c r="AP17" i="109"/>
  <c r="AO17" i="109"/>
  <c r="AN17" i="109"/>
  <c r="BB16" i="109"/>
  <c r="BA16" i="109"/>
  <c r="AZ16" i="109"/>
  <c r="AY16" i="109"/>
  <c r="AX16" i="109"/>
  <c r="AW16" i="109"/>
  <c r="AV16" i="109"/>
  <c r="AU16" i="109"/>
  <c r="AT16" i="109"/>
  <c r="AS16" i="109"/>
  <c r="AR16" i="109"/>
  <c r="AQ16" i="109"/>
  <c r="AP16" i="109"/>
  <c r="AO16" i="109"/>
  <c r="AN16" i="109"/>
  <c r="BB15" i="109"/>
  <c r="BA15" i="109"/>
  <c r="AZ15" i="109"/>
  <c r="AY15" i="109"/>
  <c r="AX15" i="109"/>
  <c r="AW15" i="109"/>
  <c r="AV15" i="109"/>
  <c r="AU15" i="109"/>
  <c r="AT15" i="109"/>
  <c r="AS15" i="109"/>
  <c r="AR15" i="109"/>
  <c r="AQ15" i="109"/>
  <c r="AP15" i="109"/>
  <c r="AO15" i="109"/>
  <c r="AN15" i="109"/>
  <c r="BB14" i="109"/>
  <c r="BA14" i="109"/>
  <c r="AZ14" i="109"/>
  <c r="AY14" i="109"/>
  <c r="AX14" i="109"/>
  <c r="AW14" i="109"/>
  <c r="AV14" i="109"/>
  <c r="AU14" i="109"/>
  <c r="AT14" i="109"/>
  <c r="AS14" i="109"/>
  <c r="AR14" i="109"/>
  <c r="AQ14" i="109"/>
  <c r="AP14" i="109"/>
  <c r="AO14" i="109"/>
  <c r="AN14" i="109"/>
  <c r="BB13" i="109"/>
  <c r="BA13" i="109"/>
  <c r="AZ13" i="109"/>
  <c r="AY13" i="109"/>
  <c r="AX13" i="109"/>
  <c r="AW13" i="109"/>
  <c r="AV13" i="109"/>
  <c r="AU13" i="109"/>
  <c r="AT13" i="109"/>
  <c r="AS13" i="109"/>
  <c r="AR13" i="109"/>
  <c r="AQ13" i="109"/>
  <c r="AP13" i="109"/>
  <c r="AO13" i="109"/>
  <c r="AN13" i="109"/>
  <c r="BB12" i="109"/>
  <c r="BA12" i="109"/>
  <c r="AZ12" i="109"/>
  <c r="AY12" i="109"/>
  <c r="AX12" i="109"/>
  <c r="AW12" i="109"/>
  <c r="AV12" i="109"/>
  <c r="AU12" i="109"/>
  <c r="AT12" i="109"/>
  <c r="AS12" i="109"/>
  <c r="AR12" i="109"/>
  <c r="AQ12" i="109"/>
  <c r="AP12" i="109"/>
  <c r="AO12" i="109"/>
  <c r="AN12" i="109"/>
  <c r="BB11" i="109"/>
  <c r="BA11" i="109"/>
  <c r="AZ11" i="109"/>
  <c r="AY11" i="109"/>
  <c r="AX11" i="109"/>
  <c r="AW11" i="109"/>
  <c r="AV11" i="109"/>
  <c r="AU11" i="109"/>
  <c r="AT11" i="109"/>
  <c r="AS11" i="109"/>
  <c r="AR11" i="109"/>
  <c r="AQ11" i="109"/>
  <c r="AP11" i="109"/>
  <c r="AO11" i="109"/>
  <c r="AN11" i="109"/>
  <c r="BB10" i="109"/>
  <c r="BA10" i="109"/>
  <c r="AZ10" i="109"/>
  <c r="AY10" i="109"/>
  <c r="AX10" i="109"/>
  <c r="AW10" i="109"/>
  <c r="AV10" i="109"/>
  <c r="AU10" i="109"/>
  <c r="AT10" i="109"/>
  <c r="AS10" i="109"/>
  <c r="AR10" i="109"/>
  <c r="AQ10" i="109"/>
  <c r="AP10" i="109"/>
  <c r="AO10" i="109"/>
  <c r="AN10" i="109"/>
  <c r="BB9" i="109"/>
  <c r="BA9" i="109"/>
  <c r="AZ9" i="109"/>
  <c r="AY9" i="109"/>
  <c r="AX9" i="109"/>
  <c r="AW9" i="109"/>
  <c r="AV9" i="109"/>
  <c r="AU9" i="109"/>
  <c r="AT9" i="109"/>
  <c r="AS9" i="109"/>
  <c r="AR9" i="109"/>
  <c r="AQ9" i="109"/>
  <c r="AP9" i="109"/>
  <c r="AO9" i="109"/>
  <c r="AN9" i="109"/>
  <c r="BB8" i="109"/>
  <c r="BA8" i="109"/>
  <c r="AZ8" i="109"/>
  <c r="AY8" i="109"/>
  <c r="AX8" i="109"/>
  <c r="AW8" i="109"/>
  <c r="AV8" i="109"/>
  <c r="AU8" i="109"/>
  <c r="AT8" i="109"/>
  <c r="AS8" i="109"/>
  <c r="AR8" i="109"/>
  <c r="AQ8" i="109"/>
  <c r="AP8" i="109"/>
  <c r="AO8" i="109"/>
  <c r="AN8" i="109"/>
  <c r="BB101" i="109"/>
  <c r="BA101" i="109"/>
  <c r="AZ101" i="109"/>
  <c r="AY101" i="109"/>
  <c r="AX101" i="109"/>
  <c r="AW101" i="109"/>
  <c r="AV101" i="109"/>
  <c r="AU101" i="109"/>
  <c r="AT101" i="109"/>
  <c r="AS101" i="109"/>
  <c r="AR101" i="109"/>
  <c r="AQ101" i="109"/>
  <c r="AP101" i="109"/>
  <c r="AO101" i="109"/>
  <c r="AN101" i="109"/>
  <c r="BB7" i="109"/>
  <c r="BA7" i="109"/>
  <c r="AZ7" i="109"/>
  <c r="AY7" i="109"/>
  <c r="AX7" i="109"/>
  <c r="AW7" i="109"/>
  <c r="AV7" i="109"/>
  <c r="AU7" i="109"/>
  <c r="AT7" i="109"/>
  <c r="AS7" i="109"/>
  <c r="AR7" i="109"/>
  <c r="AQ7" i="109"/>
  <c r="AP7" i="109"/>
  <c r="AO7" i="109"/>
  <c r="AN7" i="109"/>
  <c r="BB6" i="109"/>
  <c r="BA6" i="109"/>
  <c r="AZ6" i="109"/>
  <c r="AY6" i="109"/>
  <c r="AX6" i="109"/>
  <c r="AW6" i="109"/>
  <c r="AV6" i="109"/>
  <c r="AU6" i="109"/>
  <c r="AT6" i="109"/>
  <c r="AS6" i="109"/>
  <c r="AR6" i="109"/>
  <c r="AQ6" i="109"/>
  <c r="AP6" i="109"/>
  <c r="AO6" i="109"/>
  <c r="AN6" i="109"/>
  <c r="BB5" i="109"/>
  <c r="BA5" i="109"/>
  <c r="AZ5" i="109"/>
  <c r="AY5" i="109"/>
  <c r="AX5" i="109"/>
  <c r="AW5" i="109"/>
  <c r="AV5" i="109"/>
  <c r="AU5" i="109"/>
  <c r="AT5" i="109"/>
  <c r="AS5" i="109"/>
  <c r="AR5" i="109"/>
  <c r="AQ5" i="109"/>
  <c r="AP5" i="109"/>
  <c r="AO5" i="109"/>
  <c r="AN5" i="109"/>
  <c r="D3" i="108" s="1"/>
  <c r="C58" i="1" l="1"/>
  <c r="M5" i="106"/>
  <c r="L5" i="106"/>
  <c r="I5" i="106"/>
  <c r="H5" i="106"/>
  <c r="D5" i="106"/>
  <c r="H5" i="49" l="1"/>
  <c r="G5" i="49"/>
  <c r="H5" i="102"/>
  <c r="G5" i="102"/>
  <c r="H5" i="103"/>
  <c r="G5" i="103"/>
  <c r="F5" i="104"/>
  <c r="E5" i="104"/>
  <c r="D5" i="104"/>
  <c r="F5" i="103"/>
  <c r="E5" i="103"/>
  <c r="D5" i="103"/>
  <c r="F5" i="102"/>
  <c r="E5" i="102"/>
  <c r="D5" i="102"/>
  <c r="F5" i="49"/>
  <c r="E5" i="49"/>
  <c r="D5" i="49"/>
  <c r="Q130" i="24" l="1"/>
  <c r="P130" i="24"/>
  <c r="O130" i="24"/>
  <c r="N130" i="24"/>
  <c r="M130" i="24"/>
  <c r="L130" i="24"/>
  <c r="K130" i="24"/>
  <c r="J130" i="24"/>
  <c r="I130" i="24"/>
  <c r="H130" i="24"/>
  <c r="G130" i="24"/>
  <c r="E130" i="24"/>
  <c r="D130" i="24"/>
  <c r="Q129" i="24"/>
  <c r="P129" i="24"/>
  <c r="O129" i="24"/>
  <c r="N129" i="24"/>
  <c r="M129" i="24"/>
  <c r="L129" i="24"/>
  <c r="K129" i="24"/>
  <c r="J129" i="24"/>
  <c r="I129" i="24"/>
  <c r="H129" i="24"/>
  <c r="G129" i="24"/>
  <c r="E129" i="24"/>
  <c r="D129" i="24"/>
  <c r="Q128" i="24"/>
  <c r="P128" i="24"/>
  <c r="O128" i="24"/>
  <c r="N128" i="24"/>
  <c r="M128" i="24"/>
  <c r="L128" i="24"/>
  <c r="K128" i="24"/>
  <c r="J128" i="24"/>
  <c r="I128" i="24"/>
  <c r="H128" i="24"/>
  <c r="G128" i="24"/>
  <c r="E128" i="24"/>
  <c r="D128" i="24"/>
  <c r="Q127" i="24"/>
  <c r="P127" i="24"/>
  <c r="O127" i="24"/>
  <c r="N127" i="24"/>
  <c r="M127" i="24"/>
  <c r="L127" i="24"/>
  <c r="K127" i="24"/>
  <c r="J127" i="24"/>
  <c r="I127" i="24"/>
  <c r="H127" i="24"/>
  <c r="G127" i="24"/>
  <c r="E127" i="24"/>
  <c r="D127" i="24"/>
  <c r="Q126" i="24"/>
  <c r="P126" i="24"/>
  <c r="O126" i="24"/>
  <c r="N126" i="24"/>
  <c r="M126" i="24"/>
  <c r="L126" i="24"/>
  <c r="K126" i="24"/>
  <c r="J126" i="24"/>
  <c r="I126" i="24"/>
  <c r="H126" i="24"/>
  <c r="G126" i="24"/>
  <c r="E126" i="24"/>
  <c r="D126" i="24"/>
  <c r="Q124" i="24"/>
  <c r="P124" i="24"/>
  <c r="O124" i="24"/>
  <c r="N124" i="24"/>
  <c r="M124" i="24"/>
  <c r="L124" i="24"/>
  <c r="K124" i="24"/>
  <c r="J124" i="24"/>
  <c r="I124" i="24"/>
  <c r="H124" i="24"/>
  <c r="G124" i="24"/>
  <c r="E124" i="24"/>
  <c r="D124" i="24"/>
  <c r="Q123" i="24"/>
  <c r="P123" i="24"/>
  <c r="O123" i="24"/>
  <c r="N123" i="24"/>
  <c r="M123" i="24"/>
  <c r="L123" i="24"/>
  <c r="K123" i="24"/>
  <c r="J123" i="24"/>
  <c r="I123" i="24"/>
  <c r="H123" i="24"/>
  <c r="G123" i="24"/>
  <c r="E123" i="24"/>
  <c r="D123" i="24"/>
  <c r="Q122" i="24"/>
  <c r="P122" i="24"/>
  <c r="O122" i="24"/>
  <c r="N122" i="24"/>
  <c r="M122" i="24"/>
  <c r="L122" i="24"/>
  <c r="K122" i="24"/>
  <c r="J122" i="24"/>
  <c r="I122" i="24"/>
  <c r="H122" i="24"/>
  <c r="G122" i="24"/>
  <c r="E122" i="24"/>
  <c r="D122" i="24"/>
  <c r="Q121" i="24"/>
  <c r="P121" i="24"/>
  <c r="O121" i="24"/>
  <c r="N121" i="24"/>
  <c r="M121" i="24"/>
  <c r="L121" i="24"/>
  <c r="K121" i="24"/>
  <c r="J121" i="24"/>
  <c r="I121" i="24"/>
  <c r="H121" i="24"/>
  <c r="G121" i="24"/>
  <c r="E121" i="24"/>
  <c r="D121" i="24"/>
  <c r="Q120" i="24"/>
  <c r="P120" i="24"/>
  <c r="O120" i="24"/>
  <c r="N120" i="24"/>
  <c r="M120" i="24"/>
  <c r="L120" i="24"/>
  <c r="K120" i="24"/>
  <c r="J120" i="24"/>
  <c r="I120" i="24"/>
  <c r="H120" i="24"/>
  <c r="G120" i="24"/>
  <c r="E120" i="24"/>
  <c r="D120" i="24"/>
  <c r="Q119" i="24"/>
  <c r="P119" i="24"/>
  <c r="O119" i="24"/>
  <c r="N119" i="24"/>
  <c r="M119" i="24"/>
  <c r="L119" i="24"/>
  <c r="K119" i="24"/>
  <c r="J119" i="24"/>
  <c r="I119" i="24"/>
  <c r="H119" i="24"/>
  <c r="G119" i="24"/>
  <c r="E119" i="24"/>
  <c r="D119" i="24"/>
  <c r="Q118" i="24"/>
  <c r="P118" i="24"/>
  <c r="O118" i="24"/>
  <c r="N118" i="24"/>
  <c r="M118" i="24"/>
  <c r="L118" i="24"/>
  <c r="K118" i="24"/>
  <c r="J118" i="24"/>
  <c r="I118" i="24"/>
  <c r="H118" i="24"/>
  <c r="G118" i="24"/>
  <c r="E118" i="24"/>
  <c r="D118" i="24"/>
  <c r="Q117" i="24"/>
  <c r="P117" i="24"/>
  <c r="O117" i="24"/>
  <c r="N117" i="24"/>
  <c r="M117" i="24"/>
  <c r="L117" i="24"/>
  <c r="K117" i="24"/>
  <c r="J117" i="24"/>
  <c r="I117" i="24"/>
  <c r="H117" i="24"/>
  <c r="G117" i="24"/>
  <c r="E117" i="24"/>
  <c r="D117" i="24"/>
  <c r="Q116" i="24"/>
  <c r="P116" i="24"/>
  <c r="O116" i="24"/>
  <c r="N116" i="24"/>
  <c r="M116" i="24"/>
  <c r="L116" i="24"/>
  <c r="K116" i="24"/>
  <c r="J116" i="24"/>
  <c r="I116" i="24"/>
  <c r="H116" i="24"/>
  <c r="G116" i="24"/>
  <c r="E116" i="24"/>
  <c r="D116" i="24"/>
  <c r="Q115" i="24"/>
  <c r="P115" i="24"/>
  <c r="O115" i="24"/>
  <c r="N115" i="24"/>
  <c r="M115" i="24"/>
  <c r="L115" i="24"/>
  <c r="K115" i="24"/>
  <c r="J115" i="24"/>
  <c r="I115" i="24"/>
  <c r="H115" i="24"/>
  <c r="G115" i="24"/>
  <c r="E115" i="24"/>
  <c r="D115" i="24"/>
  <c r="Q114" i="24"/>
  <c r="P114" i="24"/>
  <c r="O114" i="24"/>
  <c r="N114" i="24"/>
  <c r="M114" i="24"/>
  <c r="L114" i="24"/>
  <c r="K114" i="24"/>
  <c r="J114" i="24"/>
  <c r="I114" i="24"/>
  <c r="H114" i="24"/>
  <c r="G114" i="24"/>
  <c r="E114" i="24"/>
  <c r="D114" i="24"/>
  <c r="Q113" i="24"/>
  <c r="P113" i="24"/>
  <c r="O113" i="24"/>
  <c r="N113" i="24"/>
  <c r="M113" i="24"/>
  <c r="L113" i="24"/>
  <c r="K113" i="24"/>
  <c r="J113" i="24"/>
  <c r="I113" i="24"/>
  <c r="H113" i="24"/>
  <c r="G113" i="24"/>
  <c r="E113" i="24"/>
  <c r="D113" i="24"/>
  <c r="Q112" i="24"/>
  <c r="P112" i="24"/>
  <c r="O112" i="24"/>
  <c r="N112" i="24"/>
  <c r="M112" i="24"/>
  <c r="L112" i="24"/>
  <c r="K112" i="24"/>
  <c r="J112" i="24"/>
  <c r="I112" i="24"/>
  <c r="H112" i="24"/>
  <c r="G112" i="24"/>
  <c r="E112" i="24"/>
  <c r="D112" i="24"/>
  <c r="Q111" i="24"/>
  <c r="P111" i="24"/>
  <c r="O111" i="24"/>
  <c r="N111" i="24"/>
  <c r="M111" i="24"/>
  <c r="L111" i="24"/>
  <c r="K111" i="24"/>
  <c r="J111" i="24"/>
  <c r="I111" i="24"/>
  <c r="H111" i="24"/>
  <c r="G111" i="24"/>
  <c r="E111" i="24"/>
  <c r="D111" i="24"/>
  <c r="Q110" i="24"/>
  <c r="P110" i="24"/>
  <c r="O110" i="24"/>
  <c r="N110" i="24"/>
  <c r="M110" i="24"/>
  <c r="L110" i="24"/>
  <c r="K110" i="24"/>
  <c r="J110" i="24"/>
  <c r="I110" i="24"/>
  <c r="H110" i="24"/>
  <c r="G110" i="24"/>
  <c r="E110" i="24"/>
  <c r="D110" i="24"/>
  <c r="Q109" i="24"/>
  <c r="P109" i="24"/>
  <c r="O109" i="24"/>
  <c r="N109" i="24"/>
  <c r="M109" i="24"/>
  <c r="L109" i="24"/>
  <c r="K109" i="24"/>
  <c r="J109" i="24"/>
  <c r="I109" i="24"/>
  <c r="H109" i="24"/>
  <c r="G109" i="24"/>
  <c r="E109" i="24"/>
  <c r="D109" i="24"/>
  <c r="Q108" i="24"/>
  <c r="P108" i="24"/>
  <c r="O108" i="24"/>
  <c r="N108" i="24"/>
  <c r="M108" i="24"/>
  <c r="L108" i="24"/>
  <c r="K108" i="24"/>
  <c r="J108" i="24"/>
  <c r="I108" i="24"/>
  <c r="H108" i="24"/>
  <c r="G108" i="24"/>
  <c r="E108" i="24"/>
  <c r="D108" i="24"/>
  <c r="Q107" i="24"/>
  <c r="P107" i="24"/>
  <c r="O107" i="24"/>
  <c r="N107" i="24"/>
  <c r="M107" i="24"/>
  <c r="L107" i="24"/>
  <c r="K107" i="24"/>
  <c r="J107" i="24"/>
  <c r="I107" i="24"/>
  <c r="H107" i="24"/>
  <c r="G107" i="24"/>
  <c r="E107" i="24"/>
  <c r="D107" i="24"/>
  <c r="Q106" i="24"/>
  <c r="P106" i="24"/>
  <c r="O106" i="24"/>
  <c r="N106" i="24"/>
  <c r="M106" i="24"/>
  <c r="L106" i="24"/>
  <c r="K106" i="24"/>
  <c r="J106" i="24"/>
  <c r="I106" i="24"/>
  <c r="H106" i="24"/>
  <c r="G106" i="24"/>
  <c r="E106" i="24"/>
  <c r="D106" i="24"/>
  <c r="Q105" i="24"/>
  <c r="P105" i="24"/>
  <c r="O105" i="24"/>
  <c r="N105" i="24"/>
  <c r="M105" i="24"/>
  <c r="L105" i="24"/>
  <c r="K105" i="24"/>
  <c r="J105" i="24"/>
  <c r="I105" i="24"/>
  <c r="H105" i="24"/>
  <c r="G105" i="24"/>
  <c r="E105" i="24"/>
  <c r="D105" i="24"/>
  <c r="Q104" i="24"/>
  <c r="P104" i="24"/>
  <c r="O104" i="24"/>
  <c r="N104" i="24"/>
  <c r="M104" i="24"/>
  <c r="L104" i="24"/>
  <c r="K104" i="24"/>
  <c r="J104" i="24"/>
  <c r="I104" i="24"/>
  <c r="H104" i="24"/>
  <c r="G104" i="24"/>
  <c r="E104" i="24"/>
  <c r="D104" i="24"/>
  <c r="Q103" i="24"/>
  <c r="P103" i="24"/>
  <c r="O103" i="24"/>
  <c r="N103" i="24"/>
  <c r="M103" i="24"/>
  <c r="L103" i="24"/>
  <c r="K103" i="24"/>
  <c r="J103" i="24"/>
  <c r="I103" i="24"/>
  <c r="H103" i="24"/>
  <c r="G103" i="24"/>
  <c r="E103" i="24"/>
  <c r="D103" i="24"/>
  <c r="Q102" i="24"/>
  <c r="P102" i="24"/>
  <c r="O102" i="24"/>
  <c r="N102" i="24"/>
  <c r="M102" i="24"/>
  <c r="L102" i="24"/>
  <c r="K102" i="24"/>
  <c r="J102" i="24"/>
  <c r="I102" i="24"/>
  <c r="H102" i="24"/>
  <c r="G102" i="24"/>
  <c r="E102" i="24"/>
  <c r="D102" i="24"/>
  <c r="Q101" i="24"/>
  <c r="P101" i="24"/>
  <c r="O101" i="24"/>
  <c r="N101" i="24"/>
  <c r="M101" i="24"/>
  <c r="L101" i="24"/>
  <c r="K101" i="24"/>
  <c r="J101" i="24"/>
  <c r="I101" i="24"/>
  <c r="H101" i="24"/>
  <c r="G101" i="24"/>
  <c r="E101" i="24"/>
  <c r="D101" i="24"/>
  <c r="Q100" i="24"/>
  <c r="P100" i="24"/>
  <c r="O100" i="24"/>
  <c r="N100" i="24"/>
  <c r="M100" i="24"/>
  <c r="L100" i="24"/>
  <c r="K100" i="24"/>
  <c r="J100" i="24"/>
  <c r="I100" i="24"/>
  <c r="H100" i="24"/>
  <c r="G100" i="24"/>
  <c r="E100" i="24"/>
  <c r="D100" i="24"/>
  <c r="Q99" i="24"/>
  <c r="P99" i="24"/>
  <c r="O99" i="24"/>
  <c r="N99" i="24"/>
  <c r="M99" i="24"/>
  <c r="L99" i="24"/>
  <c r="K99" i="24"/>
  <c r="J99" i="24"/>
  <c r="I99" i="24"/>
  <c r="H99" i="24"/>
  <c r="G99" i="24"/>
  <c r="E99" i="24"/>
  <c r="D99" i="24"/>
  <c r="Q98" i="24"/>
  <c r="P98" i="24"/>
  <c r="O98" i="24"/>
  <c r="N98" i="24"/>
  <c r="M98" i="24"/>
  <c r="L98" i="24"/>
  <c r="K98" i="24"/>
  <c r="J98" i="24"/>
  <c r="I98" i="24"/>
  <c r="H98" i="24"/>
  <c r="G98" i="24"/>
  <c r="E98" i="24"/>
  <c r="D98" i="24"/>
  <c r="Q97" i="24"/>
  <c r="P97" i="24"/>
  <c r="O97" i="24"/>
  <c r="N97" i="24"/>
  <c r="M97" i="24"/>
  <c r="L97" i="24"/>
  <c r="K97" i="24"/>
  <c r="J97" i="24"/>
  <c r="I97" i="24"/>
  <c r="H97" i="24"/>
  <c r="G97" i="24"/>
  <c r="E97" i="24"/>
  <c r="D97" i="24"/>
  <c r="Q96" i="24"/>
  <c r="P96" i="24"/>
  <c r="O96" i="24"/>
  <c r="N96" i="24"/>
  <c r="M96" i="24"/>
  <c r="L96" i="24"/>
  <c r="K96" i="24"/>
  <c r="J96" i="24"/>
  <c r="I96" i="24"/>
  <c r="H96" i="24"/>
  <c r="G96" i="24"/>
  <c r="E96" i="24"/>
  <c r="D96" i="24"/>
  <c r="Q95" i="24"/>
  <c r="P95" i="24"/>
  <c r="O95" i="24"/>
  <c r="N95" i="24"/>
  <c r="M95" i="24"/>
  <c r="L95" i="24"/>
  <c r="K95" i="24"/>
  <c r="J95" i="24"/>
  <c r="I95" i="24"/>
  <c r="H95" i="24"/>
  <c r="G95" i="24"/>
  <c r="E95" i="24"/>
  <c r="D95" i="24"/>
  <c r="Q94" i="24"/>
  <c r="P94" i="24"/>
  <c r="O94" i="24"/>
  <c r="N94" i="24"/>
  <c r="M94" i="24"/>
  <c r="L94" i="24"/>
  <c r="K94" i="24"/>
  <c r="J94" i="24"/>
  <c r="I94" i="24"/>
  <c r="H94" i="24"/>
  <c r="G94" i="24"/>
  <c r="E94" i="24"/>
  <c r="D94" i="24"/>
  <c r="Q93" i="24"/>
  <c r="P93" i="24"/>
  <c r="O93" i="24"/>
  <c r="N93" i="24"/>
  <c r="M93" i="24"/>
  <c r="L93" i="24"/>
  <c r="K93" i="24"/>
  <c r="J93" i="24"/>
  <c r="I93" i="24"/>
  <c r="H93" i="24"/>
  <c r="G93" i="24"/>
  <c r="E93" i="24"/>
  <c r="D93" i="24"/>
  <c r="Q92" i="24"/>
  <c r="P92" i="24"/>
  <c r="O92" i="24"/>
  <c r="N92" i="24"/>
  <c r="M92" i="24"/>
  <c r="L92" i="24"/>
  <c r="K92" i="24"/>
  <c r="J92" i="24"/>
  <c r="I92" i="24"/>
  <c r="H92" i="24"/>
  <c r="G92" i="24"/>
  <c r="E92" i="24"/>
  <c r="D92" i="24"/>
  <c r="Q91" i="24"/>
  <c r="P91" i="24"/>
  <c r="O91" i="24"/>
  <c r="N91" i="24"/>
  <c r="M91" i="24"/>
  <c r="L91" i="24"/>
  <c r="K91" i="24"/>
  <c r="J91" i="24"/>
  <c r="I91" i="24"/>
  <c r="H91" i="24"/>
  <c r="G91" i="24"/>
  <c r="E91" i="24"/>
  <c r="D91" i="24"/>
  <c r="Q90" i="24"/>
  <c r="P90" i="24"/>
  <c r="O90" i="24"/>
  <c r="N90" i="24"/>
  <c r="M90" i="24"/>
  <c r="L90" i="24"/>
  <c r="K90" i="24"/>
  <c r="J90" i="24"/>
  <c r="I90" i="24"/>
  <c r="H90" i="24"/>
  <c r="G90" i="24"/>
  <c r="E90" i="24"/>
  <c r="D90" i="24"/>
  <c r="Q89" i="24"/>
  <c r="P89" i="24"/>
  <c r="O89" i="24"/>
  <c r="N89" i="24"/>
  <c r="M89" i="24"/>
  <c r="L89" i="24"/>
  <c r="K89" i="24"/>
  <c r="J89" i="24"/>
  <c r="I89" i="24"/>
  <c r="H89" i="24"/>
  <c r="G89" i="24"/>
  <c r="E89" i="24"/>
  <c r="D89" i="24"/>
  <c r="Q88" i="24"/>
  <c r="P88" i="24"/>
  <c r="O88" i="24"/>
  <c r="N88" i="24"/>
  <c r="M88" i="24"/>
  <c r="L88" i="24"/>
  <c r="K88" i="24"/>
  <c r="J88" i="24"/>
  <c r="I88" i="24"/>
  <c r="H88" i="24"/>
  <c r="G88" i="24"/>
  <c r="E88" i="24"/>
  <c r="D88" i="24"/>
  <c r="Q87" i="24"/>
  <c r="P87" i="24"/>
  <c r="O87" i="24"/>
  <c r="N87" i="24"/>
  <c r="M87" i="24"/>
  <c r="L87" i="24"/>
  <c r="K87" i="24"/>
  <c r="J87" i="24"/>
  <c r="I87" i="24"/>
  <c r="H87" i="24"/>
  <c r="G87" i="24"/>
  <c r="E87" i="24"/>
  <c r="D87" i="24"/>
  <c r="Q86" i="24"/>
  <c r="P86" i="24"/>
  <c r="O86" i="24"/>
  <c r="N86" i="24"/>
  <c r="M86" i="24"/>
  <c r="L86" i="24"/>
  <c r="K86" i="24"/>
  <c r="J86" i="24"/>
  <c r="I86" i="24"/>
  <c r="H86" i="24"/>
  <c r="G86" i="24"/>
  <c r="E86" i="24"/>
  <c r="D86" i="24"/>
  <c r="Q85" i="24"/>
  <c r="P85" i="24"/>
  <c r="O85" i="24"/>
  <c r="N85" i="24"/>
  <c r="M85" i="24"/>
  <c r="L85" i="24"/>
  <c r="K85" i="24"/>
  <c r="J85" i="24"/>
  <c r="I85" i="24"/>
  <c r="H85" i="24"/>
  <c r="G85" i="24"/>
  <c r="E85" i="24"/>
  <c r="D85" i="24"/>
  <c r="Q84" i="24"/>
  <c r="P84" i="24"/>
  <c r="O84" i="24"/>
  <c r="N84" i="24"/>
  <c r="M84" i="24"/>
  <c r="L84" i="24"/>
  <c r="K84" i="24"/>
  <c r="J84" i="24"/>
  <c r="I84" i="24"/>
  <c r="H84" i="24"/>
  <c r="G84" i="24"/>
  <c r="E84" i="24"/>
  <c r="D84" i="24"/>
  <c r="Q83" i="24"/>
  <c r="P83" i="24"/>
  <c r="O83" i="24"/>
  <c r="N83" i="24"/>
  <c r="M83" i="24"/>
  <c r="L83" i="24"/>
  <c r="K83" i="24"/>
  <c r="J83" i="24"/>
  <c r="I83" i="24"/>
  <c r="H83" i="24"/>
  <c r="G83" i="24"/>
  <c r="E83" i="24"/>
  <c r="D83" i="24"/>
  <c r="Q82" i="24"/>
  <c r="P82" i="24"/>
  <c r="O82" i="24"/>
  <c r="N82" i="24"/>
  <c r="M82" i="24"/>
  <c r="L82" i="24"/>
  <c r="K82" i="24"/>
  <c r="J82" i="24"/>
  <c r="I82" i="24"/>
  <c r="H82" i="24"/>
  <c r="G82" i="24"/>
  <c r="E82" i="24"/>
  <c r="D82" i="24"/>
  <c r="Q81" i="24"/>
  <c r="P81" i="24"/>
  <c r="O81" i="24"/>
  <c r="N81" i="24"/>
  <c r="M81" i="24"/>
  <c r="L81" i="24"/>
  <c r="K81" i="24"/>
  <c r="J81" i="24"/>
  <c r="I81" i="24"/>
  <c r="H81" i="24"/>
  <c r="G81" i="24"/>
  <c r="E81" i="24"/>
  <c r="D81" i="24"/>
  <c r="Q80" i="24"/>
  <c r="P80" i="24"/>
  <c r="O80" i="24"/>
  <c r="N80" i="24"/>
  <c r="M80" i="24"/>
  <c r="L80" i="24"/>
  <c r="K80" i="24"/>
  <c r="J80" i="24"/>
  <c r="I80" i="24"/>
  <c r="H80" i="24"/>
  <c r="G80" i="24"/>
  <c r="E80" i="24"/>
  <c r="D80" i="24"/>
  <c r="Q79" i="24"/>
  <c r="P79" i="24"/>
  <c r="O79" i="24"/>
  <c r="N79" i="24"/>
  <c r="M79" i="24"/>
  <c r="L79" i="24"/>
  <c r="K79" i="24"/>
  <c r="J79" i="24"/>
  <c r="I79" i="24"/>
  <c r="H79" i="24"/>
  <c r="G79" i="24"/>
  <c r="E79" i="24"/>
  <c r="D79" i="24"/>
  <c r="Q78" i="24"/>
  <c r="P78" i="24"/>
  <c r="O78" i="24"/>
  <c r="N78" i="24"/>
  <c r="M78" i="24"/>
  <c r="L78" i="24"/>
  <c r="K78" i="24"/>
  <c r="J78" i="24"/>
  <c r="I78" i="24"/>
  <c r="H78" i="24"/>
  <c r="G78" i="24"/>
  <c r="E78" i="24"/>
  <c r="D78" i="24"/>
  <c r="Q77" i="24"/>
  <c r="P77" i="24"/>
  <c r="O77" i="24"/>
  <c r="N77" i="24"/>
  <c r="M77" i="24"/>
  <c r="L77" i="24"/>
  <c r="K77" i="24"/>
  <c r="J77" i="24"/>
  <c r="I77" i="24"/>
  <c r="H77" i="24"/>
  <c r="G77" i="24"/>
  <c r="E77" i="24"/>
  <c r="D77" i="24"/>
  <c r="Q76" i="24"/>
  <c r="P76" i="24"/>
  <c r="O76" i="24"/>
  <c r="N76" i="24"/>
  <c r="M76" i="24"/>
  <c r="L76" i="24"/>
  <c r="K76" i="24"/>
  <c r="J76" i="24"/>
  <c r="I76" i="24"/>
  <c r="H76" i="24"/>
  <c r="G76" i="24"/>
  <c r="E76" i="24"/>
  <c r="D76" i="24"/>
  <c r="Q75" i="24"/>
  <c r="P75" i="24"/>
  <c r="O75" i="24"/>
  <c r="N75" i="24"/>
  <c r="M75" i="24"/>
  <c r="L75" i="24"/>
  <c r="K75" i="24"/>
  <c r="J75" i="24"/>
  <c r="I75" i="24"/>
  <c r="H75" i="24"/>
  <c r="G75" i="24"/>
  <c r="E75" i="24"/>
  <c r="D75" i="24"/>
  <c r="Q74" i="24"/>
  <c r="P74" i="24"/>
  <c r="O74" i="24"/>
  <c r="N74" i="24"/>
  <c r="M74" i="24"/>
  <c r="L74" i="24"/>
  <c r="K74" i="24"/>
  <c r="J74" i="24"/>
  <c r="I74" i="24"/>
  <c r="H74" i="24"/>
  <c r="G74" i="24"/>
  <c r="E74" i="24"/>
  <c r="D74" i="24"/>
  <c r="Q73" i="24"/>
  <c r="P73" i="24"/>
  <c r="O73" i="24"/>
  <c r="N73" i="24"/>
  <c r="M73" i="24"/>
  <c r="L73" i="24"/>
  <c r="K73" i="24"/>
  <c r="J73" i="24"/>
  <c r="I73" i="24"/>
  <c r="H73" i="24"/>
  <c r="G73" i="24"/>
  <c r="E73" i="24"/>
  <c r="D73" i="24"/>
  <c r="Q72" i="24"/>
  <c r="P72" i="24"/>
  <c r="O72" i="24"/>
  <c r="N72" i="24"/>
  <c r="M72" i="24"/>
  <c r="L72" i="24"/>
  <c r="K72" i="24"/>
  <c r="J72" i="24"/>
  <c r="I72" i="24"/>
  <c r="H72" i="24"/>
  <c r="G72" i="24"/>
  <c r="E72" i="24"/>
  <c r="D72" i="24"/>
  <c r="Q71" i="24"/>
  <c r="P71" i="24"/>
  <c r="O71" i="24"/>
  <c r="N71" i="24"/>
  <c r="M71" i="24"/>
  <c r="L71" i="24"/>
  <c r="K71" i="24"/>
  <c r="J71" i="24"/>
  <c r="I71" i="24"/>
  <c r="H71" i="24"/>
  <c r="G71" i="24"/>
  <c r="E71" i="24"/>
  <c r="D71" i="24"/>
  <c r="Q70" i="24"/>
  <c r="P70" i="24"/>
  <c r="O70" i="24"/>
  <c r="N70" i="24"/>
  <c r="M70" i="24"/>
  <c r="L70" i="24"/>
  <c r="K70" i="24"/>
  <c r="J70" i="24"/>
  <c r="I70" i="24"/>
  <c r="H70" i="24"/>
  <c r="G70" i="24"/>
  <c r="E70" i="24"/>
  <c r="D70" i="24"/>
  <c r="Q69" i="24"/>
  <c r="P69" i="24"/>
  <c r="O69" i="24"/>
  <c r="N69" i="24"/>
  <c r="M69" i="24"/>
  <c r="L69" i="24"/>
  <c r="K69" i="24"/>
  <c r="J69" i="24"/>
  <c r="I69" i="24"/>
  <c r="H69" i="24"/>
  <c r="G69" i="24"/>
  <c r="E69" i="24"/>
  <c r="D69" i="24"/>
  <c r="Q68" i="24"/>
  <c r="P68" i="24"/>
  <c r="O68" i="24"/>
  <c r="N68" i="24"/>
  <c r="M68" i="24"/>
  <c r="L68" i="24"/>
  <c r="K68" i="24"/>
  <c r="J68" i="24"/>
  <c r="I68" i="24"/>
  <c r="H68" i="24"/>
  <c r="G68" i="24"/>
  <c r="E68" i="24"/>
  <c r="D68" i="24"/>
  <c r="Q67" i="24"/>
  <c r="P67" i="24"/>
  <c r="O67" i="24"/>
  <c r="N67" i="24"/>
  <c r="M67" i="24"/>
  <c r="L67" i="24"/>
  <c r="K67" i="24"/>
  <c r="J67" i="24"/>
  <c r="I67" i="24"/>
  <c r="H67" i="24"/>
  <c r="G67" i="24"/>
  <c r="E67" i="24"/>
  <c r="D67" i="24"/>
  <c r="Q66" i="24"/>
  <c r="P66" i="24"/>
  <c r="O66" i="24"/>
  <c r="N66" i="24"/>
  <c r="M66" i="24"/>
  <c r="L66" i="24"/>
  <c r="K66" i="24"/>
  <c r="J66" i="24"/>
  <c r="I66" i="24"/>
  <c r="H66" i="24"/>
  <c r="G66" i="24"/>
  <c r="E66" i="24"/>
  <c r="D66" i="24"/>
  <c r="Q65" i="24"/>
  <c r="P65" i="24"/>
  <c r="O65" i="24"/>
  <c r="N65" i="24"/>
  <c r="M65" i="24"/>
  <c r="L65" i="24"/>
  <c r="K65" i="24"/>
  <c r="J65" i="24"/>
  <c r="I65" i="24"/>
  <c r="H65" i="24"/>
  <c r="G65" i="24"/>
  <c r="E65" i="24"/>
  <c r="D65" i="24"/>
  <c r="Q64" i="24"/>
  <c r="P64" i="24"/>
  <c r="O64" i="24"/>
  <c r="N64" i="24"/>
  <c r="M64" i="24"/>
  <c r="L64" i="24"/>
  <c r="K64" i="24"/>
  <c r="J64" i="24"/>
  <c r="I64" i="24"/>
  <c r="H64" i="24"/>
  <c r="G64" i="24"/>
  <c r="E64" i="24"/>
  <c r="D64" i="24"/>
  <c r="Q63" i="24"/>
  <c r="P63" i="24"/>
  <c r="O63" i="24"/>
  <c r="N63" i="24"/>
  <c r="M63" i="24"/>
  <c r="L63" i="24"/>
  <c r="K63" i="24"/>
  <c r="J63" i="24"/>
  <c r="I63" i="24"/>
  <c r="H63" i="24"/>
  <c r="G63" i="24"/>
  <c r="E63" i="24"/>
  <c r="D63" i="24"/>
  <c r="Q62" i="24"/>
  <c r="P62" i="24"/>
  <c r="O62" i="24"/>
  <c r="N62" i="24"/>
  <c r="M62" i="24"/>
  <c r="L62" i="24"/>
  <c r="K62" i="24"/>
  <c r="J62" i="24"/>
  <c r="I62" i="24"/>
  <c r="H62" i="24"/>
  <c r="G62" i="24"/>
  <c r="E62" i="24"/>
  <c r="D62" i="24"/>
  <c r="Q61" i="24"/>
  <c r="P61" i="24"/>
  <c r="O61" i="24"/>
  <c r="N61" i="24"/>
  <c r="M61" i="24"/>
  <c r="L61" i="24"/>
  <c r="K61" i="24"/>
  <c r="J61" i="24"/>
  <c r="I61" i="24"/>
  <c r="H61" i="24"/>
  <c r="G61" i="24"/>
  <c r="E61" i="24"/>
  <c r="D61" i="24"/>
  <c r="Q60" i="24"/>
  <c r="P60" i="24"/>
  <c r="O60" i="24"/>
  <c r="N60" i="24"/>
  <c r="M60" i="24"/>
  <c r="L60" i="24"/>
  <c r="K60" i="24"/>
  <c r="J60" i="24"/>
  <c r="I60" i="24"/>
  <c r="H60" i="24"/>
  <c r="G60" i="24"/>
  <c r="E60" i="24"/>
  <c r="D60" i="24"/>
  <c r="Q59" i="24"/>
  <c r="P59" i="24"/>
  <c r="O59" i="24"/>
  <c r="N59" i="24"/>
  <c r="M59" i="24"/>
  <c r="L59" i="24"/>
  <c r="K59" i="24"/>
  <c r="J59" i="24"/>
  <c r="I59" i="24"/>
  <c r="H59" i="24"/>
  <c r="G59" i="24"/>
  <c r="E59" i="24"/>
  <c r="D59" i="24"/>
  <c r="Q58" i="24"/>
  <c r="P58" i="24"/>
  <c r="O58" i="24"/>
  <c r="N58" i="24"/>
  <c r="M58" i="24"/>
  <c r="L58" i="24"/>
  <c r="K58" i="24"/>
  <c r="J58" i="24"/>
  <c r="I58" i="24"/>
  <c r="H58" i="24"/>
  <c r="G58" i="24"/>
  <c r="E58" i="24"/>
  <c r="D58" i="24"/>
  <c r="Q57" i="24"/>
  <c r="P57" i="24"/>
  <c r="O57" i="24"/>
  <c r="N57" i="24"/>
  <c r="M57" i="24"/>
  <c r="L57" i="24"/>
  <c r="K57" i="24"/>
  <c r="J57" i="24"/>
  <c r="I57" i="24"/>
  <c r="H57" i="24"/>
  <c r="G57" i="24"/>
  <c r="E57" i="24"/>
  <c r="D57" i="24"/>
  <c r="Q56" i="24"/>
  <c r="P56" i="24"/>
  <c r="O56" i="24"/>
  <c r="N56" i="24"/>
  <c r="M56" i="24"/>
  <c r="L56" i="24"/>
  <c r="K56" i="24"/>
  <c r="J56" i="24"/>
  <c r="I56" i="24"/>
  <c r="H56" i="24"/>
  <c r="G56" i="24"/>
  <c r="E56" i="24"/>
  <c r="D56" i="24"/>
  <c r="Q55" i="24"/>
  <c r="P55" i="24"/>
  <c r="O55" i="24"/>
  <c r="N55" i="24"/>
  <c r="M55" i="24"/>
  <c r="L55" i="24"/>
  <c r="K55" i="24"/>
  <c r="J55" i="24"/>
  <c r="I55" i="24"/>
  <c r="H55" i="24"/>
  <c r="G55" i="24"/>
  <c r="E55" i="24"/>
  <c r="D55" i="24"/>
  <c r="Q54" i="24"/>
  <c r="P54" i="24"/>
  <c r="O54" i="24"/>
  <c r="N54" i="24"/>
  <c r="M54" i="24"/>
  <c r="L54" i="24"/>
  <c r="K54" i="24"/>
  <c r="J54" i="24"/>
  <c r="I54" i="24"/>
  <c r="H54" i="24"/>
  <c r="G54" i="24"/>
  <c r="E54" i="24"/>
  <c r="D54" i="24"/>
  <c r="Q53" i="24"/>
  <c r="P53" i="24"/>
  <c r="O53" i="24"/>
  <c r="N53" i="24"/>
  <c r="M53" i="24"/>
  <c r="L53" i="24"/>
  <c r="K53" i="24"/>
  <c r="J53" i="24"/>
  <c r="I53" i="24"/>
  <c r="H53" i="24"/>
  <c r="G53" i="24"/>
  <c r="E53" i="24"/>
  <c r="D53" i="24"/>
  <c r="Q52" i="24"/>
  <c r="P52" i="24"/>
  <c r="O52" i="24"/>
  <c r="N52" i="24"/>
  <c r="M52" i="24"/>
  <c r="L52" i="24"/>
  <c r="K52" i="24"/>
  <c r="J52" i="24"/>
  <c r="I52" i="24"/>
  <c r="H52" i="24"/>
  <c r="G52" i="24"/>
  <c r="E52" i="24"/>
  <c r="D52" i="24"/>
  <c r="Q51" i="24"/>
  <c r="P51" i="24"/>
  <c r="O51" i="24"/>
  <c r="N51" i="24"/>
  <c r="M51" i="24"/>
  <c r="L51" i="24"/>
  <c r="K51" i="24"/>
  <c r="J51" i="24"/>
  <c r="I51" i="24"/>
  <c r="H51" i="24"/>
  <c r="G51" i="24"/>
  <c r="E51" i="24"/>
  <c r="D51" i="24"/>
  <c r="Q50" i="24"/>
  <c r="P50" i="24"/>
  <c r="O50" i="24"/>
  <c r="N50" i="24"/>
  <c r="M50" i="24"/>
  <c r="L50" i="24"/>
  <c r="K50" i="24"/>
  <c r="J50" i="24"/>
  <c r="I50" i="24"/>
  <c r="H50" i="24"/>
  <c r="G50" i="24"/>
  <c r="E50" i="24"/>
  <c r="D50" i="24"/>
  <c r="Q49" i="24"/>
  <c r="P49" i="24"/>
  <c r="O49" i="24"/>
  <c r="N49" i="24"/>
  <c r="M49" i="24"/>
  <c r="L49" i="24"/>
  <c r="K49" i="24"/>
  <c r="J49" i="24"/>
  <c r="I49" i="24"/>
  <c r="H49" i="24"/>
  <c r="G49" i="24"/>
  <c r="E49" i="24"/>
  <c r="D49" i="24"/>
  <c r="Q48" i="24"/>
  <c r="P48" i="24"/>
  <c r="O48" i="24"/>
  <c r="N48" i="24"/>
  <c r="M48" i="24"/>
  <c r="L48" i="24"/>
  <c r="K48" i="24"/>
  <c r="J48" i="24"/>
  <c r="I48" i="24"/>
  <c r="H48" i="24"/>
  <c r="G48" i="24"/>
  <c r="E48" i="24"/>
  <c r="D48" i="24"/>
  <c r="Q47" i="24"/>
  <c r="P47" i="24"/>
  <c r="O47" i="24"/>
  <c r="N47" i="24"/>
  <c r="M47" i="24"/>
  <c r="L47" i="24"/>
  <c r="K47" i="24"/>
  <c r="J47" i="24"/>
  <c r="I47" i="24"/>
  <c r="H47" i="24"/>
  <c r="G47" i="24"/>
  <c r="E47" i="24"/>
  <c r="D47" i="24"/>
  <c r="Q46" i="24"/>
  <c r="P46" i="24"/>
  <c r="O46" i="24"/>
  <c r="N46" i="24"/>
  <c r="M46" i="24"/>
  <c r="L46" i="24"/>
  <c r="K46" i="24"/>
  <c r="J46" i="24"/>
  <c r="I46" i="24"/>
  <c r="H46" i="24"/>
  <c r="G46" i="24"/>
  <c r="E46" i="24"/>
  <c r="D46" i="24"/>
  <c r="Q45" i="24"/>
  <c r="P45" i="24"/>
  <c r="O45" i="24"/>
  <c r="N45" i="24"/>
  <c r="M45" i="24"/>
  <c r="L45" i="24"/>
  <c r="K45" i="24"/>
  <c r="J45" i="24"/>
  <c r="I45" i="24"/>
  <c r="H45" i="24"/>
  <c r="G45" i="24"/>
  <c r="E45" i="24"/>
  <c r="D45" i="24"/>
  <c r="Q44" i="24"/>
  <c r="P44" i="24"/>
  <c r="O44" i="24"/>
  <c r="N44" i="24"/>
  <c r="M44" i="24"/>
  <c r="L44" i="24"/>
  <c r="K44" i="24"/>
  <c r="J44" i="24"/>
  <c r="I44" i="24"/>
  <c r="H44" i="24"/>
  <c r="G44" i="24"/>
  <c r="E44" i="24"/>
  <c r="D44" i="24"/>
  <c r="Q43" i="24"/>
  <c r="P43" i="24"/>
  <c r="O43" i="24"/>
  <c r="N43" i="24"/>
  <c r="M43" i="24"/>
  <c r="L43" i="24"/>
  <c r="K43" i="24"/>
  <c r="J43" i="24"/>
  <c r="I43" i="24"/>
  <c r="H43" i="24"/>
  <c r="G43" i="24"/>
  <c r="E43" i="24"/>
  <c r="D43" i="24"/>
  <c r="Q42" i="24"/>
  <c r="P42" i="24"/>
  <c r="O42" i="24"/>
  <c r="N42" i="24"/>
  <c r="M42" i="24"/>
  <c r="L42" i="24"/>
  <c r="K42" i="24"/>
  <c r="J42" i="24"/>
  <c r="I42" i="24"/>
  <c r="H42" i="24"/>
  <c r="G42" i="24"/>
  <c r="E42" i="24"/>
  <c r="D42" i="24"/>
  <c r="Q41" i="24"/>
  <c r="P41" i="24"/>
  <c r="O41" i="24"/>
  <c r="N41" i="24"/>
  <c r="M41" i="24"/>
  <c r="L41" i="24"/>
  <c r="K41" i="24"/>
  <c r="J41" i="24"/>
  <c r="I41" i="24"/>
  <c r="H41" i="24"/>
  <c r="G41" i="24"/>
  <c r="E41" i="24"/>
  <c r="D41" i="24"/>
  <c r="Q40" i="24"/>
  <c r="P40" i="24"/>
  <c r="O40" i="24"/>
  <c r="N40" i="24"/>
  <c r="M40" i="24"/>
  <c r="L40" i="24"/>
  <c r="K40" i="24"/>
  <c r="J40" i="24"/>
  <c r="I40" i="24"/>
  <c r="H40" i="24"/>
  <c r="G40" i="24"/>
  <c r="E40" i="24"/>
  <c r="D40" i="24"/>
  <c r="Q39" i="24"/>
  <c r="P39" i="24"/>
  <c r="O39" i="24"/>
  <c r="N39" i="24"/>
  <c r="M39" i="24"/>
  <c r="L39" i="24"/>
  <c r="K39" i="24"/>
  <c r="J39" i="24"/>
  <c r="I39" i="24"/>
  <c r="H39" i="24"/>
  <c r="G39" i="24"/>
  <c r="E39" i="24"/>
  <c r="D39" i="24"/>
  <c r="Q38" i="24"/>
  <c r="P38" i="24"/>
  <c r="O38" i="24"/>
  <c r="N38" i="24"/>
  <c r="M38" i="24"/>
  <c r="L38" i="24"/>
  <c r="K38" i="24"/>
  <c r="J38" i="24"/>
  <c r="I38" i="24"/>
  <c r="H38" i="24"/>
  <c r="G38" i="24"/>
  <c r="E38" i="24"/>
  <c r="D38" i="24"/>
  <c r="Q37" i="24"/>
  <c r="P37" i="24"/>
  <c r="O37" i="24"/>
  <c r="N37" i="24"/>
  <c r="M37" i="24"/>
  <c r="L37" i="24"/>
  <c r="K37" i="24"/>
  <c r="J37" i="24"/>
  <c r="I37" i="24"/>
  <c r="H37" i="24"/>
  <c r="G37" i="24"/>
  <c r="E37" i="24"/>
  <c r="D37" i="24"/>
  <c r="Q36" i="24"/>
  <c r="P36" i="24"/>
  <c r="O36" i="24"/>
  <c r="N36" i="24"/>
  <c r="M36" i="24"/>
  <c r="L36" i="24"/>
  <c r="K36" i="24"/>
  <c r="J36" i="24"/>
  <c r="I36" i="24"/>
  <c r="H36" i="24"/>
  <c r="G36" i="24"/>
  <c r="E36" i="24"/>
  <c r="D36" i="24"/>
  <c r="Q35" i="24"/>
  <c r="P35" i="24"/>
  <c r="O35" i="24"/>
  <c r="N35" i="24"/>
  <c r="M35" i="24"/>
  <c r="L35" i="24"/>
  <c r="K35" i="24"/>
  <c r="J35" i="24"/>
  <c r="I35" i="24"/>
  <c r="H35" i="24"/>
  <c r="G35" i="24"/>
  <c r="E35" i="24"/>
  <c r="D35" i="24"/>
  <c r="Q34" i="24"/>
  <c r="P34" i="24"/>
  <c r="O34" i="24"/>
  <c r="N34" i="24"/>
  <c r="M34" i="24"/>
  <c r="L34" i="24"/>
  <c r="K34" i="24"/>
  <c r="J34" i="24"/>
  <c r="I34" i="24"/>
  <c r="H34" i="24"/>
  <c r="G34" i="24"/>
  <c r="E34" i="24"/>
  <c r="D34" i="24"/>
  <c r="Q33" i="24"/>
  <c r="P33" i="24"/>
  <c r="O33" i="24"/>
  <c r="N33" i="24"/>
  <c r="M33" i="24"/>
  <c r="L33" i="24"/>
  <c r="K33" i="24"/>
  <c r="J33" i="24"/>
  <c r="I33" i="24"/>
  <c r="H33" i="24"/>
  <c r="G33" i="24"/>
  <c r="E33" i="24"/>
  <c r="D33" i="24"/>
  <c r="Q32" i="24"/>
  <c r="P32" i="24"/>
  <c r="O32" i="24"/>
  <c r="N32" i="24"/>
  <c r="M32" i="24"/>
  <c r="L32" i="24"/>
  <c r="K32" i="24"/>
  <c r="J32" i="24"/>
  <c r="I32" i="24"/>
  <c r="H32" i="24"/>
  <c r="G32" i="24"/>
  <c r="E32" i="24"/>
  <c r="D32" i="24"/>
  <c r="Q31" i="24"/>
  <c r="P31" i="24"/>
  <c r="O31" i="24"/>
  <c r="N31" i="24"/>
  <c r="M31" i="24"/>
  <c r="L31" i="24"/>
  <c r="K31" i="24"/>
  <c r="J31" i="24"/>
  <c r="I31" i="24"/>
  <c r="H31" i="24"/>
  <c r="G31" i="24"/>
  <c r="E31" i="24"/>
  <c r="D31" i="24"/>
  <c r="Q30" i="24"/>
  <c r="P30" i="24"/>
  <c r="O30" i="24"/>
  <c r="N30" i="24"/>
  <c r="M30" i="24"/>
  <c r="L30" i="24"/>
  <c r="K30" i="24"/>
  <c r="J30" i="24"/>
  <c r="I30" i="24"/>
  <c r="H30" i="24"/>
  <c r="G30" i="24"/>
  <c r="E30" i="24"/>
  <c r="D30" i="24"/>
  <c r="Q29" i="24"/>
  <c r="P29" i="24"/>
  <c r="O29" i="24"/>
  <c r="N29" i="24"/>
  <c r="M29" i="24"/>
  <c r="L29" i="24"/>
  <c r="K29" i="24"/>
  <c r="J29" i="24"/>
  <c r="I29" i="24"/>
  <c r="H29" i="24"/>
  <c r="G29" i="24"/>
  <c r="E29" i="24"/>
  <c r="D29" i="24"/>
  <c r="Q28" i="24"/>
  <c r="P28" i="24"/>
  <c r="O28" i="24"/>
  <c r="N28" i="24"/>
  <c r="M28" i="24"/>
  <c r="L28" i="24"/>
  <c r="K28" i="24"/>
  <c r="J28" i="24"/>
  <c r="I28" i="24"/>
  <c r="H28" i="24"/>
  <c r="G28" i="24"/>
  <c r="E28" i="24"/>
  <c r="D28" i="24"/>
  <c r="Q27" i="24"/>
  <c r="P27" i="24"/>
  <c r="O27" i="24"/>
  <c r="N27" i="24"/>
  <c r="M27" i="24"/>
  <c r="L27" i="24"/>
  <c r="K27" i="24"/>
  <c r="J27" i="24"/>
  <c r="I27" i="24"/>
  <c r="H27" i="24"/>
  <c r="G27" i="24"/>
  <c r="E27" i="24"/>
  <c r="D27" i="24"/>
  <c r="Q26" i="24"/>
  <c r="P26" i="24"/>
  <c r="O26" i="24"/>
  <c r="N26" i="24"/>
  <c r="M26" i="24"/>
  <c r="L26" i="24"/>
  <c r="K26" i="24"/>
  <c r="J26" i="24"/>
  <c r="I26" i="24"/>
  <c r="H26" i="24"/>
  <c r="G26" i="24"/>
  <c r="E26" i="24"/>
  <c r="D26" i="24"/>
  <c r="Q25" i="24"/>
  <c r="P25" i="24"/>
  <c r="O25" i="24"/>
  <c r="N25" i="24"/>
  <c r="M25" i="24"/>
  <c r="L25" i="24"/>
  <c r="K25" i="24"/>
  <c r="J25" i="24"/>
  <c r="I25" i="24"/>
  <c r="H25" i="24"/>
  <c r="G25" i="24"/>
  <c r="E25" i="24"/>
  <c r="D25" i="24"/>
  <c r="Q24" i="24"/>
  <c r="P24" i="24"/>
  <c r="O24" i="24"/>
  <c r="N24" i="24"/>
  <c r="M24" i="24"/>
  <c r="L24" i="24"/>
  <c r="K24" i="24"/>
  <c r="J24" i="24"/>
  <c r="I24" i="24"/>
  <c r="H24" i="24"/>
  <c r="G24" i="24"/>
  <c r="E24" i="24"/>
  <c r="D24" i="24"/>
  <c r="Q23" i="24"/>
  <c r="P23" i="24"/>
  <c r="O23" i="24"/>
  <c r="N23" i="24"/>
  <c r="M23" i="24"/>
  <c r="L23" i="24"/>
  <c r="K23" i="24"/>
  <c r="J23" i="24"/>
  <c r="I23" i="24"/>
  <c r="H23" i="24"/>
  <c r="G23" i="24"/>
  <c r="E23" i="24"/>
  <c r="D23" i="24"/>
  <c r="Q22" i="24"/>
  <c r="P22" i="24"/>
  <c r="O22" i="24"/>
  <c r="N22" i="24"/>
  <c r="M22" i="24"/>
  <c r="L22" i="24"/>
  <c r="K22" i="24"/>
  <c r="J22" i="24"/>
  <c r="I22" i="24"/>
  <c r="H22" i="24"/>
  <c r="G22" i="24"/>
  <c r="E22" i="24"/>
  <c r="D22" i="24"/>
  <c r="Q21" i="24"/>
  <c r="P21" i="24"/>
  <c r="O21" i="24"/>
  <c r="N21" i="24"/>
  <c r="M21" i="24"/>
  <c r="L21" i="24"/>
  <c r="K21" i="24"/>
  <c r="J21" i="24"/>
  <c r="I21" i="24"/>
  <c r="H21" i="24"/>
  <c r="G21" i="24"/>
  <c r="E21" i="24"/>
  <c r="D21" i="24"/>
  <c r="Q20" i="24"/>
  <c r="P20" i="24"/>
  <c r="O20" i="24"/>
  <c r="N20" i="24"/>
  <c r="M20" i="24"/>
  <c r="L20" i="24"/>
  <c r="K20" i="24"/>
  <c r="J20" i="24"/>
  <c r="I20" i="24"/>
  <c r="H20" i="24"/>
  <c r="G20" i="24"/>
  <c r="E20" i="24"/>
  <c r="D20" i="24"/>
  <c r="Q19" i="24"/>
  <c r="P19" i="24"/>
  <c r="O19" i="24"/>
  <c r="N19" i="24"/>
  <c r="M19" i="24"/>
  <c r="L19" i="24"/>
  <c r="K19" i="24"/>
  <c r="J19" i="24"/>
  <c r="I19" i="24"/>
  <c r="H19" i="24"/>
  <c r="G19" i="24"/>
  <c r="E19" i="24"/>
  <c r="D19" i="24"/>
  <c r="Q18" i="24"/>
  <c r="P18" i="24"/>
  <c r="O18" i="24"/>
  <c r="N18" i="24"/>
  <c r="M18" i="24"/>
  <c r="L18" i="24"/>
  <c r="K18" i="24"/>
  <c r="J18" i="24"/>
  <c r="I18" i="24"/>
  <c r="H18" i="24"/>
  <c r="G18" i="24"/>
  <c r="E18" i="24"/>
  <c r="D18" i="24"/>
  <c r="Q17" i="24"/>
  <c r="P17" i="24"/>
  <c r="O17" i="24"/>
  <c r="N17" i="24"/>
  <c r="M17" i="24"/>
  <c r="L17" i="24"/>
  <c r="K17" i="24"/>
  <c r="J17" i="24"/>
  <c r="I17" i="24"/>
  <c r="H17" i="24"/>
  <c r="G17" i="24"/>
  <c r="E17" i="24"/>
  <c r="D17" i="24"/>
  <c r="Q16" i="24"/>
  <c r="P16" i="24"/>
  <c r="O16" i="24"/>
  <c r="N16" i="24"/>
  <c r="M16" i="24"/>
  <c r="L16" i="24"/>
  <c r="K16" i="24"/>
  <c r="J16" i="24"/>
  <c r="I16" i="24"/>
  <c r="H16" i="24"/>
  <c r="G16" i="24"/>
  <c r="E16" i="24"/>
  <c r="D16" i="24"/>
  <c r="Q15" i="24"/>
  <c r="P15" i="24"/>
  <c r="O15" i="24"/>
  <c r="N15" i="24"/>
  <c r="M15" i="24"/>
  <c r="L15" i="24"/>
  <c r="K15" i="24"/>
  <c r="J15" i="24"/>
  <c r="I15" i="24"/>
  <c r="H15" i="24"/>
  <c r="G15" i="24"/>
  <c r="E15" i="24"/>
  <c r="D15" i="24"/>
  <c r="Q14" i="24"/>
  <c r="P14" i="24"/>
  <c r="O14" i="24"/>
  <c r="N14" i="24"/>
  <c r="M14" i="24"/>
  <c r="L14" i="24"/>
  <c r="K14" i="24"/>
  <c r="J14" i="24"/>
  <c r="I14" i="24"/>
  <c r="H14" i="24"/>
  <c r="G14" i="24"/>
  <c r="E14" i="24"/>
  <c r="D14" i="24"/>
  <c r="Q13" i="24"/>
  <c r="P13" i="24"/>
  <c r="O13" i="24"/>
  <c r="N13" i="24"/>
  <c r="M13" i="24"/>
  <c r="L13" i="24"/>
  <c r="K13" i="24"/>
  <c r="J13" i="24"/>
  <c r="I13" i="24"/>
  <c r="H13" i="24"/>
  <c r="G13" i="24"/>
  <c r="E13" i="24"/>
  <c r="D13" i="24"/>
  <c r="Q12" i="24"/>
  <c r="P12" i="24"/>
  <c r="O12" i="24"/>
  <c r="N12" i="24"/>
  <c r="M12" i="24"/>
  <c r="L12" i="24"/>
  <c r="K12" i="24"/>
  <c r="J12" i="24"/>
  <c r="I12" i="24"/>
  <c r="H12" i="24"/>
  <c r="G12" i="24"/>
  <c r="E12" i="24"/>
  <c r="D12" i="24"/>
  <c r="Q11" i="24"/>
  <c r="P11" i="24"/>
  <c r="O11" i="24"/>
  <c r="N11" i="24"/>
  <c r="M11" i="24"/>
  <c r="L11" i="24"/>
  <c r="K11" i="24"/>
  <c r="J11" i="24"/>
  <c r="I11" i="24"/>
  <c r="H11" i="24"/>
  <c r="G11" i="24"/>
  <c r="E11" i="24"/>
  <c r="D11" i="24"/>
  <c r="Q10" i="24"/>
  <c r="P10" i="24"/>
  <c r="O10" i="24"/>
  <c r="N10" i="24"/>
  <c r="M10" i="24"/>
  <c r="L10" i="24"/>
  <c r="K10" i="24"/>
  <c r="J10" i="24"/>
  <c r="I10" i="24"/>
  <c r="H10" i="24"/>
  <c r="G10" i="24"/>
  <c r="E10" i="24"/>
  <c r="D10" i="24"/>
  <c r="Q9" i="24"/>
  <c r="P9" i="24"/>
  <c r="O9" i="24"/>
  <c r="N9" i="24"/>
  <c r="M9" i="24"/>
  <c r="L9" i="24"/>
  <c r="K9" i="24"/>
  <c r="J9" i="24"/>
  <c r="I9" i="24"/>
  <c r="H9" i="24"/>
  <c r="G9" i="24"/>
  <c r="E9" i="24"/>
  <c r="D9" i="24"/>
  <c r="Q8" i="24"/>
  <c r="P8" i="24"/>
  <c r="O8" i="24"/>
  <c r="N8" i="24"/>
  <c r="M8" i="24"/>
  <c r="L8" i="24"/>
  <c r="K8" i="24"/>
  <c r="J8" i="24"/>
  <c r="I8" i="24"/>
  <c r="H8" i="24"/>
  <c r="G8" i="24"/>
  <c r="E8" i="24"/>
  <c r="D8" i="24"/>
  <c r="Q7" i="24"/>
  <c r="P7" i="24"/>
  <c r="O7" i="24"/>
  <c r="N7" i="24"/>
  <c r="M7" i="24"/>
  <c r="L7" i="24"/>
  <c r="K7" i="24"/>
  <c r="J7" i="24"/>
  <c r="I7" i="24"/>
  <c r="H7" i="24"/>
  <c r="G7" i="24"/>
  <c r="E7" i="24"/>
  <c r="D7" i="24"/>
  <c r="Q6" i="24"/>
  <c r="P6" i="24"/>
  <c r="O6" i="24"/>
  <c r="N6" i="24"/>
  <c r="M6" i="24"/>
  <c r="L6" i="24"/>
  <c r="K6" i="24"/>
  <c r="J6" i="24"/>
  <c r="I6" i="24"/>
  <c r="H6" i="24"/>
  <c r="G6" i="24"/>
  <c r="E6" i="24"/>
  <c r="D6" i="24"/>
  <c r="Q5" i="24"/>
  <c r="P5" i="24"/>
  <c r="O5" i="24"/>
  <c r="N5" i="24"/>
  <c r="M5" i="24"/>
  <c r="L5" i="24"/>
  <c r="K5" i="24"/>
  <c r="J5" i="24"/>
  <c r="I5" i="24"/>
  <c r="H5" i="24"/>
  <c r="G5" i="24"/>
  <c r="E5" i="24"/>
  <c r="D5" i="24"/>
  <c r="Q4" i="24"/>
  <c r="P4" i="24"/>
  <c r="D4" i="24"/>
  <c r="I131" i="84"/>
  <c r="H131" i="84"/>
  <c r="G131" i="84"/>
  <c r="F131" i="84"/>
  <c r="I130" i="84"/>
  <c r="H130" i="84"/>
  <c r="G130" i="84"/>
  <c r="F130" i="84"/>
  <c r="I129" i="84"/>
  <c r="H129" i="84"/>
  <c r="G129" i="84"/>
  <c r="F129" i="84"/>
  <c r="I128" i="84"/>
  <c r="H128" i="84"/>
  <c r="G128" i="84"/>
  <c r="F128" i="84"/>
  <c r="AK131" i="84"/>
  <c r="AK130" i="84"/>
  <c r="AK129" i="84"/>
  <c r="AK128" i="84"/>
  <c r="AK127" i="84"/>
  <c r="AB131" i="84"/>
  <c r="W131" i="84" s="1"/>
  <c r="AB130" i="84"/>
  <c r="W130" i="84" s="1"/>
  <c r="AB129" i="84"/>
  <c r="W129" i="84" s="1"/>
  <c r="AB128" i="84"/>
  <c r="W128" i="84" s="1"/>
  <c r="AB127" i="84"/>
  <c r="W127" i="84" s="1"/>
  <c r="V131" i="84"/>
  <c r="Q131" i="84" s="1"/>
  <c r="V130" i="84"/>
  <c r="Q130" i="84" s="1"/>
  <c r="V129" i="84"/>
  <c r="Q129" i="84" s="1"/>
  <c r="P131" i="84"/>
  <c r="K131" i="84" s="1"/>
  <c r="P130" i="84"/>
  <c r="K130" i="84" s="1"/>
  <c r="P129" i="84"/>
  <c r="K129" i="84" s="1"/>
  <c r="P128" i="84"/>
  <c r="K128" i="84" s="1"/>
  <c r="P127" i="84"/>
  <c r="K127" i="84" s="1"/>
  <c r="V127" i="84"/>
  <c r="Q127" i="84" s="1"/>
  <c r="V128" i="84"/>
  <c r="Q128" i="84" s="1"/>
  <c r="J127" i="84" l="1"/>
  <c r="J129" i="84"/>
  <c r="J131" i="84"/>
  <c r="E131" i="84" s="1"/>
  <c r="J128" i="84"/>
  <c r="E128" i="84" s="1"/>
  <c r="J130" i="84"/>
  <c r="E130" i="84" s="1"/>
  <c r="AE130" i="84" s="1"/>
  <c r="E129" i="84"/>
  <c r="AG129" i="84" s="1"/>
  <c r="AF100" i="84"/>
  <c r="AE100" i="84"/>
  <c r="AF99" i="84"/>
  <c r="AE99" i="84"/>
  <c r="AF98" i="84"/>
  <c r="AE98" i="84"/>
  <c r="AF125" i="84"/>
  <c r="AE125" i="84"/>
  <c r="AF124" i="84"/>
  <c r="AE124" i="84"/>
  <c r="AF97" i="84"/>
  <c r="AE97" i="84"/>
  <c r="AF96" i="84"/>
  <c r="AE96" i="84"/>
  <c r="AF95" i="84"/>
  <c r="AE95" i="84"/>
  <c r="AF123" i="84"/>
  <c r="AE123" i="84"/>
  <c r="AF94" i="84"/>
  <c r="AE94" i="84"/>
  <c r="AF93" i="84"/>
  <c r="AE93" i="84"/>
  <c r="AF92" i="84"/>
  <c r="AE92" i="84"/>
  <c r="AF122" i="84"/>
  <c r="AE122" i="84"/>
  <c r="AF91" i="84"/>
  <c r="AE91" i="84"/>
  <c r="AF90" i="84"/>
  <c r="AE90" i="84"/>
  <c r="AF89" i="84"/>
  <c r="AE89" i="84"/>
  <c r="AF88" i="84"/>
  <c r="AE88" i="84"/>
  <c r="AF87" i="84"/>
  <c r="AE87" i="84"/>
  <c r="AF86" i="84"/>
  <c r="AE86" i="84"/>
  <c r="AF85" i="84"/>
  <c r="AE85" i="84"/>
  <c r="AF84" i="84"/>
  <c r="AE84" i="84"/>
  <c r="AF83" i="84"/>
  <c r="AE83" i="84"/>
  <c r="AF82" i="84"/>
  <c r="AE82" i="84"/>
  <c r="AF121" i="84"/>
  <c r="AE121" i="84"/>
  <c r="AF81" i="84"/>
  <c r="AE81" i="84"/>
  <c r="AF120" i="84"/>
  <c r="AE120" i="84"/>
  <c r="AF80" i="84"/>
  <c r="AE80" i="84"/>
  <c r="AF119" i="84"/>
  <c r="AE119" i="84"/>
  <c r="AF79" i="84"/>
  <c r="AE79" i="84"/>
  <c r="AF78" i="84"/>
  <c r="AE78" i="84"/>
  <c r="AF77" i="84"/>
  <c r="AE77" i="84"/>
  <c r="AF76" i="84"/>
  <c r="AE76" i="84"/>
  <c r="AF75" i="84"/>
  <c r="AE75" i="84"/>
  <c r="AF118" i="84"/>
  <c r="AE118" i="84"/>
  <c r="AF74" i="84"/>
  <c r="AE74" i="84"/>
  <c r="AF117" i="84"/>
  <c r="AE117" i="84"/>
  <c r="AF73" i="84"/>
  <c r="AE73" i="84"/>
  <c r="AF72" i="84"/>
  <c r="AE72" i="84"/>
  <c r="AF71" i="84"/>
  <c r="AE71" i="84"/>
  <c r="AF70" i="84"/>
  <c r="AE70" i="84"/>
  <c r="AF116" i="84"/>
  <c r="AE116" i="84"/>
  <c r="AF69" i="84"/>
  <c r="AE69" i="84"/>
  <c r="AF68" i="84"/>
  <c r="AE68" i="84"/>
  <c r="AF115" i="84"/>
  <c r="AE115" i="84"/>
  <c r="AF114" i="84"/>
  <c r="AE114" i="84"/>
  <c r="AF67" i="84"/>
  <c r="AE67" i="84"/>
  <c r="AF66" i="84"/>
  <c r="AE66" i="84"/>
  <c r="AF65" i="84"/>
  <c r="AE65" i="84"/>
  <c r="AF64" i="84"/>
  <c r="AE64" i="84"/>
  <c r="AF63" i="84"/>
  <c r="AE63" i="84"/>
  <c r="AF62" i="84"/>
  <c r="AE62" i="84"/>
  <c r="AF113" i="84"/>
  <c r="AE113" i="84"/>
  <c r="AF112" i="84"/>
  <c r="AE112" i="84"/>
  <c r="AF61" i="84"/>
  <c r="AE61" i="84"/>
  <c r="AF111" i="84"/>
  <c r="AE111" i="84"/>
  <c r="AF60" i="84"/>
  <c r="AE60" i="84"/>
  <c r="AF59" i="84"/>
  <c r="AE59" i="84"/>
  <c r="AF58" i="84"/>
  <c r="AE58" i="84"/>
  <c r="AF57" i="84"/>
  <c r="AE57" i="84"/>
  <c r="AF56" i="84"/>
  <c r="AE56" i="84"/>
  <c r="AF55" i="84"/>
  <c r="AE55" i="84"/>
  <c r="AF54" i="84"/>
  <c r="AE54" i="84"/>
  <c r="AF53" i="84"/>
  <c r="AE53" i="84"/>
  <c r="AF52" i="84"/>
  <c r="AE52" i="84"/>
  <c r="AF51" i="84"/>
  <c r="AE51" i="84"/>
  <c r="AF110" i="84"/>
  <c r="AE110" i="84"/>
  <c r="AF50" i="84"/>
  <c r="AE50" i="84"/>
  <c r="AF49" i="84"/>
  <c r="AE49" i="84"/>
  <c r="AF48" i="84"/>
  <c r="AE48" i="84"/>
  <c r="AF47" i="84"/>
  <c r="AE47" i="84"/>
  <c r="AF109" i="84"/>
  <c r="AE109" i="84"/>
  <c r="AF46" i="84"/>
  <c r="AE46" i="84"/>
  <c r="AF45" i="84"/>
  <c r="AE45" i="84"/>
  <c r="AF44" i="84"/>
  <c r="AE44" i="84"/>
  <c r="AF43" i="84"/>
  <c r="AE43" i="84"/>
  <c r="AF42" i="84"/>
  <c r="AE42" i="84"/>
  <c r="AF41" i="84"/>
  <c r="AE41" i="84"/>
  <c r="AF40" i="84"/>
  <c r="AE40" i="84"/>
  <c r="AF108" i="84"/>
  <c r="AE108" i="84"/>
  <c r="AF107" i="84"/>
  <c r="AE107" i="84"/>
  <c r="AF39" i="84"/>
  <c r="AE39" i="84"/>
  <c r="AF38" i="84"/>
  <c r="AE38" i="84"/>
  <c r="AF106" i="84"/>
  <c r="AE106" i="84"/>
  <c r="AF37" i="84"/>
  <c r="AE37" i="84"/>
  <c r="AF36" i="84"/>
  <c r="AE36" i="84"/>
  <c r="AF35" i="84"/>
  <c r="AE35" i="84"/>
  <c r="AF34" i="84"/>
  <c r="AE34" i="84"/>
  <c r="AF33" i="84"/>
  <c r="AE33" i="84"/>
  <c r="AF32" i="84"/>
  <c r="AE32" i="84"/>
  <c r="AF31" i="84"/>
  <c r="AE31" i="84"/>
  <c r="AF105" i="84"/>
  <c r="AE105" i="84"/>
  <c r="AF30" i="84"/>
  <c r="AE30" i="84"/>
  <c r="AF29" i="84"/>
  <c r="AE29" i="84"/>
  <c r="AF28" i="84"/>
  <c r="AE28" i="84"/>
  <c r="AF27" i="84"/>
  <c r="AE27" i="84"/>
  <c r="AF26" i="84"/>
  <c r="AE26" i="84"/>
  <c r="AF104" i="84"/>
  <c r="AE104" i="84"/>
  <c r="AF103" i="84"/>
  <c r="AE103" i="84"/>
  <c r="AF25" i="84"/>
  <c r="AE25" i="84"/>
  <c r="AF24" i="84"/>
  <c r="AE24" i="84"/>
  <c r="AF23" i="84"/>
  <c r="AE23" i="84"/>
  <c r="AF22" i="84"/>
  <c r="AE22" i="84"/>
  <c r="AF21" i="84"/>
  <c r="AE21" i="84"/>
  <c r="AF20" i="84"/>
  <c r="AE20" i="84"/>
  <c r="AF19" i="84"/>
  <c r="AE19" i="84"/>
  <c r="AF18" i="84"/>
  <c r="AE18" i="84"/>
  <c r="AF102" i="84"/>
  <c r="AE102" i="84"/>
  <c r="AF17" i="84"/>
  <c r="AE17" i="84"/>
  <c r="AF16" i="84"/>
  <c r="AE16" i="84"/>
  <c r="AF15" i="84"/>
  <c r="AE15" i="84"/>
  <c r="AF14" i="84"/>
  <c r="AE14" i="84"/>
  <c r="AF13" i="84"/>
  <c r="AE13" i="84"/>
  <c r="AF12" i="84"/>
  <c r="AE12" i="84"/>
  <c r="AF11" i="84"/>
  <c r="AE11" i="84"/>
  <c r="AF10" i="84"/>
  <c r="AE10" i="84"/>
  <c r="AF9" i="84"/>
  <c r="AE9" i="84"/>
  <c r="AF8" i="84"/>
  <c r="AE8" i="84"/>
  <c r="AF101" i="84"/>
  <c r="AE101" i="84"/>
  <c r="AF7" i="84"/>
  <c r="AE7" i="84"/>
  <c r="AF6" i="84"/>
  <c r="AE6" i="84"/>
  <c r="AO100" i="84"/>
  <c r="AO99" i="84"/>
  <c r="AO98" i="84"/>
  <c r="AO125" i="84"/>
  <c r="AO124" i="84"/>
  <c r="AO97" i="84"/>
  <c r="AO96" i="84"/>
  <c r="AO95" i="84"/>
  <c r="AO123" i="84"/>
  <c r="AO94" i="84"/>
  <c r="AO93" i="84"/>
  <c r="AO92" i="84"/>
  <c r="AO122" i="84"/>
  <c r="AO91" i="84"/>
  <c r="AO90" i="84"/>
  <c r="AO89" i="84"/>
  <c r="AO88" i="84"/>
  <c r="AO87" i="84"/>
  <c r="AO86" i="84"/>
  <c r="AO85" i="84"/>
  <c r="AO84" i="84"/>
  <c r="AO83" i="84"/>
  <c r="AO82" i="84"/>
  <c r="AO121" i="84"/>
  <c r="AO81" i="84"/>
  <c r="AO120" i="84"/>
  <c r="AO80" i="84"/>
  <c r="AO119" i="84"/>
  <c r="AO79" i="84"/>
  <c r="AO78" i="84"/>
  <c r="AO77" i="84"/>
  <c r="AO76" i="84"/>
  <c r="AO75" i="84"/>
  <c r="AO118" i="84"/>
  <c r="AO74" i="84"/>
  <c r="AO117" i="84"/>
  <c r="AO73" i="84"/>
  <c r="AO72" i="84"/>
  <c r="AO71" i="84"/>
  <c r="AO70" i="84"/>
  <c r="AO116" i="84"/>
  <c r="AO69" i="84"/>
  <c r="AO68" i="84"/>
  <c r="AO115" i="84"/>
  <c r="AO114" i="84"/>
  <c r="AO67" i="84"/>
  <c r="AO66" i="84"/>
  <c r="AO65" i="84"/>
  <c r="AO64" i="84"/>
  <c r="AO63" i="84"/>
  <c r="AO62" i="84"/>
  <c r="AO113" i="84"/>
  <c r="AO112" i="84"/>
  <c r="AO61" i="84"/>
  <c r="AO111" i="84"/>
  <c r="AO60" i="84"/>
  <c r="AO59" i="84"/>
  <c r="AO58" i="84"/>
  <c r="AO57" i="84"/>
  <c r="AO56" i="84"/>
  <c r="AO55" i="84"/>
  <c r="AO54" i="84"/>
  <c r="AO53" i="84"/>
  <c r="AO52" i="84"/>
  <c r="AO51" i="84"/>
  <c r="AO110" i="84"/>
  <c r="AO50" i="84"/>
  <c r="AO49" i="84"/>
  <c r="AO48" i="84"/>
  <c r="AO47" i="84"/>
  <c r="AO109" i="84"/>
  <c r="AO46" i="84"/>
  <c r="AO45" i="84"/>
  <c r="AO44" i="84"/>
  <c r="AO43" i="84"/>
  <c r="AO42" i="84"/>
  <c r="AO41" i="84"/>
  <c r="AO40" i="84"/>
  <c r="AO108" i="84"/>
  <c r="AO107" i="84"/>
  <c r="AO39" i="84"/>
  <c r="AO38" i="84"/>
  <c r="AO106" i="84"/>
  <c r="AO37" i="84"/>
  <c r="AO36" i="84"/>
  <c r="AO35" i="84"/>
  <c r="AO34" i="84"/>
  <c r="AO33" i="84"/>
  <c r="AO32" i="84"/>
  <c r="AO31" i="84"/>
  <c r="AO105" i="84"/>
  <c r="AO30" i="84"/>
  <c r="AO29" i="84"/>
  <c r="AO28" i="84"/>
  <c r="AO27" i="84"/>
  <c r="AO26" i="84"/>
  <c r="AO104" i="84"/>
  <c r="AO103" i="84"/>
  <c r="AO25" i="84"/>
  <c r="AO24" i="84"/>
  <c r="AO23" i="84"/>
  <c r="AO22" i="84"/>
  <c r="AO21" i="84"/>
  <c r="AO20" i="84"/>
  <c r="AO19" i="84"/>
  <c r="AO18" i="84"/>
  <c r="AO102" i="84"/>
  <c r="AO17" i="84"/>
  <c r="AO16" i="84"/>
  <c r="AO15" i="84"/>
  <c r="AO14" i="84"/>
  <c r="AO13" i="84"/>
  <c r="AO12" i="84"/>
  <c r="AO11" i="84"/>
  <c r="AO10" i="84"/>
  <c r="AO9" i="84"/>
  <c r="AO8" i="84"/>
  <c r="AO101" i="84"/>
  <c r="AO7" i="84"/>
  <c r="AO6" i="84"/>
  <c r="AL5" i="84"/>
  <c r="AN5" i="84"/>
  <c r="AM5" i="84"/>
  <c r="AK5" i="84"/>
  <c r="AA5" i="84"/>
  <c r="Z5" i="84"/>
  <c r="U5" i="84"/>
  <c r="T5" i="84"/>
  <c r="P100" i="84"/>
  <c r="P99" i="84"/>
  <c r="P98" i="84"/>
  <c r="P125" i="84"/>
  <c r="P124" i="84"/>
  <c r="P97" i="84"/>
  <c r="P96" i="84"/>
  <c r="P95" i="84"/>
  <c r="P123" i="84"/>
  <c r="P94" i="84"/>
  <c r="P93" i="84"/>
  <c r="P92" i="84"/>
  <c r="P122" i="84"/>
  <c r="P91" i="84"/>
  <c r="P90" i="84"/>
  <c r="P89" i="84"/>
  <c r="P88" i="84"/>
  <c r="P87" i="84"/>
  <c r="P86" i="84"/>
  <c r="P85" i="84"/>
  <c r="P84" i="84"/>
  <c r="P83" i="84"/>
  <c r="P82" i="84"/>
  <c r="P121" i="84"/>
  <c r="P81" i="84"/>
  <c r="P120" i="84"/>
  <c r="P80" i="84"/>
  <c r="P119" i="84"/>
  <c r="P79" i="84"/>
  <c r="P78" i="84"/>
  <c r="P77" i="84"/>
  <c r="P76" i="84"/>
  <c r="P75" i="84"/>
  <c r="P118" i="84"/>
  <c r="P74" i="84"/>
  <c r="P117" i="84"/>
  <c r="P73" i="84"/>
  <c r="P72" i="84"/>
  <c r="P71" i="84"/>
  <c r="P70" i="84"/>
  <c r="P116" i="84"/>
  <c r="P69" i="84"/>
  <c r="P68" i="84"/>
  <c r="P115" i="84"/>
  <c r="P114" i="84"/>
  <c r="P67" i="84"/>
  <c r="P66" i="84"/>
  <c r="P65" i="84"/>
  <c r="P64" i="84"/>
  <c r="P63" i="84"/>
  <c r="P62" i="84"/>
  <c r="P113" i="84"/>
  <c r="P112" i="84"/>
  <c r="P61" i="84"/>
  <c r="P111" i="84"/>
  <c r="P60" i="84"/>
  <c r="P59" i="84"/>
  <c r="P58" i="84"/>
  <c r="P57" i="84"/>
  <c r="P56" i="84"/>
  <c r="P55" i="84"/>
  <c r="P54" i="84"/>
  <c r="P53" i="84"/>
  <c r="P52" i="84"/>
  <c r="P51" i="84"/>
  <c r="P110" i="84"/>
  <c r="P50" i="84"/>
  <c r="P49" i="84"/>
  <c r="P48" i="84"/>
  <c r="P47" i="84"/>
  <c r="P109" i="84"/>
  <c r="P46" i="84"/>
  <c r="P45" i="84"/>
  <c r="P44" i="84"/>
  <c r="P43" i="84"/>
  <c r="P42" i="84"/>
  <c r="P41" i="84"/>
  <c r="P40" i="84"/>
  <c r="P108" i="84"/>
  <c r="P107" i="84"/>
  <c r="P39" i="84"/>
  <c r="P38" i="84"/>
  <c r="P106" i="84"/>
  <c r="P37" i="84"/>
  <c r="P36" i="84"/>
  <c r="P35" i="84"/>
  <c r="P34" i="84"/>
  <c r="P33" i="84"/>
  <c r="P32" i="84"/>
  <c r="P31" i="84"/>
  <c r="P105" i="84"/>
  <c r="P30" i="84"/>
  <c r="P29" i="84"/>
  <c r="P28" i="84"/>
  <c r="P27" i="84"/>
  <c r="P26" i="84"/>
  <c r="P104" i="84"/>
  <c r="P103" i="84"/>
  <c r="P25" i="84"/>
  <c r="P24" i="84"/>
  <c r="P23" i="84"/>
  <c r="P22" i="84"/>
  <c r="P21" i="84"/>
  <c r="P20" i="84"/>
  <c r="P19" i="84"/>
  <c r="P18" i="84"/>
  <c r="P102" i="84"/>
  <c r="P17" i="84"/>
  <c r="P16" i="84"/>
  <c r="P15" i="84"/>
  <c r="P14" i="84"/>
  <c r="P13" i="84"/>
  <c r="P12" i="84"/>
  <c r="P11" i="84"/>
  <c r="P10" i="84"/>
  <c r="P9" i="84"/>
  <c r="P8" i="84"/>
  <c r="P101" i="84"/>
  <c r="P7" i="84"/>
  <c r="P6" i="84"/>
  <c r="O5" i="84"/>
  <c r="N5" i="84"/>
  <c r="I5" i="84"/>
  <c r="H5" i="84"/>
  <c r="AB100" i="84"/>
  <c r="AB99" i="84"/>
  <c r="AB98" i="84"/>
  <c r="AB125" i="84"/>
  <c r="AB124" i="84"/>
  <c r="AB97" i="84"/>
  <c r="AB96" i="84"/>
  <c r="AB95" i="84"/>
  <c r="AB123" i="84"/>
  <c r="AB94" i="84"/>
  <c r="AB93" i="84"/>
  <c r="AB92" i="84"/>
  <c r="AB122" i="84"/>
  <c r="AB91" i="84"/>
  <c r="AB90" i="84"/>
  <c r="AB89" i="84"/>
  <c r="AB88" i="84"/>
  <c r="AB87" i="84"/>
  <c r="AB86" i="84"/>
  <c r="AB85" i="84"/>
  <c r="AB84" i="84"/>
  <c r="AB83" i="84"/>
  <c r="AB82" i="84"/>
  <c r="AB121" i="84"/>
  <c r="AB81" i="84"/>
  <c r="AB120" i="84"/>
  <c r="AB80" i="84"/>
  <c r="AB119" i="84"/>
  <c r="AB79" i="84"/>
  <c r="AB78" i="84"/>
  <c r="AB77" i="84"/>
  <c r="AB76" i="84"/>
  <c r="AB75" i="84"/>
  <c r="AB118" i="84"/>
  <c r="AB74" i="84"/>
  <c r="AB117" i="84"/>
  <c r="AB73" i="84"/>
  <c r="AB72" i="84"/>
  <c r="AB71" i="84"/>
  <c r="AB70" i="84"/>
  <c r="AB116" i="84"/>
  <c r="AB69" i="84"/>
  <c r="AB68" i="84"/>
  <c r="AB115" i="84"/>
  <c r="AB114" i="84"/>
  <c r="AB67" i="84"/>
  <c r="AB66" i="84"/>
  <c r="AB65" i="84"/>
  <c r="AB64" i="84"/>
  <c r="AB63" i="84"/>
  <c r="AB62" i="84"/>
  <c r="AB113" i="84"/>
  <c r="AB112" i="84"/>
  <c r="AB61" i="84"/>
  <c r="AB111" i="84"/>
  <c r="AB60" i="84"/>
  <c r="AB59" i="84"/>
  <c r="AB58" i="84"/>
  <c r="AB57" i="84"/>
  <c r="AB56" i="84"/>
  <c r="AB55" i="84"/>
  <c r="AB54" i="84"/>
  <c r="AB53" i="84"/>
  <c r="AB52" i="84"/>
  <c r="AB51" i="84"/>
  <c r="AB110" i="84"/>
  <c r="AB50" i="84"/>
  <c r="AB49" i="84"/>
  <c r="AB48" i="84"/>
  <c r="AB47" i="84"/>
  <c r="AB109" i="84"/>
  <c r="AB46" i="84"/>
  <c r="AB45" i="84"/>
  <c r="AB44" i="84"/>
  <c r="AB43" i="84"/>
  <c r="AB42" i="84"/>
  <c r="AB41" i="84"/>
  <c r="AB40" i="84"/>
  <c r="AB108" i="84"/>
  <c r="AB107" i="84"/>
  <c r="AB39" i="84"/>
  <c r="AB38" i="84"/>
  <c r="AB106" i="84"/>
  <c r="AB37" i="84"/>
  <c r="AB36" i="84"/>
  <c r="AB35" i="84"/>
  <c r="AB34" i="84"/>
  <c r="AB33" i="84"/>
  <c r="AB32" i="84"/>
  <c r="AB31" i="84"/>
  <c r="AB105" i="84"/>
  <c r="AB30" i="84"/>
  <c r="AB29" i="84"/>
  <c r="AB28" i="84"/>
  <c r="AB27" i="84"/>
  <c r="AB26" i="84"/>
  <c r="AB104" i="84"/>
  <c r="AB103" i="84"/>
  <c r="AB25" i="84"/>
  <c r="AB24" i="84"/>
  <c r="AB23" i="84"/>
  <c r="AB22" i="84"/>
  <c r="AB21" i="84"/>
  <c r="AB20" i="84"/>
  <c r="AB19" i="84"/>
  <c r="AB18" i="84"/>
  <c r="AB102" i="84"/>
  <c r="AB17" i="84"/>
  <c r="AB16" i="84"/>
  <c r="AB15" i="84"/>
  <c r="AB14" i="84"/>
  <c r="AB13" i="84"/>
  <c r="AB12" i="84"/>
  <c r="AB11" i="84"/>
  <c r="AB10" i="84"/>
  <c r="AB9" i="84"/>
  <c r="AB8" i="84"/>
  <c r="AB101" i="84"/>
  <c r="AB7" i="84"/>
  <c r="AB6" i="84"/>
  <c r="J100" i="84"/>
  <c r="AG100" i="84" s="1"/>
  <c r="J99" i="84"/>
  <c r="AG99" i="84" s="1"/>
  <c r="J98" i="84"/>
  <c r="AG98" i="84" s="1"/>
  <c r="J125" i="84"/>
  <c r="AG125" i="84" s="1"/>
  <c r="J124" i="84"/>
  <c r="AG124" i="84" s="1"/>
  <c r="J97" i="84"/>
  <c r="AG97" i="84" s="1"/>
  <c r="J96" i="84"/>
  <c r="AG96" i="84" s="1"/>
  <c r="J95" i="84"/>
  <c r="AG95" i="84" s="1"/>
  <c r="J123" i="84"/>
  <c r="AG123" i="84" s="1"/>
  <c r="J94" i="84"/>
  <c r="AG94" i="84" s="1"/>
  <c r="J93" i="84"/>
  <c r="AG93" i="84" s="1"/>
  <c r="J92" i="84"/>
  <c r="AG92" i="84" s="1"/>
  <c r="J122" i="84"/>
  <c r="AG122" i="84" s="1"/>
  <c r="J91" i="84"/>
  <c r="AG91" i="84" s="1"/>
  <c r="J90" i="84"/>
  <c r="AG90" i="84" s="1"/>
  <c r="J89" i="84"/>
  <c r="AG89" i="84" s="1"/>
  <c r="J88" i="84"/>
  <c r="AG88" i="84" s="1"/>
  <c r="J87" i="84"/>
  <c r="AG87" i="84" s="1"/>
  <c r="J86" i="84"/>
  <c r="AG86" i="84" s="1"/>
  <c r="J85" i="84"/>
  <c r="AG85" i="84" s="1"/>
  <c r="J84" i="84"/>
  <c r="AG84" i="84" s="1"/>
  <c r="J83" i="84"/>
  <c r="AG83" i="84" s="1"/>
  <c r="J82" i="84"/>
  <c r="AG82" i="84" s="1"/>
  <c r="J121" i="84"/>
  <c r="AG121" i="84" s="1"/>
  <c r="J81" i="84"/>
  <c r="AG81" i="84" s="1"/>
  <c r="J120" i="84"/>
  <c r="AG120" i="84" s="1"/>
  <c r="J80" i="84"/>
  <c r="AG80" i="84" s="1"/>
  <c r="J119" i="84"/>
  <c r="AG119" i="84" s="1"/>
  <c r="J79" i="84"/>
  <c r="AG79" i="84" s="1"/>
  <c r="J78" i="84"/>
  <c r="AG78" i="84" s="1"/>
  <c r="J77" i="84"/>
  <c r="AG77" i="84" s="1"/>
  <c r="J76" i="84"/>
  <c r="AG76" i="84" s="1"/>
  <c r="J75" i="84"/>
  <c r="AG75" i="84" s="1"/>
  <c r="J118" i="84"/>
  <c r="AG118" i="84" s="1"/>
  <c r="J74" i="84"/>
  <c r="AG74" i="84" s="1"/>
  <c r="J117" i="84"/>
  <c r="AG117" i="84" s="1"/>
  <c r="J73" i="84"/>
  <c r="AG73" i="84" s="1"/>
  <c r="J72" i="84"/>
  <c r="AG72" i="84" s="1"/>
  <c r="J71" i="84"/>
  <c r="AG71" i="84" s="1"/>
  <c r="J70" i="84"/>
  <c r="AG70" i="84" s="1"/>
  <c r="J116" i="84"/>
  <c r="AG116" i="84" s="1"/>
  <c r="J69" i="84"/>
  <c r="AG69" i="84" s="1"/>
  <c r="J68" i="84"/>
  <c r="AG68" i="84" s="1"/>
  <c r="J115" i="84"/>
  <c r="AG115" i="84" s="1"/>
  <c r="J114" i="84"/>
  <c r="AG114" i="84" s="1"/>
  <c r="J67" i="84"/>
  <c r="AG67" i="84" s="1"/>
  <c r="J66" i="84"/>
  <c r="AG66" i="84" s="1"/>
  <c r="J65" i="84"/>
  <c r="AG65" i="84" s="1"/>
  <c r="J64" i="84"/>
  <c r="AG64" i="84" s="1"/>
  <c r="J63" i="84"/>
  <c r="AG63" i="84" s="1"/>
  <c r="J62" i="84"/>
  <c r="AG62" i="84" s="1"/>
  <c r="J113" i="84"/>
  <c r="AG113" i="84" s="1"/>
  <c r="J112" i="84"/>
  <c r="AG112" i="84" s="1"/>
  <c r="J61" i="84"/>
  <c r="AG61" i="84" s="1"/>
  <c r="J111" i="84"/>
  <c r="AG111" i="84" s="1"/>
  <c r="J60" i="84"/>
  <c r="AG60" i="84" s="1"/>
  <c r="J59" i="84"/>
  <c r="AG59" i="84" s="1"/>
  <c r="J58" i="84"/>
  <c r="AG58" i="84" s="1"/>
  <c r="J57" i="84"/>
  <c r="AG57" i="84" s="1"/>
  <c r="J56" i="84"/>
  <c r="AG56" i="84" s="1"/>
  <c r="J55" i="84"/>
  <c r="AG55" i="84" s="1"/>
  <c r="J54" i="84"/>
  <c r="AG54" i="84" s="1"/>
  <c r="J53" i="84"/>
  <c r="AG53" i="84" s="1"/>
  <c r="J52" i="84"/>
  <c r="AG52" i="84" s="1"/>
  <c r="J51" i="84"/>
  <c r="AG51" i="84" s="1"/>
  <c r="J110" i="84"/>
  <c r="AG110" i="84" s="1"/>
  <c r="J50" i="84"/>
  <c r="AG50" i="84" s="1"/>
  <c r="J49" i="84"/>
  <c r="AG49" i="84" s="1"/>
  <c r="J48" i="84"/>
  <c r="AG48" i="84" s="1"/>
  <c r="J47" i="84"/>
  <c r="AG47" i="84" s="1"/>
  <c r="J109" i="84"/>
  <c r="AG109" i="84" s="1"/>
  <c r="J46" i="84"/>
  <c r="AG46" i="84" s="1"/>
  <c r="J45" i="84"/>
  <c r="AG45" i="84" s="1"/>
  <c r="J44" i="84"/>
  <c r="AG44" i="84" s="1"/>
  <c r="J43" i="84"/>
  <c r="AG43" i="84" s="1"/>
  <c r="J42" i="84"/>
  <c r="AG42" i="84" s="1"/>
  <c r="J41" i="84"/>
  <c r="AG41" i="84" s="1"/>
  <c r="J40" i="84"/>
  <c r="AG40" i="84" s="1"/>
  <c r="J108" i="84"/>
  <c r="AG108" i="84" s="1"/>
  <c r="J107" i="84"/>
  <c r="AG107" i="84" s="1"/>
  <c r="J39" i="84"/>
  <c r="AG39" i="84" s="1"/>
  <c r="J38" i="84"/>
  <c r="AG38" i="84" s="1"/>
  <c r="J106" i="84"/>
  <c r="AG106" i="84" s="1"/>
  <c r="J37" i="84"/>
  <c r="AG37" i="84" s="1"/>
  <c r="J36" i="84"/>
  <c r="AG36" i="84" s="1"/>
  <c r="J35" i="84"/>
  <c r="AG35" i="84" s="1"/>
  <c r="J34" i="84"/>
  <c r="AG34" i="84" s="1"/>
  <c r="J33" i="84"/>
  <c r="AG33" i="84" s="1"/>
  <c r="J32" i="84"/>
  <c r="AG32" i="84" s="1"/>
  <c r="J31" i="84"/>
  <c r="AG31" i="84" s="1"/>
  <c r="J105" i="84"/>
  <c r="AG105" i="84" s="1"/>
  <c r="J30" i="84"/>
  <c r="AG30" i="84" s="1"/>
  <c r="J29" i="84"/>
  <c r="AG29" i="84" s="1"/>
  <c r="J28" i="84"/>
  <c r="AG28" i="84" s="1"/>
  <c r="J27" i="84"/>
  <c r="AG27" i="84" s="1"/>
  <c r="J26" i="84"/>
  <c r="AG26" i="84" s="1"/>
  <c r="J104" i="84"/>
  <c r="AG104" i="84" s="1"/>
  <c r="J103" i="84"/>
  <c r="AG103" i="84" s="1"/>
  <c r="J25" i="84"/>
  <c r="AG25" i="84" s="1"/>
  <c r="J24" i="84"/>
  <c r="AG24" i="84" s="1"/>
  <c r="J23" i="84"/>
  <c r="AG23" i="84" s="1"/>
  <c r="J22" i="84"/>
  <c r="AG22" i="84" s="1"/>
  <c r="J21" i="84"/>
  <c r="AG21" i="84" s="1"/>
  <c r="J20" i="84"/>
  <c r="AG20" i="84" s="1"/>
  <c r="J19" i="84"/>
  <c r="AG19" i="84" s="1"/>
  <c r="J18" i="84"/>
  <c r="AG18" i="84" s="1"/>
  <c r="J102" i="84"/>
  <c r="AG102" i="84" s="1"/>
  <c r="J17" i="84"/>
  <c r="AG17" i="84" s="1"/>
  <c r="J16" i="84"/>
  <c r="AG16" i="84" s="1"/>
  <c r="J15" i="84"/>
  <c r="AG15" i="84" s="1"/>
  <c r="J14" i="84"/>
  <c r="AG14" i="84" s="1"/>
  <c r="J13" i="84"/>
  <c r="AG13" i="84" s="1"/>
  <c r="J12" i="84"/>
  <c r="AG12" i="84" s="1"/>
  <c r="J11" i="84"/>
  <c r="AG11" i="84" s="1"/>
  <c r="J10" i="84"/>
  <c r="AG10" i="84" s="1"/>
  <c r="J9" i="84"/>
  <c r="AG9" i="84" s="1"/>
  <c r="J8" i="84"/>
  <c r="AG8" i="84" s="1"/>
  <c r="J101" i="84"/>
  <c r="AG101" i="84" s="1"/>
  <c r="J7" i="84"/>
  <c r="AG7" i="84" s="1"/>
  <c r="J6" i="84"/>
  <c r="AG6" i="84" s="1"/>
  <c r="V100" i="84"/>
  <c r="V99" i="84"/>
  <c r="V98" i="84"/>
  <c r="V125" i="84"/>
  <c r="V124" i="84"/>
  <c r="V97" i="84"/>
  <c r="V96" i="84"/>
  <c r="V95" i="84"/>
  <c r="V123" i="84"/>
  <c r="V94" i="84"/>
  <c r="V93" i="84"/>
  <c r="V92" i="84"/>
  <c r="V122" i="84"/>
  <c r="V91" i="84"/>
  <c r="V90" i="84"/>
  <c r="V89" i="84"/>
  <c r="V88" i="84"/>
  <c r="V87" i="84"/>
  <c r="V86" i="84"/>
  <c r="V85" i="84"/>
  <c r="V84" i="84"/>
  <c r="V83" i="84"/>
  <c r="V82" i="84"/>
  <c r="V121" i="84"/>
  <c r="V81" i="84"/>
  <c r="V120" i="84"/>
  <c r="V80" i="84"/>
  <c r="V119" i="84"/>
  <c r="V79" i="84"/>
  <c r="V78" i="84"/>
  <c r="V77" i="84"/>
  <c r="V76" i="84"/>
  <c r="V75" i="84"/>
  <c r="V118" i="84"/>
  <c r="V74" i="84"/>
  <c r="V117" i="84"/>
  <c r="V73" i="84"/>
  <c r="V72" i="84"/>
  <c r="V71" i="84"/>
  <c r="V70" i="84"/>
  <c r="V116" i="84"/>
  <c r="V69" i="84"/>
  <c r="V68" i="84"/>
  <c r="V115" i="84"/>
  <c r="V114" i="84"/>
  <c r="V67" i="84"/>
  <c r="V66" i="84"/>
  <c r="V65" i="84"/>
  <c r="V64" i="84"/>
  <c r="V63" i="84"/>
  <c r="V62" i="84"/>
  <c r="V113" i="84"/>
  <c r="V112" i="84"/>
  <c r="V61" i="84"/>
  <c r="V111" i="84"/>
  <c r="V60" i="84"/>
  <c r="V59" i="84"/>
  <c r="V58" i="84"/>
  <c r="V57" i="84"/>
  <c r="V56" i="84"/>
  <c r="V55" i="84"/>
  <c r="V54" i="84"/>
  <c r="V53" i="84"/>
  <c r="V52" i="84"/>
  <c r="V51" i="84"/>
  <c r="V110" i="84"/>
  <c r="V50" i="84"/>
  <c r="V49" i="84"/>
  <c r="V48" i="84"/>
  <c r="V47" i="84"/>
  <c r="V109" i="84"/>
  <c r="V46" i="84"/>
  <c r="V45" i="84"/>
  <c r="V44" i="84"/>
  <c r="V43" i="84"/>
  <c r="V42" i="84"/>
  <c r="V41" i="84"/>
  <c r="V40" i="84"/>
  <c r="V108" i="84"/>
  <c r="V107" i="84"/>
  <c r="V39" i="84"/>
  <c r="V38" i="84"/>
  <c r="V106" i="84"/>
  <c r="V37" i="84"/>
  <c r="V36" i="84"/>
  <c r="V35" i="84"/>
  <c r="V34" i="84"/>
  <c r="V33" i="84"/>
  <c r="V32" i="84"/>
  <c r="V31" i="84"/>
  <c r="V105" i="84"/>
  <c r="V30" i="84"/>
  <c r="V29" i="84"/>
  <c r="V28" i="84"/>
  <c r="V27" i="84"/>
  <c r="V26" i="84"/>
  <c r="V104" i="84"/>
  <c r="V103" i="84"/>
  <c r="V25" i="84"/>
  <c r="V24" i="84"/>
  <c r="V23" i="84"/>
  <c r="V22" i="84"/>
  <c r="V21" i="84"/>
  <c r="V20" i="84"/>
  <c r="V19" i="84"/>
  <c r="V18" i="84"/>
  <c r="V102" i="84"/>
  <c r="V17" i="84"/>
  <c r="V16" i="84"/>
  <c r="V15" i="84"/>
  <c r="V14" i="84"/>
  <c r="V13" i="84"/>
  <c r="V12" i="84"/>
  <c r="V11" i="84"/>
  <c r="V10" i="84"/>
  <c r="V9" i="84"/>
  <c r="V8" i="84"/>
  <c r="V101" i="84"/>
  <c r="V7" i="84"/>
  <c r="V6" i="84"/>
  <c r="AJ100" i="84"/>
  <c r="AI100" i="84"/>
  <c r="AH100" i="84"/>
  <c r="AJ99" i="84"/>
  <c r="AI99" i="84"/>
  <c r="AH99" i="84"/>
  <c r="AJ98" i="84"/>
  <c r="AI98" i="84"/>
  <c r="AH98" i="84"/>
  <c r="AJ125" i="84"/>
  <c r="AI125" i="84"/>
  <c r="AH125" i="84"/>
  <c r="AJ124" i="84"/>
  <c r="AI124" i="84"/>
  <c r="AH124" i="84"/>
  <c r="AJ97" i="84"/>
  <c r="AI97" i="84"/>
  <c r="AH97" i="84"/>
  <c r="AJ96" i="84"/>
  <c r="AI96" i="84"/>
  <c r="AH96" i="84"/>
  <c r="AJ95" i="84"/>
  <c r="AI95" i="84"/>
  <c r="AH95" i="84"/>
  <c r="AJ123" i="84"/>
  <c r="AI123" i="84"/>
  <c r="AH123" i="84"/>
  <c r="AJ94" i="84"/>
  <c r="AI94" i="84"/>
  <c r="AH94" i="84"/>
  <c r="AJ93" i="84"/>
  <c r="AI93" i="84"/>
  <c r="AH93" i="84"/>
  <c r="AJ92" i="84"/>
  <c r="AI92" i="84"/>
  <c r="AH92" i="84"/>
  <c r="AJ122" i="84"/>
  <c r="AI122" i="84"/>
  <c r="AH122" i="84"/>
  <c r="AJ91" i="84"/>
  <c r="AI91" i="84"/>
  <c r="AH91" i="84"/>
  <c r="AJ90" i="84"/>
  <c r="AI90" i="84"/>
  <c r="AH90" i="84"/>
  <c r="AJ89" i="84"/>
  <c r="AI89" i="84"/>
  <c r="AH89" i="84"/>
  <c r="AJ88" i="84"/>
  <c r="AI88" i="84"/>
  <c r="AH88" i="84"/>
  <c r="AJ87" i="84"/>
  <c r="AI87" i="84"/>
  <c r="AH87" i="84"/>
  <c r="AJ86" i="84"/>
  <c r="AI86" i="84"/>
  <c r="AH86" i="84"/>
  <c r="AJ85" i="84"/>
  <c r="AI85" i="84"/>
  <c r="AH85" i="84"/>
  <c r="AJ84" i="84"/>
  <c r="AI84" i="84"/>
  <c r="AH84" i="84"/>
  <c r="AJ83" i="84"/>
  <c r="AI83" i="84"/>
  <c r="AH83" i="84"/>
  <c r="AJ82" i="84"/>
  <c r="AI82" i="84"/>
  <c r="AH82" i="84"/>
  <c r="AJ121" i="84"/>
  <c r="AI121" i="84"/>
  <c r="AH121" i="84"/>
  <c r="AJ81" i="84"/>
  <c r="AI81" i="84"/>
  <c r="AH81" i="84"/>
  <c r="AJ120" i="84"/>
  <c r="AI120" i="84"/>
  <c r="AH120" i="84"/>
  <c r="AJ80" i="84"/>
  <c r="AI80" i="84"/>
  <c r="AH80" i="84"/>
  <c r="AJ119" i="84"/>
  <c r="AI119" i="84"/>
  <c r="AH119" i="84"/>
  <c r="AJ79" i="84"/>
  <c r="AI79" i="84"/>
  <c r="AH79" i="84"/>
  <c r="AJ78" i="84"/>
  <c r="AI78" i="84"/>
  <c r="AH78" i="84"/>
  <c r="AJ77" i="84"/>
  <c r="AI77" i="84"/>
  <c r="AH77" i="84"/>
  <c r="AJ76" i="84"/>
  <c r="AI76" i="84"/>
  <c r="AH76" i="84"/>
  <c r="AJ75" i="84"/>
  <c r="AI75" i="84"/>
  <c r="AH75" i="84"/>
  <c r="AJ118" i="84"/>
  <c r="AI118" i="84"/>
  <c r="AH118" i="84"/>
  <c r="AJ74" i="84"/>
  <c r="AI74" i="84"/>
  <c r="AH74" i="84"/>
  <c r="AJ117" i="84"/>
  <c r="AI117" i="84"/>
  <c r="AH117" i="84"/>
  <c r="AJ73" i="84"/>
  <c r="AI73" i="84"/>
  <c r="AH73" i="84"/>
  <c r="AJ72" i="84"/>
  <c r="AI72" i="84"/>
  <c r="AH72" i="84"/>
  <c r="AJ71" i="84"/>
  <c r="AI71" i="84"/>
  <c r="AH71" i="84"/>
  <c r="AJ70" i="84"/>
  <c r="AI70" i="84"/>
  <c r="AH70" i="84"/>
  <c r="AJ116" i="84"/>
  <c r="AI116" i="84"/>
  <c r="AH116" i="84"/>
  <c r="AJ69" i="84"/>
  <c r="AI69" i="84"/>
  <c r="AH69" i="84"/>
  <c r="AJ68" i="84"/>
  <c r="AI68" i="84"/>
  <c r="AH68" i="84"/>
  <c r="AJ115" i="84"/>
  <c r="AI115" i="84"/>
  <c r="AH115" i="84"/>
  <c r="AJ114" i="84"/>
  <c r="AI114" i="84"/>
  <c r="AH114" i="84"/>
  <c r="AJ67" i="84"/>
  <c r="AI67" i="84"/>
  <c r="AH67" i="84"/>
  <c r="AJ66" i="84"/>
  <c r="AI66" i="84"/>
  <c r="AH66" i="84"/>
  <c r="AJ65" i="84"/>
  <c r="AI65" i="84"/>
  <c r="AH65" i="84"/>
  <c r="AJ64" i="84"/>
  <c r="AI64" i="84"/>
  <c r="AH64" i="84"/>
  <c r="AJ63" i="84"/>
  <c r="AI63" i="84"/>
  <c r="AH63" i="84"/>
  <c r="AJ62" i="84"/>
  <c r="AI62" i="84"/>
  <c r="AH62" i="84"/>
  <c r="AJ113" i="84"/>
  <c r="AI113" i="84"/>
  <c r="AH113" i="84"/>
  <c r="AJ112" i="84"/>
  <c r="AI112" i="84"/>
  <c r="AH112" i="84"/>
  <c r="AJ61" i="84"/>
  <c r="AI61" i="84"/>
  <c r="AH61" i="84"/>
  <c r="AJ111" i="84"/>
  <c r="AI111" i="84"/>
  <c r="AH111" i="84"/>
  <c r="AJ60" i="84"/>
  <c r="AI60" i="84"/>
  <c r="AH60" i="84"/>
  <c r="AJ59" i="84"/>
  <c r="AI59" i="84"/>
  <c r="AH59" i="84"/>
  <c r="AJ58" i="84"/>
  <c r="AI58" i="84"/>
  <c r="AH58" i="84"/>
  <c r="AJ57" i="84"/>
  <c r="AI57" i="84"/>
  <c r="AH57" i="84"/>
  <c r="AJ56" i="84"/>
  <c r="AI56" i="84"/>
  <c r="AH56" i="84"/>
  <c r="AJ55" i="84"/>
  <c r="AI55" i="84"/>
  <c r="AH55" i="84"/>
  <c r="AJ54" i="84"/>
  <c r="AI54" i="84"/>
  <c r="AH54" i="84"/>
  <c r="AJ53" i="84"/>
  <c r="AI53" i="84"/>
  <c r="AH53" i="84"/>
  <c r="AJ52" i="84"/>
  <c r="AI52" i="84"/>
  <c r="AH52" i="84"/>
  <c r="AJ51" i="84"/>
  <c r="AI51" i="84"/>
  <c r="AH51" i="84"/>
  <c r="AJ110" i="84"/>
  <c r="AI110" i="84"/>
  <c r="AH110" i="84"/>
  <c r="AJ50" i="84"/>
  <c r="AI50" i="84"/>
  <c r="AH50" i="84"/>
  <c r="AJ49" i="84"/>
  <c r="AI49" i="84"/>
  <c r="AH49" i="84"/>
  <c r="AJ48" i="84"/>
  <c r="AI48" i="84"/>
  <c r="AH48" i="84"/>
  <c r="AJ47" i="84"/>
  <c r="AI47" i="84"/>
  <c r="AH47" i="84"/>
  <c r="AJ109" i="84"/>
  <c r="AI109" i="84"/>
  <c r="AH109" i="84"/>
  <c r="AJ46" i="84"/>
  <c r="AI46" i="84"/>
  <c r="AH46" i="84"/>
  <c r="AJ45" i="84"/>
  <c r="AI45" i="84"/>
  <c r="AH45" i="84"/>
  <c r="AJ44" i="84"/>
  <c r="AI44" i="84"/>
  <c r="AH44" i="84"/>
  <c r="AJ43" i="84"/>
  <c r="AI43" i="84"/>
  <c r="AH43" i="84"/>
  <c r="AJ42" i="84"/>
  <c r="AI42" i="84"/>
  <c r="AH42" i="84"/>
  <c r="AJ41" i="84"/>
  <c r="AI41" i="84"/>
  <c r="AH41" i="84"/>
  <c r="AJ40" i="84"/>
  <c r="AI40" i="84"/>
  <c r="AH40" i="84"/>
  <c r="AJ108" i="84"/>
  <c r="AI108" i="84"/>
  <c r="AH108" i="84"/>
  <c r="AJ107" i="84"/>
  <c r="AI107" i="84"/>
  <c r="AH107" i="84"/>
  <c r="AJ39" i="84"/>
  <c r="AI39" i="84"/>
  <c r="AH39" i="84"/>
  <c r="AJ38" i="84"/>
  <c r="AI38" i="84"/>
  <c r="AH38" i="84"/>
  <c r="AJ106" i="84"/>
  <c r="AI106" i="84"/>
  <c r="AH106" i="84"/>
  <c r="AJ37" i="84"/>
  <c r="AI37" i="84"/>
  <c r="AH37" i="84"/>
  <c r="AJ36" i="84"/>
  <c r="AI36" i="84"/>
  <c r="AH36" i="84"/>
  <c r="AJ35" i="84"/>
  <c r="AI35" i="84"/>
  <c r="AH35" i="84"/>
  <c r="AJ34" i="84"/>
  <c r="AI34" i="84"/>
  <c r="AH34" i="84"/>
  <c r="AJ33" i="84"/>
  <c r="AI33" i="84"/>
  <c r="AH33" i="84"/>
  <c r="AJ32" i="84"/>
  <c r="AI32" i="84"/>
  <c r="AH32" i="84"/>
  <c r="AJ31" i="84"/>
  <c r="AI31" i="84"/>
  <c r="AH31" i="84"/>
  <c r="AJ105" i="84"/>
  <c r="AI105" i="84"/>
  <c r="AH105" i="84"/>
  <c r="AJ30" i="84"/>
  <c r="AI30" i="84"/>
  <c r="AH30" i="84"/>
  <c r="AJ29" i="84"/>
  <c r="AI29" i="84"/>
  <c r="AH29" i="84"/>
  <c r="AJ28" i="84"/>
  <c r="AI28" i="84"/>
  <c r="AH28" i="84"/>
  <c r="AJ27" i="84"/>
  <c r="AI27" i="84"/>
  <c r="AH27" i="84"/>
  <c r="AJ26" i="84"/>
  <c r="AI26" i="84"/>
  <c r="AH26" i="84"/>
  <c r="AJ104" i="84"/>
  <c r="AI104" i="84"/>
  <c r="AH104" i="84"/>
  <c r="AJ103" i="84"/>
  <c r="AI103" i="84"/>
  <c r="AH103" i="84"/>
  <c r="AJ25" i="84"/>
  <c r="AI25" i="84"/>
  <c r="AH25" i="84"/>
  <c r="AJ24" i="84"/>
  <c r="AI24" i="84"/>
  <c r="AH24" i="84"/>
  <c r="AJ23" i="84"/>
  <c r="AI23" i="84"/>
  <c r="AH23" i="84"/>
  <c r="AJ22" i="84"/>
  <c r="AI22" i="84"/>
  <c r="AH22" i="84"/>
  <c r="AJ21" i="84"/>
  <c r="AI21" i="84"/>
  <c r="AH21" i="84"/>
  <c r="AJ20" i="84"/>
  <c r="AI20" i="84"/>
  <c r="AH20" i="84"/>
  <c r="AJ19" i="84"/>
  <c r="AI19" i="84"/>
  <c r="AH19" i="84"/>
  <c r="AJ18" i="84"/>
  <c r="AI18" i="84"/>
  <c r="AH18" i="84"/>
  <c r="AJ102" i="84"/>
  <c r="AI102" i="84"/>
  <c r="AH102" i="84"/>
  <c r="AJ17" i="84"/>
  <c r="AI17" i="84"/>
  <c r="AH17" i="84"/>
  <c r="AJ16" i="84"/>
  <c r="AI16" i="84"/>
  <c r="AH16" i="84"/>
  <c r="AJ15" i="84"/>
  <c r="AI15" i="84"/>
  <c r="AH15" i="84"/>
  <c r="AJ14" i="84"/>
  <c r="AI14" i="84"/>
  <c r="AH14" i="84"/>
  <c r="AJ13" i="84"/>
  <c r="AI13" i="84"/>
  <c r="AH13" i="84"/>
  <c r="AJ12" i="84"/>
  <c r="AI12" i="84"/>
  <c r="AH12" i="84"/>
  <c r="AJ11" i="84"/>
  <c r="AI11" i="84"/>
  <c r="AH11" i="84"/>
  <c r="AJ10" i="84"/>
  <c r="AI10" i="84"/>
  <c r="AH10" i="84"/>
  <c r="AJ9" i="84"/>
  <c r="AI9" i="84"/>
  <c r="AH9" i="84"/>
  <c r="AJ8" i="84"/>
  <c r="AI8" i="84"/>
  <c r="AH8" i="84"/>
  <c r="AJ101" i="84"/>
  <c r="AI101" i="84"/>
  <c r="AH101" i="84"/>
  <c r="AJ7" i="84"/>
  <c r="AI7" i="84"/>
  <c r="AH7" i="84"/>
  <c r="AJ6" i="84"/>
  <c r="AI6" i="84"/>
  <c r="AH6" i="84"/>
  <c r="Y5" i="84"/>
  <c r="X5" i="84"/>
  <c r="W5" i="84"/>
  <c r="G5" i="84"/>
  <c r="F5" i="84"/>
  <c r="E5" i="84"/>
  <c r="M5" i="84"/>
  <c r="L5" i="84"/>
  <c r="K5" i="84"/>
  <c r="S5" i="84"/>
  <c r="R5" i="84"/>
  <c r="Q5" i="84"/>
  <c r="E127" i="84" l="1"/>
  <c r="AH127" i="84" s="1"/>
  <c r="AF128" i="84"/>
  <c r="AG128" i="84"/>
  <c r="AJ128" i="84"/>
  <c r="AC128" i="84"/>
  <c r="AD128" i="84"/>
  <c r="AO128" i="84"/>
  <c r="AH131" i="84"/>
  <c r="AO131" i="84"/>
  <c r="AJ131" i="84"/>
  <c r="AD131" i="84"/>
  <c r="AI131" i="84"/>
  <c r="AC131" i="84"/>
  <c r="AF131" i="84"/>
  <c r="AI130" i="84"/>
  <c r="AJ130" i="84"/>
  <c r="AO130" i="84"/>
  <c r="AH130" i="84"/>
  <c r="AD130" i="84"/>
  <c r="AE131" i="84"/>
  <c r="AF130" i="84"/>
  <c r="AG130" i="84"/>
  <c r="AC130" i="84"/>
  <c r="AG131" i="84"/>
  <c r="AO129" i="84"/>
  <c r="AJ129" i="84"/>
  <c r="AD129" i="84"/>
  <c r="AI129" i="84"/>
  <c r="AC129" i="84"/>
  <c r="AH129" i="84"/>
  <c r="AF129" i="84"/>
  <c r="AE129" i="84"/>
  <c r="AE128" i="84"/>
  <c r="AI128" i="84"/>
  <c r="AH128" i="84"/>
  <c r="AO5" i="84"/>
  <c r="AJ5" i="84"/>
  <c r="AF5" i="84"/>
  <c r="AH5" i="84"/>
  <c r="AE5" i="84"/>
  <c r="P5" i="84"/>
  <c r="AI5" i="84"/>
  <c r="J5" i="84"/>
  <c r="V5" i="84"/>
  <c r="AB5" i="84"/>
  <c r="AF127" i="84" l="1"/>
  <c r="AO127" i="84"/>
  <c r="AC127" i="84"/>
  <c r="AD127" i="84"/>
  <c r="AJ127" i="84"/>
  <c r="AG127" i="84"/>
  <c r="AI127" i="84"/>
  <c r="AE127" i="84"/>
  <c r="K4" i="96"/>
  <c r="J4" i="96"/>
  <c r="I4" i="96"/>
  <c r="H4" i="96"/>
  <c r="G4" i="96"/>
  <c r="D4" i="96"/>
  <c r="N99" i="92"/>
  <c r="M99" i="92"/>
  <c r="N98" i="92"/>
  <c r="M98" i="92"/>
  <c r="N97" i="92"/>
  <c r="M97" i="92"/>
  <c r="N124" i="92"/>
  <c r="M124" i="92"/>
  <c r="N123" i="92"/>
  <c r="M123" i="92"/>
  <c r="N96" i="92"/>
  <c r="M96" i="92"/>
  <c r="N95" i="92"/>
  <c r="M95" i="92"/>
  <c r="N94" i="92"/>
  <c r="M94" i="92"/>
  <c r="N122" i="92"/>
  <c r="M122" i="92"/>
  <c r="N93" i="92"/>
  <c r="M93" i="92"/>
  <c r="N92" i="92"/>
  <c r="M92" i="92"/>
  <c r="N91" i="92"/>
  <c r="M91" i="92"/>
  <c r="N121" i="92"/>
  <c r="M121" i="92"/>
  <c r="N90" i="92"/>
  <c r="M90" i="92"/>
  <c r="N89" i="92"/>
  <c r="M89" i="92"/>
  <c r="N88" i="92"/>
  <c r="M88" i="92"/>
  <c r="N87" i="92"/>
  <c r="M87" i="92"/>
  <c r="N86" i="92"/>
  <c r="M86" i="92"/>
  <c r="N85" i="92"/>
  <c r="M85" i="92"/>
  <c r="N84" i="92"/>
  <c r="M84" i="92"/>
  <c r="N83" i="92"/>
  <c r="M83" i="92"/>
  <c r="N82" i="92"/>
  <c r="M82" i="92"/>
  <c r="N81" i="92"/>
  <c r="M81" i="92"/>
  <c r="N120" i="92"/>
  <c r="M120" i="92"/>
  <c r="N80" i="92"/>
  <c r="M80" i="92"/>
  <c r="N119" i="92"/>
  <c r="M119" i="92"/>
  <c r="N79" i="92"/>
  <c r="M79" i="92"/>
  <c r="N118" i="92"/>
  <c r="M118" i="92"/>
  <c r="N78" i="92"/>
  <c r="M78" i="92"/>
  <c r="N77" i="92"/>
  <c r="M77" i="92"/>
  <c r="N76" i="92"/>
  <c r="M76" i="92"/>
  <c r="N75" i="92"/>
  <c r="M75" i="92"/>
  <c r="N74" i="92"/>
  <c r="M74" i="92"/>
  <c r="N117" i="92"/>
  <c r="M117" i="92"/>
  <c r="N73" i="92"/>
  <c r="M73" i="92"/>
  <c r="N116" i="92"/>
  <c r="M116" i="92"/>
  <c r="N72" i="92"/>
  <c r="M72" i="92"/>
  <c r="N71" i="92"/>
  <c r="M71" i="92"/>
  <c r="N70" i="92"/>
  <c r="M70" i="92"/>
  <c r="N69" i="92"/>
  <c r="M69" i="92"/>
  <c r="N115" i="92"/>
  <c r="M115" i="92"/>
  <c r="N68" i="92"/>
  <c r="M68" i="92"/>
  <c r="N67" i="92"/>
  <c r="M67" i="92"/>
  <c r="N114" i="92"/>
  <c r="M114" i="92"/>
  <c r="N113" i="92"/>
  <c r="M113" i="92"/>
  <c r="N66" i="92"/>
  <c r="M66" i="92"/>
  <c r="N65" i="92"/>
  <c r="M65" i="92"/>
  <c r="N64" i="92"/>
  <c r="M64" i="92"/>
  <c r="N63" i="92"/>
  <c r="M63" i="92"/>
  <c r="N62" i="92"/>
  <c r="M62" i="92"/>
  <c r="N61" i="92"/>
  <c r="M61" i="92"/>
  <c r="N112" i="92"/>
  <c r="M112" i="92"/>
  <c r="N111" i="92"/>
  <c r="M111" i="92"/>
  <c r="N60" i="92"/>
  <c r="M60" i="92"/>
  <c r="N110" i="92"/>
  <c r="M110" i="92"/>
  <c r="N59" i="92"/>
  <c r="M59" i="92"/>
  <c r="N58" i="92"/>
  <c r="M58" i="92"/>
  <c r="N57" i="92"/>
  <c r="M57" i="92"/>
  <c r="N56" i="92"/>
  <c r="M56" i="92"/>
  <c r="N55" i="92"/>
  <c r="M55" i="92"/>
  <c r="N54" i="92"/>
  <c r="M54" i="92"/>
  <c r="N53" i="92"/>
  <c r="M53" i="92"/>
  <c r="N52" i="92"/>
  <c r="M52" i="92"/>
  <c r="N51" i="92"/>
  <c r="M51" i="92"/>
  <c r="N50" i="92"/>
  <c r="M50" i="92"/>
  <c r="N109" i="92"/>
  <c r="M109" i="92"/>
  <c r="N49" i="92"/>
  <c r="M49" i="92"/>
  <c r="N48" i="92"/>
  <c r="M48" i="92"/>
  <c r="N47" i="92"/>
  <c r="M47" i="92"/>
  <c r="N46" i="92"/>
  <c r="M46" i="92"/>
  <c r="N108" i="92"/>
  <c r="M108" i="92"/>
  <c r="N45" i="92"/>
  <c r="M45" i="92"/>
  <c r="N44" i="92"/>
  <c r="M44" i="92"/>
  <c r="N43" i="92"/>
  <c r="M43" i="92"/>
  <c r="N42" i="92"/>
  <c r="M42" i="92"/>
  <c r="N41" i="92"/>
  <c r="M41" i="92"/>
  <c r="N40" i="92"/>
  <c r="M40" i="92"/>
  <c r="N39" i="92"/>
  <c r="M39" i="92"/>
  <c r="N107" i="92"/>
  <c r="M107" i="92"/>
  <c r="N106" i="92"/>
  <c r="M106" i="92"/>
  <c r="N38" i="92"/>
  <c r="M38" i="92"/>
  <c r="N37" i="92"/>
  <c r="M37" i="92"/>
  <c r="N105" i="92"/>
  <c r="M105" i="92"/>
  <c r="N36" i="92"/>
  <c r="M36" i="92"/>
  <c r="N35" i="92"/>
  <c r="M35" i="92"/>
  <c r="N34" i="92"/>
  <c r="M34" i="92"/>
  <c r="N33" i="92"/>
  <c r="M33" i="92"/>
  <c r="N32" i="92"/>
  <c r="M32" i="92"/>
  <c r="N31" i="92"/>
  <c r="M31" i="92"/>
  <c r="N30" i="92"/>
  <c r="M30" i="92"/>
  <c r="N104" i="92"/>
  <c r="M104" i="92"/>
  <c r="N29" i="92"/>
  <c r="M29" i="92"/>
  <c r="N28" i="92"/>
  <c r="M28" i="92"/>
  <c r="N27" i="92"/>
  <c r="M27" i="92"/>
  <c r="N26" i="92"/>
  <c r="M26" i="92"/>
  <c r="N25" i="92"/>
  <c r="M25" i="92"/>
  <c r="N103" i="92"/>
  <c r="M103" i="92"/>
  <c r="N102" i="92"/>
  <c r="M102" i="92"/>
  <c r="N24" i="92"/>
  <c r="M24" i="92"/>
  <c r="N23" i="92"/>
  <c r="M23" i="92"/>
  <c r="N22" i="92"/>
  <c r="M22" i="92"/>
  <c r="N21" i="92"/>
  <c r="M21" i="92"/>
  <c r="N20" i="92"/>
  <c r="M20" i="92"/>
  <c r="N19" i="92"/>
  <c r="M19" i="92"/>
  <c r="N18" i="92"/>
  <c r="M18" i="92"/>
  <c r="N17" i="92"/>
  <c r="M17" i="92"/>
  <c r="N101" i="92"/>
  <c r="M101" i="92"/>
  <c r="N16" i="92"/>
  <c r="M16" i="92"/>
  <c r="N15" i="92"/>
  <c r="M15" i="92"/>
  <c r="N14" i="92"/>
  <c r="M14" i="92"/>
  <c r="N13" i="92"/>
  <c r="M13" i="92"/>
  <c r="N12" i="92"/>
  <c r="M12" i="92"/>
  <c r="N11" i="92"/>
  <c r="M11" i="92"/>
  <c r="N10" i="92"/>
  <c r="M10" i="92"/>
  <c r="N9" i="92"/>
  <c r="M9" i="92"/>
  <c r="N8" i="92"/>
  <c r="M8" i="92"/>
  <c r="N7" i="92"/>
  <c r="M7" i="92"/>
  <c r="N100" i="92"/>
  <c r="M100" i="92"/>
  <c r="N6" i="92"/>
  <c r="M6" i="92"/>
  <c r="N5" i="92"/>
  <c r="M5" i="92"/>
  <c r="F4" i="92"/>
  <c r="E4" i="92"/>
  <c r="K4" i="92"/>
  <c r="K5" i="6"/>
  <c r="J5" i="6"/>
  <c r="L5" i="6"/>
  <c r="I5" i="6"/>
  <c r="G5" i="6"/>
  <c r="J4" i="92"/>
  <c r="I4" i="92"/>
  <c r="H4" i="92"/>
  <c r="G4" i="92"/>
  <c r="D4" i="92"/>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F5" i="6"/>
  <c r="E5" i="6"/>
  <c r="D5" i="6"/>
  <c r="G4" i="55"/>
  <c r="G4" i="101"/>
  <c r="F4" i="101"/>
  <c r="E4" i="101"/>
  <c r="D4" i="101"/>
  <c r="G4" i="62"/>
  <c r="J4" i="56"/>
  <c r="DI124" i="56"/>
  <c r="DI123" i="56"/>
  <c r="DI122" i="56"/>
  <c r="DI121" i="56"/>
  <c r="DI120" i="56"/>
  <c r="DI119" i="56"/>
  <c r="DI118" i="56"/>
  <c r="DI117" i="56"/>
  <c r="DI116" i="56"/>
  <c r="DI115" i="56"/>
  <c r="DI114" i="56"/>
  <c r="DI113" i="56"/>
  <c r="DI112" i="56"/>
  <c r="DI111" i="56"/>
  <c r="DI110" i="56"/>
  <c r="DI109" i="56"/>
  <c r="DI108" i="56"/>
  <c r="DI107" i="56"/>
  <c r="DI106" i="56"/>
  <c r="DI105" i="56"/>
  <c r="DI104" i="56"/>
  <c r="DI103" i="56"/>
  <c r="DI102" i="56"/>
  <c r="DI101" i="56"/>
  <c r="DI100" i="56"/>
  <c r="DI99" i="56"/>
  <c r="DI98" i="56"/>
  <c r="DI97" i="56"/>
  <c r="DI96" i="56"/>
  <c r="DI95" i="56"/>
  <c r="DI94" i="56"/>
  <c r="DI93" i="56"/>
  <c r="DI92" i="56"/>
  <c r="DI91" i="56"/>
  <c r="DI90" i="56"/>
  <c r="DI89" i="56"/>
  <c r="DI88" i="56"/>
  <c r="DI87" i="56"/>
  <c r="DI86" i="56"/>
  <c r="DI85" i="56"/>
  <c r="DI84" i="56"/>
  <c r="DI83" i="56"/>
  <c r="DI82" i="56"/>
  <c r="DI81" i="56"/>
  <c r="DI80" i="56"/>
  <c r="DI79" i="56"/>
  <c r="DI78" i="56"/>
  <c r="DI77" i="56"/>
  <c r="DI76" i="56"/>
  <c r="DI75" i="56"/>
  <c r="DI74" i="56"/>
  <c r="DI73" i="56"/>
  <c r="DI72" i="56"/>
  <c r="DI71" i="56"/>
  <c r="DI70" i="56"/>
  <c r="DI69" i="56"/>
  <c r="DI68" i="56"/>
  <c r="DI67" i="56"/>
  <c r="DI66" i="56"/>
  <c r="DI65" i="56"/>
  <c r="DI64" i="56"/>
  <c r="DI63" i="56"/>
  <c r="DI62" i="56"/>
  <c r="DI61" i="56"/>
  <c r="DI60" i="56"/>
  <c r="DI59" i="56"/>
  <c r="DI58" i="56"/>
  <c r="DI57" i="56"/>
  <c r="DI56" i="56"/>
  <c r="DI55" i="56"/>
  <c r="DI54" i="56"/>
  <c r="DI53" i="56"/>
  <c r="DI52" i="56"/>
  <c r="DI51" i="56"/>
  <c r="DI50" i="56"/>
  <c r="DI49" i="56"/>
  <c r="DI48" i="56"/>
  <c r="DI47" i="56"/>
  <c r="DI46" i="56"/>
  <c r="DI45" i="56"/>
  <c r="DI44" i="56"/>
  <c r="DI43" i="56"/>
  <c r="DI42" i="56"/>
  <c r="DI41" i="56"/>
  <c r="DI40" i="56"/>
  <c r="DI39" i="56"/>
  <c r="DI38" i="56"/>
  <c r="DI37" i="56"/>
  <c r="DI36" i="56"/>
  <c r="DI35" i="56"/>
  <c r="DI34" i="56"/>
  <c r="DI33" i="56"/>
  <c r="DI32" i="56"/>
  <c r="DI31" i="56"/>
  <c r="DI30" i="56"/>
  <c r="DI29" i="56"/>
  <c r="DI28" i="56"/>
  <c r="DI27" i="56"/>
  <c r="DI26" i="56"/>
  <c r="DI25" i="56"/>
  <c r="DI24" i="56"/>
  <c r="DI23" i="56"/>
  <c r="DI22" i="56"/>
  <c r="DI21" i="56"/>
  <c r="DI20" i="56"/>
  <c r="DI19" i="56"/>
  <c r="DI18" i="56"/>
  <c r="DI17" i="56"/>
  <c r="DI16" i="56"/>
  <c r="DI15" i="56"/>
  <c r="DI14" i="56"/>
  <c r="DI13" i="56"/>
  <c r="DI12" i="56"/>
  <c r="DI11" i="56"/>
  <c r="DI10" i="56"/>
  <c r="DI9" i="56"/>
  <c r="DI8" i="56"/>
  <c r="DI7" i="56"/>
  <c r="DI6" i="56"/>
  <c r="DI5" i="56"/>
  <c r="DH4" i="56"/>
  <c r="DG4" i="56"/>
  <c r="DF4" i="56"/>
  <c r="DE4" i="56"/>
  <c r="DD4" i="56"/>
  <c r="Q124" i="53"/>
  <c r="Q123" i="53"/>
  <c r="I123" i="53" s="1"/>
  <c r="Q122" i="53"/>
  <c r="I122" i="53" s="1"/>
  <c r="Q121" i="53"/>
  <c r="I121" i="53" s="1"/>
  <c r="Q120" i="53"/>
  <c r="Q119" i="53"/>
  <c r="I119" i="53" s="1"/>
  <c r="Q118" i="53"/>
  <c r="I118" i="53" s="1"/>
  <c r="Q117" i="53"/>
  <c r="I117" i="53" s="1"/>
  <c r="Q116" i="53"/>
  <c r="I116" i="53" s="1"/>
  <c r="Q115" i="53"/>
  <c r="I115" i="53" s="1"/>
  <c r="Q114" i="53"/>
  <c r="I114" i="53" s="1"/>
  <c r="Q113" i="53"/>
  <c r="I113" i="53" s="1"/>
  <c r="Q112" i="53"/>
  <c r="Q111" i="53"/>
  <c r="I111" i="53" s="1"/>
  <c r="Q110" i="53"/>
  <c r="I110" i="53" s="1"/>
  <c r="Q109" i="53"/>
  <c r="I109" i="53" s="1"/>
  <c r="Q108" i="53"/>
  <c r="Q107" i="53"/>
  <c r="I107" i="53" s="1"/>
  <c r="Q106" i="53"/>
  <c r="I106" i="53" s="1"/>
  <c r="Q105" i="53"/>
  <c r="I105" i="53" s="1"/>
  <c r="Q104" i="53"/>
  <c r="Q103" i="53"/>
  <c r="I103" i="53" s="1"/>
  <c r="Q102" i="53"/>
  <c r="I102" i="53" s="1"/>
  <c r="Q101" i="53"/>
  <c r="I101" i="53" s="1"/>
  <c r="Q100" i="53"/>
  <c r="I100" i="53" s="1"/>
  <c r="Q99" i="53"/>
  <c r="Q98" i="53"/>
  <c r="I98" i="53" s="1"/>
  <c r="Q97" i="53"/>
  <c r="I97" i="53" s="1"/>
  <c r="Q96" i="53"/>
  <c r="I96" i="53" s="1"/>
  <c r="Q95" i="53"/>
  <c r="I95" i="53" s="1"/>
  <c r="Q94" i="53"/>
  <c r="I94" i="53" s="1"/>
  <c r="Q93" i="53"/>
  <c r="I93" i="53" s="1"/>
  <c r="Q92" i="53"/>
  <c r="I92" i="53" s="1"/>
  <c r="Q91" i="53"/>
  <c r="I91" i="53" s="1"/>
  <c r="Q90" i="53"/>
  <c r="I90" i="53" s="1"/>
  <c r="Q89" i="53"/>
  <c r="I89" i="53" s="1"/>
  <c r="Q88" i="53"/>
  <c r="I88" i="53" s="1"/>
  <c r="Q87" i="53"/>
  <c r="I87" i="53" s="1"/>
  <c r="Q86" i="53"/>
  <c r="I86" i="53" s="1"/>
  <c r="Q85" i="53"/>
  <c r="I85" i="53" s="1"/>
  <c r="Q84" i="53"/>
  <c r="Q83" i="53"/>
  <c r="I83" i="53" s="1"/>
  <c r="Q82" i="53"/>
  <c r="I82" i="53" s="1"/>
  <c r="Q81" i="53"/>
  <c r="I81" i="53" s="1"/>
  <c r="Q80" i="53"/>
  <c r="Q79" i="53"/>
  <c r="I79" i="53" s="1"/>
  <c r="Q78" i="53"/>
  <c r="I78" i="53" s="1"/>
  <c r="Q77" i="53"/>
  <c r="I77" i="53" s="1"/>
  <c r="Q76" i="53"/>
  <c r="Q75" i="53"/>
  <c r="I75" i="53" s="1"/>
  <c r="Q74" i="53"/>
  <c r="I74" i="53" s="1"/>
  <c r="Q73" i="53"/>
  <c r="I73" i="53" s="1"/>
  <c r="Q72" i="53"/>
  <c r="Q71" i="53"/>
  <c r="I71" i="53" s="1"/>
  <c r="Q70" i="53"/>
  <c r="Q69" i="53"/>
  <c r="I69" i="53" s="1"/>
  <c r="Q68" i="53"/>
  <c r="I68" i="53" s="1"/>
  <c r="Q67" i="53"/>
  <c r="I67" i="53" s="1"/>
  <c r="Q66" i="53"/>
  <c r="I66" i="53" s="1"/>
  <c r="Q65" i="53"/>
  <c r="I65" i="53" s="1"/>
  <c r="Q64" i="53"/>
  <c r="I64" i="53" s="1"/>
  <c r="Q63" i="53"/>
  <c r="I63" i="53" s="1"/>
  <c r="Q62" i="53"/>
  <c r="I62" i="53" s="1"/>
  <c r="Q61" i="53"/>
  <c r="I61" i="53" s="1"/>
  <c r="Q60" i="53"/>
  <c r="I60" i="53" s="1"/>
  <c r="Q59" i="53"/>
  <c r="I59" i="53" s="1"/>
  <c r="Q58" i="53"/>
  <c r="I58" i="53" s="1"/>
  <c r="Q57" i="53"/>
  <c r="I57" i="53" s="1"/>
  <c r="Q56" i="53"/>
  <c r="Q55" i="53"/>
  <c r="I55" i="53" s="1"/>
  <c r="Q54" i="53"/>
  <c r="I54" i="53" s="1"/>
  <c r="Q53" i="53"/>
  <c r="I53" i="53" s="1"/>
  <c r="Q52" i="53"/>
  <c r="I52" i="53" s="1"/>
  <c r="Q51" i="53"/>
  <c r="I51" i="53" s="1"/>
  <c r="Q50" i="53"/>
  <c r="I50" i="53" s="1"/>
  <c r="Q49" i="53"/>
  <c r="I49" i="53" s="1"/>
  <c r="Q48" i="53"/>
  <c r="I48" i="53" s="1"/>
  <c r="Q47" i="53"/>
  <c r="I47" i="53" s="1"/>
  <c r="Q46" i="53"/>
  <c r="Q45" i="53"/>
  <c r="I45" i="53" s="1"/>
  <c r="Q44" i="53"/>
  <c r="I44" i="53" s="1"/>
  <c r="Q43" i="53"/>
  <c r="I43" i="53" s="1"/>
  <c r="Q42" i="53"/>
  <c r="I42" i="53" s="1"/>
  <c r="Q41" i="53"/>
  <c r="I41" i="53" s="1"/>
  <c r="Q40" i="53"/>
  <c r="Q39" i="53"/>
  <c r="I39" i="53" s="1"/>
  <c r="Q38" i="53"/>
  <c r="I38" i="53" s="1"/>
  <c r="Q37" i="53"/>
  <c r="I37" i="53" s="1"/>
  <c r="Q36" i="53"/>
  <c r="Q35" i="53"/>
  <c r="I35" i="53" s="1"/>
  <c r="Q34" i="53"/>
  <c r="I34" i="53" s="1"/>
  <c r="Q33" i="53"/>
  <c r="I33" i="53" s="1"/>
  <c r="Q32" i="53"/>
  <c r="I32" i="53" s="1"/>
  <c r="Q31" i="53"/>
  <c r="I31" i="53" s="1"/>
  <c r="Q30" i="53"/>
  <c r="I30" i="53" s="1"/>
  <c r="Q29" i="53"/>
  <c r="I29" i="53" s="1"/>
  <c r="Q28" i="53"/>
  <c r="Q27" i="53"/>
  <c r="I27" i="53" s="1"/>
  <c r="Q26" i="53"/>
  <c r="I26" i="53" s="1"/>
  <c r="Q25" i="53"/>
  <c r="I25" i="53" s="1"/>
  <c r="Q24" i="53"/>
  <c r="I24" i="53" s="1"/>
  <c r="Q23" i="53"/>
  <c r="I23" i="53" s="1"/>
  <c r="Q22" i="53"/>
  <c r="I22" i="53" s="1"/>
  <c r="Q21" i="53"/>
  <c r="I21" i="53" s="1"/>
  <c r="Q20" i="53"/>
  <c r="I20" i="53" s="1"/>
  <c r="Q19" i="53"/>
  <c r="I19" i="53" s="1"/>
  <c r="Q18" i="53"/>
  <c r="I18" i="53" s="1"/>
  <c r="Q17" i="53"/>
  <c r="I17" i="53" s="1"/>
  <c r="Q16" i="53"/>
  <c r="I16" i="53" s="1"/>
  <c r="Q15" i="53"/>
  <c r="I15" i="53" s="1"/>
  <c r="Q14" i="53"/>
  <c r="I14" i="53" s="1"/>
  <c r="Q13" i="53"/>
  <c r="I13" i="53" s="1"/>
  <c r="Q12" i="53"/>
  <c r="I12" i="53" s="1"/>
  <c r="Q11" i="53"/>
  <c r="I11" i="53" s="1"/>
  <c r="Q10" i="53"/>
  <c r="I10" i="53" s="1"/>
  <c r="Q9" i="53"/>
  <c r="I9" i="53" s="1"/>
  <c r="Q8" i="53"/>
  <c r="I8" i="53" s="1"/>
  <c r="Q7" i="53"/>
  <c r="I7" i="53" s="1"/>
  <c r="Q6" i="53"/>
  <c r="I6" i="53" s="1"/>
  <c r="Q5" i="53"/>
  <c r="I5" i="53" s="1"/>
  <c r="AM124" i="62"/>
  <c r="AM123" i="62"/>
  <c r="AM122" i="62"/>
  <c r="AM121" i="62"/>
  <c r="AM120" i="62"/>
  <c r="AM119" i="62"/>
  <c r="AM118" i="62"/>
  <c r="AM117" i="62"/>
  <c r="AM116" i="62"/>
  <c r="AM115" i="62"/>
  <c r="AM114" i="62"/>
  <c r="AM113" i="62"/>
  <c r="AM112" i="62"/>
  <c r="AM111" i="62"/>
  <c r="AM110" i="62"/>
  <c r="AM109" i="62"/>
  <c r="AM108" i="62"/>
  <c r="AM107" i="62"/>
  <c r="AM106" i="62"/>
  <c r="AM105" i="62"/>
  <c r="AM104" i="62"/>
  <c r="AM103" i="62"/>
  <c r="AM102" i="62"/>
  <c r="AM101" i="62"/>
  <c r="AM100" i="62"/>
  <c r="AM99" i="62"/>
  <c r="AM98" i="62"/>
  <c r="AM97" i="62"/>
  <c r="AM96" i="62"/>
  <c r="AM95" i="62"/>
  <c r="AM94" i="62"/>
  <c r="AM93" i="62"/>
  <c r="AM92" i="62"/>
  <c r="AM91" i="62"/>
  <c r="AM90" i="62"/>
  <c r="AM89" i="62"/>
  <c r="AM88" i="62"/>
  <c r="AM87" i="62"/>
  <c r="AM86" i="62"/>
  <c r="AM85" i="62"/>
  <c r="AM84" i="62"/>
  <c r="AM83" i="62"/>
  <c r="AM82" i="62"/>
  <c r="AM81" i="62"/>
  <c r="AM80" i="62"/>
  <c r="AM79" i="62"/>
  <c r="AM78" i="62"/>
  <c r="AM77" i="62"/>
  <c r="AM76" i="62"/>
  <c r="AM75" i="62"/>
  <c r="AM74" i="62"/>
  <c r="AM73" i="62"/>
  <c r="AM72" i="62"/>
  <c r="AM71" i="62"/>
  <c r="AM70" i="62"/>
  <c r="AM69" i="62"/>
  <c r="AM68" i="62"/>
  <c r="AM67" i="62"/>
  <c r="AM66" i="62"/>
  <c r="AM65" i="62"/>
  <c r="AM64" i="62"/>
  <c r="AM63" i="62"/>
  <c r="AM62" i="62"/>
  <c r="AM61" i="62"/>
  <c r="AM60" i="62"/>
  <c r="AM59" i="62"/>
  <c r="AM58" i="62"/>
  <c r="AM57" i="62"/>
  <c r="AM56" i="62"/>
  <c r="AM55" i="62"/>
  <c r="AM54" i="62"/>
  <c r="AM53" i="62"/>
  <c r="AM52" i="62"/>
  <c r="AM51" i="62"/>
  <c r="AM50" i="62"/>
  <c r="AM49" i="62"/>
  <c r="AM48" i="62"/>
  <c r="AM47" i="62"/>
  <c r="AM46" i="62"/>
  <c r="AM45" i="62"/>
  <c r="AM44" i="62"/>
  <c r="AM43" i="62"/>
  <c r="AM42" i="62"/>
  <c r="AM41" i="62"/>
  <c r="AM40" i="62"/>
  <c r="AM39" i="62"/>
  <c r="AM38" i="62"/>
  <c r="AM37" i="62"/>
  <c r="AM36" i="62"/>
  <c r="AM35" i="62"/>
  <c r="AM34" i="62"/>
  <c r="AM33" i="62"/>
  <c r="AM32" i="62"/>
  <c r="AM31" i="62"/>
  <c r="AM30" i="62"/>
  <c r="AM29" i="62"/>
  <c r="AM28" i="62"/>
  <c r="AM27" i="62"/>
  <c r="AM26" i="62"/>
  <c r="AM25" i="62"/>
  <c r="AM24" i="62"/>
  <c r="AM23" i="62"/>
  <c r="AM22" i="62"/>
  <c r="AM21" i="62"/>
  <c r="AM20" i="62"/>
  <c r="AM19" i="62"/>
  <c r="AM18" i="62"/>
  <c r="AM17" i="62"/>
  <c r="AM16" i="62"/>
  <c r="AM15" i="62"/>
  <c r="AM14" i="62"/>
  <c r="AM13" i="62"/>
  <c r="AM12" i="62"/>
  <c r="AM11" i="62"/>
  <c r="AM10" i="62"/>
  <c r="AM9" i="62"/>
  <c r="AM8" i="62"/>
  <c r="AM7" i="62"/>
  <c r="AM6" i="62"/>
  <c r="AM5" i="62"/>
  <c r="AG124" i="62"/>
  <c r="AG123" i="62"/>
  <c r="AG122" i="62"/>
  <c r="AG121" i="62"/>
  <c r="AG120" i="62"/>
  <c r="AG119" i="62"/>
  <c r="AG118" i="62"/>
  <c r="AG117" i="62"/>
  <c r="AG116" i="62"/>
  <c r="AG115" i="62"/>
  <c r="AG114" i="62"/>
  <c r="AG113" i="62"/>
  <c r="AG112" i="62"/>
  <c r="AG111" i="62"/>
  <c r="AG110" i="62"/>
  <c r="AG109" i="62"/>
  <c r="AG108" i="62"/>
  <c r="AG107" i="62"/>
  <c r="AG106" i="62"/>
  <c r="AG105" i="62"/>
  <c r="AG104" i="62"/>
  <c r="AG103" i="62"/>
  <c r="AG102" i="62"/>
  <c r="AG101" i="62"/>
  <c r="AG100" i="62"/>
  <c r="AG99" i="62"/>
  <c r="AG98" i="62"/>
  <c r="AG97" i="62"/>
  <c r="AG96" i="62"/>
  <c r="AG95" i="62"/>
  <c r="AG94" i="62"/>
  <c r="AG93" i="62"/>
  <c r="AG92" i="62"/>
  <c r="AG91" i="62"/>
  <c r="AG90" i="62"/>
  <c r="AG89" i="62"/>
  <c r="AG88" i="62"/>
  <c r="AG87" i="62"/>
  <c r="AG86" i="62"/>
  <c r="AG85" i="62"/>
  <c r="AG84" i="62"/>
  <c r="AG83" i="62"/>
  <c r="AG82" i="62"/>
  <c r="AG81" i="62"/>
  <c r="AG80" i="62"/>
  <c r="AG79" i="62"/>
  <c r="AG78" i="62"/>
  <c r="AG77" i="62"/>
  <c r="AG76" i="62"/>
  <c r="AG75" i="62"/>
  <c r="AG74" i="62"/>
  <c r="AG73" i="62"/>
  <c r="AG72" i="62"/>
  <c r="AG71" i="62"/>
  <c r="AG70" i="62"/>
  <c r="AG69" i="62"/>
  <c r="AG68" i="62"/>
  <c r="AG67" i="62"/>
  <c r="AG66" i="62"/>
  <c r="AG65" i="62"/>
  <c r="AG64" i="62"/>
  <c r="AG63" i="62"/>
  <c r="AG62" i="62"/>
  <c r="AG61" i="62"/>
  <c r="AG60" i="62"/>
  <c r="AG59" i="62"/>
  <c r="AG58" i="62"/>
  <c r="AG57" i="62"/>
  <c r="AG56" i="62"/>
  <c r="AG55" i="62"/>
  <c r="AG54" i="62"/>
  <c r="AG53" i="62"/>
  <c r="AG52" i="62"/>
  <c r="AG51" i="62"/>
  <c r="AG50" i="62"/>
  <c r="AG49" i="62"/>
  <c r="AG48" i="62"/>
  <c r="AG47" i="62"/>
  <c r="AG46" i="62"/>
  <c r="AG45" i="62"/>
  <c r="AG44" i="62"/>
  <c r="AG43" i="62"/>
  <c r="AG42" i="62"/>
  <c r="AG41" i="62"/>
  <c r="AG40" i="62"/>
  <c r="AG39" i="62"/>
  <c r="AG38" i="62"/>
  <c r="AG37" i="62"/>
  <c r="AG36" i="62"/>
  <c r="AG35" i="62"/>
  <c r="AG34" i="62"/>
  <c r="AG33" i="62"/>
  <c r="AG32" i="62"/>
  <c r="AG31" i="62"/>
  <c r="AG30" i="62"/>
  <c r="AG29" i="62"/>
  <c r="AG28" i="62"/>
  <c r="AG27" i="62"/>
  <c r="AG26" i="62"/>
  <c r="AG25" i="62"/>
  <c r="AG24" i="62"/>
  <c r="AG23" i="62"/>
  <c r="AG22" i="62"/>
  <c r="AG21" i="62"/>
  <c r="AG20" i="62"/>
  <c r="AG19" i="62"/>
  <c r="AG18" i="62"/>
  <c r="AG17" i="62"/>
  <c r="AG16" i="62"/>
  <c r="AG15" i="62"/>
  <c r="AG14" i="62"/>
  <c r="AG13" i="62"/>
  <c r="AG12" i="62"/>
  <c r="AG11" i="62"/>
  <c r="AG10" i="62"/>
  <c r="AG9" i="62"/>
  <c r="AG8" i="62"/>
  <c r="AG7" i="62"/>
  <c r="AG6" i="62"/>
  <c r="AG5" i="62"/>
  <c r="O5" i="62"/>
  <c r="D4" i="60"/>
  <c r="E4" i="60"/>
  <c r="H4" i="60"/>
  <c r="AM99" i="60"/>
  <c r="AM98" i="60"/>
  <c r="AM97" i="60"/>
  <c r="AM124" i="60"/>
  <c r="AM123" i="60"/>
  <c r="AM96" i="60"/>
  <c r="AM95" i="60"/>
  <c r="AM94" i="60"/>
  <c r="AM122" i="60"/>
  <c r="AM93" i="60"/>
  <c r="AM92" i="60"/>
  <c r="AM91" i="60"/>
  <c r="AM121" i="60"/>
  <c r="AM90" i="60"/>
  <c r="AM89" i="60"/>
  <c r="AM88" i="60"/>
  <c r="AM87" i="60"/>
  <c r="AM86" i="60"/>
  <c r="AM85" i="60"/>
  <c r="AM84" i="60"/>
  <c r="AM83" i="60"/>
  <c r="AM82" i="60"/>
  <c r="AM81" i="60"/>
  <c r="AM120" i="60"/>
  <c r="AM80" i="60"/>
  <c r="AM119" i="60"/>
  <c r="AM79" i="60"/>
  <c r="AM118" i="60"/>
  <c r="AM78" i="60"/>
  <c r="AM77" i="60"/>
  <c r="AM76" i="60"/>
  <c r="AM75" i="60"/>
  <c r="AM74" i="60"/>
  <c r="AM117" i="60"/>
  <c r="AM73" i="60"/>
  <c r="AM116" i="60"/>
  <c r="AM72" i="60"/>
  <c r="AM71" i="60"/>
  <c r="AM70" i="60"/>
  <c r="AM69" i="60"/>
  <c r="AM115" i="60"/>
  <c r="AM68" i="60"/>
  <c r="AM67" i="60"/>
  <c r="AM114" i="60"/>
  <c r="AM113" i="60"/>
  <c r="AM66" i="60"/>
  <c r="AM65" i="60"/>
  <c r="AM64" i="60"/>
  <c r="AM63" i="60"/>
  <c r="AM62" i="60"/>
  <c r="AM61" i="60"/>
  <c r="AM112" i="60"/>
  <c r="AM111" i="60"/>
  <c r="AM60" i="60"/>
  <c r="AM110" i="60"/>
  <c r="AM59" i="60"/>
  <c r="AM58" i="60"/>
  <c r="AM57" i="60"/>
  <c r="AM56" i="60"/>
  <c r="AM55" i="60"/>
  <c r="AM54" i="60"/>
  <c r="AM53" i="60"/>
  <c r="AM52" i="60"/>
  <c r="AM51" i="60"/>
  <c r="AM50" i="60"/>
  <c r="AM109" i="60"/>
  <c r="AM49" i="60"/>
  <c r="AM48" i="60"/>
  <c r="AM47" i="60"/>
  <c r="AM46" i="60"/>
  <c r="AM108" i="60"/>
  <c r="AM45" i="60"/>
  <c r="AM44" i="60"/>
  <c r="AM43" i="60"/>
  <c r="AM42" i="60"/>
  <c r="AM41" i="60"/>
  <c r="AM40" i="60"/>
  <c r="AM39" i="60"/>
  <c r="AM107" i="60"/>
  <c r="AM106" i="60"/>
  <c r="AM38" i="60"/>
  <c r="AM37" i="60"/>
  <c r="AM105" i="60"/>
  <c r="AM36" i="60"/>
  <c r="AM35" i="60"/>
  <c r="AM34" i="60"/>
  <c r="AM33" i="60"/>
  <c r="AM32" i="60"/>
  <c r="AM31" i="60"/>
  <c r="AM30" i="60"/>
  <c r="AM104" i="60"/>
  <c r="AM29" i="60"/>
  <c r="AM28" i="60"/>
  <c r="AM27" i="60"/>
  <c r="AM26" i="60"/>
  <c r="AM25" i="60"/>
  <c r="AM103" i="60"/>
  <c r="AM102" i="60"/>
  <c r="AM24" i="60"/>
  <c r="AM23" i="60"/>
  <c r="AM22" i="60"/>
  <c r="AM21" i="60"/>
  <c r="AM20" i="60"/>
  <c r="AM19" i="60"/>
  <c r="AM18" i="60"/>
  <c r="AM17" i="60"/>
  <c r="AM101" i="60"/>
  <c r="AM16" i="60"/>
  <c r="AM15" i="60"/>
  <c r="AM14" i="60"/>
  <c r="AM13" i="60"/>
  <c r="AM12" i="60"/>
  <c r="AM11" i="60"/>
  <c r="AM10" i="60"/>
  <c r="AM9" i="60"/>
  <c r="AM8" i="60"/>
  <c r="AM7" i="60"/>
  <c r="AM100" i="60"/>
  <c r="AM6" i="60"/>
  <c r="AM5" i="60"/>
  <c r="AE99" i="60"/>
  <c r="AE98" i="60"/>
  <c r="AE97" i="60"/>
  <c r="AE124" i="60"/>
  <c r="AE123" i="60"/>
  <c r="AE96" i="60"/>
  <c r="AE95" i="60"/>
  <c r="AE94" i="60"/>
  <c r="AE122" i="60"/>
  <c r="AE93" i="60"/>
  <c r="AE92" i="60"/>
  <c r="AE91" i="60"/>
  <c r="AE121" i="60"/>
  <c r="AE90" i="60"/>
  <c r="AE88" i="60"/>
  <c r="AE87" i="60"/>
  <c r="AE86" i="60"/>
  <c r="AE85" i="60"/>
  <c r="AE84" i="60"/>
  <c r="AE83" i="60"/>
  <c r="AE82" i="60"/>
  <c r="AE81" i="60"/>
  <c r="AE120" i="60"/>
  <c r="AE80" i="60"/>
  <c r="AE119" i="60"/>
  <c r="AE79" i="60"/>
  <c r="AE118" i="60"/>
  <c r="AE78" i="60"/>
  <c r="AE77" i="60"/>
  <c r="AE76" i="60"/>
  <c r="AE75" i="60"/>
  <c r="AE74" i="60"/>
  <c r="AE117" i="60"/>
  <c r="AE73" i="60"/>
  <c r="AE116" i="60"/>
  <c r="AE72" i="60"/>
  <c r="AE71" i="60"/>
  <c r="AE70" i="60"/>
  <c r="AE69" i="60"/>
  <c r="AE115" i="60"/>
  <c r="AE68" i="60"/>
  <c r="AE67" i="60"/>
  <c r="AE114" i="60"/>
  <c r="AE113" i="60"/>
  <c r="AE66" i="60"/>
  <c r="AE65" i="60"/>
  <c r="AE64" i="60"/>
  <c r="AE63" i="60"/>
  <c r="AE62" i="60"/>
  <c r="AE61" i="60"/>
  <c r="AE112" i="60"/>
  <c r="AE111" i="60"/>
  <c r="AE60" i="60"/>
  <c r="AE110" i="60"/>
  <c r="AE59" i="60"/>
  <c r="AE58" i="60"/>
  <c r="AE57" i="60"/>
  <c r="AE56" i="60"/>
  <c r="AE55" i="60"/>
  <c r="AE54" i="60"/>
  <c r="AE53" i="60"/>
  <c r="AE52" i="60"/>
  <c r="AE51" i="60"/>
  <c r="AE50" i="60"/>
  <c r="AE109" i="60"/>
  <c r="AE49" i="60"/>
  <c r="AE48" i="60"/>
  <c r="AE47" i="60"/>
  <c r="AE46" i="60"/>
  <c r="AE108" i="60"/>
  <c r="AE45" i="60"/>
  <c r="AE44" i="60"/>
  <c r="AE43" i="60"/>
  <c r="AE42" i="60"/>
  <c r="AE41" i="60"/>
  <c r="AE40" i="60"/>
  <c r="AE39" i="60"/>
  <c r="AE107" i="60"/>
  <c r="AE106" i="60"/>
  <c r="AE38" i="60"/>
  <c r="AE37" i="60"/>
  <c r="AE105" i="60"/>
  <c r="AE36" i="60"/>
  <c r="AE35" i="60"/>
  <c r="AE34" i="60"/>
  <c r="AE33" i="60"/>
  <c r="AE32" i="60"/>
  <c r="AE31" i="60"/>
  <c r="AE30" i="60"/>
  <c r="AE104" i="60"/>
  <c r="AE29" i="60"/>
  <c r="AE28" i="60"/>
  <c r="AE27" i="60"/>
  <c r="AE26" i="60"/>
  <c r="AE25" i="60"/>
  <c r="AE103" i="60"/>
  <c r="AE102" i="60"/>
  <c r="AE24" i="60"/>
  <c r="AE23" i="60"/>
  <c r="AE22" i="60"/>
  <c r="AE21" i="60"/>
  <c r="AE20" i="60"/>
  <c r="AE19" i="60"/>
  <c r="AE18" i="60"/>
  <c r="AE17" i="60"/>
  <c r="AE101" i="60"/>
  <c r="AE16" i="60"/>
  <c r="AE15" i="60"/>
  <c r="AE14" i="60"/>
  <c r="AE13" i="60"/>
  <c r="AE12" i="60"/>
  <c r="AE11" i="60"/>
  <c r="AE10" i="60"/>
  <c r="AE9" i="60"/>
  <c r="AE8" i="60"/>
  <c r="AE7" i="60"/>
  <c r="AE100" i="60"/>
  <c r="AE6" i="60"/>
  <c r="AE5" i="60"/>
  <c r="W99" i="60"/>
  <c r="W98" i="60"/>
  <c r="W97" i="60"/>
  <c r="W124" i="60"/>
  <c r="W123" i="60"/>
  <c r="W96" i="60"/>
  <c r="W95" i="60"/>
  <c r="W94" i="60"/>
  <c r="W122" i="60"/>
  <c r="W93" i="60"/>
  <c r="W92" i="60"/>
  <c r="W91" i="60"/>
  <c r="W121" i="60"/>
  <c r="W90" i="60"/>
  <c r="W89" i="60"/>
  <c r="W88" i="60"/>
  <c r="W87" i="60"/>
  <c r="W86" i="60"/>
  <c r="W85" i="60"/>
  <c r="W84" i="60"/>
  <c r="W83" i="60"/>
  <c r="W82" i="60"/>
  <c r="W81" i="60"/>
  <c r="W120" i="60"/>
  <c r="W80" i="60"/>
  <c r="W119" i="60"/>
  <c r="W79" i="60"/>
  <c r="W118" i="60"/>
  <c r="W78" i="60"/>
  <c r="W77" i="60"/>
  <c r="W76" i="60"/>
  <c r="W75" i="60"/>
  <c r="W74" i="60"/>
  <c r="W117" i="60"/>
  <c r="W73" i="60"/>
  <c r="W116" i="60"/>
  <c r="W72" i="60"/>
  <c r="W71" i="60"/>
  <c r="W70" i="60"/>
  <c r="W69" i="60"/>
  <c r="W115" i="60"/>
  <c r="W68" i="60"/>
  <c r="W67" i="60"/>
  <c r="W114" i="60"/>
  <c r="W113" i="60"/>
  <c r="W66" i="60"/>
  <c r="W65" i="60"/>
  <c r="W64" i="60"/>
  <c r="W63" i="60"/>
  <c r="W62" i="60"/>
  <c r="W61" i="60"/>
  <c r="W112" i="60"/>
  <c r="W111" i="60"/>
  <c r="W60" i="60"/>
  <c r="W110" i="60"/>
  <c r="W59" i="60"/>
  <c r="W58" i="60"/>
  <c r="W57" i="60"/>
  <c r="W56" i="60"/>
  <c r="W55" i="60"/>
  <c r="W54" i="60"/>
  <c r="W53" i="60"/>
  <c r="W52" i="60"/>
  <c r="W51" i="60"/>
  <c r="W50" i="60"/>
  <c r="W109" i="60"/>
  <c r="W49" i="60"/>
  <c r="W48" i="60"/>
  <c r="W47" i="60"/>
  <c r="W46" i="60"/>
  <c r="W108" i="60"/>
  <c r="W45" i="60"/>
  <c r="W44" i="60"/>
  <c r="W43" i="60"/>
  <c r="W42" i="60"/>
  <c r="W41" i="60"/>
  <c r="W40" i="60"/>
  <c r="W39" i="60"/>
  <c r="W107" i="60"/>
  <c r="W106" i="60"/>
  <c r="W38" i="60"/>
  <c r="W37" i="60"/>
  <c r="W105" i="60"/>
  <c r="W36" i="60"/>
  <c r="W35" i="60"/>
  <c r="W34" i="60"/>
  <c r="W33" i="60"/>
  <c r="W32" i="60"/>
  <c r="W31" i="60"/>
  <c r="W30" i="60"/>
  <c r="W104" i="60"/>
  <c r="W29" i="60"/>
  <c r="W28" i="60"/>
  <c r="W27" i="60"/>
  <c r="W26" i="60"/>
  <c r="W25" i="60"/>
  <c r="W103" i="60"/>
  <c r="W102" i="60"/>
  <c r="W24" i="60"/>
  <c r="W23" i="60"/>
  <c r="W22" i="60"/>
  <c r="W21" i="60"/>
  <c r="W20" i="60"/>
  <c r="W19" i="60"/>
  <c r="W18" i="60"/>
  <c r="W17" i="60"/>
  <c r="W101" i="60"/>
  <c r="W16" i="60"/>
  <c r="W15" i="60"/>
  <c r="W14" i="60"/>
  <c r="W13" i="60"/>
  <c r="W12" i="60"/>
  <c r="W11" i="60"/>
  <c r="W10" i="60"/>
  <c r="W9" i="60"/>
  <c r="W8" i="60"/>
  <c r="W7" i="60"/>
  <c r="W100" i="60"/>
  <c r="W6" i="60"/>
  <c r="W5" i="60"/>
  <c r="O4" i="60"/>
  <c r="DU124" i="56"/>
  <c r="DU123" i="56"/>
  <c r="DU122" i="56"/>
  <c r="DU121" i="56"/>
  <c r="DU120" i="56"/>
  <c r="DU119" i="56"/>
  <c r="DU118" i="56"/>
  <c r="DU117" i="56"/>
  <c r="DU116" i="56"/>
  <c r="DU115" i="56"/>
  <c r="DU114" i="56"/>
  <c r="DU113" i="56"/>
  <c r="DU112" i="56"/>
  <c r="DU111" i="56"/>
  <c r="DU110" i="56"/>
  <c r="DU109" i="56"/>
  <c r="DU108" i="56"/>
  <c r="DU107" i="56"/>
  <c r="DU106" i="56"/>
  <c r="DU105" i="56"/>
  <c r="DU104" i="56"/>
  <c r="DU103" i="56"/>
  <c r="DU102" i="56"/>
  <c r="DU101" i="56"/>
  <c r="DU100" i="56"/>
  <c r="DU99" i="56"/>
  <c r="DU98" i="56"/>
  <c r="DU97" i="56"/>
  <c r="DU96" i="56"/>
  <c r="DU95" i="56"/>
  <c r="DU94" i="56"/>
  <c r="DU93" i="56"/>
  <c r="DU92" i="56"/>
  <c r="DU91" i="56"/>
  <c r="DU90" i="56"/>
  <c r="DU89" i="56"/>
  <c r="DU88" i="56"/>
  <c r="DU87" i="56"/>
  <c r="DU86" i="56"/>
  <c r="DU85" i="56"/>
  <c r="DU84" i="56"/>
  <c r="DU83" i="56"/>
  <c r="DU82" i="56"/>
  <c r="DU81" i="56"/>
  <c r="DU80" i="56"/>
  <c r="DU79" i="56"/>
  <c r="DU78" i="56"/>
  <c r="DU77" i="56"/>
  <c r="DU76" i="56"/>
  <c r="DU75" i="56"/>
  <c r="DU74" i="56"/>
  <c r="DU73" i="56"/>
  <c r="DU72" i="56"/>
  <c r="DU71" i="56"/>
  <c r="DU70" i="56"/>
  <c r="DU69" i="56"/>
  <c r="DU68" i="56"/>
  <c r="DU67" i="56"/>
  <c r="DU66" i="56"/>
  <c r="DU65" i="56"/>
  <c r="DU64" i="56"/>
  <c r="DU63" i="56"/>
  <c r="DU62" i="56"/>
  <c r="DU61" i="56"/>
  <c r="DU60" i="56"/>
  <c r="DU59" i="56"/>
  <c r="DU58" i="56"/>
  <c r="DU57" i="56"/>
  <c r="DU56" i="56"/>
  <c r="DU55" i="56"/>
  <c r="DU54" i="56"/>
  <c r="DU53" i="56"/>
  <c r="DU52" i="56"/>
  <c r="DU51" i="56"/>
  <c r="DU50" i="56"/>
  <c r="DU49" i="56"/>
  <c r="DU48" i="56"/>
  <c r="DU47" i="56"/>
  <c r="DU46" i="56"/>
  <c r="DU45" i="56"/>
  <c r="DU44" i="56"/>
  <c r="DU43" i="56"/>
  <c r="DU42" i="56"/>
  <c r="DU41" i="56"/>
  <c r="DU40" i="56"/>
  <c r="DU39" i="56"/>
  <c r="DU38" i="56"/>
  <c r="DU37" i="56"/>
  <c r="DU36" i="56"/>
  <c r="DU35" i="56"/>
  <c r="DU34" i="56"/>
  <c r="DU33" i="56"/>
  <c r="DU32" i="56"/>
  <c r="DU31" i="56"/>
  <c r="DU30" i="56"/>
  <c r="DU29" i="56"/>
  <c r="DU28" i="56"/>
  <c r="DU27" i="56"/>
  <c r="DU26" i="56"/>
  <c r="DU25" i="56"/>
  <c r="DU24" i="56"/>
  <c r="DU23" i="56"/>
  <c r="DU22" i="56"/>
  <c r="DU21" i="56"/>
  <c r="DU20" i="56"/>
  <c r="DU19" i="56"/>
  <c r="DU18" i="56"/>
  <c r="DU17" i="56"/>
  <c r="DU16" i="56"/>
  <c r="DU15" i="56"/>
  <c r="DU14" i="56"/>
  <c r="DU13" i="56"/>
  <c r="DU12" i="56"/>
  <c r="DU11" i="56"/>
  <c r="DU10" i="56"/>
  <c r="DU9" i="56"/>
  <c r="DU8" i="56"/>
  <c r="DU7" i="56"/>
  <c r="DU6" i="56"/>
  <c r="DU5" i="56"/>
  <c r="BM124" i="56"/>
  <c r="BM123" i="56"/>
  <c r="BM122" i="56"/>
  <c r="BM121" i="56"/>
  <c r="BM120" i="56"/>
  <c r="BM119" i="56"/>
  <c r="BM118" i="56"/>
  <c r="BM117" i="56"/>
  <c r="BM116" i="56"/>
  <c r="BM115" i="56"/>
  <c r="BM114" i="56"/>
  <c r="BM113" i="56"/>
  <c r="BM112" i="56"/>
  <c r="BM111" i="56"/>
  <c r="BM110" i="56"/>
  <c r="BM109" i="56"/>
  <c r="BM108" i="56"/>
  <c r="BM107" i="56"/>
  <c r="BM106" i="56"/>
  <c r="BM105" i="56"/>
  <c r="BM104" i="56"/>
  <c r="BM103" i="56"/>
  <c r="BM102" i="56"/>
  <c r="BM101" i="56"/>
  <c r="BM100" i="56"/>
  <c r="BM99" i="56"/>
  <c r="BM98" i="56"/>
  <c r="BM97" i="56"/>
  <c r="BM96" i="56"/>
  <c r="BM95" i="56"/>
  <c r="BM94" i="56"/>
  <c r="BM93" i="56"/>
  <c r="BM92" i="56"/>
  <c r="BM91" i="56"/>
  <c r="BM90" i="56"/>
  <c r="BM89" i="56"/>
  <c r="BM88" i="56"/>
  <c r="BM87" i="56"/>
  <c r="BM86" i="56"/>
  <c r="BM85" i="56"/>
  <c r="BM84" i="56"/>
  <c r="BM83" i="56"/>
  <c r="BM82" i="56"/>
  <c r="BM81" i="56"/>
  <c r="BM80" i="56"/>
  <c r="BM79" i="56"/>
  <c r="BM78" i="56"/>
  <c r="BM77" i="56"/>
  <c r="BM76" i="56"/>
  <c r="BM75" i="56"/>
  <c r="BM74" i="56"/>
  <c r="BM73" i="56"/>
  <c r="BM72" i="56"/>
  <c r="BM71" i="56"/>
  <c r="BM70" i="56"/>
  <c r="BM69" i="56"/>
  <c r="BM68" i="56"/>
  <c r="BM67" i="56"/>
  <c r="BM66" i="56"/>
  <c r="BM65" i="56"/>
  <c r="BM64" i="56"/>
  <c r="BM63" i="56"/>
  <c r="BM62" i="56"/>
  <c r="BM61" i="56"/>
  <c r="BM60" i="56"/>
  <c r="BM59" i="56"/>
  <c r="BM58" i="56"/>
  <c r="BM57" i="56"/>
  <c r="BM56" i="56"/>
  <c r="BM55" i="56"/>
  <c r="BM54" i="56"/>
  <c r="BM53" i="56"/>
  <c r="BM52" i="56"/>
  <c r="BM51" i="56"/>
  <c r="BM50" i="56"/>
  <c r="BM49" i="56"/>
  <c r="BM48" i="56"/>
  <c r="BM47" i="56"/>
  <c r="BM46" i="56"/>
  <c r="BM45" i="56"/>
  <c r="BM44" i="56"/>
  <c r="BM43" i="56"/>
  <c r="BM42" i="56"/>
  <c r="BM41" i="56"/>
  <c r="BM40" i="56"/>
  <c r="BM39" i="56"/>
  <c r="BM38" i="56"/>
  <c r="BM37" i="56"/>
  <c r="BM36" i="56"/>
  <c r="BM35" i="56"/>
  <c r="BM34" i="56"/>
  <c r="BM33" i="56"/>
  <c r="BM32" i="56"/>
  <c r="BM31" i="56"/>
  <c r="BM30" i="56"/>
  <c r="BM29" i="56"/>
  <c r="BM28" i="56"/>
  <c r="BM27" i="56"/>
  <c r="BM26" i="56"/>
  <c r="BM25" i="56"/>
  <c r="BM24" i="56"/>
  <c r="BM23" i="56"/>
  <c r="BM22" i="56"/>
  <c r="BM21" i="56"/>
  <c r="BM20" i="56"/>
  <c r="BM19" i="56"/>
  <c r="BM18" i="56"/>
  <c r="BM17" i="56"/>
  <c r="BM16" i="56"/>
  <c r="BM15" i="56"/>
  <c r="BM14" i="56"/>
  <c r="BM13" i="56"/>
  <c r="BM12" i="56"/>
  <c r="BM11" i="56"/>
  <c r="BM10" i="56"/>
  <c r="BM9" i="56"/>
  <c r="BM8" i="56"/>
  <c r="BM7" i="56"/>
  <c r="BM6" i="56"/>
  <c r="BM5" i="56"/>
  <c r="EA124" i="56"/>
  <c r="EA123" i="56"/>
  <c r="EA122" i="56"/>
  <c r="EA121" i="56"/>
  <c r="EA120" i="56"/>
  <c r="EA119" i="56"/>
  <c r="EA118" i="56"/>
  <c r="EA117" i="56"/>
  <c r="EA116" i="56"/>
  <c r="EA115" i="56"/>
  <c r="EA114" i="56"/>
  <c r="EA113" i="56"/>
  <c r="EA112" i="56"/>
  <c r="EA111" i="56"/>
  <c r="EA110" i="56"/>
  <c r="EA109" i="56"/>
  <c r="EA108" i="56"/>
  <c r="EA107" i="56"/>
  <c r="EA106" i="56"/>
  <c r="EA105" i="56"/>
  <c r="EA104" i="56"/>
  <c r="EA103" i="56"/>
  <c r="EA102" i="56"/>
  <c r="EA101" i="56"/>
  <c r="EA100" i="56"/>
  <c r="EA99" i="56"/>
  <c r="EA98" i="56"/>
  <c r="EA97" i="56"/>
  <c r="EA96" i="56"/>
  <c r="EA95" i="56"/>
  <c r="EA94" i="56"/>
  <c r="EA93" i="56"/>
  <c r="EA92" i="56"/>
  <c r="EA91" i="56"/>
  <c r="EA90" i="56"/>
  <c r="EA89" i="56"/>
  <c r="EA88" i="56"/>
  <c r="EA87" i="56"/>
  <c r="EA86" i="56"/>
  <c r="EA85" i="56"/>
  <c r="EA84" i="56"/>
  <c r="EA83" i="56"/>
  <c r="EA82" i="56"/>
  <c r="EA81" i="56"/>
  <c r="EA80" i="56"/>
  <c r="EA79" i="56"/>
  <c r="EA78" i="56"/>
  <c r="EA77" i="56"/>
  <c r="EA76" i="56"/>
  <c r="EA75" i="56"/>
  <c r="EA74" i="56"/>
  <c r="EA73" i="56"/>
  <c r="EA72" i="56"/>
  <c r="EA71" i="56"/>
  <c r="EA70" i="56"/>
  <c r="EA69" i="56"/>
  <c r="EA68" i="56"/>
  <c r="EA67" i="56"/>
  <c r="EA66" i="56"/>
  <c r="EA65" i="56"/>
  <c r="EA64" i="56"/>
  <c r="EA63" i="56"/>
  <c r="EA62" i="56"/>
  <c r="EA61" i="56"/>
  <c r="EA60" i="56"/>
  <c r="EA59" i="56"/>
  <c r="EA58" i="56"/>
  <c r="EA57" i="56"/>
  <c r="EA56" i="56"/>
  <c r="EA55" i="56"/>
  <c r="EA54" i="56"/>
  <c r="EA53" i="56"/>
  <c r="EA52" i="56"/>
  <c r="EA51" i="56"/>
  <c r="EA50" i="56"/>
  <c r="EA49" i="56"/>
  <c r="EA48" i="56"/>
  <c r="EA47" i="56"/>
  <c r="EA46" i="56"/>
  <c r="EA45" i="56"/>
  <c r="EA44" i="56"/>
  <c r="EA43" i="56"/>
  <c r="EA42" i="56"/>
  <c r="EA41" i="56"/>
  <c r="EA40" i="56"/>
  <c r="EA39" i="56"/>
  <c r="EA38" i="56"/>
  <c r="EA37" i="56"/>
  <c r="EA36" i="56"/>
  <c r="EA35" i="56"/>
  <c r="EA34" i="56"/>
  <c r="EA33" i="56"/>
  <c r="EA32" i="56"/>
  <c r="EA31" i="56"/>
  <c r="EA30" i="56"/>
  <c r="EA29" i="56"/>
  <c r="EA28" i="56"/>
  <c r="EA27" i="56"/>
  <c r="EA26" i="56"/>
  <c r="EA25" i="56"/>
  <c r="EA24" i="56"/>
  <c r="EA23" i="56"/>
  <c r="EA22" i="56"/>
  <c r="EA21" i="56"/>
  <c r="EA20" i="56"/>
  <c r="EA19" i="56"/>
  <c r="EA18" i="56"/>
  <c r="EA17" i="56"/>
  <c r="EA16" i="56"/>
  <c r="EA15" i="56"/>
  <c r="EA14" i="56"/>
  <c r="EA13" i="56"/>
  <c r="EA12" i="56"/>
  <c r="EA11" i="56"/>
  <c r="EA10" i="56"/>
  <c r="EA9" i="56"/>
  <c r="EA8" i="56"/>
  <c r="EA7" i="56"/>
  <c r="EA6" i="56"/>
  <c r="EA5" i="56"/>
  <c r="DC124" i="56"/>
  <c r="DC123" i="56"/>
  <c r="DC122" i="56"/>
  <c r="DC121" i="56"/>
  <c r="DC120" i="56"/>
  <c r="DC119" i="56"/>
  <c r="DC118" i="56"/>
  <c r="DC117" i="56"/>
  <c r="DC116" i="56"/>
  <c r="DC115" i="56"/>
  <c r="DC114" i="56"/>
  <c r="DC113" i="56"/>
  <c r="DC112" i="56"/>
  <c r="DC111" i="56"/>
  <c r="DC110" i="56"/>
  <c r="DC109" i="56"/>
  <c r="DC108" i="56"/>
  <c r="DC107" i="56"/>
  <c r="DC106" i="56"/>
  <c r="DC105" i="56"/>
  <c r="DC104" i="56"/>
  <c r="DC103" i="56"/>
  <c r="DC102" i="56"/>
  <c r="DC101" i="56"/>
  <c r="DC100" i="56"/>
  <c r="DC99" i="56"/>
  <c r="DC98" i="56"/>
  <c r="DC97" i="56"/>
  <c r="DC96" i="56"/>
  <c r="DC95" i="56"/>
  <c r="DC94" i="56"/>
  <c r="DC93" i="56"/>
  <c r="DC92" i="56"/>
  <c r="DC91" i="56"/>
  <c r="DC90" i="56"/>
  <c r="DC89" i="56"/>
  <c r="DC88" i="56"/>
  <c r="DC87" i="56"/>
  <c r="DC86" i="56"/>
  <c r="DC85" i="56"/>
  <c r="DC84" i="56"/>
  <c r="DC83" i="56"/>
  <c r="DC82" i="56"/>
  <c r="DC81" i="56"/>
  <c r="DC80" i="56"/>
  <c r="DC79" i="56"/>
  <c r="DC78" i="56"/>
  <c r="DC77" i="56"/>
  <c r="DC76" i="56"/>
  <c r="DC75" i="56"/>
  <c r="DC74" i="56"/>
  <c r="DC73" i="56"/>
  <c r="DC72" i="56"/>
  <c r="DC71" i="56"/>
  <c r="DC70" i="56"/>
  <c r="DC69" i="56"/>
  <c r="DC68" i="56"/>
  <c r="DC67" i="56"/>
  <c r="DC66" i="56"/>
  <c r="DC65" i="56"/>
  <c r="DC64" i="56"/>
  <c r="DC63" i="56"/>
  <c r="DC62" i="56"/>
  <c r="DC61" i="56"/>
  <c r="DC60" i="56"/>
  <c r="DC59" i="56"/>
  <c r="DC58" i="56"/>
  <c r="DC57" i="56"/>
  <c r="DC56" i="56"/>
  <c r="DC55" i="56"/>
  <c r="DC54" i="56"/>
  <c r="DC53" i="56"/>
  <c r="DC52" i="56"/>
  <c r="DC51" i="56"/>
  <c r="DC50" i="56"/>
  <c r="DC49" i="56"/>
  <c r="DC48" i="56"/>
  <c r="DC47" i="56"/>
  <c r="DC46" i="56"/>
  <c r="DC45" i="56"/>
  <c r="DC44" i="56"/>
  <c r="DC43" i="56"/>
  <c r="DC42" i="56"/>
  <c r="DC41" i="56"/>
  <c r="DC40" i="56"/>
  <c r="DC39" i="56"/>
  <c r="DC38" i="56"/>
  <c r="DC37" i="56"/>
  <c r="DC36" i="56"/>
  <c r="DC35" i="56"/>
  <c r="DC34" i="56"/>
  <c r="DC33" i="56"/>
  <c r="DC32" i="56"/>
  <c r="DC31" i="56"/>
  <c r="DC30" i="56"/>
  <c r="DC29" i="56"/>
  <c r="DC28" i="56"/>
  <c r="DC27" i="56"/>
  <c r="DC26" i="56"/>
  <c r="DC25" i="56"/>
  <c r="DC24" i="56"/>
  <c r="DC23" i="56"/>
  <c r="DC22" i="56"/>
  <c r="DC21" i="56"/>
  <c r="DC20" i="56"/>
  <c r="DC19" i="56"/>
  <c r="DC18" i="56"/>
  <c r="DC17" i="56"/>
  <c r="DC16" i="56"/>
  <c r="DC15" i="56"/>
  <c r="DC14" i="56"/>
  <c r="DC13" i="56"/>
  <c r="DC12" i="56"/>
  <c r="DC11" i="56"/>
  <c r="DC10" i="56"/>
  <c r="DC9" i="56"/>
  <c r="DC8" i="56"/>
  <c r="DC7" i="56"/>
  <c r="DC6" i="56"/>
  <c r="DC5" i="56"/>
  <c r="CW124" i="56"/>
  <c r="CW123" i="56"/>
  <c r="CW122" i="56"/>
  <c r="CW121" i="56"/>
  <c r="CW120" i="56"/>
  <c r="CW119" i="56"/>
  <c r="CW118" i="56"/>
  <c r="CW117" i="56"/>
  <c r="CW116" i="56"/>
  <c r="CW115" i="56"/>
  <c r="CW114" i="56"/>
  <c r="CW113" i="56"/>
  <c r="CW112" i="56"/>
  <c r="CW111" i="56"/>
  <c r="CW110" i="56"/>
  <c r="CW109" i="56"/>
  <c r="CW108" i="56"/>
  <c r="CW107" i="56"/>
  <c r="CW106" i="56"/>
  <c r="CW105" i="56"/>
  <c r="CW104" i="56"/>
  <c r="CW103" i="56"/>
  <c r="CW102" i="56"/>
  <c r="CW101" i="56"/>
  <c r="CW100" i="56"/>
  <c r="CW99" i="56"/>
  <c r="CW98" i="56"/>
  <c r="CW97" i="56"/>
  <c r="CW96" i="56"/>
  <c r="CW95" i="56"/>
  <c r="CW94" i="56"/>
  <c r="CW93" i="56"/>
  <c r="CW92" i="56"/>
  <c r="CW91" i="56"/>
  <c r="CW90" i="56"/>
  <c r="CW89" i="56"/>
  <c r="CW88" i="56"/>
  <c r="CW87" i="56"/>
  <c r="CW86" i="56"/>
  <c r="CW85" i="56"/>
  <c r="CW84" i="56"/>
  <c r="CW83" i="56"/>
  <c r="CW82" i="56"/>
  <c r="CW81" i="56"/>
  <c r="CW80" i="56"/>
  <c r="CW79" i="56"/>
  <c r="CW78" i="56"/>
  <c r="CW77" i="56"/>
  <c r="CW76" i="56"/>
  <c r="CW75" i="56"/>
  <c r="CW74" i="56"/>
  <c r="CW73" i="56"/>
  <c r="CW72" i="56"/>
  <c r="CW71" i="56"/>
  <c r="CW70" i="56"/>
  <c r="CW69" i="56"/>
  <c r="CW68" i="56"/>
  <c r="CW67" i="56"/>
  <c r="CW66" i="56"/>
  <c r="CW65" i="56"/>
  <c r="CW64" i="56"/>
  <c r="CW63" i="56"/>
  <c r="CW62" i="56"/>
  <c r="CW61" i="56"/>
  <c r="CW60" i="56"/>
  <c r="CW59" i="56"/>
  <c r="CW58" i="56"/>
  <c r="CW57" i="56"/>
  <c r="CW56" i="56"/>
  <c r="CW55" i="56"/>
  <c r="CW54" i="56"/>
  <c r="CW53" i="56"/>
  <c r="CW52" i="56"/>
  <c r="CW51" i="56"/>
  <c r="CW50" i="56"/>
  <c r="CW49" i="56"/>
  <c r="CW48" i="56"/>
  <c r="CW47" i="56"/>
  <c r="CW46" i="56"/>
  <c r="CW45" i="56"/>
  <c r="CW44" i="56"/>
  <c r="CW43" i="56"/>
  <c r="CW42" i="56"/>
  <c r="CW41" i="56"/>
  <c r="CW40" i="56"/>
  <c r="CW39" i="56"/>
  <c r="CW38" i="56"/>
  <c r="CW37" i="56"/>
  <c r="CW36" i="56"/>
  <c r="CW35" i="56"/>
  <c r="CW34" i="56"/>
  <c r="CW33" i="56"/>
  <c r="CW32" i="56"/>
  <c r="CW31" i="56"/>
  <c r="CW30" i="56"/>
  <c r="CW29" i="56"/>
  <c r="CW28" i="56"/>
  <c r="CW27" i="56"/>
  <c r="CW26" i="56"/>
  <c r="CW25" i="56"/>
  <c r="CW24" i="56"/>
  <c r="CW23" i="56"/>
  <c r="CW22" i="56"/>
  <c r="CW21" i="56"/>
  <c r="CW20" i="56"/>
  <c r="CW19" i="56"/>
  <c r="CW18" i="56"/>
  <c r="CW17" i="56"/>
  <c r="CW16" i="56"/>
  <c r="CW15" i="56"/>
  <c r="CW14" i="56"/>
  <c r="CW13" i="56"/>
  <c r="CW12" i="56"/>
  <c r="CW11" i="56"/>
  <c r="CW10" i="56"/>
  <c r="CW9" i="56"/>
  <c r="CW8" i="56"/>
  <c r="CW7" i="56"/>
  <c r="CW6" i="56"/>
  <c r="CW5" i="56"/>
  <c r="CQ124" i="56"/>
  <c r="CQ123" i="56"/>
  <c r="CQ122" i="56"/>
  <c r="CQ121" i="56"/>
  <c r="CQ120" i="56"/>
  <c r="CQ119" i="56"/>
  <c r="CQ118" i="56"/>
  <c r="CQ117" i="56"/>
  <c r="CQ116" i="56"/>
  <c r="CQ115" i="56"/>
  <c r="CQ114" i="56"/>
  <c r="CQ113" i="56"/>
  <c r="CQ112" i="56"/>
  <c r="CQ111" i="56"/>
  <c r="CQ110" i="56"/>
  <c r="CQ109" i="56"/>
  <c r="CQ108" i="56"/>
  <c r="CQ107" i="56"/>
  <c r="CQ106" i="56"/>
  <c r="CQ105" i="56"/>
  <c r="CQ104" i="56"/>
  <c r="CQ103" i="56"/>
  <c r="CQ102" i="56"/>
  <c r="CQ101" i="56"/>
  <c r="CQ100" i="56"/>
  <c r="CQ99" i="56"/>
  <c r="CQ98" i="56"/>
  <c r="CQ97" i="56"/>
  <c r="CQ96" i="56"/>
  <c r="CQ95" i="56"/>
  <c r="CQ94" i="56"/>
  <c r="CQ93" i="56"/>
  <c r="CQ92" i="56"/>
  <c r="CQ91" i="56"/>
  <c r="CQ90" i="56"/>
  <c r="CQ89" i="56"/>
  <c r="CQ88" i="56"/>
  <c r="CQ87" i="56"/>
  <c r="CQ86" i="56"/>
  <c r="CQ85" i="56"/>
  <c r="CQ84" i="56"/>
  <c r="CQ83" i="56"/>
  <c r="CQ82" i="56"/>
  <c r="CQ81" i="56"/>
  <c r="CQ80" i="56"/>
  <c r="CQ79" i="56"/>
  <c r="CQ78" i="56"/>
  <c r="CQ77" i="56"/>
  <c r="CQ76" i="56"/>
  <c r="CQ75" i="56"/>
  <c r="CQ74" i="56"/>
  <c r="CQ73" i="56"/>
  <c r="CQ72" i="56"/>
  <c r="CQ71" i="56"/>
  <c r="CQ70" i="56"/>
  <c r="CQ69" i="56"/>
  <c r="CQ68" i="56"/>
  <c r="CQ67" i="56"/>
  <c r="CQ66" i="56"/>
  <c r="CQ65" i="56"/>
  <c r="CQ64" i="56"/>
  <c r="CQ63" i="56"/>
  <c r="CQ62" i="56"/>
  <c r="CQ61" i="56"/>
  <c r="CQ60" i="56"/>
  <c r="CQ59" i="56"/>
  <c r="CQ58" i="56"/>
  <c r="CQ57" i="56"/>
  <c r="CQ56" i="56"/>
  <c r="CQ55" i="56"/>
  <c r="CQ54" i="56"/>
  <c r="CQ53" i="56"/>
  <c r="CQ52" i="56"/>
  <c r="CQ51" i="56"/>
  <c r="CQ50" i="56"/>
  <c r="CQ49" i="56"/>
  <c r="CQ48" i="56"/>
  <c r="CQ47" i="56"/>
  <c r="CQ46" i="56"/>
  <c r="CQ45" i="56"/>
  <c r="CQ44" i="56"/>
  <c r="CQ43" i="56"/>
  <c r="CQ42" i="56"/>
  <c r="CQ41" i="56"/>
  <c r="CQ40" i="56"/>
  <c r="CQ39" i="56"/>
  <c r="CQ38" i="56"/>
  <c r="CQ37" i="56"/>
  <c r="CQ36" i="56"/>
  <c r="CQ35" i="56"/>
  <c r="CQ34" i="56"/>
  <c r="CQ33" i="56"/>
  <c r="CQ32" i="56"/>
  <c r="CQ31" i="56"/>
  <c r="CQ30" i="56"/>
  <c r="CQ29" i="56"/>
  <c r="CQ28" i="56"/>
  <c r="CQ27" i="56"/>
  <c r="CQ26" i="56"/>
  <c r="CQ25" i="56"/>
  <c r="CQ24" i="56"/>
  <c r="CQ23" i="56"/>
  <c r="CQ22" i="56"/>
  <c r="CQ21" i="56"/>
  <c r="CQ20" i="56"/>
  <c r="CQ19" i="56"/>
  <c r="CQ18" i="56"/>
  <c r="CQ17" i="56"/>
  <c r="CQ16" i="56"/>
  <c r="CQ15" i="56"/>
  <c r="CQ14" i="56"/>
  <c r="CQ13" i="56"/>
  <c r="CQ12" i="56"/>
  <c r="CQ11" i="56"/>
  <c r="CQ10" i="56"/>
  <c r="CQ9" i="56"/>
  <c r="CQ8" i="56"/>
  <c r="CQ7" i="56"/>
  <c r="CQ6" i="56"/>
  <c r="CQ5" i="56"/>
  <c r="CK124" i="56"/>
  <c r="CK123" i="56"/>
  <c r="CK122" i="56"/>
  <c r="CK121" i="56"/>
  <c r="CK120" i="56"/>
  <c r="CK119" i="56"/>
  <c r="CK118" i="56"/>
  <c r="CK117" i="56"/>
  <c r="CK116" i="56"/>
  <c r="CK115" i="56"/>
  <c r="CK114" i="56"/>
  <c r="CK113" i="56"/>
  <c r="CK112" i="56"/>
  <c r="CK111" i="56"/>
  <c r="CK110" i="56"/>
  <c r="CK109" i="56"/>
  <c r="CK108" i="56"/>
  <c r="CK107" i="56"/>
  <c r="CK106" i="56"/>
  <c r="CK105" i="56"/>
  <c r="CK104" i="56"/>
  <c r="CK103" i="56"/>
  <c r="CK102" i="56"/>
  <c r="CK101" i="56"/>
  <c r="CK100" i="56"/>
  <c r="CK99" i="56"/>
  <c r="CK98" i="56"/>
  <c r="CK97" i="56"/>
  <c r="CK96" i="56"/>
  <c r="CK95" i="56"/>
  <c r="CK94" i="56"/>
  <c r="CK93" i="56"/>
  <c r="CK92" i="56"/>
  <c r="CK91" i="56"/>
  <c r="CK90" i="56"/>
  <c r="CK89" i="56"/>
  <c r="CK88" i="56"/>
  <c r="CK87" i="56"/>
  <c r="CK86" i="56"/>
  <c r="CK85" i="56"/>
  <c r="CK84" i="56"/>
  <c r="CK83" i="56"/>
  <c r="CK82" i="56"/>
  <c r="CK81" i="56"/>
  <c r="CK80" i="56"/>
  <c r="CK79" i="56"/>
  <c r="CK78" i="56"/>
  <c r="CK77" i="56"/>
  <c r="CK76" i="56"/>
  <c r="CK75" i="56"/>
  <c r="CK74" i="56"/>
  <c r="CK73" i="56"/>
  <c r="CK72" i="56"/>
  <c r="CK71" i="56"/>
  <c r="CK70" i="56"/>
  <c r="CK69" i="56"/>
  <c r="CK68" i="56"/>
  <c r="CK67" i="56"/>
  <c r="CK66" i="56"/>
  <c r="CK65" i="56"/>
  <c r="CK64" i="56"/>
  <c r="CK63" i="56"/>
  <c r="CK62" i="56"/>
  <c r="CK61" i="56"/>
  <c r="CK60" i="56"/>
  <c r="CK59" i="56"/>
  <c r="CK58" i="56"/>
  <c r="CK57" i="56"/>
  <c r="CK56" i="56"/>
  <c r="CK55" i="56"/>
  <c r="CK54" i="56"/>
  <c r="CK53" i="56"/>
  <c r="CK52" i="56"/>
  <c r="CK51" i="56"/>
  <c r="CK50" i="56"/>
  <c r="CK49" i="56"/>
  <c r="CK48" i="56"/>
  <c r="CK47" i="56"/>
  <c r="CK46" i="56"/>
  <c r="CK45" i="56"/>
  <c r="CK44" i="56"/>
  <c r="CK43" i="56"/>
  <c r="CK42" i="56"/>
  <c r="CK41" i="56"/>
  <c r="CK40" i="56"/>
  <c r="CK39" i="56"/>
  <c r="CK38" i="56"/>
  <c r="CK37" i="56"/>
  <c r="CK36" i="56"/>
  <c r="CK35" i="56"/>
  <c r="CK34" i="56"/>
  <c r="CK33" i="56"/>
  <c r="CK32" i="56"/>
  <c r="CK31" i="56"/>
  <c r="CK30" i="56"/>
  <c r="CK29" i="56"/>
  <c r="CK28" i="56"/>
  <c r="CK27" i="56"/>
  <c r="CK26" i="56"/>
  <c r="CK25" i="56"/>
  <c r="CK24" i="56"/>
  <c r="CK23" i="56"/>
  <c r="CK22" i="56"/>
  <c r="CK21" i="56"/>
  <c r="CK20" i="56"/>
  <c r="CK19" i="56"/>
  <c r="CK18" i="56"/>
  <c r="CK17" i="56"/>
  <c r="CK16" i="56"/>
  <c r="CK15" i="56"/>
  <c r="CK14" i="56"/>
  <c r="CK13" i="56"/>
  <c r="CK12" i="56"/>
  <c r="CK11" i="56"/>
  <c r="CK10" i="56"/>
  <c r="CK9" i="56"/>
  <c r="CK8" i="56"/>
  <c r="CK7" i="56"/>
  <c r="CK6" i="56"/>
  <c r="CK5" i="56"/>
  <c r="CE124" i="56"/>
  <c r="CE123" i="56"/>
  <c r="CE122" i="56"/>
  <c r="CE121" i="56"/>
  <c r="CE120" i="56"/>
  <c r="CE119" i="56"/>
  <c r="CE118" i="56"/>
  <c r="CE117" i="56"/>
  <c r="CE116" i="56"/>
  <c r="CE115" i="56"/>
  <c r="CE114" i="56"/>
  <c r="CE113" i="56"/>
  <c r="CE112" i="56"/>
  <c r="CE111" i="56"/>
  <c r="CE110" i="56"/>
  <c r="CE109" i="56"/>
  <c r="CE108" i="56"/>
  <c r="CE107" i="56"/>
  <c r="CE106" i="56"/>
  <c r="CE105" i="56"/>
  <c r="CE104" i="56"/>
  <c r="CE103" i="56"/>
  <c r="CE102" i="56"/>
  <c r="CE101" i="56"/>
  <c r="CE100" i="56"/>
  <c r="CE99" i="56"/>
  <c r="CE98" i="56"/>
  <c r="CE97" i="56"/>
  <c r="CE96" i="56"/>
  <c r="CE95" i="56"/>
  <c r="CE94" i="56"/>
  <c r="CE93" i="56"/>
  <c r="CE92" i="56"/>
  <c r="CE91" i="56"/>
  <c r="CE90" i="56"/>
  <c r="CE89" i="56"/>
  <c r="CE88" i="56"/>
  <c r="CE87" i="56"/>
  <c r="CE86" i="56"/>
  <c r="CE85" i="56"/>
  <c r="CE84" i="56"/>
  <c r="CE83" i="56"/>
  <c r="CE82" i="56"/>
  <c r="CE81" i="56"/>
  <c r="CE80" i="56"/>
  <c r="CE79" i="56"/>
  <c r="CE78" i="56"/>
  <c r="CE77" i="56"/>
  <c r="CE76" i="56"/>
  <c r="CE75" i="56"/>
  <c r="CE74" i="56"/>
  <c r="CE73" i="56"/>
  <c r="CE72" i="56"/>
  <c r="CE71" i="56"/>
  <c r="CE70" i="56"/>
  <c r="CE69" i="56"/>
  <c r="CE68" i="56"/>
  <c r="CE67" i="56"/>
  <c r="CE66" i="56"/>
  <c r="CE65" i="56"/>
  <c r="CE64" i="56"/>
  <c r="CE63" i="56"/>
  <c r="CE62" i="56"/>
  <c r="CE61" i="56"/>
  <c r="CE60" i="56"/>
  <c r="CE59" i="56"/>
  <c r="CE58" i="56"/>
  <c r="CE57" i="56"/>
  <c r="CE56" i="56"/>
  <c r="CE55" i="56"/>
  <c r="CE54" i="56"/>
  <c r="CE53" i="56"/>
  <c r="CE52" i="56"/>
  <c r="CE51" i="56"/>
  <c r="CE50" i="56"/>
  <c r="CE49" i="56"/>
  <c r="CE48" i="56"/>
  <c r="CE47" i="56"/>
  <c r="CE46" i="56"/>
  <c r="CE45" i="56"/>
  <c r="CE44" i="56"/>
  <c r="CE43" i="56"/>
  <c r="CE42" i="56"/>
  <c r="CE41" i="56"/>
  <c r="CE40" i="56"/>
  <c r="CE39" i="56"/>
  <c r="CE38" i="56"/>
  <c r="CE37" i="56"/>
  <c r="CE36" i="56"/>
  <c r="CE35" i="56"/>
  <c r="CE34" i="56"/>
  <c r="CE33" i="56"/>
  <c r="CE32" i="56"/>
  <c r="CE31" i="56"/>
  <c r="CE30" i="56"/>
  <c r="CE29" i="56"/>
  <c r="CE28" i="56"/>
  <c r="CE27" i="56"/>
  <c r="CE26" i="56"/>
  <c r="CE25" i="56"/>
  <c r="CE24" i="56"/>
  <c r="CE23" i="56"/>
  <c r="CE22" i="56"/>
  <c r="CE21" i="56"/>
  <c r="CE20" i="56"/>
  <c r="CE19" i="56"/>
  <c r="CE18" i="56"/>
  <c r="CE17" i="56"/>
  <c r="CE16" i="56"/>
  <c r="CE15" i="56"/>
  <c r="CE14" i="56"/>
  <c r="CE13" i="56"/>
  <c r="CE12" i="56"/>
  <c r="CE11" i="56"/>
  <c r="CE10" i="56"/>
  <c r="CE9" i="56"/>
  <c r="CE8" i="56"/>
  <c r="CE7" i="56"/>
  <c r="CE6" i="56"/>
  <c r="CE5" i="56"/>
  <c r="BY124" i="56"/>
  <c r="BY123" i="56"/>
  <c r="BY122" i="56"/>
  <c r="BY121" i="56"/>
  <c r="BY120" i="56"/>
  <c r="BY119" i="56"/>
  <c r="BY118" i="56"/>
  <c r="BY117" i="56"/>
  <c r="BY116" i="56"/>
  <c r="BY115" i="56"/>
  <c r="BY114" i="56"/>
  <c r="BY113" i="56"/>
  <c r="BY112" i="56"/>
  <c r="BY111" i="56"/>
  <c r="BY110" i="56"/>
  <c r="BY109" i="56"/>
  <c r="BY108" i="56"/>
  <c r="BY107" i="56"/>
  <c r="BY106" i="56"/>
  <c r="BY105" i="56"/>
  <c r="BY104" i="56"/>
  <c r="BY103" i="56"/>
  <c r="BY102" i="56"/>
  <c r="BY101" i="56"/>
  <c r="BY100" i="56"/>
  <c r="BY99" i="56"/>
  <c r="BY98" i="56"/>
  <c r="BY97" i="56"/>
  <c r="BY96" i="56"/>
  <c r="BY95" i="56"/>
  <c r="BY94" i="56"/>
  <c r="BY93" i="56"/>
  <c r="BY92" i="56"/>
  <c r="BY91" i="56"/>
  <c r="BY90" i="56"/>
  <c r="BY89" i="56"/>
  <c r="BY88" i="56"/>
  <c r="BY87" i="56"/>
  <c r="BY86" i="56"/>
  <c r="BY85" i="56"/>
  <c r="BY84" i="56"/>
  <c r="BY83" i="56"/>
  <c r="BY82" i="56"/>
  <c r="BY81" i="56"/>
  <c r="BY80" i="56"/>
  <c r="BY79" i="56"/>
  <c r="BY78" i="56"/>
  <c r="BY77" i="56"/>
  <c r="BY76" i="56"/>
  <c r="BY75" i="56"/>
  <c r="BY74" i="56"/>
  <c r="BY73" i="56"/>
  <c r="BY72" i="56"/>
  <c r="BY71" i="56"/>
  <c r="BY70" i="56"/>
  <c r="BY69" i="56"/>
  <c r="BY68" i="56"/>
  <c r="BY67" i="56"/>
  <c r="BY66" i="56"/>
  <c r="BY65" i="56"/>
  <c r="BY64" i="56"/>
  <c r="BY63" i="56"/>
  <c r="BY62" i="56"/>
  <c r="BY61" i="56"/>
  <c r="BY60" i="56"/>
  <c r="BY59" i="56"/>
  <c r="BY58" i="56"/>
  <c r="BY57" i="56"/>
  <c r="BY56" i="56"/>
  <c r="BY55" i="56"/>
  <c r="BY54" i="56"/>
  <c r="BY53" i="56"/>
  <c r="BY52" i="56"/>
  <c r="BY51" i="56"/>
  <c r="BY50" i="56"/>
  <c r="BY49" i="56"/>
  <c r="BY48" i="56"/>
  <c r="BY47" i="56"/>
  <c r="BY46" i="56"/>
  <c r="BY45" i="56"/>
  <c r="BY44" i="56"/>
  <c r="BY43" i="56"/>
  <c r="BY42" i="56"/>
  <c r="BY41" i="56"/>
  <c r="BY40" i="56"/>
  <c r="BY39" i="56"/>
  <c r="BY38" i="56"/>
  <c r="BY37" i="56"/>
  <c r="BY36" i="56"/>
  <c r="BY35" i="56"/>
  <c r="BY34" i="56"/>
  <c r="BY33" i="56"/>
  <c r="BY32" i="56"/>
  <c r="BY31" i="56"/>
  <c r="BY30" i="56"/>
  <c r="BY29" i="56"/>
  <c r="BY28" i="56"/>
  <c r="BY27" i="56"/>
  <c r="BY26" i="56"/>
  <c r="BY25" i="56"/>
  <c r="BY24" i="56"/>
  <c r="BY23" i="56"/>
  <c r="BY22" i="56"/>
  <c r="BY21" i="56"/>
  <c r="BY20" i="56"/>
  <c r="BY19" i="56"/>
  <c r="BY18" i="56"/>
  <c r="BY17" i="56"/>
  <c r="BY16" i="56"/>
  <c r="BY15" i="56"/>
  <c r="BY14" i="56"/>
  <c r="BY13" i="56"/>
  <c r="BY12" i="56"/>
  <c r="BY11" i="56"/>
  <c r="BY10" i="56"/>
  <c r="BY9" i="56"/>
  <c r="BY8" i="56"/>
  <c r="BY7" i="56"/>
  <c r="BY6" i="56"/>
  <c r="BY5" i="56"/>
  <c r="BS124" i="56"/>
  <c r="BS123" i="56"/>
  <c r="BS122" i="56"/>
  <c r="BS121" i="56"/>
  <c r="BS120" i="56"/>
  <c r="BS119" i="56"/>
  <c r="BS118" i="56"/>
  <c r="BS117" i="56"/>
  <c r="BS116" i="56"/>
  <c r="BS115" i="56"/>
  <c r="BS114" i="56"/>
  <c r="BS113" i="56"/>
  <c r="BS112" i="56"/>
  <c r="BS111" i="56"/>
  <c r="BS110" i="56"/>
  <c r="BS109" i="56"/>
  <c r="BS108" i="56"/>
  <c r="BS107" i="56"/>
  <c r="BS106" i="56"/>
  <c r="BS105" i="56"/>
  <c r="BS104" i="56"/>
  <c r="BS103" i="56"/>
  <c r="BS102" i="56"/>
  <c r="BS101" i="56"/>
  <c r="BS100" i="56"/>
  <c r="BS99" i="56"/>
  <c r="BS98" i="56"/>
  <c r="BS97" i="56"/>
  <c r="BS96" i="56"/>
  <c r="BS95" i="56"/>
  <c r="BS94" i="56"/>
  <c r="BS93" i="56"/>
  <c r="BS92" i="56"/>
  <c r="BS91" i="56"/>
  <c r="BS90" i="56"/>
  <c r="BS89" i="56"/>
  <c r="BS88" i="56"/>
  <c r="BS87" i="56"/>
  <c r="BS86" i="56"/>
  <c r="BS85" i="56"/>
  <c r="BS84" i="56"/>
  <c r="BS83" i="56"/>
  <c r="BS82" i="56"/>
  <c r="BS81" i="56"/>
  <c r="BS80" i="56"/>
  <c r="BS79" i="56"/>
  <c r="BS78" i="56"/>
  <c r="BS77" i="56"/>
  <c r="BS76" i="56"/>
  <c r="BS75" i="56"/>
  <c r="BS74" i="56"/>
  <c r="BS73" i="56"/>
  <c r="BS72" i="56"/>
  <c r="BS71" i="56"/>
  <c r="BS70" i="56"/>
  <c r="BS69" i="56"/>
  <c r="BS68" i="56"/>
  <c r="BS67" i="56"/>
  <c r="BS66" i="56"/>
  <c r="BS65" i="56"/>
  <c r="BS64" i="56"/>
  <c r="BS63" i="56"/>
  <c r="BS62" i="56"/>
  <c r="BS61" i="56"/>
  <c r="BS60" i="56"/>
  <c r="BS59" i="56"/>
  <c r="BS58" i="56"/>
  <c r="BS57" i="56"/>
  <c r="BS56" i="56"/>
  <c r="BS55" i="56"/>
  <c r="BS54" i="56"/>
  <c r="BS53" i="56"/>
  <c r="BS52" i="56"/>
  <c r="BS51" i="56"/>
  <c r="BS50" i="56"/>
  <c r="BS49" i="56"/>
  <c r="BS48" i="56"/>
  <c r="BS47" i="56"/>
  <c r="BS46" i="56"/>
  <c r="BS45" i="56"/>
  <c r="BS44" i="56"/>
  <c r="BS43" i="56"/>
  <c r="BS42" i="56"/>
  <c r="BS41" i="56"/>
  <c r="BS40" i="56"/>
  <c r="BS39" i="56"/>
  <c r="BS38" i="56"/>
  <c r="BS37" i="56"/>
  <c r="BS36" i="56"/>
  <c r="BS35" i="56"/>
  <c r="BS34" i="56"/>
  <c r="BS33" i="56"/>
  <c r="BS32" i="56"/>
  <c r="BS31" i="56"/>
  <c r="BS30" i="56"/>
  <c r="BS29" i="56"/>
  <c r="BS28" i="56"/>
  <c r="BS27" i="56"/>
  <c r="BS26" i="56"/>
  <c r="BS25" i="56"/>
  <c r="BS24" i="56"/>
  <c r="BS23" i="56"/>
  <c r="BS22" i="56"/>
  <c r="BS21" i="56"/>
  <c r="BS20" i="56"/>
  <c r="BS19" i="56"/>
  <c r="BS18" i="56"/>
  <c r="BS17" i="56"/>
  <c r="BS16" i="56"/>
  <c r="BS15" i="56"/>
  <c r="BS14" i="56"/>
  <c r="BS13" i="56"/>
  <c r="BS12" i="56"/>
  <c r="BS11" i="56"/>
  <c r="BS10" i="56"/>
  <c r="BS9" i="56"/>
  <c r="BS8" i="56"/>
  <c r="BS7" i="56"/>
  <c r="BS6" i="56"/>
  <c r="BS5" i="56"/>
  <c r="BG124" i="56"/>
  <c r="BG123" i="56"/>
  <c r="BG122" i="56"/>
  <c r="BG121" i="56"/>
  <c r="BG120" i="56"/>
  <c r="BG119" i="56"/>
  <c r="BG118" i="56"/>
  <c r="BG117" i="56"/>
  <c r="BG116" i="56"/>
  <c r="BG115" i="56"/>
  <c r="BG114" i="56"/>
  <c r="BG113" i="56"/>
  <c r="BG112" i="56"/>
  <c r="BG111" i="56"/>
  <c r="BG110" i="56"/>
  <c r="BG109" i="56"/>
  <c r="BG108" i="56"/>
  <c r="BG107" i="56"/>
  <c r="BG106" i="56"/>
  <c r="BG105" i="56"/>
  <c r="BG104" i="56"/>
  <c r="BG103" i="56"/>
  <c r="BG102" i="56"/>
  <c r="BG101" i="56"/>
  <c r="BG100" i="56"/>
  <c r="BG99" i="56"/>
  <c r="BG98" i="56"/>
  <c r="BG97" i="56"/>
  <c r="BG96" i="56"/>
  <c r="BG95" i="56"/>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G6" i="56"/>
  <c r="BG5" i="56"/>
  <c r="BA124" i="56"/>
  <c r="BA123" i="56"/>
  <c r="BA122" i="56"/>
  <c r="BA121" i="56"/>
  <c r="BA120" i="56"/>
  <c r="BA119" i="56"/>
  <c r="BA118" i="56"/>
  <c r="BA117" i="56"/>
  <c r="BA116" i="56"/>
  <c r="BA115" i="56"/>
  <c r="BA114" i="56"/>
  <c r="BA113" i="56"/>
  <c r="BA112" i="56"/>
  <c r="BA111" i="56"/>
  <c r="BA110" i="56"/>
  <c r="BA109" i="56"/>
  <c r="BA108" i="56"/>
  <c r="BA107" i="56"/>
  <c r="BA106" i="56"/>
  <c r="BA105" i="56"/>
  <c r="BA104" i="56"/>
  <c r="BA103" i="56"/>
  <c r="BA102" i="56"/>
  <c r="BA101" i="56"/>
  <c r="BA100" i="56"/>
  <c r="BA99" i="56"/>
  <c r="BA98" i="56"/>
  <c r="BA97" i="56"/>
  <c r="BA96" i="56"/>
  <c r="BA95" i="56"/>
  <c r="BA94" i="56"/>
  <c r="BA93" i="56"/>
  <c r="BA92" i="56"/>
  <c r="BA91" i="56"/>
  <c r="BA90" i="56"/>
  <c r="BA89" i="56"/>
  <c r="BA88" i="56"/>
  <c r="BA87" i="56"/>
  <c r="BA86" i="56"/>
  <c r="BA85" i="56"/>
  <c r="BA84" i="56"/>
  <c r="BA83" i="56"/>
  <c r="BA82" i="56"/>
  <c r="BA81" i="56"/>
  <c r="BA80" i="56"/>
  <c r="BA79" i="56"/>
  <c r="BA78" i="56"/>
  <c r="BA77" i="56"/>
  <c r="BA76" i="56"/>
  <c r="BA75" i="56"/>
  <c r="BA74" i="56"/>
  <c r="BA73" i="56"/>
  <c r="BA72" i="56"/>
  <c r="BA71" i="56"/>
  <c r="BA70" i="56"/>
  <c r="BA69" i="56"/>
  <c r="BA68" i="56"/>
  <c r="BA67" i="56"/>
  <c r="BA66" i="56"/>
  <c r="BA65" i="56"/>
  <c r="BA64" i="56"/>
  <c r="BA63" i="56"/>
  <c r="BA62" i="56"/>
  <c r="BA61" i="56"/>
  <c r="BA60" i="56"/>
  <c r="BA59" i="56"/>
  <c r="BA58" i="56"/>
  <c r="BA57" i="56"/>
  <c r="BA56" i="56"/>
  <c r="BA55" i="56"/>
  <c r="BA54" i="56"/>
  <c r="BA53" i="56"/>
  <c r="BA52" i="56"/>
  <c r="BA51" i="56"/>
  <c r="BA50" i="56"/>
  <c r="BA49" i="56"/>
  <c r="BA48" i="56"/>
  <c r="BA47" i="56"/>
  <c r="BA46" i="56"/>
  <c r="BA45" i="56"/>
  <c r="BA44" i="56"/>
  <c r="BA43" i="56"/>
  <c r="BA42" i="56"/>
  <c r="BA41" i="56"/>
  <c r="BA40" i="56"/>
  <c r="BA39" i="56"/>
  <c r="BA38" i="56"/>
  <c r="BA37" i="56"/>
  <c r="BA36" i="56"/>
  <c r="BA35" i="56"/>
  <c r="BA34" i="56"/>
  <c r="BA33" i="56"/>
  <c r="BA32" i="56"/>
  <c r="BA31" i="56"/>
  <c r="BA30" i="56"/>
  <c r="BA29" i="56"/>
  <c r="BA28" i="56"/>
  <c r="BA27" i="56"/>
  <c r="BA26" i="56"/>
  <c r="BA25" i="56"/>
  <c r="BA24" i="56"/>
  <c r="BA23" i="56"/>
  <c r="BA22" i="56"/>
  <c r="BA21" i="56"/>
  <c r="BA20" i="56"/>
  <c r="BA19" i="56"/>
  <c r="BA18" i="56"/>
  <c r="BA17" i="56"/>
  <c r="BA16" i="56"/>
  <c r="BA15" i="56"/>
  <c r="BA14" i="56"/>
  <c r="BA13" i="56"/>
  <c r="BA12" i="56"/>
  <c r="BA11" i="56"/>
  <c r="BA10" i="56"/>
  <c r="BA9" i="56"/>
  <c r="BA8" i="56"/>
  <c r="BA7" i="56"/>
  <c r="BA6" i="56"/>
  <c r="BA5" i="56"/>
  <c r="AU124" i="56"/>
  <c r="AU123" i="56"/>
  <c r="AU122" i="56"/>
  <c r="AU121" i="56"/>
  <c r="AU120" i="56"/>
  <c r="AU119" i="56"/>
  <c r="AU118" i="56"/>
  <c r="AU117" i="56"/>
  <c r="AU116" i="56"/>
  <c r="AU115" i="56"/>
  <c r="AU114" i="56"/>
  <c r="AU113" i="56"/>
  <c r="AU112" i="56"/>
  <c r="AU111" i="56"/>
  <c r="AU110" i="56"/>
  <c r="AU109" i="56"/>
  <c r="AU108" i="56"/>
  <c r="AU107" i="56"/>
  <c r="AU106" i="56"/>
  <c r="AU105" i="56"/>
  <c r="AU104" i="56"/>
  <c r="AU103" i="56"/>
  <c r="AU102" i="56"/>
  <c r="AU101" i="56"/>
  <c r="AU100" i="56"/>
  <c r="AU99" i="56"/>
  <c r="AU98" i="56"/>
  <c r="AU97" i="56"/>
  <c r="AU96" i="56"/>
  <c r="AU95" i="56"/>
  <c r="AU94" i="56"/>
  <c r="AU93" i="56"/>
  <c r="AU92" i="56"/>
  <c r="AU91" i="56"/>
  <c r="AU90" i="56"/>
  <c r="AU89" i="56"/>
  <c r="AU88" i="56"/>
  <c r="AU87" i="56"/>
  <c r="AU86" i="56"/>
  <c r="AU85" i="56"/>
  <c r="AU84" i="56"/>
  <c r="AU83" i="56"/>
  <c r="AU82" i="56"/>
  <c r="AU81" i="56"/>
  <c r="AU80" i="56"/>
  <c r="AU79" i="56"/>
  <c r="AU78" i="56"/>
  <c r="AU77" i="56"/>
  <c r="AU76" i="56"/>
  <c r="AU75" i="56"/>
  <c r="AU74" i="56"/>
  <c r="AU73" i="56"/>
  <c r="AU72" i="56"/>
  <c r="AU71" i="56"/>
  <c r="AU70" i="56"/>
  <c r="AU69" i="56"/>
  <c r="AU68" i="56"/>
  <c r="AU67" i="56"/>
  <c r="AU66" i="56"/>
  <c r="AU65" i="56"/>
  <c r="AU64" i="56"/>
  <c r="AU63" i="56"/>
  <c r="AU62" i="56"/>
  <c r="AU61" i="56"/>
  <c r="AU60" i="56"/>
  <c r="AU59" i="56"/>
  <c r="AU58" i="56"/>
  <c r="AU57" i="56"/>
  <c r="AU56" i="56"/>
  <c r="AU55" i="56"/>
  <c r="AU54" i="56"/>
  <c r="AU53" i="56"/>
  <c r="AU52" i="56"/>
  <c r="AU51" i="56"/>
  <c r="AU50" i="56"/>
  <c r="AU49" i="56"/>
  <c r="AU48" i="56"/>
  <c r="AU47" i="56"/>
  <c r="AU46" i="56"/>
  <c r="AU45" i="56"/>
  <c r="AU44" i="56"/>
  <c r="AU43" i="56"/>
  <c r="AU42" i="56"/>
  <c r="AU41" i="56"/>
  <c r="AU40" i="56"/>
  <c r="AU39" i="56"/>
  <c r="AU38" i="56"/>
  <c r="AU37" i="56"/>
  <c r="AU36" i="56"/>
  <c r="AU35" i="56"/>
  <c r="AU34" i="56"/>
  <c r="AU33" i="56"/>
  <c r="AU32" i="56"/>
  <c r="AU31" i="56"/>
  <c r="AU30" i="56"/>
  <c r="AU29" i="56"/>
  <c r="AU28" i="56"/>
  <c r="AU27" i="56"/>
  <c r="AU26" i="56"/>
  <c r="AU25" i="56"/>
  <c r="AU24" i="56"/>
  <c r="AU23" i="56"/>
  <c r="AU22" i="56"/>
  <c r="AU21" i="56"/>
  <c r="AU20" i="56"/>
  <c r="AU19" i="56"/>
  <c r="AU18" i="56"/>
  <c r="AU17" i="56"/>
  <c r="AU16" i="56"/>
  <c r="AU15" i="56"/>
  <c r="AU14" i="56"/>
  <c r="AU13" i="56"/>
  <c r="AU12" i="56"/>
  <c r="AU11" i="56"/>
  <c r="AU10" i="56"/>
  <c r="AU9" i="56"/>
  <c r="AU8" i="56"/>
  <c r="AU7" i="56"/>
  <c r="AU6" i="56"/>
  <c r="AU5" i="56"/>
  <c r="AO124" i="56"/>
  <c r="AO123" i="56"/>
  <c r="AO122" i="56"/>
  <c r="AO121" i="56"/>
  <c r="AO120" i="56"/>
  <c r="AO119" i="56"/>
  <c r="AO118" i="56"/>
  <c r="AO117" i="56"/>
  <c r="AO116" i="56"/>
  <c r="AO115" i="56"/>
  <c r="AO114" i="56"/>
  <c r="AO113" i="56"/>
  <c r="AO112" i="56"/>
  <c r="AO111" i="56"/>
  <c r="AO110" i="56"/>
  <c r="AO109" i="56"/>
  <c r="AO108" i="56"/>
  <c r="AO107" i="56"/>
  <c r="AO106" i="56"/>
  <c r="AO105" i="56"/>
  <c r="AO104" i="56"/>
  <c r="AO103" i="56"/>
  <c r="AO102" i="56"/>
  <c r="AO101" i="56"/>
  <c r="AO100" i="56"/>
  <c r="AO99" i="56"/>
  <c r="AO98" i="56"/>
  <c r="AO97" i="56"/>
  <c r="AO96" i="56"/>
  <c r="AO95" i="56"/>
  <c r="AO94" i="56"/>
  <c r="AO93" i="56"/>
  <c r="AO92" i="56"/>
  <c r="AO91" i="56"/>
  <c r="AO90" i="56"/>
  <c r="AO89" i="56"/>
  <c r="AO88" i="56"/>
  <c r="AO87" i="56"/>
  <c r="AO86" i="56"/>
  <c r="AO85" i="56"/>
  <c r="AO84" i="56"/>
  <c r="AO83" i="56"/>
  <c r="AO82" i="56"/>
  <c r="AO81" i="56"/>
  <c r="AO80" i="56"/>
  <c r="AO79" i="56"/>
  <c r="AO78" i="56"/>
  <c r="AO77" i="56"/>
  <c r="AO76" i="56"/>
  <c r="AO75" i="56"/>
  <c r="AO74" i="56"/>
  <c r="AO73" i="56"/>
  <c r="AO72" i="56"/>
  <c r="AO71" i="56"/>
  <c r="AO70" i="56"/>
  <c r="AO69" i="56"/>
  <c r="AO68" i="56"/>
  <c r="AO67" i="56"/>
  <c r="AO66" i="56"/>
  <c r="AO65" i="56"/>
  <c r="AO64" i="56"/>
  <c r="AO63" i="56"/>
  <c r="AO62" i="56"/>
  <c r="AO61" i="56"/>
  <c r="AO60" i="56"/>
  <c r="AO59" i="56"/>
  <c r="AO58" i="56"/>
  <c r="AO57" i="56"/>
  <c r="AO56" i="56"/>
  <c r="AO55" i="56"/>
  <c r="AO54" i="56"/>
  <c r="AO53" i="56"/>
  <c r="AO52" i="56"/>
  <c r="AO51" i="56"/>
  <c r="AO50" i="56"/>
  <c r="AO49" i="56"/>
  <c r="AO48" i="56"/>
  <c r="AO47" i="56"/>
  <c r="AO46" i="56"/>
  <c r="AO45" i="56"/>
  <c r="AO44" i="56"/>
  <c r="AO43" i="56"/>
  <c r="AO42" i="56"/>
  <c r="AO41" i="56"/>
  <c r="AO40" i="56"/>
  <c r="AO39" i="56"/>
  <c r="AO38" i="56"/>
  <c r="AO37" i="56"/>
  <c r="AO36" i="56"/>
  <c r="AO35" i="56"/>
  <c r="AO34" i="56"/>
  <c r="AO33" i="56"/>
  <c r="AO32" i="56"/>
  <c r="AO31" i="56"/>
  <c r="AO30" i="56"/>
  <c r="AO29" i="56"/>
  <c r="AO28" i="56"/>
  <c r="AO27" i="56"/>
  <c r="AO26" i="56"/>
  <c r="AO25" i="56"/>
  <c r="AO24" i="56"/>
  <c r="AO23" i="56"/>
  <c r="AO22" i="56"/>
  <c r="AO21" i="56"/>
  <c r="AO20" i="56"/>
  <c r="AO19" i="56"/>
  <c r="AO18" i="56"/>
  <c r="AO17" i="56"/>
  <c r="AO16" i="56"/>
  <c r="AO15" i="56"/>
  <c r="AO14" i="56"/>
  <c r="AO13" i="56"/>
  <c r="AO12" i="56"/>
  <c r="AO11" i="56"/>
  <c r="AO10" i="56"/>
  <c r="AO9" i="56"/>
  <c r="AO8" i="56"/>
  <c r="AO7" i="56"/>
  <c r="AO6" i="56"/>
  <c r="AO5" i="56"/>
  <c r="AI124" i="56"/>
  <c r="AI123" i="56"/>
  <c r="AI122" i="56"/>
  <c r="AI121" i="56"/>
  <c r="AI120" i="56"/>
  <c r="AI119" i="56"/>
  <c r="AI118" i="56"/>
  <c r="AI117" i="56"/>
  <c r="AI116" i="56"/>
  <c r="AI115" i="56"/>
  <c r="AI114" i="56"/>
  <c r="AI113" i="56"/>
  <c r="AI112" i="56"/>
  <c r="AI111" i="56"/>
  <c r="AI110" i="56"/>
  <c r="AI109" i="56"/>
  <c r="AI108" i="56"/>
  <c r="AI107" i="56"/>
  <c r="AI106" i="56"/>
  <c r="AI105" i="56"/>
  <c r="AI104" i="56"/>
  <c r="AI103" i="56"/>
  <c r="AI102" i="56"/>
  <c r="AI101" i="56"/>
  <c r="AI100" i="56"/>
  <c r="AI99" i="56"/>
  <c r="AI98" i="56"/>
  <c r="AI97" i="56"/>
  <c r="AI96" i="56"/>
  <c r="AI95" i="56"/>
  <c r="AI94" i="56"/>
  <c r="AI93" i="56"/>
  <c r="AI92" i="56"/>
  <c r="AI91" i="56"/>
  <c r="AI90" i="56"/>
  <c r="AI89" i="56"/>
  <c r="AI88" i="56"/>
  <c r="AI87" i="56"/>
  <c r="AI86" i="56"/>
  <c r="AI85" i="56"/>
  <c r="AI84" i="56"/>
  <c r="AI83" i="56"/>
  <c r="AI82" i="56"/>
  <c r="AI81" i="56"/>
  <c r="AI80" i="56"/>
  <c r="AI79" i="56"/>
  <c r="AI78" i="56"/>
  <c r="AI77" i="56"/>
  <c r="AI76" i="56"/>
  <c r="AI75" i="56"/>
  <c r="AI74" i="56"/>
  <c r="AI73" i="56"/>
  <c r="AI72" i="56"/>
  <c r="AI71" i="56"/>
  <c r="AI70" i="56"/>
  <c r="AI69" i="56"/>
  <c r="AI68" i="56"/>
  <c r="AI67" i="56"/>
  <c r="AI66" i="56"/>
  <c r="AI65" i="56"/>
  <c r="AI64" i="56"/>
  <c r="AI63" i="56"/>
  <c r="AI62" i="56"/>
  <c r="AI61" i="56"/>
  <c r="AI60" i="56"/>
  <c r="AI59" i="56"/>
  <c r="AI58" i="56"/>
  <c r="AI57" i="56"/>
  <c r="AI56" i="56"/>
  <c r="AI55" i="56"/>
  <c r="AI54" i="56"/>
  <c r="AI53" i="56"/>
  <c r="AI52" i="56"/>
  <c r="AI51" i="56"/>
  <c r="AI50" i="56"/>
  <c r="AI49" i="56"/>
  <c r="AI48" i="56"/>
  <c r="AI47" i="56"/>
  <c r="AI46" i="56"/>
  <c r="AI45" i="56"/>
  <c r="AI44" i="56"/>
  <c r="AI43" i="56"/>
  <c r="AI42" i="56"/>
  <c r="AI41" i="56"/>
  <c r="AI40" i="56"/>
  <c r="AI39" i="56"/>
  <c r="AI38" i="56"/>
  <c r="AI37" i="56"/>
  <c r="AI36" i="56"/>
  <c r="AI35" i="56"/>
  <c r="AI34" i="56"/>
  <c r="AI33" i="56"/>
  <c r="AI32" i="56"/>
  <c r="AI31" i="56"/>
  <c r="AI30" i="56"/>
  <c r="AI29" i="56"/>
  <c r="AI28" i="56"/>
  <c r="AI27" i="56"/>
  <c r="AI26" i="56"/>
  <c r="AI25" i="56"/>
  <c r="AI24" i="56"/>
  <c r="AI23" i="56"/>
  <c r="AI22" i="56"/>
  <c r="AI21" i="56"/>
  <c r="AI20" i="56"/>
  <c r="AI19" i="56"/>
  <c r="AI18" i="56"/>
  <c r="AI17" i="56"/>
  <c r="AI16" i="56"/>
  <c r="AI15" i="56"/>
  <c r="AI14" i="56"/>
  <c r="AI13" i="56"/>
  <c r="AI12" i="56"/>
  <c r="AI11" i="56"/>
  <c r="AI10" i="56"/>
  <c r="AI9" i="56"/>
  <c r="AI8" i="56"/>
  <c r="AI7" i="56"/>
  <c r="AI6" i="56"/>
  <c r="AI5" i="56"/>
  <c r="AC124" i="56"/>
  <c r="AC123" i="56"/>
  <c r="AC122" i="56"/>
  <c r="AC121" i="56"/>
  <c r="AC120" i="56"/>
  <c r="AC119" i="56"/>
  <c r="AC118" i="56"/>
  <c r="AC117" i="56"/>
  <c r="AC116" i="56"/>
  <c r="AC115" i="56"/>
  <c r="AC114" i="56"/>
  <c r="AC113" i="56"/>
  <c r="AC112" i="56"/>
  <c r="AC111" i="56"/>
  <c r="AC110" i="56"/>
  <c r="AC109" i="56"/>
  <c r="AC108" i="56"/>
  <c r="AC107" i="56"/>
  <c r="AC106" i="56"/>
  <c r="AC105" i="56"/>
  <c r="AC104" i="56"/>
  <c r="AC103" i="56"/>
  <c r="AC102" i="56"/>
  <c r="AC101" i="56"/>
  <c r="AC100" i="56"/>
  <c r="AC99" i="56"/>
  <c r="AC98" i="56"/>
  <c r="AC97" i="56"/>
  <c r="AC96" i="56"/>
  <c r="AC95" i="56"/>
  <c r="AC94" i="56"/>
  <c r="AC93" i="56"/>
  <c r="AC92" i="56"/>
  <c r="AC91" i="56"/>
  <c r="AC90" i="56"/>
  <c r="AC89" i="56"/>
  <c r="AC88" i="56"/>
  <c r="AC87" i="56"/>
  <c r="AC86" i="56"/>
  <c r="AC85" i="56"/>
  <c r="AC84" i="56"/>
  <c r="AC83" i="56"/>
  <c r="AC82" i="56"/>
  <c r="AC81" i="56"/>
  <c r="AC80" i="56"/>
  <c r="AC79" i="56"/>
  <c r="AC78" i="56"/>
  <c r="AC77" i="56"/>
  <c r="AC76" i="56"/>
  <c r="AC75" i="56"/>
  <c r="AC74" i="56"/>
  <c r="AC73" i="56"/>
  <c r="AC72" i="56"/>
  <c r="AC71" i="56"/>
  <c r="AC70" i="56"/>
  <c r="AC69" i="56"/>
  <c r="AC68" i="56"/>
  <c r="AC67" i="56"/>
  <c r="AC66" i="56"/>
  <c r="AC65" i="56"/>
  <c r="AC64" i="56"/>
  <c r="AC63" i="56"/>
  <c r="AC62" i="56"/>
  <c r="AC61" i="56"/>
  <c r="AC60" i="56"/>
  <c r="AC59" i="56"/>
  <c r="AC58" i="56"/>
  <c r="AC57" i="56"/>
  <c r="AC56" i="56"/>
  <c r="AC55" i="56"/>
  <c r="AC54" i="56"/>
  <c r="AC53" i="56"/>
  <c r="AC52" i="56"/>
  <c r="AC51" i="56"/>
  <c r="AC50" i="56"/>
  <c r="AC49" i="56"/>
  <c r="AC48" i="56"/>
  <c r="AC47" i="56"/>
  <c r="AC46" i="56"/>
  <c r="AC45" i="56"/>
  <c r="AC44" i="56"/>
  <c r="AC43" i="56"/>
  <c r="AC42" i="56"/>
  <c r="AC41" i="56"/>
  <c r="AC40" i="56"/>
  <c r="AC39" i="56"/>
  <c r="AC38" i="56"/>
  <c r="AC37" i="56"/>
  <c r="AC36" i="56"/>
  <c r="AC35" i="56"/>
  <c r="AC34" i="56"/>
  <c r="AC33" i="56"/>
  <c r="AC32" i="56"/>
  <c r="AC31" i="56"/>
  <c r="AC30" i="56"/>
  <c r="AC29" i="56"/>
  <c r="AC28" i="56"/>
  <c r="AC27" i="56"/>
  <c r="AC26" i="56"/>
  <c r="AC25" i="56"/>
  <c r="AC24" i="56"/>
  <c r="AC23" i="56"/>
  <c r="AC22" i="56"/>
  <c r="AC21" i="56"/>
  <c r="AC20" i="56"/>
  <c r="AC19" i="56"/>
  <c r="AC18" i="56"/>
  <c r="AC17" i="56"/>
  <c r="AC16" i="56"/>
  <c r="AC15" i="56"/>
  <c r="AC14" i="56"/>
  <c r="AC13" i="56"/>
  <c r="AC12" i="56"/>
  <c r="AC11" i="56"/>
  <c r="AC10" i="56"/>
  <c r="AC9" i="56"/>
  <c r="AC8" i="56"/>
  <c r="AC7" i="56"/>
  <c r="AC6" i="56"/>
  <c r="AC5" i="56"/>
  <c r="W124" i="56"/>
  <c r="W123" i="56"/>
  <c r="W122" i="56"/>
  <c r="W121" i="56"/>
  <c r="W120" i="56"/>
  <c r="W119" i="56"/>
  <c r="W118" i="56"/>
  <c r="W117" i="56"/>
  <c r="W116" i="56"/>
  <c r="W115" i="56"/>
  <c r="W114" i="56"/>
  <c r="W113" i="56"/>
  <c r="W112" i="56"/>
  <c r="W111" i="56"/>
  <c r="W110" i="56"/>
  <c r="W109" i="56"/>
  <c r="W108" i="56"/>
  <c r="W107" i="56"/>
  <c r="W106" i="56"/>
  <c r="W105" i="56"/>
  <c r="W104" i="56"/>
  <c r="W103" i="56"/>
  <c r="W102" i="56"/>
  <c r="W101" i="56"/>
  <c r="W100" i="56"/>
  <c r="W99" i="56"/>
  <c r="W98" i="56"/>
  <c r="W97" i="56"/>
  <c r="W96" i="56"/>
  <c r="W95" i="56"/>
  <c r="W94" i="56"/>
  <c r="W93" i="56"/>
  <c r="W92" i="56"/>
  <c r="W91" i="56"/>
  <c r="W90" i="56"/>
  <c r="W89" i="56"/>
  <c r="W88" i="56"/>
  <c r="W87" i="56"/>
  <c r="W86" i="56"/>
  <c r="W85" i="56"/>
  <c r="W84" i="56"/>
  <c r="W83" i="56"/>
  <c r="W82" i="56"/>
  <c r="W81" i="56"/>
  <c r="W80" i="56"/>
  <c r="W79" i="56"/>
  <c r="W78" i="56"/>
  <c r="W77" i="56"/>
  <c r="W76" i="56"/>
  <c r="W75" i="56"/>
  <c r="W74" i="56"/>
  <c r="W73" i="56"/>
  <c r="W72" i="56"/>
  <c r="W71" i="56"/>
  <c r="W70" i="56"/>
  <c r="W69" i="56"/>
  <c r="W68" i="56"/>
  <c r="W67" i="56"/>
  <c r="W66" i="56"/>
  <c r="W65" i="56"/>
  <c r="W64" i="56"/>
  <c r="W63" i="56"/>
  <c r="W62" i="56"/>
  <c r="W61" i="56"/>
  <c r="W60" i="56"/>
  <c r="W59" i="56"/>
  <c r="W58" i="56"/>
  <c r="W57" i="56"/>
  <c r="W56" i="56"/>
  <c r="W55" i="56"/>
  <c r="W54" i="56"/>
  <c r="W53" i="56"/>
  <c r="W52" i="56"/>
  <c r="W51" i="56"/>
  <c r="W50" i="56"/>
  <c r="W49" i="56"/>
  <c r="W48" i="56"/>
  <c r="W47" i="56"/>
  <c r="W46" i="56"/>
  <c r="W45" i="56"/>
  <c r="W44" i="56"/>
  <c r="W43" i="56"/>
  <c r="W42" i="56"/>
  <c r="W41" i="56"/>
  <c r="W40" i="56"/>
  <c r="W39" i="56"/>
  <c r="W38" i="56"/>
  <c r="W37" i="56"/>
  <c r="W36" i="56"/>
  <c r="W35" i="56"/>
  <c r="W34" i="56"/>
  <c r="W33" i="56"/>
  <c r="W32" i="56"/>
  <c r="W31" i="56"/>
  <c r="W30" i="56"/>
  <c r="W29" i="56"/>
  <c r="W28" i="56"/>
  <c r="W27" i="56"/>
  <c r="W26" i="56"/>
  <c r="W25" i="56"/>
  <c r="W24" i="56"/>
  <c r="W23" i="56"/>
  <c r="W22" i="56"/>
  <c r="W21" i="56"/>
  <c r="W20" i="56"/>
  <c r="W19" i="56"/>
  <c r="W18" i="56"/>
  <c r="W17" i="56"/>
  <c r="W16" i="56"/>
  <c r="W15" i="56"/>
  <c r="W14" i="56"/>
  <c r="W13" i="56"/>
  <c r="W12" i="56"/>
  <c r="W11" i="56"/>
  <c r="W10" i="56"/>
  <c r="W9" i="56"/>
  <c r="W8" i="56"/>
  <c r="W7" i="56"/>
  <c r="W6" i="56"/>
  <c r="W5" i="56"/>
  <c r="Q124" i="56"/>
  <c r="Q123" i="56"/>
  <c r="Q122" i="56"/>
  <c r="Q121" i="56"/>
  <c r="Q120" i="56"/>
  <c r="Q119" i="56"/>
  <c r="Q118" i="56"/>
  <c r="Q117" i="56"/>
  <c r="Q116" i="56"/>
  <c r="Q115" i="56"/>
  <c r="Q114" i="56"/>
  <c r="Q113" i="56"/>
  <c r="Q112" i="56"/>
  <c r="Q111" i="56"/>
  <c r="Q110" i="56"/>
  <c r="Q109" i="56"/>
  <c r="Q108" i="56"/>
  <c r="Q107" i="56"/>
  <c r="Q106" i="56"/>
  <c r="Q105" i="56"/>
  <c r="Q104" i="56"/>
  <c r="Q103" i="56"/>
  <c r="Q102" i="56"/>
  <c r="Q101" i="56"/>
  <c r="Q100" i="56"/>
  <c r="Q99" i="56"/>
  <c r="Q98" i="56"/>
  <c r="Q97" i="56"/>
  <c r="Q96" i="56"/>
  <c r="Q95" i="56"/>
  <c r="Q94" i="56"/>
  <c r="Q93" i="56"/>
  <c r="Q92" i="56"/>
  <c r="Q91" i="56"/>
  <c r="Q90" i="56"/>
  <c r="Q89" i="56"/>
  <c r="Q88" i="56"/>
  <c r="Q87" i="56"/>
  <c r="Q86" i="56"/>
  <c r="Q85" i="56"/>
  <c r="Q84" i="56"/>
  <c r="Q83" i="56"/>
  <c r="Q82" i="56"/>
  <c r="Q81" i="56"/>
  <c r="Q80" i="56"/>
  <c r="Q79" i="56"/>
  <c r="Q78" i="56"/>
  <c r="Q77" i="56"/>
  <c r="Q76" i="56"/>
  <c r="Q75" i="56"/>
  <c r="Q74" i="56"/>
  <c r="Q73" i="56"/>
  <c r="Q72" i="56"/>
  <c r="Q71" i="56"/>
  <c r="Q70" i="56"/>
  <c r="Q69" i="56"/>
  <c r="Q68" i="56"/>
  <c r="Q67" i="56"/>
  <c r="Q66" i="56"/>
  <c r="Q65" i="56"/>
  <c r="Q64" i="56"/>
  <c r="Q63" i="56"/>
  <c r="Q62" i="56"/>
  <c r="Q61" i="56"/>
  <c r="Q60" i="56"/>
  <c r="Q59" i="56"/>
  <c r="Q58" i="56"/>
  <c r="Q57" i="56"/>
  <c r="Q56" i="56"/>
  <c r="Q55" i="56"/>
  <c r="Q54" i="56"/>
  <c r="Q53" i="56"/>
  <c r="Q52" i="56"/>
  <c r="Q51" i="56"/>
  <c r="Q50" i="56"/>
  <c r="Q49" i="56"/>
  <c r="Q48" i="56"/>
  <c r="Q47" i="56"/>
  <c r="Q46" i="56"/>
  <c r="Q45" i="56"/>
  <c r="Q44" i="56"/>
  <c r="Q43" i="56"/>
  <c r="Q42" i="56"/>
  <c r="Q41" i="56"/>
  <c r="Q40" i="56"/>
  <c r="Q39" i="56"/>
  <c r="Q38" i="56"/>
  <c r="Q37" i="56"/>
  <c r="Q36" i="56"/>
  <c r="Q35" i="56"/>
  <c r="Q34" i="56"/>
  <c r="Q33" i="56"/>
  <c r="Q32" i="56"/>
  <c r="Q31" i="56"/>
  <c r="Q30" i="56"/>
  <c r="Q29" i="56"/>
  <c r="Q28" i="56"/>
  <c r="Q27" i="56"/>
  <c r="Q26" i="56"/>
  <c r="Q25" i="56"/>
  <c r="Q24" i="56"/>
  <c r="Q23" i="56"/>
  <c r="Q22" i="56"/>
  <c r="Q21" i="56"/>
  <c r="Q20" i="56"/>
  <c r="Q19" i="56"/>
  <c r="Q18" i="56"/>
  <c r="Q17" i="56"/>
  <c r="Q16" i="56"/>
  <c r="Q15" i="56"/>
  <c r="Q14" i="56"/>
  <c r="Q13" i="56"/>
  <c r="Q12" i="56"/>
  <c r="Q11" i="56"/>
  <c r="Q10" i="56"/>
  <c r="Q9" i="56"/>
  <c r="Q8" i="56"/>
  <c r="Q7" i="56"/>
  <c r="Q6" i="56"/>
  <c r="Q5" i="56"/>
  <c r="O4" i="57"/>
  <c r="G98" i="40"/>
  <c r="C123" i="40"/>
  <c r="G122" i="40"/>
  <c r="G121" i="40"/>
  <c r="G120" i="40"/>
  <c r="G86" i="40"/>
  <c r="C83" i="40"/>
  <c r="G82" i="40"/>
  <c r="C119" i="40"/>
  <c r="G79" i="40"/>
  <c r="G118" i="40"/>
  <c r="C117" i="40"/>
  <c r="G77" i="40"/>
  <c r="G73" i="40"/>
  <c r="G116" i="40"/>
  <c r="C115" i="40"/>
  <c r="G71" i="40"/>
  <c r="C68" i="40"/>
  <c r="G114" i="40"/>
  <c r="G112" i="40"/>
  <c r="C63" i="40"/>
  <c r="G62" i="40"/>
  <c r="C111" i="40"/>
  <c r="G110" i="40"/>
  <c r="C58" i="40"/>
  <c r="G57" i="40"/>
  <c r="G53" i="40"/>
  <c r="C50" i="40"/>
  <c r="G49" i="40"/>
  <c r="C47" i="40"/>
  <c r="G46" i="40"/>
  <c r="C44" i="40"/>
  <c r="G43" i="40"/>
  <c r="G39" i="40"/>
  <c r="C105" i="40"/>
  <c r="G37" i="40"/>
  <c r="C35" i="40"/>
  <c r="G34" i="40"/>
  <c r="C31" i="40"/>
  <c r="G30" i="40"/>
  <c r="G27" i="40"/>
  <c r="C24" i="40"/>
  <c r="G102" i="40"/>
  <c r="C22" i="40"/>
  <c r="G21" i="40"/>
  <c r="C18" i="40"/>
  <c r="G17" i="40"/>
  <c r="C15" i="40"/>
  <c r="G14" i="40"/>
  <c r="G10" i="40"/>
  <c r="C7" i="40"/>
  <c r="G6" i="40"/>
  <c r="C4" i="40"/>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Y126" i="85"/>
  <c r="X126" i="85"/>
  <c r="W126" i="85"/>
  <c r="Y125" i="85"/>
  <c r="X125" i="85"/>
  <c r="W125" i="85"/>
  <c r="Y124" i="85"/>
  <c r="X124" i="85"/>
  <c r="W124" i="85"/>
  <c r="Y123" i="85"/>
  <c r="X123" i="85"/>
  <c r="W123" i="85"/>
  <c r="Y122" i="85"/>
  <c r="X122" i="85"/>
  <c r="W122" i="85"/>
  <c r="Y121" i="85"/>
  <c r="X121" i="85"/>
  <c r="W121" i="85"/>
  <c r="Y120" i="85"/>
  <c r="X120" i="85"/>
  <c r="W120" i="85"/>
  <c r="Y119" i="85"/>
  <c r="X119" i="85"/>
  <c r="W119" i="85"/>
  <c r="Y118" i="85"/>
  <c r="X118" i="85"/>
  <c r="W118" i="85"/>
  <c r="Y117" i="85"/>
  <c r="X117" i="85"/>
  <c r="W117" i="85"/>
  <c r="Y116" i="85"/>
  <c r="X116" i="85"/>
  <c r="W116" i="85"/>
  <c r="Y115" i="85"/>
  <c r="X115" i="85"/>
  <c r="W115" i="85"/>
  <c r="Y114" i="85"/>
  <c r="X114" i="85"/>
  <c r="W114" i="85"/>
  <c r="Y113" i="85"/>
  <c r="X113" i="85"/>
  <c r="W113" i="85"/>
  <c r="Y112" i="85"/>
  <c r="X112" i="85"/>
  <c r="W112" i="85"/>
  <c r="Y111" i="85"/>
  <c r="X111" i="85"/>
  <c r="W111" i="85"/>
  <c r="Y110" i="85"/>
  <c r="X110" i="85"/>
  <c r="W110" i="85"/>
  <c r="Y109" i="85"/>
  <c r="X109" i="85"/>
  <c r="W109" i="85"/>
  <c r="Y108" i="85"/>
  <c r="X108" i="85"/>
  <c r="W108" i="85"/>
  <c r="Y107" i="85"/>
  <c r="X107" i="85"/>
  <c r="W107" i="85"/>
  <c r="Y106" i="85"/>
  <c r="X106" i="85"/>
  <c r="W106" i="85"/>
  <c r="Y105" i="85"/>
  <c r="X105" i="85"/>
  <c r="W105" i="85"/>
  <c r="Y104" i="85"/>
  <c r="X104" i="85"/>
  <c r="W104" i="85"/>
  <c r="Y103" i="85"/>
  <c r="X103" i="85"/>
  <c r="W103" i="85"/>
  <c r="Y102" i="85"/>
  <c r="X102" i="85"/>
  <c r="W102" i="85"/>
  <c r="Y101" i="85"/>
  <c r="X101" i="85"/>
  <c r="W101" i="85"/>
  <c r="Y100" i="85"/>
  <c r="X100" i="85"/>
  <c r="W100" i="85"/>
  <c r="Y99" i="85"/>
  <c r="X99" i="85"/>
  <c r="W99" i="85"/>
  <c r="Y98" i="85"/>
  <c r="X98" i="85"/>
  <c r="W98" i="85"/>
  <c r="Y97" i="85"/>
  <c r="X97" i="85"/>
  <c r="W97" i="85"/>
  <c r="Y96" i="85"/>
  <c r="X96" i="85"/>
  <c r="W96" i="85"/>
  <c r="Y95" i="85"/>
  <c r="X95" i="85"/>
  <c r="W95" i="85"/>
  <c r="Y94" i="85"/>
  <c r="X94" i="85"/>
  <c r="W94" i="85"/>
  <c r="Y93" i="85"/>
  <c r="X93" i="85"/>
  <c r="W93" i="85"/>
  <c r="Y92" i="85"/>
  <c r="X92" i="85"/>
  <c r="W92" i="85"/>
  <c r="Y91" i="85"/>
  <c r="X91" i="85"/>
  <c r="W91" i="85"/>
  <c r="Y90" i="85"/>
  <c r="X90" i="85"/>
  <c r="W90" i="85"/>
  <c r="Y89" i="85"/>
  <c r="X89" i="85"/>
  <c r="W89" i="85"/>
  <c r="Y88" i="85"/>
  <c r="X88" i="85"/>
  <c r="W88" i="85"/>
  <c r="Y87" i="85"/>
  <c r="X87" i="85"/>
  <c r="W87" i="85"/>
  <c r="Y86" i="85"/>
  <c r="X86" i="85"/>
  <c r="W86" i="85"/>
  <c r="Y85" i="85"/>
  <c r="X85" i="85"/>
  <c r="W85" i="85"/>
  <c r="Y84" i="85"/>
  <c r="X84" i="85"/>
  <c r="W84" i="85"/>
  <c r="Y83" i="85"/>
  <c r="X83" i="85"/>
  <c r="W83" i="85"/>
  <c r="Y82" i="85"/>
  <c r="X82" i="85"/>
  <c r="W82" i="85"/>
  <c r="Y81" i="85"/>
  <c r="X81" i="85"/>
  <c r="W81" i="85"/>
  <c r="Y80" i="85"/>
  <c r="X80" i="85"/>
  <c r="W80" i="85"/>
  <c r="Y79" i="85"/>
  <c r="X79" i="85"/>
  <c r="W79" i="85"/>
  <c r="Y78" i="85"/>
  <c r="X78" i="85"/>
  <c r="W78" i="85"/>
  <c r="Y77" i="85"/>
  <c r="X77" i="85"/>
  <c r="W77" i="85"/>
  <c r="Y76" i="85"/>
  <c r="X76" i="85"/>
  <c r="W76" i="85"/>
  <c r="Y75" i="85"/>
  <c r="X75" i="85"/>
  <c r="W75" i="85"/>
  <c r="Y74" i="85"/>
  <c r="X74" i="85"/>
  <c r="W74" i="85"/>
  <c r="Y73" i="85"/>
  <c r="X73" i="85"/>
  <c r="W73" i="85"/>
  <c r="Y72" i="85"/>
  <c r="X72" i="85"/>
  <c r="W72" i="85"/>
  <c r="Y71" i="85"/>
  <c r="X71" i="85"/>
  <c r="W71" i="85"/>
  <c r="Y70" i="85"/>
  <c r="X70" i="85"/>
  <c r="W70" i="85"/>
  <c r="Y69" i="85"/>
  <c r="X69" i="85"/>
  <c r="W69" i="85"/>
  <c r="Y68" i="85"/>
  <c r="X68" i="85"/>
  <c r="W68" i="85"/>
  <c r="Y67" i="85"/>
  <c r="X67" i="85"/>
  <c r="W67" i="85"/>
  <c r="Y66" i="85"/>
  <c r="X66" i="85"/>
  <c r="W66" i="85"/>
  <c r="Y65" i="85"/>
  <c r="X65" i="85"/>
  <c r="W65" i="85"/>
  <c r="Y64" i="85"/>
  <c r="X64" i="85"/>
  <c r="W64" i="85"/>
  <c r="Y63" i="85"/>
  <c r="X63" i="85"/>
  <c r="W63" i="85"/>
  <c r="Y62" i="85"/>
  <c r="X62" i="85"/>
  <c r="W62" i="85"/>
  <c r="Y61" i="85"/>
  <c r="X61" i="85"/>
  <c r="W61" i="85"/>
  <c r="Y60" i="85"/>
  <c r="X60" i="85"/>
  <c r="W60" i="85"/>
  <c r="Y59" i="85"/>
  <c r="X59" i="85"/>
  <c r="W59" i="85"/>
  <c r="Y58" i="85"/>
  <c r="X58" i="85"/>
  <c r="W58" i="85"/>
  <c r="Y57" i="85"/>
  <c r="X57" i="85"/>
  <c r="W57" i="85"/>
  <c r="Y56" i="85"/>
  <c r="X56" i="85"/>
  <c r="W56" i="85"/>
  <c r="Y55" i="85"/>
  <c r="X55" i="85"/>
  <c r="W55" i="85"/>
  <c r="Y54" i="85"/>
  <c r="X54" i="85"/>
  <c r="W54" i="85"/>
  <c r="Y53" i="85"/>
  <c r="X53" i="85"/>
  <c r="W53" i="85"/>
  <c r="Y52" i="85"/>
  <c r="X52" i="85"/>
  <c r="W52" i="85"/>
  <c r="Y51" i="85"/>
  <c r="X51" i="85"/>
  <c r="W51" i="85"/>
  <c r="Y50" i="85"/>
  <c r="X50" i="85"/>
  <c r="W50" i="85"/>
  <c r="Y49" i="85"/>
  <c r="X49" i="85"/>
  <c r="W49" i="85"/>
  <c r="Y48" i="85"/>
  <c r="X48" i="85"/>
  <c r="W48" i="85"/>
  <c r="Y47" i="85"/>
  <c r="X47" i="85"/>
  <c r="W47" i="85"/>
  <c r="Y46" i="85"/>
  <c r="X46" i="85"/>
  <c r="W46" i="85"/>
  <c r="Y45" i="85"/>
  <c r="X45" i="85"/>
  <c r="W45" i="85"/>
  <c r="Y44" i="85"/>
  <c r="X44" i="85"/>
  <c r="W44" i="85"/>
  <c r="Y43" i="85"/>
  <c r="X43" i="85"/>
  <c r="W43" i="85"/>
  <c r="Y42" i="85"/>
  <c r="X42" i="85"/>
  <c r="W42" i="85"/>
  <c r="Y41" i="85"/>
  <c r="X41" i="85"/>
  <c r="W41" i="85"/>
  <c r="Y40" i="85"/>
  <c r="X40" i="85"/>
  <c r="W40" i="85"/>
  <c r="Y39" i="85"/>
  <c r="X39" i="85"/>
  <c r="W39" i="85"/>
  <c r="Y38" i="85"/>
  <c r="X38" i="85"/>
  <c r="W38" i="85"/>
  <c r="Y37" i="85"/>
  <c r="X37" i="85"/>
  <c r="W37" i="85"/>
  <c r="Y36" i="85"/>
  <c r="X36" i="85"/>
  <c r="W36" i="85"/>
  <c r="Y35" i="85"/>
  <c r="X35" i="85"/>
  <c r="W35" i="85"/>
  <c r="Y34" i="85"/>
  <c r="X34" i="85"/>
  <c r="W34" i="85"/>
  <c r="Y33" i="85"/>
  <c r="X33" i="85"/>
  <c r="W33" i="85"/>
  <c r="Y32" i="85"/>
  <c r="X32" i="85"/>
  <c r="W32" i="85"/>
  <c r="Y31" i="85"/>
  <c r="X31" i="85"/>
  <c r="W31" i="85"/>
  <c r="Y30" i="85"/>
  <c r="X30" i="85"/>
  <c r="W30" i="85"/>
  <c r="Y29" i="85"/>
  <c r="X29" i="85"/>
  <c r="W29" i="85"/>
  <c r="Y28" i="85"/>
  <c r="X28" i="85"/>
  <c r="W28" i="85"/>
  <c r="Y27" i="85"/>
  <c r="X27" i="85"/>
  <c r="W27" i="85"/>
  <c r="Y26" i="85"/>
  <c r="X26" i="85"/>
  <c r="W26" i="85"/>
  <c r="Y25" i="85"/>
  <c r="X25" i="85"/>
  <c r="W25" i="85"/>
  <c r="Y24" i="85"/>
  <c r="X24" i="85"/>
  <c r="W24" i="85"/>
  <c r="Y23" i="85"/>
  <c r="X23" i="85"/>
  <c r="W23" i="85"/>
  <c r="Y22" i="85"/>
  <c r="X22" i="85"/>
  <c r="W22" i="85"/>
  <c r="Y21" i="85"/>
  <c r="X21" i="85"/>
  <c r="W21" i="85"/>
  <c r="Y20" i="85"/>
  <c r="X20" i="85"/>
  <c r="W20" i="85"/>
  <c r="Y19" i="85"/>
  <c r="X19" i="85"/>
  <c r="W19" i="85"/>
  <c r="Y18" i="85"/>
  <c r="X18" i="85"/>
  <c r="W18" i="85"/>
  <c r="Y17" i="85"/>
  <c r="X17" i="85"/>
  <c r="W17" i="85"/>
  <c r="Y16" i="85"/>
  <c r="X16" i="85"/>
  <c r="W16" i="85"/>
  <c r="Y15" i="85"/>
  <c r="X15" i="85"/>
  <c r="W15" i="85"/>
  <c r="Y14" i="85"/>
  <c r="X14" i="85"/>
  <c r="W14" i="85"/>
  <c r="Y13" i="85"/>
  <c r="X13" i="85"/>
  <c r="W13" i="85"/>
  <c r="Y12" i="85"/>
  <c r="X12" i="85"/>
  <c r="W12" i="85"/>
  <c r="Y11" i="85"/>
  <c r="X11" i="85"/>
  <c r="W11" i="85"/>
  <c r="Y10" i="85"/>
  <c r="X10" i="85"/>
  <c r="W10" i="85"/>
  <c r="Y9" i="85"/>
  <c r="X9" i="85"/>
  <c r="W9" i="85"/>
  <c r="Y8" i="85"/>
  <c r="X8" i="85"/>
  <c r="W8" i="85"/>
  <c r="Y7" i="85"/>
  <c r="X7" i="85"/>
  <c r="W7" i="85"/>
  <c r="H4" i="89"/>
  <c r="G4" i="89"/>
  <c r="F4" i="89"/>
  <c r="E4" i="89"/>
  <c r="D4" i="89"/>
  <c r="L4" i="32"/>
  <c r="I4" i="32"/>
  <c r="L4" i="31"/>
  <c r="K4" i="31"/>
  <c r="J4" i="31"/>
  <c r="I4" i="31"/>
  <c r="H4" i="31"/>
  <c r="AM101" i="97"/>
  <c r="AL101" i="97"/>
  <c r="AP101" i="97"/>
  <c r="AO101" i="97"/>
  <c r="AN101" i="97"/>
  <c r="AK101" i="97"/>
  <c r="AI101" i="97"/>
  <c r="AH101" i="97"/>
  <c r="AJ101" i="97"/>
  <c r="AJ100" i="97"/>
  <c r="AI100" i="97"/>
  <c r="AP100" i="97"/>
  <c r="AN100" i="97"/>
  <c r="AM100" i="97"/>
  <c r="AL100" i="97"/>
  <c r="AN99" i="97"/>
  <c r="AK99" i="97"/>
  <c r="AH99" i="97"/>
  <c r="AO126" i="97"/>
  <c r="AN126" i="97"/>
  <c r="AL126" i="97"/>
  <c r="AK126" i="97"/>
  <c r="AH126" i="97"/>
  <c r="AI126" i="97"/>
  <c r="AP125" i="97"/>
  <c r="AO125" i="97"/>
  <c r="AM125" i="97"/>
  <c r="AI125" i="97"/>
  <c r="AH125" i="97"/>
  <c r="AJ125" i="97"/>
  <c r="AP98" i="97"/>
  <c r="AN98" i="97"/>
  <c r="AM98" i="97"/>
  <c r="AJ98" i="97"/>
  <c r="AI98" i="97"/>
  <c r="AH98" i="97"/>
  <c r="AP97" i="97"/>
  <c r="AK97" i="97"/>
  <c r="AO97" i="97"/>
  <c r="AN97" i="97"/>
  <c r="AM97" i="97"/>
  <c r="AL97" i="97"/>
  <c r="AH97" i="97"/>
  <c r="AJ97" i="97"/>
  <c r="AI97" i="97"/>
  <c r="AM96" i="97"/>
  <c r="AL96" i="97"/>
  <c r="AP96" i="97"/>
  <c r="AO96" i="97"/>
  <c r="AN96" i="97"/>
  <c r="AK96" i="97"/>
  <c r="AI96" i="97"/>
  <c r="AH96" i="97"/>
  <c r="AJ96" i="97"/>
  <c r="AJ124" i="97"/>
  <c r="AP124" i="97"/>
  <c r="AO124" i="97"/>
  <c r="AN124" i="97"/>
  <c r="AM124" i="97"/>
  <c r="AI124" i="97"/>
  <c r="AK95" i="97"/>
  <c r="AO95" i="97"/>
  <c r="AN95" i="97"/>
  <c r="AJ95" i="97"/>
  <c r="AH95" i="97"/>
  <c r="AO94" i="97"/>
  <c r="AL94" i="97"/>
  <c r="AP94" i="97"/>
  <c r="AN94" i="97"/>
  <c r="AK94" i="97"/>
  <c r="AH94" i="97"/>
  <c r="AI94" i="97"/>
  <c r="AP93" i="97"/>
  <c r="AO93" i="97"/>
  <c r="AM93" i="97"/>
  <c r="AI93" i="97"/>
  <c r="AH93" i="97"/>
  <c r="AJ93" i="97"/>
  <c r="AN123" i="97"/>
  <c r="AM123" i="97"/>
  <c r="AS123" i="97" s="1"/>
  <c r="BA123" i="97" s="1"/>
  <c r="AP123" i="97"/>
  <c r="AO123" i="97"/>
  <c r="AK123" i="97"/>
  <c r="AJ123" i="97"/>
  <c r="AI123" i="97"/>
  <c r="AH123" i="97"/>
  <c r="AP92" i="97"/>
  <c r="AO92" i="97"/>
  <c r="AN92" i="97"/>
  <c r="AK92" i="97"/>
  <c r="AL92" i="97"/>
  <c r="AH92" i="97"/>
  <c r="AJ92" i="97"/>
  <c r="AI92" i="97"/>
  <c r="AM91" i="97"/>
  <c r="AL91" i="97"/>
  <c r="AP91" i="97"/>
  <c r="AO91" i="97"/>
  <c r="AN91" i="97"/>
  <c r="AK91" i="97"/>
  <c r="AI91" i="97"/>
  <c r="AH91" i="97"/>
  <c r="AJ91" i="97"/>
  <c r="AJ90" i="97"/>
  <c r="AI90" i="97"/>
  <c r="AP90" i="97"/>
  <c r="AN90" i="97"/>
  <c r="AM90" i="97"/>
  <c r="AL90" i="97"/>
  <c r="AN89" i="97"/>
  <c r="AK89" i="97"/>
  <c r="AH89" i="97"/>
  <c r="AO88" i="97"/>
  <c r="AN88" i="97"/>
  <c r="AL88" i="97"/>
  <c r="AK88" i="97"/>
  <c r="AH88" i="97"/>
  <c r="AI88" i="97"/>
  <c r="AP87" i="97"/>
  <c r="AO87" i="97"/>
  <c r="AM87" i="97"/>
  <c r="AI87" i="97"/>
  <c r="AH87" i="97"/>
  <c r="AJ87" i="97"/>
  <c r="AJ86" i="97"/>
  <c r="AP86" i="97"/>
  <c r="AO86" i="97"/>
  <c r="AN86" i="97"/>
  <c r="AL86" i="97"/>
  <c r="AK86" i="97"/>
  <c r="AI86" i="97"/>
  <c r="AH86" i="97"/>
  <c r="AP85" i="97"/>
  <c r="AK85" i="97"/>
  <c r="AO85" i="97"/>
  <c r="AN85" i="97"/>
  <c r="AM85" i="97"/>
  <c r="AL85" i="97"/>
  <c r="AH85" i="97"/>
  <c r="AJ85" i="97"/>
  <c r="AI85" i="97"/>
  <c r="AM84" i="97"/>
  <c r="AL84" i="97"/>
  <c r="AP84" i="97"/>
  <c r="AO84" i="97"/>
  <c r="AN84" i="97"/>
  <c r="AK84" i="97"/>
  <c r="AI84" i="97"/>
  <c r="AH84" i="97"/>
  <c r="AJ84" i="97"/>
  <c r="AJ83" i="97"/>
  <c r="AP83" i="97"/>
  <c r="AN83" i="97"/>
  <c r="AM83" i="97"/>
  <c r="AI83" i="97"/>
  <c r="AK122" i="97"/>
  <c r="AO122" i="97"/>
  <c r="AN122" i="97"/>
  <c r="AJ122" i="97"/>
  <c r="AH122" i="97"/>
  <c r="AO82" i="97"/>
  <c r="AL82" i="97"/>
  <c r="AP82" i="97"/>
  <c r="AN82" i="97"/>
  <c r="AK82" i="97"/>
  <c r="AH82" i="97"/>
  <c r="AI82" i="97"/>
  <c r="AP121" i="97"/>
  <c r="AO121" i="97"/>
  <c r="AM121" i="97"/>
  <c r="AI121" i="97"/>
  <c r="AH121" i="97"/>
  <c r="AJ121" i="97"/>
  <c r="AN81" i="97"/>
  <c r="AM81" i="97"/>
  <c r="AP81" i="97"/>
  <c r="AO81" i="97"/>
  <c r="AK81" i="97"/>
  <c r="AJ81" i="97"/>
  <c r="AI81" i="97"/>
  <c r="AH81" i="97"/>
  <c r="AO120" i="97"/>
  <c r="AJ120" i="97"/>
  <c r="AP120" i="97"/>
  <c r="AN120" i="97"/>
  <c r="AL120" i="97"/>
  <c r="AK120" i="97"/>
  <c r="AI120" i="97"/>
  <c r="AH120" i="97"/>
  <c r="AP80" i="97"/>
  <c r="AO80" i="97"/>
  <c r="AN80" i="97"/>
  <c r="AK80" i="97"/>
  <c r="AL80" i="97"/>
  <c r="AH80" i="97"/>
  <c r="AJ80" i="97"/>
  <c r="AI80" i="97"/>
  <c r="AM79" i="97"/>
  <c r="AL79" i="97"/>
  <c r="AP79" i="97"/>
  <c r="AO79" i="97"/>
  <c r="AN79" i="97"/>
  <c r="AK79" i="97"/>
  <c r="AI79" i="97"/>
  <c r="AH79" i="97"/>
  <c r="AJ79" i="97"/>
  <c r="AJ78" i="97"/>
  <c r="AI78" i="97"/>
  <c r="AP78" i="97"/>
  <c r="AN78" i="97"/>
  <c r="AM78" i="97"/>
  <c r="AL78" i="97"/>
  <c r="AN77" i="97"/>
  <c r="AK77" i="97"/>
  <c r="AM77" i="97"/>
  <c r="AH77" i="97"/>
  <c r="AO76" i="97"/>
  <c r="AN76" i="97"/>
  <c r="AL76" i="97"/>
  <c r="AK76" i="97"/>
  <c r="AH76" i="97"/>
  <c r="AI76" i="97"/>
  <c r="AP119" i="97"/>
  <c r="AO119" i="97"/>
  <c r="AL119" i="97"/>
  <c r="AI119" i="97"/>
  <c r="AH119" i="97"/>
  <c r="AJ119" i="97"/>
  <c r="AO75" i="97"/>
  <c r="AN75" i="97"/>
  <c r="AK75" i="97"/>
  <c r="AJ75" i="97"/>
  <c r="AR75" i="97" s="1"/>
  <c r="AZ75" i="97" s="1"/>
  <c r="AI75" i="97"/>
  <c r="AH75" i="97"/>
  <c r="AP118" i="97"/>
  <c r="AK118" i="97"/>
  <c r="AO118" i="97"/>
  <c r="AN118" i="97"/>
  <c r="AM118" i="97"/>
  <c r="AL118" i="97"/>
  <c r="AH118" i="97"/>
  <c r="AJ118" i="97"/>
  <c r="AI118" i="97"/>
  <c r="AM74" i="97"/>
  <c r="AL74" i="97"/>
  <c r="AP74" i="97"/>
  <c r="AO74" i="97"/>
  <c r="AN74" i="97"/>
  <c r="AK74" i="97"/>
  <c r="AI74" i="97"/>
  <c r="AH74" i="97"/>
  <c r="AJ74" i="97"/>
  <c r="AJ73" i="97"/>
  <c r="AP73" i="97"/>
  <c r="AM73" i="97"/>
  <c r="AI73" i="97"/>
  <c r="AK72" i="97"/>
  <c r="AO72" i="97"/>
  <c r="AN72" i="97"/>
  <c r="AJ72" i="97"/>
  <c r="AH72" i="97"/>
  <c r="AO71" i="97"/>
  <c r="AL71" i="97"/>
  <c r="AP71" i="97"/>
  <c r="AN71" i="97"/>
  <c r="AK71" i="97"/>
  <c r="AH71" i="97"/>
  <c r="AI71" i="97"/>
  <c r="AP117" i="97"/>
  <c r="AO117" i="97"/>
  <c r="AM117" i="97"/>
  <c r="AI117" i="97"/>
  <c r="AH117" i="97"/>
  <c r="AJ117" i="97"/>
  <c r="AN70" i="97"/>
  <c r="AM70" i="97"/>
  <c r="AP70" i="97"/>
  <c r="AO70" i="97"/>
  <c r="AK70" i="97"/>
  <c r="AJ70" i="97"/>
  <c r="AI70" i="97"/>
  <c r="AH70" i="97"/>
  <c r="AO69" i="97"/>
  <c r="AJ69" i="97"/>
  <c r="AP69" i="97"/>
  <c r="AN69" i="97"/>
  <c r="AL69" i="97"/>
  <c r="AK69" i="97"/>
  <c r="AI69" i="97"/>
  <c r="AH69" i="97"/>
  <c r="AP116" i="97"/>
  <c r="AO116" i="97"/>
  <c r="AN116" i="97"/>
  <c r="AK116" i="97"/>
  <c r="AL116" i="97"/>
  <c r="AH116" i="97"/>
  <c r="AJ116" i="97"/>
  <c r="AI116" i="97"/>
  <c r="AM115" i="97"/>
  <c r="AL115" i="97"/>
  <c r="AP115" i="97"/>
  <c r="AO115" i="97"/>
  <c r="AN115" i="97"/>
  <c r="AK115" i="97"/>
  <c r="AI115" i="97"/>
  <c r="AH115" i="97"/>
  <c r="AJ115" i="97"/>
  <c r="AJ68" i="97"/>
  <c r="AI68" i="97"/>
  <c r="AP68" i="97"/>
  <c r="AN68" i="97"/>
  <c r="AM68" i="97"/>
  <c r="AL68" i="97"/>
  <c r="AN67" i="97"/>
  <c r="AK67" i="97"/>
  <c r="AM67" i="97"/>
  <c r="AH67" i="97"/>
  <c r="AO66" i="97"/>
  <c r="AN66" i="97"/>
  <c r="AL66" i="97"/>
  <c r="AK66" i="97"/>
  <c r="AH66" i="97"/>
  <c r="AI66" i="97"/>
  <c r="AP65" i="97"/>
  <c r="AO65" i="97"/>
  <c r="AM65" i="97"/>
  <c r="AL65" i="97"/>
  <c r="AI65" i="97"/>
  <c r="AH65" i="97"/>
  <c r="AJ65" i="97"/>
  <c r="AP64" i="97"/>
  <c r="AO64" i="97"/>
  <c r="AN64" i="97"/>
  <c r="AM64" i="97"/>
  <c r="AK64" i="97"/>
  <c r="AJ64" i="97"/>
  <c r="AI64" i="97"/>
  <c r="AH64" i="97"/>
  <c r="AP63" i="97"/>
  <c r="AO63" i="97"/>
  <c r="AN63" i="97"/>
  <c r="AK63" i="97"/>
  <c r="AJ63" i="97"/>
  <c r="AI63" i="97"/>
  <c r="AH63" i="97"/>
  <c r="AM114" i="97"/>
  <c r="AL114" i="97"/>
  <c r="AP114" i="97"/>
  <c r="AO114" i="97"/>
  <c r="AN114" i="97"/>
  <c r="AK114" i="97"/>
  <c r="AI114" i="97"/>
  <c r="AH114" i="97"/>
  <c r="AJ114" i="97"/>
  <c r="AJ113" i="97"/>
  <c r="AP113" i="97"/>
  <c r="AN113" i="97"/>
  <c r="AM113" i="97"/>
  <c r="AI113" i="97"/>
  <c r="AK62" i="97"/>
  <c r="AO62" i="97"/>
  <c r="AN62" i="97"/>
  <c r="AJ62" i="97"/>
  <c r="AH62" i="97"/>
  <c r="AO112" i="97"/>
  <c r="AL112" i="97"/>
  <c r="AP112" i="97"/>
  <c r="AN112" i="97"/>
  <c r="AK112" i="97"/>
  <c r="AH112" i="97"/>
  <c r="AI112" i="97"/>
  <c r="AP61" i="97"/>
  <c r="AO61" i="97"/>
  <c r="AM61" i="97"/>
  <c r="AI61" i="97"/>
  <c r="AH61" i="97"/>
  <c r="AJ61" i="97"/>
  <c r="AN60" i="97"/>
  <c r="AM60" i="97"/>
  <c r="AP60" i="97"/>
  <c r="AO60" i="97"/>
  <c r="AK60" i="97"/>
  <c r="AJ60" i="97"/>
  <c r="AI60" i="97"/>
  <c r="AH60" i="97"/>
  <c r="AO59" i="97"/>
  <c r="AJ59" i="97"/>
  <c r="AP59" i="97"/>
  <c r="AN59" i="97"/>
  <c r="AL59" i="97"/>
  <c r="AK59" i="97"/>
  <c r="AI59" i="97"/>
  <c r="AH59" i="97"/>
  <c r="AM58" i="97"/>
  <c r="AL58" i="97"/>
  <c r="AP58" i="97"/>
  <c r="AO58" i="97"/>
  <c r="AN58" i="97"/>
  <c r="AK58" i="97"/>
  <c r="AI58" i="97"/>
  <c r="AH58" i="97"/>
  <c r="AJ58" i="97"/>
  <c r="AJ57" i="97"/>
  <c r="AI57" i="97"/>
  <c r="AP57" i="97"/>
  <c r="AN57" i="97"/>
  <c r="AM57" i="97"/>
  <c r="AL57" i="97"/>
  <c r="AN56" i="97"/>
  <c r="AK56" i="97"/>
  <c r="AH56" i="97"/>
  <c r="AN55" i="97"/>
  <c r="AH55" i="97"/>
  <c r="AO54" i="97"/>
  <c r="AN54" i="97"/>
  <c r="AJ54" i="97"/>
  <c r="AI54" i="97"/>
  <c r="AH54" i="97"/>
  <c r="AP53" i="97"/>
  <c r="AO53" i="97"/>
  <c r="AN53" i="97"/>
  <c r="AK53" i="97"/>
  <c r="AH53" i="97"/>
  <c r="AI53" i="97"/>
  <c r="AI52" i="97"/>
  <c r="AP52" i="97"/>
  <c r="AO52" i="97"/>
  <c r="AL52" i="97"/>
  <c r="AM52" i="97"/>
  <c r="AH52" i="97"/>
  <c r="AJ52" i="97"/>
  <c r="AN111" i="97"/>
  <c r="AI111" i="97"/>
  <c r="AP111" i="97"/>
  <c r="AO111" i="97"/>
  <c r="AM111" i="97"/>
  <c r="AL111" i="97"/>
  <c r="AK111" i="97"/>
  <c r="AJ111" i="97"/>
  <c r="AH111" i="97"/>
  <c r="AK51" i="97"/>
  <c r="AJ51" i="97"/>
  <c r="AP51" i="97"/>
  <c r="AO51" i="97"/>
  <c r="AN51" i="97"/>
  <c r="AM51" i="97"/>
  <c r="AL51" i="97"/>
  <c r="AI51" i="97"/>
  <c r="AH51" i="97"/>
  <c r="AL50" i="97"/>
  <c r="AK50" i="97"/>
  <c r="AP50" i="97"/>
  <c r="AO50" i="97"/>
  <c r="AN50" i="97"/>
  <c r="AM50" i="97"/>
  <c r="AH50" i="97"/>
  <c r="AJ50" i="97"/>
  <c r="AI50" i="97"/>
  <c r="AP49" i="97"/>
  <c r="AO49" i="97"/>
  <c r="AN49" i="97"/>
  <c r="AM49" i="97"/>
  <c r="AL49" i="97"/>
  <c r="AI49" i="97"/>
  <c r="AH49" i="97"/>
  <c r="AJ49" i="97"/>
  <c r="AO48" i="97"/>
  <c r="AN48" i="97"/>
  <c r="AK48" i="97"/>
  <c r="AJ48" i="97"/>
  <c r="AI48" i="97"/>
  <c r="AH48" i="97"/>
  <c r="AP110" i="97"/>
  <c r="AO110" i="97"/>
  <c r="AN110" i="97"/>
  <c r="AL110" i="97"/>
  <c r="AH110" i="97"/>
  <c r="AJ110" i="97"/>
  <c r="AI110" i="97"/>
  <c r="AP47" i="97"/>
  <c r="AO47" i="97"/>
  <c r="AN47" i="97"/>
  <c r="AL47" i="97"/>
  <c r="AM47" i="97"/>
  <c r="AI47" i="97"/>
  <c r="AH47" i="97"/>
  <c r="AJ47" i="97"/>
  <c r="AN46" i="97"/>
  <c r="AI46" i="97"/>
  <c r="AP46" i="97"/>
  <c r="AO46" i="97"/>
  <c r="AM46" i="97"/>
  <c r="AL46" i="97"/>
  <c r="AK46" i="97"/>
  <c r="AJ46" i="97"/>
  <c r="AH46" i="97"/>
  <c r="AK45" i="97"/>
  <c r="AJ45" i="97"/>
  <c r="AP45" i="97"/>
  <c r="AO45" i="97"/>
  <c r="AN45" i="97"/>
  <c r="AM45" i="97"/>
  <c r="AL45" i="97"/>
  <c r="AI45" i="97"/>
  <c r="AH45" i="97"/>
  <c r="AL44" i="97"/>
  <c r="AK44" i="97"/>
  <c r="AP44" i="97"/>
  <c r="AO44" i="97"/>
  <c r="AN44" i="97"/>
  <c r="AM44" i="97"/>
  <c r="AH44" i="97"/>
  <c r="AJ44" i="97"/>
  <c r="AI44" i="97"/>
  <c r="AP43" i="97"/>
  <c r="AM43" i="97"/>
  <c r="AO43" i="97"/>
  <c r="AN43" i="97"/>
  <c r="AL43" i="97"/>
  <c r="AK43" i="97"/>
  <c r="AS43" i="97" s="1"/>
  <c r="BA43" i="97" s="1"/>
  <c r="AI43" i="97"/>
  <c r="AH43" i="97"/>
  <c r="AJ43" i="97"/>
  <c r="AJ42" i="97"/>
  <c r="AP42" i="97"/>
  <c r="AM42" i="97"/>
  <c r="AH42" i="97"/>
  <c r="AO41" i="97"/>
  <c r="AN41" i="97"/>
  <c r="AJ41" i="97"/>
  <c r="AI41" i="97"/>
  <c r="AH41" i="97"/>
  <c r="AP109" i="97"/>
  <c r="AO109" i="97"/>
  <c r="AN109" i="97"/>
  <c r="AL109" i="97"/>
  <c r="AK109" i="97"/>
  <c r="AH109" i="97"/>
  <c r="AI109" i="97"/>
  <c r="AP108" i="97"/>
  <c r="AO108" i="97"/>
  <c r="AM108" i="97"/>
  <c r="AL108" i="97"/>
  <c r="AI108" i="97"/>
  <c r="AH108" i="97"/>
  <c r="AJ108" i="97"/>
  <c r="AP40" i="97"/>
  <c r="AN40" i="97"/>
  <c r="AM40" i="97"/>
  <c r="AJ40" i="97"/>
  <c r="AI40" i="97"/>
  <c r="AH40" i="97"/>
  <c r="AO39" i="97"/>
  <c r="AN39" i="97"/>
  <c r="AK39" i="97"/>
  <c r="AJ39" i="97"/>
  <c r="AI39" i="97"/>
  <c r="AH39" i="97"/>
  <c r="AP107" i="97"/>
  <c r="AO107" i="97"/>
  <c r="AN107" i="97"/>
  <c r="AL107" i="97"/>
  <c r="AK107" i="97"/>
  <c r="AH107" i="97"/>
  <c r="AJ107" i="97"/>
  <c r="AI107" i="97"/>
  <c r="AL38" i="97"/>
  <c r="AP38" i="97"/>
  <c r="AO38" i="97"/>
  <c r="AN38" i="97"/>
  <c r="AM38" i="97"/>
  <c r="AI38" i="97"/>
  <c r="AH38" i="97"/>
  <c r="AJ38" i="97"/>
  <c r="AN37" i="97"/>
  <c r="AI37" i="97"/>
  <c r="AP37" i="97"/>
  <c r="AO37" i="97"/>
  <c r="AM37" i="97"/>
  <c r="AL37" i="97"/>
  <c r="AK37" i="97"/>
  <c r="AJ37" i="97"/>
  <c r="AK36" i="97"/>
  <c r="AJ36" i="97"/>
  <c r="AP36" i="97"/>
  <c r="AO36" i="97"/>
  <c r="AN36" i="97"/>
  <c r="AM36" i="97"/>
  <c r="AL36" i="97"/>
  <c r="AH36" i="97"/>
  <c r="AP35" i="97"/>
  <c r="AO35" i="97"/>
  <c r="AM35" i="97"/>
  <c r="AL35" i="97"/>
  <c r="AI35" i="97"/>
  <c r="AH35" i="97"/>
  <c r="AJ35" i="97"/>
  <c r="AR35" i="97" s="1"/>
  <c r="AZ35" i="97" s="1"/>
  <c r="AO34" i="97"/>
  <c r="AN34" i="97"/>
  <c r="AK34" i="97"/>
  <c r="AJ34" i="97"/>
  <c r="AI34" i="97"/>
  <c r="AH34" i="97"/>
  <c r="AL33" i="97"/>
  <c r="AP33" i="97"/>
  <c r="AO33" i="97"/>
  <c r="AN33" i="97"/>
  <c r="AM33" i="97"/>
  <c r="AI33" i="97"/>
  <c r="AH33" i="97"/>
  <c r="AJ33" i="97"/>
  <c r="AN32" i="97"/>
  <c r="AJ32" i="97"/>
  <c r="AI32" i="97"/>
  <c r="AP32" i="97"/>
  <c r="AO32" i="97"/>
  <c r="AM32" i="97"/>
  <c r="AL32" i="97"/>
  <c r="AK32" i="97"/>
  <c r="AK106" i="97"/>
  <c r="AJ106" i="97"/>
  <c r="AP106" i="97"/>
  <c r="AO106" i="97"/>
  <c r="AN106" i="97"/>
  <c r="AM106" i="97"/>
  <c r="AL106" i="97"/>
  <c r="AH106" i="97"/>
  <c r="AL31" i="97"/>
  <c r="AK31" i="97"/>
  <c r="AP31" i="97"/>
  <c r="AO31" i="97"/>
  <c r="AN31" i="97"/>
  <c r="AM31" i="97"/>
  <c r="AH31" i="97"/>
  <c r="AI31" i="97"/>
  <c r="AP30" i="97"/>
  <c r="AO30" i="97"/>
  <c r="AM30" i="97"/>
  <c r="AL30" i="97"/>
  <c r="AI30" i="97"/>
  <c r="AH30" i="97"/>
  <c r="AJ30" i="97"/>
  <c r="AP29" i="97"/>
  <c r="AN29" i="97"/>
  <c r="AM29" i="97"/>
  <c r="AJ29" i="97"/>
  <c r="AI29" i="97"/>
  <c r="AH29" i="97"/>
  <c r="AL28" i="97"/>
  <c r="AP28" i="97"/>
  <c r="AO28" i="97"/>
  <c r="AN28" i="97"/>
  <c r="AM28" i="97"/>
  <c r="AI28" i="97"/>
  <c r="AH28" i="97"/>
  <c r="AJ28" i="97"/>
  <c r="AN27" i="97"/>
  <c r="AJ27" i="97"/>
  <c r="AI27" i="97"/>
  <c r="AP27" i="97"/>
  <c r="AO27" i="97"/>
  <c r="AM27" i="97"/>
  <c r="AL27" i="97"/>
  <c r="AK27" i="97"/>
  <c r="AK105" i="97"/>
  <c r="AJ105" i="97"/>
  <c r="AP105" i="97"/>
  <c r="AO105" i="97"/>
  <c r="AN105" i="97"/>
  <c r="AM105" i="97"/>
  <c r="AL105" i="97"/>
  <c r="AH105" i="97"/>
  <c r="AL104" i="97"/>
  <c r="AK104" i="97"/>
  <c r="AP104" i="97"/>
  <c r="AO104" i="97"/>
  <c r="AN104" i="97"/>
  <c r="AM104" i="97"/>
  <c r="AH104" i="97"/>
  <c r="AI104" i="97"/>
  <c r="AP26" i="97"/>
  <c r="AO26" i="97"/>
  <c r="AM26" i="97"/>
  <c r="AL26" i="97"/>
  <c r="AI26" i="97"/>
  <c r="AH26" i="97"/>
  <c r="AJ26" i="97"/>
  <c r="AP25" i="97"/>
  <c r="AN25" i="97"/>
  <c r="AM25" i="97"/>
  <c r="AJ25" i="97"/>
  <c r="AI25" i="97"/>
  <c r="AH25" i="97"/>
  <c r="AO24" i="97"/>
  <c r="AN24" i="97"/>
  <c r="AK24" i="97"/>
  <c r="AJ24" i="97"/>
  <c r="AI24" i="97"/>
  <c r="AH24" i="97"/>
  <c r="AP23" i="97"/>
  <c r="AO23" i="97"/>
  <c r="AN23" i="97"/>
  <c r="AL23" i="97"/>
  <c r="AK23" i="97"/>
  <c r="AH23" i="97"/>
  <c r="AJ23" i="97"/>
  <c r="AI23" i="97"/>
  <c r="AL22" i="97"/>
  <c r="AP22" i="97"/>
  <c r="AO22" i="97"/>
  <c r="AN22" i="97"/>
  <c r="AM22" i="97"/>
  <c r="AI22" i="97"/>
  <c r="AH22" i="97"/>
  <c r="AJ22" i="97"/>
  <c r="AK21" i="97"/>
  <c r="AJ21" i="97"/>
  <c r="AP21" i="97"/>
  <c r="AO21" i="97"/>
  <c r="AN21" i="97"/>
  <c r="AM21" i="97"/>
  <c r="AL21" i="97"/>
  <c r="AH21" i="97"/>
  <c r="AL20" i="97"/>
  <c r="AK20" i="97"/>
  <c r="AP20" i="97"/>
  <c r="AO20" i="97"/>
  <c r="AN20" i="97"/>
  <c r="AM20" i="97"/>
  <c r="AH20" i="97"/>
  <c r="AI20" i="97"/>
  <c r="AP19" i="97"/>
  <c r="AO19" i="97"/>
  <c r="AM19" i="97"/>
  <c r="AL19" i="97"/>
  <c r="AI19" i="97"/>
  <c r="AH19" i="97"/>
  <c r="AJ19" i="97"/>
  <c r="AP103" i="97"/>
  <c r="AN103" i="97"/>
  <c r="AM103" i="97"/>
  <c r="AJ103" i="97"/>
  <c r="AI103" i="97"/>
  <c r="AH103" i="97"/>
  <c r="AO18" i="97"/>
  <c r="AN18" i="97"/>
  <c r="AK18" i="97"/>
  <c r="AJ18" i="97"/>
  <c r="AI18" i="97"/>
  <c r="AH18" i="97"/>
  <c r="AP17" i="97"/>
  <c r="AO17" i="97"/>
  <c r="AJ17" i="97"/>
  <c r="AN17" i="97"/>
  <c r="AK17" i="97"/>
  <c r="AM17" i="97"/>
  <c r="AL17" i="97"/>
  <c r="AH17" i="97"/>
  <c r="AP16" i="97"/>
  <c r="AO16" i="97"/>
  <c r="AK16" i="97"/>
  <c r="AN16" i="97"/>
  <c r="AL16" i="97"/>
  <c r="AM16" i="97"/>
  <c r="AI16" i="97"/>
  <c r="AH16" i="97"/>
  <c r="AO15" i="97"/>
  <c r="AJ15" i="97"/>
  <c r="AN15" i="97"/>
  <c r="AP15" i="97"/>
  <c r="AK15" i="97"/>
  <c r="AM15" i="97"/>
  <c r="AI15" i="97"/>
  <c r="AP14" i="97"/>
  <c r="AO14" i="97"/>
  <c r="AN14" i="97"/>
  <c r="AL14" i="97"/>
  <c r="AK14" i="97"/>
  <c r="AJ14" i="97"/>
  <c r="AH14" i="97"/>
  <c r="AP13" i="97"/>
  <c r="AO13" i="97"/>
  <c r="AN13" i="97"/>
  <c r="AM13" i="97"/>
  <c r="AL13" i="97"/>
  <c r="AK13" i="97"/>
  <c r="AH13" i="97"/>
  <c r="AI13" i="97"/>
  <c r="AN12" i="97"/>
  <c r="AP12" i="97"/>
  <c r="AM12" i="97"/>
  <c r="AL12" i="97"/>
  <c r="AI12" i="97"/>
  <c r="AH12" i="97"/>
  <c r="AJ12" i="97"/>
  <c r="AO11" i="97"/>
  <c r="AN11" i="97"/>
  <c r="AK11" i="97"/>
  <c r="AM11" i="97"/>
  <c r="AJ11" i="97"/>
  <c r="AI11" i="97"/>
  <c r="AH11" i="97"/>
  <c r="AP10" i="97"/>
  <c r="AO10" i="97"/>
  <c r="AN10" i="97"/>
  <c r="AL10" i="97"/>
  <c r="AK10" i="97"/>
  <c r="AJ10" i="97"/>
  <c r="AI10" i="97"/>
  <c r="AH10" i="97"/>
  <c r="AP9" i="97"/>
  <c r="AO9" i="97"/>
  <c r="AN9" i="97"/>
  <c r="AM9" i="97"/>
  <c r="AL9" i="97"/>
  <c r="AK9" i="97"/>
  <c r="AH9" i="97"/>
  <c r="AJ9" i="97"/>
  <c r="AI9" i="97"/>
  <c r="AP102" i="97"/>
  <c r="AO102" i="97"/>
  <c r="AN102" i="97"/>
  <c r="AM102" i="97"/>
  <c r="AL102" i="97"/>
  <c r="AK102" i="97"/>
  <c r="AI102" i="97"/>
  <c r="AH102" i="97"/>
  <c r="AJ102" i="97"/>
  <c r="AP8" i="97"/>
  <c r="AO8" i="97"/>
  <c r="AN8" i="97"/>
  <c r="AM8" i="97"/>
  <c r="AL8" i="97"/>
  <c r="AK8" i="97"/>
  <c r="AJ8" i="97"/>
  <c r="AI8" i="97"/>
  <c r="AH8" i="97"/>
  <c r="AP7" i="97"/>
  <c r="AO7" i="97"/>
  <c r="AN7" i="97"/>
  <c r="AM7" i="97"/>
  <c r="AL7" i="97"/>
  <c r="AK7" i="97"/>
  <c r="AJ7" i="97"/>
  <c r="AI7" i="97"/>
  <c r="AH7" i="97"/>
  <c r="AP6" i="97"/>
  <c r="AO6" i="97"/>
  <c r="AN6" i="97"/>
  <c r="AM6" i="97"/>
  <c r="AL6" i="97"/>
  <c r="AK6" i="97"/>
  <c r="AH6" i="97"/>
  <c r="AJ6" i="97"/>
  <c r="AI6" i="97"/>
  <c r="AM14" i="97"/>
  <c r="AK30" i="97"/>
  <c r="AK35" i="97"/>
  <c r="AK49" i="97"/>
  <c r="AM56" i="97"/>
  <c r="AL87" i="97"/>
  <c r="AM89" i="97"/>
  <c r="AM10" i="97"/>
  <c r="AL11" i="97"/>
  <c r="AP11" i="97"/>
  <c r="AK12" i="97"/>
  <c r="AO12" i="97"/>
  <c r="AJ16" i="97"/>
  <c r="AI17" i="97"/>
  <c r="AM18" i="97"/>
  <c r="AL103" i="97"/>
  <c r="AN19" i="97"/>
  <c r="AJ20" i="97"/>
  <c r="AI21" i="97"/>
  <c r="AM24" i="97"/>
  <c r="AL25" i="97"/>
  <c r="AN26" i="97"/>
  <c r="AJ104" i="97"/>
  <c r="AI105" i="97"/>
  <c r="AH27" i="97"/>
  <c r="AL29" i="97"/>
  <c r="AN30" i="97"/>
  <c r="AJ31" i="97"/>
  <c r="AI106" i="97"/>
  <c r="AH32" i="97"/>
  <c r="AM34" i="97"/>
  <c r="AN35" i="97"/>
  <c r="AI36" i="97"/>
  <c r="AH37" i="97"/>
  <c r="AM39" i="97"/>
  <c r="AL40" i="97"/>
  <c r="AN108" i="97"/>
  <c r="AJ109" i="97"/>
  <c r="AK41" i="97"/>
  <c r="AI42" i="97"/>
  <c r="AN42" i="97"/>
  <c r="AN52" i="97"/>
  <c r="AJ53" i="97"/>
  <c r="AL53" i="97"/>
  <c r="AK54" i="97"/>
  <c r="AI55" i="97"/>
  <c r="AK55" i="97"/>
  <c r="AL55" i="97"/>
  <c r="AO55" i="97"/>
  <c r="AL63" i="97"/>
  <c r="AL125" i="97"/>
  <c r="AM99" i="97"/>
  <c r="AL15" i="97"/>
  <c r="AK19" i="97"/>
  <c r="AK26" i="97"/>
  <c r="AK108" i="97"/>
  <c r="AK110" i="97"/>
  <c r="AJ13" i="97"/>
  <c r="AI14" i="97"/>
  <c r="AH15" i="97"/>
  <c r="AL18" i="97"/>
  <c r="AP18" i="97"/>
  <c r="AK103" i="97"/>
  <c r="AO103" i="97"/>
  <c r="AK22" i="97"/>
  <c r="AM23" i="97"/>
  <c r="AL24" i="97"/>
  <c r="AP24" i="97"/>
  <c r="AK25" i="97"/>
  <c r="AO25" i="97"/>
  <c r="AK28" i="97"/>
  <c r="AK29" i="97"/>
  <c r="AO29" i="97"/>
  <c r="AK33" i="97"/>
  <c r="AL34" i="97"/>
  <c r="AP34" i="97"/>
  <c r="AK38" i="97"/>
  <c r="AM107" i="97"/>
  <c r="AL39" i="97"/>
  <c r="AP39" i="97"/>
  <c r="AK40" i="97"/>
  <c r="AS40" i="97" s="1"/>
  <c r="BA40" i="97" s="1"/>
  <c r="AO40" i="97"/>
  <c r="AN73" i="97"/>
  <c r="AL75" i="97"/>
  <c r="AP75" i="97"/>
  <c r="AM119" i="97"/>
  <c r="AK98" i="97"/>
  <c r="AO98" i="97"/>
  <c r="AM109" i="97"/>
  <c r="AL41" i="97"/>
  <c r="AP41" i="97"/>
  <c r="AK42" i="97"/>
  <c r="AO42" i="97"/>
  <c r="AK47" i="97"/>
  <c r="AM110" i="97"/>
  <c r="AL48" i="97"/>
  <c r="AP48" i="97"/>
  <c r="AK52" i="97"/>
  <c r="AM53" i="97"/>
  <c r="AL54" i="97"/>
  <c r="AP54" i="97"/>
  <c r="AP55" i="97"/>
  <c r="AJ56" i="97"/>
  <c r="AO56" i="97"/>
  <c r="AL61" i="97"/>
  <c r="AM62" i="97"/>
  <c r="AP66" i="97"/>
  <c r="AJ67" i="97"/>
  <c r="AO67" i="97"/>
  <c r="AM116" i="97"/>
  <c r="AL117" i="97"/>
  <c r="AM72" i="97"/>
  <c r="AP76" i="97"/>
  <c r="AJ77" i="97"/>
  <c r="AO77" i="97"/>
  <c r="AM80" i="97"/>
  <c r="AL121" i="97"/>
  <c r="AM122" i="97"/>
  <c r="AP88" i="97"/>
  <c r="AJ89" i="97"/>
  <c r="AO89" i="97"/>
  <c r="AM92" i="97"/>
  <c r="AL93" i="97"/>
  <c r="AM95" i="97"/>
  <c r="AP126" i="97"/>
  <c r="AJ99" i="97"/>
  <c r="AO99" i="97"/>
  <c r="AM41" i="97"/>
  <c r="AL42" i="97"/>
  <c r="AM48" i="97"/>
  <c r="AM54" i="97"/>
  <c r="AL113" i="97"/>
  <c r="AL73" i="97"/>
  <c r="AL83" i="97"/>
  <c r="AL124" i="97"/>
  <c r="AM55" i="97"/>
  <c r="AL56" i="97"/>
  <c r="AP56" i="97"/>
  <c r="AK57" i="97"/>
  <c r="AO57" i="97"/>
  <c r="AK61" i="97"/>
  <c r="AM112" i="97"/>
  <c r="AL62" i="97"/>
  <c r="AP62" i="97"/>
  <c r="AK113" i="97"/>
  <c r="AS113" i="97" s="1"/>
  <c r="BA113" i="97" s="1"/>
  <c r="AO113" i="97"/>
  <c r="AK65" i="97"/>
  <c r="AM66" i="97"/>
  <c r="AL67" i="97"/>
  <c r="AP67" i="97"/>
  <c r="AK68" i="97"/>
  <c r="AO68" i="97"/>
  <c r="AR69" i="97"/>
  <c r="AZ69" i="97" s="1"/>
  <c r="AK117" i="97"/>
  <c r="AM71" i="97"/>
  <c r="AL72" i="97"/>
  <c r="AP72" i="97"/>
  <c r="AK73" i="97"/>
  <c r="AO73" i="97"/>
  <c r="AK119" i="97"/>
  <c r="AM76" i="97"/>
  <c r="AL77" i="97"/>
  <c r="AP77" i="97"/>
  <c r="AK78" i="97"/>
  <c r="AS78" i="97" s="1"/>
  <c r="BA78" i="97" s="1"/>
  <c r="AO78" i="97"/>
  <c r="AK121" i="97"/>
  <c r="AM82" i="97"/>
  <c r="AL122" i="97"/>
  <c r="AP122" i="97"/>
  <c r="AK83" i="97"/>
  <c r="AO83" i="97"/>
  <c r="AK87" i="97"/>
  <c r="AM88" i="97"/>
  <c r="AL89" i="97"/>
  <c r="AP89" i="97"/>
  <c r="AK90" i="97"/>
  <c r="AS90" i="97" s="1"/>
  <c r="BA90" i="97" s="1"/>
  <c r="AO90" i="97"/>
  <c r="AK93" i="97"/>
  <c r="AM94" i="97"/>
  <c r="AL95" i="97"/>
  <c r="AP95" i="97"/>
  <c r="AK124" i="97"/>
  <c r="AK125" i="97"/>
  <c r="AM126" i="97"/>
  <c r="AL99" i="97"/>
  <c r="AP99" i="97"/>
  <c r="AK100" i="97"/>
  <c r="AS100" i="97" s="1"/>
  <c r="BA100" i="97" s="1"/>
  <c r="AO100" i="97"/>
  <c r="AJ55" i="97"/>
  <c r="AI56" i="97"/>
  <c r="AH57" i="97"/>
  <c r="AM59" i="97"/>
  <c r="AL60" i="97"/>
  <c r="AN61" i="97"/>
  <c r="AJ112" i="97"/>
  <c r="AI62" i="97"/>
  <c r="AH113" i="97"/>
  <c r="AM63" i="97"/>
  <c r="AL64" i="97"/>
  <c r="AN65" i="97"/>
  <c r="AT65" i="97" s="1"/>
  <c r="BB65" i="97" s="1"/>
  <c r="AJ66" i="97"/>
  <c r="AR66" i="97" s="1"/>
  <c r="AZ66" i="97" s="1"/>
  <c r="AI67" i="97"/>
  <c r="AH68" i="97"/>
  <c r="AM69" i="97"/>
  <c r="AS69" i="97" s="1"/>
  <c r="BA69" i="97" s="1"/>
  <c r="AL70" i="97"/>
  <c r="AN117" i="97"/>
  <c r="AJ71" i="97"/>
  <c r="AI72" i="97"/>
  <c r="AH73" i="97"/>
  <c r="AM75" i="97"/>
  <c r="AN119" i="97"/>
  <c r="AJ76" i="97"/>
  <c r="AI77" i="97"/>
  <c r="AH78" i="97"/>
  <c r="AM120" i="97"/>
  <c r="AL81" i="97"/>
  <c r="AN121" i="97"/>
  <c r="AJ82" i="97"/>
  <c r="AI122" i="97"/>
  <c r="AH83" i="97"/>
  <c r="AM86" i="97"/>
  <c r="AN87" i="97"/>
  <c r="AJ88" i="97"/>
  <c r="AI89" i="97"/>
  <c r="AH90" i="97"/>
  <c r="AL123" i="97"/>
  <c r="AN93" i="97"/>
  <c r="AJ94" i="97"/>
  <c r="AR94" i="97" s="1"/>
  <c r="AZ94" i="97" s="1"/>
  <c r="AI95" i="97"/>
  <c r="AH124" i="97"/>
  <c r="AL98" i="97"/>
  <c r="AN125" i="97"/>
  <c r="AJ126" i="97"/>
  <c r="AI99" i="97"/>
  <c r="AH100" i="97"/>
  <c r="F4" i="96"/>
  <c r="E4" i="96"/>
  <c r="N82" i="95"/>
  <c r="X82" i="95" s="1"/>
  <c r="J82" i="95"/>
  <c r="U82" i="95" s="1"/>
  <c r="F82" i="95"/>
  <c r="N12" i="95"/>
  <c r="X12" i="95" s="1"/>
  <c r="J12" i="95"/>
  <c r="U12" i="95" s="1"/>
  <c r="F12" i="95"/>
  <c r="R12" i="95" s="1"/>
  <c r="N81" i="95"/>
  <c r="X81" i="95" s="1"/>
  <c r="J81" i="95"/>
  <c r="U81" i="95" s="1"/>
  <c r="F81" i="95"/>
  <c r="R81" i="95" s="1"/>
  <c r="N99" i="95"/>
  <c r="X99" i="95" s="1"/>
  <c r="J99" i="95"/>
  <c r="U99" i="95" s="1"/>
  <c r="F99" i="95"/>
  <c r="R99" i="95" s="1"/>
  <c r="N83" i="95"/>
  <c r="X83" i="95" s="1"/>
  <c r="J83" i="95"/>
  <c r="U83" i="95" s="1"/>
  <c r="F83" i="95"/>
  <c r="R83" i="95" s="1"/>
  <c r="N33" i="95"/>
  <c r="X33" i="95" s="1"/>
  <c r="J33" i="95"/>
  <c r="U33" i="95" s="1"/>
  <c r="F33" i="95"/>
  <c r="R33" i="95" s="1"/>
  <c r="N14" i="95"/>
  <c r="X14" i="95" s="1"/>
  <c r="J14" i="95"/>
  <c r="U14" i="95" s="1"/>
  <c r="F14" i="95"/>
  <c r="R14" i="95" s="1"/>
  <c r="N44" i="95"/>
  <c r="X44" i="95" s="1"/>
  <c r="J44" i="95"/>
  <c r="U44" i="95" s="1"/>
  <c r="F44" i="95"/>
  <c r="R44" i="95" s="1"/>
  <c r="N25" i="95"/>
  <c r="X25" i="95" s="1"/>
  <c r="J25" i="95"/>
  <c r="U25" i="95" s="1"/>
  <c r="F25" i="95"/>
  <c r="R25" i="95" s="1"/>
  <c r="N7" i="95"/>
  <c r="J7" i="95"/>
  <c r="F7" i="95"/>
  <c r="R7" i="95" s="1"/>
  <c r="W125" i="95"/>
  <c r="V125" i="95"/>
  <c r="W124" i="95"/>
  <c r="V124" i="95"/>
  <c r="W123" i="95"/>
  <c r="V123" i="95"/>
  <c r="W122" i="95"/>
  <c r="V122" i="95"/>
  <c r="W121" i="95"/>
  <c r="V121" i="95"/>
  <c r="W120" i="95"/>
  <c r="V120" i="95"/>
  <c r="W119" i="95"/>
  <c r="V119" i="95"/>
  <c r="W118" i="95"/>
  <c r="V118" i="95"/>
  <c r="W117" i="95"/>
  <c r="V117" i="95"/>
  <c r="W116" i="95"/>
  <c r="V116" i="95"/>
  <c r="W115" i="95"/>
  <c r="V115" i="95"/>
  <c r="W114" i="95"/>
  <c r="V114" i="95"/>
  <c r="W113" i="95"/>
  <c r="V113" i="95"/>
  <c r="W112" i="95"/>
  <c r="V112" i="95"/>
  <c r="W111" i="95"/>
  <c r="V111" i="95"/>
  <c r="W110" i="95"/>
  <c r="V110" i="95"/>
  <c r="W109" i="95"/>
  <c r="V109" i="95"/>
  <c r="W108" i="95"/>
  <c r="V108" i="95"/>
  <c r="W107" i="95"/>
  <c r="V107" i="95"/>
  <c r="W106" i="95"/>
  <c r="V106" i="95"/>
  <c r="W105" i="95"/>
  <c r="V105" i="95"/>
  <c r="W104" i="95"/>
  <c r="V104" i="95"/>
  <c r="W103" i="95"/>
  <c r="V103" i="95"/>
  <c r="W102" i="95"/>
  <c r="V102" i="95"/>
  <c r="W101" i="95"/>
  <c r="V101" i="95"/>
  <c r="W100" i="95"/>
  <c r="V100" i="95"/>
  <c r="W99" i="95"/>
  <c r="V99" i="95"/>
  <c r="W98" i="95"/>
  <c r="V98" i="95"/>
  <c r="W97" i="95"/>
  <c r="V97" i="95"/>
  <c r="W96" i="95"/>
  <c r="V96" i="95"/>
  <c r="W95" i="95"/>
  <c r="V95" i="95"/>
  <c r="W94" i="95"/>
  <c r="V94" i="95"/>
  <c r="W93" i="95"/>
  <c r="V93" i="95"/>
  <c r="W92" i="95"/>
  <c r="V92" i="95"/>
  <c r="W91" i="95"/>
  <c r="V91" i="95"/>
  <c r="W90" i="95"/>
  <c r="V90" i="95"/>
  <c r="W89" i="95"/>
  <c r="V89" i="95"/>
  <c r="W88" i="95"/>
  <c r="V88" i="95"/>
  <c r="W87" i="95"/>
  <c r="V87" i="95"/>
  <c r="W86" i="95"/>
  <c r="V86" i="95"/>
  <c r="W85" i="95"/>
  <c r="V85" i="95"/>
  <c r="W84" i="95"/>
  <c r="V84" i="95"/>
  <c r="W83" i="95"/>
  <c r="V83" i="95"/>
  <c r="W82" i="95"/>
  <c r="V82" i="95"/>
  <c r="W81" i="95"/>
  <c r="V81" i="95"/>
  <c r="W80" i="95"/>
  <c r="V80" i="95"/>
  <c r="W79" i="95"/>
  <c r="V79" i="95"/>
  <c r="W78" i="95"/>
  <c r="V78" i="95"/>
  <c r="W77" i="95"/>
  <c r="V77" i="95"/>
  <c r="W76" i="95"/>
  <c r="V76" i="95"/>
  <c r="W75" i="95"/>
  <c r="V75" i="95"/>
  <c r="W74" i="95"/>
  <c r="V74" i="95"/>
  <c r="W73" i="95"/>
  <c r="V73" i="95"/>
  <c r="W72" i="95"/>
  <c r="V72" i="95"/>
  <c r="W71" i="95"/>
  <c r="V71" i="95"/>
  <c r="W70" i="95"/>
  <c r="V70" i="95"/>
  <c r="W69" i="95"/>
  <c r="V69" i="95"/>
  <c r="W68" i="95"/>
  <c r="V68" i="95"/>
  <c r="W67" i="95"/>
  <c r="V67" i="95"/>
  <c r="W66" i="95"/>
  <c r="V66" i="95"/>
  <c r="W65" i="95"/>
  <c r="V65" i="95"/>
  <c r="W64" i="95"/>
  <c r="V64" i="95"/>
  <c r="W63" i="95"/>
  <c r="V63" i="95"/>
  <c r="W62" i="95"/>
  <c r="V62" i="95"/>
  <c r="W61" i="95"/>
  <c r="V61" i="95"/>
  <c r="W60" i="95"/>
  <c r="V60" i="95"/>
  <c r="W59" i="95"/>
  <c r="V59" i="95"/>
  <c r="W58" i="95"/>
  <c r="V58" i="95"/>
  <c r="W57" i="95"/>
  <c r="V57" i="95"/>
  <c r="W56" i="95"/>
  <c r="V56" i="95"/>
  <c r="W55" i="95"/>
  <c r="V55" i="95"/>
  <c r="W54" i="95"/>
  <c r="V54" i="95"/>
  <c r="W53" i="95"/>
  <c r="V53" i="95"/>
  <c r="W52" i="95"/>
  <c r="V52" i="95"/>
  <c r="W51" i="95"/>
  <c r="V51" i="95"/>
  <c r="W50" i="95"/>
  <c r="V50" i="95"/>
  <c r="W49" i="95"/>
  <c r="V49" i="95"/>
  <c r="W48" i="95"/>
  <c r="V48" i="95"/>
  <c r="W47" i="95"/>
  <c r="V47" i="95"/>
  <c r="W46" i="95"/>
  <c r="V46" i="95"/>
  <c r="W45" i="95"/>
  <c r="V45" i="95"/>
  <c r="W44" i="95"/>
  <c r="V44" i="95"/>
  <c r="W43" i="95"/>
  <c r="V43" i="95"/>
  <c r="W42" i="95"/>
  <c r="V42" i="95"/>
  <c r="W41" i="95"/>
  <c r="V41" i="95"/>
  <c r="W40" i="95"/>
  <c r="V40" i="95"/>
  <c r="W39" i="95"/>
  <c r="V39" i="95"/>
  <c r="W38" i="95"/>
  <c r="V38" i="95"/>
  <c r="W37" i="95"/>
  <c r="V37" i="95"/>
  <c r="W36" i="95"/>
  <c r="V36" i="95"/>
  <c r="W35" i="95"/>
  <c r="V35" i="95"/>
  <c r="W34" i="95"/>
  <c r="V34" i="95"/>
  <c r="W33" i="95"/>
  <c r="V33" i="95"/>
  <c r="W32" i="95"/>
  <c r="V32" i="95"/>
  <c r="W31" i="95"/>
  <c r="V31" i="95"/>
  <c r="W30" i="95"/>
  <c r="V30" i="95"/>
  <c r="W29" i="95"/>
  <c r="V29" i="95"/>
  <c r="W28" i="95"/>
  <c r="V28" i="95"/>
  <c r="W27" i="95"/>
  <c r="V27" i="95"/>
  <c r="W26" i="95"/>
  <c r="V26" i="95"/>
  <c r="W25" i="95"/>
  <c r="V25" i="95"/>
  <c r="W24" i="95"/>
  <c r="V24" i="95"/>
  <c r="W23" i="95"/>
  <c r="V23" i="95"/>
  <c r="W22" i="95"/>
  <c r="V22" i="95"/>
  <c r="W21" i="95"/>
  <c r="V21" i="95"/>
  <c r="W20" i="95"/>
  <c r="V20" i="95"/>
  <c r="W19" i="95"/>
  <c r="V19" i="95"/>
  <c r="W18" i="95"/>
  <c r="V18" i="95"/>
  <c r="W17" i="95"/>
  <c r="V17" i="95"/>
  <c r="W16" i="95"/>
  <c r="V16" i="95"/>
  <c r="W15" i="95"/>
  <c r="V15" i="95"/>
  <c r="W14" i="95"/>
  <c r="V14" i="95"/>
  <c r="W13" i="95"/>
  <c r="V13" i="95"/>
  <c r="W12" i="95"/>
  <c r="V12" i="95"/>
  <c r="W11" i="95"/>
  <c r="V11" i="95"/>
  <c r="W10" i="95"/>
  <c r="V10" i="95"/>
  <c r="W9" i="95"/>
  <c r="V9" i="95"/>
  <c r="W8" i="95"/>
  <c r="V8" i="95"/>
  <c r="W7" i="95"/>
  <c r="V7" i="95"/>
  <c r="W6" i="95"/>
  <c r="V6" i="95"/>
  <c r="W5" i="95"/>
  <c r="V5" i="95"/>
  <c r="T125" i="95"/>
  <c r="S125" i="95"/>
  <c r="T124" i="95"/>
  <c r="S124" i="95"/>
  <c r="T123" i="95"/>
  <c r="S123" i="95"/>
  <c r="T122" i="95"/>
  <c r="S122" i="95"/>
  <c r="T121" i="95"/>
  <c r="S121" i="95"/>
  <c r="T120" i="95"/>
  <c r="S120" i="95"/>
  <c r="T119" i="95"/>
  <c r="S119" i="95"/>
  <c r="T118" i="95"/>
  <c r="S118" i="95"/>
  <c r="T117" i="95"/>
  <c r="S117" i="95"/>
  <c r="T116" i="95"/>
  <c r="S116" i="95"/>
  <c r="T115" i="95"/>
  <c r="S115" i="95"/>
  <c r="T114" i="95"/>
  <c r="S114" i="95"/>
  <c r="T113" i="95"/>
  <c r="S113" i="95"/>
  <c r="T112" i="95"/>
  <c r="S112" i="95"/>
  <c r="T111" i="95"/>
  <c r="S111" i="95"/>
  <c r="T110" i="95"/>
  <c r="S110" i="95"/>
  <c r="T109" i="95"/>
  <c r="S109" i="95"/>
  <c r="T108" i="95"/>
  <c r="S108" i="95"/>
  <c r="T107" i="95"/>
  <c r="S107" i="95"/>
  <c r="T106" i="95"/>
  <c r="S106" i="95"/>
  <c r="T105" i="95"/>
  <c r="S105" i="95"/>
  <c r="T104" i="95"/>
  <c r="S104" i="95"/>
  <c r="T103" i="95"/>
  <c r="S103" i="95"/>
  <c r="T102" i="95"/>
  <c r="S102" i="95"/>
  <c r="T101" i="95"/>
  <c r="S101" i="95"/>
  <c r="T100" i="95"/>
  <c r="S100" i="95"/>
  <c r="T99" i="95"/>
  <c r="S99" i="95"/>
  <c r="T98" i="95"/>
  <c r="S98" i="95"/>
  <c r="T97" i="95"/>
  <c r="S97" i="95"/>
  <c r="T96" i="95"/>
  <c r="S96" i="95"/>
  <c r="T95" i="95"/>
  <c r="S95" i="95"/>
  <c r="T94" i="95"/>
  <c r="S94" i="95"/>
  <c r="T93" i="95"/>
  <c r="S93" i="95"/>
  <c r="T92" i="95"/>
  <c r="S92" i="95"/>
  <c r="T91" i="95"/>
  <c r="S91" i="95"/>
  <c r="T90" i="95"/>
  <c r="S90" i="95"/>
  <c r="T89" i="95"/>
  <c r="S89" i="95"/>
  <c r="T88" i="95"/>
  <c r="S88" i="95"/>
  <c r="T87" i="95"/>
  <c r="S87" i="95"/>
  <c r="T86" i="95"/>
  <c r="S86" i="95"/>
  <c r="T85" i="95"/>
  <c r="S85" i="95"/>
  <c r="T84" i="95"/>
  <c r="S84" i="95"/>
  <c r="T83" i="95"/>
  <c r="S83" i="95"/>
  <c r="T82" i="95"/>
  <c r="S82" i="95"/>
  <c r="T81" i="95"/>
  <c r="S81" i="95"/>
  <c r="T80" i="95"/>
  <c r="S80" i="95"/>
  <c r="T79" i="95"/>
  <c r="S79" i="95"/>
  <c r="T78" i="95"/>
  <c r="S78" i="95"/>
  <c r="T77" i="95"/>
  <c r="S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S62" i="95"/>
  <c r="T61" i="95"/>
  <c r="S61" i="95"/>
  <c r="T60" i="95"/>
  <c r="S60" i="95"/>
  <c r="T59" i="95"/>
  <c r="S59" i="95"/>
  <c r="T58" i="95"/>
  <c r="S58" i="95"/>
  <c r="T57" i="95"/>
  <c r="S57" i="95"/>
  <c r="T56" i="95"/>
  <c r="S56" i="95"/>
  <c r="T55" i="95"/>
  <c r="S55" i="95"/>
  <c r="T54" i="95"/>
  <c r="S54" i="95"/>
  <c r="T53" i="95"/>
  <c r="S53" i="95"/>
  <c r="T52" i="95"/>
  <c r="S52" i="95"/>
  <c r="T51" i="95"/>
  <c r="S51" i="95"/>
  <c r="T50" i="95"/>
  <c r="S50" i="95"/>
  <c r="T49" i="95"/>
  <c r="S49" i="95"/>
  <c r="T48" i="95"/>
  <c r="S48" i="95"/>
  <c r="T47" i="95"/>
  <c r="S47" i="95"/>
  <c r="T46" i="95"/>
  <c r="S46" i="95"/>
  <c r="T45" i="95"/>
  <c r="S45" i="95"/>
  <c r="T44" i="95"/>
  <c r="S44" i="95"/>
  <c r="T43" i="95"/>
  <c r="S43" i="95"/>
  <c r="T42" i="95"/>
  <c r="S42" i="95"/>
  <c r="T41" i="95"/>
  <c r="S41" i="95"/>
  <c r="T40" i="95"/>
  <c r="S40" i="95"/>
  <c r="T39" i="95"/>
  <c r="S39" i="95"/>
  <c r="T38" i="95"/>
  <c r="S38" i="95"/>
  <c r="T37" i="95"/>
  <c r="S37" i="95"/>
  <c r="T36" i="95"/>
  <c r="S36" i="95"/>
  <c r="T35" i="95"/>
  <c r="S35" i="95"/>
  <c r="T34" i="95"/>
  <c r="S34" i="95"/>
  <c r="T33" i="95"/>
  <c r="S33" i="95"/>
  <c r="T32" i="95"/>
  <c r="S32" i="95"/>
  <c r="T31" i="95"/>
  <c r="S31" i="95"/>
  <c r="T30" i="95"/>
  <c r="S30" i="95"/>
  <c r="T29" i="95"/>
  <c r="S29" i="95"/>
  <c r="T28" i="95"/>
  <c r="S28" i="95"/>
  <c r="T27" i="95"/>
  <c r="S27" i="95"/>
  <c r="T26" i="95"/>
  <c r="S26" i="95"/>
  <c r="T25" i="95"/>
  <c r="S25" i="95"/>
  <c r="T24" i="95"/>
  <c r="S24" i="95"/>
  <c r="T23" i="95"/>
  <c r="S23" i="95"/>
  <c r="T22" i="95"/>
  <c r="S22" i="95"/>
  <c r="T21" i="95"/>
  <c r="S21" i="95"/>
  <c r="T20" i="95"/>
  <c r="S20" i="95"/>
  <c r="T19" i="95"/>
  <c r="S19" i="95"/>
  <c r="T18" i="95"/>
  <c r="S18" i="95"/>
  <c r="T17" i="95"/>
  <c r="S17" i="95"/>
  <c r="T16" i="95"/>
  <c r="S16" i="95"/>
  <c r="T15" i="95"/>
  <c r="S15" i="95"/>
  <c r="T14" i="95"/>
  <c r="S14" i="95"/>
  <c r="T13" i="95"/>
  <c r="S13" i="95"/>
  <c r="T12" i="95"/>
  <c r="S12" i="95"/>
  <c r="T11" i="95"/>
  <c r="S11" i="95"/>
  <c r="T10" i="95"/>
  <c r="S10" i="95"/>
  <c r="T9" i="95"/>
  <c r="S9" i="95"/>
  <c r="T8" i="95"/>
  <c r="S8" i="95"/>
  <c r="U7" i="95"/>
  <c r="T7" i="95"/>
  <c r="S7" i="95"/>
  <c r="T6" i="95"/>
  <c r="S6" i="95"/>
  <c r="T5" i="95"/>
  <c r="S5" i="95"/>
  <c r="Q125" i="95"/>
  <c r="P125" i="95"/>
  <c r="Q124" i="95"/>
  <c r="P124" i="95"/>
  <c r="Q123" i="95"/>
  <c r="P123" i="95"/>
  <c r="Q122" i="95"/>
  <c r="P122" i="95"/>
  <c r="Q121" i="95"/>
  <c r="P121" i="95"/>
  <c r="Q120" i="95"/>
  <c r="P120" i="95"/>
  <c r="Q119" i="95"/>
  <c r="P119" i="95"/>
  <c r="Q118" i="95"/>
  <c r="P118" i="95"/>
  <c r="Q117" i="95"/>
  <c r="P117" i="95"/>
  <c r="Q116" i="95"/>
  <c r="P116" i="95"/>
  <c r="Q115" i="95"/>
  <c r="P115" i="95"/>
  <c r="Q114" i="95"/>
  <c r="P114" i="95"/>
  <c r="Q113" i="95"/>
  <c r="P113" i="95"/>
  <c r="Q112" i="95"/>
  <c r="P112" i="95"/>
  <c r="Q111" i="95"/>
  <c r="P111" i="95"/>
  <c r="Q110" i="95"/>
  <c r="P110" i="95"/>
  <c r="Q109" i="95"/>
  <c r="P109" i="95"/>
  <c r="Q108" i="95"/>
  <c r="P108" i="95"/>
  <c r="Q107" i="95"/>
  <c r="P107" i="95"/>
  <c r="Q106" i="95"/>
  <c r="P106" i="95"/>
  <c r="Q105" i="95"/>
  <c r="P105" i="95"/>
  <c r="Q104" i="95"/>
  <c r="P104" i="95"/>
  <c r="Q103" i="95"/>
  <c r="P103" i="95"/>
  <c r="Q102" i="95"/>
  <c r="P102" i="95"/>
  <c r="Q101" i="95"/>
  <c r="P101" i="95"/>
  <c r="Q100" i="95"/>
  <c r="P100" i="95"/>
  <c r="Q99" i="95"/>
  <c r="P99" i="95"/>
  <c r="Q98" i="95"/>
  <c r="P98" i="95"/>
  <c r="Q97" i="95"/>
  <c r="P97" i="95"/>
  <c r="Q96" i="95"/>
  <c r="P96" i="95"/>
  <c r="Q95" i="95"/>
  <c r="P95" i="95"/>
  <c r="Q94" i="95"/>
  <c r="P94" i="95"/>
  <c r="Q93" i="95"/>
  <c r="P93" i="95"/>
  <c r="Q92" i="95"/>
  <c r="P92" i="95"/>
  <c r="Q91" i="95"/>
  <c r="P91" i="95"/>
  <c r="Q90" i="95"/>
  <c r="P90" i="95"/>
  <c r="Q89" i="95"/>
  <c r="P89" i="95"/>
  <c r="Q88" i="95"/>
  <c r="P88" i="95"/>
  <c r="Q87" i="95"/>
  <c r="P87" i="95"/>
  <c r="Q86" i="95"/>
  <c r="P86" i="95"/>
  <c r="Q85" i="95"/>
  <c r="P85" i="95"/>
  <c r="Q84" i="95"/>
  <c r="P84" i="95"/>
  <c r="Q83" i="95"/>
  <c r="P83" i="95"/>
  <c r="Q82" i="95"/>
  <c r="P82" i="95"/>
  <c r="Q81" i="95"/>
  <c r="P81" i="95"/>
  <c r="Q80" i="95"/>
  <c r="P80" i="95"/>
  <c r="Q79" i="95"/>
  <c r="P79" i="95"/>
  <c r="Q78" i="95"/>
  <c r="P78" i="95"/>
  <c r="Q77" i="95"/>
  <c r="P77" i="95"/>
  <c r="Q76" i="95"/>
  <c r="P76" i="95"/>
  <c r="Q75" i="95"/>
  <c r="P75" i="95"/>
  <c r="Q74" i="95"/>
  <c r="P74" i="95"/>
  <c r="Q73" i="95"/>
  <c r="P73" i="95"/>
  <c r="Q72" i="95"/>
  <c r="P72" i="95"/>
  <c r="Q71" i="95"/>
  <c r="P71" i="95"/>
  <c r="Q70" i="95"/>
  <c r="P70" i="95"/>
  <c r="Q69" i="95"/>
  <c r="P69" i="95"/>
  <c r="Q68" i="95"/>
  <c r="P68" i="95"/>
  <c r="Q67" i="95"/>
  <c r="P67" i="95"/>
  <c r="Q66" i="95"/>
  <c r="P66" i="95"/>
  <c r="Q65" i="95"/>
  <c r="P65" i="95"/>
  <c r="Q64" i="95"/>
  <c r="P64" i="95"/>
  <c r="Q63" i="95"/>
  <c r="P63" i="95"/>
  <c r="Q62" i="95"/>
  <c r="P62" i="95"/>
  <c r="Q61" i="95"/>
  <c r="P61" i="95"/>
  <c r="Q60" i="95"/>
  <c r="P60" i="95"/>
  <c r="Q59" i="95"/>
  <c r="P59" i="95"/>
  <c r="Q58" i="95"/>
  <c r="P58" i="95"/>
  <c r="Q57" i="95"/>
  <c r="P57" i="95"/>
  <c r="Q56" i="95"/>
  <c r="P56" i="95"/>
  <c r="Q55" i="95"/>
  <c r="P55" i="95"/>
  <c r="Q54" i="95"/>
  <c r="P54" i="95"/>
  <c r="Q53" i="95"/>
  <c r="P53" i="95"/>
  <c r="Q52" i="95"/>
  <c r="P52" i="95"/>
  <c r="Q51" i="95"/>
  <c r="P51" i="95"/>
  <c r="Q50" i="95"/>
  <c r="P50" i="95"/>
  <c r="Q49" i="95"/>
  <c r="P49" i="95"/>
  <c r="Q48" i="95"/>
  <c r="P48" i="95"/>
  <c r="Q47" i="95"/>
  <c r="P47" i="95"/>
  <c r="Q46" i="95"/>
  <c r="P46" i="95"/>
  <c r="Q45" i="95"/>
  <c r="P45" i="95"/>
  <c r="Q44" i="95"/>
  <c r="P44" i="95"/>
  <c r="Q43" i="95"/>
  <c r="P43" i="95"/>
  <c r="Q42" i="95"/>
  <c r="P42" i="95"/>
  <c r="Q41" i="95"/>
  <c r="P41" i="95"/>
  <c r="Q40" i="95"/>
  <c r="P40" i="95"/>
  <c r="Q39" i="95"/>
  <c r="P39" i="95"/>
  <c r="Q38" i="95"/>
  <c r="P38" i="95"/>
  <c r="Q37" i="95"/>
  <c r="P37" i="95"/>
  <c r="Q36" i="95"/>
  <c r="P36" i="95"/>
  <c r="Q35" i="95"/>
  <c r="P35" i="95"/>
  <c r="Q34" i="95"/>
  <c r="P34" i="95"/>
  <c r="Q33" i="95"/>
  <c r="P33" i="95"/>
  <c r="Q32" i="95"/>
  <c r="P32" i="95"/>
  <c r="Q31" i="95"/>
  <c r="P31" i="95"/>
  <c r="Q30" i="95"/>
  <c r="P30" i="95"/>
  <c r="Q29" i="95"/>
  <c r="P29" i="95"/>
  <c r="Q28" i="95"/>
  <c r="P28" i="95"/>
  <c r="Q27" i="95"/>
  <c r="P27" i="95"/>
  <c r="Q26" i="95"/>
  <c r="P26" i="95"/>
  <c r="Q25" i="95"/>
  <c r="P25" i="95"/>
  <c r="Q24" i="95"/>
  <c r="P24" i="95"/>
  <c r="Q23" i="95"/>
  <c r="P23" i="95"/>
  <c r="Q22" i="95"/>
  <c r="P22" i="95"/>
  <c r="Q21" i="95"/>
  <c r="P21" i="95"/>
  <c r="Q20" i="95"/>
  <c r="P20" i="95"/>
  <c r="Q19" i="95"/>
  <c r="P19" i="95"/>
  <c r="Q18" i="95"/>
  <c r="P18" i="95"/>
  <c r="Q17" i="95"/>
  <c r="P17" i="95"/>
  <c r="Q16" i="95"/>
  <c r="P16" i="95"/>
  <c r="Q15" i="95"/>
  <c r="P15" i="95"/>
  <c r="Q14" i="95"/>
  <c r="P14" i="95"/>
  <c r="Q13" i="95"/>
  <c r="P13" i="95"/>
  <c r="Q12" i="95"/>
  <c r="P12" i="95"/>
  <c r="Q11" i="95"/>
  <c r="P11" i="95"/>
  <c r="Q10" i="95"/>
  <c r="P10" i="95"/>
  <c r="Q9" i="95"/>
  <c r="P9" i="95"/>
  <c r="Q8" i="95"/>
  <c r="P8" i="95"/>
  <c r="Q7" i="95"/>
  <c r="P7" i="95"/>
  <c r="Q6" i="95"/>
  <c r="P6" i="95"/>
  <c r="Q5" i="95"/>
  <c r="P5" i="95"/>
  <c r="M4" i="95"/>
  <c r="L4" i="95"/>
  <c r="K4" i="95"/>
  <c r="I4" i="95"/>
  <c r="H4" i="95"/>
  <c r="G4" i="95"/>
  <c r="E4" i="95"/>
  <c r="D4" i="95"/>
  <c r="C4" i="95"/>
  <c r="N125" i="95"/>
  <c r="X125" i="95" s="1"/>
  <c r="N124" i="95"/>
  <c r="X124" i="95" s="1"/>
  <c r="N123" i="95"/>
  <c r="X123" i="95" s="1"/>
  <c r="N122" i="95"/>
  <c r="X122" i="95" s="1"/>
  <c r="N121" i="95"/>
  <c r="X121" i="95" s="1"/>
  <c r="N120" i="95"/>
  <c r="X120" i="95" s="1"/>
  <c r="N119" i="95"/>
  <c r="X119" i="95" s="1"/>
  <c r="N118" i="95"/>
  <c r="X118" i="95" s="1"/>
  <c r="N117" i="95"/>
  <c r="X117" i="95" s="1"/>
  <c r="N116" i="95"/>
  <c r="X116" i="95" s="1"/>
  <c r="N115" i="95"/>
  <c r="X115" i="95" s="1"/>
  <c r="N114" i="95"/>
  <c r="X114" i="95" s="1"/>
  <c r="N113" i="95"/>
  <c r="X113" i="95" s="1"/>
  <c r="N112" i="95"/>
  <c r="X112" i="95" s="1"/>
  <c r="N111" i="95"/>
  <c r="X111" i="95" s="1"/>
  <c r="N110" i="95"/>
  <c r="X110" i="95" s="1"/>
  <c r="N109" i="95"/>
  <c r="X109" i="95" s="1"/>
  <c r="N108" i="95"/>
  <c r="X108" i="95" s="1"/>
  <c r="N107" i="95"/>
  <c r="X107" i="95" s="1"/>
  <c r="N106" i="95"/>
  <c r="X106" i="95" s="1"/>
  <c r="N105" i="95"/>
  <c r="X105" i="95" s="1"/>
  <c r="N104" i="95"/>
  <c r="X104" i="95" s="1"/>
  <c r="N103" i="95"/>
  <c r="X103" i="95" s="1"/>
  <c r="N102" i="95"/>
  <c r="X102" i="95" s="1"/>
  <c r="N101" i="95"/>
  <c r="X101" i="95" s="1"/>
  <c r="N100" i="95"/>
  <c r="X100" i="95" s="1"/>
  <c r="N98" i="95"/>
  <c r="X98" i="95" s="1"/>
  <c r="N97" i="95"/>
  <c r="X97" i="95" s="1"/>
  <c r="N96" i="95"/>
  <c r="X96" i="95" s="1"/>
  <c r="N95" i="95"/>
  <c r="X95" i="95" s="1"/>
  <c r="N94" i="95"/>
  <c r="X94" i="95" s="1"/>
  <c r="N93" i="95"/>
  <c r="X93" i="95" s="1"/>
  <c r="N92" i="95"/>
  <c r="X92" i="95" s="1"/>
  <c r="N91" i="95"/>
  <c r="X91" i="95" s="1"/>
  <c r="N90" i="95"/>
  <c r="X90" i="95" s="1"/>
  <c r="N89" i="95"/>
  <c r="X89" i="95" s="1"/>
  <c r="N88" i="95"/>
  <c r="X88" i="95" s="1"/>
  <c r="N87" i="95"/>
  <c r="X87" i="95" s="1"/>
  <c r="N86" i="95"/>
  <c r="X86" i="95" s="1"/>
  <c r="N85" i="95"/>
  <c r="X85" i="95" s="1"/>
  <c r="N84" i="95"/>
  <c r="X84" i="95" s="1"/>
  <c r="N80" i="95"/>
  <c r="X80" i="95" s="1"/>
  <c r="N79" i="95"/>
  <c r="X79" i="95" s="1"/>
  <c r="N78" i="95"/>
  <c r="X78" i="95" s="1"/>
  <c r="N77" i="95"/>
  <c r="X77" i="95" s="1"/>
  <c r="N76" i="95"/>
  <c r="X76" i="95" s="1"/>
  <c r="N75" i="95"/>
  <c r="X75" i="95" s="1"/>
  <c r="N74" i="95"/>
  <c r="X74" i="95" s="1"/>
  <c r="N73" i="95"/>
  <c r="X73" i="95" s="1"/>
  <c r="N72" i="95"/>
  <c r="X72" i="95" s="1"/>
  <c r="N71" i="95"/>
  <c r="X71" i="95" s="1"/>
  <c r="N70" i="95"/>
  <c r="X70" i="95" s="1"/>
  <c r="N69" i="95"/>
  <c r="X69" i="95" s="1"/>
  <c r="N68" i="95"/>
  <c r="X68" i="95" s="1"/>
  <c r="N67" i="95"/>
  <c r="X67" i="95" s="1"/>
  <c r="N66" i="95"/>
  <c r="X66" i="95" s="1"/>
  <c r="N65" i="95"/>
  <c r="X65" i="95" s="1"/>
  <c r="N64" i="95"/>
  <c r="X64" i="95" s="1"/>
  <c r="N63" i="95"/>
  <c r="X63" i="95" s="1"/>
  <c r="N62" i="95"/>
  <c r="X62" i="95" s="1"/>
  <c r="N61" i="95"/>
  <c r="X61" i="95" s="1"/>
  <c r="N60" i="95"/>
  <c r="X60" i="95" s="1"/>
  <c r="N59" i="95"/>
  <c r="X59" i="95" s="1"/>
  <c r="N58" i="95"/>
  <c r="X58" i="95" s="1"/>
  <c r="N57" i="95"/>
  <c r="X57" i="95" s="1"/>
  <c r="N56" i="95"/>
  <c r="X56" i="95" s="1"/>
  <c r="N55" i="95"/>
  <c r="X55" i="95" s="1"/>
  <c r="N54" i="95"/>
  <c r="X54" i="95" s="1"/>
  <c r="N53" i="95"/>
  <c r="X53" i="95" s="1"/>
  <c r="N52" i="95"/>
  <c r="X52" i="95" s="1"/>
  <c r="N51" i="95"/>
  <c r="X51" i="95" s="1"/>
  <c r="N50" i="95"/>
  <c r="X50" i="95" s="1"/>
  <c r="N49" i="95"/>
  <c r="X49" i="95" s="1"/>
  <c r="N48" i="95"/>
  <c r="X48" i="95" s="1"/>
  <c r="N47" i="95"/>
  <c r="X47" i="95" s="1"/>
  <c r="N46" i="95"/>
  <c r="X46" i="95" s="1"/>
  <c r="N45" i="95"/>
  <c r="X45" i="95" s="1"/>
  <c r="N43" i="95"/>
  <c r="X43" i="95" s="1"/>
  <c r="N42" i="95"/>
  <c r="X42" i="95" s="1"/>
  <c r="N41" i="95"/>
  <c r="X41" i="95" s="1"/>
  <c r="N40" i="95"/>
  <c r="X40" i="95" s="1"/>
  <c r="N39" i="95"/>
  <c r="X39" i="95" s="1"/>
  <c r="N38" i="95"/>
  <c r="X38" i="95" s="1"/>
  <c r="N37" i="95"/>
  <c r="X37" i="95" s="1"/>
  <c r="N36" i="95"/>
  <c r="X36" i="95" s="1"/>
  <c r="N35" i="95"/>
  <c r="X35" i="95" s="1"/>
  <c r="N34" i="95"/>
  <c r="X34" i="95" s="1"/>
  <c r="N32" i="95"/>
  <c r="X32" i="95" s="1"/>
  <c r="N31" i="95"/>
  <c r="X31" i="95" s="1"/>
  <c r="N30" i="95"/>
  <c r="X30" i="95" s="1"/>
  <c r="N29" i="95"/>
  <c r="X29" i="95" s="1"/>
  <c r="N28" i="95"/>
  <c r="X28" i="95" s="1"/>
  <c r="N27" i="95"/>
  <c r="X27" i="95" s="1"/>
  <c r="N26" i="95"/>
  <c r="X26" i="95" s="1"/>
  <c r="N24" i="95"/>
  <c r="X24" i="95" s="1"/>
  <c r="N23" i="95"/>
  <c r="X23" i="95" s="1"/>
  <c r="N22" i="95"/>
  <c r="X22" i="95" s="1"/>
  <c r="N21" i="95"/>
  <c r="X21" i="95" s="1"/>
  <c r="N20" i="95"/>
  <c r="X20" i="95" s="1"/>
  <c r="N19" i="95"/>
  <c r="X19" i="95" s="1"/>
  <c r="N18" i="95"/>
  <c r="X18" i="95" s="1"/>
  <c r="N17" i="95"/>
  <c r="X17" i="95" s="1"/>
  <c r="N16" i="95"/>
  <c r="X16" i="95" s="1"/>
  <c r="N15" i="95"/>
  <c r="X15" i="95" s="1"/>
  <c r="N13" i="95"/>
  <c r="X13" i="95" s="1"/>
  <c r="N11" i="95"/>
  <c r="X11" i="95" s="1"/>
  <c r="N10" i="95"/>
  <c r="X10" i="95" s="1"/>
  <c r="N9" i="95"/>
  <c r="X9" i="95" s="1"/>
  <c r="N8" i="95"/>
  <c r="X8" i="95" s="1"/>
  <c r="N6" i="95"/>
  <c r="X6" i="95" s="1"/>
  <c r="N5" i="95"/>
  <c r="X5" i="95" s="1"/>
  <c r="J125" i="95"/>
  <c r="U125" i="95" s="1"/>
  <c r="J124" i="95"/>
  <c r="U124" i="95" s="1"/>
  <c r="J123" i="95"/>
  <c r="U123" i="95" s="1"/>
  <c r="J122" i="95"/>
  <c r="U122" i="95" s="1"/>
  <c r="J121" i="95"/>
  <c r="U121" i="95" s="1"/>
  <c r="J120" i="95"/>
  <c r="U120" i="95" s="1"/>
  <c r="J119" i="95"/>
  <c r="U119" i="95" s="1"/>
  <c r="J118" i="95"/>
  <c r="U118" i="95" s="1"/>
  <c r="J117" i="95"/>
  <c r="U117" i="95" s="1"/>
  <c r="J116" i="95"/>
  <c r="U116" i="95" s="1"/>
  <c r="J115" i="95"/>
  <c r="U115" i="95" s="1"/>
  <c r="J114" i="95"/>
  <c r="U114" i="95" s="1"/>
  <c r="J113" i="95"/>
  <c r="U113" i="95" s="1"/>
  <c r="J112" i="95"/>
  <c r="U112" i="95" s="1"/>
  <c r="J111" i="95"/>
  <c r="U111" i="95" s="1"/>
  <c r="J110" i="95"/>
  <c r="U110" i="95" s="1"/>
  <c r="J109" i="95"/>
  <c r="U109" i="95" s="1"/>
  <c r="J108" i="95"/>
  <c r="U108" i="95" s="1"/>
  <c r="J107" i="95"/>
  <c r="U107" i="95" s="1"/>
  <c r="J106" i="95"/>
  <c r="U106" i="95" s="1"/>
  <c r="J105" i="95"/>
  <c r="U105" i="95" s="1"/>
  <c r="J104" i="95"/>
  <c r="U104" i="95" s="1"/>
  <c r="J103" i="95"/>
  <c r="U103" i="95" s="1"/>
  <c r="J102" i="95"/>
  <c r="U102" i="95" s="1"/>
  <c r="J101" i="95"/>
  <c r="U101" i="95" s="1"/>
  <c r="J100" i="95"/>
  <c r="U100" i="95" s="1"/>
  <c r="J98" i="95"/>
  <c r="U98" i="95" s="1"/>
  <c r="J97" i="95"/>
  <c r="U97" i="95" s="1"/>
  <c r="J96" i="95"/>
  <c r="U96" i="95" s="1"/>
  <c r="J95" i="95"/>
  <c r="U95" i="95" s="1"/>
  <c r="J94" i="95"/>
  <c r="U94" i="95" s="1"/>
  <c r="J93" i="95"/>
  <c r="U93" i="95" s="1"/>
  <c r="J92" i="95"/>
  <c r="U92" i="95" s="1"/>
  <c r="J91" i="95"/>
  <c r="U91" i="95" s="1"/>
  <c r="J90" i="95"/>
  <c r="U90" i="95" s="1"/>
  <c r="J89" i="95"/>
  <c r="U89" i="95" s="1"/>
  <c r="J88" i="95"/>
  <c r="U88" i="95" s="1"/>
  <c r="J87" i="95"/>
  <c r="U87" i="95" s="1"/>
  <c r="J86" i="95"/>
  <c r="U86" i="95" s="1"/>
  <c r="J85" i="95"/>
  <c r="U85" i="95" s="1"/>
  <c r="J84" i="95"/>
  <c r="U84" i="95" s="1"/>
  <c r="J80" i="95"/>
  <c r="U80" i="95" s="1"/>
  <c r="J79" i="95"/>
  <c r="U79" i="95" s="1"/>
  <c r="J78" i="95"/>
  <c r="U78" i="95" s="1"/>
  <c r="J77" i="95"/>
  <c r="U77" i="95" s="1"/>
  <c r="J76" i="95"/>
  <c r="U76" i="95" s="1"/>
  <c r="J75" i="95"/>
  <c r="U75" i="95" s="1"/>
  <c r="J74" i="95"/>
  <c r="U74" i="95" s="1"/>
  <c r="J73" i="95"/>
  <c r="U73" i="95" s="1"/>
  <c r="J72" i="95"/>
  <c r="U72" i="95" s="1"/>
  <c r="J71" i="95"/>
  <c r="U71" i="95" s="1"/>
  <c r="J70" i="95"/>
  <c r="U70" i="95" s="1"/>
  <c r="J69" i="95"/>
  <c r="U69" i="95" s="1"/>
  <c r="J68" i="95"/>
  <c r="U68" i="95" s="1"/>
  <c r="J67" i="95"/>
  <c r="U67" i="95" s="1"/>
  <c r="J66" i="95"/>
  <c r="U66" i="95" s="1"/>
  <c r="J65" i="95"/>
  <c r="U65" i="95" s="1"/>
  <c r="J64" i="95"/>
  <c r="U64" i="95" s="1"/>
  <c r="J63" i="95"/>
  <c r="U63" i="95" s="1"/>
  <c r="J62" i="95"/>
  <c r="U62" i="95" s="1"/>
  <c r="J61" i="95"/>
  <c r="U61" i="95" s="1"/>
  <c r="J60" i="95"/>
  <c r="U60" i="95" s="1"/>
  <c r="J59" i="95"/>
  <c r="U59" i="95" s="1"/>
  <c r="J58" i="95"/>
  <c r="U58" i="95" s="1"/>
  <c r="J57" i="95"/>
  <c r="U57" i="95" s="1"/>
  <c r="J56" i="95"/>
  <c r="U56" i="95" s="1"/>
  <c r="J55" i="95"/>
  <c r="U55" i="95" s="1"/>
  <c r="J54" i="95"/>
  <c r="U54" i="95" s="1"/>
  <c r="J53" i="95"/>
  <c r="U53" i="95" s="1"/>
  <c r="J52" i="95"/>
  <c r="U52" i="95" s="1"/>
  <c r="J51" i="95"/>
  <c r="U51" i="95" s="1"/>
  <c r="J50" i="95"/>
  <c r="U50" i="95" s="1"/>
  <c r="J49" i="95"/>
  <c r="U49" i="95" s="1"/>
  <c r="J48" i="95"/>
  <c r="U48" i="95" s="1"/>
  <c r="J47" i="95"/>
  <c r="U47" i="95" s="1"/>
  <c r="J46" i="95"/>
  <c r="U46" i="95" s="1"/>
  <c r="J45" i="95"/>
  <c r="U45" i="95" s="1"/>
  <c r="J43" i="95"/>
  <c r="U43" i="95" s="1"/>
  <c r="J42" i="95"/>
  <c r="U42" i="95" s="1"/>
  <c r="J41" i="95"/>
  <c r="U41" i="95" s="1"/>
  <c r="J40" i="95"/>
  <c r="U40" i="95" s="1"/>
  <c r="J39" i="95"/>
  <c r="U39" i="95" s="1"/>
  <c r="J38" i="95"/>
  <c r="U38" i="95" s="1"/>
  <c r="J37" i="95"/>
  <c r="U37" i="95" s="1"/>
  <c r="J36" i="95"/>
  <c r="U36" i="95" s="1"/>
  <c r="J35" i="95"/>
  <c r="U35" i="95" s="1"/>
  <c r="J34" i="95"/>
  <c r="U34" i="95" s="1"/>
  <c r="J32" i="95"/>
  <c r="U32" i="95" s="1"/>
  <c r="J31" i="95"/>
  <c r="U31" i="95" s="1"/>
  <c r="J30" i="95"/>
  <c r="U30" i="95" s="1"/>
  <c r="J29" i="95"/>
  <c r="U29" i="95" s="1"/>
  <c r="J28" i="95"/>
  <c r="U28" i="95" s="1"/>
  <c r="J27" i="95"/>
  <c r="U27" i="95" s="1"/>
  <c r="J26" i="95"/>
  <c r="U26" i="95" s="1"/>
  <c r="J24" i="95"/>
  <c r="U24" i="95" s="1"/>
  <c r="J23" i="95"/>
  <c r="U23" i="95" s="1"/>
  <c r="J22" i="95"/>
  <c r="U22" i="95" s="1"/>
  <c r="J21" i="95"/>
  <c r="U21" i="95" s="1"/>
  <c r="J20" i="95"/>
  <c r="U20" i="95" s="1"/>
  <c r="J19" i="95"/>
  <c r="U19" i="95" s="1"/>
  <c r="J18" i="95"/>
  <c r="U18" i="95" s="1"/>
  <c r="J17" i="95"/>
  <c r="U17" i="95" s="1"/>
  <c r="J16" i="95"/>
  <c r="U16" i="95" s="1"/>
  <c r="J15" i="95"/>
  <c r="U15" i="95" s="1"/>
  <c r="J13" i="95"/>
  <c r="U13" i="95" s="1"/>
  <c r="J11" i="95"/>
  <c r="U11" i="95" s="1"/>
  <c r="J10" i="95"/>
  <c r="U10" i="95" s="1"/>
  <c r="J9" i="95"/>
  <c r="U9" i="95" s="1"/>
  <c r="J8" i="95"/>
  <c r="U8" i="95" s="1"/>
  <c r="J6" i="95"/>
  <c r="U6" i="95" s="1"/>
  <c r="J5" i="95"/>
  <c r="U5" i="95" s="1"/>
  <c r="F125" i="95"/>
  <c r="R125" i="95" s="1"/>
  <c r="F124" i="95"/>
  <c r="R124" i="95" s="1"/>
  <c r="F123" i="95"/>
  <c r="R123" i="95" s="1"/>
  <c r="F122" i="95"/>
  <c r="R122" i="95" s="1"/>
  <c r="F121" i="95"/>
  <c r="R121" i="95" s="1"/>
  <c r="F120" i="95"/>
  <c r="R120" i="95" s="1"/>
  <c r="F119" i="95"/>
  <c r="R119" i="95" s="1"/>
  <c r="F118" i="95"/>
  <c r="R118" i="95" s="1"/>
  <c r="F117" i="95"/>
  <c r="R117" i="95" s="1"/>
  <c r="F116" i="95"/>
  <c r="R116" i="95" s="1"/>
  <c r="F115" i="95"/>
  <c r="R115" i="95" s="1"/>
  <c r="F114" i="95"/>
  <c r="R114" i="95" s="1"/>
  <c r="F113" i="95"/>
  <c r="R113" i="95" s="1"/>
  <c r="F112" i="95"/>
  <c r="R112" i="95" s="1"/>
  <c r="F111" i="95"/>
  <c r="R111" i="95" s="1"/>
  <c r="F110" i="95"/>
  <c r="R110" i="95" s="1"/>
  <c r="F109" i="95"/>
  <c r="R109" i="95" s="1"/>
  <c r="F108" i="95"/>
  <c r="R108" i="95" s="1"/>
  <c r="F107" i="95"/>
  <c r="R107" i="95" s="1"/>
  <c r="F106" i="95"/>
  <c r="R106" i="95" s="1"/>
  <c r="F105" i="95"/>
  <c r="R105" i="95" s="1"/>
  <c r="F104" i="95"/>
  <c r="R104" i="95" s="1"/>
  <c r="F103" i="95"/>
  <c r="R103" i="95" s="1"/>
  <c r="F102" i="95"/>
  <c r="R102" i="95" s="1"/>
  <c r="F101" i="95"/>
  <c r="R101" i="95" s="1"/>
  <c r="F100" i="95"/>
  <c r="R100" i="95" s="1"/>
  <c r="F98" i="95"/>
  <c r="R98" i="95" s="1"/>
  <c r="F97" i="95"/>
  <c r="R97" i="95" s="1"/>
  <c r="F96" i="95"/>
  <c r="R96" i="95" s="1"/>
  <c r="F95" i="95"/>
  <c r="R95" i="95" s="1"/>
  <c r="F94" i="95"/>
  <c r="R94" i="95" s="1"/>
  <c r="F93" i="95"/>
  <c r="R93" i="95" s="1"/>
  <c r="F92" i="95"/>
  <c r="R92" i="95" s="1"/>
  <c r="F91" i="95"/>
  <c r="R91" i="95" s="1"/>
  <c r="F90" i="95"/>
  <c r="R90" i="95" s="1"/>
  <c r="F89" i="95"/>
  <c r="R89" i="95" s="1"/>
  <c r="F88" i="95"/>
  <c r="R88" i="95" s="1"/>
  <c r="F87" i="95"/>
  <c r="R87" i="95" s="1"/>
  <c r="F86" i="95"/>
  <c r="R86" i="95" s="1"/>
  <c r="F85" i="95"/>
  <c r="R85" i="95" s="1"/>
  <c r="F84" i="95"/>
  <c r="R84" i="95" s="1"/>
  <c r="R82" i="95"/>
  <c r="F80" i="95"/>
  <c r="R80" i="95" s="1"/>
  <c r="F79" i="95"/>
  <c r="R79" i="95" s="1"/>
  <c r="F78" i="95"/>
  <c r="R78" i="95" s="1"/>
  <c r="F77" i="95"/>
  <c r="R77" i="95" s="1"/>
  <c r="F76" i="95"/>
  <c r="R76" i="95" s="1"/>
  <c r="F75" i="95"/>
  <c r="R75" i="95" s="1"/>
  <c r="F74" i="95"/>
  <c r="R74" i="95" s="1"/>
  <c r="F73" i="95"/>
  <c r="R73" i="95" s="1"/>
  <c r="F72" i="95"/>
  <c r="R72" i="95" s="1"/>
  <c r="F71" i="95"/>
  <c r="R71" i="95" s="1"/>
  <c r="F70" i="95"/>
  <c r="R70" i="95" s="1"/>
  <c r="F69" i="95"/>
  <c r="R69" i="95" s="1"/>
  <c r="F68" i="95"/>
  <c r="R68" i="95" s="1"/>
  <c r="F67" i="95"/>
  <c r="R67" i="95" s="1"/>
  <c r="F66" i="95"/>
  <c r="R66" i="95" s="1"/>
  <c r="F65" i="95"/>
  <c r="R65" i="95" s="1"/>
  <c r="F64" i="95"/>
  <c r="R64" i="95" s="1"/>
  <c r="F63" i="95"/>
  <c r="R63" i="95" s="1"/>
  <c r="F62" i="95"/>
  <c r="R62" i="95" s="1"/>
  <c r="F61" i="95"/>
  <c r="R61" i="95" s="1"/>
  <c r="F60" i="95"/>
  <c r="R60" i="95" s="1"/>
  <c r="F59" i="95"/>
  <c r="R59" i="95" s="1"/>
  <c r="F58" i="95"/>
  <c r="R58" i="95" s="1"/>
  <c r="F57" i="95"/>
  <c r="R57" i="95" s="1"/>
  <c r="F56" i="95"/>
  <c r="R56" i="95" s="1"/>
  <c r="F55" i="95"/>
  <c r="R55" i="95" s="1"/>
  <c r="F54" i="95"/>
  <c r="R54" i="95" s="1"/>
  <c r="F53" i="95"/>
  <c r="R53" i="95" s="1"/>
  <c r="F52" i="95"/>
  <c r="R52" i="95" s="1"/>
  <c r="F51" i="95"/>
  <c r="R51" i="95" s="1"/>
  <c r="F50" i="95"/>
  <c r="R50" i="95" s="1"/>
  <c r="F49" i="95"/>
  <c r="R49" i="95" s="1"/>
  <c r="F48" i="95"/>
  <c r="R48" i="95" s="1"/>
  <c r="F47" i="95"/>
  <c r="R47" i="95" s="1"/>
  <c r="F46" i="95"/>
  <c r="R46" i="95" s="1"/>
  <c r="F45" i="95"/>
  <c r="R45" i="95" s="1"/>
  <c r="F43" i="95"/>
  <c r="R43" i="95" s="1"/>
  <c r="F42" i="95"/>
  <c r="R42" i="95" s="1"/>
  <c r="F41" i="95"/>
  <c r="R41" i="95" s="1"/>
  <c r="F40" i="95"/>
  <c r="R40" i="95" s="1"/>
  <c r="F39" i="95"/>
  <c r="R39" i="95" s="1"/>
  <c r="F38" i="95"/>
  <c r="R38" i="95" s="1"/>
  <c r="F37" i="95"/>
  <c r="R37" i="95" s="1"/>
  <c r="F36" i="95"/>
  <c r="R36" i="95" s="1"/>
  <c r="F35" i="95"/>
  <c r="R35" i="95" s="1"/>
  <c r="F34" i="95"/>
  <c r="R34" i="95" s="1"/>
  <c r="F32" i="95"/>
  <c r="R32" i="95"/>
  <c r="F31" i="95"/>
  <c r="R31" i="95" s="1"/>
  <c r="F30" i="95"/>
  <c r="R30" i="95" s="1"/>
  <c r="F29" i="95"/>
  <c r="R29" i="95" s="1"/>
  <c r="F28" i="95"/>
  <c r="R28" i="95" s="1"/>
  <c r="F27" i="95"/>
  <c r="R27" i="95" s="1"/>
  <c r="F26" i="95"/>
  <c r="R26" i="95" s="1"/>
  <c r="F24" i="95"/>
  <c r="R24" i="95" s="1"/>
  <c r="F23" i="95"/>
  <c r="R23" i="95" s="1"/>
  <c r="F22" i="95"/>
  <c r="R22" i="95" s="1"/>
  <c r="F21" i="95"/>
  <c r="R21" i="95" s="1"/>
  <c r="F20" i="95"/>
  <c r="F19" i="95"/>
  <c r="R19" i="95" s="1"/>
  <c r="F18" i="95"/>
  <c r="R18" i="95" s="1"/>
  <c r="F17" i="95"/>
  <c r="R17" i="95" s="1"/>
  <c r="F16" i="95"/>
  <c r="R16" i="95" s="1"/>
  <c r="F15" i="95"/>
  <c r="R15" i="95" s="1"/>
  <c r="F13" i="95"/>
  <c r="R13" i="95" s="1"/>
  <c r="F11" i="95"/>
  <c r="R11" i="95" s="1"/>
  <c r="F10" i="95"/>
  <c r="R10" i="95" s="1"/>
  <c r="F9" i="95"/>
  <c r="R9" i="95" s="1"/>
  <c r="F8" i="95"/>
  <c r="R8" i="95" s="1"/>
  <c r="F6" i="95"/>
  <c r="R6" i="95" s="1"/>
  <c r="F5" i="95"/>
  <c r="R5" i="95" s="1"/>
  <c r="H5" i="90"/>
  <c r="I5" i="90"/>
  <c r="J5" i="90"/>
  <c r="G5" i="90"/>
  <c r="F5" i="90"/>
  <c r="E5" i="90"/>
  <c r="D5" i="90"/>
  <c r="L5" i="91"/>
  <c r="K5" i="91"/>
  <c r="F5" i="91"/>
  <c r="E5" i="91"/>
  <c r="D5" i="91"/>
  <c r="G4" i="63"/>
  <c r="F4" i="63"/>
  <c r="E4" i="63"/>
  <c r="D4" i="63"/>
  <c r="N133" i="72"/>
  <c r="M133" i="72"/>
  <c r="N132" i="72"/>
  <c r="M132" i="72"/>
  <c r="N131" i="72"/>
  <c r="M131" i="72"/>
  <c r="N130" i="72"/>
  <c r="M130" i="72"/>
  <c r="N129" i="72"/>
  <c r="M129" i="72"/>
  <c r="K133" i="72"/>
  <c r="J133" i="72"/>
  <c r="K132" i="72"/>
  <c r="J132" i="72"/>
  <c r="K131" i="72"/>
  <c r="J131" i="72"/>
  <c r="K130" i="72"/>
  <c r="J130" i="72"/>
  <c r="K129" i="72"/>
  <c r="J129" i="72"/>
  <c r="H133" i="72"/>
  <c r="G133" i="72"/>
  <c r="H132" i="72"/>
  <c r="G132" i="72"/>
  <c r="H131" i="72"/>
  <c r="Q131" i="72" s="1"/>
  <c r="G131" i="72"/>
  <c r="H130" i="72"/>
  <c r="G130" i="72"/>
  <c r="H129" i="72"/>
  <c r="G129" i="72"/>
  <c r="E133" i="72"/>
  <c r="E132" i="72"/>
  <c r="E131" i="72"/>
  <c r="E130" i="72"/>
  <c r="E129" i="72"/>
  <c r="D133" i="72"/>
  <c r="D132" i="72"/>
  <c r="D131" i="72"/>
  <c r="D130" i="72"/>
  <c r="D129" i="72"/>
  <c r="F124" i="57"/>
  <c r="E124" i="57"/>
  <c r="F123" i="57"/>
  <c r="E123" i="57"/>
  <c r="F122" i="57"/>
  <c r="E122" i="57"/>
  <c r="F121" i="57"/>
  <c r="E121" i="57"/>
  <c r="F120" i="57"/>
  <c r="E120" i="57"/>
  <c r="F119" i="57"/>
  <c r="E119" i="57"/>
  <c r="F118" i="57"/>
  <c r="E118" i="57"/>
  <c r="F117" i="57"/>
  <c r="E117" i="57"/>
  <c r="F116" i="57"/>
  <c r="E116" i="57"/>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99" i="57"/>
  <c r="L100" i="79" s="1"/>
  <c r="P100" i="79" s="1"/>
  <c r="F98" i="57"/>
  <c r="E98" i="57"/>
  <c r="F97" i="57"/>
  <c r="E97" i="57"/>
  <c r="F96" i="57"/>
  <c r="E96" i="57"/>
  <c r="F95" i="57"/>
  <c r="E95" i="57"/>
  <c r="F94" i="57"/>
  <c r="E94" i="57"/>
  <c r="F93" i="57"/>
  <c r="E93" i="57"/>
  <c r="F92" i="57"/>
  <c r="E92" i="57"/>
  <c r="F91" i="57"/>
  <c r="E91" i="57"/>
  <c r="L92" i="79" s="1"/>
  <c r="P92" i="79" s="1"/>
  <c r="F90" i="57"/>
  <c r="E90" i="57"/>
  <c r="F89" i="57"/>
  <c r="E89" i="57"/>
  <c r="F88" i="57"/>
  <c r="E88" i="57"/>
  <c r="F87" i="57"/>
  <c r="E87" i="57"/>
  <c r="F86" i="57"/>
  <c r="E86" i="57"/>
  <c r="F85" i="57"/>
  <c r="E85" i="57"/>
  <c r="F84" i="57"/>
  <c r="E84" i="57"/>
  <c r="F83" i="57"/>
  <c r="E83" i="57"/>
  <c r="F82" i="57"/>
  <c r="E82" i="57"/>
  <c r="F81" i="57"/>
  <c r="E81" i="57"/>
  <c r="F80" i="57"/>
  <c r="E80" i="57"/>
  <c r="F79" i="57"/>
  <c r="E79" i="57"/>
  <c r="F78" i="57"/>
  <c r="E78" i="57"/>
  <c r="F77" i="57"/>
  <c r="E77" i="57"/>
  <c r="F76" i="57"/>
  <c r="E76" i="57"/>
  <c r="F75" i="57"/>
  <c r="E75" i="57"/>
  <c r="F74" i="57"/>
  <c r="E74" i="57"/>
  <c r="F73" i="57"/>
  <c r="E73" i="57"/>
  <c r="F72" i="57"/>
  <c r="E72" i="57"/>
  <c r="F71" i="57"/>
  <c r="E71" i="57"/>
  <c r="F70" i="57"/>
  <c r="E70" i="57"/>
  <c r="F69" i="57"/>
  <c r="E69" i="57"/>
  <c r="F68" i="57"/>
  <c r="E68" i="57"/>
  <c r="F67" i="57"/>
  <c r="E67" i="57"/>
  <c r="F66" i="57"/>
  <c r="E66" i="57"/>
  <c r="F65" i="57"/>
  <c r="E65" i="57"/>
  <c r="F64" i="57"/>
  <c r="E64" i="57"/>
  <c r="F63" i="57"/>
  <c r="E63" i="57"/>
  <c r="F62" i="57"/>
  <c r="E62" i="57"/>
  <c r="F61" i="57"/>
  <c r="E61" i="57"/>
  <c r="F60" i="57"/>
  <c r="E60" i="57"/>
  <c r="F59" i="57"/>
  <c r="E59" i="57"/>
  <c r="L60" i="79" s="1"/>
  <c r="P60" i="79" s="1"/>
  <c r="F58" i="57"/>
  <c r="E58" i="57"/>
  <c r="F57" i="57"/>
  <c r="E57" i="57"/>
  <c r="F56" i="57"/>
  <c r="E56" i="57"/>
  <c r="F55" i="57"/>
  <c r="E55" i="57"/>
  <c r="F54" i="57"/>
  <c r="E54" i="57"/>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38" i="57"/>
  <c r="E38" i="57"/>
  <c r="F37" i="57"/>
  <c r="E37" i="57"/>
  <c r="F36" i="57"/>
  <c r="E36" i="57"/>
  <c r="F35" i="57"/>
  <c r="E35" i="57"/>
  <c r="F34" i="57"/>
  <c r="E34" i="57"/>
  <c r="F33" i="57"/>
  <c r="E33" i="57"/>
  <c r="F32" i="57"/>
  <c r="E32" i="57"/>
  <c r="F31" i="57"/>
  <c r="E31" i="57"/>
  <c r="F30" i="57"/>
  <c r="E30" i="57"/>
  <c r="F29" i="57"/>
  <c r="E29" i="57"/>
  <c r="F28" i="57"/>
  <c r="E28" i="57"/>
  <c r="F27" i="57"/>
  <c r="E27" i="57"/>
  <c r="F26" i="57"/>
  <c r="E26" i="57"/>
  <c r="F25" i="57"/>
  <c r="E25" i="57"/>
  <c r="F24" i="57"/>
  <c r="E24" i="57"/>
  <c r="F23" i="57"/>
  <c r="E23" i="57"/>
  <c r="F22" i="57"/>
  <c r="E22" i="57"/>
  <c r="F21" i="57"/>
  <c r="E21" i="57"/>
  <c r="F20" i="57"/>
  <c r="E20" i="57"/>
  <c r="F19" i="57"/>
  <c r="E19" i="57"/>
  <c r="F18" i="57"/>
  <c r="E18" i="57"/>
  <c r="F17" i="57"/>
  <c r="E17" i="57"/>
  <c r="F16" i="57"/>
  <c r="E16" i="57"/>
  <c r="F15" i="57"/>
  <c r="E15" i="57"/>
  <c r="F14" i="57"/>
  <c r="E14" i="57"/>
  <c r="F13" i="57"/>
  <c r="E13" i="57"/>
  <c r="F12" i="57"/>
  <c r="E12" i="57"/>
  <c r="F11" i="57"/>
  <c r="E11" i="57"/>
  <c r="F10" i="57"/>
  <c r="E10" i="57"/>
  <c r="F9" i="57"/>
  <c r="E9" i="57"/>
  <c r="F8" i="57"/>
  <c r="E8" i="57"/>
  <c r="F7" i="57"/>
  <c r="E7" i="57"/>
  <c r="F6" i="57"/>
  <c r="E6" i="57"/>
  <c r="F5" i="57"/>
  <c r="E5" i="57"/>
  <c r="D2" i="4"/>
  <c r="E2" i="4" s="1"/>
  <c r="N133" i="75"/>
  <c r="M133" i="75"/>
  <c r="L133" i="75"/>
  <c r="G133" i="75"/>
  <c r="F133" i="75"/>
  <c r="E133" i="75"/>
  <c r="N132" i="75"/>
  <c r="M132" i="75"/>
  <c r="L132" i="75"/>
  <c r="G132" i="75"/>
  <c r="F132" i="75"/>
  <c r="E132" i="75"/>
  <c r="N131" i="75"/>
  <c r="M131" i="75"/>
  <c r="L131" i="75"/>
  <c r="G131" i="75"/>
  <c r="F131" i="75"/>
  <c r="E131" i="75"/>
  <c r="N130" i="75"/>
  <c r="M130" i="75"/>
  <c r="L130" i="75"/>
  <c r="G130" i="75"/>
  <c r="F130" i="75"/>
  <c r="E130" i="75"/>
  <c r="N129" i="75"/>
  <c r="M129" i="75"/>
  <c r="L129" i="75"/>
  <c r="G129" i="75"/>
  <c r="F129" i="75"/>
  <c r="E129" i="75"/>
  <c r="Q126" i="75"/>
  <c r="P126" i="75"/>
  <c r="J126" i="75"/>
  <c r="I126" i="75"/>
  <c r="Q125" i="75"/>
  <c r="P125" i="75"/>
  <c r="J125" i="75"/>
  <c r="I125" i="75"/>
  <c r="Q124" i="75"/>
  <c r="P124" i="75"/>
  <c r="J124" i="75"/>
  <c r="I124" i="75"/>
  <c r="Q123" i="75"/>
  <c r="P123" i="75"/>
  <c r="J123" i="75"/>
  <c r="I123" i="75"/>
  <c r="Q122" i="75"/>
  <c r="P122" i="75"/>
  <c r="J122" i="75"/>
  <c r="I122" i="75"/>
  <c r="Q121" i="75"/>
  <c r="P121" i="75"/>
  <c r="J121" i="75"/>
  <c r="I121" i="75"/>
  <c r="Q120" i="75"/>
  <c r="P120" i="75"/>
  <c r="J120" i="75"/>
  <c r="I120" i="75"/>
  <c r="Q119" i="75"/>
  <c r="P119" i="75"/>
  <c r="J119" i="75"/>
  <c r="I119" i="75"/>
  <c r="Q118" i="75"/>
  <c r="P118" i="75"/>
  <c r="J118" i="75"/>
  <c r="I118" i="75"/>
  <c r="Q117" i="75"/>
  <c r="P117" i="75"/>
  <c r="J117" i="75"/>
  <c r="I117" i="75"/>
  <c r="Q116" i="75"/>
  <c r="P116" i="75"/>
  <c r="J116" i="75"/>
  <c r="I116" i="75"/>
  <c r="Q115" i="75"/>
  <c r="P115" i="75"/>
  <c r="J115" i="75"/>
  <c r="I115" i="75"/>
  <c r="Q114" i="75"/>
  <c r="P114" i="75"/>
  <c r="J114" i="75"/>
  <c r="I114" i="75"/>
  <c r="Q113" i="75"/>
  <c r="P113" i="75"/>
  <c r="J113" i="75"/>
  <c r="I113" i="75"/>
  <c r="Q112" i="75"/>
  <c r="P112" i="75"/>
  <c r="J112" i="75"/>
  <c r="I112" i="75"/>
  <c r="Q111" i="75"/>
  <c r="P111" i="75"/>
  <c r="J111" i="75"/>
  <c r="I111" i="75"/>
  <c r="Q110" i="75"/>
  <c r="P110" i="75"/>
  <c r="J110" i="75"/>
  <c r="I110" i="75"/>
  <c r="Q109" i="75"/>
  <c r="P109" i="75"/>
  <c r="J109" i="75"/>
  <c r="I109" i="75"/>
  <c r="Q108" i="75"/>
  <c r="P108" i="75"/>
  <c r="J108" i="75"/>
  <c r="I108" i="75"/>
  <c r="Q107" i="75"/>
  <c r="P107" i="75"/>
  <c r="J107" i="75"/>
  <c r="I107" i="75"/>
  <c r="Q106" i="75"/>
  <c r="P106" i="75"/>
  <c r="J106" i="75"/>
  <c r="I106" i="75"/>
  <c r="Q105" i="75"/>
  <c r="P105" i="75"/>
  <c r="J105" i="75"/>
  <c r="I105" i="75"/>
  <c r="Q104" i="75"/>
  <c r="P104" i="75"/>
  <c r="J104" i="75"/>
  <c r="I104" i="75"/>
  <c r="Q103" i="75"/>
  <c r="P103" i="75"/>
  <c r="J103" i="75"/>
  <c r="I103" i="75"/>
  <c r="Q102" i="75"/>
  <c r="P102" i="75"/>
  <c r="J102" i="75"/>
  <c r="I102" i="75"/>
  <c r="Q101" i="75"/>
  <c r="P101" i="75"/>
  <c r="J101" i="75"/>
  <c r="I101" i="75"/>
  <c r="Q100" i="75"/>
  <c r="P100" i="75"/>
  <c r="J100" i="75"/>
  <c r="I100" i="75"/>
  <c r="Q99" i="75"/>
  <c r="P99" i="75"/>
  <c r="J99" i="75"/>
  <c r="I99" i="75"/>
  <c r="Q98" i="75"/>
  <c r="P98" i="75"/>
  <c r="J98" i="75"/>
  <c r="I98" i="75"/>
  <c r="Q97" i="75"/>
  <c r="P97" i="75"/>
  <c r="J97" i="75"/>
  <c r="I97" i="75"/>
  <c r="Q96" i="75"/>
  <c r="P96" i="75"/>
  <c r="J96" i="75"/>
  <c r="I96" i="75"/>
  <c r="Q95" i="75"/>
  <c r="P95" i="75"/>
  <c r="J95" i="75"/>
  <c r="I95" i="75"/>
  <c r="Q94" i="75"/>
  <c r="P94" i="75"/>
  <c r="J94" i="75"/>
  <c r="I94" i="75"/>
  <c r="Q93" i="75"/>
  <c r="P93" i="75"/>
  <c r="J93" i="75"/>
  <c r="I93" i="75"/>
  <c r="Q92" i="75"/>
  <c r="P92" i="75"/>
  <c r="J92" i="75"/>
  <c r="I92" i="75"/>
  <c r="Q91" i="75"/>
  <c r="P91" i="75"/>
  <c r="J91" i="75"/>
  <c r="I91" i="75"/>
  <c r="Q90" i="75"/>
  <c r="P90" i="75"/>
  <c r="J90" i="75"/>
  <c r="I90" i="75"/>
  <c r="Q89" i="75"/>
  <c r="P89" i="75"/>
  <c r="J89" i="75"/>
  <c r="I89" i="75"/>
  <c r="Q88" i="75"/>
  <c r="P88" i="75"/>
  <c r="J88" i="75"/>
  <c r="I88" i="75"/>
  <c r="Q87" i="75"/>
  <c r="P87" i="75"/>
  <c r="J87" i="75"/>
  <c r="I87" i="75"/>
  <c r="Q86" i="75"/>
  <c r="P86" i="75"/>
  <c r="J86" i="75"/>
  <c r="I86" i="75"/>
  <c r="Q85" i="75"/>
  <c r="P85" i="75"/>
  <c r="J85" i="75"/>
  <c r="I85" i="75"/>
  <c r="Q84" i="75"/>
  <c r="P84" i="75"/>
  <c r="J84" i="75"/>
  <c r="I84" i="75"/>
  <c r="Q83" i="75"/>
  <c r="P83" i="75"/>
  <c r="J83" i="75"/>
  <c r="I83" i="75"/>
  <c r="Q82" i="75"/>
  <c r="P82" i="75"/>
  <c r="J82" i="75"/>
  <c r="I82" i="75"/>
  <c r="Q81" i="75"/>
  <c r="P81" i="75"/>
  <c r="J81" i="75"/>
  <c r="I81" i="75"/>
  <c r="Q80" i="75"/>
  <c r="P80" i="75"/>
  <c r="J80" i="75"/>
  <c r="I80" i="75"/>
  <c r="Q79" i="75"/>
  <c r="P79" i="75"/>
  <c r="J79" i="75"/>
  <c r="I79" i="75"/>
  <c r="Q78" i="75"/>
  <c r="P78" i="75"/>
  <c r="J78" i="75"/>
  <c r="I78" i="75"/>
  <c r="Q77" i="75"/>
  <c r="P77" i="75"/>
  <c r="J77" i="75"/>
  <c r="I77" i="75"/>
  <c r="Q76" i="75"/>
  <c r="P76" i="75"/>
  <c r="J76" i="75"/>
  <c r="I76" i="75"/>
  <c r="Q75" i="75"/>
  <c r="P75" i="75"/>
  <c r="J75" i="75"/>
  <c r="I75" i="75"/>
  <c r="Q74" i="75"/>
  <c r="P74" i="75"/>
  <c r="J74" i="75"/>
  <c r="I74" i="75"/>
  <c r="Q73" i="75"/>
  <c r="P73" i="75"/>
  <c r="J73" i="75"/>
  <c r="I73" i="75"/>
  <c r="Q72" i="75"/>
  <c r="P72" i="75"/>
  <c r="J72" i="75"/>
  <c r="I72" i="75"/>
  <c r="Q71" i="75"/>
  <c r="P71" i="75"/>
  <c r="J71" i="75"/>
  <c r="I71" i="75"/>
  <c r="Q70" i="75"/>
  <c r="P70" i="75"/>
  <c r="J70" i="75"/>
  <c r="I70" i="75"/>
  <c r="Q69" i="75"/>
  <c r="P69" i="75"/>
  <c r="J69" i="75"/>
  <c r="I69" i="75"/>
  <c r="Q68" i="75"/>
  <c r="P68" i="75"/>
  <c r="J68" i="75"/>
  <c r="I68" i="75"/>
  <c r="Q67" i="75"/>
  <c r="P67" i="75"/>
  <c r="J67" i="75"/>
  <c r="I67" i="75"/>
  <c r="Q66" i="75"/>
  <c r="P66" i="75"/>
  <c r="J66" i="75"/>
  <c r="I66" i="75"/>
  <c r="Q65" i="75"/>
  <c r="P65" i="75"/>
  <c r="J65" i="75"/>
  <c r="I65" i="75"/>
  <c r="Q64" i="75"/>
  <c r="P64" i="75"/>
  <c r="J64" i="75"/>
  <c r="I64" i="75"/>
  <c r="Q63" i="75"/>
  <c r="P63" i="75"/>
  <c r="J63" i="75"/>
  <c r="I63" i="75"/>
  <c r="Q62" i="75"/>
  <c r="P62" i="75"/>
  <c r="J62" i="75"/>
  <c r="I62" i="75"/>
  <c r="Q61" i="75"/>
  <c r="P61" i="75"/>
  <c r="J61" i="75"/>
  <c r="I61" i="75"/>
  <c r="Q60" i="75"/>
  <c r="P60" i="75"/>
  <c r="J60" i="75"/>
  <c r="I60" i="75"/>
  <c r="Q59" i="75"/>
  <c r="P59" i="75"/>
  <c r="J59" i="75"/>
  <c r="I59" i="75"/>
  <c r="Q58" i="75"/>
  <c r="P58" i="75"/>
  <c r="J58" i="75"/>
  <c r="I58" i="75"/>
  <c r="Q57" i="75"/>
  <c r="P57" i="75"/>
  <c r="J57" i="75"/>
  <c r="I57" i="75"/>
  <c r="Q56" i="75"/>
  <c r="P56" i="75"/>
  <c r="J56" i="75"/>
  <c r="I56" i="75"/>
  <c r="Q55" i="75"/>
  <c r="P55" i="75"/>
  <c r="J55" i="75"/>
  <c r="I55" i="75"/>
  <c r="Q54" i="75"/>
  <c r="P54" i="75"/>
  <c r="J54" i="75"/>
  <c r="I54" i="75"/>
  <c r="Q53" i="75"/>
  <c r="P53" i="75"/>
  <c r="J53" i="75"/>
  <c r="I53" i="75"/>
  <c r="Q52" i="75"/>
  <c r="P52" i="75"/>
  <c r="J52" i="75"/>
  <c r="I52" i="75"/>
  <c r="Q51" i="75"/>
  <c r="P51" i="75"/>
  <c r="J51" i="75"/>
  <c r="I51" i="75"/>
  <c r="Q50" i="75"/>
  <c r="P50" i="75"/>
  <c r="J50" i="75"/>
  <c r="I50" i="75"/>
  <c r="Q49" i="75"/>
  <c r="P49" i="75"/>
  <c r="J49" i="75"/>
  <c r="I49" i="75"/>
  <c r="Q48" i="75"/>
  <c r="P48" i="75"/>
  <c r="J48" i="75"/>
  <c r="I48" i="75"/>
  <c r="Q47" i="75"/>
  <c r="P47" i="75"/>
  <c r="J47" i="75"/>
  <c r="I47" i="75"/>
  <c r="Q46" i="75"/>
  <c r="P46" i="75"/>
  <c r="J46" i="75"/>
  <c r="I46" i="75"/>
  <c r="Q45" i="75"/>
  <c r="P45" i="75"/>
  <c r="J45" i="75"/>
  <c r="I45" i="75"/>
  <c r="Q44" i="75"/>
  <c r="P44" i="75"/>
  <c r="J44" i="75"/>
  <c r="I44" i="75"/>
  <c r="Q43" i="75"/>
  <c r="P43" i="75"/>
  <c r="J43" i="75"/>
  <c r="I43" i="75"/>
  <c r="Q42" i="75"/>
  <c r="P42" i="75"/>
  <c r="J42" i="75"/>
  <c r="I42" i="75"/>
  <c r="Q41" i="75"/>
  <c r="P41" i="75"/>
  <c r="J41" i="75"/>
  <c r="I41" i="75"/>
  <c r="Q40" i="75"/>
  <c r="P40" i="75"/>
  <c r="J40" i="75"/>
  <c r="I40" i="75"/>
  <c r="Q39" i="75"/>
  <c r="P39" i="75"/>
  <c r="J39" i="75"/>
  <c r="I39" i="75"/>
  <c r="Q38" i="75"/>
  <c r="P38" i="75"/>
  <c r="J38" i="75"/>
  <c r="I38" i="75"/>
  <c r="Q37" i="75"/>
  <c r="P37" i="75"/>
  <c r="J37" i="75"/>
  <c r="I37" i="75"/>
  <c r="Q36" i="75"/>
  <c r="P36" i="75"/>
  <c r="J36" i="75"/>
  <c r="I36" i="75"/>
  <c r="Q35" i="75"/>
  <c r="P35" i="75"/>
  <c r="J35" i="75"/>
  <c r="I35" i="75"/>
  <c r="Q34" i="75"/>
  <c r="P34" i="75"/>
  <c r="J34" i="75"/>
  <c r="I34" i="75"/>
  <c r="Q33" i="75"/>
  <c r="P33" i="75"/>
  <c r="J33" i="75"/>
  <c r="I33" i="75"/>
  <c r="Q32" i="75"/>
  <c r="P32" i="75"/>
  <c r="J32" i="75"/>
  <c r="I32" i="75"/>
  <c r="Q31" i="75"/>
  <c r="P31" i="75"/>
  <c r="J31" i="75"/>
  <c r="I31" i="75"/>
  <c r="Q30" i="75"/>
  <c r="P30" i="75"/>
  <c r="J30" i="75"/>
  <c r="I30" i="75"/>
  <c r="Q29" i="75"/>
  <c r="P29" i="75"/>
  <c r="J29" i="75"/>
  <c r="I29" i="75"/>
  <c r="Q28" i="75"/>
  <c r="P28" i="75"/>
  <c r="J28" i="75"/>
  <c r="I28" i="75"/>
  <c r="Q27" i="75"/>
  <c r="P27" i="75"/>
  <c r="J27" i="75"/>
  <c r="I27" i="75"/>
  <c r="Q26" i="75"/>
  <c r="P26" i="75"/>
  <c r="J26" i="75"/>
  <c r="I26" i="75"/>
  <c r="Q25" i="75"/>
  <c r="P25" i="75"/>
  <c r="J25" i="75"/>
  <c r="I25" i="75"/>
  <c r="Q24" i="75"/>
  <c r="P24" i="75"/>
  <c r="J24" i="75"/>
  <c r="I24" i="75"/>
  <c r="Q23" i="75"/>
  <c r="P23" i="75"/>
  <c r="J23" i="75"/>
  <c r="I23" i="75"/>
  <c r="Q22" i="75"/>
  <c r="P22" i="75"/>
  <c r="J22" i="75"/>
  <c r="I22" i="75"/>
  <c r="Q21" i="75"/>
  <c r="P21" i="75"/>
  <c r="J21" i="75"/>
  <c r="I21" i="75"/>
  <c r="Q20" i="75"/>
  <c r="P20" i="75"/>
  <c r="J20" i="75"/>
  <c r="I20" i="75"/>
  <c r="Q19" i="75"/>
  <c r="P19" i="75"/>
  <c r="J19" i="75"/>
  <c r="I19" i="75"/>
  <c r="Q18" i="75"/>
  <c r="P18" i="75"/>
  <c r="J18" i="75"/>
  <c r="I18" i="75"/>
  <c r="Q17" i="75"/>
  <c r="P17" i="75"/>
  <c r="J17" i="75"/>
  <c r="I17" i="75"/>
  <c r="Q16" i="75"/>
  <c r="P16" i="75"/>
  <c r="J16" i="75"/>
  <c r="I16" i="75"/>
  <c r="Q15" i="75"/>
  <c r="P15" i="75"/>
  <c r="J15" i="75"/>
  <c r="I15" i="75"/>
  <c r="Q14" i="75"/>
  <c r="P14" i="75"/>
  <c r="J14" i="75"/>
  <c r="I14" i="75"/>
  <c r="Q13" i="75"/>
  <c r="P13" i="75"/>
  <c r="J13" i="75"/>
  <c r="I13" i="75"/>
  <c r="Q12" i="75"/>
  <c r="P12" i="75"/>
  <c r="J12" i="75"/>
  <c r="I12" i="75"/>
  <c r="Q11" i="75"/>
  <c r="P11" i="75"/>
  <c r="J11" i="75"/>
  <c r="I11" i="75"/>
  <c r="Q10" i="75"/>
  <c r="P10" i="75"/>
  <c r="J10" i="75"/>
  <c r="I10" i="75"/>
  <c r="Q9" i="75"/>
  <c r="P9" i="75"/>
  <c r="J9" i="75"/>
  <c r="I9" i="75"/>
  <c r="Q8" i="75"/>
  <c r="P8" i="75"/>
  <c r="J8" i="75"/>
  <c r="I8" i="75"/>
  <c r="Q7" i="75"/>
  <c r="P7" i="75"/>
  <c r="J7" i="75"/>
  <c r="I7" i="75"/>
  <c r="Q6" i="75"/>
  <c r="P6" i="75"/>
  <c r="J6" i="75"/>
  <c r="I6" i="75"/>
  <c r="L132" i="73"/>
  <c r="BC131" i="109" s="1"/>
  <c r="M131" i="73"/>
  <c r="L131" i="73"/>
  <c r="BC130" i="109" s="1"/>
  <c r="M130" i="73"/>
  <c r="L130" i="73"/>
  <c r="BC129" i="109" s="1"/>
  <c r="M129" i="73"/>
  <c r="L129" i="73"/>
  <c r="BC128" i="109" s="1"/>
  <c r="M128" i="73"/>
  <c r="L128" i="73"/>
  <c r="BC127" i="109" s="1"/>
  <c r="O126" i="73"/>
  <c r="N126" i="73"/>
  <c r="M126" i="73"/>
  <c r="L126" i="73"/>
  <c r="O125" i="73"/>
  <c r="N125" i="73"/>
  <c r="M125" i="73"/>
  <c r="L125" i="73"/>
  <c r="O124" i="73"/>
  <c r="N124" i="73"/>
  <c r="M124" i="73"/>
  <c r="L124" i="73"/>
  <c r="O123" i="73"/>
  <c r="N123" i="73"/>
  <c r="M123" i="73"/>
  <c r="L123" i="73"/>
  <c r="BC122" i="109" s="1"/>
  <c r="O122" i="73"/>
  <c r="N122" i="73"/>
  <c r="M122" i="73"/>
  <c r="L122" i="73"/>
  <c r="BC121" i="109" s="1"/>
  <c r="O121" i="73"/>
  <c r="N121" i="73"/>
  <c r="M121" i="73"/>
  <c r="L121" i="73"/>
  <c r="O120" i="73"/>
  <c r="N120" i="73"/>
  <c r="M120" i="73"/>
  <c r="L120" i="73"/>
  <c r="O119" i="73"/>
  <c r="N119" i="73"/>
  <c r="M119" i="73"/>
  <c r="L119" i="73"/>
  <c r="O118" i="73"/>
  <c r="N118" i="73"/>
  <c r="M118" i="73"/>
  <c r="L118" i="73"/>
  <c r="BC117" i="109" s="1"/>
  <c r="O117" i="73"/>
  <c r="N117" i="73"/>
  <c r="M117" i="73"/>
  <c r="L117" i="73"/>
  <c r="O116" i="73"/>
  <c r="N116" i="73"/>
  <c r="M116" i="73"/>
  <c r="L116" i="73"/>
  <c r="O115" i="73"/>
  <c r="N115" i="73"/>
  <c r="M115" i="73"/>
  <c r="L115" i="73"/>
  <c r="O114" i="73"/>
  <c r="N114" i="73"/>
  <c r="M114" i="73"/>
  <c r="L114" i="73"/>
  <c r="BC113" i="109" s="1"/>
  <c r="O113" i="73"/>
  <c r="N113" i="73"/>
  <c r="M113" i="73"/>
  <c r="L113" i="73"/>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BC102" i="109" s="1"/>
  <c r="O102" i="73"/>
  <c r="N102" i="73"/>
  <c r="M102" i="73"/>
  <c r="L102" i="73"/>
  <c r="O101" i="73"/>
  <c r="N101" i="73"/>
  <c r="M101" i="73"/>
  <c r="L101" i="73"/>
  <c r="BC100" i="109" s="1"/>
  <c r="O100" i="73"/>
  <c r="N100" i="73"/>
  <c r="M100" i="73"/>
  <c r="L100" i="73"/>
  <c r="O99" i="73"/>
  <c r="N99" i="73"/>
  <c r="M99" i="73"/>
  <c r="L99" i="73"/>
  <c r="BC98" i="109" s="1"/>
  <c r="O98" i="73"/>
  <c r="N98" i="73"/>
  <c r="M98" i="73"/>
  <c r="L98" i="73"/>
  <c r="O97" i="73"/>
  <c r="N97" i="73"/>
  <c r="M97" i="73"/>
  <c r="L97" i="73"/>
  <c r="O96" i="73"/>
  <c r="N96" i="73"/>
  <c r="M96" i="73"/>
  <c r="L96" i="73"/>
  <c r="O95" i="73"/>
  <c r="N95" i="73"/>
  <c r="M95" i="73"/>
  <c r="L95" i="73"/>
  <c r="O94" i="73"/>
  <c r="N94" i="73"/>
  <c r="M94" i="73"/>
  <c r="L94" i="73"/>
  <c r="O93" i="73"/>
  <c r="N93" i="73"/>
  <c r="M93" i="73"/>
  <c r="L93" i="73"/>
  <c r="BC92" i="109" s="1"/>
  <c r="O92" i="73"/>
  <c r="N92" i="73"/>
  <c r="M92" i="73"/>
  <c r="L92" i="73"/>
  <c r="O91" i="73"/>
  <c r="N91" i="73"/>
  <c r="M91" i="73"/>
  <c r="L91" i="73"/>
  <c r="BC90" i="109" s="1"/>
  <c r="O90" i="73"/>
  <c r="N90" i="73"/>
  <c r="M90" i="73"/>
  <c r="L90" i="73"/>
  <c r="O89" i="73"/>
  <c r="N89" i="73"/>
  <c r="M89" i="73"/>
  <c r="L89" i="73"/>
  <c r="O88" i="73"/>
  <c r="N88" i="73"/>
  <c r="M88" i="73"/>
  <c r="L88" i="73"/>
  <c r="O87" i="73"/>
  <c r="N87" i="73"/>
  <c r="M87" i="73"/>
  <c r="L87" i="73"/>
  <c r="O86" i="73"/>
  <c r="N86" i="73"/>
  <c r="M86" i="73"/>
  <c r="L86" i="73"/>
  <c r="BC85" i="109" s="1"/>
  <c r="O85" i="73"/>
  <c r="N85" i="73"/>
  <c r="M85" i="73"/>
  <c r="L85" i="73"/>
  <c r="O84" i="73"/>
  <c r="N84" i="73"/>
  <c r="M84" i="73"/>
  <c r="L84" i="73"/>
  <c r="O83" i="73"/>
  <c r="N83" i="73"/>
  <c r="M83" i="73"/>
  <c r="L83" i="73"/>
  <c r="BC82" i="109" s="1"/>
  <c r="O82" i="73"/>
  <c r="N82" i="73"/>
  <c r="M82" i="73"/>
  <c r="L82" i="73"/>
  <c r="BC8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BC74" i="109" s="1"/>
  <c r="O74" i="73"/>
  <c r="N74" i="73"/>
  <c r="M74" i="73"/>
  <c r="L74" i="73"/>
  <c r="BC73" i="109" s="1"/>
  <c r="O73" i="73"/>
  <c r="N73" i="73"/>
  <c r="M73" i="73"/>
  <c r="L73" i="73"/>
  <c r="O72" i="73"/>
  <c r="N72" i="73"/>
  <c r="M72" i="73"/>
  <c r="L72" i="73"/>
  <c r="BC71"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BC60" i="109" s="1"/>
  <c r="O60" i="73"/>
  <c r="N60" i="73"/>
  <c r="M60" i="73"/>
  <c r="L60" i="73"/>
  <c r="O59" i="73"/>
  <c r="N59" i="73"/>
  <c r="M59" i="73"/>
  <c r="L59" i="73"/>
  <c r="O58" i="73"/>
  <c r="N58" i="73"/>
  <c r="M58" i="73"/>
  <c r="L58" i="73"/>
  <c r="O57" i="73"/>
  <c r="N57" i="73"/>
  <c r="M57" i="73"/>
  <c r="L57" i="73"/>
  <c r="O56" i="73"/>
  <c r="N56" i="73"/>
  <c r="M56" i="73"/>
  <c r="L56" i="73"/>
  <c r="BC5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BC47" i="109" s="1"/>
  <c r="O47" i="73"/>
  <c r="N47" i="73"/>
  <c r="M47" i="73"/>
  <c r="L47" i="73"/>
  <c r="BC46" i="109" s="1"/>
  <c r="O46" i="73"/>
  <c r="N46" i="73"/>
  <c r="M46" i="73"/>
  <c r="L46" i="73"/>
  <c r="O45" i="73"/>
  <c r="N45" i="73"/>
  <c r="M45" i="73"/>
  <c r="L45" i="73"/>
  <c r="O44" i="73"/>
  <c r="N44" i="73"/>
  <c r="M44" i="73"/>
  <c r="L44" i="73"/>
  <c r="BC43"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BC35" i="109" s="1"/>
  <c r="O35" i="73"/>
  <c r="N35" i="73"/>
  <c r="M35" i="73"/>
  <c r="L35" i="73"/>
  <c r="O34" i="73"/>
  <c r="N34" i="73"/>
  <c r="M34" i="73"/>
  <c r="L34" i="73"/>
  <c r="O33" i="73"/>
  <c r="N33" i="73"/>
  <c r="M33" i="73"/>
  <c r="L33" i="73"/>
  <c r="O32" i="73"/>
  <c r="N32" i="73"/>
  <c r="M32" i="73"/>
  <c r="L32" i="73"/>
  <c r="O31" i="73"/>
  <c r="N31" i="73"/>
  <c r="M31" i="73"/>
  <c r="L31" i="73"/>
  <c r="O30" i="73"/>
  <c r="N30" i="73"/>
  <c r="M30" i="73"/>
  <c r="L30" i="73"/>
  <c r="BC29" i="109" s="1"/>
  <c r="O29" i="73"/>
  <c r="N29" i="73"/>
  <c r="M29" i="73"/>
  <c r="L29" i="73"/>
  <c r="BC28"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BC19"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BC8" i="109" s="1"/>
  <c r="O8" i="73"/>
  <c r="N8" i="73"/>
  <c r="M8" i="73"/>
  <c r="L8" i="73"/>
  <c r="BC7" i="109" s="1"/>
  <c r="O7" i="73"/>
  <c r="N7" i="73"/>
  <c r="M7" i="73"/>
  <c r="L7" i="73"/>
  <c r="BC6" i="109" s="1"/>
  <c r="O6" i="73"/>
  <c r="F63" i="1" s="1"/>
  <c r="N6" i="73"/>
  <c r="F62" i="1" s="1"/>
  <c r="M6" i="73"/>
  <c r="F61" i="1" s="1"/>
  <c r="L6" i="73"/>
  <c r="S126" i="72"/>
  <c r="R126" i="72"/>
  <c r="Q126" i="72"/>
  <c r="P126" i="72"/>
  <c r="S125" i="72"/>
  <c r="R125" i="72"/>
  <c r="Q125" i="72"/>
  <c r="P125" i="72"/>
  <c r="S124" i="72"/>
  <c r="R124" i="72"/>
  <c r="Q124" i="72"/>
  <c r="P124" i="72"/>
  <c r="S123" i="72"/>
  <c r="R123" i="72"/>
  <c r="Q123" i="72"/>
  <c r="P123" i="72"/>
  <c r="S122" i="72"/>
  <c r="R122" i="72"/>
  <c r="Q122" i="72"/>
  <c r="P122" i="72"/>
  <c r="S121" i="72"/>
  <c r="R121" i="72"/>
  <c r="Q121" i="72"/>
  <c r="P121" i="72"/>
  <c r="S120" i="72"/>
  <c r="R120" i="72"/>
  <c r="Q120" i="72"/>
  <c r="P120" i="72"/>
  <c r="S119" i="72"/>
  <c r="R119" i="72"/>
  <c r="Q119" i="72"/>
  <c r="P119" i="72"/>
  <c r="S118" i="72"/>
  <c r="R118" i="72"/>
  <c r="Q118" i="72"/>
  <c r="P118" i="72"/>
  <c r="S117" i="72"/>
  <c r="R117" i="72"/>
  <c r="Q117" i="72"/>
  <c r="P117" i="72"/>
  <c r="S116" i="72"/>
  <c r="R116" i="72"/>
  <c r="Q116" i="72"/>
  <c r="P116" i="72"/>
  <c r="S115" i="72"/>
  <c r="R115" i="72"/>
  <c r="Q115" i="72"/>
  <c r="P115" i="72"/>
  <c r="S114" i="72"/>
  <c r="R114" i="72"/>
  <c r="Q114" i="72"/>
  <c r="P114" i="72"/>
  <c r="S113" i="72"/>
  <c r="R113" i="72"/>
  <c r="Q113" i="72"/>
  <c r="P113" i="72"/>
  <c r="S112" i="72"/>
  <c r="R112" i="72"/>
  <c r="Q112" i="72"/>
  <c r="P112" i="72"/>
  <c r="S111" i="72"/>
  <c r="R111" i="72"/>
  <c r="Q111" i="72"/>
  <c r="P111" i="72"/>
  <c r="S110" i="72"/>
  <c r="R110" i="72"/>
  <c r="Q110" i="72"/>
  <c r="P110" i="72"/>
  <c r="S109" i="72"/>
  <c r="R109" i="72"/>
  <c r="Q109" i="72"/>
  <c r="P109" i="72"/>
  <c r="S108" i="72"/>
  <c r="R108" i="72"/>
  <c r="Q108" i="72"/>
  <c r="P108" i="72"/>
  <c r="S107" i="72"/>
  <c r="R107" i="72"/>
  <c r="Q107" i="72"/>
  <c r="P107" i="72"/>
  <c r="S106" i="72"/>
  <c r="R106" i="72"/>
  <c r="Q106" i="72"/>
  <c r="P106" i="72"/>
  <c r="S105" i="72"/>
  <c r="R105" i="72"/>
  <c r="Q105" i="72"/>
  <c r="P105" i="72"/>
  <c r="S104" i="72"/>
  <c r="R104" i="72"/>
  <c r="Q104" i="72"/>
  <c r="P104" i="72"/>
  <c r="S103" i="72"/>
  <c r="R103" i="72"/>
  <c r="Q103" i="72"/>
  <c r="P103" i="72"/>
  <c r="S102" i="72"/>
  <c r="R102" i="72"/>
  <c r="Q102" i="72"/>
  <c r="P102" i="72"/>
  <c r="S101" i="72"/>
  <c r="R101" i="72"/>
  <c r="Q101" i="72"/>
  <c r="P101" i="72"/>
  <c r="S100" i="72"/>
  <c r="R100" i="72"/>
  <c r="Q100" i="72"/>
  <c r="P100" i="72"/>
  <c r="S99" i="72"/>
  <c r="R99" i="72"/>
  <c r="Q99" i="72"/>
  <c r="P99" i="72"/>
  <c r="S98" i="72"/>
  <c r="R98" i="72"/>
  <c r="Q98" i="72"/>
  <c r="P98" i="72"/>
  <c r="S97" i="72"/>
  <c r="R97" i="72"/>
  <c r="Q97" i="72"/>
  <c r="P97" i="72"/>
  <c r="S96" i="72"/>
  <c r="R96" i="72"/>
  <c r="Q96" i="72"/>
  <c r="P96" i="72"/>
  <c r="S95" i="72"/>
  <c r="R95" i="72"/>
  <c r="Q95" i="72"/>
  <c r="P95" i="72"/>
  <c r="S94" i="72"/>
  <c r="R94" i="72"/>
  <c r="Q94" i="72"/>
  <c r="P94" i="72"/>
  <c r="S93" i="72"/>
  <c r="R93" i="72"/>
  <c r="Q93" i="72"/>
  <c r="P93" i="72"/>
  <c r="S92" i="72"/>
  <c r="R92" i="72"/>
  <c r="Q92" i="72"/>
  <c r="P92" i="72"/>
  <c r="S91" i="72"/>
  <c r="R91" i="72"/>
  <c r="Q91" i="72"/>
  <c r="P91" i="72"/>
  <c r="S90" i="72"/>
  <c r="R90" i="72"/>
  <c r="Q90" i="72"/>
  <c r="P90" i="72"/>
  <c r="S89" i="72"/>
  <c r="R89" i="72"/>
  <c r="Q89" i="72"/>
  <c r="P89" i="72"/>
  <c r="S88" i="72"/>
  <c r="R88" i="72"/>
  <c r="Q88" i="72"/>
  <c r="P88" i="72"/>
  <c r="S87" i="72"/>
  <c r="R87" i="72"/>
  <c r="Q87" i="72"/>
  <c r="P87" i="72"/>
  <c r="S86" i="72"/>
  <c r="R86" i="72"/>
  <c r="Q86" i="72"/>
  <c r="P86" i="72"/>
  <c r="S85" i="72"/>
  <c r="R85" i="72"/>
  <c r="Q85" i="72"/>
  <c r="P85" i="72"/>
  <c r="S84" i="72"/>
  <c r="R84" i="72"/>
  <c r="Q84" i="72"/>
  <c r="P84" i="72"/>
  <c r="S83" i="72"/>
  <c r="R83" i="72"/>
  <c r="Q83" i="72"/>
  <c r="P83" i="72"/>
  <c r="S82" i="72"/>
  <c r="R82" i="72"/>
  <c r="Q82" i="72"/>
  <c r="P82" i="72"/>
  <c r="S81" i="72"/>
  <c r="R81" i="72"/>
  <c r="Q81" i="72"/>
  <c r="P81" i="72"/>
  <c r="S80" i="72"/>
  <c r="R80" i="72"/>
  <c r="Q80" i="72"/>
  <c r="P80" i="72"/>
  <c r="S79" i="72"/>
  <c r="R79" i="72"/>
  <c r="Q79" i="72"/>
  <c r="P79" i="72"/>
  <c r="S78" i="72"/>
  <c r="R78" i="72"/>
  <c r="Q78" i="72"/>
  <c r="P78" i="72"/>
  <c r="S77" i="72"/>
  <c r="R77" i="72"/>
  <c r="Q77" i="72"/>
  <c r="P77" i="72"/>
  <c r="S76" i="72"/>
  <c r="R76" i="72"/>
  <c r="Q76" i="72"/>
  <c r="P76" i="72"/>
  <c r="S75" i="72"/>
  <c r="R75" i="72"/>
  <c r="Q75" i="72"/>
  <c r="P75" i="72"/>
  <c r="S74" i="72"/>
  <c r="R74" i="72"/>
  <c r="Q74" i="72"/>
  <c r="P74" i="72"/>
  <c r="S73" i="72"/>
  <c r="R73" i="72"/>
  <c r="Q73" i="72"/>
  <c r="P73" i="72"/>
  <c r="S72" i="72"/>
  <c r="R72" i="72"/>
  <c r="Q72" i="72"/>
  <c r="P72" i="72"/>
  <c r="S71" i="72"/>
  <c r="R71" i="72"/>
  <c r="Q71" i="72"/>
  <c r="P71" i="72"/>
  <c r="S70" i="72"/>
  <c r="R70" i="72"/>
  <c r="Q70" i="72"/>
  <c r="P70" i="72"/>
  <c r="S69" i="72"/>
  <c r="R69" i="72"/>
  <c r="Q69" i="72"/>
  <c r="P69" i="72"/>
  <c r="S68" i="72"/>
  <c r="R68" i="72"/>
  <c r="Q68" i="72"/>
  <c r="P68" i="72"/>
  <c r="S67" i="72"/>
  <c r="R67" i="72"/>
  <c r="Q67" i="72"/>
  <c r="P67" i="72"/>
  <c r="S66" i="72"/>
  <c r="R66" i="72"/>
  <c r="Q66" i="72"/>
  <c r="P66" i="72"/>
  <c r="S65" i="72"/>
  <c r="R65" i="72"/>
  <c r="Q65" i="72"/>
  <c r="P65" i="72"/>
  <c r="S64" i="72"/>
  <c r="R64" i="72"/>
  <c r="Q64" i="72"/>
  <c r="P64" i="72"/>
  <c r="S63" i="72"/>
  <c r="R63" i="72"/>
  <c r="Q63" i="72"/>
  <c r="P63" i="72"/>
  <c r="S62" i="72"/>
  <c r="R62" i="72"/>
  <c r="Q62" i="72"/>
  <c r="P62" i="72"/>
  <c r="S61" i="72"/>
  <c r="R61" i="72"/>
  <c r="Q61" i="72"/>
  <c r="P61" i="72"/>
  <c r="S60" i="72"/>
  <c r="R60" i="72"/>
  <c r="Q60" i="72"/>
  <c r="P60" i="72"/>
  <c r="S59" i="72"/>
  <c r="R59" i="72"/>
  <c r="Q59" i="72"/>
  <c r="P59" i="72"/>
  <c r="S58" i="72"/>
  <c r="R58" i="72"/>
  <c r="Q58" i="72"/>
  <c r="P58" i="72"/>
  <c r="S57" i="72"/>
  <c r="R57" i="72"/>
  <c r="Q57" i="72"/>
  <c r="P57" i="72"/>
  <c r="S56" i="72"/>
  <c r="R56" i="72"/>
  <c r="Q56" i="72"/>
  <c r="P56" i="72"/>
  <c r="S55" i="72"/>
  <c r="R55" i="72"/>
  <c r="Q55" i="72"/>
  <c r="P55" i="72"/>
  <c r="S54" i="72"/>
  <c r="R54" i="72"/>
  <c r="Q54" i="72"/>
  <c r="P54" i="72"/>
  <c r="S53" i="72"/>
  <c r="R53" i="72"/>
  <c r="Q53" i="72"/>
  <c r="P53" i="72"/>
  <c r="S52" i="72"/>
  <c r="R52" i="72"/>
  <c r="Q52" i="72"/>
  <c r="P52" i="72"/>
  <c r="S51" i="72"/>
  <c r="R51" i="72"/>
  <c r="Q51" i="72"/>
  <c r="P51" i="72"/>
  <c r="S50" i="72"/>
  <c r="R50" i="72"/>
  <c r="Q50" i="72"/>
  <c r="P50" i="72"/>
  <c r="S49" i="72"/>
  <c r="R49" i="72"/>
  <c r="Q49" i="72"/>
  <c r="P49" i="72"/>
  <c r="S48" i="72"/>
  <c r="R48" i="72"/>
  <c r="Q48" i="72"/>
  <c r="P48" i="72"/>
  <c r="S47" i="72"/>
  <c r="R47" i="72"/>
  <c r="Q47" i="72"/>
  <c r="P47" i="72"/>
  <c r="S46" i="72"/>
  <c r="R46" i="72"/>
  <c r="Q46" i="72"/>
  <c r="P46" i="72"/>
  <c r="S45" i="72"/>
  <c r="R45" i="72"/>
  <c r="Q45" i="72"/>
  <c r="P45" i="72"/>
  <c r="S44" i="72"/>
  <c r="R44" i="72"/>
  <c r="Q44" i="72"/>
  <c r="P44" i="72"/>
  <c r="S43" i="72"/>
  <c r="R43" i="72"/>
  <c r="Q43" i="72"/>
  <c r="P43" i="72"/>
  <c r="S42" i="72"/>
  <c r="R42" i="72"/>
  <c r="Q42" i="72"/>
  <c r="P42" i="72"/>
  <c r="S41" i="72"/>
  <c r="R41" i="72"/>
  <c r="Q41" i="72"/>
  <c r="P41" i="72"/>
  <c r="S40" i="72"/>
  <c r="R40" i="72"/>
  <c r="Q40" i="72"/>
  <c r="P40" i="72"/>
  <c r="S39" i="72"/>
  <c r="R39" i="72"/>
  <c r="Q39" i="72"/>
  <c r="P39" i="72"/>
  <c r="S38" i="72"/>
  <c r="R38" i="72"/>
  <c r="Q38" i="72"/>
  <c r="P38" i="72"/>
  <c r="S37" i="72"/>
  <c r="R37" i="72"/>
  <c r="Q37" i="72"/>
  <c r="P37" i="72"/>
  <c r="S36" i="72"/>
  <c r="R36" i="72"/>
  <c r="Q36" i="72"/>
  <c r="P36" i="72"/>
  <c r="S35" i="72"/>
  <c r="R35" i="72"/>
  <c r="Q35" i="72"/>
  <c r="P35" i="72"/>
  <c r="S34" i="72"/>
  <c r="R34" i="72"/>
  <c r="Q34" i="72"/>
  <c r="P34" i="72"/>
  <c r="S33" i="72"/>
  <c r="R33" i="72"/>
  <c r="Q33" i="72"/>
  <c r="P33" i="72"/>
  <c r="S32" i="72"/>
  <c r="R32" i="72"/>
  <c r="Q32" i="72"/>
  <c r="P32" i="72"/>
  <c r="S31" i="72"/>
  <c r="R31" i="72"/>
  <c r="Q31" i="72"/>
  <c r="P31" i="72"/>
  <c r="S30" i="72"/>
  <c r="R30" i="72"/>
  <c r="Q30" i="72"/>
  <c r="P30" i="72"/>
  <c r="S29" i="72"/>
  <c r="R29" i="72"/>
  <c r="Q29" i="72"/>
  <c r="P29" i="72"/>
  <c r="S28" i="72"/>
  <c r="R28" i="72"/>
  <c r="Q28" i="72"/>
  <c r="P28" i="72"/>
  <c r="S27" i="72"/>
  <c r="R27" i="72"/>
  <c r="Q27" i="72"/>
  <c r="P27" i="72"/>
  <c r="S26" i="72"/>
  <c r="R26" i="72"/>
  <c r="Q26" i="72"/>
  <c r="P26" i="72"/>
  <c r="S25" i="72"/>
  <c r="R25" i="72"/>
  <c r="Q25" i="72"/>
  <c r="P25" i="72"/>
  <c r="S24" i="72"/>
  <c r="R24" i="72"/>
  <c r="Q24" i="72"/>
  <c r="P24" i="72"/>
  <c r="S23" i="72"/>
  <c r="R23" i="72"/>
  <c r="Q23" i="72"/>
  <c r="P23" i="72"/>
  <c r="S22" i="72"/>
  <c r="R22" i="72"/>
  <c r="Q22" i="72"/>
  <c r="P22" i="72"/>
  <c r="S21" i="72"/>
  <c r="R21" i="72"/>
  <c r="Q21" i="72"/>
  <c r="P21" i="72"/>
  <c r="S20" i="72"/>
  <c r="R20" i="72"/>
  <c r="Q20" i="72"/>
  <c r="P20" i="72"/>
  <c r="S19" i="72"/>
  <c r="R19" i="72"/>
  <c r="Q19" i="72"/>
  <c r="P19" i="72"/>
  <c r="S18" i="72"/>
  <c r="R18" i="72"/>
  <c r="Q18" i="72"/>
  <c r="P18" i="72"/>
  <c r="S17" i="72"/>
  <c r="R17" i="72"/>
  <c r="Q17" i="72"/>
  <c r="P17" i="72"/>
  <c r="S16" i="72"/>
  <c r="R16" i="72"/>
  <c r="Q16" i="72"/>
  <c r="P16" i="72"/>
  <c r="S15" i="72"/>
  <c r="R15" i="72"/>
  <c r="Q15" i="72"/>
  <c r="P15" i="72"/>
  <c r="S14" i="72"/>
  <c r="R14" i="72"/>
  <c r="Q14" i="72"/>
  <c r="P14" i="72"/>
  <c r="S13" i="72"/>
  <c r="R13" i="72"/>
  <c r="Q13" i="72"/>
  <c r="P13" i="72"/>
  <c r="S12" i="72"/>
  <c r="R12" i="72"/>
  <c r="Q12" i="72"/>
  <c r="P12" i="72"/>
  <c r="S11" i="72"/>
  <c r="R11" i="72"/>
  <c r="Q11" i="72"/>
  <c r="P11" i="72"/>
  <c r="S10" i="72"/>
  <c r="R10" i="72"/>
  <c r="Q10" i="72"/>
  <c r="P10" i="72"/>
  <c r="S9" i="72"/>
  <c r="R9" i="72"/>
  <c r="Q9" i="72"/>
  <c r="P9" i="72"/>
  <c r="S8" i="72"/>
  <c r="R8" i="72"/>
  <c r="Q8" i="72"/>
  <c r="P8" i="72"/>
  <c r="S7" i="72"/>
  <c r="R7" i="72"/>
  <c r="Q7" i="72"/>
  <c r="P7" i="72"/>
  <c r="S6" i="72"/>
  <c r="R6" i="72"/>
  <c r="Q6" i="72"/>
  <c r="P6" i="72"/>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D125" i="46"/>
  <c r="C123" i="46"/>
  <c r="F122" i="46"/>
  <c r="E122" i="46"/>
  <c r="D122" i="46"/>
  <c r="F121" i="46"/>
  <c r="E121" i="46"/>
  <c r="D121" i="46"/>
  <c r="F120" i="46"/>
  <c r="E120" i="46"/>
  <c r="D120" i="46"/>
  <c r="F119" i="46"/>
  <c r="E119" i="46"/>
  <c r="D119" i="46"/>
  <c r="F118" i="46"/>
  <c r="E118" i="46"/>
  <c r="D118" i="46"/>
  <c r="F117" i="46"/>
  <c r="E117" i="46"/>
  <c r="D117" i="46"/>
  <c r="F116" i="46"/>
  <c r="E116" i="46"/>
  <c r="D116" i="46"/>
  <c r="F115" i="46"/>
  <c r="E115" i="46"/>
  <c r="D115" i="46"/>
  <c r="F114" i="46"/>
  <c r="E114" i="46"/>
  <c r="D114" i="46"/>
  <c r="F113" i="46"/>
  <c r="E113" i="46"/>
  <c r="D113" i="46"/>
  <c r="F112" i="46"/>
  <c r="E112" i="46"/>
  <c r="D112" i="46"/>
  <c r="F111" i="46"/>
  <c r="E111" i="46"/>
  <c r="D111" i="46"/>
  <c r="F110" i="46"/>
  <c r="E110" i="46"/>
  <c r="D110" i="46"/>
  <c r="F109" i="46"/>
  <c r="E109" i="46"/>
  <c r="D109" i="46"/>
  <c r="F108" i="46"/>
  <c r="E108" i="46"/>
  <c r="D108" i="46"/>
  <c r="F107" i="46"/>
  <c r="E107" i="46"/>
  <c r="D107" i="46"/>
  <c r="F106" i="46"/>
  <c r="E106" i="46"/>
  <c r="D106" i="46"/>
  <c r="F105" i="46"/>
  <c r="E105" i="46"/>
  <c r="D105" i="46"/>
  <c r="F104" i="46"/>
  <c r="E104" i="46"/>
  <c r="D104" i="46"/>
  <c r="F103" i="46"/>
  <c r="E103" i="46"/>
  <c r="D103" i="46"/>
  <c r="F102" i="46"/>
  <c r="E102" i="46"/>
  <c r="D102" i="46"/>
  <c r="F101" i="46"/>
  <c r="E101" i="46"/>
  <c r="D101" i="46"/>
  <c r="F100" i="46"/>
  <c r="E100" i="46"/>
  <c r="D100" i="46"/>
  <c r="F99" i="46"/>
  <c r="E99" i="46"/>
  <c r="D99" i="46"/>
  <c r="F98" i="46"/>
  <c r="E98" i="46"/>
  <c r="D98" i="46"/>
  <c r="F97" i="46"/>
  <c r="E97" i="46"/>
  <c r="D97" i="46"/>
  <c r="F96" i="46"/>
  <c r="E96" i="46"/>
  <c r="D96" i="46"/>
  <c r="F95" i="46"/>
  <c r="E95" i="46"/>
  <c r="D95" i="46"/>
  <c r="F94" i="46"/>
  <c r="E94" i="46"/>
  <c r="D94" i="46"/>
  <c r="F93" i="46"/>
  <c r="E93" i="46"/>
  <c r="D93" i="46"/>
  <c r="F92" i="46"/>
  <c r="E92" i="46"/>
  <c r="D92" i="46"/>
  <c r="F91" i="46"/>
  <c r="E91" i="46"/>
  <c r="D91" i="46"/>
  <c r="F90" i="46"/>
  <c r="E90" i="46"/>
  <c r="D90" i="46"/>
  <c r="F89" i="46"/>
  <c r="E89" i="46"/>
  <c r="D89" i="46"/>
  <c r="F88" i="46"/>
  <c r="E88" i="46"/>
  <c r="D88" i="46"/>
  <c r="F87" i="46"/>
  <c r="E87" i="46"/>
  <c r="D87" i="46"/>
  <c r="F86" i="46"/>
  <c r="E86" i="46"/>
  <c r="D86" i="46"/>
  <c r="F85" i="46"/>
  <c r="E85" i="46"/>
  <c r="D85" i="46"/>
  <c r="F84" i="46"/>
  <c r="E84" i="46"/>
  <c r="D84" i="46"/>
  <c r="F83" i="46"/>
  <c r="E83" i="46"/>
  <c r="D83" i="46"/>
  <c r="F82" i="46"/>
  <c r="E82" i="46"/>
  <c r="D82" i="46"/>
  <c r="F81" i="46"/>
  <c r="E81" i="46"/>
  <c r="D81" i="46"/>
  <c r="F80" i="46"/>
  <c r="E80" i="46"/>
  <c r="D80" i="46"/>
  <c r="F79" i="46"/>
  <c r="E79" i="46"/>
  <c r="D79" i="46"/>
  <c r="F78" i="46"/>
  <c r="E78" i="46"/>
  <c r="D78" i="46"/>
  <c r="F77" i="46"/>
  <c r="E77" i="46"/>
  <c r="D77" i="46"/>
  <c r="F76" i="46"/>
  <c r="E76" i="46"/>
  <c r="D76" i="46"/>
  <c r="F75" i="46"/>
  <c r="E75" i="46"/>
  <c r="D75" i="46"/>
  <c r="F74" i="46"/>
  <c r="E74" i="46"/>
  <c r="D74" i="46"/>
  <c r="F73" i="46"/>
  <c r="E73" i="46"/>
  <c r="D73" i="46"/>
  <c r="F72" i="46"/>
  <c r="E72" i="46"/>
  <c r="D72" i="46"/>
  <c r="F71" i="46"/>
  <c r="E71" i="46"/>
  <c r="D71" i="46"/>
  <c r="F70" i="46"/>
  <c r="E70" i="46"/>
  <c r="D70" i="46"/>
  <c r="F69" i="46"/>
  <c r="E69" i="46"/>
  <c r="D69" i="46"/>
  <c r="F68" i="46"/>
  <c r="E68" i="46"/>
  <c r="D68" i="46"/>
  <c r="F67" i="46"/>
  <c r="E67" i="46"/>
  <c r="D67" i="46"/>
  <c r="F66" i="46"/>
  <c r="E66" i="46"/>
  <c r="D66" i="46"/>
  <c r="F65" i="46"/>
  <c r="E65" i="46"/>
  <c r="D65" i="46"/>
  <c r="F64" i="46"/>
  <c r="E64" i="46"/>
  <c r="D64" i="46"/>
  <c r="F63" i="46"/>
  <c r="E63" i="46"/>
  <c r="D63" i="46"/>
  <c r="F62" i="46"/>
  <c r="E62" i="46"/>
  <c r="D62" i="46"/>
  <c r="F61" i="46"/>
  <c r="E61" i="46"/>
  <c r="D61" i="46"/>
  <c r="F60" i="46"/>
  <c r="E60" i="46"/>
  <c r="D60" i="46"/>
  <c r="F59" i="46"/>
  <c r="E59" i="46"/>
  <c r="D59" i="46"/>
  <c r="F58" i="46"/>
  <c r="E58" i="46"/>
  <c r="D58" i="46"/>
  <c r="F57" i="46"/>
  <c r="E57" i="46"/>
  <c r="D57" i="46"/>
  <c r="F56" i="46"/>
  <c r="E56" i="46"/>
  <c r="D56" i="46"/>
  <c r="F55" i="46"/>
  <c r="E55" i="46"/>
  <c r="D55" i="46"/>
  <c r="F54" i="46"/>
  <c r="E54" i="46"/>
  <c r="D54" i="46"/>
  <c r="F53" i="46"/>
  <c r="E53" i="46"/>
  <c r="D53" i="46"/>
  <c r="F52" i="46"/>
  <c r="E52" i="46"/>
  <c r="D52" i="46"/>
  <c r="F51" i="46"/>
  <c r="E51" i="46"/>
  <c r="D51" i="46"/>
  <c r="F50" i="46"/>
  <c r="E50" i="46"/>
  <c r="D50" i="46"/>
  <c r="F49" i="46"/>
  <c r="E49" i="46"/>
  <c r="D49" i="46"/>
  <c r="F48" i="46"/>
  <c r="E48" i="46"/>
  <c r="D48" i="46"/>
  <c r="F47" i="46"/>
  <c r="E47" i="46"/>
  <c r="D47" i="46"/>
  <c r="F46" i="46"/>
  <c r="E46" i="46"/>
  <c r="D46" i="46"/>
  <c r="F45" i="46"/>
  <c r="E45" i="46"/>
  <c r="D45" i="46"/>
  <c r="F44" i="46"/>
  <c r="E44" i="46"/>
  <c r="D44" i="46"/>
  <c r="F43" i="46"/>
  <c r="E43" i="46"/>
  <c r="D43" i="46"/>
  <c r="F42" i="46"/>
  <c r="E42" i="46"/>
  <c r="D42" i="46"/>
  <c r="F41" i="46"/>
  <c r="E41" i="46"/>
  <c r="D41" i="46"/>
  <c r="F40" i="46"/>
  <c r="E40" i="46"/>
  <c r="D40" i="46"/>
  <c r="F39" i="46"/>
  <c r="E39" i="46"/>
  <c r="D39" i="46"/>
  <c r="F38" i="46"/>
  <c r="E38" i="46"/>
  <c r="D38" i="46"/>
  <c r="F37" i="46"/>
  <c r="E37" i="46"/>
  <c r="D37" i="46"/>
  <c r="F36" i="46"/>
  <c r="E36" i="46"/>
  <c r="D36" i="46"/>
  <c r="F35" i="46"/>
  <c r="E35" i="46"/>
  <c r="D35" i="46"/>
  <c r="F34" i="46"/>
  <c r="E34" i="46"/>
  <c r="D34" i="46"/>
  <c r="F33" i="46"/>
  <c r="E33" i="46"/>
  <c r="D33" i="46"/>
  <c r="F32" i="46"/>
  <c r="E32" i="46"/>
  <c r="D32" i="46"/>
  <c r="F31" i="46"/>
  <c r="E31" i="46"/>
  <c r="D31" i="46"/>
  <c r="F30" i="46"/>
  <c r="E30" i="46"/>
  <c r="D30" i="46"/>
  <c r="F29" i="46"/>
  <c r="E29" i="46"/>
  <c r="D29" i="46"/>
  <c r="F28" i="46"/>
  <c r="E28" i="46"/>
  <c r="D28" i="46"/>
  <c r="F27" i="46"/>
  <c r="E27" i="46"/>
  <c r="D27" i="46"/>
  <c r="F26" i="46"/>
  <c r="E26" i="46"/>
  <c r="D26" i="46"/>
  <c r="F25" i="46"/>
  <c r="E25" i="46"/>
  <c r="D25" i="46"/>
  <c r="F24" i="46"/>
  <c r="E24" i="46"/>
  <c r="D24" i="46"/>
  <c r="F23" i="46"/>
  <c r="E23" i="46"/>
  <c r="D23" i="46"/>
  <c r="F22" i="46"/>
  <c r="E22" i="46"/>
  <c r="D22" i="46"/>
  <c r="F21" i="46"/>
  <c r="E21" i="46"/>
  <c r="D21" i="46"/>
  <c r="F20" i="46"/>
  <c r="E20" i="46"/>
  <c r="D20" i="46"/>
  <c r="F19" i="46"/>
  <c r="E19" i="46"/>
  <c r="D19" i="46"/>
  <c r="F18" i="46"/>
  <c r="E18" i="46"/>
  <c r="D18" i="46"/>
  <c r="F17" i="46"/>
  <c r="E17" i="46"/>
  <c r="D17" i="46"/>
  <c r="F16" i="46"/>
  <c r="E16" i="46"/>
  <c r="D16" i="46"/>
  <c r="F15" i="46"/>
  <c r="E15" i="46"/>
  <c r="D15" i="46"/>
  <c r="F14" i="46"/>
  <c r="E14" i="46"/>
  <c r="D14" i="46"/>
  <c r="F13" i="46"/>
  <c r="E13" i="46"/>
  <c r="D13" i="46"/>
  <c r="F12" i="46"/>
  <c r="E12" i="46"/>
  <c r="D12" i="46"/>
  <c r="F11" i="46"/>
  <c r="E11" i="46"/>
  <c r="D11" i="46"/>
  <c r="F10" i="46"/>
  <c r="E10" i="46"/>
  <c r="D10" i="46"/>
  <c r="F9" i="46"/>
  <c r="E9" i="46"/>
  <c r="D9" i="46"/>
  <c r="F8" i="46"/>
  <c r="E8" i="46"/>
  <c r="D8" i="46"/>
  <c r="F7" i="46"/>
  <c r="E7" i="46"/>
  <c r="D7" i="46"/>
  <c r="F6" i="46"/>
  <c r="E6" i="46"/>
  <c r="D6" i="46"/>
  <c r="F5" i="46"/>
  <c r="E5" i="46"/>
  <c r="D5" i="46"/>
  <c r="F4" i="46"/>
  <c r="E4" i="46"/>
  <c r="D4" i="46"/>
  <c r="F3" i="46"/>
  <c r="F123" i="46" s="1"/>
  <c r="E3" i="46"/>
  <c r="E123" i="46" s="1"/>
  <c r="D3" i="46"/>
  <c r="D123" i="46" s="1"/>
  <c r="AL4" i="62"/>
  <c r="AK4" i="62"/>
  <c r="AJ4" i="62"/>
  <c r="AI4" i="62"/>
  <c r="AH4" i="62"/>
  <c r="AF4" i="62"/>
  <c r="AE4" i="62"/>
  <c r="AD4" i="62"/>
  <c r="AC4" i="62"/>
  <c r="AB4" i="62"/>
  <c r="N4" i="62"/>
  <c r="M4" i="62"/>
  <c r="L4" i="62"/>
  <c r="K4" i="62"/>
  <c r="J4" i="62"/>
  <c r="E4" i="59"/>
  <c r="D4" i="59"/>
  <c r="AL4" i="60"/>
  <c r="AK4" i="60"/>
  <c r="AJ4" i="60"/>
  <c r="AI4" i="60"/>
  <c r="AH4" i="60"/>
  <c r="AD4" i="60"/>
  <c r="AC4" i="60"/>
  <c r="AB4" i="60"/>
  <c r="AA4" i="60"/>
  <c r="Z4" i="60"/>
  <c r="V4" i="60"/>
  <c r="U4" i="60"/>
  <c r="X131" i="60" s="1"/>
  <c r="T4" i="60"/>
  <c r="S4" i="60"/>
  <c r="R4" i="60"/>
  <c r="I18" i="123"/>
  <c r="E4" i="58"/>
  <c r="D4" i="58"/>
  <c r="L15" i="123" s="1"/>
  <c r="N4" i="57"/>
  <c r="M4" i="57"/>
  <c r="L4" i="57"/>
  <c r="J4" i="57"/>
  <c r="I4" i="57"/>
  <c r="H4" i="57"/>
  <c r="DZ4" i="56"/>
  <c r="DY4" i="56"/>
  <c r="DX4" i="56"/>
  <c r="DW4" i="56"/>
  <c r="DV4" i="56"/>
  <c r="DT4" i="56"/>
  <c r="DS4" i="56"/>
  <c r="DR4" i="56"/>
  <c r="DQ4" i="56"/>
  <c r="DP4" i="56"/>
  <c r="DB4" i="56"/>
  <c r="DA4" i="56"/>
  <c r="CZ4" i="56"/>
  <c r="CY4" i="56"/>
  <c r="CX4" i="56"/>
  <c r="CV4" i="56"/>
  <c r="CU4" i="56"/>
  <c r="CT4" i="56"/>
  <c r="CS4" i="56"/>
  <c r="CR4" i="56"/>
  <c r="CP4" i="56"/>
  <c r="CO4" i="56"/>
  <c r="CN4" i="56"/>
  <c r="CM4" i="56"/>
  <c r="CL4" i="56"/>
  <c r="CJ4" i="56"/>
  <c r="CI4" i="56"/>
  <c r="CH4" i="56"/>
  <c r="CG4" i="56"/>
  <c r="CF4" i="56"/>
  <c r="CD4" i="56"/>
  <c r="CC4" i="56"/>
  <c r="CB4" i="56"/>
  <c r="CA4" i="56"/>
  <c r="BZ4" i="56"/>
  <c r="BX4" i="56"/>
  <c r="BW4" i="56"/>
  <c r="BV4" i="56"/>
  <c r="BU4" i="56"/>
  <c r="BT4" i="56"/>
  <c r="BR4" i="56"/>
  <c r="BQ4" i="56"/>
  <c r="BP4" i="56"/>
  <c r="BO4" i="56"/>
  <c r="BN4" i="56"/>
  <c r="BL4" i="56"/>
  <c r="BK4" i="56"/>
  <c r="BJ4" i="56"/>
  <c r="BI4" i="56"/>
  <c r="BH4" i="56"/>
  <c r="BF4" i="56"/>
  <c r="BE4" i="56"/>
  <c r="BD4" i="56"/>
  <c r="BC4" i="56"/>
  <c r="BB4" i="56"/>
  <c r="AZ4" i="56"/>
  <c r="AY4" i="56"/>
  <c r="AX4" i="56"/>
  <c r="AW4" i="56"/>
  <c r="AV4" i="56"/>
  <c r="AT4" i="56"/>
  <c r="AS4" i="56"/>
  <c r="AR4" i="56"/>
  <c r="AQ4" i="56"/>
  <c r="AP4" i="56"/>
  <c r="AN4" i="56"/>
  <c r="AM4" i="56"/>
  <c r="AL4" i="56"/>
  <c r="AK4" i="56"/>
  <c r="AJ4" i="56"/>
  <c r="AH4" i="56"/>
  <c r="AG4" i="56"/>
  <c r="AF4" i="56"/>
  <c r="AE4" i="56"/>
  <c r="AD4" i="56"/>
  <c r="AB4" i="56"/>
  <c r="AA4" i="56"/>
  <c r="Z4" i="56"/>
  <c r="Y4" i="56"/>
  <c r="X4" i="56"/>
  <c r="V4" i="56"/>
  <c r="U4" i="56"/>
  <c r="T4" i="56"/>
  <c r="S4" i="56"/>
  <c r="R4" i="56"/>
  <c r="P4" i="56"/>
  <c r="O4" i="56"/>
  <c r="N4" i="56"/>
  <c r="M4" i="56"/>
  <c r="L4" i="56"/>
  <c r="Q4" i="55"/>
  <c r="U4" i="53"/>
  <c r="T4" i="53"/>
  <c r="S4" i="53"/>
  <c r="R4" i="53"/>
  <c r="N4" i="53"/>
  <c r="M4" i="53"/>
  <c r="L4" i="53"/>
  <c r="X125" i="36"/>
  <c r="W125" i="36"/>
  <c r="V125" i="36"/>
  <c r="U125" i="36"/>
  <c r="T125" i="36"/>
  <c r="S125" i="36"/>
  <c r="R125" i="36"/>
  <c r="Q125" i="36"/>
  <c r="N125" i="36"/>
  <c r="M125" i="36"/>
  <c r="L125" i="36"/>
  <c r="K125" i="36"/>
  <c r="J125" i="36"/>
  <c r="I125" i="36"/>
  <c r="H125" i="36"/>
  <c r="G125" i="36"/>
  <c r="F125" i="36"/>
  <c r="E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C1" i="36"/>
  <c r="D1" i="36" s="1"/>
  <c r="E1" i="36" s="1"/>
  <c r="F1" i="36" s="1"/>
  <c r="G1" i="36" s="1"/>
  <c r="H1" i="36" s="1"/>
  <c r="I1" i="36" s="1"/>
  <c r="J1" i="36" s="1"/>
  <c r="K1" i="36" s="1"/>
  <c r="L1" i="36" s="1"/>
  <c r="M1" i="36" s="1"/>
  <c r="N1" i="36" s="1"/>
  <c r="O1" i="36" s="1"/>
  <c r="E122" i="38"/>
  <c r="E123" i="38" s="1"/>
  <c r="D122" i="38"/>
  <c r="D123" i="38" s="1"/>
  <c r="C122" i="38"/>
  <c r="C123" i="38" s="1"/>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X123" i="41"/>
  <c r="W123" i="41"/>
  <c r="T123" i="41"/>
  <c r="S123" i="41"/>
  <c r="P123" i="41"/>
  <c r="L123" i="41"/>
  <c r="K123" i="41"/>
  <c r="H123" i="41"/>
  <c r="G123" i="41"/>
  <c r="D123" i="41"/>
  <c r="C123" i="41"/>
  <c r="X122" i="41"/>
  <c r="W122" i="41"/>
  <c r="T122" i="41"/>
  <c r="S122" i="41"/>
  <c r="P122" i="41"/>
  <c r="L122" i="41"/>
  <c r="K122" i="41"/>
  <c r="H122" i="41"/>
  <c r="G122" i="41"/>
  <c r="D122" i="41"/>
  <c r="C122" i="41"/>
  <c r="X121" i="41"/>
  <c r="W121" i="41"/>
  <c r="T121" i="41"/>
  <c r="S121" i="41"/>
  <c r="P121" i="41"/>
  <c r="L121" i="41"/>
  <c r="K121" i="41"/>
  <c r="H121" i="41"/>
  <c r="G121" i="41"/>
  <c r="D121" i="41"/>
  <c r="C121" i="41"/>
  <c r="X120" i="41"/>
  <c r="W120" i="41"/>
  <c r="T120" i="41"/>
  <c r="S120" i="41"/>
  <c r="P120" i="41"/>
  <c r="L120" i="41"/>
  <c r="K120" i="41"/>
  <c r="H120" i="41"/>
  <c r="G120" i="41"/>
  <c r="D120" i="41"/>
  <c r="C120" i="41"/>
  <c r="X119" i="41"/>
  <c r="W119" i="41"/>
  <c r="T119" i="41"/>
  <c r="S119" i="41"/>
  <c r="P119" i="41"/>
  <c r="L119" i="41"/>
  <c r="K119" i="41"/>
  <c r="H119" i="41"/>
  <c r="G119" i="41"/>
  <c r="D119" i="41"/>
  <c r="C119" i="41"/>
  <c r="X118" i="41"/>
  <c r="W118" i="41"/>
  <c r="T118" i="41"/>
  <c r="S118" i="41"/>
  <c r="P118" i="41"/>
  <c r="L118" i="41"/>
  <c r="K118" i="41"/>
  <c r="H118" i="41"/>
  <c r="G118" i="41"/>
  <c r="D118" i="41"/>
  <c r="C118" i="41"/>
  <c r="X117" i="41"/>
  <c r="W117" i="41"/>
  <c r="T117" i="41"/>
  <c r="S117" i="41"/>
  <c r="P117" i="41"/>
  <c r="L117" i="41"/>
  <c r="K117" i="41"/>
  <c r="H117" i="41"/>
  <c r="G117" i="41"/>
  <c r="D117" i="41"/>
  <c r="C117" i="41"/>
  <c r="X116" i="41"/>
  <c r="W116" i="41"/>
  <c r="T116" i="41"/>
  <c r="S116" i="41"/>
  <c r="P116" i="41"/>
  <c r="L116" i="41"/>
  <c r="K116" i="41"/>
  <c r="H116" i="41"/>
  <c r="G116" i="41"/>
  <c r="D116" i="41"/>
  <c r="C116" i="41"/>
  <c r="X115" i="41"/>
  <c r="W115" i="41"/>
  <c r="T115" i="41"/>
  <c r="S115" i="41"/>
  <c r="P115" i="41"/>
  <c r="L115" i="41"/>
  <c r="K115" i="41"/>
  <c r="H115" i="41"/>
  <c r="G115" i="41"/>
  <c r="D115" i="41"/>
  <c r="C115" i="41"/>
  <c r="X114" i="41"/>
  <c r="W114" i="41"/>
  <c r="T114" i="41"/>
  <c r="S114" i="41"/>
  <c r="P114" i="41"/>
  <c r="L114" i="41"/>
  <c r="K114" i="41"/>
  <c r="H114" i="41"/>
  <c r="G114" i="41"/>
  <c r="D114" i="41"/>
  <c r="C114" i="41"/>
  <c r="X113" i="41"/>
  <c r="W113" i="41"/>
  <c r="T113" i="41"/>
  <c r="S113" i="41"/>
  <c r="P113" i="41"/>
  <c r="L113" i="41"/>
  <c r="K113" i="41"/>
  <c r="H113" i="41"/>
  <c r="G113" i="41"/>
  <c r="D113" i="41"/>
  <c r="C113" i="41"/>
  <c r="X112" i="41"/>
  <c r="W112" i="41"/>
  <c r="T112" i="41"/>
  <c r="S112" i="41"/>
  <c r="P112" i="41"/>
  <c r="L112" i="41"/>
  <c r="K112" i="41"/>
  <c r="H112" i="41"/>
  <c r="G112" i="41"/>
  <c r="D112" i="41"/>
  <c r="C112" i="41"/>
  <c r="X111" i="41"/>
  <c r="W111" i="41"/>
  <c r="T111" i="41"/>
  <c r="S111" i="41"/>
  <c r="P111" i="41"/>
  <c r="L111" i="41"/>
  <c r="K111" i="41"/>
  <c r="H111" i="41"/>
  <c r="G111" i="41"/>
  <c r="D111" i="41"/>
  <c r="C111" i="41"/>
  <c r="X110" i="41"/>
  <c r="W110" i="41"/>
  <c r="T110" i="41"/>
  <c r="S110" i="41"/>
  <c r="P110" i="41"/>
  <c r="L110" i="41"/>
  <c r="K110" i="41"/>
  <c r="H110" i="41"/>
  <c r="G110" i="41"/>
  <c r="D110" i="41"/>
  <c r="C110" i="41"/>
  <c r="X109" i="41"/>
  <c r="W109" i="41"/>
  <c r="T109" i="41"/>
  <c r="S109" i="41"/>
  <c r="P109" i="41"/>
  <c r="L109" i="41"/>
  <c r="K109" i="41"/>
  <c r="H109" i="41"/>
  <c r="G109" i="41"/>
  <c r="D109" i="41"/>
  <c r="C109" i="41"/>
  <c r="X108" i="41"/>
  <c r="W108" i="41"/>
  <c r="T108" i="41"/>
  <c r="S108" i="41"/>
  <c r="P108" i="41"/>
  <c r="L108" i="41"/>
  <c r="K108" i="41"/>
  <c r="H108" i="41"/>
  <c r="G108" i="41"/>
  <c r="D108" i="41"/>
  <c r="C108" i="41"/>
  <c r="X107" i="41"/>
  <c r="W107" i="41"/>
  <c r="T107" i="41"/>
  <c r="S107" i="41"/>
  <c r="P107" i="41"/>
  <c r="L107" i="41"/>
  <c r="K107" i="41"/>
  <c r="H107" i="41"/>
  <c r="G107" i="41"/>
  <c r="D107" i="41"/>
  <c r="C107" i="41"/>
  <c r="X106" i="41"/>
  <c r="W106" i="41"/>
  <c r="T106" i="41"/>
  <c r="S106" i="41"/>
  <c r="P106" i="41"/>
  <c r="L106" i="41"/>
  <c r="K106" i="41"/>
  <c r="H106" i="41"/>
  <c r="G106" i="41"/>
  <c r="D106" i="41"/>
  <c r="C106" i="41"/>
  <c r="X105" i="41"/>
  <c r="W105" i="41"/>
  <c r="T105" i="41"/>
  <c r="S105" i="41"/>
  <c r="P105" i="41"/>
  <c r="L105" i="41"/>
  <c r="K105" i="41"/>
  <c r="H105" i="41"/>
  <c r="G105" i="41"/>
  <c r="D105" i="41"/>
  <c r="C105" i="41"/>
  <c r="X104" i="41"/>
  <c r="W104" i="41"/>
  <c r="T104" i="41"/>
  <c r="S104" i="41"/>
  <c r="P104" i="41"/>
  <c r="L104" i="41"/>
  <c r="K104" i="41"/>
  <c r="H104" i="41"/>
  <c r="G104" i="41"/>
  <c r="D104" i="41"/>
  <c r="C104" i="41"/>
  <c r="X103" i="41"/>
  <c r="W103" i="41"/>
  <c r="T103" i="41"/>
  <c r="S103" i="41"/>
  <c r="P103" i="41"/>
  <c r="L103" i="41"/>
  <c r="K103" i="41"/>
  <c r="H103" i="41"/>
  <c r="G103" i="41"/>
  <c r="D103" i="41"/>
  <c r="C103" i="41"/>
  <c r="X102" i="41"/>
  <c r="W102" i="41"/>
  <c r="T102" i="41"/>
  <c r="S102" i="41"/>
  <c r="P102" i="41"/>
  <c r="L102" i="41"/>
  <c r="K102" i="41"/>
  <c r="H102" i="41"/>
  <c r="G102" i="41"/>
  <c r="D102" i="41"/>
  <c r="C102" i="41"/>
  <c r="X101" i="41"/>
  <c r="W101" i="41"/>
  <c r="T101" i="41"/>
  <c r="S101" i="41"/>
  <c r="P101" i="41"/>
  <c r="L101" i="41"/>
  <c r="K101" i="41"/>
  <c r="H101" i="41"/>
  <c r="G101" i="41"/>
  <c r="D101" i="41"/>
  <c r="C101" i="41"/>
  <c r="X100" i="41"/>
  <c r="W100" i="41"/>
  <c r="T100" i="41"/>
  <c r="S100" i="41"/>
  <c r="P100" i="41"/>
  <c r="L100" i="41"/>
  <c r="K100" i="41"/>
  <c r="H100" i="41"/>
  <c r="G100" i="41"/>
  <c r="D100" i="41"/>
  <c r="C100" i="41"/>
  <c r="X99" i="41"/>
  <c r="W99" i="41"/>
  <c r="T99" i="41"/>
  <c r="S99" i="41"/>
  <c r="P99" i="41"/>
  <c r="L99" i="41"/>
  <c r="K99" i="41"/>
  <c r="H99" i="41"/>
  <c r="G99" i="41"/>
  <c r="D99" i="41"/>
  <c r="C99" i="41"/>
  <c r="X98" i="41"/>
  <c r="W98" i="41"/>
  <c r="T98" i="41"/>
  <c r="S98" i="41"/>
  <c r="P98" i="41"/>
  <c r="L98" i="41"/>
  <c r="K98" i="41"/>
  <c r="H98" i="41"/>
  <c r="G98" i="41"/>
  <c r="D98" i="41"/>
  <c r="C98" i="41"/>
  <c r="X97" i="41"/>
  <c r="W97" i="41"/>
  <c r="T97" i="41"/>
  <c r="S97" i="41"/>
  <c r="P97" i="41"/>
  <c r="L97" i="41"/>
  <c r="K97" i="41"/>
  <c r="H97" i="41"/>
  <c r="G97" i="41"/>
  <c r="D97" i="41"/>
  <c r="C97" i="41"/>
  <c r="X96" i="41"/>
  <c r="W96" i="41"/>
  <c r="T96" i="41"/>
  <c r="S96" i="41"/>
  <c r="P96" i="41"/>
  <c r="L96" i="41"/>
  <c r="K96" i="41"/>
  <c r="H96" i="41"/>
  <c r="G96" i="41"/>
  <c r="D96" i="41"/>
  <c r="C96" i="41"/>
  <c r="X95" i="41"/>
  <c r="W95" i="41"/>
  <c r="T95" i="41"/>
  <c r="S95" i="41"/>
  <c r="P95" i="41"/>
  <c r="L95" i="41"/>
  <c r="K95" i="41"/>
  <c r="H95" i="41"/>
  <c r="G95" i="41"/>
  <c r="D95" i="41"/>
  <c r="C95" i="41"/>
  <c r="X94" i="41"/>
  <c r="W94" i="41"/>
  <c r="T94" i="41"/>
  <c r="S94" i="41"/>
  <c r="P94" i="41"/>
  <c r="L94" i="41"/>
  <c r="K94" i="41"/>
  <c r="H94" i="41"/>
  <c r="G94" i="41"/>
  <c r="D94" i="41"/>
  <c r="C94" i="41"/>
  <c r="X93" i="41"/>
  <c r="W93" i="41"/>
  <c r="T93" i="41"/>
  <c r="S93" i="41"/>
  <c r="P93" i="41"/>
  <c r="L93" i="41"/>
  <c r="K93" i="41"/>
  <c r="H93" i="41"/>
  <c r="G93" i="41"/>
  <c r="D93" i="41"/>
  <c r="C93" i="41"/>
  <c r="X92" i="41"/>
  <c r="W92" i="41"/>
  <c r="T92" i="41"/>
  <c r="S92" i="41"/>
  <c r="P92" i="41"/>
  <c r="L92" i="41"/>
  <c r="K92" i="41"/>
  <c r="H92" i="41"/>
  <c r="G92" i="41"/>
  <c r="D92" i="41"/>
  <c r="C92" i="41"/>
  <c r="X91" i="41"/>
  <c r="W91" i="41"/>
  <c r="T91" i="41"/>
  <c r="S91" i="41"/>
  <c r="P91" i="41"/>
  <c r="L91" i="41"/>
  <c r="K91" i="41"/>
  <c r="H91" i="41"/>
  <c r="G91" i="41"/>
  <c r="D91" i="41"/>
  <c r="C91" i="41"/>
  <c r="X90" i="41"/>
  <c r="W90" i="41"/>
  <c r="T90" i="41"/>
  <c r="S90" i="41"/>
  <c r="P90" i="41"/>
  <c r="L90" i="41"/>
  <c r="K90" i="41"/>
  <c r="H90" i="41"/>
  <c r="G90" i="41"/>
  <c r="D90" i="41"/>
  <c r="C90" i="41"/>
  <c r="X89" i="41"/>
  <c r="W89" i="41"/>
  <c r="T89" i="41"/>
  <c r="S89" i="41"/>
  <c r="P89" i="41"/>
  <c r="L89" i="41"/>
  <c r="K89" i="41"/>
  <c r="H89" i="41"/>
  <c r="G89" i="41"/>
  <c r="D89" i="41"/>
  <c r="C89" i="41"/>
  <c r="X88" i="41"/>
  <c r="W88" i="41"/>
  <c r="T88" i="41"/>
  <c r="S88" i="41"/>
  <c r="P88" i="41"/>
  <c r="L88" i="41"/>
  <c r="K88" i="41"/>
  <c r="H88" i="41"/>
  <c r="G88" i="41"/>
  <c r="D88" i="41"/>
  <c r="C88" i="41"/>
  <c r="X87" i="41"/>
  <c r="W87" i="41"/>
  <c r="T87" i="41"/>
  <c r="S87" i="41"/>
  <c r="P87" i="41"/>
  <c r="L87" i="41"/>
  <c r="K87" i="41"/>
  <c r="H87" i="41"/>
  <c r="G87" i="41"/>
  <c r="D87" i="41"/>
  <c r="C87" i="41"/>
  <c r="X86" i="41"/>
  <c r="W86" i="41"/>
  <c r="T86" i="41"/>
  <c r="S86" i="41"/>
  <c r="P86" i="41"/>
  <c r="L86" i="41"/>
  <c r="K86" i="41"/>
  <c r="H86" i="41"/>
  <c r="G86" i="41"/>
  <c r="D86" i="41"/>
  <c r="C86" i="41"/>
  <c r="X85" i="41"/>
  <c r="W85" i="41"/>
  <c r="T85" i="41"/>
  <c r="S85" i="41"/>
  <c r="P85" i="41"/>
  <c r="L85" i="41"/>
  <c r="K85" i="41"/>
  <c r="H85" i="41"/>
  <c r="G85" i="41"/>
  <c r="D85" i="41"/>
  <c r="C85" i="41"/>
  <c r="X84" i="41"/>
  <c r="W84" i="41"/>
  <c r="T84" i="41"/>
  <c r="S84" i="41"/>
  <c r="P84" i="41"/>
  <c r="L84" i="41"/>
  <c r="K84" i="41"/>
  <c r="H84" i="41"/>
  <c r="G84" i="41"/>
  <c r="D84" i="41"/>
  <c r="C84" i="41"/>
  <c r="X83" i="41"/>
  <c r="W83" i="41"/>
  <c r="T83" i="41"/>
  <c r="S83" i="41"/>
  <c r="P83" i="41"/>
  <c r="L83" i="41"/>
  <c r="K83" i="41"/>
  <c r="H83" i="41"/>
  <c r="G83" i="41"/>
  <c r="D83" i="41"/>
  <c r="C83" i="41"/>
  <c r="X82" i="41"/>
  <c r="W82" i="41"/>
  <c r="T82" i="41"/>
  <c r="S82" i="41"/>
  <c r="P82" i="41"/>
  <c r="L82" i="41"/>
  <c r="K82" i="41"/>
  <c r="H82" i="41"/>
  <c r="G82" i="41"/>
  <c r="D82" i="41"/>
  <c r="C82" i="41"/>
  <c r="X81" i="41"/>
  <c r="W81" i="41"/>
  <c r="T81" i="41"/>
  <c r="S81" i="41"/>
  <c r="P81" i="41"/>
  <c r="L81" i="41"/>
  <c r="K81" i="41"/>
  <c r="H81" i="41"/>
  <c r="G81" i="41"/>
  <c r="D81" i="41"/>
  <c r="C81" i="41"/>
  <c r="X80" i="41"/>
  <c r="W80" i="41"/>
  <c r="T80" i="41"/>
  <c r="S80" i="41"/>
  <c r="P80" i="41"/>
  <c r="L80" i="41"/>
  <c r="K80" i="41"/>
  <c r="H80" i="41"/>
  <c r="G80" i="41"/>
  <c r="D80" i="41"/>
  <c r="C80" i="41"/>
  <c r="X79" i="41"/>
  <c r="W79" i="41"/>
  <c r="T79" i="41"/>
  <c r="S79" i="41"/>
  <c r="P79" i="41"/>
  <c r="L79" i="41"/>
  <c r="K79" i="41"/>
  <c r="H79" i="41"/>
  <c r="G79" i="41"/>
  <c r="D79" i="41"/>
  <c r="C79" i="41"/>
  <c r="X78" i="41"/>
  <c r="W78" i="41"/>
  <c r="T78" i="41"/>
  <c r="S78" i="41"/>
  <c r="P78" i="41"/>
  <c r="L78" i="41"/>
  <c r="K78" i="41"/>
  <c r="H78" i="41"/>
  <c r="G78" i="41"/>
  <c r="D78" i="41"/>
  <c r="C78" i="41"/>
  <c r="X77" i="41"/>
  <c r="W77" i="41"/>
  <c r="T77" i="41"/>
  <c r="S77" i="41"/>
  <c r="P77" i="41"/>
  <c r="L77" i="41"/>
  <c r="K77" i="41"/>
  <c r="H77" i="41"/>
  <c r="G77" i="41"/>
  <c r="D77" i="41"/>
  <c r="C77" i="41"/>
  <c r="X76" i="41"/>
  <c r="W76" i="41"/>
  <c r="T76" i="41"/>
  <c r="S76" i="41"/>
  <c r="P76" i="41"/>
  <c r="L76" i="41"/>
  <c r="K76" i="41"/>
  <c r="H76" i="41"/>
  <c r="G76" i="41"/>
  <c r="D76" i="41"/>
  <c r="C76" i="41"/>
  <c r="X75" i="41"/>
  <c r="W75" i="41"/>
  <c r="T75" i="41"/>
  <c r="S75" i="41"/>
  <c r="P75" i="41"/>
  <c r="L75" i="41"/>
  <c r="K75" i="41"/>
  <c r="H75" i="41"/>
  <c r="G75" i="41"/>
  <c r="D75" i="41"/>
  <c r="C75" i="41"/>
  <c r="X74" i="41"/>
  <c r="W74" i="41"/>
  <c r="T74" i="41"/>
  <c r="S74" i="41"/>
  <c r="P74" i="41"/>
  <c r="L74" i="41"/>
  <c r="K74" i="41"/>
  <c r="H74" i="41"/>
  <c r="G74" i="41"/>
  <c r="D74" i="41"/>
  <c r="C74" i="41"/>
  <c r="X73" i="41"/>
  <c r="W73" i="41"/>
  <c r="T73" i="41"/>
  <c r="S73" i="41"/>
  <c r="P73" i="41"/>
  <c r="L73" i="41"/>
  <c r="K73" i="41"/>
  <c r="H73" i="41"/>
  <c r="G73" i="41"/>
  <c r="D73" i="41"/>
  <c r="C73" i="41"/>
  <c r="X72" i="41"/>
  <c r="W72" i="41"/>
  <c r="T72" i="41"/>
  <c r="S72" i="41"/>
  <c r="P72" i="41"/>
  <c r="L72" i="41"/>
  <c r="K72" i="41"/>
  <c r="H72" i="41"/>
  <c r="G72" i="41"/>
  <c r="D72" i="41"/>
  <c r="C72" i="41"/>
  <c r="X71" i="41"/>
  <c r="W71" i="41"/>
  <c r="T71" i="41"/>
  <c r="S71" i="41"/>
  <c r="P71" i="41"/>
  <c r="L71" i="41"/>
  <c r="K71" i="41"/>
  <c r="H71" i="41"/>
  <c r="G71" i="41"/>
  <c r="D71" i="41"/>
  <c r="C71" i="41"/>
  <c r="X70" i="41"/>
  <c r="W70" i="41"/>
  <c r="T70" i="41"/>
  <c r="S70" i="41"/>
  <c r="P70" i="41"/>
  <c r="L70" i="41"/>
  <c r="K70" i="41"/>
  <c r="H70" i="41"/>
  <c r="G70" i="41"/>
  <c r="D70" i="41"/>
  <c r="C70" i="41"/>
  <c r="X69" i="41"/>
  <c r="W69" i="41"/>
  <c r="T69" i="41"/>
  <c r="S69" i="41"/>
  <c r="P69" i="41"/>
  <c r="L69" i="41"/>
  <c r="K69" i="41"/>
  <c r="H69" i="41"/>
  <c r="G69" i="41"/>
  <c r="D69" i="41"/>
  <c r="C69" i="41"/>
  <c r="X68" i="41"/>
  <c r="W68" i="41"/>
  <c r="T68" i="41"/>
  <c r="S68" i="41"/>
  <c r="P68" i="41"/>
  <c r="L68" i="41"/>
  <c r="K68" i="41"/>
  <c r="H68" i="41"/>
  <c r="G68" i="41"/>
  <c r="D68" i="41"/>
  <c r="C68" i="41"/>
  <c r="X67" i="41"/>
  <c r="W67" i="41"/>
  <c r="T67" i="41"/>
  <c r="S67" i="41"/>
  <c r="P67" i="41"/>
  <c r="L67" i="41"/>
  <c r="K67" i="41"/>
  <c r="H67" i="41"/>
  <c r="G67" i="41"/>
  <c r="D67" i="41"/>
  <c r="C67" i="41"/>
  <c r="X66" i="41"/>
  <c r="W66" i="41"/>
  <c r="T66" i="41"/>
  <c r="S66" i="41"/>
  <c r="P66" i="41"/>
  <c r="L66" i="41"/>
  <c r="K66" i="41"/>
  <c r="H66" i="41"/>
  <c r="G66" i="41"/>
  <c r="D66" i="41"/>
  <c r="C66" i="41"/>
  <c r="X65" i="41"/>
  <c r="W65" i="41"/>
  <c r="T65" i="41"/>
  <c r="S65" i="41"/>
  <c r="P65" i="41"/>
  <c r="L65" i="41"/>
  <c r="K65" i="41"/>
  <c r="H65" i="41"/>
  <c r="G65" i="41"/>
  <c r="D65" i="41"/>
  <c r="C65" i="41"/>
  <c r="X64" i="41"/>
  <c r="W64" i="41"/>
  <c r="T64" i="41"/>
  <c r="S64" i="41"/>
  <c r="P64" i="41"/>
  <c r="L64" i="41"/>
  <c r="K64" i="41"/>
  <c r="H64" i="41"/>
  <c r="G64" i="41"/>
  <c r="D64" i="41"/>
  <c r="C64" i="41"/>
  <c r="X63" i="41"/>
  <c r="W63" i="41"/>
  <c r="T63" i="41"/>
  <c r="S63" i="41"/>
  <c r="P63" i="41"/>
  <c r="L63" i="41"/>
  <c r="K63" i="41"/>
  <c r="H63" i="41"/>
  <c r="G63" i="41"/>
  <c r="D63" i="41"/>
  <c r="C63" i="41"/>
  <c r="X62" i="41"/>
  <c r="W62" i="41"/>
  <c r="T62" i="41"/>
  <c r="S62" i="41"/>
  <c r="P62" i="41"/>
  <c r="L62" i="41"/>
  <c r="K62" i="41"/>
  <c r="H62" i="41"/>
  <c r="G62" i="41"/>
  <c r="D62" i="41"/>
  <c r="C62" i="41"/>
  <c r="X61" i="41"/>
  <c r="W61" i="41"/>
  <c r="T61" i="41"/>
  <c r="S61" i="41"/>
  <c r="P61" i="41"/>
  <c r="L61" i="41"/>
  <c r="K61" i="41"/>
  <c r="H61" i="41"/>
  <c r="G61" i="41"/>
  <c r="D61" i="41"/>
  <c r="C61" i="41"/>
  <c r="X60" i="41"/>
  <c r="W60" i="41"/>
  <c r="T60" i="41"/>
  <c r="S60" i="41"/>
  <c r="P60" i="41"/>
  <c r="L60" i="41"/>
  <c r="K60" i="41"/>
  <c r="H60" i="41"/>
  <c r="G60" i="41"/>
  <c r="D60" i="41"/>
  <c r="C60" i="41"/>
  <c r="X59" i="41"/>
  <c r="W59" i="41"/>
  <c r="T59" i="41"/>
  <c r="S59" i="41"/>
  <c r="P59" i="41"/>
  <c r="L59" i="41"/>
  <c r="K59" i="41"/>
  <c r="H59" i="41"/>
  <c r="G59" i="41"/>
  <c r="D59" i="41"/>
  <c r="C59" i="41"/>
  <c r="X58" i="41"/>
  <c r="W58" i="41"/>
  <c r="T58" i="41"/>
  <c r="S58" i="41"/>
  <c r="P58" i="41"/>
  <c r="L58" i="41"/>
  <c r="K58" i="41"/>
  <c r="H58" i="41"/>
  <c r="G58" i="41"/>
  <c r="D58" i="41"/>
  <c r="C58" i="41"/>
  <c r="X57" i="41"/>
  <c r="W57" i="41"/>
  <c r="T57" i="41"/>
  <c r="S57" i="41"/>
  <c r="P57" i="41"/>
  <c r="L57" i="41"/>
  <c r="K57" i="41"/>
  <c r="H57" i="41"/>
  <c r="G57" i="41"/>
  <c r="D57" i="41"/>
  <c r="C57" i="41"/>
  <c r="X56" i="41"/>
  <c r="W56" i="41"/>
  <c r="T56" i="41"/>
  <c r="S56" i="41"/>
  <c r="P56" i="41"/>
  <c r="L56" i="41"/>
  <c r="K56" i="41"/>
  <c r="H56" i="41"/>
  <c r="G56" i="41"/>
  <c r="D56" i="41"/>
  <c r="C56" i="41"/>
  <c r="X55" i="41"/>
  <c r="W55" i="41"/>
  <c r="T55" i="41"/>
  <c r="S55" i="41"/>
  <c r="P55" i="41"/>
  <c r="L55" i="41"/>
  <c r="K55" i="41"/>
  <c r="H55" i="41"/>
  <c r="G55" i="41"/>
  <c r="D55" i="41"/>
  <c r="C55" i="41"/>
  <c r="X54" i="41"/>
  <c r="W54" i="41"/>
  <c r="T54" i="41"/>
  <c r="S54" i="41"/>
  <c r="P54" i="41"/>
  <c r="L54" i="41"/>
  <c r="K54" i="41"/>
  <c r="H54" i="41"/>
  <c r="G54" i="41"/>
  <c r="D54" i="41"/>
  <c r="C54" i="41"/>
  <c r="X53" i="41"/>
  <c r="W53" i="41"/>
  <c r="T53" i="41"/>
  <c r="S53" i="41"/>
  <c r="P53" i="41"/>
  <c r="L53" i="41"/>
  <c r="K53" i="41"/>
  <c r="H53" i="41"/>
  <c r="G53" i="41"/>
  <c r="D53" i="41"/>
  <c r="C53" i="41"/>
  <c r="X52" i="41"/>
  <c r="W52" i="41"/>
  <c r="T52" i="41"/>
  <c r="S52" i="41"/>
  <c r="P52" i="41"/>
  <c r="L52" i="41"/>
  <c r="K52" i="41"/>
  <c r="H52" i="41"/>
  <c r="G52" i="41"/>
  <c r="D52" i="41"/>
  <c r="C52" i="41"/>
  <c r="X51" i="41"/>
  <c r="W51" i="41"/>
  <c r="T51" i="41"/>
  <c r="S51" i="41"/>
  <c r="P51" i="41"/>
  <c r="L51" i="41"/>
  <c r="K51" i="41"/>
  <c r="H51" i="41"/>
  <c r="G51" i="41"/>
  <c r="D51" i="41"/>
  <c r="C51" i="41"/>
  <c r="X50" i="41"/>
  <c r="W50" i="41"/>
  <c r="T50" i="41"/>
  <c r="S50" i="41"/>
  <c r="P50" i="41"/>
  <c r="L50" i="41"/>
  <c r="K50" i="41"/>
  <c r="H50" i="41"/>
  <c r="G50" i="41"/>
  <c r="D50" i="41"/>
  <c r="C50" i="41"/>
  <c r="X49" i="41"/>
  <c r="W49" i="41"/>
  <c r="T49" i="41"/>
  <c r="S49" i="41"/>
  <c r="P49" i="41"/>
  <c r="L49" i="41"/>
  <c r="K49" i="41"/>
  <c r="H49" i="41"/>
  <c r="G49" i="41"/>
  <c r="D49" i="41"/>
  <c r="C49" i="41"/>
  <c r="X48" i="41"/>
  <c r="W48" i="41"/>
  <c r="T48" i="41"/>
  <c r="S48" i="41"/>
  <c r="P48" i="41"/>
  <c r="L48" i="41"/>
  <c r="K48" i="41"/>
  <c r="H48" i="41"/>
  <c r="G48" i="41"/>
  <c r="D48" i="41"/>
  <c r="C48" i="41"/>
  <c r="X47" i="41"/>
  <c r="W47" i="41"/>
  <c r="T47" i="41"/>
  <c r="S47" i="41"/>
  <c r="P47" i="41"/>
  <c r="L47" i="41"/>
  <c r="K47" i="41"/>
  <c r="H47" i="41"/>
  <c r="G47" i="41"/>
  <c r="D47" i="41"/>
  <c r="C47" i="41"/>
  <c r="X46" i="41"/>
  <c r="W46" i="41"/>
  <c r="T46" i="41"/>
  <c r="S46" i="41"/>
  <c r="P46" i="41"/>
  <c r="L46" i="41"/>
  <c r="K46" i="41"/>
  <c r="H46" i="41"/>
  <c r="G46" i="41"/>
  <c r="D46" i="41"/>
  <c r="C46" i="41"/>
  <c r="X45" i="41"/>
  <c r="W45" i="41"/>
  <c r="T45" i="41"/>
  <c r="S45" i="41"/>
  <c r="P45" i="41"/>
  <c r="L45" i="41"/>
  <c r="K45" i="41"/>
  <c r="H45" i="41"/>
  <c r="G45" i="41"/>
  <c r="D45" i="41"/>
  <c r="C45" i="41"/>
  <c r="X44" i="41"/>
  <c r="W44" i="41"/>
  <c r="T44" i="41"/>
  <c r="S44" i="41"/>
  <c r="P44" i="41"/>
  <c r="L44" i="41"/>
  <c r="K44" i="41"/>
  <c r="H44" i="41"/>
  <c r="G44" i="41"/>
  <c r="D44" i="41"/>
  <c r="C44" i="41"/>
  <c r="X43" i="41"/>
  <c r="W43" i="41"/>
  <c r="T43" i="41"/>
  <c r="S43" i="41"/>
  <c r="P43" i="41"/>
  <c r="L43" i="41"/>
  <c r="K43" i="41"/>
  <c r="H43" i="41"/>
  <c r="G43" i="41"/>
  <c r="D43" i="41"/>
  <c r="C43" i="41"/>
  <c r="X42" i="41"/>
  <c r="W42" i="41"/>
  <c r="T42" i="41"/>
  <c r="S42" i="41"/>
  <c r="P42" i="41"/>
  <c r="L42" i="41"/>
  <c r="K42" i="41"/>
  <c r="H42" i="41"/>
  <c r="G42" i="41"/>
  <c r="D42" i="41"/>
  <c r="C42" i="41"/>
  <c r="X41" i="41"/>
  <c r="W41" i="41"/>
  <c r="T41" i="41"/>
  <c r="S41" i="41"/>
  <c r="P41" i="41"/>
  <c r="L41" i="41"/>
  <c r="K41" i="41"/>
  <c r="H41" i="41"/>
  <c r="G41" i="41"/>
  <c r="D41" i="41"/>
  <c r="C41" i="41"/>
  <c r="X40" i="41"/>
  <c r="W40" i="41"/>
  <c r="T40" i="41"/>
  <c r="S40" i="41"/>
  <c r="P40" i="41"/>
  <c r="L40" i="41"/>
  <c r="K40" i="41"/>
  <c r="H40" i="41"/>
  <c r="G40" i="41"/>
  <c r="D40" i="41"/>
  <c r="C40" i="41"/>
  <c r="X39" i="41"/>
  <c r="W39" i="41"/>
  <c r="T39" i="41"/>
  <c r="S39" i="41"/>
  <c r="P39" i="41"/>
  <c r="L39" i="41"/>
  <c r="K39" i="41"/>
  <c r="H39" i="41"/>
  <c r="G39" i="41"/>
  <c r="D39" i="41"/>
  <c r="C39" i="41"/>
  <c r="X38" i="41"/>
  <c r="W38" i="41"/>
  <c r="T38" i="41"/>
  <c r="S38" i="41"/>
  <c r="P38" i="41"/>
  <c r="L38" i="41"/>
  <c r="K38" i="41"/>
  <c r="H38" i="41"/>
  <c r="G38" i="41"/>
  <c r="D38" i="41"/>
  <c r="C38" i="41"/>
  <c r="X37" i="41"/>
  <c r="W37" i="41"/>
  <c r="T37" i="41"/>
  <c r="S37" i="41"/>
  <c r="P37" i="41"/>
  <c r="L37" i="41"/>
  <c r="K37" i="41"/>
  <c r="H37" i="41"/>
  <c r="G37" i="41"/>
  <c r="D37" i="41"/>
  <c r="C37" i="41"/>
  <c r="X36" i="41"/>
  <c r="W36" i="41"/>
  <c r="T36" i="41"/>
  <c r="S36" i="41"/>
  <c r="P36" i="41"/>
  <c r="L36" i="41"/>
  <c r="K36" i="41"/>
  <c r="H36" i="41"/>
  <c r="G36" i="41"/>
  <c r="D36" i="41"/>
  <c r="C36" i="41"/>
  <c r="X35" i="41"/>
  <c r="W35" i="41"/>
  <c r="T35" i="41"/>
  <c r="S35" i="41"/>
  <c r="P35" i="41"/>
  <c r="L35" i="41"/>
  <c r="K35" i="41"/>
  <c r="H35" i="41"/>
  <c r="G35" i="41"/>
  <c r="D35" i="41"/>
  <c r="C35" i="41"/>
  <c r="X34" i="41"/>
  <c r="W34" i="41"/>
  <c r="T34" i="41"/>
  <c r="S34" i="41"/>
  <c r="P34" i="41"/>
  <c r="L34" i="41"/>
  <c r="K34" i="41"/>
  <c r="H34" i="41"/>
  <c r="G34" i="41"/>
  <c r="D34" i="41"/>
  <c r="C34" i="41"/>
  <c r="X33" i="41"/>
  <c r="W33" i="41"/>
  <c r="T33" i="41"/>
  <c r="S33" i="41"/>
  <c r="P33" i="41"/>
  <c r="L33" i="41"/>
  <c r="K33" i="41"/>
  <c r="H33" i="41"/>
  <c r="G33" i="41"/>
  <c r="D33" i="41"/>
  <c r="C33" i="41"/>
  <c r="X32" i="41"/>
  <c r="W32" i="41"/>
  <c r="T32" i="41"/>
  <c r="S32" i="41"/>
  <c r="P32" i="41"/>
  <c r="L32" i="41"/>
  <c r="K32" i="41"/>
  <c r="H32" i="41"/>
  <c r="G32" i="41"/>
  <c r="D32" i="41"/>
  <c r="C32" i="41"/>
  <c r="X31" i="41"/>
  <c r="W31" i="41"/>
  <c r="T31" i="41"/>
  <c r="S31" i="41"/>
  <c r="P31" i="41"/>
  <c r="L31" i="41"/>
  <c r="K31" i="41"/>
  <c r="H31" i="41"/>
  <c r="G31" i="41"/>
  <c r="D31" i="41"/>
  <c r="C31" i="41"/>
  <c r="X30" i="41"/>
  <c r="W30" i="41"/>
  <c r="T30" i="41"/>
  <c r="S30" i="41"/>
  <c r="P30" i="41"/>
  <c r="L30" i="41"/>
  <c r="K30" i="41"/>
  <c r="H30" i="41"/>
  <c r="G30" i="41"/>
  <c r="D30" i="41"/>
  <c r="C30" i="41"/>
  <c r="X29" i="41"/>
  <c r="W29" i="41"/>
  <c r="T29" i="41"/>
  <c r="S29" i="41"/>
  <c r="P29" i="41"/>
  <c r="L29" i="41"/>
  <c r="K29" i="41"/>
  <c r="H29" i="41"/>
  <c r="G29" i="41"/>
  <c r="D29" i="41"/>
  <c r="C29" i="41"/>
  <c r="X28" i="41"/>
  <c r="W28" i="41"/>
  <c r="T28" i="41"/>
  <c r="S28" i="41"/>
  <c r="P28" i="41"/>
  <c r="L28" i="41"/>
  <c r="K28" i="41"/>
  <c r="H28" i="41"/>
  <c r="G28" i="41"/>
  <c r="D28" i="41"/>
  <c r="C28" i="41"/>
  <c r="X27" i="41"/>
  <c r="W27" i="41"/>
  <c r="T27" i="41"/>
  <c r="S27" i="41"/>
  <c r="P27" i="41"/>
  <c r="L27" i="41"/>
  <c r="K27" i="41"/>
  <c r="H27" i="41"/>
  <c r="G27" i="41"/>
  <c r="D27" i="41"/>
  <c r="C27" i="41"/>
  <c r="X26" i="41"/>
  <c r="W26" i="41"/>
  <c r="T26" i="41"/>
  <c r="S26" i="41"/>
  <c r="P26" i="41"/>
  <c r="L26" i="41"/>
  <c r="K26" i="41"/>
  <c r="H26" i="41"/>
  <c r="G26" i="41"/>
  <c r="D26" i="41"/>
  <c r="C26" i="41"/>
  <c r="X25" i="41"/>
  <c r="W25" i="41"/>
  <c r="T25" i="41"/>
  <c r="S25" i="41"/>
  <c r="P25" i="41"/>
  <c r="L25" i="41"/>
  <c r="K25" i="41"/>
  <c r="H25" i="41"/>
  <c r="G25" i="41"/>
  <c r="D25" i="41"/>
  <c r="C25" i="41"/>
  <c r="X24" i="41"/>
  <c r="W24" i="41"/>
  <c r="T24" i="41"/>
  <c r="S24" i="41"/>
  <c r="P24" i="41"/>
  <c r="L24" i="41"/>
  <c r="K24" i="41"/>
  <c r="H24" i="41"/>
  <c r="G24" i="41"/>
  <c r="D24" i="41"/>
  <c r="C24" i="41"/>
  <c r="X23" i="41"/>
  <c r="W23" i="41"/>
  <c r="T23" i="41"/>
  <c r="S23" i="41"/>
  <c r="P23" i="41"/>
  <c r="L23" i="41"/>
  <c r="K23" i="41"/>
  <c r="H23" i="41"/>
  <c r="G23" i="41"/>
  <c r="D23" i="41"/>
  <c r="C23" i="41"/>
  <c r="X22" i="41"/>
  <c r="W22" i="41"/>
  <c r="T22" i="41"/>
  <c r="S22" i="41"/>
  <c r="P22" i="41"/>
  <c r="L22" i="41"/>
  <c r="K22" i="41"/>
  <c r="H22" i="41"/>
  <c r="G22" i="41"/>
  <c r="D22" i="41"/>
  <c r="C22" i="41"/>
  <c r="X21" i="41"/>
  <c r="W21" i="41"/>
  <c r="T21" i="41"/>
  <c r="S21" i="41"/>
  <c r="P21" i="41"/>
  <c r="L21" i="41"/>
  <c r="K21" i="41"/>
  <c r="H21" i="41"/>
  <c r="G21" i="41"/>
  <c r="D21" i="41"/>
  <c r="C21" i="41"/>
  <c r="X20" i="41"/>
  <c r="W20" i="41"/>
  <c r="T20" i="41"/>
  <c r="S20" i="41"/>
  <c r="P20" i="41"/>
  <c r="L20" i="41"/>
  <c r="K20" i="41"/>
  <c r="H20" i="41"/>
  <c r="G20" i="41"/>
  <c r="D20" i="41"/>
  <c r="C20" i="41"/>
  <c r="X19" i="41"/>
  <c r="W19" i="41"/>
  <c r="T19" i="41"/>
  <c r="S19" i="41"/>
  <c r="P19" i="41"/>
  <c r="L19" i="41"/>
  <c r="K19" i="41"/>
  <c r="H19" i="41"/>
  <c r="G19" i="41"/>
  <c r="D19" i="41"/>
  <c r="C19" i="41"/>
  <c r="X18" i="41"/>
  <c r="W18" i="41"/>
  <c r="T18" i="41"/>
  <c r="S18" i="41"/>
  <c r="P18" i="41"/>
  <c r="L18" i="41"/>
  <c r="K18" i="41"/>
  <c r="H18" i="41"/>
  <c r="G18" i="41"/>
  <c r="D18" i="41"/>
  <c r="C18" i="41"/>
  <c r="X17" i="41"/>
  <c r="W17" i="41"/>
  <c r="T17" i="41"/>
  <c r="S17" i="41"/>
  <c r="P17" i="41"/>
  <c r="L17" i="41"/>
  <c r="K17" i="41"/>
  <c r="H17" i="41"/>
  <c r="G17" i="41"/>
  <c r="D17" i="41"/>
  <c r="C17" i="41"/>
  <c r="X16" i="41"/>
  <c r="W16" i="41"/>
  <c r="T16" i="41"/>
  <c r="S16" i="41"/>
  <c r="P16" i="41"/>
  <c r="L16" i="41"/>
  <c r="K16" i="41"/>
  <c r="H16" i="41"/>
  <c r="G16" i="41"/>
  <c r="D16" i="41"/>
  <c r="C16" i="41"/>
  <c r="X15" i="41"/>
  <c r="W15" i="41"/>
  <c r="T15" i="41"/>
  <c r="S15" i="41"/>
  <c r="P15" i="41"/>
  <c r="L15" i="41"/>
  <c r="K15" i="41"/>
  <c r="H15" i="41"/>
  <c r="G15" i="41"/>
  <c r="D15" i="41"/>
  <c r="C15" i="41"/>
  <c r="X14" i="41"/>
  <c r="W14" i="41"/>
  <c r="T14" i="41"/>
  <c r="S14" i="41"/>
  <c r="P14" i="41"/>
  <c r="L14" i="41"/>
  <c r="K14" i="41"/>
  <c r="H14" i="41"/>
  <c r="G14" i="41"/>
  <c r="D14" i="41"/>
  <c r="C14" i="41"/>
  <c r="X13" i="41"/>
  <c r="W13" i="41"/>
  <c r="T13" i="41"/>
  <c r="S13" i="41"/>
  <c r="P13" i="41"/>
  <c r="L13" i="41"/>
  <c r="K13" i="41"/>
  <c r="H13" i="41"/>
  <c r="G13" i="41"/>
  <c r="D13" i="41"/>
  <c r="C13" i="41"/>
  <c r="X12" i="41"/>
  <c r="W12" i="41"/>
  <c r="T12" i="41"/>
  <c r="S12" i="41"/>
  <c r="P12" i="41"/>
  <c r="L12" i="41"/>
  <c r="K12" i="41"/>
  <c r="H12" i="41"/>
  <c r="G12" i="41"/>
  <c r="D12" i="41"/>
  <c r="C12" i="41"/>
  <c r="X11" i="41"/>
  <c r="W11" i="41"/>
  <c r="T11" i="41"/>
  <c r="S11" i="41"/>
  <c r="P11" i="41"/>
  <c r="L11" i="41"/>
  <c r="K11" i="41"/>
  <c r="H11" i="41"/>
  <c r="G11" i="41"/>
  <c r="D11" i="41"/>
  <c r="C11" i="41"/>
  <c r="X10" i="41"/>
  <c r="W10" i="41"/>
  <c r="T10" i="41"/>
  <c r="S10" i="41"/>
  <c r="P10" i="41"/>
  <c r="L10" i="41"/>
  <c r="K10" i="41"/>
  <c r="H10" i="41"/>
  <c r="G10" i="41"/>
  <c r="D10" i="41"/>
  <c r="C10" i="41"/>
  <c r="X9" i="41"/>
  <c r="W9" i="41"/>
  <c r="T9" i="41"/>
  <c r="S9" i="41"/>
  <c r="P9" i="41"/>
  <c r="L9" i="41"/>
  <c r="K9" i="41"/>
  <c r="H9" i="41"/>
  <c r="G9" i="41"/>
  <c r="D9" i="41"/>
  <c r="C9" i="41"/>
  <c r="X8" i="41"/>
  <c r="W8" i="41"/>
  <c r="T8" i="41"/>
  <c r="S8" i="41"/>
  <c r="P8" i="41"/>
  <c r="L8" i="41"/>
  <c r="K8" i="41"/>
  <c r="H8" i="41"/>
  <c r="G8" i="41"/>
  <c r="D8" i="41"/>
  <c r="C8" i="41"/>
  <c r="X7" i="41"/>
  <c r="W7" i="41"/>
  <c r="T7" i="41"/>
  <c r="S7" i="41"/>
  <c r="P7" i="41"/>
  <c r="L7" i="41"/>
  <c r="K7" i="41"/>
  <c r="H7" i="41"/>
  <c r="G7" i="41"/>
  <c r="D7" i="41"/>
  <c r="C7" i="41"/>
  <c r="X6" i="41"/>
  <c r="W6" i="41"/>
  <c r="T6" i="41"/>
  <c r="S6" i="41"/>
  <c r="P6" i="41"/>
  <c r="L6" i="41"/>
  <c r="K6" i="41"/>
  <c r="H6" i="41"/>
  <c r="G6" i="41"/>
  <c r="D6" i="41"/>
  <c r="C6" i="41"/>
  <c r="X5" i="41"/>
  <c r="W5" i="41"/>
  <c r="T5" i="41"/>
  <c r="S5" i="41"/>
  <c r="P5" i="41"/>
  <c r="L5" i="41"/>
  <c r="K5" i="41"/>
  <c r="H5" i="41"/>
  <c r="G5" i="41"/>
  <c r="D5" i="41"/>
  <c r="C5" i="41"/>
  <c r="X4" i="41"/>
  <c r="W4" i="41"/>
  <c r="T4" i="41"/>
  <c r="S4" i="41"/>
  <c r="P4" i="41"/>
  <c r="L4" i="41"/>
  <c r="K4" i="41"/>
  <c r="H4" i="41"/>
  <c r="G4" i="41"/>
  <c r="D4" i="41"/>
  <c r="C4" i="41"/>
  <c r="X123" i="40"/>
  <c r="W123" i="40"/>
  <c r="T123" i="40"/>
  <c r="S123" i="40"/>
  <c r="P123" i="40"/>
  <c r="O123" i="40"/>
  <c r="L123" i="40"/>
  <c r="K123" i="40"/>
  <c r="H123" i="40"/>
  <c r="G123" i="40"/>
  <c r="D123" i="40"/>
  <c r="X122" i="40"/>
  <c r="W122" i="40"/>
  <c r="T122" i="40"/>
  <c r="S122" i="40"/>
  <c r="P122" i="40"/>
  <c r="O122" i="40"/>
  <c r="L122" i="40"/>
  <c r="K122" i="40"/>
  <c r="H122" i="40"/>
  <c r="D122" i="40"/>
  <c r="C122" i="40"/>
  <c r="X121" i="40"/>
  <c r="W121" i="40"/>
  <c r="T121" i="40"/>
  <c r="S121" i="40"/>
  <c r="P121" i="40"/>
  <c r="O121" i="40"/>
  <c r="L121" i="40"/>
  <c r="K121" i="40"/>
  <c r="H121" i="40"/>
  <c r="D121" i="40"/>
  <c r="C121" i="40"/>
  <c r="X120" i="40"/>
  <c r="W120" i="40"/>
  <c r="T120" i="40"/>
  <c r="S120" i="40"/>
  <c r="P120" i="40"/>
  <c r="O120" i="40"/>
  <c r="L120" i="40"/>
  <c r="K120" i="40"/>
  <c r="H120" i="40"/>
  <c r="D120" i="40"/>
  <c r="C120" i="40"/>
  <c r="X119" i="40"/>
  <c r="W119" i="40"/>
  <c r="T119" i="40"/>
  <c r="S119" i="40"/>
  <c r="P119" i="40"/>
  <c r="O119" i="40"/>
  <c r="L119" i="40"/>
  <c r="K119" i="40"/>
  <c r="H119" i="40"/>
  <c r="G119" i="40"/>
  <c r="D119" i="40"/>
  <c r="X118" i="40"/>
  <c r="W118" i="40"/>
  <c r="T118" i="40"/>
  <c r="S118" i="40"/>
  <c r="P118" i="40"/>
  <c r="O118" i="40"/>
  <c r="L118" i="40"/>
  <c r="K118" i="40"/>
  <c r="H118" i="40"/>
  <c r="D118" i="40"/>
  <c r="C118" i="40"/>
  <c r="X117" i="40"/>
  <c r="W117" i="40"/>
  <c r="T117" i="40"/>
  <c r="S117" i="40"/>
  <c r="P117" i="40"/>
  <c r="O117" i="40"/>
  <c r="L117" i="40"/>
  <c r="K117" i="40"/>
  <c r="H117" i="40"/>
  <c r="G117" i="40"/>
  <c r="D117" i="40"/>
  <c r="X116" i="40"/>
  <c r="W116" i="40"/>
  <c r="T116" i="40"/>
  <c r="S116" i="40"/>
  <c r="P116" i="40"/>
  <c r="O116" i="40"/>
  <c r="L116" i="40"/>
  <c r="K116" i="40"/>
  <c r="H116" i="40"/>
  <c r="D116" i="40"/>
  <c r="C116" i="40"/>
  <c r="X115" i="40"/>
  <c r="W115" i="40"/>
  <c r="T115" i="40"/>
  <c r="S115" i="40"/>
  <c r="P115" i="40"/>
  <c r="O115" i="40"/>
  <c r="L115" i="40"/>
  <c r="K115" i="40"/>
  <c r="H115" i="40"/>
  <c r="G115" i="40"/>
  <c r="D115" i="40"/>
  <c r="X114" i="40"/>
  <c r="W114" i="40"/>
  <c r="T114" i="40"/>
  <c r="S114" i="40"/>
  <c r="P114" i="40"/>
  <c r="O114" i="40"/>
  <c r="L114" i="40"/>
  <c r="K114" i="40"/>
  <c r="H114" i="40"/>
  <c r="D114" i="40"/>
  <c r="C114" i="40"/>
  <c r="X113" i="40"/>
  <c r="W113" i="40"/>
  <c r="T113" i="40"/>
  <c r="S113" i="40"/>
  <c r="P113" i="40"/>
  <c r="O113" i="40"/>
  <c r="L113" i="40"/>
  <c r="K113" i="40"/>
  <c r="H113" i="40"/>
  <c r="G113" i="40"/>
  <c r="D113" i="40"/>
  <c r="C113" i="40"/>
  <c r="X112" i="40"/>
  <c r="W112" i="40"/>
  <c r="T112" i="40"/>
  <c r="S112" i="40"/>
  <c r="P112" i="40"/>
  <c r="O112" i="40"/>
  <c r="L112" i="40"/>
  <c r="K112" i="40"/>
  <c r="H112" i="40"/>
  <c r="D112" i="40"/>
  <c r="C112" i="40"/>
  <c r="X111" i="40"/>
  <c r="W111" i="40"/>
  <c r="T111" i="40"/>
  <c r="S111" i="40"/>
  <c r="P111" i="40"/>
  <c r="O111" i="40"/>
  <c r="L111" i="40"/>
  <c r="K111" i="40"/>
  <c r="H111" i="40"/>
  <c r="G111" i="40"/>
  <c r="D111" i="40"/>
  <c r="X110" i="40"/>
  <c r="W110" i="40"/>
  <c r="T110" i="40"/>
  <c r="S110" i="40"/>
  <c r="P110" i="40"/>
  <c r="O110" i="40"/>
  <c r="L110" i="40"/>
  <c r="K110" i="40"/>
  <c r="H110" i="40"/>
  <c r="D110" i="40"/>
  <c r="C110" i="40"/>
  <c r="X109" i="40"/>
  <c r="W109" i="40"/>
  <c r="T109" i="40"/>
  <c r="S109" i="40"/>
  <c r="P109" i="40"/>
  <c r="O109" i="40"/>
  <c r="L109" i="40"/>
  <c r="K109" i="40"/>
  <c r="H109" i="40"/>
  <c r="G109" i="40"/>
  <c r="D109" i="40"/>
  <c r="C109" i="40"/>
  <c r="X108" i="40"/>
  <c r="W108" i="40"/>
  <c r="T108" i="40"/>
  <c r="S108" i="40"/>
  <c r="P108" i="40"/>
  <c r="O108" i="40"/>
  <c r="L108" i="40"/>
  <c r="K108" i="40"/>
  <c r="H108" i="40"/>
  <c r="G108" i="40"/>
  <c r="D108" i="40"/>
  <c r="C108" i="40"/>
  <c r="X107" i="40"/>
  <c r="W107" i="40"/>
  <c r="T107" i="40"/>
  <c r="S107" i="40"/>
  <c r="P107" i="40"/>
  <c r="O107" i="40"/>
  <c r="L107" i="40"/>
  <c r="K107" i="40"/>
  <c r="H107" i="40"/>
  <c r="G107" i="40"/>
  <c r="D107" i="40"/>
  <c r="C107" i="40"/>
  <c r="X106" i="40"/>
  <c r="W106" i="40"/>
  <c r="T106" i="40"/>
  <c r="S106" i="40"/>
  <c r="P106" i="40"/>
  <c r="O106" i="40"/>
  <c r="L106" i="40"/>
  <c r="K106" i="40"/>
  <c r="H106" i="40"/>
  <c r="G106" i="40"/>
  <c r="D106" i="40"/>
  <c r="C106" i="40"/>
  <c r="X105" i="40"/>
  <c r="W105" i="40"/>
  <c r="T105" i="40"/>
  <c r="S105" i="40"/>
  <c r="P105" i="40"/>
  <c r="O105" i="40"/>
  <c r="L105" i="40"/>
  <c r="K105" i="40"/>
  <c r="H105" i="40"/>
  <c r="G105" i="40"/>
  <c r="D105" i="40"/>
  <c r="X104" i="40"/>
  <c r="W104" i="40"/>
  <c r="T104" i="40"/>
  <c r="S104" i="40"/>
  <c r="P104" i="40"/>
  <c r="O104" i="40"/>
  <c r="L104" i="40"/>
  <c r="K104" i="40"/>
  <c r="H104" i="40"/>
  <c r="G104" i="40"/>
  <c r="D104" i="40"/>
  <c r="C104" i="40"/>
  <c r="X103" i="40"/>
  <c r="W103" i="40"/>
  <c r="T103" i="40"/>
  <c r="S103" i="40"/>
  <c r="P103" i="40"/>
  <c r="O103" i="40"/>
  <c r="L103" i="40"/>
  <c r="K103" i="40"/>
  <c r="H103" i="40"/>
  <c r="G103" i="40"/>
  <c r="D103" i="40"/>
  <c r="C103" i="40"/>
  <c r="X102" i="40"/>
  <c r="W102" i="40"/>
  <c r="T102" i="40"/>
  <c r="S102" i="40"/>
  <c r="P102" i="40"/>
  <c r="O102" i="40"/>
  <c r="L102" i="40"/>
  <c r="K102" i="40"/>
  <c r="H102" i="40"/>
  <c r="D102" i="40"/>
  <c r="C102" i="40"/>
  <c r="X101" i="40"/>
  <c r="W101" i="40"/>
  <c r="T101" i="40"/>
  <c r="S101" i="40"/>
  <c r="P101" i="40"/>
  <c r="O101" i="40"/>
  <c r="L101" i="40"/>
  <c r="K101" i="40"/>
  <c r="H101" i="40"/>
  <c r="G101" i="40"/>
  <c r="D101" i="40"/>
  <c r="C101" i="40"/>
  <c r="X100" i="40"/>
  <c r="W100" i="40"/>
  <c r="T100" i="40"/>
  <c r="S100" i="40"/>
  <c r="P100" i="40"/>
  <c r="O100" i="40"/>
  <c r="L100" i="40"/>
  <c r="K100" i="40"/>
  <c r="H100" i="40"/>
  <c r="G100" i="40"/>
  <c r="D100" i="40"/>
  <c r="C100" i="40"/>
  <c r="X99" i="40"/>
  <c r="W99" i="40"/>
  <c r="T99" i="40"/>
  <c r="S99" i="40"/>
  <c r="P99" i="40"/>
  <c r="O99" i="40"/>
  <c r="L99" i="40"/>
  <c r="K99" i="40"/>
  <c r="H99" i="40"/>
  <c r="G99" i="40"/>
  <c r="D99" i="40"/>
  <c r="C99" i="40"/>
  <c r="X98" i="40"/>
  <c r="W98" i="40"/>
  <c r="T98" i="40"/>
  <c r="S98" i="40"/>
  <c r="P98" i="40"/>
  <c r="O98" i="40"/>
  <c r="L98" i="40"/>
  <c r="K98" i="40"/>
  <c r="H98" i="40"/>
  <c r="D98" i="40"/>
  <c r="C98" i="40"/>
  <c r="X97" i="40"/>
  <c r="W97" i="40"/>
  <c r="T97" i="40"/>
  <c r="S97" i="40"/>
  <c r="P97" i="40"/>
  <c r="O97" i="40"/>
  <c r="L97" i="40"/>
  <c r="K97" i="40"/>
  <c r="H97" i="40"/>
  <c r="G97" i="40"/>
  <c r="D97" i="40"/>
  <c r="C97" i="40"/>
  <c r="X96" i="40"/>
  <c r="W96" i="40"/>
  <c r="T96" i="40"/>
  <c r="S96" i="40"/>
  <c r="P96" i="40"/>
  <c r="O96" i="40"/>
  <c r="L96" i="40"/>
  <c r="K96" i="40"/>
  <c r="H96" i="40"/>
  <c r="G96" i="40"/>
  <c r="D96" i="40"/>
  <c r="C96" i="40"/>
  <c r="X95" i="40"/>
  <c r="W95" i="40"/>
  <c r="T95" i="40"/>
  <c r="S95" i="40"/>
  <c r="P95" i="40"/>
  <c r="O95" i="40"/>
  <c r="L95" i="40"/>
  <c r="K95" i="40"/>
  <c r="H95" i="40"/>
  <c r="G95" i="40"/>
  <c r="D95" i="40"/>
  <c r="C95" i="40"/>
  <c r="X94" i="40"/>
  <c r="W94" i="40"/>
  <c r="T94" i="40"/>
  <c r="S94" i="40"/>
  <c r="P94" i="40"/>
  <c r="O94" i="40"/>
  <c r="L94" i="40"/>
  <c r="K94" i="40"/>
  <c r="H94" i="40"/>
  <c r="G94" i="40"/>
  <c r="D94" i="40"/>
  <c r="C94" i="40"/>
  <c r="X93" i="40"/>
  <c r="W93" i="40"/>
  <c r="T93" i="40"/>
  <c r="S93" i="40"/>
  <c r="P93" i="40"/>
  <c r="O93" i="40"/>
  <c r="L93" i="40"/>
  <c r="K93" i="40"/>
  <c r="H93" i="40"/>
  <c r="G93" i="40"/>
  <c r="D93" i="40"/>
  <c r="C93" i="40"/>
  <c r="X92" i="40"/>
  <c r="W92" i="40"/>
  <c r="T92" i="40"/>
  <c r="S92" i="40"/>
  <c r="P92" i="40"/>
  <c r="O92" i="40"/>
  <c r="L92" i="40"/>
  <c r="K92" i="40"/>
  <c r="H92" i="40"/>
  <c r="G92" i="40"/>
  <c r="D92" i="40"/>
  <c r="C92" i="40"/>
  <c r="X91" i="40"/>
  <c r="W91" i="40"/>
  <c r="T91" i="40"/>
  <c r="S91" i="40"/>
  <c r="P91" i="40"/>
  <c r="O91" i="40"/>
  <c r="L91" i="40"/>
  <c r="K91" i="40"/>
  <c r="H91" i="40"/>
  <c r="G91" i="40"/>
  <c r="D91" i="40"/>
  <c r="C91" i="40"/>
  <c r="X90" i="40"/>
  <c r="W90" i="40"/>
  <c r="T90" i="40"/>
  <c r="S90" i="40"/>
  <c r="P90" i="40"/>
  <c r="O90" i="40"/>
  <c r="L90" i="40"/>
  <c r="K90" i="40"/>
  <c r="H90" i="40"/>
  <c r="G90" i="40"/>
  <c r="D90" i="40"/>
  <c r="C90" i="40"/>
  <c r="X89" i="40"/>
  <c r="W89" i="40"/>
  <c r="T89" i="40"/>
  <c r="S89" i="40"/>
  <c r="P89" i="40"/>
  <c r="O89" i="40"/>
  <c r="L89" i="40"/>
  <c r="K89" i="40"/>
  <c r="H89" i="40"/>
  <c r="G89" i="40"/>
  <c r="D89" i="40"/>
  <c r="C89" i="40"/>
  <c r="X88" i="40"/>
  <c r="W88" i="40"/>
  <c r="T88" i="40"/>
  <c r="S88" i="40"/>
  <c r="P88" i="40"/>
  <c r="O88" i="40"/>
  <c r="L88" i="40"/>
  <c r="K88" i="40"/>
  <c r="H88" i="40"/>
  <c r="G88" i="40"/>
  <c r="D88" i="40"/>
  <c r="C88" i="40"/>
  <c r="X87" i="40"/>
  <c r="W87" i="40"/>
  <c r="T87" i="40"/>
  <c r="S87" i="40"/>
  <c r="P87" i="40"/>
  <c r="O87" i="40"/>
  <c r="L87" i="40"/>
  <c r="K87" i="40"/>
  <c r="H87" i="40"/>
  <c r="G87" i="40"/>
  <c r="D87" i="40"/>
  <c r="C87" i="40"/>
  <c r="X86" i="40"/>
  <c r="W86" i="40"/>
  <c r="T86" i="40"/>
  <c r="S86" i="40"/>
  <c r="P86" i="40"/>
  <c r="O86" i="40"/>
  <c r="L86" i="40"/>
  <c r="K86" i="40"/>
  <c r="H86" i="40"/>
  <c r="D86" i="40"/>
  <c r="C86" i="40"/>
  <c r="X85" i="40"/>
  <c r="W85" i="40"/>
  <c r="T85" i="40"/>
  <c r="S85" i="40"/>
  <c r="P85" i="40"/>
  <c r="O85" i="40"/>
  <c r="L85" i="40"/>
  <c r="K85" i="40"/>
  <c r="H85" i="40"/>
  <c r="G85" i="40"/>
  <c r="D85" i="40"/>
  <c r="C85" i="40"/>
  <c r="X84" i="40"/>
  <c r="W84" i="40"/>
  <c r="T84" i="40"/>
  <c r="S84" i="40"/>
  <c r="P84" i="40"/>
  <c r="O84" i="40"/>
  <c r="L84" i="40"/>
  <c r="K84" i="40"/>
  <c r="H84" i="40"/>
  <c r="G84" i="40"/>
  <c r="D84" i="40"/>
  <c r="C84" i="40"/>
  <c r="X83" i="40"/>
  <c r="W83" i="40"/>
  <c r="T83" i="40"/>
  <c r="S83" i="40"/>
  <c r="P83" i="40"/>
  <c r="O83" i="40"/>
  <c r="L83" i="40"/>
  <c r="K83" i="40"/>
  <c r="H83" i="40"/>
  <c r="G83" i="40"/>
  <c r="D83" i="40"/>
  <c r="X82" i="40"/>
  <c r="W82" i="40"/>
  <c r="T82" i="40"/>
  <c r="S82" i="40"/>
  <c r="P82" i="40"/>
  <c r="O82" i="40"/>
  <c r="L82" i="40"/>
  <c r="K82" i="40"/>
  <c r="H82" i="40"/>
  <c r="D82" i="40"/>
  <c r="C82" i="40"/>
  <c r="X81" i="40"/>
  <c r="W81" i="40"/>
  <c r="T81" i="40"/>
  <c r="S81" i="40"/>
  <c r="P81" i="40"/>
  <c r="O81" i="40"/>
  <c r="L81" i="40"/>
  <c r="K81" i="40"/>
  <c r="H81" i="40"/>
  <c r="G81" i="40"/>
  <c r="D81" i="40"/>
  <c r="C81" i="40"/>
  <c r="X80" i="40"/>
  <c r="W80" i="40"/>
  <c r="T80" i="40"/>
  <c r="S80" i="40"/>
  <c r="P80" i="40"/>
  <c r="O80" i="40"/>
  <c r="L80" i="40"/>
  <c r="K80" i="40"/>
  <c r="H80" i="40"/>
  <c r="G80" i="40"/>
  <c r="D80" i="40"/>
  <c r="C80" i="40"/>
  <c r="X79" i="40"/>
  <c r="W79" i="40"/>
  <c r="T79" i="40"/>
  <c r="S79" i="40"/>
  <c r="P79" i="40"/>
  <c r="O79" i="40"/>
  <c r="L79" i="40"/>
  <c r="K79" i="40"/>
  <c r="H79" i="40"/>
  <c r="D79" i="40"/>
  <c r="C79" i="40"/>
  <c r="X78" i="40"/>
  <c r="W78" i="40"/>
  <c r="T78" i="40"/>
  <c r="S78" i="40"/>
  <c r="P78" i="40"/>
  <c r="O78" i="40"/>
  <c r="L78" i="40"/>
  <c r="K78" i="40"/>
  <c r="H78" i="40"/>
  <c r="G78" i="40"/>
  <c r="D78" i="40"/>
  <c r="C78" i="40"/>
  <c r="X77" i="40"/>
  <c r="W77" i="40"/>
  <c r="T77" i="40"/>
  <c r="S77" i="40"/>
  <c r="P77" i="40"/>
  <c r="O77" i="40"/>
  <c r="L77" i="40"/>
  <c r="K77" i="40"/>
  <c r="H77" i="40"/>
  <c r="D77" i="40"/>
  <c r="C77" i="40"/>
  <c r="X76" i="40"/>
  <c r="W76" i="40"/>
  <c r="T76" i="40"/>
  <c r="S76" i="40"/>
  <c r="P76" i="40"/>
  <c r="O76" i="40"/>
  <c r="L76" i="40"/>
  <c r="K76" i="40"/>
  <c r="H76" i="40"/>
  <c r="G76" i="40"/>
  <c r="D76" i="40"/>
  <c r="C76" i="40"/>
  <c r="X75" i="40"/>
  <c r="W75" i="40"/>
  <c r="T75" i="40"/>
  <c r="S75" i="40"/>
  <c r="P75" i="40"/>
  <c r="O75" i="40"/>
  <c r="L75" i="40"/>
  <c r="K75" i="40"/>
  <c r="H75" i="40"/>
  <c r="G75" i="40"/>
  <c r="D75" i="40"/>
  <c r="C75" i="40"/>
  <c r="X74" i="40"/>
  <c r="W74" i="40"/>
  <c r="T74" i="40"/>
  <c r="S74" i="40"/>
  <c r="P74" i="40"/>
  <c r="O74" i="40"/>
  <c r="L74" i="40"/>
  <c r="K74" i="40"/>
  <c r="H74" i="40"/>
  <c r="G74" i="40"/>
  <c r="D74" i="40"/>
  <c r="C74" i="40"/>
  <c r="X73" i="40"/>
  <c r="W73" i="40"/>
  <c r="T73" i="40"/>
  <c r="S73" i="40"/>
  <c r="P73" i="40"/>
  <c r="O73" i="40"/>
  <c r="L73" i="40"/>
  <c r="K73" i="40"/>
  <c r="H73" i="40"/>
  <c r="D73" i="40"/>
  <c r="C73" i="40"/>
  <c r="X72" i="40"/>
  <c r="W72" i="40"/>
  <c r="T72" i="40"/>
  <c r="S72" i="40"/>
  <c r="P72" i="40"/>
  <c r="O72" i="40"/>
  <c r="L72" i="40"/>
  <c r="K72" i="40"/>
  <c r="H72" i="40"/>
  <c r="G72" i="40"/>
  <c r="D72" i="40"/>
  <c r="C72" i="40"/>
  <c r="X71" i="40"/>
  <c r="W71" i="40"/>
  <c r="T71" i="40"/>
  <c r="S71" i="40"/>
  <c r="P71" i="40"/>
  <c r="O71" i="40"/>
  <c r="L71" i="40"/>
  <c r="K71" i="40"/>
  <c r="H71" i="40"/>
  <c r="D71" i="40"/>
  <c r="C71" i="40"/>
  <c r="X70" i="40"/>
  <c r="W70" i="40"/>
  <c r="T70" i="40"/>
  <c r="S70" i="40"/>
  <c r="P70" i="40"/>
  <c r="O70" i="40"/>
  <c r="L70" i="40"/>
  <c r="K70" i="40"/>
  <c r="H70" i="40"/>
  <c r="G70" i="40"/>
  <c r="D70" i="40"/>
  <c r="C70" i="40"/>
  <c r="X69" i="40"/>
  <c r="W69" i="40"/>
  <c r="T69" i="40"/>
  <c r="S69" i="40"/>
  <c r="P69" i="40"/>
  <c r="O69" i="40"/>
  <c r="L69" i="40"/>
  <c r="K69" i="40"/>
  <c r="H69" i="40"/>
  <c r="G69" i="40"/>
  <c r="D69" i="40"/>
  <c r="C69" i="40"/>
  <c r="X68" i="40"/>
  <c r="W68" i="40"/>
  <c r="T68" i="40"/>
  <c r="S68" i="40"/>
  <c r="P68" i="40"/>
  <c r="O68" i="40"/>
  <c r="L68" i="40"/>
  <c r="K68" i="40"/>
  <c r="H68" i="40"/>
  <c r="G68" i="40"/>
  <c r="D68" i="40"/>
  <c r="X67" i="40"/>
  <c r="W67" i="40"/>
  <c r="T67" i="40"/>
  <c r="S67" i="40"/>
  <c r="P67" i="40"/>
  <c r="O67" i="40"/>
  <c r="L67" i="40"/>
  <c r="K67" i="40"/>
  <c r="H67" i="40"/>
  <c r="G67" i="40"/>
  <c r="D67" i="40"/>
  <c r="C67" i="40"/>
  <c r="X66" i="40"/>
  <c r="W66" i="40"/>
  <c r="T66" i="40"/>
  <c r="S66" i="40"/>
  <c r="P66" i="40"/>
  <c r="O66" i="40"/>
  <c r="L66" i="40"/>
  <c r="K66" i="40"/>
  <c r="H66" i="40"/>
  <c r="G66" i="40"/>
  <c r="D66" i="40"/>
  <c r="C66" i="40"/>
  <c r="X65" i="40"/>
  <c r="W65" i="40"/>
  <c r="T65" i="40"/>
  <c r="S65" i="40"/>
  <c r="P65" i="40"/>
  <c r="O65" i="40"/>
  <c r="L65" i="40"/>
  <c r="K65" i="40"/>
  <c r="H65" i="40"/>
  <c r="G65" i="40"/>
  <c r="D65" i="40"/>
  <c r="C65" i="40"/>
  <c r="X64" i="40"/>
  <c r="W64" i="40"/>
  <c r="T64" i="40"/>
  <c r="S64" i="40"/>
  <c r="P64" i="40"/>
  <c r="O64" i="40"/>
  <c r="L64" i="40"/>
  <c r="K64" i="40"/>
  <c r="H64" i="40"/>
  <c r="G64" i="40"/>
  <c r="D64" i="40"/>
  <c r="C64" i="40"/>
  <c r="X63" i="40"/>
  <c r="W63" i="40"/>
  <c r="T63" i="40"/>
  <c r="S63" i="40"/>
  <c r="P63" i="40"/>
  <c r="O63" i="40"/>
  <c r="L63" i="40"/>
  <c r="K63" i="40"/>
  <c r="H63" i="40"/>
  <c r="G63" i="40"/>
  <c r="D63" i="40"/>
  <c r="X62" i="40"/>
  <c r="W62" i="40"/>
  <c r="T62" i="40"/>
  <c r="S62" i="40"/>
  <c r="P62" i="40"/>
  <c r="O62" i="40"/>
  <c r="L62" i="40"/>
  <c r="K62" i="40"/>
  <c r="H62" i="40"/>
  <c r="D62" i="40"/>
  <c r="C62" i="40"/>
  <c r="X61" i="40"/>
  <c r="W61" i="40"/>
  <c r="T61" i="40"/>
  <c r="S61" i="40"/>
  <c r="P61" i="40"/>
  <c r="O61" i="40"/>
  <c r="L61" i="40"/>
  <c r="K61" i="40"/>
  <c r="H61" i="40"/>
  <c r="G61" i="40"/>
  <c r="D61" i="40"/>
  <c r="C61" i="40"/>
  <c r="X60" i="40"/>
  <c r="W60" i="40"/>
  <c r="T60" i="40"/>
  <c r="S60" i="40"/>
  <c r="P60" i="40"/>
  <c r="O60" i="40"/>
  <c r="L60" i="40"/>
  <c r="K60" i="40"/>
  <c r="H60" i="40"/>
  <c r="G60" i="40"/>
  <c r="D60" i="40"/>
  <c r="C60" i="40"/>
  <c r="X59" i="40"/>
  <c r="W59" i="40"/>
  <c r="T59" i="40"/>
  <c r="S59" i="40"/>
  <c r="P59" i="40"/>
  <c r="O59" i="40"/>
  <c r="L59" i="40"/>
  <c r="K59" i="40"/>
  <c r="H59" i="40"/>
  <c r="G59" i="40"/>
  <c r="D59" i="40"/>
  <c r="C59" i="40"/>
  <c r="X58" i="40"/>
  <c r="W58" i="40"/>
  <c r="T58" i="40"/>
  <c r="S58" i="40"/>
  <c r="P58" i="40"/>
  <c r="O58" i="40"/>
  <c r="L58" i="40"/>
  <c r="K58" i="40"/>
  <c r="H58" i="40"/>
  <c r="G58" i="40"/>
  <c r="D58" i="40"/>
  <c r="X57" i="40"/>
  <c r="W57" i="40"/>
  <c r="T57" i="40"/>
  <c r="S57" i="40"/>
  <c r="P57" i="40"/>
  <c r="O57" i="40"/>
  <c r="L57" i="40"/>
  <c r="K57" i="40"/>
  <c r="H57" i="40"/>
  <c r="D57" i="40"/>
  <c r="C57" i="40"/>
  <c r="X56" i="40"/>
  <c r="W56" i="40"/>
  <c r="T56" i="40"/>
  <c r="S56" i="40"/>
  <c r="P56" i="40"/>
  <c r="O56" i="40"/>
  <c r="L56" i="40"/>
  <c r="K56" i="40"/>
  <c r="H56" i="40"/>
  <c r="G56" i="40"/>
  <c r="D56" i="40"/>
  <c r="C56" i="40"/>
  <c r="X55" i="40"/>
  <c r="W55" i="40"/>
  <c r="T55" i="40"/>
  <c r="S55" i="40"/>
  <c r="P55" i="40"/>
  <c r="O55" i="40"/>
  <c r="L55" i="40"/>
  <c r="K55" i="40"/>
  <c r="H55" i="40"/>
  <c r="G55" i="40"/>
  <c r="D55" i="40"/>
  <c r="C55" i="40"/>
  <c r="X54" i="40"/>
  <c r="W54" i="40"/>
  <c r="T54" i="40"/>
  <c r="S54" i="40"/>
  <c r="P54" i="40"/>
  <c r="O54" i="40"/>
  <c r="L54" i="40"/>
  <c r="K54" i="40"/>
  <c r="H54" i="40"/>
  <c r="G54" i="40"/>
  <c r="D54" i="40"/>
  <c r="C54" i="40"/>
  <c r="X53" i="40"/>
  <c r="W53" i="40"/>
  <c r="T53" i="40"/>
  <c r="S53" i="40"/>
  <c r="P53" i="40"/>
  <c r="O53" i="40"/>
  <c r="L53" i="40"/>
  <c r="K53" i="40"/>
  <c r="H53" i="40"/>
  <c r="D53" i="40"/>
  <c r="C53" i="40"/>
  <c r="X52" i="40"/>
  <c r="W52" i="40"/>
  <c r="T52" i="40"/>
  <c r="S52" i="40"/>
  <c r="P52" i="40"/>
  <c r="O52" i="40"/>
  <c r="L52" i="40"/>
  <c r="K52" i="40"/>
  <c r="H52" i="40"/>
  <c r="G52" i="40"/>
  <c r="D52" i="40"/>
  <c r="C52" i="40"/>
  <c r="X51" i="40"/>
  <c r="W51" i="40"/>
  <c r="T51" i="40"/>
  <c r="S51" i="40"/>
  <c r="P51" i="40"/>
  <c r="O51" i="40"/>
  <c r="L51" i="40"/>
  <c r="K51" i="40"/>
  <c r="H51" i="40"/>
  <c r="G51" i="40"/>
  <c r="D51" i="40"/>
  <c r="C51" i="40"/>
  <c r="X50" i="40"/>
  <c r="W50" i="40"/>
  <c r="T50" i="40"/>
  <c r="S50" i="40"/>
  <c r="P50" i="40"/>
  <c r="O50" i="40"/>
  <c r="L50" i="40"/>
  <c r="K50" i="40"/>
  <c r="H50" i="40"/>
  <c r="G50" i="40"/>
  <c r="D50" i="40"/>
  <c r="X49" i="40"/>
  <c r="W49" i="40"/>
  <c r="T49" i="40"/>
  <c r="S49" i="40"/>
  <c r="P49" i="40"/>
  <c r="O49" i="40"/>
  <c r="L49" i="40"/>
  <c r="K49" i="40"/>
  <c r="H49" i="40"/>
  <c r="D49" i="40"/>
  <c r="C49" i="40"/>
  <c r="X48" i="40"/>
  <c r="W48" i="40"/>
  <c r="T48" i="40"/>
  <c r="S48" i="40"/>
  <c r="P48" i="40"/>
  <c r="O48" i="40"/>
  <c r="L48" i="40"/>
  <c r="K48" i="40"/>
  <c r="H48" i="40"/>
  <c r="G48" i="40"/>
  <c r="D48" i="40"/>
  <c r="C48" i="40"/>
  <c r="X47" i="40"/>
  <c r="W47" i="40"/>
  <c r="T47" i="40"/>
  <c r="S47" i="40"/>
  <c r="P47" i="40"/>
  <c r="O47" i="40"/>
  <c r="L47" i="40"/>
  <c r="K47" i="40"/>
  <c r="H47" i="40"/>
  <c r="G47" i="40"/>
  <c r="D47" i="40"/>
  <c r="X46" i="40"/>
  <c r="W46" i="40"/>
  <c r="T46" i="40"/>
  <c r="S46" i="40"/>
  <c r="P46" i="40"/>
  <c r="O46" i="40"/>
  <c r="L46" i="40"/>
  <c r="K46" i="40"/>
  <c r="H46" i="40"/>
  <c r="D46" i="40"/>
  <c r="C46" i="40"/>
  <c r="X45" i="40"/>
  <c r="W45" i="40"/>
  <c r="T45" i="40"/>
  <c r="S45" i="40"/>
  <c r="P45" i="40"/>
  <c r="O45" i="40"/>
  <c r="L45" i="40"/>
  <c r="K45" i="40"/>
  <c r="H45" i="40"/>
  <c r="G45" i="40"/>
  <c r="D45" i="40"/>
  <c r="C45" i="40"/>
  <c r="X44" i="40"/>
  <c r="W44" i="40"/>
  <c r="T44" i="40"/>
  <c r="S44" i="40"/>
  <c r="P44" i="40"/>
  <c r="O44" i="40"/>
  <c r="L44" i="40"/>
  <c r="K44" i="40"/>
  <c r="H44" i="40"/>
  <c r="G44" i="40"/>
  <c r="D44" i="40"/>
  <c r="X43" i="40"/>
  <c r="W43" i="40"/>
  <c r="T43" i="40"/>
  <c r="S43" i="40"/>
  <c r="P43" i="40"/>
  <c r="O43" i="40"/>
  <c r="L43" i="40"/>
  <c r="K43" i="40"/>
  <c r="H43" i="40"/>
  <c r="D43" i="40"/>
  <c r="C43" i="40"/>
  <c r="X42" i="40"/>
  <c r="W42" i="40"/>
  <c r="T42" i="40"/>
  <c r="S42" i="40"/>
  <c r="P42" i="40"/>
  <c r="O42" i="40"/>
  <c r="L42" i="40"/>
  <c r="K42" i="40"/>
  <c r="H42" i="40"/>
  <c r="G42" i="40"/>
  <c r="D42" i="40"/>
  <c r="C42" i="40"/>
  <c r="X41" i="40"/>
  <c r="W41" i="40"/>
  <c r="T41" i="40"/>
  <c r="S41" i="40"/>
  <c r="P41" i="40"/>
  <c r="O41" i="40"/>
  <c r="L41" i="40"/>
  <c r="K41" i="40"/>
  <c r="H41" i="40"/>
  <c r="G41" i="40"/>
  <c r="D41" i="40"/>
  <c r="C41" i="40"/>
  <c r="X40" i="40"/>
  <c r="W40" i="40"/>
  <c r="T40" i="40"/>
  <c r="S40" i="40"/>
  <c r="P40" i="40"/>
  <c r="O40" i="40"/>
  <c r="L40" i="40"/>
  <c r="K40" i="40"/>
  <c r="H40" i="40"/>
  <c r="G40" i="40"/>
  <c r="D40" i="40"/>
  <c r="C40" i="40"/>
  <c r="X39" i="40"/>
  <c r="W39" i="40"/>
  <c r="T39" i="40"/>
  <c r="S39" i="40"/>
  <c r="P39" i="40"/>
  <c r="O39" i="40"/>
  <c r="L39" i="40"/>
  <c r="K39" i="40"/>
  <c r="H39" i="40"/>
  <c r="D39" i="40"/>
  <c r="C39" i="40"/>
  <c r="X38" i="40"/>
  <c r="W38" i="40"/>
  <c r="T38" i="40"/>
  <c r="S38" i="40"/>
  <c r="P38" i="40"/>
  <c r="O38" i="40"/>
  <c r="L38" i="40"/>
  <c r="K38" i="40"/>
  <c r="H38" i="40"/>
  <c r="G38" i="40"/>
  <c r="D38" i="40"/>
  <c r="C38" i="40"/>
  <c r="X37" i="40"/>
  <c r="W37" i="40"/>
  <c r="T37" i="40"/>
  <c r="S37" i="40"/>
  <c r="P37" i="40"/>
  <c r="O37" i="40"/>
  <c r="L37" i="40"/>
  <c r="K37" i="40"/>
  <c r="H37" i="40"/>
  <c r="D37" i="40"/>
  <c r="C37" i="40"/>
  <c r="X36" i="40"/>
  <c r="W36" i="40"/>
  <c r="T36" i="40"/>
  <c r="S36" i="40"/>
  <c r="P36" i="40"/>
  <c r="O36" i="40"/>
  <c r="L36" i="40"/>
  <c r="K36" i="40"/>
  <c r="H36" i="40"/>
  <c r="G36" i="40"/>
  <c r="D36" i="40"/>
  <c r="C36" i="40"/>
  <c r="X35" i="40"/>
  <c r="W35" i="40"/>
  <c r="T35" i="40"/>
  <c r="S35" i="40"/>
  <c r="P35" i="40"/>
  <c r="O35" i="40"/>
  <c r="L35" i="40"/>
  <c r="K35" i="40"/>
  <c r="H35" i="40"/>
  <c r="G35" i="40"/>
  <c r="D35" i="40"/>
  <c r="X34" i="40"/>
  <c r="W34" i="40"/>
  <c r="T34" i="40"/>
  <c r="S34" i="40"/>
  <c r="P34" i="40"/>
  <c r="O34" i="40"/>
  <c r="L34" i="40"/>
  <c r="K34" i="40"/>
  <c r="H34" i="40"/>
  <c r="D34" i="40"/>
  <c r="C34" i="40"/>
  <c r="X33" i="40"/>
  <c r="W33" i="40"/>
  <c r="T33" i="40"/>
  <c r="S33" i="40"/>
  <c r="P33" i="40"/>
  <c r="O33" i="40"/>
  <c r="L33" i="40"/>
  <c r="K33" i="40"/>
  <c r="H33" i="40"/>
  <c r="G33" i="40"/>
  <c r="D33" i="40"/>
  <c r="C33" i="40"/>
  <c r="X32" i="40"/>
  <c r="W32" i="40"/>
  <c r="T32" i="40"/>
  <c r="S32" i="40"/>
  <c r="P32" i="40"/>
  <c r="O32" i="40"/>
  <c r="L32" i="40"/>
  <c r="K32" i="40"/>
  <c r="H32" i="40"/>
  <c r="G32" i="40"/>
  <c r="D32" i="40"/>
  <c r="C32" i="40"/>
  <c r="X31" i="40"/>
  <c r="W31" i="40"/>
  <c r="T31" i="40"/>
  <c r="S31" i="40"/>
  <c r="P31" i="40"/>
  <c r="O31" i="40"/>
  <c r="L31" i="40"/>
  <c r="K31" i="40"/>
  <c r="H31" i="40"/>
  <c r="G31" i="40"/>
  <c r="D31" i="40"/>
  <c r="X30" i="40"/>
  <c r="W30" i="40"/>
  <c r="T30" i="40"/>
  <c r="S30" i="40"/>
  <c r="P30" i="40"/>
  <c r="O30" i="40"/>
  <c r="L30" i="40"/>
  <c r="K30" i="40"/>
  <c r="H30" i="40"/>
  <c r="D30" i="40"/>
  <c r="C30" i="40"/>
  <c r="X29" i="40"/>
  <c r="W29" i="40"/>
  <c r="T29" i="40"/>
  <c r="S29" i="40"/>
  <c r="P29" i="40"/>
  <c r="O29" i="40"/>
  <c r="L29" i="40"/>
  <c r="K29" i="40"/>
  <c r="H29" i="40"/>
  <c r="G29" i="40"/>
  <c r="D29" i="40"/>
  <c r="C29" i="40"/>
  <c r="X28" i="40"/>
  <c r="W28" i="40"/>
  <c r="T28" i="40"/>
  <c r="S28" i="40"/>
  <c r="P28" i="40"/>
  <c r="O28" i="40"/>
  <c r="L28" i="40"/>
  <c r="K28" i="40"/>
  <c r="H28" i="40"/>
  <c r="G28" i="40"/>
  <c r="D28" i="40"/>
  <c r="C28" i="40"/>
  <c r="X27" i="40"/>
  <c r="W27" i="40"/>
  <c r="T27" i="40"/>
  <c r="S27" i="40"/>
  <c r="P27" i="40"/>
  <c r="O27" i="40"/>
  <c r="L27" i="40"/>
  <c r="K27" i="40"/>
  <c r="H27" i="40"/>
  <c r="D27" i="40"/>
  <c r="C27" i="40"/>
  <c r="X26" i="40"/>
  <c r="W26" i="40"/>
  <c r="T26" i="40"/>
  <c r="S26" i="40"/>
  <c r="P26" i="40"/>
  <c r="O26" i="40"/>
  <c r="L26" i="40"/>
  <c r="K26" i="40"/>
  <c r="H26" i="40"/>
  <c r="G26" i="40"/>
  <c r="D26" i="40"/>
  <c r="C26" i="40"/>
  <c r="X25" i="40"/>
  <c r="W25" i="40"/>
  <c r="T25" i="40"/>
  <c r="S25" i="40"/>
  <c r="P25" i="40"/>
  <c r="O25" i="40"/>
  <c r="L25" i="40"/>
  <c r="K25" i="40"/>
  <c r="H25" i="40"/>
  <c r="G25" i="40"/>
  <c r="D25" i="40"/>
  <c r="C25" i="40"/>
  <c r="X24" i="40"/>
  <c r="W24" i="40"/>
  <c r="T24" i="40"/>
  <c r="S24" i="40"/>
  <c r="P24" i="40"/>
  <c r="O24" i="40"/>
  <c r="L24" i="40"/>
  <c r="K24" i="40"/>
  <c r="H24" i="40"/>
  <c r="G24" i="40"/>
  <c r="D24" i="40"/>
  <c r="X23" i="40"/>
  <c r="W23" i="40"/>
  <c r="T23" i="40"/>
  <c r="S23" i="40"/>
  <c r="P23" i="40"/>
  <c r="O23" i="40"/>
  <c r="L23" i="40"/>
  <c r="K23" i="40"/>
  <c r="H23" i="40"/>
  <c r="G23" i="40"/>
  <c r="D23" i="40"/>
  <c r="C23" i="40"/>
  <c r="X22" i="40"/>
  <c r="W22" i="40"/>
  <c r="T22" i="40"/>
  <c r="S22" i="40"/>
  <c r="P22" i="40"/>
  <c r="O22" i="40"/>
  <c r="L22" i="40"/>
  <c r="K22" i="40"/>
  <c r="H22" i="40"/>
  <c r="G22" i="40"/>
  <c r="D22" i="40"/>
  <c r="X21" i="40"/>
  <c r="W21" i="40"/>
  <c r="T21" i="40"/>
  <c r="S21" i="40"/>
  <c r="P21" i="40"/>
  <c r="O21" i="40"/>
  <c r="L21" i="40"/>
  <c r="K21" i="40"/>
  <c r="H21" i="40"/>
  <c r="D21" i="40"/>
  <c r="C21" i="40"/>
  <c r="X20" i="40"/>
  <c r="W20" i="40"/>
  <c r="T20" i="40"/>
  <c r="S20" i="40"/>
  <c r="P20" i="40"/>
  <c r="O20" i="40"/>
  <c r="L20" i="40"/>
  <c r="K20" i="40"/>
  <c r="H20" i="40"/>
  <c r="G20" i="40"/>
  <c r="D20" i="40"/>
  <c r="C20" i="40"/>
  <c r="X19" i="40"/>
  <c r="W19" i="40"/>
  <c r="T19" i="40"/>
  <c r="S19" i="40"/>
  <c r="P19" i="40"/>
  <c r="O19" i="40"/>
  <c r="L19" i="40"/>
  <c r="K19" i="40"/>
  <c r="H19" i="40"/>
  <c r="G19" i="40"/>
  <c r="D19" i="40"/>
  <c r="C19" i="40"/>
  <c r="X18" i="40"/>
  <c r="W18" i="40"/>
  <c r="T18" i="40"/>
  <c r="S18" i="40"/>
  <c r="P18" i="40"/>
  <c r="O18" i="40"/>
  <c r="L18" i="40"/>
  <c r="K18" i="40"/>
  <c r="H18" i="40"/>
  <c r="G18" i="40"/>
  <c r="D18" i="40"/>
  <c r="X17" i="40"/>
  <c r="W17" i="40"/>
  <c r="T17" i="40"/>
  <c r="S17" i="40"/>
  <c r="P17" i="40"/>
  <c r="O17" i="40"/>
  <c r="L17" i="40"/>
  <c r="K17" i="40"/>
  <c r="H17" i="40"/>
  <c r="D17" i="40"/>
  <c r="C17" i="40"/>
  <c r="X16" i="40"/>
  <c r="W16" i="40"/>
  <c r="T16" i="40"/>
  <c r="S16" i="40"/>
  <c r="P16" i="40"/>
  <c r="O16" i="40"/>
  <c r="L16" i="40"/>
  <c r="K16" i="40"/>
  <c r="H16" i="40"/>
  <c r="G16" i="40"/>
  <c r="D16" i="40"/>
  <c r="C16" i="40"/>
  <c r="X15" i="40"/>
  <c r="W15" i="40"/>
  <c r="T15" i="40"/>
  <c r="S15" i="40"/>
  <c r="P15" i="40"/>
  <c r="O15" i="40"/>
  <c r="L15" i="40"/>
  <c r="K15" i="40"/>
  <c r="H15" i="40"/>
  <c r="G15" i="40"/>
  <c r="D15" i="40"/>
  <c r="X14" i="40"/>
  <c r="W14" i="40"/>
  <c r="T14" i="40"/>
  <c r="S14" i="40"/>
  <c r="P14" i="40"/>
  <c r="O14" i="40"/>
  <c r="L14" i="40"/>
  <c r="K14" i="40"/>
  <c r="H14" i="40"/>
  <c r="D14" i="40"/>
  <c r="C14" i="40"/>
  <c r="X13" i="40"/>
  <c r="W13" i="40"/>
  <c r="T13" i="40"/>
  <c r="S13" i="40"/>
  <c r="P13" i="40"/>
  <c r="O13" i="40"/>
  <c r="L13" i="40"/>
  <c r="K13" i="40"/>
  <c r="H13" i="40"/>
  <c r="G13" i="40"/>
  <c r="D13" i="40"/>
  <c r="C13" i="40"/>
  <c r="X12" i="40"/>
  <c r="W12" i="40"/>
  <c r="T12" i="40"/>
  <c r="S12" i="40"/>
  <c r="P12" i="40"/>
  <c r="O12" i="40"/>
  <c r="L12" i="40"/>
  <c r="K12" i="40"/>
  <c r="H12" i="40"/>
  <c r="G12" i="40"/>
  <c r="D12" i="40"/>
  <c r="C12" i="40"/>
  <c r="X11" i="40"/>
  <c r="W11" i="40"/>
  <c r="T11" i="40"/>
  <c r="S11" i="40"/>
  <c r="P11" i="40"/>
  <c r="O11" i="40"/>
  <c r="L11" i="40"/>
  <c r="K11" i="40"/>
  <c r="H11" i="40"/>
  <c r="G11" i="40"/>
  <c r="D11" i="40"/>
  <c r="C11" i="40"/>
  <c r="X10" i="40"/>
  <c r="W10" i="40"/>
  <c r="T10" i="40"/>
  <c r="S10" i="40"/>
  <c r="P10" i="40"/>
  <c r="O10" i="40"/>
  <c r="L10" i="40"/>
  <c r="K10" i="40"/>
  <c r="H10" i="40"/>
  <c r="D10" i="40"/>
  <c r="C10" i="40"/>
  <c r="X9" i="40"/>
  <c r="W9" i="40"/>
  <c r="T9" i="40"/>
  <c r="S9" i="40"/>
  <c r="P9" i="40"/>
  <c r="O9" i="40"/>
  <c r="L9" i="40"/>
  <c r="K9" i="40"/>
  <c r="H9" i="40"/>
  <c r="G9" i="40"/>
  <c r="D9" i="40"/>
  <c r="C9" i="40"/>
  <c r="X8" i="40"/>
  <c r="W8" i="40"/>
  <c r="T8" i="40"/>
  <c r="S8" i="40"/>
  <c r="P8" i="40"/>
  <c r="O8" i="40"/>
  <c r="L8" i="40"/>
  <c r="K8" i="40"/>
  <c r="H8" i="40"/>
  <c r="G8" i="40"/>
  <c r="D8" i="40"/>
  <c r="C8" i="40"/>
  <c r="X7" i="40"/>
  <c r="W7" i="40"/>
  <c r="T7" i="40"/>
  <c r="S7" i="40"/>
  <c r="P7" i="40"/>
  <c r="O7" i="40"/>
  <c r="L7" i="40"/>
  <c r="K7" i="40"/>
  <c r="H7" i="40"/>
  <c r="G7" i="40"/>
  <c r="D7" i="40"/>
  <c r="X6" i="40"/>
  <c r="W6" i="40"/>
  <c r="T6" i="40"/>
  <c r="S6" i="40"/>
  <c r="P6" i="40"/>
  <c r="O6" i="40"/>
  <c r="L6" i="40"/>
  <c r="K6" i="40"/>
  <c r="H6" i="40"/>
  <c r="D6" i="40"/>
  <c r="C6" i="40"/>
  <c r="X5" i="40"/>
  <c r="W5" i="40"/>
  <c r="T5" i="40"/>
  <c r="S5" i="40"/>
  <c r="P5" i="40"/>
  <c r="O5" i="40"/>
  <c r="L5" i="40"/>
  <c r="K5" i="40"/>
  <c r="H5" i="40"/>
  <c r="G5" i="40"/>
  <c r="D5" i="40"/>
  <c r="C5" i="40"/>
  <c r="X4" i="40"/>
  <c r="W4" i="40"/>
  <c r="T4" i="40"/>
  <c r="S4" i="40"/>
  <c r="P4" i="40"/>
  <c r="O4" i="40"/>
  <c r="L4" i="40"/>
  <c r="K4" i="40"/>
  <c r="H4" i="40"/>
  <c r="G4" i="40"/>
  <c r="D4" i="40"/>
  <c r="X123" i="39"/>
  <c r="W123" i="39"/>
  <c r="T123" i="39"/>
  <c r="S123" i="39"/>
  <c r="P123" i="39"/>
  <c r="O123" i="39"/>
  <c r="L123" i="39"/>
  <c r="K123" i="39"/>
  <c r="H123" i="39"/>
  <c r="G123" i="39"/>
  <c r="D123" i="39"/>
  <c r="C123" i="39"/>
  <c r="X122" i="39"/>
  <c r="W122" i="39"/>
  <c r="T122" i="39"/>
  <c r="S122" i="39"/>
  <c r="P122" i="39"/>
  <c r="O122" i="39"/>
  <c r="L122" i="39"/>
  <c r="K122" i="39"/>
  <c r="H122" i="39"/>
  <c r="G122" i="39"/>
  <c r="D122" i="39"/>
  <c r="C122" i="39"/>
  <c r="X121" i="39"/>
  <c r="W121" i="39"/>
  <c r="T121" i="39"/>
  <c r="S121" i="39"/>
  <c r="P121" i="39"/>
  <c r="O121" i="39"/>
  <c r="L121" i="39"/>
  <c r="K121" i="39"/>
  <c r="H121" i="39"/>
  <c r="G121" i="39"/>
  <c r="D121" i="39"/>
  <c r="C121" i="39"/>
  <c r="X120" i="39"/>
  <c r="W120" i="39"/>
  <c r="T120" i="39"/>
  <c r="S120" i="39"/>
  <c r="P120" i="39"/>
  <c r="O120" i="39"/>
  <c r="L120" i="39"/>
  <c r="K120" i="39"/>
  <c r="H120" i="39"/>
  <c r="G120" i="39"/>
  <c r="D120" i="39"/>
  <c r="C120" i="39"/>
  <c r="X119" i="39"/>
  <c r="W119" i="39"/>
  <c r="T119" i="39"/>
  <c r="S119" i="39"/>
  <c r="P119" i="39"/>
  <c r="O119" i="39"/>
  <c r="L119" i="39"/>
  <c r="K119" i="39"/>
  <c r="H119" i="39"/>
  <c r="G119" i="39"/>
  <c r="D119" i="39"/>
  <c r="C119" i="39"/>
  <c r="X118" i="39"/>
  <c r="W118" i="39"/>
  <c r="T118" i="39"/>
  <c r="S118" i="39"/>
  <c r="P118" i="39"/>
  <c r="O118" i="39"/>
  <c r="L118" i="39"/>
  <c r="K118" i="39"/>
  <c r="H118" i="39"/>
  <c r="G118" i="39"/>
  <c r="D118" i="39"/>
  <c r="C118" i="39"/>
  <c r="X117" i="39"/>
  <c r="W117" i="39"/>
  <c r="T117" i="39"/>
  <c r="S117" i="39"/>
  <c r="P117" i="39"/>
  <c r="O117" i="39"/>
  <c r="L117" i="39"/>
  <c r="K117" i="39"/>
  <c r="H117" i="39"/>
  <c r="G117" i="39"/>
  <c r="D117" i="39"/>
  <c r="C117" i="39"/>
  <c r="X116" i="39"/>
  <c r="W116" i="39"/>
  <c r="T116" i="39"/>
  <c r="S116" i="39"/>
  <c r="P116" i="39"/>
  <c r="O116" i="39"/>
  <c r="L116" i="39"/>
  <c r="K116" i="39"/>
  <c r="H116" i="39"/>
  <c r="G116" i="39"/>
  <c r="D116" i="39"/>
  <c r="C116" i="39"/>
  <c r="X115" i="39"/>
  <c r="W115" i="39"/>
  <c r="T115" i="39"/>
  <c r="S115" i="39"/>
  <c r="P115" i="39"/>
  <c r="O115" i="39"/>
  <c r="L115" i="39"/>
  <c r="K115" i="39"/>
  <c r="H115" i="39"/>
  <c r="G115" i="39"/>
  <c r="D115" i="39"/>
  <c r="C115" i="39"/>
  <c r="X114" i="39"/>
  <c r="W114" i="39"/>
  <c r="T114" i="39"/>
  <c r="S114" i="39"/>
  <c r="P114" i="39"/>
  <c r="O114" i="39"/>
  <c r="L114" i="39"/>
  <c r="K114" i="39"/>
  <c r="H114" i="39"/>
  <c r="G114" i="39"/>
  <c r="D114" i="39"/>
  <c r="C114" i="39"/>
  <c r="X113" i="39"/>
  <c r="W113" i="39"/>
  <c r="T113" i="39"/>
  <c r="S113" i="39"/>
  <c r="P113" i="39"/>
  <c r="O113" i="39"/>
  <c r="L113" i="39"/>
  <c r="K113" i="39"/>
  <c r="H113" i="39"/>
  <c r="G113" i="39"/>
  <c r="D113" i="39"/>
  <c r="C113" i="39"/>
  <c r="X112" i="39"/>
  <c r="W112" i="39"/>
  <c r="T112" i="39"/>
  <c r="S112" i="39"/>
  <c r="P112" i="39"/>
  <c r="O112" i="39"/>
  <c r="L112" i="39"/>
  <c r="K112" i="39"/>
  <c r="H112" i="39"/>
  <c r="G112" i="39"/>
  <c r="D112" i="39"/>
  <c r="C112" i="39"/>
  <c r="X111" i="39"/>
  <c r="W111" i="39"/>
  <c r="T111" i="39"/>
  <c r="S111" i="39"/>
  <c r="P111" i="39"/>
  <c r="O111" i="39"/>
  <c r="L111" i="39"/>
  <c r="K111" i="39"/>
  <c r="H111" i="39"/>
  <c r="G111" i="39"/>
  <c r="D111" i="39"/>
  <c r="C111" i="39"/>
  <c r="X110" i="39"/>
  <c r="W110" i="39"/>
  <c r="T110" i="39"/>
  <c r="S110" i="39"/>
  <c r="P110" i="39"/>
  <c r="O110" i="39"/>
  <c r="L110" i="39"/>
  <c r="K110" i="39"/>
  <c r="H110" i="39"/>
  <c r="G110" i="39"/>
  <c r="D110" i="39"/>
  <c r="C110" i="39"/>
  <c r="X109" i="39"/>
  <c r="W109" i="39"/>
  <c r="T109" i="39"/>
  <c r="S109" i="39"/>
  <c r="P109" i="39"/>
  <c r="O109" i="39"/>
  <c r="L109" i="39"/>
  <c r="K109" i="39"/>
  <c r="H109" i="39"/>
  <c r="G109" i="39"/>
  <c r="D109" i="39"/>
  <c r="C109" i="39"/>
  <c r="X108" i="39"/>
  <c r="W108" i="39"/>
  <c r="T108" i="39"/>
  <c r="S108" i="39"/>
  <c r="P108" i="39"/>
  <c r="O108" i="39"/>
  <c r="L108" i="39"/>
  <c r="K108" i="39"/>
  <c r="H108" i="39"/>
  <c r="G108" i="39"/>
  <c r="D108" i="39"/>
  <c r="C108" i="39"/>
  <c r="X107" i="39"/>
  <c r="W107" i="39"/>
  <c r="T107" i="39"/>
  <c r="S107" i="39"/>
  <c r="P107" i="39"/>
  <c r="O107" i="39"/>
  <c r="L107" i="39"/>
  <c r="K107" i="39"/>
  <c r="H107" i="39"/>
  <c r="G107" i="39"/>
  <c r="D107" i="39"/>
  <c r="C107" i="39"/>
  <c r="X106" i="39"/>
  <c r="W106" i="39"/>
  <c r="T106" i="39"/>
  <c r="S106" i="39"/>
  <c r="P106" i="39"/>
  <c r="O106" i="39"/>
  <c r="L106" i="39"/>
  <c r="K106" i="39"/>
  <c r="H106" i="39"/>
  <c r="G106" i="39"/>
  <c r="D106" i="39"/>
  <c r="C106" i="39"/>
  <c r="X105" i="39"/>
  <c r="W105" i="39"/>
  <c r="T105" i="39"/>
  <c r="S105" i="39"/>
  <c r="P105" i="39"/>
  <c r="O105" i="39"/>
  <c r="L105" i="39"/>
  <c r="K105" i="39"/>
  <c r="H105" i="39"/>
  <c r="G105" i="39"/>
  <c r="D105" i="39"/>
  <c r="C105" i="39"/>
  <c r="X104" i="39"/>
  <c r="W104" i="39"/>
  <c r="T104" i="39"/>
  <c r="S104" i="39"/>
  <c r="P104" i="39"/>
  <c r="O104" i="39"/>
  <c r="L104" i="39"/>
  <c r="K104" i="39"/>
  <c r="H104" i="39"/>
  <c r="G104" i="39"/>
  <c r="D104" i="39"/>
  <c r="C104" i="39"/>
  <c r="X103" i="39"/>
  <c r="W103" i="39"/>
  <c r="T103" i="39"/>
  <c r="S103" i="39"/>
  <c r="P103" i="39"/>
  <c r="O103" i="39"/>
  <c r="L103" i="39"/>
  <c r="K103" i="39"/>
  <c r="H103" i="39"/>
  <c r="G103" i="39"/>
  <c r="D103" i="39"/>
  <c r="C103" i="39"/>
  <c r="X102" i="39"/>
  <c r="W102" i="39"/>
  <c r="T102" i="39"/>
  <c r="S102" i="39"/>
  <c r="P102" i="39"/>
  <c r="O102" i="39"/>
  <c r="L102" i="39"/>
  <c r="K102" i="39"/>
  <c r="H102" i="39"/>
  <c r="G102" i="39"/>
  <c r="D102" i="39"/>
  <c r="C102" i="39"/>
  <c r="X101" i="39"/>
  <c r="W101" i="39"/>
  <c r="T101" i="39"/>
  <c r="S101" i="39"/>
  <c r="P101" i="39"/>
  <c r="O101" i="39"/>
  <c r="L101" i="39"/>
  <c r="K101" i="39"/>
  <c r="H101" i="39"/>
  <c r="G101" i="39"/>
  <c r="D101" i="39"/>
  <c r="C101" i="39"/>
  <c r="X100" i="39"/>
  <c r="W100" i="39"/>
  <c r="T100" i="39"/>
  <c r="S100" i="39"/>
  <c r="P100" i="39"/>
  <c r="O100" i="39"/>
  <c r="L100" i="39"/>
  <c r="K100" i="39"/>
  <c r="H100" i="39"/>
  <c r="G100" i="39"/>
  <c r="D100" i="39"/>
  <c r="C100" i="39"/>
  <c r="X99" i="39"/>
  <c r="W99" i="39"/>
  <c r="T99" i="39"/>
  <c r="S99" i="39"/>
  <c r="P99" i="39"/>
  <c r="O99" i="39"/>
  <c r="L99" i="39"/>
  <c r="K99" i="39"/>
  <c r="H99" i="39"/>
  <c r="G99" i="39"/>
  <c r="D99" i="39"/>
  <c r="C99" i="39"/>
  <c r="X98" i="39"/>
  <c r="W98" i="39"/>
  <c r="T98" i="39"/>
  <c r="S98" i="39"/>
  <c r="P98" i="39"/>
  <c r="O98" i="39"/>
  <c r="L98" i="39"/>
  <c r="K98" i="39"/>
  <c r="H98" i="39"/>
  <c r="G98" i="39"/>
  <c r="D98" i="39"/>
  <c r="C98" i="39"/>
  <c r="X97" i="39"/>
  <c r="W97" i="39"/>
  <c r="T97" i="39"/>
  <c r="S97" i="39"/>
  <c r="P97" i="39"/>
  <c r="O97" i="39"/>
  <c r="L97" i="39"/>
  <c r="K97" i="39"/>
  <c r="H97" i="39"/>
  <c r="G97" i="39"/>
  <c r="D97" i="39"/>
  <c r="C97" i="39"/>
  <c r="X96" i="39"/>
  <c r="W96" i="39"/>
  <c r="T96" i="39"/>
  <c r="S96" i="39"/>
  <c r="P96" i="39"/>
  <c r="O96" i="39"/>
  <c r="L96" i="39"/>
  <c r="K96" i="39"/>
  <c r="H96" i="39"/>
  <c r="G96" i="39"/>
  <c r="D96" i="39"/>
  <c r="C96" i="39"/>
  <c r="X95" i="39"/>
  <c r="W95" i="39"/>
  <c r="T95" i="39"/>
  <c r="S95" i="39"/>
  <c r="P95" i="39"/>
  <c r="O95" i="39"/>
  <c r="L95" i="39"/>
  <c r="K95" i="39"/>
  <c r="H95" i="39"/>
  <c r="G95" i="39"/>
  <c r="D95" i="39"/>
  <c r="C95" i="39"/>
  <c r="X94" i="39"/>
  <c r="W94" i="39"/>
  <c r="T94" i="39"/>
  <c r="S94" i="39"/>
  <c r="P94" i="39"/>
  <c r="O94" i="39"/>
  <c r="L94" i="39"/>
  <c r="K94" i="39"/>
  <c r="H94" i="39"/>
  <c r="G94" i="39"/>
  <c r="D94" i="39"/>
  <c r="C94" i="39"/>
  <c r="X93" i="39"/>
  <c r="W93" i="39"/>
  <c r="T93" i="39"/>
  <c r="S93" i="39"/>
  <c r="P93" i="39"/>
  <c r="O93" i="39"/>
  <c r="L93" i="39"/>
  <c r="K93" i="39"/>
  <c r="H93" i="39"/>
  <c r="G93" i="39"/>
  <c r="D93" i="39"/>
  <c r="C93" i="39"/>
  <c r="X92" i="39"/>
  <c r="W92" i="39"/>
  <c r="T92" i="39"/>
  <c r="S92" i="39"/>
  <c r="P92" i="39"/>
  <c r="O92" i="39"/>
  <c r="L92" i="39"/>
  <c r="K92" i="39"/>
  <c r="H92" i="39"/>
  <c r="G92" i="39"/>
  <c r="D92" i="39"/>
  <c r="C92" i="39"/>
  <c r="X91" i="39"/>
  <c r="W91" i="39"/>
  <c r="T91" i="39"/>
  <c r="S91" i="39"/>
  <c r="P91" i="39"/>
  <c r="O91" i="39"/>
  <c r="L91" i="39"/>
  <c r="K91" i="39"/>
  <c r="H91" i="39"/>
  <c r="G91" i="39"/>
  <c r="D91" i="39"/>
  <c r="C91" i="39"/>
  <c r="X90" i="39"/>
  <c r="W90" i="39"/>
  <c r="T90" i="39"/>
  <c r="S90" i="39"/>
  <c r="P90" i="39"/>
  <c r="O90" i="39"/>
  <c r="L90" i="39"/>
  <c r="K90" i="39"/>
  <c r="H90" i="39"/>
  <c r="G90" i="39"/>
  <c r="D90" i="39"/>
  <c r="C90" i="39"/>
  <c r="X89" i="39"/>
  <c r="W89" i="39"/>
  <c r="T89" i="39"/>
  <c r="S89" i="39"/>
  <c r="P89" i="39"/>
  <c r="O89" i="39"/>
  <c r="L89" i="39"/>
  <c r="K89" i="39"/>
  <c r="H89" i="39"/>
  <c r="G89" i="39"/>
  <c r="D89" i="39"/>
  <c r="C89" i="39"/>
  <c r="X88" i="39"/>
  <c r="W88" i="39"/>
  <c r="T88" i="39"/>
  <c r="S88" i="39"/>
  <c r="P88" i="39"/>
  <c r="O88" i="39"/>
  <c r="L88" i="39"/>
  <c r="K88" i="39"/>
  <c r="H88" i="39"/>
  <c r="G88" i="39"/>
  <c r="D88" i="39"/>
  <c r="C88" i="39"/>
  <c r="X87" i="39"/>
  <c r="W87" i="39"/>
  <c r="T87" i="39"/>
  <c r="S87" i="39"/>
  <c r="P87" i="39"/>
  <c r="O87" i="39"/>
  <c r="L87" i="39"/>
  <c r="K87" i="39"/>
  <c r="H87" i="39"/>
  <c r="G87" i="39"/>
  <c r="D87" i="39"/>
  <c r="C87" i="39"/>
  <c r="X86" i="39"/>
  <c r="W86" i="39"/>
  <c r="T86" i="39"/>
  <c r="S86" i="39"/>
  <c r="P86" i="39"/>
  <c r="O86" i="39"/>
  <c r="L86" i="39"/>
  <c r="K86" i="39"/>
  <c r="H86" i="39"/>
  <c r="G86" i="39"/>
  <c r="D86" i="39"/>
  <c r="C86" i="39"/>
  <c r="X85" i="39"/>
  <c r="W85" i="39"/>
  <c r="T85" i="39"/>
  <c r="S85" i="39"/>
  <c r="P85" i="39"/>
  <c r="O85" i="39"/>
  <c r="L85" i="39"/>
  <c r="K85" i="39"/>
  <c r="H85" i="39"/>
  <c r="G85" i="39"/>
  <c r="D85" i="39"/>
  <c r="C85" i="39"/>
  <c r="X84" i="39"/>
  <c r="W84" i="39"/>
  <c r="T84" i="39"/>
  <c r="S84" i="39"/>
  <c r="P84" i="39"/>
  <c r="O84" i="39"/>
  <c r="L84" i="39"/>
  <c r="K84" i="39"/>
  <c r="H84" i="39"/>
  <c r="G84" i="39"/>
  <c r="D84" i="39"/>
  <c r="C84" i="39"/>
  <c r="X83" i="39"/>
  <c r="W83" i="39"/>
  <c r="T83" i="39"/>
  <c r="S83" i="39"/>
  <c r="P83" i="39"/>
  <c r="O83" i="39"/>
  <c r="L83" i="39"/>
  <c r="K83" i="39"/>
  <c r="H83" i="39"/>
  <c r="G83" i="39"/>
  <c r="D83" i="39"/>
  <c r="C83" i="39"/>
  <c r="X82" i="39"/>
  <c r="W82" i="39"/>
  <c r="T82" i="39"/>
  <c r="S82" i="39"/>
  <c r="P82" i="39"/>
  <c r="O82" i="39"/>
  <c r="L82" i="39"/>
  <c r="K82" i="39"/>
  <c r="H82" i="39"/>
  <c r="G82" i="39"/>
  <c r="D82" i="39"/>
  <c r="C82" i="39"/>
  <c r="X81" i="39"/>
  <c r="W81" i="39"/>
  <c r="T81" i="39"/>
  <c r="S81" i="39"/>
  <c r="P81" i="39"/>
  <c r="O81" i="39"/>
  <c r="L81" i="39"/>
  <c r="K81" i="39"/>
  <c r="H81" i="39"/>
  <c r="G81" i="39"/>
  <c r="D81" i="39"/>
  <c r="C81" i="39"/>
  <c r="X80" i="39"/>
  <c r="W80" i="39"/>
  <c r="T80" i="39"/>
  <c r="S80" i="39"/>
  <c r="P80" i="39"/>
  <c r="O80" i="39"/>
  <c r="L80" i="39"/>
  <c r="K80" i="39"/>
  <c r="H80" i="39"/>
  <c r="G80" i="39"/>
  <c r="D80" i="39"/>
  <c r="C80" i="39"/>
  <c r="X79" i="39"/>
  <c r="W79" i="39"/>
  <c r="T79" i="39"/>
  <c r="S79" i="39"/>
  <c r="P79" i="39"/>
  <c r="O79" i="39"/>
  <c r="L79" i="39"/>
  <c r="K79" i="39"/>
  <c r="H79" i="39"/>
  <c r="G79" i="39"/>
  <c r="D79" i="39"/>
  <c r="C79" i="39"/>
  <c r="X78" i="39"/>
  <c r="W78" i="39"/>
  <c r="T78" i="39"/>
  <c r="S78" i="39"/>
  <c r="P78" i="39"/>
  <c r="O78" i="39"/>
  <c r="L78" i="39"/>
  <c r="K78" i="39"/>
  <c r="H78" i="39"/>
  <c r="G78" i="39"/>
  <c r="D78" i="39"/>
  <c r="C78" i="39"/>
  <c r="X77" i="39"/>
  <c r="W77" i="39"/>
  <c r="T77" i="39"/>
  <c r="S77" i="39"/>
  <c r="P77" i="39"/>
  <c r="O77" i="39"/>
  <c r="L77" i="39"/>
  <c r="K77" i="39"/>
  <c r="H77" i="39"/>
  <c r="G77" i="39"/>
  <c r="D77" i="39"/>
  <c r="C77" i="39"/>
  <c r="X76" i="39"/>
  <c r="W76" i="39"/>
  <c r="T76" i="39"/>
  <c r="S76" i="39"/>
  <c r="P76" i="39"/>
  <c r="O76" i="39"/>
  <c r="L76" i="39"/>
  <c r="K76" i="39"/>
  <c r="H76" i="39"/>
  <c r="G76" i="39"/>
  <c r="D76" i="39"/>
  <c r="C76" i="39"/>
  <c r="X75" i="39"/>
  <c r="W75" i="39"/>
  <c r="T75" i="39"/>
  <c r="S75" i="39"/>
  <c r="P75" i="39"/>
  <c r="O75" i="39"/>
  <c r="L75" i="39"/>
  <c r="K75" i="39"/>
  <c r="H75" i="39"/>
  <c r="G75" i="39"/>
  <c r="D75" i="39"/>
  <c r="C75" i="39"/>
  <c r="X74" i="39"/>
  <c r="W74" i="39"/>
  <c r="T74" i="39"/>
  <c r="S74" i="39"/>
  <c r="P74" i="39"/>
  <c r="O74" i="39"/>
  <c r="L74" i="39"/>
  <c r="K74" i="39"/>
  <c r="H74" i="39"/>
  <c r="G74" i="39"/>
  <c r="D74" i="39"/>
  <c r="C74" i="39"/>
  <c r="X73" i="39"/>
  <c r="W73" i="39"/>
  <c r="T73" i="39"/>
  <c r="S73" i="39"/>
  <c r="P73" i="39"/>
  <c r="O73" i="39"/>
  <c r="L73" i="39"/>
  <c r="K73" i="39"/>
  <c r="H73" i="39"/>
  <c r="G73" i="39"/>
  <c r="D73" i="39"/>
  <c r="C73" i="39"/>
  <c r="X72" i="39"/>
  <c r="W72" i="39"/>
  <c r="T72" i="39"/>
  <c r="S72" i="39"/>
  <c r="P72" i="39"/>
  <c r="O72" i="39"/>
  <c r="L72" i="39"/>
  <c r="K72" i="39"/>
  <c r="H72" i="39"/>
  <c r="G72" i="39"/>
  <c r="D72" i="39"/>
  <c r="C72" i="39"/>
  <c r="X71" i="39"/>
  <c r="W71" i="39"/>
  <c r="T71" i="39"/>
  <c r="S71" i="39"/>
  <c r="P71" i="39"/>
  <c r="O71" i="39"/>
  <c r="L71" i="39"/>
  <c r="K71" i="39"/>
  <c r="H71" i="39"/>
  <c r="G71" i="39"/>
  <c r="D71" i="39"/>
  <c r="C71" i="39"/>
  <c r="X70" i="39"/>
  <c r="W70" i="39"/>
  <c r="T70" i="39"/>
  <c r="S70" i="39"/>
  <c r="P70" i="39"/>
  <c r="O70" i="39"/>
  <c r="L70" i="39"/>
  <c r="K70" i="39"/>
  <c r="H70" i="39"/>
  <c r="G70" i="39"/>
  <c r="D70" i="39"/>
  <c r="C70" i="39"/>
  <c r="X69" i="39"/>
  <c r="W69" i="39"/>
  <c r="T69" i="39"/>
  <c r="S69" i="39"/>
  <c r="P69" i="39"/>
  <c r="O69" i="39"/>
  <c r="L69" i="39"/>
  <c r="K69" i="39"/>
  <c r="H69" i="39"/>
  <c r="G69" i="39"/>
  <c r="D69" i="39"/>
  <c r="C69" i="39"/>
  <c r="X68" i="39"/>
  <c r="W68" i="39"/>
  <c r="T68" i="39"/>
  <c r="S68" i="39"/>
  <c r="P68" i="39"/>
  <c r="O68" i="39"/>
  <c r="L68" i="39"/>
  <c r="K68" i="39"/>
  <c r="H68" i="39"/>
  <c r="G68" i="39"/>
  <c r="D68" i="39"/>
  <c r="C68" i="39"/>
  <c r="X67" i="39"/>
  <c r="W67" i="39"/>
  <c r="T67" i="39"/>
  <c r="S67" i="39"/>
  <c r="P67" i="39"/>
  <c r="O67" i="39"/>
  <c r="L67" i="39"/>
  <c r="K67" i="39"/>
  <c r="H67" i="39"/>
  <c r="G67" i="39"/>
  <c r="D67" i="39"/>
  <c r="C67" i="39"/>
  <c r="X66" i="39"/>
  <c r="W66" i="39"/>
  <c r="T66" i="39"/>
  <c r="S66" i="39"/>
  <c r="P66" i="39"/>
  <c r="O66" i="39"/>
  <c r="L66" i="39"/>
  <c r="K66" i="39"/>
  <c r="H66" i="39"/>
  <c r="G66" i="39"/>
  <c r="D66" i="39"/>
  <c r="C66" i="39"/>
  <c r="X65" i="39"/>
  <c r="W65" i="39"/>
  <c r="T65" i="39"/>
  <c r="S65" i="39"/>
  <c r="P65" i="39"/>
  <c r="O65" i="39"/>
  <c r="L65" i="39"/>
  <c r="K65" i="39"/>
  <c r="H65" i="39"/>
  <c r="G65" i="39"/>
  <c r="D65" i="39"/>
  <c r="C65" i="39"/>
  <c r="X64" i="39"/>
  <c r="W64" i="39"/>
  <c r="T64" i="39"/>
  <c r="S64" i="39"/>
  <c r="P64" i="39"/>
  <c r="O64" i="39"/>
  <c r="L64" i="39"/>
  <c r="K64" i="39"/>
  <c r="H64" i="39"/>
  <c r="G64" i="39"/>
  <c r="D64" i="39"/>
  <c r="C64" i="39"/>
  <c r="X63" i="39"/>
  <c r="W63" i="39"/>
  <c r="T63" i="39"/>
  <c r="S63" i="39"/>
  <c r="P63" i="39"/>
  <c r="O63" i="39"/>
  <c r="L63" i="39"/>
  <c r="K63" i="39"/>
  <c r="H63" i="39"/>
  <c r="G63" i="39"/>
  <c r="D63" i="39"/>
  <c r="C63" i="39"/>
  <c r="X62" i="39"/>
  <c r="W62" i="39"/>
  <c r="T62" i="39"/>
  <c r="S62" i="39"/>
  <c r="P62" i="39"/>
  <c r="O62" i="39"/>
  <c r="L62" i="39"/>
  <c r="K62" i="39"/>
  <c r="H62" i="39"/>
  <c r="G62" i="39"/>
  <c r="D62" i="39"/>
  <c r="C62" i="39"/>
  <c r="X61" i="39"/>
  <c r="W61" i="39"/>
  <c r="T61" i="39"/>
  <c r="S61" i="39"/>
  <c r="P61" i="39"/>
  <c r="O61" i="39"/>
  <c r="L61" i="39"/>
  <c r="K61" i="39"/>
  <c r="H61" i="39"/>
  <c r="G61" i="39"/>
  <c r="D61" i="39"/>
  <c r="C61" i="39"/>
  <c r="X60" i="39"/>
  <c r="W60" i="39"/>
  <c r="T60" i="39"/>
  <c r="S60" i="39"/>
  <c r="P60" i="39"/>
  <c r="O60" i="39"/>
  <c r="L60" i="39"/>
  <c r="K60" i="39"/>
  <c r="H60" i="39"/>
  <c r="G60" i="39"/>
  <c r="D60" i="39"/>
  <c r="C60" i="39"/>
  <c r="X59" i="39"/>
  <c r="W59" i="39"/>
  <c r="T59" i="39"/>
  <c r="S59" i="39"/>
  <c r="P59" i="39"/>
  <c r="O59" i="39"/>
  <c r="L59" i="39"/>
  <c r="K59" i="39"/>
  <c r="H59" i="39"/>
  <c r="G59" i="39"/>
  <c r="D59" i="39"/>
  <c r="C59" i="39"/>
  <c r="X58" i="39"/>
  <c r="W58" i="39"/>
  <c r="T58" i="39"/>
  <c r="S58" i="39"/>
  <c r="P58" i="39"/>
  <c r="O58" i="39"/>
  <c r="L58" i="39"/>
  <c r="K58" i="39"/>
  <c r="H58" i="39"/>
  <c r="G58" i="39"/>
  <c r="D58" i="39"/>
  <c r="C58" i="39"/>
  <c r="X57" i="39"/>
  <c r="W57" i="39"/>
  <c r="T57" i="39"/>
  <c r="S57" i="39"/>
  <c r="P57" i="39"/>
  <c r="O57" i="39"/>
  <c r="L57" i="39"/>
  <c r="K57" i="39"/>
  <c r="H57" i="39"/>
  <c r="G57" i="39"/>
  <c r="D57" i="39"/>
  <c r="C57" i="39"/>
  <c r="X56" i="39"/>
  <c r="W56" i="39"/>
  <c r="T56" i="39"/>
  <c r="S56" i="39"/>
  <c r="P56" i="39"/>
  <c r="O56" i="39"/>
  <c r="L56" i="39"/>
  <c r="K56" i="39"/>
  <c r="H56" i="39"/>
  <c r="G56" i="39"/>
  <c r="D56" i="39"/>
  <c r="C56" i="39"/>
  <c r="X55" i="39"/>
  <c r="W55" i="39"/>
  <c r="T55" i="39"/>
  <c r="S55" i="39"/>
  <c r="P55" i="39"/>
  <c r="O55" i="39"/>
  <c r="L55" i="39"/>
  <c r="K55" i="39"/>
  <c r="H55" i="39"/>
  <c r="G55" i="39"/>
  <c r="D55" i="39"/>
  <c r="C55" i="39"/>
  <c r="X54" i="39"/>
  <c r="W54" i="39"/>
  <c r="T54" i="39"/>
  <c r="S54" i="39"/>
  <c r="P54" i="39"/>
  <c r="O54" i="39"/>
  <c r="L54" i="39"/>
  <c r="K54" i="39"/>
  <c r="H54" i="39"/>
  <c r="G54" i="39"/>
  <c r="D54" i="39"/>
  <c r="C54" i="39"/>
  <c r="X53" i="39"/>
  <c r="W53" i="39"/>
  <c r="T53" i="39"/>
  <c r="S53" i="39"/>
  <c r="P53" i="39"/>
  <c r="O53" i="39"/>
  <c r="L53" i="39"/>
  <c r="K53" i="39"/>
  <c r="H53" i="39"/>
  <c r="G53" i="39"/>
  <c r="D53" i="39"/>
  <c r="C53" i="39"/>
  <c r="X52" i="39"/>
  <c r="W52" i="39"/>
  <c r="T52" i="39"/>
  <c r="S52" i="39"/>
  <c r="P52" i="39"/>
  <c r="O52" i="39"/>
  <c r="L52" i="39"/>
  <c r="K52" i="39"/>
  <c r="H52" i="39"/>
  <c r="G52" i="39"/>
  <c r="D52" i="39"/>
  <c r="C52" i="39"/>
  <c r="X51" i="39"/>
  <c r="W51" i="39"/>
  <c r="T51" i="39"/>
  <c r="S51" i="39"/>
  <c r="P51" i="39"/>
  <c r="O51" i="39"/>
  <c r="L51" i="39"/>
  <c r="K51" i="39"/>
  <c r="H51" i="39"/>
  <c r="G51" i="39"/>
  <c r="D51" i="39"/>
  <c r="C51" i="39"/>
  <c r="X50" i="39"/>
  <c r="W50" i="39"/>
  <c r="T50" i="39"/>
  <c r="S50" i="39"/>
  <c r="P50" i="39"/>
  <c r="O50" i="39"/>
  <c r="L50" i="39"/>
  <c r="K50" i="39"/>
  <c r="H50" i="39"/>
  <c r="G50" i="39"/>
  <c r="D50" i="39"/>
  <c r="C50" i="39"/>
  <c r="X49" i="39"/>
  <c r="W49" i="39"/>
  <c r="T49" i="39"/>
  <c r="S49" i="39"/>
  <c r="P49" i="39"/>
  <c r="O49" i="39"/>
  <c r="L49" i="39"/>
  <c r="K49" i="39"/>
  <c r="H49" i="39"/>
  <c r="G49" i="39"/>
  <c r="D49" i="39"/>
  <c r="C49" i="39"/>
  <c r="X48" i="39"/>
  <c r="W48" i="39"/>
  <c r="T48" i="39"/>
  <c r="S48" i="39"/>
  <c r="P48" i="39"/>
  <c r="O48" i="39"/>
  <c r="L48" i="39"/>
  <c r="K48" i="39"/>
  <c r="H48" i="39"/>
  <c r="G48" i="39"/>
  <c r="D48" i="39"/>
  <c r="C48" i="39"/>
  <c r="X47" i="39"/>
  <c r="W47" i="39"/>
  <c r="T47" i="39"/>
  <c r="S47" i="39"/>
  <c r="P47" i="39"/>
  <c r="O47" i="39"/>
  <c r="L47" i="39"/>
  <c r="K47" i="39"/>
  <c r="H47" i="39"/>
  <c r="G47" i="39"/>
  <c r="D47" i="39"/>
  <c r="C47" i="39"/>
  <c r="X46" i="39"/>
  <c r="W46" i="39"/>
  <c r="T46" i="39"/>
  <c r="S46" i="39"/>
  <c r="P46" i="39"/>
  <c r="O46" i="39"/>
  <c r="L46" i="39"/>
  <c r="K46" i="39"/>
  <c r="H46" i="39"/>
  <c r="G46" i="39"/>
  <c r="D46" i="39"/>
  <c r="C46" i="39"/>
  <c r="X45" i="39"/>
  <c r="W45" i="39"/>
  <c r="T45" i="39"/>
  <c r="S45" i="39"/>
  <c r="P45" i="39"/>
  <c r="O45" i="39"/>
  <c r="L45" i="39"/>
  <c r="K45" i="39"/>
  <c r="H45" i="39"/>
  <c r="G45" i="39"/>
  <c r="D45" i="39"/>
  <c r="C45" i="39"/>
  <c r="X44" i="39"/>
  <c r="W44" i="39"/>
  <c r="T44" i="39"/>
  <c r="S44" i="39"/>
  <c r="P44" i="39"/>
  <c r="O44" i="39"/>
  <c r="L44" i="39"/>
  <c r="K44" i="39"/>
  <c r="H44" i="39"/>
  <c r="G44" i="39"/>
  <c r="D44" i="39"/>
  <c r="C44" i="39"/>
  <c r="X43" i="39"/>
  <c r="W43" i="39"/>
  <c r="T43" i="39"/>
  <c r="S43" i="39"/>
  <c r="P43" i="39"/>
  <c r="O43" i="39"/>
  <c r="L43" i="39"/>
  <c r="K43" i="39"/>
  <c r="H43" i="39"/>
  <c r="G43" i="39"/>
  <c r="D43" i="39"/>
  <c r="C43" i="39"/>
  <c r="X42" i="39"/>
  <c r="W42" i="39"/>
  <c r="T42" i="39"/>
  <c r="S42" i="39"/>
  <c r="P42" i="39"/>
  <c r="O42" i="39"/>
  <c r="L42" i="39"/>
  <c r="K42" i="39"/>
  <c r="H42" i="39"/>
  <c r="G42" i="39"/>
  <c r="D42" i="39"/>
  <c r="C42" i="39"/>
  <c r="X41" i="39"/>
  <c r="W41" i="39"/>
  <c r="T41" i="39"/>
  <c r="S41" i="39"/>
  <c r="P41" i="39"/>
  <c r="O41" i="39"/>
  <c r="L41" i="39"/>
  <c r="K41" i="39"/>
  <c r="H41" i="39"/>
  <c r="G41" i="39"/>
  <c r="D41" i="39"/>
  <c r="C41" i="39"/>
  <c r="X40" i="39"/>
  <c r="W40" i="39"/>
  <c r="T40" i="39"/>
  <c r="S40" i="39"/>
  <c r="P40" i="39"/>
  <c r="O40" i="39"/>
  <c r="L40" i="39"/>
  <c r="K40" i="39"/>
  <c r="H40" i="39"/>
  <c r="G40" i="39"/>
  <c r="D40" i="39"/>
  <c r="C40" i="39"/>
  <c r="X39" i="39"/>
  <c r="W39" i="39"/>
  <c r="T39" i="39"/>
  <c r="S39" i="39"/>
  <c r="P39" i="39"/>
  <c r="O39" i="39"/>
  <c r="L39" i="39"/>
  <c r="K39" i="39"/>
  <c r="H39" i="39"/>
  <c r="G39" i="39"/>
  <c r="D39" i="39"/>
  <c r="C39" i="39"/>
  <c r="X38" i="39"/>
  <c r="W38" i="39"/>
  <c r="T38" i="39"/>
  <c r="S38" i="39"/>
  <c r="P38" i="39"/>
  <c r="O38" i="39"/>
  <c r="L38" i="39"/>
  <c r="K38" i="39"/>
  <c r="H38" i="39"/>
  <c r="G38" i="39"/>
  <c r="D38" i="39"/>
  <c r="C38" i="39"/>
  <c r="X37" i="39"/>
  <c r="W37" i="39"/>
  <c r="T37" i="39"/>
  <c r="S37" i="39"/>
  <c r="P37" i="39"/>
  <c r="O37" i="39"/>
  <c r="L37" i="39"/>
  <c r="K37" i="39"/>
  <c r="H37" i="39"/>
  <c r="G37" i="39"/>
  <c r="D37" i="39"/>
  <c r="C37" i="39"/>
  <c r="X36" i="39"/>
  <c r="W36" i="39"/>
  <c r="T36" i="39"/>
  <c r="S36" i="39"/>
  <c r="P36" i="39"/>
  <c r="O36" i="39"/>
  <c r="L36" i="39"/>
  <c r="K36" i="39"/>
  <c r="H36" i="39"/>
  <c r="G36" i="39"/>
  <c r="D36" i="39"/>
  <c r="C36" i="39"/>
  <c r="X35" i="39"/>
  <c r="W35" i="39"/>
  <c r="T35" i="39"/>
  <c r="S35" i="39"/>
  <c r="P35" i="39"/>
  <c r="O35" i="39"/>
  <c r="L35" i="39"/>
  <c r="K35" i="39"/>
  <c r="H35" i="39"/>
  <c r="G35" i="39"/>
  <c r="D35" i="39"/>
  <c r="C35" i="39"/>
  <c r="X34" i="39"/>
  <c r="W34" i="39"/>
  <c r="T34" i="39"/>
  <c r="S34" i="39"/>
  <c r="P34" i="39"/>
  <c r="O34" i="39"/>
  <c r="L34" i="39"/>
  <c r="K34" i="39"/>
  <c r="H34" i="39"/>
  <c r="G34" i="39"/>
  <c r="D34" i="39"/>
  <c r="C34" i="39"/>
  <c r="X33" i="39"/>
  <c r="W33" i="39"/>
  <c r="T33" i="39"/>
  <c r="S33" i="39"/>
  <c r="P33" i="39"/>
  <c r="O33" i="39"/>
  <c r="L33" i="39"/>
  <c r="K33" i="39"/>
  <c r="H33" i="39"/>
  <c r="G33" i="39"/>
  <c r="D33" i="39"/>
  <c r="C33" i="39"/>
  <c r="X32" i="39"/>
  <c r="W32" i="39"/>
  <c r="T32" i="39"/>
  <c r="S32" i="39"/>
  <c r="P32" i="39"/>
  <c r="O32" i="39"/>
  <c r="L32" i="39"/>
  <c r="K32" i="39"/>
  <c r="H32" i="39"/>
  <c r="G32" i="39"/>
  <c r="D32" i="39"/>
  <c r="C32" i="39"/>
  <c r="X31" i="39"/>
  <c r="W31" i="39"/>
  <c r="T31" i="39"/>
  <c r="S31" i="39"/>
  <c r="P31" i="39"/>
  <c r="O31" i="39"/>
  <c r="L31" i="39"/>
  <c r="K31" i="39"/>
  <c r="H31" i="39"/>
  <c r="G31" i="39"/>
  <c r="D31" i="39"/>
  <c r="C31" i="39"/>
  <c r="X30" i="39"/>
  <c r="W30" i="39"/>
  <c r="T30" i="39"/>
  <c r="S30" i="39"/>
  <c r="P30" i="39"/>
  <c r="O30" i="39"/>
  <c r="L30" i="39"/>
  <c r="K30" i="39"/>
  <c r="H30" i="39"/>
  <c r="G30" i="39"/>
  <c r="D30" i="39"/>
  <c r="C30" i="39"/>
  <c r="X29" i="39"/>
  <c r="W29" i="39"/>
  <c r="T29" i="39"/>
  <c r="S29" i="39"/>
  <c r="P29" i="39"/>
  <c r="O29" i="39"/>
  <c r="L29" i="39"/>
  <c r="K29" i="39"/>
  <c r="H29" i="39"/>
  <c r="G29" i="39"/>
  <c r="D29" i="39"/>
  <c r="C29" i="39"/>
  <c r="X28" i="39"/>
  <c r="W28" i="39"/>
  <c r="T28" i="39"/>
  <c r="S28" i="39"/>
  <c r="P28" i="39"/>
  <c r="O28" i="39"/>
  <c r="L28" i="39"/>
  <c r="K28" i="39"/>
  <c r="H28" i="39"/>
  <c r="G28" i="39"/>
  <c r="D28" i="39"/>
  <c r="C28" i="39"/>
  <c r="X27" i="39"/>
  <c r="W27" i="39"/>
  <c r="T27" i="39"/>
  <c r="S27" i="39"/>
  <c r="P27" i="39"/>
  <c r="O27" i="39"/>
  <c r="L27" i="39"/>
  <c r="K27" i="39"/>
  <c r="H27" i="39"/>
  <c r="G27" i="39"/>
  <c r="D27" i="39"/>
  <c r="C27" i="39"/>
  <c r="X26" i="39"/>
  <c r="W26" i="39"/>
  <c r="T26" i="39"/>
  <c r="S26" i="39"/>
  <c r="P26" i="39"/>
  <c r="O26" i="39"/>
  <c r="L26" i="39"/>
  <c r="K26" i="39"/>
  <c r="H26" i="39"/>
  <c r="G26" i="39"/>
  <c r="D26" i="39"/>
  <c r="C26" i="39"/>
  <c r="X25" i="39"/>
  <c r="W25" i="39"/>
  <c r="T25" i="39"/>
  <c r="S25" i="39"/>
  <c r="P25" i="39"/>
  <c r="O25" i="39"/>
  <c r="L25" i="39"/>
  <c r="K25" i="39"/>
  <c r="H25" i="39"/>
  <c r="G25" i="39"/>
  <c r="D25" i="39"/>
  <c r="C25" i="39"/>
  <c r="X24" i="39"/>
  <c r="W24" i="39"/>
  <c r="T24" i="39"/>
  <c r="S24" i="39"/>
  <c r="P24" i="39"/>
  <c r="O24" i="39"/>
  <c r="L24" i="39"/>
  <c r="K24" i="39"/>
  <c r="H24" i="39"/>
  <c r="G24" i="39"/>
  <c r="D24" i="39"/>
  <c r="C24" i="39"/>
  <c r="X23" i="39"/>
  <c r="W23" i="39"/>
  <c r="T23" i="39"/>
  <c r="S23" i="39"/>
  <c r="P23" i="39"/>
  <c r="O23" i="39"/>
  <c r="L23" i="39"/>
  <c r="K23" i="39"/>
  <c r="H23" i="39"/>
  <c r="G23" i="39"/>
  <c r="D23" i="39"/>
  <c r="C23" i="39"/>
  <c r="X22" i="39"/>
  <c r="W22" i="39"/>
  <c r="T22" i="39"/>
  <c r="S22" i="39"/>
  <c r="P22" i="39"/>
  <c r="O22" i="39"/>
  <c r="L22" i="39"/>
  <c r="K22" i="39"/>
  <c r="H22" i="39"/>
  <c r="G22" i="39"/>
  <c r="D22" i="39"/>
  <c r="C22" i="39"/>
  <c r="X21" i="39"/>
  <c r="W21" i="39"/>
  <c r="T21" i="39"/>
  <c r="S21" i="39"/>
  <c r="P21" i="39"/>
  <c r="O21" i="39"/>
  <c r="L21" i="39"/>
  <c r="K21" i="39"/>
  <c r="H21" i="39"/>
  <c r="G21" i="39"/>
  <c r="D21" i="39"/>
  <c r="C21" i="39"/>
  <c r="X20" i="39"/>
  <c r="W20" i="39"/>
  <c r="T20" i="39"/>
  <c r="S20" i="39"/>
  <c r="P20" i="39"/>
  <c r="O20" i="39"/>
  <c r="L20" i="39"/>
  <c r="K20" i="39"/>
  <c r="H20" i="39"/>
  <c r="G20" i="39"/>
  <c r="D20" i="39"/>
  <c r="C20" i="39"/>
  <c r="X19" i="39"/>
  <c r="W19" i="39"/>
  <c r="T19" i="39"/>
  <c r="S19" i="39"/>
  <c r="P19" i="39"/>
  <c r="O19" i="39"/>
  <c r="L19" i="39"/>
  <c r="K19" i="39"/>
  <c r="H19" i="39"/>
  <c r="G19" i="39"/>
  <c r="D19" i="39"/>
  <c r="C19" i="39"/>
  <c r="X18" i="39"/>
  <c r="W18" i="39"/>
  <c r="T18" i="39"/>
  <c r="S18" i="39"/>
  <c r="P18" i="39"/>
  <c r="O18" i="39"/>
  <c r="L18" i="39"/>
  <c r="K18" i="39"/>
  <c r="H18" i="39"/>
  <c r="G18" i="39"/>
  <c r="D18" i="39"/>
  <c r="C18" i="39"/>
  <c r="X17" i="39"/>
  <c r="W17" i="39"/>
  <c r="T17" i="39"/>
  <c r="S17" i="39"/>
  <c r="P17" i="39"/>
  <c r="O17" i="39"/>
  <c r="L17" i="39"/>
  <c r="K17" i="39"/>
  <c r="H17" i="39"/>
  <c r="G17" i="39"/>
  <c r="D17" i="39"/>
  <c r="C17" i="39"/>
  <c r="X16" i="39"/>
  <c r="W16" i="39"/>
  <c r="T16" i="39"/>
  <c r="S16" i="39"/>
  <c r="P16" i="39"/>
  <c r="O16" i="39"/>
  <c r="L16" i="39"/>
  <c r="K16" i="39"/>
  <c r="H16" i="39"/>
  <c r="G16" i="39"/>
  <c r="D16" i="39"/>
  <c r="C16" i="39"/>
  <c r="X15" i="39"/>
  <c r="W15" i="39"/>
  <c r="T15" i="39"/>
  <c r="S15" i="39"/>
  <c r="P15" i="39"/>
  <c r="O15" i="39"/>
  <c r="L15" i="39"/>
  <c r="K15" i="39"/>
  <c r="H15" i="39"/>
  <c r="G15" i="39"/>
  <c r="D15" i="39"/>
  <c r="C15" i="39"/>
  <c r="X14" i="39"/>
  <c r="W14" i="39"/>
  <c r="T14" i="39"/>
  <c r="S14" i="39"/>
  <c r="P14" i="39"/>
  <c r="O14" i="39"/>
  <c r="L14" i="39"/>
  <c r="K14" i="39"/>
  <c r="H14" i="39"/>
  <c r="G14" i="39"/>
  <c r="D14" i="39"/>
  <c r="C14" i="39"/>
  <c r="X13" i="39"/>
  <c r="W13" i="39"/>
  <c r="T13" i="39"/>
  <c r="S13" i="39"/>
  <c r="P13" i="39"/>
  <c r="O13" i="39"/>
  <c r="L13" i="39"/>
  <c r="K13" i="39"/>
  <c r="H13" i="39"/>
  <c r="G13" i="39"/>
  <c r="D13" i="39"/>
  <c r="C13" i="39"/>
  <c r="X12" i="39"/>
  <c r="W12" i="39"/>
  <c r="T12" i="39"/>
  <c r="S12" i="39"/>
  <c r="P12" i="39"/>
  <c r="O12" i="39"/>
  <c r="L12" i="39"/>
  <c r="K12" i="39"/>
  <c r="H12" i="39"/>
  <c r="G12" i="39"/>
  <c r="D12" i="39"/>
  <c r="C12" i="39"/>
  <c r="X11" i="39"/>
  <c r="W11" i="39"/>
  <c r="T11" i="39"/>
  <c r="S11" i="39"/>
  <c r="P11" i="39"/>
  <c r="O11" i="39"/>
  <c r="L11" i="39"/>
  <c r="K11" i="39"/>
  <c r="H11" i="39"/>
  <c r="G11" i="39"/>
  <c r="D11" i="39"/>
  <c r="C11" i="39"/>
  <c r="X10" i="39"/>
  <c r="W10" i="39"/>
  <c r="T10" i="39"/>
  <c r="S10" i="39"/>
  <c r="P10" i="39"/>
  <c r="O10" i="39"/>
  <c r="L10" i="39"/>
  <c r="K10" i="39"/>
  <c r="H10" i="39"/>
  <c r="G10" i="39"/>
  <c r="D10" i="39"/>
  <c r="C10" i="39"/>
  <c r="X9" i="39"/>
  <c r="W9" i="39"/>
  <c r="T9" i="39"/>
  <c r="S9" i="39"/>
  <c r="P9" i="39"/>
  <c r="O9" i="39"/>
  <c r="L9" i="39"/>
  <c r="K9" i="39"/>
  <c r="H9" i="39"/>
  <c r="G9" i="39"/>
  <c r="D9" i="39"/>
  <c r="C9" i="39"/>
  <c r="X8" i="39"/>
  <c r="W8" i="39"/>
  <c r="T8" i="39"/>
  <c r="S8" i="39"/>
  <c r="P8" i="39"/>
  <c r="O8" i="39"/>
  <c r="L8" i="39"/>
  <c r="K8" i="39"/>
  <c r="H8" i="39"/>
  <c r="G8" i="39"/>
  <c r="D8" i="39"/>
  <c r="C8" i="39"/>
  <c r="X7" i="39"/>
  <c r="W7" i="39"/>
  <c r="T7" i="39"/>
  <c r="S7" i="39"/>
  <c r="P7" i="39"/>
  <c r="O7" i="39"/>
  <c r="L7" i="39"/>
  <c r="K7" i="39"/>
  <c r="H7" i="39"/>
  <c r="G7" i="39"/>
  <c r="D7" i="39"/>
  <c r="C7" i="39"/>
  <c r="X6" i="39"/>
  <c r="W6" i="39"/>
  <c r="T6" i="39"/>
  <c r="S6" i="39"/>
  <c r="P6" i="39"/>
  <c r="O6" i="39"/>
  <c r="L6" i="39"/>
  <c r="K6" i="39"/>
  <c r="H6" i="39"/>
  <c r="G6" i="39"/>
  <c r="D6" i="39"/>
  <c r="C6" i="39"/>
  <c r="X5" i="39"/>
  <c r="W5" i="39"/>
  <c r="T5" i="39"/>
  <c r="S5" i="39"/>
  <c r="P5" i="39"/>
  <c r="O5" i="39"/>
  <c r="L5" i="39"/>
  <c r="K5" i="39"/>
  <c r="H5" i="39"/>
  <c r="G5" i="39"/>
  <c r="D5" i="39"/>
  <c r="C5" i="39"/>
  <c r="X4" i="39"/>
  <c r="W4" i="39"/>
  <c r="T4" i="39"/>
  <c r="S4" i="39"/>
  <c r="P4" i="39"/>
  <c r="O4" i="39"/>
  <c r="L4" i="39"/>
  <c r="K4" i="39"/>
  <c r="H4" i="39"/>
  <c r="G4" i="39"/>
  <c r="D4" i="39"/>
  <c r="C4" i="39"/>
  <c r="C124" i="39" s="1"/>
  <c r="C125" i="39" s="1"/>
  <c r="K4" i="32"/>
  <c r="J4" i="32"/>
  <c r="H4" i="32"/>
  <c r="G4" i="32"/>
  <c r="F4" i="32"/>
  <c r="E4" i="32"/>
  <c r="D4" i="32"/>
  <c r="G4" i="31"/>
  <c r="F4" i="31"/>
  <c r="E4" i="31"/>
  <c r="D4" i="31"/>
  <c r="O122" i="41"/>
  <c r="O120" i="41"/>
  <c r="O118" i="41"/>
  <c r="O116" i="41"/>
  <c r="O114" i="41"/>
  <c r="O112" i="41"/>
  <c r="O110" i="41"/>
  <c r="O108" i="41"/>
  <c r="O106" i="41"/>
  <c r="O104" i="41"/>
  <c r="O102" i="41"/>
  <c r="O100" i="41"/>
  <c r="Q100" i="41" s="1"/>
  <c r="O98" i="41"/>
  <c r="O96" i="41"/>
  <c r="O94" i="41"/>
  <c r="O92" i="41"/>
  <c r="O90" i="41"/>
  <c r="O88" i="41"/>
  <c r="O86" i="41"/>
  <c r="O84" i="41"/>
  <c r="O82" i="41"/>
  <c r="O80" i="41"/>
  <c r="O78" i="41"/>
  <c r="O76" i="41"/>
  <c r="O74" i="41"/>
  <c r="O72" i="41"/>
  <c r="O70" i="41"/>
  <c r="O68" i="41"/>
  <c r="Q68" i="41" s="1"/>
  <c r="O66" i="41"/>
  <c r="O64" i="41"/>
  <c r="O62" i="41"/>
  <c r="O60" i="41"/>
  <c r="O58" i="41"/>
  <c r="O56" i="41"/>
  <c r="O54" i="41"/>
  <c r="O52" i="41"/>
  <c r="O50" i="41"/>
  <c r="O48" i="41"/>
  <c r="O46" i="41"/>
  <c r="O44" i="41"/>
  <c r="O42" i="41"/>
  <c r="O40" i="41"/>
  <c r="O38" i="41"/>
  <c r="O36" i="41"/>
  <c r="O34" i="41"/>
  <c r="O32" i="41"/>
  <c r="O30" i="41"/>
  <c r="O28" i="41"/>
  <c r="O26" i="41"/>
  <c r="O24" i="41"/>
  <c r="O22" i="41"/>
  <c r="O20" i="41"/>
  <c r="O18" i="41"/>
  <c r="O16" i="41"/>
  <c r="O14" i="41"/>
  <c r="O12" i="41"/>
  <c r="Q12" i="41" s="1"/>
  <c r="O10" i="41"/>
  <c r="O8" i="41"/>
  <c r="O6" i="41"/>
  <c r="AE4" i="86"/>
  <c r="AD87" i="84"/>
  <c r="AD81" i="84"/>
  <c r="AD71" i="84"/>
  <c r="AD68" i="84"/>
  <c r="AD49" i="84"/>
  <c r="AD34" i="84"/>
  <c r="AD32" i="84"/>
  <c r="AC13" i="84"/>
  <c r="D126" i="68"/>
  <c r="D125" i="68"/>
  <c r="C42" i="1"/>
  <c r="C27" i="1"/>
  <c r="D11" i="1"/>
  <c r="I3" i="1"/>
  <c r="O5" i="41"/>
  <c r="O7" i="41"/>
  <c r="O9" i="41"/>
  <c r="O11" i="41"/>
  <c r="O57" i="41"/>
  <c r="O59" i="41"/>
  <c r="O83" i="41"/>
  <c r="O85" i="41"/>
  <c r="O87" i="41"/>
  <c r="O89" i="41"/>
  <c r="O91" i="41"/>
  <c r="O93" i="41"/>
  <c r="O95" i="41"/>
  <c r="O97" i="41"/>
  <c r="O99" i="41"/>
  <c r="O101" i="41"/>
  <c r="O103" i="41"/>
  <c r="O105" i="41"/>
  <c r="O107" i="41"/>
  <c r="O109" i="41"/>
  <c r="O111" i="41"/>
  <c r="O113" i="41"/>
  <c r="O115" i="41"/>
  <c r="O117" i="41"/>
  <c r="O119" i="41"/>
  <c r="O121" i="41"/>
  <c r="O123" i="41"/>
  <c r="O4" i="41"/>
  <c r="O13" i="41"/>
  <c r="O15" i="41"/>
  <c r="O17" i="41"/>
  <c r="O19" i="41"/>
  <c r="O21" i="41"/>
  <c r="O23" i="41"/>
  <c r="O25" i="41"/>
  <c r="O27" i="41"/>
  <c r="O29" i="41"/>
  <c r="O31" i="41"/>
  <c r="O33" i="41"/>
  <c r="O35" i="41"/>
  <c r="O37" i="41"/>
  <c r="O39" i="41"/>
  <c r="O41" i="41"/>
  <c r="O43" i="41"/>
  <c r="O45" i="41"/>
  <c r="O47" i="41"/>
  <c r="O49" i="41"/>
  <c r="O51" i="41"/>
  <c r="O53" i="41"/>
  <c r="O55" i="41"/>
  <c r="O61" i="41"/>
  <c r="O63" i="41"/>
  <c r="O65" i="41"/>
  <c r="O67" i="41"/>
  <c r="O69" i="41"/>
  <c r="O71" i="41"/>
  <c r="O73" i="41"/>
  <c r="O75" i="41"/>
  <c r="O77" i="41"/>
  <c r="O79" i="41"/>
  <c r="O81" i="41"/>
  <c r="Q132" i="75"/>
  <c r="AC64" i="84"/>
  <c r="AD41" i="84"/>
  <c r="AC28" i="84"/>
  <c r="AC52" i="84"/>
  <c r="AC40" i="84"/>
  <c r="AC50" i="84"/>
  <c r="AC61" i="84"/>
  <c r="AD104" i="84"/>
  <c r="AD84" i="84"/>
  <c r="AD78" i="84"/>
  <c r="AD95" i="84"/>
  <c r="AC109" i="84"/>
  <c r="AD86" i="84"/>
  <c r="AD89" i="84"/>
  <c r="AD99" i="84"/>
  <c r="G4" i="60"/>
  <c r="J4" i="55"/>
  <c r="I131" i="75"/>
  <c r="AD101" i="84"/>
  <c r="AD13" i="84"/>
  <c r="AD109" i="84"/>
  <c r="AD38" i="84"/>
  <c r="AD90" i="84"/>
  <c r="AC91" i="84"/>
  <c r="AC34" i="84"/>
  <c r="AC32" i="84"/>
  <c r="AD117" i="84"/>
  <c r="AD46" i="84"/>
  <c r="AD10" i="84"/>
  <c r="AD123" i="84"/>
  <c r="AD23" i="84"/>
  <c r="AC48" i="84"/>
  <c r="AC105" i="84"/>
  <c r="AD105" i="84"/>
  <c r="AD50" i="84"/>
  <c r="AC83" i="84"/>
  <c r="AC47" i="84"/>
  <c r="AC124" i="84"/>
  <c r="AD69" i="84"/>
  <c r="AC63" i="84"/>
  <c r="AC35" i="84"/>
  <c r="AC38" i="84"/>
  <c r="AC12" i="84"/>
  <c r="AD7" i="84"/>
  <c r="AC59" i="84"/>
  <c r="AD59" i="84"/>
  <c r="AD28" i="84"/>
  <c r="AD122" i="84"/>
  <c r="AC97" i="84"/>
  <c r="AD98" i="84"/>
  <c r="AD97" i="84"/>
  <c r="AC81" i="84"/>
  <c r="AC71" i="84"/>
  <c r="AC87" i="84"/>
  <c r="AC90" i="84"/>
  <c r="AD70" i="84"/>
  <c r="AC14" i="84"/>
  <c r="AD64" i="84"/>
  <c r="AD42" i="84"/>
  <c r="AC22" i="84"/>
  <c r="AD36" i="84"/>
  <c r="AC54" i="84"/>
  <c r="AC37" i="84"/>
  <c r="AC98" i="84"/>
  <c r="AC78" i="84"/>
  <c r="AC101" i="84"/>
  <c r="AD79" i="84"/>
  <c r="AC73" i="84"/>
  <c r="AC94" i="84"/>
  <c r="AC79" i="84"/>
  <c r="AD61" i="84"/>
  <c r="AC68" i="84"/>
  <c r="AD116" i="84"/>
  <c r="AC66" i="84"/>
  <c r="AC123" i="84"/>
  <c r="AC103" i="84"/>
  <c r="AD88" i="84"/>
  <c r="AC86" i="84"/>
  <c r="AC122" i="84"/>
  <c r="AC95" i="84"/>
  <c r="AC88" i="84"/>
  <c r="AD121" i="84"/>
  <c r="AD94" i="84"/>
  <c r="AD72" i="84"/>
  <c r="AC70" i="84"/>
  <c r="AD103" i="84"/>
  <c r="AC65" i="84"/>
  <c r="AC58" i="84"/>
  <c r="AD54" i="84"/>
  <c r="AD14" i="84"/>
  <c r="AC16" i="84"/>
  <c r="AD37" i="84"/>
  <c r="AD12" i="84"/>
  <c r="AD55" i="84"/>
  <c r="AD53" i="84"/>
  <c r="AC53" i="84"/>
  <c r="AD43" i="84"/>
  <c r="AC25" i="84"/>
  <c r="AD25" i="84"/>
  <c r="AC27" i="84"/>
  <c r="AD27" i="84"/>
  <c r="AC89" i="84"/>
  <c r="AD85" i="84"/>
  <c r="AC125" i="84"/>
  <c r="AC85" i="84"/>
  <c r="AC55" i="84"/>
  <c r="AD62" i="84"/>
  <c r="AC62" i="84"/>
  <c r="AC49" i="84"/>
  <c r="AD125" i="84"/>
  <c r="AD114" i="84"/>
  <c r="AC99" i="84"/>
  <c r="AC93" i="84"/>
  <c r="AC72" i="84"/>
  <c r="AC114" i="84"/>
  <c r="AD83" i="84"/>
  <c r="AC121" i="84"/>
  <c r="AD66" i="84"/>
  <c r="AC29" i="84"/>
  <c r="AD24" i="84"/>
  <c r="AC7" i="84"/>
  <c r="AC116" i="84"/>
  <c r="AD65" i="84"/>
  <c r="AC42" i="84"/>
  <c r="AC23" i="84"/>
  <c r="AC31" i="84"/>
  <c r="AD31" i="84"/>
  <c r="AC44" i="84"/>
  <c r="AC117" i="84"/>
  <c r="AC46" i="84"/>
  <c r="AC10" i="84"/>
  <c r="N126" i="1" l="1"/>
  <c r="J126" i="1"/>
  <c r="L126" i="1"/>
  <c r="K126" i="1"/>
  <c r="M126" i="1"/>
  <c r="D38" i="1"/>
  <c r="D34" i="1"/>
  <c r="D30" i="1"/>
  <c r="C37" i="1"/>
  <c r="C33" i="1"/>
  <c r="D40" i="1"/>
  <c r="C39" i="1"/>
  <c r="C31" i="1"/>
  <c r="D35" i="1"/>
  <c r="C38" i="1"/>
  <c r="C30" i="1"/>
  <c r="D37" i="1"/>
  <c r="D33" i="1"/>
  <c r="C40" i="1"/>
  <c r="C36" i="1"/>
  <c r="C32" i="1"/>
  <c r="D36" i="1"/>
  <c r="D32" i="1"/>
  <c r="C35" i="1"/>
  <c r="D39" i="1"/>
  <c r="D31" i="1"/>
  <c r="C34" i="1"/>
  <c r="L127" i="1"/>
  <c r="I127" i="1"/>
  <c r="I132" i="1"/>
  <c r="J136" i="1"/>
  <c r="I136" i="1"/>
  <c r="L136" i="1"/>
  <c r="K136" i="1"/>
  <c r="N125" i="1"/>
  <c r="J125" i="1"/>
  <c r="I125" i="1"/>
  <c r="I126" i="1"/>
  <c r="M125" i="1"/>
  <c r="L125" i="1"/>
  <c r="K125" i="1"/>
  <c r="H125" i="1"/>
  <c r="N132" i="1"/>
  <c r="J132" i="1"/>
  <c r="L132" i="1"/>
  <c r="E120" i="1"/>
  <c r="H84" i="1"/>
  <c r="H85" i="1"/>
  <c r="M132" i="1"/>
  <c r="K132" i="1"/>
  <c r="F120" i="1"/>
  <c r="H86" i="1"/>
  <c r="D120" i="1"/>
  <c r="J120" i="1"/>
  <c r="I120" i="1"/>
  <c r="H120" i="1"/>
  <c r="G120" i="1"/>
  <c r="H119" i="1"/>
  <c r="I118" i="1"/>
  <c r="H118" i="1"/>
  <c r="I117" i="1"/>
  <c r="H117" i="1"/>
  <c r="I119" i="1"/>
  <c r="B38" i="108"/>
  <c r="B34" i="108"/>
  <c r="B30" i="108"/>
  <c r="B26" i="108"/>
  <c r="B37" i="108"/>
  <c r="B33" i="108"/>
  <c r="B29" i="108"/>
  <c r="B25" i="108"/>
  <c r="B36" i="108"/>
  <c r="B32" i="108"/>
  <c r="B28" i="108"/>
  <c r="B24" i="108"/>
  <c r="B39" i="108"/>
  <c r="B35" i="108"/>
  <c r="B31" i="108"/>
  <c r="B27" i="108"/>
  <c r="B23" i="108"/>
  <c r="B17" i="108"/>
  <c r="B13" i="108"/>
  <c r="B9" i="108"/>
  <c r="B5" i="108"/>
  <c r="B16" i="108"/>
  <c r="B12" i="108"/>
  <c r="B8" i="108"/>
  <c r="B4" i="108"/>
  <c r="B19" i="108"/>
  <c r="B15" i="108"/>
  <c r="B11" i="108"/>
  <c r="B7" i="108"/>
  <c r="B3" i="108"/>
  <c r="B18" i="108"/>
  <c r="B14" i="108"/>
  <c r="B10" i="108"/>
  <c r="B6" i="108"/>
  <c r="BC9" i="109"/>
  <c r="BC10" i="109"/>
  <c r="BC11" i="109"/>
  <c r="BC12" i="109"/>
  <c r="BC13" i="109"/>
  <c r="BC14" i="109"/>
  <c r="BC15" i="109"/>
  <c r="BC16" i="109"/>
  <c r="BC17" i="109"/>
  <c r="BC18" i="109"/>
  <c r="BC20" i="109"/>
  <c r="BC21" i="109"/>
  <c r="BC22" i="109"/>
  <c r="BC23" i="109"/>
  <c r="BC24" i="109"/>
  <c r="BC25" i="109"/>
  <c r="BC26" i="109"/>
  <c r="BC27" i="109"/>
  <c r="BC30" i="109"/>
  <c r="BC31" i="109"/>
  <c r="BC32" i="109"/>
  <c r="BC33" i="109"/>
  <c r="BC34" i="109"/>
  <c r="BC36" i="109"/>
  <c r="BC37" i="109"/>
  <c r="BC38" i="109"/>
  <c r="BC39" i="109"/>
  <c r="BC40" i="109"/>
  <c r="BC41" i="109"/>
  <c r="BC42" i="109"/>
  <c r="BC44" i="109"/>
  <c r="BC45" i="109"/>
  <c r="BC48" i="109"/>
  <c r="BC49" i="109"/>
  <c r="BC50" i="109"/>
  <c r="BC51" i="109"/>
  <c r="BC52" i="109"/>
  <c r="BC53" i="109"/>
  <c r="BC54" i="109"/>
  <c r="BC56" i="109"/>
  <c r="BC57" i="109"/>
  <c r="BC58" i="109"/>
  <c r="BC59" i="109"/>
  <c r="BC61" i="109"/>
  <c r="BC62" i="109"/>
  <c r="BC63" i="109"/>
  <c r="BC64" i="109"/>
  <c r="BC65" i="109"/>
  <c r="BC66" i="109"/>
  <c r="BC67" i="109"/>
  <c r="BC68" i="109"/>
  <c r="BC69" i="109"/>
  <c r="BC70" i="109"/>
  <c r="BC72" i="109"/>
  <c r="BC75" i="109"/>
  <c r="BC76" i="109"/>
  <c r="BC77" i="109"/>
  <c r="BC78" i="109"/>
  <c r="BC79" i="109"/>
  <c r="BC80" i="109"/>
  <c r="BC83" i="109"/>
  <c r="BC84" i="109"/>
  <c r="BC86" i="109"/>
  <c r="BC87" i="109"/>
  <c r="BC88" i="109"/>
  <c r="BC89" i="109"/>
  <c r="BC91" i="109"/>
  <c r="BC93" i="109"/>
  <c r="BC94" i="109"/>
  <c r="BC95" i="109"/>
  <c r="BC96" i="109"/>
  <c r="BC97" i="109"/>
  <c r="BC99" i="109"/>
  <c r="BC101" i="109"/>
  <c r="BC103" i="109"/>
  <c r="BC104" i="109"/>
  <c r="BC105" i="109"/>
  <c r="BC106" i="109"/>
  <c r="BC107" i="109"/>
  <c r="BC108" i="109"/>
  <c r="BC109" i="109"/>
  <c r="BC110" i="109"/>
  <c r="BC111" i="109"/>
  <c r="BC112" i="109"/>
  <c r="BC114" i="109"/>
  <c r="BC115" i="109"/>
  <c r="BC116" i="109"/>
  <c r="BC118" i="109"/>
  <c r="BC119" i="109"/>
  <c r="BC120" i="109"/>
  <c r="BC123" i="109"/>
  <c r="BC124" i="109"/>
  <c r="BC125" i="109"/>
  <c r="L145" i="1"/>
  <c r="K145" i="1"/>
  <c r="J145" i="1"/>
  <c r="M145" i="1"/>
  <c r="M154" i="1"/>
  <c r="L154" i="1"/>
  <c r="L153" i="1"/>
  <c r="K154" i="1"/>
  <c r="K153" i="1"/>
  <c r="J154" i="1"/>
  <c r="J153" i="1"/>
  <c r="M153" i="1"/>
  <c r="G83" i="1"/>
  <c r="F84" i="1"/>
  <c r="E85" i="1"/>
  <c r="D86" i="1"/>
  <c r="D82" i="1"/>
  <c r="G86" i="1"/>
  <c r="L79" i="1" s="1"/>
  <c r="G82" i="1"/>
  <c r="F83" i="1"/>
  <c r="E84" i="1"/>
  <c r="D85" i="1"/>
  <c r="F85" i="1"/>
  <c r="E82" i="1"/>
  <c r="G85" i="1"/>
  <c r="F86" i="1"/>
  <c r="F82" i="1"/>
  <c r="E83" i="1"/>
  <c r="D84" i="1"/>
  <c r="G84" i="1"/>
  <c r="E86" i="1"/>
  <c r="D83" i="1"/>
  <c r="G29" i="79"/>
  <c r="I28" i="53"/>
  <c r="I36" i="53"/>
  <c r="G42" i="79" s="1"/>
  <c r="G41" i="79"/>
  <c r="I40" i="53"/>
  <c r="I56" i="53"/>
  <c r="G67" i="79" s="1"/>
  <c r="G73" i="79"/>
  <c r="I72" i="53"/>
  <c r="I76" i="53"/>
  <c r="G95" i="79" s="1"/>
  <c r="G81" i="79"/>
  <c r="I80" i="53"/>
  <c r="I84" i="53"/>
  <c r="G106" i="79" s="1"/>
  <c r="G105" i="79"/>
  <c r="I104" i="53"/>
  <c r="G35" i="79" s="1"/>
  <c r="I108" i="53"/>
  <c r="G109" i="79" s="1"/>
  <c r="G113" i="79"/>
  <c r="I112" i="53"/>
  <c r="I120" i="53"/>
  <c r="G121" i="79" s="1"/>
  <c r="I124" i="53"/>
  <c r="I99" i="53"/>
  <c r="G125" i="79" s="1"/>
  <c r="G47" i="79"/>
  <c r="I46" i="53"/>
  <c r="I70" i="53"/>
  <c r="G87" i="79" s="1"/>
  <c r="G21" i="79"/>
  <c r="G25" i="79"/>
  <c r="G45" i="79"/>
  <c r="G61" i="79"/>
  <c r="G65" i="79"/>
  <c r="G69" i="79"/>
  <c r="G93" i="79"/>
  <c r="G97" i="79"/>
  <c r="G117" i="79"/>
  <c r="G22" i="79"/>
  <c r="G26" i="79"/>
  <c r="G46" i="79"/>
  <c r="G62" i="79"/>
  <c r="G66" i="79"/>
  <c r="G70" i="79"/>
  <c r="G94" i="79"/>
  <c r="G98" i="79"/>
  <c r="G114" i="79"/>
  <c r="G36" i="79"/>
  <c r="G40" i="79"/>
  <c r="G76" i="79"/>
  <c r="G80" i="79"/>
  <c r="G108" i="79"/>
  <c r="G112" i="79"/>
  <c r="G124" i="79"/>
  <c r="G118" i="79"/>
  <c r="G104" i="79"/>
  <c r="G56" i="79"/>
  <c r="G28" i="79"/>
  <c r="G82" i="79"/>
  <c r="G33" i="79"/>
  <c r="G49" i="79"/>
  <c r="G89" i="79"/>
  <c r="G18" i="79"/>
  <c r="G34" i="79"/>
  <c r="G38" i="79"/>
  <c r="G54" i="79"/>
  <c r="G78" i="79"/>
  <c r="W78" i="79" s="1"/>
  <c r="G86" i="79"/>
  <c r="G102" i="79"/>
  <c r="G122" i="79"/>
  <c r="G11" i="79"/>
  <c r="G15" i="79"/>
  <c r="G19" i="79"/>
  <c r="G23" i="79"/>
  <c r="G27" i="79"/>
  <c r="G31" i="79"/>
  <c r="G39" i="79"/>
  <c r="G43" i="79"/>
  <c r="G51" i="79"/>
  <c r="G55" i="79"/>
  <c r="G59" i="79"/>
  <c r="G63" i="79"/>
  <c r="G75" i="79"/>
  <c r="G79" i="79"/>
  <c r="G83" i="79"/>
  <c r="G91" i="79"/>
  <c r="G99" i="79"/>
  <c r="G103" i="79"/>
  <c r="G107" i="79"/>
  <c r="G111" i="79"/>
  <c r="G115" i="79"/>
  <c r="G119" i="79"/>
  <c r="G123" i="79"/>
  <c r="G53" i="79"/>
  <c r="G101" i="79"/>
  <c r="G14" i="79"/>
  <c r="G30" i="79"/>
  <c r="G50" i="79"/>
  <c r="G58" i="79"/>
  <c r="G74" i="79"/>
  <c r="G90" i="79"/>
  <c r="G110" i="79"/>
  <c r="G8" i="79"/>
  <c r="G20" i="79"/>
  <c r="G24" i="79"/>
  <c r="G32" i="79"/>
  <c r="G44" i="79"/>
  <c r="G48" i="79"/>
  <c r="G52" i="79"/>
  <c r="G60" i="79"/>
  <c r="G64" i="79"/>
  <c r="U64" i="79" s="1"/>
  <c r="G68" i="79"/>
  <c r="G72" i="79"/>
  <c r="G84" i="79"/>
  <c r="G88" i="79"/>
  <c r="G92" i="79"/>
  <c r="G96" i="79"/>
  <c r="G116" i="79"/>
  <c r="G120" i="79"/>
  <c r="L8" i="79"/>
  <c r="P8" i="79" s="1"/>
  <c r="L10" i="79"/>
  <c r="P10" i="79" s="1"/>
  <c r="L12" i="79"/>
  <c r="P12" i="79" s="1"/>
  <c r="L14" i="79"/>
  <c r="P14" i="79" s="1"/>
  <c r="L16" i="79"/>
  <c r="P16" i="79" s="1"/>
  <c r="L18" i="79"/>
  <c r="P18" i="79" s="1"/>
  <c r="L28" i="79"/>
  <c r="P28" i="79" s="1"/>
  <c r="L36" i="79"/>
  <c r="P36" i="79" s="1"/>
  <c r="L38" i="79"/>
  <c r="P38" i="79" s="1"/>
  <c r="L40" i="79"/>
  <c r="P40" i="79" s="1"/>
  <c r="L42" i="79"/>
  <c r="P42" i="79" s="1"/>
  <c r="L46" i="79"/>
  <c r="P46" i="79" s="1"/>
  <c r="L56" i="79"/>
  <c r="P56" i="79" s="1"/>
  <c r="L58" i="79"/>
  <c r="P58" i="79" s="1"/>
  <c r="L72" i="79"/>
  <c r="P72" i="79" s="1"/>
  <c r="L74" i="79"/>
  <c r="P74" i="79" s="1"/>
  <c r="L76" i="79"/>
  <c r="P76" i="79" s="1"/>
  <c r="L78" i="79"/>
  <c r="P78" i="79" s="1"/>
  <c r="L80" i="79"/>
  <c r="P80" i="79" s="1"/>
  <c r="L82" i="79"/>
  <c r="P82" i="79" s="1"/>
  <c r="L84" i="79"/>
  <c r="P84" i="79" s="1"/>
  <c r="L90" i="79"/>
  <c r="P90" i="79" s="1"/>
  <c r="L98" i="79"/>
  <c r="P98" i="79" s="1"/>
  <c r="L102" i="79"/>
  <c r="P102" i="79" s="1"/>
  <c r="L104" i="79"/>
  <c r="P104" i="79" s="1"/>
  <c r="L106" i="79"/>
  <c r="P106" i="79" s="1"/>
  <c r="L108" i="79"/>
  <c r="P108" i="79" s="1"/>
  <c r="L110" i="79"/>
  <c r="P110" i="79" s="1"/>
  <c r="L112" i="79"/>
  <c r="P112" i="79" s="1"/>
  <c r="L118" i="79"/>
  <c r="P118" i="79" s="1"/>
  <c r="L120" i="79"/>
  <c r="P120" i="79" s="1"/>
  <c r="L122" i="79"/>
  <c r="P122" i="79" s="1"/>
  <c r="M82" i="79"/>
  <c r="Q82" i="79" s="1"/>
  <c r="M90" i="79"/>
  <c r="Q90" i="79" s="1"/>
  <c r="M98" i="79"/>
  <c r="Q98" i="79" s="1"/>
  <c r="M102" i="79"/>
  <c r="Q102" i="79" s="1"/>
  <c r="M122" i="79"/>
  <c r="Q122" i="79" s="1"/>
  <c r="L124" i="79"/>
  <c r="P124" i="79" s="1"/>
  <c r="M21" i="79"/>
  <c r="Q21" i="79" s="1"/>
  <c r="M23" i="79"/>
  <c r="Q23" i="79" s="1"/>
  <c r="M25" i="79"/>
  <c r="Q25" i="79" s="1"/>
  <c r="M27" i="79"/>
  <c r="Q27" i="79" s="1"/>
  <c r="M31" i="79"/>
  <c r="Q31" i="79" s="1"/>
  <c r="M33" i="79"/>
  <c r="Q33" i="79" s="1"/>
  <c r="M45" i="79"/>
  <c r="Q45" i="79" s="1"/>
  <c r="M49" i="79"/>
  <c r="Q49" i="79" s="1"/>
  <c r="M51" i="79"/>
  <c r="Q51" i="79" s="1"/>
  <c r="M53" i="79"/>
  <c r="Q53" i="79" s="1"/>
  <c r="M57" i="79"/>
  <c r="Q57" i="79" s="1"/>
  <c r="M59" i="79"/>
  <c r="Q59" i="79" s="1"/>
  <c r="M61" i="79"/>
  <c r="Q61" i="79" s="1"/>
  <c r="M65" i="79"/>
  <c r="Q65" i="79" s="1"/>
  <c r="M67" i="79"/>
  <c r="Q67" i="79" s="1"/>
  <c r="M69" i="79"/>
  <c r="Q69" i="79" s="1"/>
  <c r="M77" i="79"/>
  <c r="Q77" i="79" s="1"/>
  <c r="M79" i="79"/>
  <c r="Q79" i="79" s="1"/>
  <c r="M83" i="79"/>
  <c r="Q83" i="79" s="1"/>
  <c r="M87" i="79"/>
  <c r="Q87" i="79" s="1"/>
  <c r="M89" i="79"/>
  <c r="Q89" i="79" s="1"/>
  <c r="M91" i="79"/>
  <c r="Q91" i="79" s="1"/>
  <c r="M93" i="79"/>
  <c r="Q93" i="79" s="1"/>
  <c r="M95" i="79"/>
  <c r="Q95" i="79" s="1"/>
  <c r="M97" i="79"/>
  <c r="Q97" i="79" s="1"/>
  <c r="M99" i="79"/>
  <c r="Q99" i="79" s="1"/>
  <c r="M101" i="79"/>
  <c r="Q101" i="79" s="1"/>
  <c r="M103" i="79"/>
  <c r="Q103" i="79" s="1"/>
  <c r="M105" i="79"/>
  <c r="Q105" i="79" s="1"/>
  <c r="M107" i="79"/>
  <c r="Q107" i="79" s="1"/>
  <c r="M109" i="79"/>
  <c r="Q109" i="79" s="1"/>
  <c r="M111" i="79"/>
  <c r="Q111" i="79" s="1"/>
  <c r="M115" i="79"/>
  <c r="Q115" i="79" s="1"/>
  <c r="M119" i="79"/>
  <c r="Q119" i="79" s="1"/>
  <c r="M123" i="79"/>
  <c r="Q123" i="79" s="1"/>
  <c r="M125" i="79"/>
  <c r="Q125" i="79" s="1"/>
  <c r="L20" i="79"/>
  <c r="P20" i="79" s="1"/>
  <c r="L22" i="79"/>
  <c r="P22" i="79" s="1"/>
  <c r="L24" i="79"/>
  <c r="P24" i="79" s="1"/>
  <c r="L26" i="79"/>
  <c r="P26" i="79" s="1"/>
  <c r="L30" i="79"/>
  <c r="P30" i="79" s="1"/>
  <c r="L32" i="79"/>
  <c r="P32" i="79" s="1"/>
  <c r="L34" i="79"/>
  <c r="P34" i="79" s="1"/>
  <c r="L44" i="79"/>
  <c r="P44" i="79" s="1"/>
  <c r="L48" i="79"/>
  <c r="P48" i="79" s="1"/>
  <c r="L50" i="79"/>
  <c r="P50" i="79" s="1"/>
  <c r="L52" i="79"/>
  <c r="P52" i="79" s="1"/>
  <c r="L54" i="79"/>
  <c r="P54" i="79" s="1"/>
  <c r="L62" i="79"/>
  <c r="P62" i="79" s="1"/>
  <c r="L64" i="79"/>
  <c r="P64" i="79" s="1"/>
  <c r="L66" i="79"/>
  <c r="P66" i="79" s="1"/>
  <c r="L68" i="79"/>
  <c r="P68" i="79" s="1"/>
  <c r="L70" i="79"/>
  <c r="P70" i="79" s="1"/>
  <c r="L86" i="79"/>
  <c r="P86" i="79" s="1"/>
  <c r="L88" i="79"/>
  <c r="P88" i="79" s="1"/>
  <c r="L94" i="79"/>
  <c r="P94" i="79" s="1"/>
  <c r="L96" i="79"/>
  <c r="P96" i="79" s="1"/>
  <c r="L114" i="79"/>
  <c r="P114" i="79" s="1"/>
  <c r="L116" i="79"/>
  <c r="P116" i="79" s="1"/>
  <c r="M50" i="79"/>
  <c r="Q50" i="79" s="1"/>
  <c r="M52" i="79"/>
  <c r="Q52" i="79" s="1"/>
  <c r="M54" i="79"/>
  <c r="Q54" i="79" s="1"/>
  <c r="M56" i="79"/>
  <c r="Q56" i="79" s="1"/>
  <c r="M62" i="79"/>
  <c r="Q62" i="79" s="1"/>
  <c r="M64" i="79"/>
  <c r="Q64" i="79" s="1"/>
  <c r="M66" i="79"/>
  <c r="Q66" i="79" s="1"/>
  <c r="M70" i="79"/>
  <c r="Q70" i="79" s="1"/>
  <c r="M76" i="79"/>
  <c r="Q76" i="79" s="1"/>
  <c r="M78" i="79"/>
  <c r="Q78" i="79" s="1"/>
  <c r="M80" i="79"/>
  <c r="Q80" i="79" s="1"/>
  <c r="M84" i="79"/>
  <c r="Q84" i="79" s="1"/>
  <c r="M86" i="79"/>
  <c r="Q86" i="79" s="1"/>
  <c r="M88" i="79"/>
  <c r="Q88" i="79" s="1"/>
  <c r="M96" i="79"/>
  <c r="Q96" i="79" s="1"/>
  <c r="M104" i="79"/>
  <c r="Q104" i="79" s="1"/>
  <c r="M106" i="79"/>
  <c r="Q106" i="79" s="1"/>
  <c r="M110" i="79"/>
  <c r="Q110" i="79" s="1"/>
  <c r="M112" i="79"/>
  <c r="Q112" i="79" s="1"/>
  <c r="M114" i="79"/>
  <c r="Q114" i="79" s="1"/>
  <c r="M116" i="79"/>
  <c r="Q116" i="79" s="1"/>
  <c r="M124" i="79"/>
  <c r="Q124" i="79" s="1"/>
  <c r="D53" i="1"/>
  <c r="D49" i="1"/>
  <c r="D45" i="1"/>
  <c r="C48" i="1"/>
  <c r="C52" i="1"/>
  <c r="D48" i="1"/>
  <c r="C49" i="1"/>
  <c r="D51" i="1"/>
  <c r="C46" i="1"/>
  <c r="C54" i="1"/>
  <c r="D54" i="1"/>
  <c r="D50" i="1"/>
  <c r="D46" i="1"/>
  <c r="C47" i="1"/>
  <c r="C51" i="1"/>
  <c r="C55" i="1"/>
  <c r="D52" i="1"/>
  <c r="C45" i="1"/>
  <c r="C53" i="1"/>
  <c r="D55" i="1"/>
  <c r="D47" i="1"/>
  <c r="C50" i="1"/>
  <c r="I12" i="1"/>
  <c r="M5" i="1"/>
  <c r="L5" i="1"/>
  <c r="F5" i="1"/>
  <c r="H132" i="1"/>
  <c r="E132" i="1"/>
  <c r="F132" i="1"/>
  <c r="G132" i="1"/>
  <c r="AT93" i="97"/>
  <c r="BB93" i="97" s="1"/>
  <c r="AR88" i="97"/>
  <c r="AZ88" i="97" s="1"/>
  <c r="AT100" i="97"/>
  <c r="BB100" i="97" s="1"/>
  <c r="AR55" i="97"/>
  <c r="AZ55" i="97" s="1"/>
  <c r="AS48" i="97"/>
  <c r="BA48" i="97" s="1"/>
  <c r="L4" i="96"/>
  <c r="AR77" i="97"/>
  <c r="AZ77" i="97" s="1"/>
  <c r="AS33" i="97"/>
  <c r="BA33" i="97" s="1"/>
  <c r="AS34" i="97"/>
  <c r="BA34" i="97" s="1"/>
  <c r="AR62" i="97"/>
  <c r="AZ62" i="97" s="1"/>
  <c r="AS115" i="97"/>
  <c r="BA115" i="97" s="1"/>
  <c r="AS70" i="97"/>
  <c r="BA70" i="97" s="1"/>
  <c r="AR87" i="97"/>
  <c r="AZ87" i="97" s="1"/>
  <c r="AR97" i="97"/>
  <c r="AZ97" i="97" s="1"/>
  <c r="T18" i="85"/>
  <c r="AR90" i="97"/>
  <c r="AZ90" i="97" s="1"/>
  <c r="AT121" i="97"/>
  <c r="BB121" i="97" s="1"/>
  <c r="AS88" i="97"/>
  <c r="BA88" i="97" s="1"/>
  <c r="AR89" i="97"/>
  <c r="AZ89" i="97" s="1"/>
  <c r="AS22" i="97"/>
  <c r="BA22" i="97" s="1"/>
  <c r="AT108" i="97"/>
  <c r="BB108" i="97" s="1"/>
  <c r="AT19" i="97"/>
  <c r="BB19" i="97" s="1"/>
  <c r="AT27" i="97"/>
  <c r="BB27" i="97" s="1"/>
  <c r="AT113" i="97"/>
  <c r="BB113" i="97" s="1"/>
  <c r="AR86" i="97"/>
  <c r="AZ86" i="97" s="1"/>
  <c r="AT94" i="97"/>
  <c r="BB94" i="97" s="1"/>
  <c r="AR95" i="97"/>
  <c r="AZ95" i="97" s="1"/>
  <c r="AR68" i="97"/>
  <c r="AZ68" i="97" s="1"/>
  <c r="AS122" i="97"/>
  <c r="BA122" i="97" s="1"/>
  <c r="AS47" i="97"/>
  <c r="BA47" i="97" s="1"/>
  <c r="AS15" i="97"/>
  <c r="BA15" i="97" s="1"/>
  <c r="AT32" i="97"/>
  <c r="BB32" i="97" s="1"/>
  <c r="AT40" i="97"/>
  <c r="BB40" i="97" s="1"/>
  <c r="AS67" i="97"/>
  <c r="BA67" i="97" s="1"/>
  <c r="AR119" i="97"/>
  <c r="AZ119" i="97" s="1"/>
  <c r="AR122" i="97"/>
  <c r="AZ122" i="97" s="1"/>
  <c r="AR85" i="97"/>
  <c r="AZ85" i="97" s="1"/>
  <c r="AS91" i="97"/>
  <c r="BA91" i="97" s="1"/>
  <c r="R131" i="72"/>
  <c r="S130" i="72"/>
  <c r="AT99" i="97"/>
  <c r="BB99" i="97" s="1"/>
  <c r="AS93" i="97"/>
  <c r="BA93" i="97" s="1"/>
  <c r="AT126" i="97"/>
  <c r="BB126" i="97" s="1"/>
  <c r="AT48" i="97"/>
  <c r="BB48" i="97" s="1"/>
  <c r="AS38" i="97"/>
  <c r="BA38" i="97" s="1"/>
  <c r="AS8" i="97"/>
  <c r="BA8" i="97" s="1"/>
  <c r="AT102" i="97"/>
  <c r="BB102" i="97" s="1"/>
  <c r="AR11" i="97"/>
  <c r="AZ11" i="97" s="1"/>
  <c r="AR103" i="97"/>
  <c r="AZ103" i="97" s="1"/>
  <c r="AR105" i="97"/>
  <c r="AZ105" i="97" s="1"/>
  <c r="AT31" i="97"/>
  <c r="BB31" i="97" s="1"/>
  <c r="AR36" i="97"/>
  <c r="AZ36" i="97" s="1"/>
  <c r="AT38" i="97"/>
  <c r="BB38" i="97" s="1"/>
  <c r="AR39" i="97"/>
  <c r="AZ39" i="97" s="1"/>
  <c r="AT44" i="97"/>
  <c r="BB44" i="97" s="1"/>
  <c r="AT46" i="97"/>
  <c r="BB46" i="97" s="1"/>
  <c r="AR48" i="97"/>
  <c r="AZ48" i="97" s="1"/>
  <c r="AS111" i="97"/>
  <c r="BA111" i="97" s="1"/>
  <c r="AT60" i="97"/>
  <c r="BB60" i="97" s="1"/>
  <c r="AT114" i="97"/>
  <c r="BB114" i="97" s="1"/>
  <c r="AT80" i="97"/>
  <c r="BB80" i="97" s="1"/>
  <c r="AT84" i="97"/>
  <c r="BB84" i="97" s="1"/>
  <c r="AT86" i="97"/>
  <c r="BB86" i="97" s="1"/>
  <c r="AR123" i="97"/>
  <c r="AZ123" i="97" s="1"/>
  <c r="AT124" i="97"/>
  <c r="BB124" i="97" s="1"/>
  <c r="AT96" i="97"/>
  <c r="BB96" i="97" s="1"/>
  <c r="J119" i="1"/>
  <c r="M60" i="79"/>
  <c r="Q60" i="79" s="1"/>
  <c r="M100" i="79"/>
  <c r="Q100" i="79" s="1"/>
  <c r="M7" i="79"/>
  <c r="Q7" i="79" s="1"/>
  <c r="M9" i="79"/>
  <c r="Q9" i="79" s="1"/>
  <c r="M11" i="79"/>
  <c r="Q11" i="79" s="1"/>
  <c r="M13" i="79"/>
  <c r="Q13" i="79" s="1"/>
  <c r="M17" i="79"/>
  <c r="Q17" i="79" s="1"/>
  <c r="M19" i="79"/>
  <c r="Q19" i="79" s="1"/>
  <c r="M29" i="79"/>
  <c r="Q29" i="79" s="1"/>
  <c r="M35" i="79"/>
  <c r="Q35" i="79" s="1"/>
  <c r="M37" i="79"/>
  <c r="Q37" i="79" s="1"/>
  <c r="M39" i="79"/>
  <c r="Q39" i="79" s="1"/>
  <c r="M41" i="79"/>
  <c r="Q41" i="79" s="1"/>
  <c r="M43" i="79"/>
  <c r="Q43" i="79" s="1"/>
  <c r="M47" i="79"/>
  <c r="Q47" i="79" s="1"/>
  <c r="M55" i="79"/>
  <c r="Q55" i="79" s="1"/>
  <c r="M63" i="79"/>
  <c r="Q63" i="79" s="1"/>
  <c r="M71" i="79"/>
  <c r="Q71" i="79" s="1"/>
  <c r="M73" i="79"/>
  <c r="Q73" i="79" s="1"/>
  <c r="M75" i="79"/>
  <c r="Q75" i="79" s="1"/>
  <c r="M81" i="79"/>
  <c r="Q81" i="79" s="1"/>
  <c r="M85" i="79"/>
  <c r="Q85" i="79" s="1"/>
  <c r="M113" i="79"/>
  <c r="Q113" i="79" s="1"/>
  <c r="M117" i="79"/>
  <c r="Q117" i="79" s="1"/>
  <c r="M121" i="79"/>
  <c r="Q121" i="79" s="1"/>
  <c r="M58" i="79"/>
  <c r="Q58" i="79" s="1"/>
  <c r="M92" i="79"/>
  <c r="Q92" i="79" s="1"/>
  <c r="M15" i="79"/>
  <c r="Q15" i="79" s="1"/>
  <c r="O131" i="60"/>
  <c r="P131" i="60"/>
  <c r="J18" i="123"/>
  <c r="Y131" i="60"/>
  <c r="W131" i="60"/>
  <c r="F119" i="1"/>
  <c r="D119" i="1"/>
  <c r="E119" i="1"/>
  <c r="R130" i="72"/>
  <c r="AR71" i="97"/>
  <c r="AZ71" i="97" s="1"/>
  <c r="AS75" i="97"/>
  <c r="BA75" i="97" s="1"/>
  <c r="F60" i="1"/>
  <c r="BC5" i="109"/>
  <c r="J20" i="123"/>
  <c r="G119" i="1"/>
  <c r="L108" i="1"/>
  <c r="L105" i="1"/>
  <c r="L106" i="1"/>
  <c r="L107" i="1"/>
  <c r="G13" i="79"/>
  <c r="G17" i="79"/>
  <c r="G10" i="79"/>
  <c r="G6" i="79"/>
  <c r="AS31" i="97"/>
  <c r="BA31" i="97" s="1"/>
  <c r="T60" i="85"/>
  <c r="P63" i="85"/>
  <c r="T111" i="85"/>
  <c r="Q132" i="72"/>
  <c r="P4" i="95"/>
  <c r="T4" i="95"/>
  <c r="AS59" i="97"/>
  <c r="BA59" i="97" s="1"/>
  <c r="AS87" i="97"/>
  <c r="BA87" i="97" s="1"/>
  <c r="AS112" i="97"/>
  <c r="BA112" i="97" s="1"/>
  <c r="AT56" i="97"/>
  <c r="BB56" i="97" s="1"/>
  <c r="AS80" i="97"/>
  <c r="BA80" i="97" s="1"/>
  <c r="AS72" i="97"/>
  <c r="BA72" i="97" s="1"/>
  <c r="AR67" i="97"/>
  <c r="AZ67" i="97" s="1"/>
  <c r="M6" i="79"/>
  <c r="Q6" i="79" s="1"/>
  <c r="AS95" i="97"/>
  <c r="BA95" i="97" s="1"/>
  <c r="AS98" i="97"/>
  <c r="BA98" i="97" s="1"/>
  <c r="AT6" i="97"/>
  <c r="BB6" i="97" s="1"/>
  <c r="AS7" i="97"/>
  <c r="BA7" i="97" s="1"/>
  <c r="AT9" i="97"/>
  <c r="BB9" i="97" s="1"/>
  <c r="AT13" i="97"/>
  <c r="BB13" i="97" s="1"/>
  <c r="AR21" i="97"/>
  <c r="AZ21" i="97" s="1"/>
  <c r="AT22" i="97"/>
  <c r="BB22" i="97" s="1"/>
  <c r="AR24" i="97"/>
  <c r="AZ24" i="97" s="1"/>
  <c r="AR25" i="97"/>
  <c r="AZ25" i="97" s="1"/>
  <c r="AR106" i="97"/>
  <c r="AZ106" i="97" s="1"/>
  <c r="AR34" i="97"/>
  <c r="AZ34" i="97" s="1"/>
  <c r="AT36" i="97"/>
  <c r="BB36" i="97" s="1"/>
  <c r="AT37" i="97"/>
  <c r="BB37" i="97" s="1"/>
  <c r="AT107" i="97"/>
  <c r="BB107" i="97" s="1"/>
  <c r="AT49" i="97"/>
  <c r="BB49" i="97" s="1"/>
  <c r="AT53" i="97"/>
  <c r="BB53" i="97" s="1"/>
  <c r="AR59" i="97"/>
  <c r="AZ59" i="97" s="1"/>
  <c r="AR63" i="97"/>
  <c r="AZ63" i="97" s="1"/>
  <c r="BC63" i="97" s="1"/>
  <c r="AT63" i="97"/>
  <c r="BB63" i="97" s="1"/>
  <c r="AT116" i="97"/>
  <c r="BB116" i="97" s="1"/>
  <c r="AR120" i="97"/>
  <c r="AZ120" i="97" s="1"/>
  <c r="AT92" i="97"/>
  <c r="BB92" i="97" s="1"/>
  <c r="G170" i="1"/>
  <c r="F169" i="1"/>
  <c r="F170" i="1"/>
  <c r="E169" i="1"/>
  <c r="E170" i="1"/>
  <c r="G169" i="1"/>
  <c r="P130" i="72"/>
  <c r="AT125" i="97"/>
  <c r="BB125" i="97" s="1"/>
  <c r="AR76" i="97"/>
  <c r="AZ76" i="97" s="1"/>
  <c r="AR73" i="97"/>
  <c r="AZ73" i="97" s="1"/>
  <c r="AT117" i="97"/>
  <c r="BB117" i="97" s="1"/>
  <c r="AS82" i="97"/>
  <c r="BA82" i="97" s="1"/>
  <c r="AT77" i="97"/>
  <c r="BB77" i="97" s="1"/>
  <c r="AS66" i="97"/>
  <c r="BA66" i="97" s="1"/>
  <c r="AS103" i="97"/>
  <c r="BA103" i="97" s="1"/>
  <c r="AS99" i="97"/>
  <c r="BA99" i="97" s="1"/>
  <c r="AR6" i="97"/>
  <c r="AZ6" i="97" s="1"/>
  <c r="AR9" i="97"/>
  <c r="AZ9" i="97" s="1"/>
  <c r="AT12" i="97"/>
  <c r="BB12" i="97" s="1"/>
  <c r="AR38" i="97"/>
  <c r="AZ38" i="97" s="1"/>
  <c r="BC38" i="97" s="1"/>
  <c r="AR45" i="97"/>
  <c r="AZ45" i="97" s="1"/>
  <c r="AR58" i="97"/>
  <c r="AZ58" i="97" s="1"/>
  <c r="AR114" i="97"/>
  <c r="AZ114" i="97" s="1"/>
  <c r="AR65" i="97"/>
  <c r="AZ65" i="97" s="1"/>
  <c r="AT69" i="97"/>
  <c r="BB69" i="97" s="1"/>
  <c r="BC69" i="97" s="1"/>
  <c r="AS71" i="97"/>
  <c r="BA71" i="97" s="1"/>
  <c r="AT78" i="97"/>
  <c r="BB78" i="97" s="1"/>
  <c r="AS92" i="97"/>
  <c r="BA92" i="97" s="1"/>
  <c r="AR93" i="97"/>
  <c r="AZ93" i="97" s="1"/>
  <c r="BC93" i="97" s="1"/>
  <c r="AS97" i="97"/>
  <c r="BA97" i="97" s="1"/>
  <c r="AS101" i="97"/>
  <c r="BA101" i="97" s="1"/>
  <c r="T28" i="85"/>
  <c r="T68" i="85"/>
  <c r="T72" i="85"/>
  <c r="T76" i="85"/>
  <c r="T88" i="85"/>
  <c r="AR100" i="97"/>
  <c r="AZ100" i="97" s="1"/>
  <c r="BC100" i="97" s="1"/>
  <c r="AT67" i="97"/>
  <c r="BB67" i="97" s="1"/>
  <c r="BC67" i="97" s="1"/>
  <c r="AS41" i="97"/>
  <c r="BA41" i="97" s="1"/>
  <c r="AT88" i="97"/>
  <c r="BB88" i="97" s="1"/>
  <c r="BC88" i="97" s="1"/>
  <c r="AS79" i="97"/>
  <c r="BA79" i="97" s="1"/>
  <c r="AS120" i="97"/>
  <c r="BA120" i="97" s="1"/>
  <c r="AR126" i="97"/>
  <c r="AZ126" i="97" s="1"/>
  <c r="AT101" i="97"/>
  <c r="BB101" i="97" s="1"/>
  <c r="P131" i="75"/>
  <c r="AR99" i="97"/>
  <c r="AZ99" i="97" s="1"/>
  <c r="AT73" i="97"/>
  <c r="BB73" i="97" s="1"/>
  <c r="AT39" i="97"/>
  <c r="BB39" i="97" s="1"/>
  <c r="BC39" i="97" s="1"/>
  <c r="O6" i="85"/>
  <c r="P30" i="85"/>
  <c r="T61" i="85"/>
  <c r="T73" i="85"/>
  <c r="T85" i="85"/>
  <c r="Z93" i="85"/>
  <c r="P94" i="85"/>
  <c r="Z97" i="85"/>
  <c r="T98" i="85"/>
  <c r="Z101" i="85"/>
  <c r="T102" i="85"/>
  <c r="P106" i="85"/>
  <c r="Z109" i="85"/>
  <c r="P110" i="85"/>
  <c r="Z113" i="85"/>
  <c r="T117" i="85"/>
  <c r="P118" i="85"/>
  <c r="P122" i="85"/>
  <c r="T125" i="85"/>
  <c r="T126" i="85"/>
  <c r="Q129" i="75"/>
  <c r="Q130" i="75"/>
  <c r="Q131" i="75"/>
  <c r="L7" i="79"/>
  <c r="P7" i="79" s="1"/>
  <c r="L9" i="79"/>
  <c r="P9" i="79" s="1"/>
  <c r="L11" i="79"/>
  <c r="P11" i="79" s="1"/>
  <c r="L13" i="79"/>
  <c r="P13" i="79" s="1"/>
  <c r="L15" i="79"/>
  <c r="P15" i="79" s="1"/>
  <c r="L17" i="79"/>
  <c r="P17" i="79" s="1"/>
  <c r="L19" i="79"/>
  <c r="P19" i="79" s="1"/>
  <c r="L21" i="79"/>
  <c r="P21" i="79" s="1"/>
  <c r="L23" i="79"/>
  <c r="P23" i="79" s="1"/>
  <c r="L25" i="79"/>
  <c r="P25" i="79" s="1"/>
  <c r="L27" i="79"/>
  <c r="P27" i="79" s="1"/>
  <c r="L29" i="79"/>
  <c r="P29" i="79" s="1"/>
  <c r="L31" i="79"/>
  <c r="P31" i="79" s="1"/>
  <c r="L33" i="79"/>
  <c r="P33" i="79" s="1"/>
  <c r="L35" i="79"/>
  <c r="P35" i="79" s="1"/>
  <c r="L37" i="79"/>
  <c r="P37" i="79" s="1"/>
  <c r="L39" i="79"/>
  <c r="P39" i="79" s="1"/>
  <c r="L41" i="79"/>
  <c r="P41" i="79" s="1"/>
  <c r="L43" i="79"/>
  <c r="P43" i="79" s="1"/>
  <c r="L45" i="79"/>
  <c r="P45" i="79" s="1"/>
  <c r="L47" i="79"/>
  <c r="P47" i="79" s="1"/>
  <c r="L49" i="79"/>
  <c r="P49" i="79" s="1"/>
  <c r="S4" i="95"/>
  <c r="AR112" i="97"/>
  <c r="AZ112" i="97" s="1"/>
  <c r="AT122" i="97"/>
  <c r="BB122" i="97" s="1"/>
  <c r="AT76" i="97"/>
  <c r="BB76" i="97" s="1"/>
  <c r="AS116" i="97"/>
  <c r="BA116" i="97" s="1"/>
  <c r="AS52" i="97"/>
  <c r="BA52" i="97" s="1"/>
  <c r="AS119" i="97"/>
  <c r="BA119" i="97" s="1"/>
  <c r="AS28" i="97"/>
  <c r="BA28" i="97" s="1"/>
  <c r="AS54" i="97"/>
  <c r="BA54" i="97" s="1"/>
  <c r="AT42" i="97"/>
  <c r="BB42" i="97" s="1"/>
  <c r="AR32" i="97"/>
  <c r="AZ32" i="97" s="1"/>
  <c r="AT26" i="97"/>
  <c r="BB26" i="97" s="1"/>
  <c r="AR50" i="97"/>
  <c r="AZ50" i="97" s="1"/>
  <c r="AT112" i="97"/>
  <c r="BB112" i="97" s="1"/>
  <c r="AR72" i="97"/>
  <c r="AZ72" i="97" s="1"/>
  <c r="BC72" i="97" s="1"/>
  <c r="AT120" i="97"/>
  <c r="BB120" i="97" s="1"/>
  <c r="AT82" i="97"/>
  <c r="BB82" i="97" s="1"/>
  <c r="AT97" i="97"/>
  <c r="BB97" i="97" s="1"/>
  <c r="AT98" i="97"/>
  <c r="BB98" i="97" s="1"/>
  <c r="T106" i="85"/>
  <c r="W6" i="85"/>
  <c r="E173" i="1" s="1"/>
  <c r="P21" i="85"/>
  <c r="T49" i="85"/>
  <c r="T53" i="85"/>
  <c r="P65" i="85"/>
  <c r="P69" i="85"/>
  <c r="T77" i="85"/>
  <c r="P81" i="85"/>
  <c r="P85" i="85"/>
  <c r="P89" i="85"/>
  <c r="P132" i="72"/>
  <c r="AR83" i="97"/>
  <c r="AZ83" i="97" s="1"/>
  <c r="AR57" i="97"/>
  <c r="AZ57" i="97" s="1"/>
  <c r="AR56" i="97"/>
  <c r="AZ56" i="97" s="1"/>
  <c r="AT34" i="97"/>
  <c r="BB34" i="97" s="1"/>
  <c r="AR53" i="97"/>
  <c r="AZ53" i="97" s="1"/>
  <c r="AR12" i="97"/>
  <c r="AZ12" i="97" s="1"/>
  <c r="AS14" i="97"/>
  <c r="BA14" i="97" s="1"/>
  <c r="AR16" i="97"/>
  <c r="AZ16" i="97" s="1"/>
  <c r="AR26" i="97"/>
  <c r="AZ26" i="97" s="1"/>
  <c r="AT43" i="97"/>
  <c r="BB43" i="97" s="1"/>
  <c r="AR52" i="97"/>
  <c r="AZ52" i="97" s="1"/>
  <c r="AS58" i="97"/>
  <c r="BA58" i="97" s="1"/>
  <c r="AS60" i="97"/>
  <c r="BA60" i="97" s="1"/>
  <c r="AR115" i="97"/>
  <c r="AZ115" i="97" s="1"/>
  <c r="AS77" i="97"/>
  <c r="BA77" i="97" s="1"/>
  <c r="AS81" i="97"/>
  <c r="BA81" i="97" s="1"/>
  <c r="AR98" i="97"/>
  <c r="AZ98" i="97" s="1"/>
  <c r="BY4" i="56"/>
  <c r="L6" i="79"/>
  <c r="P6" i="79" s="1"/>
  <c r="T92" i="85"/>
  <c r="T95" i="85"/>
  <c r="T103" i="85"/>
  <c r="T107" i="85"/>
  <c r="T115" i="85"/>
  <c r="T119" i="85"/>
  <c r="I132" i="75"/>
  <c r="L51" i="79"/>
  <c r="P51" i="79" s="1"/>
  <c r="L53" i="79"/>
  <c r="P53" i="79" s="1"/>
  <c r="L55" i="79"/>
  <c r="P55" i="79" s="1"/>
  <c r="L57" i="79"/>
  <c r="P57" i="79" s="1"/>
  <c r="L59" i="79"/>
  <c r="P59" i="79" s="1"/>
  <c r="L61" i="79"/>
  <c r="P61" i="79" s="1"/>
  <c r="L63" i="79"/>
  <c r="P63" i="79" s="1"/>
  <c r="L65" i="79"/>
  <c r="P65" i="79" s="1"/>
  <c r="L67" i="79"/>
  <c r="P67" i="79" s="1"/>
  <c r="L69" i="79"/>
  <c r="P69" i="79" s="1"/>
  <c r="L71" i="79"/>
  <c r="P71" i="79" s="1"/>
  <c r="L73" i="79"/>
  <c r="P73" i="79" s="1"/>
  <c r="L75" i="79"/>
  <c r="P75" i="79" s="1"/>
  <c r="L77" i="79"/>
  <c r="P77" i="79" s="1"/>
  <c r="L79" i="79"/>
  <c r="P79" i="79" s="1"/>
  <c r="L81" i="79"/>
  <c r="P81" i="79" s="1"/>
  <c r="L83" i="79"/>
  <c r="P83" i="79" s="1"/>
  <c r="L85" i="79"/>
  <c r="P85" i="79" s="1"/>
  <c r="L87" i="79"/>
  <c r="P87" i="79" s="1"/>
  <c r="L89" i="79"/>
  <c r="P89" i="79" s="1"/>
  <c r="L91" i="79"/>
  <c r="P91" i="79" s="1"/>
  <c r="L93" i="79"/>
  <c r="P93" i="79" s="1"/>
  <c r="L95" i="79"/>
  <c r="P95" i="79" s="1"/>
  <c r="L97" i="79"/>
  <c r="P97" i="79" s="1"/>
  <c r="L99" i="79"/>
  <c r="P99" i="79" s="1"/>
  <c r="L101" i="79"/>
  <c r="P101" i="79" s="1"/>
  <c r="L103" i="79"/>
  <c r="P103" i="79" s="1"/>
  <c r="L105" i="79"/>
  <c r="P105" i="79" s="1"/>
  <c r="L107" i="79"/>
  <c r="P107" i="79" s="1"/>
  <c r="L109" i="79"/>
  <c r="P109" i="79" s="1"/>
  <c r="L111" i="79"/>
  <c r="P111" i="79" s="1"/>
  <c r="L113" i="79"/>
  <c r="P113" i="79" s="1"/>
  <c r="L115" i="79"/>
  <c r="P115" i="79" s="1"/>
  <c r="L117" i="79"/>
  <c r="P117" i="79" s="1"/>
  <c r="L119" i="79"/>
  <c r="P119" i="79" s="1"/>
  <c r="L121" i="79"/>
  <c r="P121" i="79" s="1"/>
  <c r="L123" i="79"/>
  <c r="P123" i="79" s="1"/>
  <c r="L125" i="79"/>
  <c r="P125" i="79" s="1"/>
  <c r="AR124" i="97"/>
  <c r="AZ124" i="97" s="1"/>
  <c r="AT61" i="97"/>
  <c r="BB61" i="97" s="1"/>
  <c r="AS125" i="97"/>
  <c r="BA125" i="97" s="1"/>
  <c r="AS83" i="97"/>
  <c r="BA83" i="97" s="1"/>
  <c r="AS76" i="97"/>
  <c r="BA76" i="97" s="1"/>
  <c r="AS73" i="97"/>
  <c r="BA73" i="97" s="1"/>
  <c r="AS65" i="97"/>
  <c r="BA65" i="97" s="1"/>
  <c r="AT55" i="97"/>
  <c r="BB55" i="97" s="1"/>
  <c r="AT30" i="97"/>
  <c r="BB30" i="97" s="1"/>
  <c r="P51" i="85"/>
  <c r="T58" i="85"/>
  <c r="Z74" i="85"/>
  <c r="T78" i="85"/>
  <c r="T82" i="85"/>
  <c r="T86" i="85"/>
  <c r="T90" i="85"/>
  <c r="I129" i="75"/>
  <c r="J130" i="75"/>
  <c r="Q133" i="75"/>
  <c r="P131" i="72"/>
  <c r="Q129" i="72"/>
  <c r="AT87" i="97"/>
  <c r="BB87" i="97" s="1"/>
  <c r="AR113" i="97"/>
  <c r="AZ113" i="97" s="1"/>
  <c r="AS107" i="97"/>
  <c r="BA107" i="97" s="1"/>
  <c r="P5" i="6"/>
  <c r="H126" i="1"/>
  <c r="E126" i="1"/>
  <c r="F126" i="1"/>
  <c r="G126" i="1"/>
  <c r="M127" i="1"/>
  <c r="J127" i="1"/>
  <c r="K127" i="1"/>
  <c r="N127" i="1"/>
  <c r="E125" i="1"/>
  <c r="J118" i="1"/>
  <c r="F125" i="1"/>
  <c r="G125" i="1"/>
  <c r="G5" i="91"/>
  <c r="L149" i="1"/>
  <c r="L141" i="1"/>
  <c r="K151" i="1"/>
  <c r="L151" i="1"/>
  <c r="M151" i="1"/>
  <c r="M155" i="1"/>
  <c r="L156" i="1"/>
  <c r="J156" i="1"/>
  <c r="K156" i="1"/>
  <c r="M156" i="1"/>
  <c r="CW4" i="56"/>
  <c r="CK4" i="56"/>
  <c r="AU4" i="56"/>
  <c r="AI4" i="56"/>
  <c r="W4" i="56"/>
  <c r="BM4" i="56"/>
  <c r="DU4" i="56"/>
  <c r="H4" i="56"/>
  <c r="AC4" i="56"/>
  <c r="AO4" i="56"/>
  <c r="BA4" i="56"/>
  <c r="BG4" i="56"/>
  <c r="CE4" i="56"/>
  <c r="CQ4" i="56"/>
  <c r="EA4" i="56"/>
  <c r="E4" i="56"/>
  <c r="Q4" i="56"/>
  <c r="BS4" i="56"/>
  <c r="DC4" i="56"/>
  <c r="AG4" i="62"/>
  <c r="O4" i="62"/>
  <c r="AM4" i="62"/>
  <c r="D4" i="62"/>
  <c r="I4" i="101"/>
  <c r="J4" i="101"/>
  <c r="H4" i="101"/>
  <c r="AE4" i="60"/>
  <c r="W4" i="60"/>
  <c r="AM4" i="60"/>
  <c r="K152" i="1"/>
  <c r="J151" i="1"/>
  <c r="J152" i="1"/>
  <c r="L152" i="1"/>
  <c r="M152" i="1"/>
  <c r="J150" i="1"/>
  <c r="M150" i="1"/>
  <c r="J149" i="1"/>
  <c r="M149" i="1"/>
  <c r="E4" i="57"/>
  <c r="J142" i="1"/>
  <c r="L142" i="1"/>
  <c r="K142" i="1"/>
  <c r="M142" i="1"/>
  <c r="J141" i="1"/>
  <c r="K141" i="1"/>
  <c r="M141" i="1"/>
  <c r="W4" i="53"/>
  <c r="Q4" i="53"/>
  <c r="U4" i="39"/>
  <c r="M7" i="39"/>
  <c r="U13" i="39"/>
  <c r="E15" i="39"/>
  <c r="M15" i="39"/>
  <c r="E18" i="39"/>
  <c r="E19" i="39"/>
  <c r="M19" i="39"/>
  <c r="U21" i="39"/>
  <c r="U24" i="39"/>
  <c r="U26" i="39"/>
  <c r="E29" i="39"/>
  <c r="U31" i="39"/>
  <c r="U33" i="39"/>
  <c r="E34" i="39"/>
  <c r="M34" i="39"/>
  <c r="E35" i="39"/>
  <c r="U36" i="39"/>
  <c r="E38" i="39"/>
  <c r="U38" i="39"/>
  <c r="U40" i="39"/>
  <c r="M41" i="39"/>
  <c r="U41" i="39"/>
  <c r="E42" i="39"/>
  <c r="U42" i="39"/>
  <c r="U47" i="39"/>
  <c r="E48" i="39"/>
  <c r="M48" i="39"/>
  <c r="E50" i="39"/>
  <c r="U50" i="39"/>
  <c r="E51" i="39"/>
  <c r="E52" i="39"/>
  <c r="U52" i="39"/>
  <c r="E55" i="39"/>
  <c r="M55" i="39"/>
  <c r="U55" i="39"/>
  <c r="M57" i="39"/>
  <c r="U57" i="39"/>
  <c r="E58" i="39"/>
  <c r="U58" i="39"/>
  <c r="M59" i="39"/>
  <c r="U59" i="39"/>
  <c r="E60" i="39"/>
  <c r="J129" i="75"/>
  <c r="P130" i="75"/>
  <c r="J131" i="75"/>
  <c r="J132" i="75"/>
  <c r="Q133" i="72"/>
  <c r="R133" i="72"/>
  <c r="M61" i="39"/>
  <c r="E62" i="39"/>
  <c r="U62" i="39"/>
  <c r="E64" i="39"/>
  <c r="M64" i="39"/>
  <c r="U64" i="39"/>
  <c r="U66" i="39"/>
  <c r="E67" i="39"/>
  <c r="U67" i="39"/>
  <c r="M69" i="39"/>
  <c r="E70" i="39"/>
  <c r="E71" i="39"/>
  <c r="U72" i="39"/>
  <c r="E73" i="39"/>
  <c r="M73" i="39"/>
  <c r="U73" i="39"/>
  <c r="E75" i="39"/>
  <c r="U75" i="39"/>
  <c r="E77" i="39"/>
  <c r="M77" i="39"/>
  <c r="U78" i="39"/>
  <c r="M79" i="39"/>
  <c r="U80" i="39"/>
  <c r="E81" i="39"/>
  <c r="E82" i="39"/>
  <c r="M82" i="39"/>
  <c r="U82" i="39"/>
  <c r="E85" i="39"/>
  <c r="M86" i="39"/>
  <c r="U86" i="39"/>
  <c r="E89" i="39"/>
  <c r="U90" i="39"/>
  <c r="E91" i="39"/>
  <c r="U92" i="39"/>
  <c r="E94" i="39"/>
  <c r="M99" i="39"/>
  <c r="M100" i="39"/>
  <c r="U100" i="39"/>
  <c r="U101" i="39"/>
  <c r="E104" i="39"/>
  <c r="U104" i="39"/>
  <c r="E105" i="39"/>
  <c r="M105" i="39"/>
  <c r="E108" i="39"/>
  <c r="U108" i="39"/>
  <c r="U109" i="39"/>
  <c r="P129" i="75"/>
  <c r="S129" i="72"/>
  <c r="D4" i="53"/>
  <c r="I6" i="123" s="1"/>
  <c r="I5" i="123" s="1"/>
  <c r="P46" i="85"/>
  <c r="P74" i="85"/>
  <c r="P82" i="85"/>
  <c r="P95" i="85"/>
  <c r="P115" i="85"/>
  <c r="S133" i="72"/>
  <c r="AS11" i="97"/>
  <c r="BA11" i="97" s="1"/>
  <c r="AT16" i="97"/>
  <c r="BB16" i="97" s="1"/>
  <c r="AT17" i="97"/>
  <c r="BB17" i="97" s="1"/>
  <c r="AS18" i="97"/>
  <c r="BA18" i="97" s="1"/>
  <c r="AR22" i="97"/>
  <c r="AZ22" i="97" s="1"/>
  <c r="AR104" i="97"/>
  <c r="AZ104" i="97" s="1"/>
  <c r="AS39" i="97"/>
  <c r="BA39" i="97" s="1"/>
  <c r="AT72" i="97"/>
  <c r="BB72" i="97" s="1"/>
  <c r="AT119" i="97"/>
  <c r="BB119" i="97" s="1"/>
  <c r="AS89" i="97"/>
  <c r="BA89" i="97" s="1"/>
  <c r="E4" i="55"/>
  <c r="D4" i="55"/>
  <c r="Q5" i="6"/>
  <c r="AR20" i="97"/>
  <c r="AZ20" i="97" s="1"/>
  <c r="AS42" i="97"/>
  <c r="BA42" i="97" s="1"/>
  <c r="AS53" i="97"/>
  <c r="BA53" i="97" s="1"/>
  <c r="AT62" i="97"/>
  <c r="BB62" i="97" s="1"/>
  <c r="AT89" i="97"/>
  <c r="BB89" i="97" s="1"/>
  <c r="AS94" i="97"/>
  <c r="BA94" i="97" s="1"/>
  <c r="BC94" i="97" s="1"/>
  <c r="Q4" i="95"/>
  <c r="AS26" i="97"/>
  <c r="BA26" i="97" s="1"/>
  <c r="AS24" i="97"/>
  <c r="BA24" i="97" s="1"/>
  <c r="AS106" i="97"/>
  <c r="BA106" i="97" s="1"/>
  <c r="AR44" i="97"/>
  <c r="AZ44" i="97" s="1"/>
  <c r="M4" i="92"/>
  <c r="I15" i="1"/>
  <c r="I18" i="1"/>
  <c r="I21" i="1"/>
  <c r="G117" i="1"/>
  <c r="G118" i="1"/>
  <c r="M57" i="1"/>
  <c r="I4" i="41"/>
  <c r="I52" i="41"/>
  <c r="E58" i="41"/>
  <c r="M62" i="41"/>
  <c r="Y63" i="41"/>
  <c r="Y87" i="41"/>
  <c r="I88" i="41"/>
  <c r="U93" i="41"/>
  <c r="E94" i="41"/>
  <c r="M94" i="41"/>
  <c r="I100" i="41"/>
  <c r="E102" i="41"/>
  <c r="U105" i="41"/>
  <c r="E110" i="41"/>
  <c r="M110" i="41"/>
  <c r="Y111" i="41"/>
  <c r="U117" i="41"/>
  <c r="M118" i="41"/>
  <c r="I120" i="41"/>
  <c r="U121" i="41"/>
  <c r="U17" i="41"/>
  <c r="M18" i="41"/>
  <c r="Y19" i="41"/>
  <c r="E62" i="41"/>
  <c r="I80" i="41"/>
  <c r="U85" i="41"/>
  <c r="M98" i="41"/>
  <c r="E106" i="41"/>
  <c r="M114" i="41"/>
  <c r="E113" i="39"/>
  <c r="M114" i="39"/>
  <c r="U114" i="39"/>
  <c r="M115" i="39"/>
  <c r="U116" i="39"/>
  <c r="M118" i="39"/>
  <c r="U121" i="39"/>
  <c r="M122" i="39"/>
  <c r="U122" i="39"/>
  <c r="E123" i="39"/>
  <c r="U123" i="39"/>
  <c r="Q6" i="40"/>
  <c r="Y6" i="40"/>
  <c r="U12" i="40"/>
  <c r="E13" i="40"/>
  <c r="I15" i="40"/>
  <c r="Q15" i="40"/>
  <c r="Y15" i="40"/>
  <c r="I16" i="40"/>
  <c r="Q16" i="40"/>
  <c r="Y16" i="40"/>
  <c r="M18" i="40"/>
  <c r="I22" i="40"/>
  <c r="Q22" i="40"/>
  <c r="Y22" i="40"/>
  <c r="I23" i="40"/>
  <c r="Q23" i="40"/>
  <c r="Y23" i="40"/>
  <c r="U29" i="40"/>
  <c r="E30" i="40"/>
  <c r="I31" i="40"/>
  <c r="Q31" i="40"/>
  <c r="Y31" i="40"/>
  <c r="I32" i="40"/>
  <c r="Q32" i="40"/>
  <c r="Y32" i="40"/>
  <c r="I33" i="40"/>
  <c r="Q33" i="40"/>
  <c r="Y33" i="40"/>
  <c r="M35" i="40"/>
  <c r="Q39" i="40"/>
  <c r="Y39" i="40"/>
  <c r="I40" i="40"/>
  <c r="Q40" i="40"/>
  <c r="Y40" i="40"/>
  <c r="I41" i="40"/>
  <c r="Q41" i="40"/>
  <c r="Y41" i="40"/>
  <c r="I42" i="40"/>
  <c r="Q42" i="40"/>
  <c r="Y42" i="40"/>
  <c r="M45" i="40"/>
  <c r="I47" i="40"/>
  <c r="Q47" i="40"/>
  <c r="Y47" i="40"/>
  <c r="I48" i="40"/>
  <c r="Q48" i="40"/>
  <c r="Y48" i="40"/>
  <c r="U50" i="40"/>
  <c r="E51" i="40"/>
  <c r="U52" i="40"/>
  <c r="Q57" i="40"/>
  <c r="Y57" i="40"/>
  <c r="I68" i="40"/>
  <c r="Q68" i="40"/>
  <c r="I5" i="41"/>
  <c r="E7" i="41"/>
  <c r="I9" i="41"/>
  <c r="U10" i="41"/>
  <c r="M11" i="41"/>
  <c r="Y12" i="41"/>
  <c r="I13" i="41"/>
  <c r="U14" i="41"/>
  <c r="M15" i="41"/>
  <c r="Y16" i="41"/>
  <c r="I17" i="41"/>
  <c r="M19" i="41"/>
  <c r="Y20" i="41"/>
  <c r="M23" i="41"/>
  <c r="Y24" i="41"/>
  <c r="I29" i="41"/>
  <c r="M35" i="41"/>
  <c r="Y40" i="41"/>
  <c r="I41" i="41"/>
  <c r="I69" i="4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X6" i="85"/>
  <c r="F173"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Z24" i="85"/>
  <c r="T32" i="85"/>
  <c r="Z49" i="85"/>
  <c r="Z53" i="85"/>
  <c r="P90" i="85"/>
  <c r="P99" i="85"/>
  <c r="P111" i="85"/>
  <c r="P8" i="85"/>
  <c r="P9" i="85"/>
  <c r="P13" i="85"/>
  <c r="P20" i="85"/>
  <c r="P29" i="85"/>
  <c r="P38" i="85"/>
  <c r="P42" i="85"/>
  <c r="P45" i="85"/>
  <c r="P50" i="85"/>
  <c r="P54" i="85"/>
  <c r="P62" i="85"/>
  <c r="T104" i="85"/>
  <c r="T13" i="85"/>
  <c r="T81" i="85"/>
  <c r="P120" i="85"/>
  <c r="T38" i="85"/>
  <c r="T42" i="85"/>
  <c r="T50" i="85"/>
  <c r="P58" i="85"/>
  <c r="T62" i="85"/>
  <c r="P75" i="85"/>
  <c r="Z79" i="85"/>
  <c r="T94" i="85"/>
  <c r="T9" i="85"/>
  <c r="Z19" i="85"/>
  <c r="T40" i="85"/>
  <c r="P44" i="85"/>
  <c r="T48" i="85"/>
  <c r="T52" i="85"/>
  <c r="T56" i="85"/>
  <c r="P60" i="85"/>
  <c r="P64" i="85"/>
  <c r="Z69" i="85"/>
  <c r="Z118" i="85"/>
  <c r="P48" i="85"/>
  <c r="P93" i="85"/>
  <c r="T24" i="85"/>
  <c r="T8" i="85"/>
  <c r="P26" i="85"/>
  <c r="P52" i="85"/>
  <c r="Y6" i="85"/>
  <c r="G173" i="1" s="1"/>
  <c r="P109" i="85"/>
  <c r="T46" i="85"/>
  <c r="T75" i="85"/>
  <c r="T121" i="85"/>
  <c r="P12" i="85"/>
  <c r="P32" i="85"/>
  <c r="P37" i="85"/>
  <c r="P121" i="85"/>
  <c r="P125" i="85"/>
  <c r="P97" i="85"/>
  <c r="P88" i="85"/>
  <c r="T44" i="85"/>
  <c r="H60" i="1"/>
  <c r="G60" i="1"/>
  <c r="H63" i="1"/>
  <c r="G63" i="1"/>
  <c r="H62" i="1"/>
  <c r="G62" i="1"/>
  <c r="H61" i="1"/>
  <c r="G61" i="1"/>
  <c r="F118" i="1"/>
  <c r="F114" i="1"/>
  <c r="E115" i="1"/>
  <c r="D116" i="1"/>
  <c r="D115" i="1"/>
  <c r="D118" i="1"/>
  <c r="F117" i="1"/>
  <c r="E118" i="1"/>
  <c r="E114" i="1"/>
  <c r="F116" i="1"/>
  <c r="D114" i="1"/>
  <c r="F115" i="1"/>
  <c r="E116" i="1"/>
  <c r="D117" i="1"/>
  <c r="E117" i="1"/>
  <c r="U34" i="41"/>
  <c r="D63" i="1"/>
  <c r="C63" i="1"/>
  <c r="D62" i="1"/>
  <c r="C62" i="1"/>
  <c r="D61" i="1"/>
  <c r="C61" i="1"/>
  <c r="D60" i="1"/>
  <c r="C60" i="1"/>
  <c r="Q100" i="40"/>
  <c r="U30" i="41"/>
  <c r="O132" i="73"/>
  <c r="O131" i="73"/>
  <c r="N129" i="73"/>
  <c r="N131" i="73"/>
  <c r="O128" i="73"/>
  <c r="O129" i="73"/>
  <c r="N128" i="73"/>
  <c r="N130" i="73"/>
  <c r="M132" i="73"/>
  <c r="O130" i="73"/>
  <c r="N132" i="73"/>
  <c r="Q91" i="41"/>
  <c r="U38" i="41"/>
  <c r="Q123" i="41"/>
  <c r="F4" i="56"/>
  <c r="D4" i="56"/>
  <c r="P7" i="85"/>
  <c r="T7" i="85"/>
  <c r="Z10" i="85"/>
  <c r="P10" i="85"/>
  <c r="T10" i="85"/>
  <c r="Z14" i="85"/>
  <c r="P14" i="85"/>
  <c r="T14" i="85"/>
  <c r="P15" i="85"/>
  <c r="T15" i="85"/>
  <c r="Z34" i="85"/>
  <c r="T34" i="85"/>
  <c r="P34" i="85"/>
  <c r="T36" i="85"/>
  <c r="P36" i="85"/>
  <c r="T66" i="85"/>
  <c r="P66" i="85"/>
  <c r="T70" i="85"/>
  <c r="P70" i="85"/>
  <c r="P123" i="85"/>
  <c r="T123" i="85"/>
  <c r="F4" i="57"/>
  <c r="R20" i="95"/>
  <c r="F4" i="95"/>
  <c r="R4" i="95" s="1"/>
  <c r="G4" i="53"/>
  <c r="E4" i="53"/>
  <c r="E4" i="24"/>
  <c r="G4" i="24"/>
  <c r="I4" i="24"/>
  <c r="K4" i="24"/>
  <c r="M4" i="24"/>
  <c r="O4" i="24"/>
  <c r="F122" i="38"/>
  <c r="Z114" i="85"/>
  <c r="T114" i="85"/>
  <c r="I133" i="75"/>
  <c r="J133" i="75"/>
  <c r="T16" i="85"/>
  <c r="Z20" i="85"/>
  <c r="T20" i="85"/>
  <c r="Z54" i="85"/>
  <c r="T54" i="85"/>
  <c r="AT75" i="97"/>
  <c r="BB75" i="97" s="1"/>
  <c r="J108" i="1"/>
  <c r="F108" i="1"/>
  <c r="K107" i="1"/>
  <c r="G107" i="1"/>
  <c r="H106" i="1"/>
  <c r="D106" i="1"/>
  <c r="G105" i="1"/>
  <c r="I108" i="1"/>
  <c r="E108" i="1"/>
  <c r="J107" i="1"/>
  <c r="F107" i="1"/>
  <c r="K106" i="1"/>
  <c r="G106" i="1"/>
  <c r="F105" i="1"/>
  <c r="H108" i="1"/>
  <c r="D108" i="1"/>
  <c r="I107" i="1"/>
  <c r="E107" i="1"/>
  <c r="J106" i="1"/>
  <c r="F106" i="1"/>
  <c r="K105" i="1"/>
  <c r="E105" i="1"/>
  <c r="K108" i="1"/>
  <c r="G108" i="1"/>
  <c r="H107" i="1"/>
  <c r="D107" i="1"/>
  <c r="I106" i="1"/>
  <c r="E106" i="1"/>
  <c r="H105" i="1"/>
  <c r="D105" i="1"/>
  <c r="Q88" i="39"/>
  <c r="U6" i="40"/>
  <c r="E23" i="40"/>
  <c r="Q27" i="40"/>
  <c r="U48" i="40"/>
  <c r="M70" i="40"/>
  <c r="M79" i="40"/>
  <c r="U79" i="40"/>
  <c r="I84" i="40"/>
  <c r="Y107" i="40"/>
  <c r="M111" i="40"/>
  <c r="M116" i="40"/>
  <c r="U116" i="40"/>
  <c r="E21" i="41"/>
  <c r="M21" i="41"/>
  <c r="Q22" i="41"/>
  <c r="Y22" i="41"/>
  <c r="I23" i="41"/>
  <c r="U24" i="41"/>
  <c r="E25" i="41"/>
  <c r="M25" i="41"/>
  <c r="Y26" i="41"/>
  <c r="I27" i="41"/>
  <c r="U28" i="41"/>
  <c r="E29" i="41"/>
  <c r="M29" i="41"/>
  <c r="Q30" i="41"/>
  <c r="Y30" i="41"/>
  <c r="I31" i="41"/>
  <c r="U32" i="41"/>
  <c r="E33" i="41"/>
  <c r="M33" i="41"/>
  <c r="Y34" i="41"/>
  <c r="I35" i="41"/>
  <c r="U36" i="41"/>
  <c r="E37" i="41"/>
  <c r="M37" i="41"/>
  <c r="Q38" i="41"/>
  <c r="Y38" i="41"/>
  <c r="I39" i="41"/>
  <c r="U40" i="41"/>
  <c r="E41" i="41"/>
  <c r="Y42" i="41"/>
  <c r="U44" i="41"/>
  <c r="E45" i="41"/>
  <c r="M45" i="41"/>
  <c r="Q46" i="41"/>
  <c r="I47" i="41"/>
  <c r="U48" i="41"/>
  <c r="M49" i="41"/>
  <c r="Y50" i="41"/>
  <c r="I51" i="41"/>
  <c r="E53" i="41"/>
  <c r="M53" i="41"/>
  <c r="Y54" i="41"/>
  <c r="I55" i="41"/>
  <c r="U56" i="41"/>
  <c r="M57" i="41"/>
  <c r="Y58" i="41"/>
  <c r="U60" i="41"/>
  <c r="E61" i="41"/>
  <c r="M61" i="41"/>
  <c r="Y62" i="41"/>
  <c r="I63" i="41"/>
  <c r="U64" i="41"/>
  <c r="E65" i="41"/>
  <c r="M65" i="41"/>
  <c r="Y66" i="41"/>
  <c r="I67" i="41"/>
  <c r="U68" i="41"/>
  <c r="E69" i="41"/>
  <c r="M69" i="41"/>
  <c r="Y70" i="41"/>
  <c r="I71" i="41"/>
  <c r="U72" i="41"/>
  <c r="M73" i="41"/>
  <c r="I75" i="41"/>
  <c r="U76" i="41"/>
  <c r="E77" i="41"/>
  <c r="M77" i="41"/>
  <c r="Q78" i="41"/>
  <c r="Y78" i="41"/>
  <c r="I79" i="41"/>
  <c r="E81" i="41"/>
  <c r="M81" i="41"/>
  <c r="Y82" i="41"/>
  <c r="I83" i="41"/>
  <c r="U84" i="41"/>
  <c r="E85" i="41"/>
  <c r="M85" i="41"/>
  <c r="Y86" i="41"/>
  <c r="I87" i="41"/>
  <c r="U88" i="41"/>
  <c r="E89" i="41"/>
  <c r="M89" i="41"/>
  <c r="Y90" i="41"/>
  <c r="U92" i="41"/>
  <c r="E93" i="41"/>
  <c r="M93" i="41"/>
  <c r="Y94" i="41"/>
  <c r="I95" i="41"/>
  <c r="U96" i="41"/>
  <c r="E97" i="41"/>
  <c r="M97" i="41"/>
  <c r="Y98" i="41"/>
  <c r="I99" i="41"/>
  <c r="U100" i="41"/>
  <c r="E101" i="41"/>
  <c r="M101" i="41"/>
  <c r="Y102" i="41"/>
  <c r="I103" i="41"/>
  <c r="U104" i="41"/>
  <c r="E105" i="41"/>
  <c r="M105" i="41"/>
  <c r="Y106" i="41"/>
  <c r="I107" i="41"/>
  <c r="U108" i="41"/>
  <c r="E109" i="41"/>
  <c r="M109" i="41"/>
  <c r="Q110" i="41"/>
  <c r="Y110" i="41"/>
  <c r="I111" i="41"/>
  <c r="U112" i="41"/>
  <c r="M113" i="41"/>
  <c r="Y114" i="41"/>
  <c r="U116" i="41"/>
  <c r="M117" i="41"/>
  <c r="Q118" i="41"/>
  <c r="Y118" i="41"/>
  <c r="I119" i="41"/>
  <c r="U120" i="41"/>
  <c r="M121" i="41"/>
  <c r="Y122" i="41"/>
  <c r="I123" i="41"/>
  <c r="Z9" i="85"/>
  <c r="Z27" i="85"/>
  <c r="Z39" i="85"/>
  <c r="Z40" i="85"/>
  <c r="Z48" i="85"/>
  <c r="Z52" i="85"/>
  <c r="Z58" i="85"/>
  <c r="Z62" i="85"/>
  <c r="Z68" i="85"/>
  <c r="Z78" i="85"/>
  <c r="T84" i="85"/>
  <c r="Z87" i="85"/>
  <c r="Z92" i="85"/>
  <c r="Z96" i="85"/>
  <c r="Z100" i="85"/>
  <c r="Z104" i="85"/>
  <c r="Z108" i="85"/>
  <c r="Z112" i="85"/>
  <c r="Z126" i="85"/>
  <c r="I130" i="75"/>
  <c r="P132" i="75"/>
  <c r="P133" i="75"/>
  <c r="R129" i="72"/>
  <c r="AS104" i="97"/>
  <c r="BA104" i="97" s="1"/>
  <c r="AS63" i="97"/>
  <c r="BA63" i="97" s="1"/>
  <c r="AR82" i="97"/>
  <c r="AZ82" i="97" s="1"/>
  <c r="AS86" i="97"/>
  <c r="BA86" i="97" s="1"/>
  <c r="AS126" i="97"/>
  <c r="BA126" i="97" s="1"/>
  <c r="Z12" i="85"/>
  <c r="Z17" i="85"/>
  <c r="Z22" i="85"/>
  <c r="Z26" i="85"/>
  <c r="Z31" i="85"/>
  <c r="Z32" i="85"/>
  <c r="Z37" i="85"/>
  <c r="Z38" i="85"/>
  <c r="T47" i="85"/>
  <c r="Z61" i="85"/>
  <c r="P67" i="85"/>
  <c r="Z72" i="85"/>
  <c r="P77" i="85"/>
  <c r="Z86" i="85"/>
  <c r="Z90" i="85"/>
  <c r="Z95" i="85"/>
  <c r="T99" i="85"/>
  <c r="Z107" i="85"/>
  <c r="Z120" i="85"/>
  <c r="Z125" i="85"/>
  <c r="AS25" i="97"/>
  <c r="BA25" i="97" s="1"/>
  <c r="Z15" i="85"/>
  <c r="Z16" i="85"/>
  <c r="Z21" i="85"/>
  <c r="Z25" i="85"/>
  <c r="Z29" i="85"/>
  <c r="Z30" i="85"/>
  <c r="Z42" i="85"/>
  <c r="Z50" i="85"/>
  <c r="Z56" i="85"/>
  <c r="Z60" i="85"/>
  <c r="Z70" i="85"/>
  <c r="Z80" i="85"/>
  <c r="Z85" i="85"/>
  <c r="Z89" i="85"/>
  <c r="Z102" i="85"/>
  <c r="Z106" i="85"/>
  <c r="Z115" i="85"/>
  <c r="Z119" i="85"/>
  <c r="P129" i="72"/>
  <c r="P133" i="72"/>
  <c r="Q130" i="72"/>
  <c r="S131" i="72"/>
  <c r="AS61" i="97"/>
  <c r="BA61" i="97" s="1"/>
  <c r="AS55" i="97"/>
  <c r="BA55" i="97" s="1"/>
  <c r="AS49" i="97"/>
  <c r="BA49" i="97" s="1"/>
  <c r="AR33" i="97"/>
  <c r="AZ33" i="97" s="1"/>
  <c r="AR43" i="97"/>
  <c r="AZ43" i="97" s="1"/>
  <c r="BC43" i="97" s="1"/>
  <c r="AS44" i="97"/>
  <c r="BA44" i="97" s="1"/>
  <c r="AR47" i="97"/>
  <c r="AZ47" i="97" s="1"/>
  <c r="BC47" i="97" s="1"/>
  <c r="AS50" i="97"/>
  <c r="BA50" i="97" s="1"/>
  <c r="AT54" i="97"/>
  <c r="BB54" i="97" s="1"/>
  <c r="AS114" i="97"/>
  <c r="BA114" i="97" s="1"/>
  <c r="AS64" i="97"/>
  <c r="BA64" i="97" s="1"/>
  <c r="AT68" i="97"/>
  <c r="BB68" i="97" s="1"/>
  <c r="AT118" i="97"/>
  <c r="BB118" i="97" s="1"/>
  <c r="AS84" i="97"/>
  <c r="BA84" i="97" s="1"/>
  <c r="AT90" i="97"/>
  <c r="BB90" i="97" s="1"/>
  <c r="BC90" i="97" s="1"/>
  <c r="AR91" i="97"/>
  <c r="AZ91" i="97" s="1"/>
  <c r="AT95" i="97"/>
  <c r="BB95" i="97" s="1"/>
  <c r="BC95" i="97" s="1"/>
  <c r="AS96" i="97"/>
  <c r="BA96" i="97" s="1"/>
  <c r="V4" i="95"/>
  <c r="AR78" i="97"/>
  <c r="AZ78" i="97" s="1"/>
  <c r="BC78" i="97" s="1"/>
  <c r="BC77" i="97"/>
  <c r="AS57" i="97"/>
  <c r="BA57" i="97" s="1"/>
  <c r="AT66" i="97"/>
  <c r="BB66" i="97" s="1"/>
  <c r="AS19" i="97"/>
  <c r="BA19" i="97" s="1"/>
  <c r="AS117" i="97"/>
  <c r="BA117" i="97" s="1"/>
  <c r="AS108" i="97"/>
  <c r="BA108" i="97" s="1"/>
  <c r="AT52" i="97"/>
  <c r="BB52" i="97" s="1"/>
  <c r="AR37" i="97"/>
  <c r="AZ37" i="97" s="1"/>
  <c r="AR31" i="97"/>
  <c r="AZ31" i="97" s="1"/>
  <c r="BC31" i="97" s="1"/>
  <c r="AS12" i="97"/>
  <c r="BA12" i="97" s="1"/>
  <c r="BC12" i="97" s="1"/>
  <c r="AT18" i="97"/>
  <c r="BB18" i="97" s="1"/>
  <c r="AR27" i="97"/>
  <c r="AZ27" i="97" s="1"/>
  <c r="AS6" i="97"/>
  <c r="BA6" i="97" s="1"/>
  <c r="AR7" i="97"/>
  <c r="AZ7" i="97" s="1"/>
  <c r="AT7" i="97"/>
  <c r="BB7" i="97" s="1"/>
  <c r="AS9" i="97"/>
  <c r="BA9" i="97" s="1"/>
  <c r="BC9" i="97" s="1"/>
  <c r="AR10" i="97"/>
  <c r="AZ10" i="97" s="1"/>
  <c r="AS13" i="97"/>
  <c r="BA13" i="97" s="1"/>
  <c r="AR14" i="97"/>
  <c r="AZ14" i="97" s="1"/>
  <c r="AT14" i="97"/>
  <c r="BB14" i="97" s="1"/>
  <c r="AR18" i="97"/>
  <c r="AZ18" i="97" s="1"/>
  <c r="AT103" i="97"/>
  <c r="BB103" i="97" s="1"/>
  <c r="AT20" i="97"/>
  <c r="BB20" i="97" s="1"/>
  <c r="AT21" i="97"/>
  <c r="BB21" i="97" s="1"/>
  <c r="AT23" i="97"/>
  <c r="BB23" i="97" s="1"/>
  <c r="AS27" i="97"/>
  <c r="BA27" i="97" s="1"/>
  <c r="AR28" i="97"/>
  <c r="AZ28" i="97" s="1"/>
  <c r="AT28" i="97"/>
  <c r="BB28" i="97" s="1"/>
  <c r="AR29" i="97"/>
  <c r="AZ29" i="97" s="1"/>
  <c r="AT29" i="97"/>
  <c r="BB29" i="97" s="1"/>
  <c r="AT106" i="97"/>
  <c r="BB106" i="97" s="1"/>
  <c r="AR40" i="97"/>
  <c r="AZ40" i="97" s="1"/>
  <c r="AR41" i="97"/>
  <c r="AZ41" i="97" s="1"/>
  <c r="AR42" i="97"/>
  <c r="AZ42" i="97" s="1"/>
  <c r="AR46" i="97"/>
  <c r="AZ46" i="97" s="1"/>
  <c r="AS46" i="97"/>
  <c r="BA46" i="97" s="1"/>
  <c r="AT47" i="97"/>
  <c r="BB47" i="97" s="1"/>
  <c r="AT50" i="97"/>
  <c r="BB50" i="97" s="1"/>
  <c r="AR111" i="97"/>
  <c r="AZ111" i="97" s="1"/>
  <c r="AT111" i="97"/>
  <c r="BB111" i="97" s="1"/>
  <c r="AR54" i="97"/>
  <c r="AZ54" i="97" s="1"/>
  <c r="AT58" i="97"/>
  <c r="BB58" i="97" s="1"/>
  <c r="AS62" i="97"/>
  <c r="BA62" i="97" s="1"/>
  <c r="AR64" i="97"/>
  <c r="AZ64" i="97" s="1"/>
  <c r="AR70" i="97"/>
  <c r="AZ70" i="97" s="1"/>
  <c r="AT74" i="97"/>
  <c r="BB74" i="97" s="1"/>
  <c r="AS118" i="97"/>
  <c r="BA118" i="97" s="1"/>
  <c r="AT79" i="97"/>
  <c r="BB79" i="97" s="1"/>
  <c r="AT81" i="97"/>
  <c r="BB81" i="97" s="1"/>
  <c r="AS124" i="97"/>
  <c r="BA124" i="97" s="1"/>
  <c r="AS121" i="97"/>
  <c r="BA121" i="97" s="1"/>
  <c r="AS68" i="97"/>
  <c r="BA68" i="97" s="1"/>
  <c r="AS110" i="97"/>
  <c r="BA110" i="97" s="1"/>
  <c r="AR15" i="97"/>
  <c r="AZ15" i="97" s="1"/>
  <c r="AR109" i="97"/>
  <c r="AZ109" i="97" s="1"/>
  <c r="AT35" i="97"/>
  <c r="BB35" i="97" s="1"/>
  <c r="AS56" i="97"/>
  <c r="BA56" i="97" s="1"/>
  <c r="AS30" i="97"/>
  <c r="BA30" i="97" s="1"/>
  <c r="AR8" i="97"/>
  <c r="AZ8" i="97" s="1"/>
  <c r="AS102" i="97"/>
  <c r="BA102" i="97" s="1"/>
  <c r="AT10" i="97"/>
  <c r="BB10" i="97" s="1"/>
  <c r="AT15" i="97"/>
  <c r="BB15" i="97" s="1"/>
  <c r="AS16" i="97"/>
  <c r="BA16" i="97" s="1"/>
  <c r="AR17" i="97"/>
  <c r="AZ17" i="97" s="1"/>
  <c r="AR19" i="97"/>
  <c r="AZ19" i="97" s="1"/>
  <c r="BC19" i="97" s="1"/>
  <c r="AR23" i="97"/>
  <c r="AZ23" i="97" s="1"/>
  <c r="AT25" i="97"/>
  <c r="BB25" i="97" s="1"/>
  <c r="AT104" i="97"/>
  <c r="BB104" i="97" s="1"/>
  <c r="AT105" i="97"/>
  <c r="BB105" i="97" s="1"/>
  <c r="AS105" i="97"/>
  <c r="BA105" i="97" s="1"/>
  <c r="AR30" i="97"/>
  <c r="AZ30" i="97" s="1"/>
  <c r="AS32" i="97"/>
  <c r="BA32" i="97" s="1"/>
  <c r="AS35" i="97"/>
  <c r="BA35" i="97" s="1"/>
  <c r="AS37" i="97"/>
  <c r="BA37" i="97" s="1"/>
  <c r="AR108" i="97"/>
  <c r="AZ108" i="97" s="1"/>
  <c r="AS109" i="97"/>
  <c r="BA109" i="97" s="1"/>
  <c r="AT41" i="97"/>
  <c r="BB41" i="97" s="1"/>
  <c r="AT45" i="97"/>
  <c r="BB45" i="97" s="1"/>
  <c r="AS45" i="97"/>
  <c r="BA45" i="97" s="1"/>
  <c r="AR110" i="97"/>
  <c r="AZ110" i="97" s="1"/>
  <c r="AT110" i="97"/>
  <c r="BB110" i="97" s="1"/>
  <c r="AR49" i="97"/>
  <c r="AZ49" i="97" s="1"/>
  <c r="AR51" i="97"/>
  <c r="AZ51" i="97" s="1"/>
  <c r="AT51" i="97"/>
  <c r="BB51" i="97" s="1"/>
  <c r="AS51" i="97"/>
  <c r="BA51" i="97" s="1"/>
  <c r="AT57" i="97"/>
  <c r="BB57" i="97" s="1"/>
  <c r="AT59" i="97"/>
  <c r="BB59" i="97" s="1"/>
  <c r="AR60" i="97"/>
  <c r="AZ60" i="97" s="1"/>
  <c r="AT64" i="97"/>
  <c r="BB64" i="97" s="1"/>
  <c r="AR117" i="97"/>
  <c r="AZ117" i="97" s="1"/>
  <c r="AT71" i="97"/>
  <c r="BB71" i="97" s="1"/>
  <c r="AS74" i="97"/>
  <c r="BA74" i="97" s="1"/>
  <c r="AR118" i="97"/>
  <c r="AZ118" i="97" s="1"/>
  <c r="AR79" i="97"/>
  <c r="AZ79" i="97" s="1"/>
  <c r="AR81" i="97"/>
  <c r="AZ81" i="97" s="1"/>
  <c r="AR121" i="97"/>
  <c r="AZ121" i="97" s="1"/>
  <c r="AT83" i="97"/>
  <c r="BB83" i="97" s="1"/>
  <c r="AR84" i="97"/>
  <c r="AZ84" i="97" s="1"/>
  <c r="AS85" i="97"/>
  <c r="BA85" i="97" s="1"/>
  <c r="AT85" i="97"/>
  <c r="BB85" i="97" s="1"/>
  <c r="AR92" i="97"/>
  <c r="AZ92" i="97" s="1"/>
  <c r="AR96" i="97"/>
  <c r="AZ96" i="97" s="1"/>
  <c r="AR125" i="97"/>
  <c r="AZ125" i="97" s="1"/>
  <c r="AR101" i="97"/>
  <c r="AZ101" i="97" s="1"/>
  <c r="N4" i="92"/>
  <c r="O4" i="92"/>
  <c r="N5" i="6"/>
  <c r="Q55" i="41"/>
  <c r="Q15" i="41"/>
  <c r="Q59" i="41"/>
  <c r="Q50" i="41"/>
  <c r="Q58" i="41"/>
  <c r="Q82" i="41"/>
  <c r="Q98" i="41"/>
  <c r="Q106" i="41"/>
  <c r="Q114" i="41"/>
  <c r="Q122" i="41"/>
  <c r="U78" i="41"/>
  <c r="I120" i="40"/>
  <c r="I98" i="40"/>
  <c r="M41" i="41"/>
  <c r="U80" i="41"/>
  <c r="M4" i="41"/>
  <c r="Y5" i="41"/>
  <c r="I6" i="41"/>
  <c r="U7" i="41"/>
  <c r="E8" i="41"/>
  <c r="Q9" i="41"/>
  <c r="I10" i="41"/>
  <c r="U11" i="41"/>
  <c r="E12" i="41"/>
  <c r="M12" i="41"/>
  <c r="Y13" i="41"/>
  <c r="I14" i="41"/>
  <c r="U15" i="41"/>
  <c r="Q17" i="41"/>
  <c r="Y17" i="41"/>
  <c r="E20" i="41"/>
  <c r="Y21" i="41"/>
  <c r="I22" i="41"/>
  <c r="M24" i="41"/>
  <c r="Q25" i="41"/>
  <c r="U27" i="41"/>
  <c r="E28" i="41"/>
  <c r="M28" i="41"/>
  <c r="Q29" i="41"/>
  <c r="I30" i="41"/>
  <c r="U31" i="41"/>
  <c r="M32" i="41"/>
  <c r="Q33" i="41"/>
  <c r="Y33" i="41"/>
  <c r="I34" i="41"/>
  <c r="U35" i="41"/>
  <c r="Q37" i="41"/>
  <c r="Y37" i="41"/>
  <c r="U39" i="41"/>
  <c r="M40" i="41"/>
  <c r="Q41" i="41"/>
  <c r="Y41" i="41"/>
  <c r="I42" i="41"/>
  <c r="U43" i="41"/>
  <c r="I46" i="41"/>
  <c r="U47" i="41"/>
  <c r="E48" i="41"/>
  <c r="M48" i="41"/>
  <c r="Y49" i="41"/>
  <c r="I50" i="41"/>
  <c r="E52" i="41"/>
  <c r="Q53" i="41"/>
  <c r="Y53" i="41"/>
  <c r="I54" i="41"/>
  <c r="U55" i="41"/>
  <c r="E56" i="41"/>
  <c r="Q57" i="41"/>
  <c r="Y57" i="41"/>
  <c r="I58" i="41"/>
  <c r="U59" i="41"/>
  <c r="M60" i="41"/>
  <c r="Q61" i="41"/>
  <c r="Y61" i="41"/>
  <c r="I62" i="41"/>
  <c r="U63" i="41"/>
  <c r="E64" i="41"/>
  <c r="Y65" i="41"/>
  <c r="U67" i="41"/>
  <c r="E68" i="41"/>
  <c r="M68" i="41"/>
  <c r="Q69" i="41"/>
  <c r="Y69" i="41"/>
  <c r="I70" i="41"/>
  <c r="U71" i="41"/>
  <c r="E72" i="41"/>
  <c r="Y73" i="41"/>
  <c r="I74" i="41"/>
  <c r="U75" i="41"/>
  <c r="E76" i="41"/>
  <c r="Q77" i="41"/>
  <c r="I78" i="41"/>
  <c r="U79" i="41"/>
  <c r="E80" i="41"/>
  <c r="M80" i="41"/>
  <c r="Q81" i="41"/>
  <c r="I82" i="41"/>
  <c r="U83" i="41"/>
  <c r="E84" i="41"/>
  <c r="M84" i="41"/>
  <c r="Q85" i="41"/>
  <c r="Y85" i="41"/>
  <c r="I86" i="41"/>
  <c r="U87" i="41"/>
  <c r="M88" i="41"/>
  <c r="I90" i="41"/>
  <c r="U91" i="41"/>
  <c r="E92" i="41"/>
  <c r="M92" i="41"/>
  <c r="Q93" i="41"/>
  <c r="Y93" i="41"/>
  <c r="I94" i="41"/>
  <c r="U95" i="41"/>
  <c r="E96" i="41"/>
  <c r="M96" i="41"/>
  <c r="Y97" i="41"/>
  <c r="I98" i="41"/>
  <c r="U99" i="41"/>
  <c r="E100" i="41"/>
  <c r="M100" i="41"/>
  <c r="Q101" i="41"/>
  <c r="U103" i="41"/>
  <c r="E104" i="41"/>
  <c r="M104" i="41"/>
  <c r="Y105" i="41"/>
  <c r="I106" i="41"/>
  <c r="U107" i="41"/>
  <c r="E108" i="41"/>
  <c r="M108" i="41"/>
  <c r="Q109" i="41"/>
  <c r="Y109" i="41"/>
  <c r="I110" i="41"/>
  <c r="U111" i="41"/>
  <c r="E112" i="41"/>
  <c r="M112" i="41"/>
  <c r="Y113" i="41"/>
  <c r="I114" i="41"/>
  <c r="U115" i="41"/>
  <c r="M116" i="41"/>
  <c r="Q117" i="41"/>
  <c r="Y117" i="41"/>
  <c r="U119" i="41"/>
  <c r="E120" i="41"/>
  <c r="M120" i="41"/>
  <c r="I122" i="41"/>
  <c r="U123" i="41"/>
  <c r="U4" i="40"/>
  <c r="U5" i="40"/>
  <c r="M37" i="40"/>
  <c r="U37" i="40"/>
  <c r="E38" i="40"/>
  <c r="U110" i="40"/>
  <c r="U119" i="40"/>
  <c r="E120" i="40"/>
  <c r="M123" i="40"/>
  <c r="U123" i="40"/>
  <c r="Y95" i="41"/>
  <c r="Y123" i="41"/>
  <c r="Y27" i="41"/>
  <c r="E118" i="41"/>
  <c r="U23" i="41"/>
  <c r="Q54" i="41"/>
  <c r="Y29" i="39"/>
  <c r="Y46" i="41"/>
  <c r="U52" i="41"/>
  <c r="E57" i="41"/>
  <c r="I59" i="41"/>
  <c r="Y74" i="41"/>
  <c r="I91" i="41"/>
  <c r="E113" i="41"/>
  <c r="I115" i="41"/>
  <c r="E121" i="41"/>
  <c r="M16" i="41"/>
  <c r="I27" i="39"/>
  <c r="Q62" i="41"/>
  <c r="I11" i="39"/>
  <c r="Y22" i="39"/>
  <c r="Y25" i="39"/>
  <c r="I29" i="39"/>
  <c r="Y89" i="39"/>
  <c r="Y95" i="39"/>
  <c r="Y119" i="39"/>
  <c r="Q73" i="41"/>
  <c r="Q119" i="41"/>
  <c r="Q87" i="41"/>
  <c r="Q4" i="41"/>
  <c r="Y4" i="41"/>
  <c r="U5" i="41"/>
  <c r="M6" i="41"/>
  <c r="U6" i="41"/>
  <c r="M7" i="41"/>
  <c r="Q8" i="41"/>
  <c r="Y8" i="41"/>
  <c r="U9" i="41"/>
  <c r="E10" i="41"/>
  <c r="E11" i="41"/>
  <c r="Y11" i="41"/>
  <c r="E14" i="41"/>
  <c r="E15" i="41"/>
  <c r="Q16" i="41"/>
  <c r="U18" i="41"/>
  <c r="E19" i="41"/>
  <c r="Q24" i="41"/>
  <c r="Q32" i="41"/>
  <c r="Q40" i="41"/>
  <c r="Y43" i="41"/>
  <c r="Q48" i="41"/>
  <c r="Q56" i="41"/>
  <c r="Q64" i="41"/>
  <c r="Y67" i="41"/>
  <c r="Q72" i="41"/>
  <c r="U73" i="41"/>
  <c r="Q80" i="41"/>
  <c r="I84" i="41"/>
  <c r="Q88" i="41"/>
  <c r="Q96" i="41"/>
  <c r="E98" i="41"/>
  <c r="Y103" i="41"/>
  <c r="I104" i="41"/>
  <c r="Q112" i="41"/>
  <c r="E114" i="41"/>
  <c r="Q120" i="41"/>
  <c r="E122" i="41"/>
  <c r="M122" i="41"/>
  <c r="Q89" i="41"/>
  <c r="Q121" i="41"/>
  <c r="M20" i="41"/>
  <c r="I26" i="41"/>
  <c r="E36" i="41"/>
  <c r="E40" i="41"/>
  <c r="E44" i="41"/>
  <c r="M76" i="41"/>
  <c r="Y101" i="41"/>
  <c r="Q45" i="41"/>
  <c r="Q21" i="41"/>
  <c r="Y68" i="40"/>
  <c r="I69" i="40"/>
  <c r="Q69" i="40"/>
  <c r="Y69" i="40"/>
  <c r="I70" i="40"/>
  <c r="Q70" i="40"/>
  <c r="Y70" i="40"/>
  <c r="E75" i="40"/>
  <c r="U75" i="40"/>
  <c r="E76" i="40"/>
  <c r="Q79" i="40"/>
  <c r="Y79" i="40"/>
  <c r="I80" i="40"/>
  <c r="Q80" i="40"/>
  <c r="Y80" i="40"/>
  <c r="I81" i="40"/>
  <c r="Q81" i="40"/>
  <c r="Y81" i="40"/>
  <c r="E86" i="40"/>
  <c r="Q98" i="40"/>
  <c r="Y98" i="40"/>
  <c r="I99" i="40"/>
  <c r="Q99" i="40"/>
  <c r="Y99" i="40"/>
  <c r="I100" i="40"/>
  <c r="Y100" i="40"/>
  <c r="I101" i="40"/>
  <c r="Q101" i="40"/>
  <c r="Y101" i="40"/>
  <c r="M106" i="40"/>
  <c r="M107" i="40"/>
  <c r="I111" i="40"/>
  <c r="Q111" i="40"/>
  <c r="Y111" i="40"/>
  <c r="Q116" i="40"/>
  <c r="Y116" i="40"/>
  <c r="U118" i="40"/>
  <c r="Q120" i="40"/>
  <c r="Y120" i="40"/>
  <c r="M122" i="40"/>
  <c r="U122" i="40"/>
  <c r="Q5" i="41"/>
  <c r="Q13" i="41"/>
  <c r="E24" i="41"/>
  <c r="Y25" i="41"/>
  <c r="Q26" i="41"/>
  <c r="Q66" i="41"/>
  <c r="Q70" i="41"/>
  <c r="Q74" i="41"/>
  <c r="Q86" i="41"/>
  <c r="Q90" i="41"/>
  <c r="Q94" i="41"/>
  <c r="Q102" i="41"/>
  <c r="Q5" i="39"/>
  <c r="Q6" i="39"/>
  <c r="I20" i="39"/>
  <c r="Y20" i="39"/>
  <c r="I30" i="39"/>
  <c r="Q37" i="39"/>
  <c r="Y52" i="39"/>
  <c r="Y55" i="39"/>
  <c r="Y69" i="39"/>
  <c r="I85" i="39"/>
  <c r="Q89" i="39"/>
  <c r="I92" i="39"/>
  <c r="I93" i="39"/>
  <c r="Q98" i="39"/>
  <c r="Y100" i="39"/>
  <c r="I105" i="39"/>
  <c r="Y107" i="39"/>
  <c r="I108" i="39"/>
  <c r="I109" i="39"/>
  <c r="I111" i="39"/>
  <c r="Q113" i="39"/>
  <c r="I114" i="39"/>
  <c r="I115" i="39"/>
  <c r="Y118" i="39"/>
  <c r="U4" i="41"/>
  <c r="E5" i="41"/>
  <c r="M5" i="41"/>
  <c r="Q6" i="41"/>
  <c r="I7" i="41"/>
  <c r="U8" i="41"/>
  <c r="E9" i="41"/>
  <c r="M9" i="41"/>
  <c r="Y10" i="41"/>
  <c r="I11" i="41"/>
  <c r="U12" i="41"/>
  <c r="M13" i="41"/>
  <c r="Q14" i="41"/>
  <c r="Y14" i="41"/>
  <c r="I15" i="41"/>
  <c r="U16" i="41"/>
  <c r="E17" i="41"/>
  <c r="M17" i="41"/>
  <c r="Q18" i="41"/>
  <c r="Y18" i="41"/>
  <c r="I19" i="41"/>
  <c r="U21" i="41"/>
  <c r="E22" i="41"/>
  <c r="M22" i="41"/>
  <c r="Q23" i="41"/>
  <c r="Y23" i="41"/>
  <c r="I24" i="41"/>
  <c r="U25" i="41"/>
  <c r="E26" i="41"/>
  <c r="M26" i="41"/>
  <c r="I28" i="41"/>
  <c r="U29" i="41"/>
  <c r="E30" i="41"/>
  <c r="M30" i="41"/>
  <c r="Q31" i="41"/>
  <c r="Y31" i="41"/>
  <c r="I32" i="41"/>
  <c r="U33" i="41"/>
  <c r="E34" i="41"/>
  <c r="M34" i="41"/>
  <c r="Q35" i="41"/>
  <c r="Y35" i="41"/>
  <c r="I36" i="41"/>
  <c r="U37" i="41"/>
  <c r="E38" i="41"/>
  <c r="M38" i="41"/>
  <c r="Q39" i="41"/>
  <c r="Y39" i="41"/>
  <c r="I40" i="41"/>
  <c r="U41" i="41"/>
  <c r="E42" i="41"/>
  <c r="M42" i="41"/>
  <c r="Q43" i="41"/>
  <c r="I44" i="41"/>
  <c r="U45" i="41"/>
  <c r="E46" i="41"/>
  <c r="M46" i="41"/>
  <c r="Q47" i="41"/>
  <c r="Y47" i="41"/>
  <c r="I48" i="41"/>
  <c r="U49" i="41"/>
  <c r="E50" i="41"/>
  <c r="M50" i="41"/>
  <c r="Q51" i="41"/>
  <c r="Y51" i="41"/>
  <c r="U53" i="41"/>
  <c r="E54" i="41"/>
  <c r="M54" i="41"/>
  <c r="Y55" i="41"/>
  <c r="I56" i="41"/>
  <c r="U57" i="41"/>
  <c r="M58" i="41"/>
  <c r="Y59" i="41"/>
  <c r="I60" i="41"/>
  <c r="U61" i="41"/>
  <c r="Q63" i="41"/>
  <c r="I64" i="41"/>
  <c r="U65" i="41"/>
  <c r="E66" i="41"/>
  <c r="M66" i="41"/>
  <c r="Q67" i="41"/>
  <c r="I68" i="41"/>
  <c r="U69" i="41"/>
  <c r="E70" i="41"/>
  <c r="M70" i="41"/>
  <c r="Q71" i="41"/>
  <c r="Y71" i="41"/>
  <c r="I72" i="41"/>
  <c r="E74" i="41"/>
  <c r="M74" i="41"/>
  <c r="Q75" i="41"/>
  <c r="Y75" i="41"/>
  <c r="I76" i="41"/>
  <c r="U77" i="41"/>
  <c r="E78" i="41"/>
  <c r="M78" i="41"/>
  <c r="Y79" i="41"/>
  <c r="U81" i="41"/>
  <c r="E82" i="41"/>
  <c r="M82" i="41"/>
  <c r="Q83" i="41"/>
  <c r="Y83" i="41"/>
  <c r="E86" i="41"/>
  <c r="M86" i="41"/>
  <c r="U89" i="41"/>
  <c r="E90" i="41"/>
  <c r="M90" i="41"/>
  <c r="Y91" i="41"/>
  <c r="I92" i="41"/>
  <c r="Q95" i="41"/>
  <c r="I96" i="41"/>
  <c r="U97" i="41"/>
  <c r="Q99" i="41"/>
  <c r="Y99" i="41"/>
  <c r="U101" i="41"/>
  <c r="M102" i="41"/>
  <c r="Q103" i="41"/>
  <c r="M106" i="41"/>
  <c r="Q107" i="41"/>
  <c r="Y107" i="41"/>
  <c r="I108" i="41"/>
  <c r="U109" i="41"/>
  <c r="Q111" i="41"/>
  <c r="I112" i="41"/>
  <c r="U113" i="41"/>
  <c r="Q115" i="41"/>
  <c r="Y115" i="41"/>
  <c r="I116" i="41"/>
  <c r="Y119" i="41"/>
  <c r="E6" i="41"/>
  <c r="Y7" i="41"/>
  <c r="I8" i="41"/>
  <c r="M10" i="41"/>
  <c r="Q11" i="41"/>
  <c r="I12" i="41"/>
  <c r="U13" i="41"/>
  <c r="M14" i="41"/>
  <c r="Y15" i="41"/>
  <c r="I16" i="41"/>
  <c r="E18" i="41"/>
  <c r="I20" i="41"/>
  <c r="Q20" i="41"/>
  <c r="I21" i="41"/>
  <c r="U22" i="41"/>
  <c r="E23" i="41"/>
  <c r="I25" i="41"/>
  <c r="U26" i="41"/>
  <c r="E27" i="41"/>
  <c r="M27" i="41"/>
  <c r="Q28" i="41"/>
  <c r="Y28" i="41"/>
  <c r="E31" i="41"/>
  <c r="M31" i="41"/>
  <c r="Y32" i="41"/>
  <c r="I33" i="41"/>
  <c r="E35" i="41"/>
  <c r="Q36" i="41"/>
  <c r="Y36" i="41"/>
  <c r="I37" i="41"/>
  <c r="E39" i="41"/>
  <c r="M39" i="41"/>
  <c r="U42" i="41"/>
  <c r="E43" i="41"/>
  <c r="M43" i="41"/>
  <c r="Y44" i="41"/>
  <c r="I45" i="41"/>
  <c r="U46" i="41"/>
  <c r="E47" i="41"/>
  <c r="M47" i="41"/>
  <c r="Y48" i="41"/>
  <c r="I49" i="41"/>
  <c r="U50" i="41"/>
  <c r="E51" i="41"/>
  <c r="M51" i="41"/>
  <c r="Q52" i="41"/>
  <c r="Y52" i="41"/>
  <c r="I53" i="41"/>
  <c r="U54" i="41"/>
  <c r="E55" i="41"/>
  <c r="M55" i="41"/>
  <c r="Y56" i="41"/>
  <c r="I57" i="41"/>
  <c r="U58" i="41"/>
  <c r="E59" i="41"/>
  <c r="M59" i="41"/>
  <c r="Q60" i="41"/>
  <c r="Y60" i="41"/>
  <c r="I61" i="41"/>
  <c r="U62" i="41"/>
  <c r="E63" i="41"/>
  <c r="M63" i="41"/>
  <c r="Y64" i="41"/>
  <c r="U66" i="41"/>
  <c r="E67" i="41"/>
  <c r="M67" i="41"/>
  <c r="Y68" i="41"/>
  <c r="U70" i="41"/>
  <c r="E71" i="41"/>
  <c r="M71" i="41"/>
  <c r="Y72" i="41"/>
  <c r="I73" i="41"/>
  <c r="U74" i="41"/>
  <c r="E75" i="41"/>
  <c r="M75" i="41"/>
  <c r="Y76" i="41"/>
  <c r="I77" i="41"/>
  <c r="E79" i="41"/>
  <c r="M79" i="41"/>
  <c r="Y80" i="41"/>
  <c r="I81" i="41"/>
  <c r="U82" i="41"/>
  <c r="E83" i="41"/>
  <c r="M83" i="41"/>
  <c r="Y84" i="41"/>
  <c r="I85" i="41"/>
  <c r="U86" i="41"/>
  <c r="E87" i="41"/>
  <c r="M87" i="41"/>
  <c r="Y88" i="41"/>
  <c r="I89" i="41"/>
  <c r="U90" i="41"/>
  <c r="E91" i="41"/>
  <c r="M91" i="41"/>
  <c r="Q92" i="41"/>
  <c r="Y92" i="41"/>
  <c r="I93" i="41"/>
  <c r="U94" i="41"/>
  <c r="E95" i="41"/>
  <c r="M95" i="41"/>
  <c r="Y96" i="41"/>
  <c r="I97" i="41"/>
  <c r="U98" i="41"/>
  <c r="E99" i="41"/>
  <c r="M99" i="41"/>
  <c r="Y100" i="41"/>
  <c r="I101" i="41"/>
  <c r="U102" i="41"/>
  <c r="E103" i="41"/>
  <c r="M103" i="41"/>
  <c r="Y104" i="41"/>
  <c r="I105" i="41"/>
  <c r="U106" i="41"/>
  <c r="E107" i="41"/>
  <c r="M107" i="41"/>
  <c r="Y108" i="41"/>
  <c r="I109" i="41"/>
  <c r="U110" i="41"/>
  <c r="E111" i="41"/>
  <c r="M111" i="41"/>
  <c r="Y112" i="41"/>
  <c r="I113" i="41"/>
  <c r="U114" i="41"/>
  <c r="E115" i="41"/>
  <c r="M115" i="41"/>
  <c r="Q116" i="41"/>
  <c r="Y116" i="41"/>
  <c r="I117" i="41"/>
  <c r="U118" i="41"/>
  <c r="E119" i="41"/>
  <c r="M119" i="41"/>
  <c r="Y120" i="41"/>
  <c r="I121" i="41"/>
  <c r="U122" i="41"/>
  <c r="E123" i="41"/>
  <c r="M123" i="41"/>
  <c r="I30" i="40"/>
  <c r="I37" i="40"/>
  <c r="I110" i="40"/>
  <c r="I14" i="40"/>
  <c r="I21" i="40"/>
  <c r="I77" i="40"/>
  <c r="I4" i="40"/>
  <c r="Q4" i="40"/>
  <c r="Y4" i="40"/>
  <c r="I5" i="40"/>
  <c r="Q5" i="40"/>
  <c r="Y5" i="40"/>
  <c r="M8" i="40"/>
  <c r="Q14" i="40"/>
  <c r="Y14" i="40"/>
  <c r="Q21" i="40"/>
  <c r="Y21" i="40"/>
  <c r="E25" i="40"/>
  <c r="U26" i="40"/>
  <c r="Q30" i="40"/>
  <c r="Y30" i="40"/>
  <c r="Q37" i="40"/>
  <c r="Y37" i="40"/>
  <c r="I38" i="40"/>
  <c r="Q38" i="40"/>
  <c r="Y38" i="40"/>
  <c r="Q46" i="40"/>
  <c r="Y46" i="40"/>
  <c r="Q53" i="40"/>
  <c r="Y53" i="40"/>
  <c r="I54" i="40"/>
  <c r="Q54" i="40"/>
  <c r="Y54" i="40"/>
  <c r="I55" i="40"/>
  <c r="Q55" i="40"/>
  <c r="Y55" i="40"/>
  <c r="I56" i="40"/>
  <c r="Q56" i="40"/>
  <c r="Y56" i="40"/>
  <c r="E59" i="40"/>
  <c r="M59" i="40"/>
  <c r="I63" i="40"/>
  <c r="Q63" i="40"/>
  <c r="Y63" i="40"/>
  <c r="I64" i="40"/>
  <c r="Q64" i="40"/>
  <c r="Y64" i="40"/>
  <c r="I65" i="40"/>
  <c r="Q65" i="40"/>
  <c r="Y65" i="40"/>
  <c r="I66" i="40"/>
  <c r="Q66" i="40"/>
  <c r="Y66" i="40"/>
  <c r="I67" i="40"/>
  <c r="Q67" i="40"/>
  <c r="Y67" i="40"/>
  <c r="U72" i="40"/>
  <c r="Q77" i="40"/>
  <c r="Y77" i="40"/>
  <c r="I78" i="40"/>
  <c r="Q78" i="40"/>
  <c r="Y78" i="40"/>
  <c r="Q86" i="40"/>
  <c r="Y86" i="40"/>
  <c r="I87" i="40"/>
  <c r="Q87" i="40"/>
  <c r="Y87" i="40"/>
  <c r="I88" i="40"/>
  <c r="Q88" i="40"/>
  <c r="Y88" i="40"/>
  <c r="I89" i="40"/>
  <c r="Q89" i="40"/>
  <c r="Y89" i="40"/>
  <c r="I90" i="40"/>
  <c r="Q90" i="40"/>
  <c r="Y90" i="40"/>
  <c r="I91" i="40"/>
  <c r="Q91" i="40"/>
  <c r="Y91" i="40"/>
  <c r="I92" i="40"/>
  <c r="Q92" i="40"/>
  <c r="Y92" i="40"/>
  <c r="I93" i="40"/>
  <c r="Q93" i="40"/>
  <c r="Y93" i="40"/>
  <c r="I94" i="40"/>
  <c r="Q94" i="40"/>
  <c r="Y94" i="40"/>
  <c r="I95" i="40"/>
  <c r="Q95" i="40"/>
  <c r="Y95" i="40"/>
  <c r="I96" i="40"/>
  <c r="Q96" i="40"/>
  <c r="Y96" i="40"/>
  <c r="I97" i="40"/>
  <c r="Q97" i="40"/>
  <c r="Y97" i="40"/>
  <c r="U102" i="40"/>
  <c r="E103" i="40"/>
  <c r="E104" i="40"/>
  <c r="M104" i="40"/>
  <c r="Q110" i="40"/>
  <c r="Y110" i="40"/>
  <c r="I115" i="40"/>
  <c r="Q115" i="40"/>
  <c r="Y115" i="40"/>
  <c r="I119" i="40"/>
  <c r="Q119" i="40"/>
  <c r="Y119" i="40"/>
  <c r="I123" i="40"/>
  <c r="Q123" i="40"/>
  <c r="Y123" i="40"/>
  <c r="E15" i="40"/>
  <c r="Q7" i="41"/>
  <c r="E4" i="39"/>
  <c r="E16" i="41"/>
  <c r="I18" i="41"/>
  <c r="U19" i="41"/>
  <c r="U20" i="41"/>
  <c r="I27" i="40"/>
  <c r="I43" i="40"/>
  <c r="I49" i="40"/>
  <c r="I71" i="40"/>
  <c r="I4" i="39"/>
  <c r="Q4" i="39"/>
  <c r="Y4" i="39"/>
  <c r="I5" i="39"/>
  <c r="Y5" i="39"/>
  <c r="I6" i="39"/>
  <c r="Y6" i="39"/>
  <c r="I7" i="39"/>
  <c r="Q7" i="39"/>
  <c r="Y7" i="39"/>
  <c r="I8" i="39"/>
  <c r="Q8" i="39"/>
  <c r="Y8" i="39"/>
  <c r="I9" i="39"/>
  <c r="Q9" i="39"/>
  <c r="Y9" i="39"/>
  <c r="I10" i="39"/>
  <c r="Q10" i="39"/>
  <c r="Y10" i="39"/>
  <c r="Q11" i="39"/>
  <c r="Y11" i="39"/>
  <c r="I12" i="39"/>
  <c r="Q12" i="39"/>
  <c r="Y12" i="39"/>
  <c r="I13" i="39"/>
  <c r="Q13" i="39"/>
  <c r="Y13" i="39"/>
  <c r="I14" i="39"/>
  <c r="Q14" i="39"/>
  <c r="Y14" i="39"/>
  <c r="I15" i="39"/>
  <c r="Q15" i="39"/>
  <c r="Y15" i="39"/>
  <c r="I16" i="39"/>
  <c r="Q16" i="39"/>
  <c r="Y16" i="39"/>
  <c r="I17" i="39"/>
  <c r="Q17" i="39"/>
  <c r="Y17" i="39"/>
  <c r="I18" i="39"/>
  <c r="Q18" i="39"/>
  <c r="Y18" i="39"/>
  <c r="I19" i="39"/>
  <c r="Q19" i="39"/>
  <c r="Y19" i="39"/>
  <c r="Q20" i="39"/>
  <c r="I21" i="39"/>
  <c r="Q21" i="39"/>
  <c r="Y21" i="39"/>
  <c r="I22" i="39"/>
  <c r="Q22" i="39"/>
  <c r="I23" i="39"/>
  <c r="Q23" i="39"/>
  <c r="Y23" i="39"/>
  <c r="I24" i="39"/>
  <c r="Q24" i="39"/>
  <c r="Y24" i="39"/>
  <c r="I25" i="39"/>
  <c r="Q25" i="39"/>
  <c r="I26" i="39"/>
  <c r="Q26" i="39"/>
  <c r="Y26" i="39"/>
  <c r="Q27" i="39"/>
  <c r="Y27" i="39"/>
  <c r="I28" i="39"/>
  <c r="Q28" i="39"/>
  <c r="Y28" i="39"/>
  <c r="Q29" i="39"/>
  <c r="Q30" i="39"/>
  <c r="Y30" i="39"/>
  <c r="I31" i="39"/>
  <c r="Y31" i="39"/>
  <c r="I32" i="39"/>
  <c r="I34" i="39"/>
  <c r="Q35" i="39"/>
  <c r="I39" i="39"/>
  <c r="I41" i="39"/>
  <c r="Q41" i="39"/>
  <c r="Y42" i="39"/>
  <c r="Q43" i="39"/>
  <c r="I45" i="39"/>
  <c r="Y47" i="39"/>
  <c r="I48" i="39"/>
  <c r="Y48" i="39"/>
  <c r="Q51" i="39"/>
  <c r="I52" i="39"/>
  <c r="Y53" i="39"/>
  <c r="I54" i="39"/>
  <c r="Y54" i="39"/>
  <c r="Q55" i="39"/>
  <c r="Q56" i="39"/>
  <c r="I58" i="39"/>
  <c r="Q59" i="39"/>
  <c r="Q60" i="39"/>
  <c r="Y62" i="39"/>
  <c r="I65" i="39"/>
  <c r="Q68" i="39"/>
  <c r="Q69" i="39"/>
  <c r="Q74" i="39"/>
  <c r="Y74" i="39"/>
  <c r="Y76" i="39"/>
  <c r="Q79" i="39"/>
  <c r="I83" i="39"/>
  <c r="Y83" i="39"/>
  <c r="Y87" i="39"/>
  <c r="I88" i="39"/>
  <c r="Y88" i="39"/>
  <c r="I89" i="39"/>
  <c r="I90" i="39"/>
  <c r="Q90" i="39"/>
  <c r="Y90" i="39"/>
  <c r="I91" i="39"/>
  <c r="Q91" i="39"/>
  <c r="Y91" i="39"/>
  <c r="Q92" i="39"/>
  <c r="Y92" i="39"/>
  <c r="Q93" i="39"/>
  <c r="Y93" i="39"/>
  <c r="I94" i="39"/>
  <c r="Q94" i="39"/>
  <c r="Y94" i="39"/>
  <c r="I95" i="39"/>
  <c r="Q95" i="39"/>
  <c r="I96" i="39"/>
  <c r="Q96" i="39"/>
  <c r="Y96" i="39"/>
  <c r="I97" i="39"/>
  <c r="Q97" i="39"/>
  <c r="Y97" i="39"/>
  <c r="I98" i="39"/>
  <c r="Y98" i="39"/>
  <c r="I99" i="39"/>
  <c r="Q99" i="39"/>
  <c r="Y99" i="39"/>
  <c r="I100" i="39"/>
  <c r="Q100" i="39"/>
  <c r="I101" i="39"/>
  <c r="Q101" i="39"/>
  <c r="Y101" i="39"/>
  <c r="I102" i="39"/>
  <c r="Q102" i="39"/>
  <c r="Y102" i="39"/>
  <c r="I103" i="39"/>
  <c r="Q103" i="39"/>
  <c r="Y103" i="39"/>
  <c r="I104" i="39"/>
  <c r="Q104" i="39"/>
  <c r="Y104" i="39"/>
  <c r="I118" i="41"/>
  <c r="Q104" i="41"/>
  <c r="Q113" i="41"/>
  <c r="Q76" i="41"/>
  <c r="Q84" i="41"/>
  <c r="Q108" i="41"/>
  <c r="E8" i="39"/>
  <c r="M8" i="39"/>
  <c r="M9" i="39"/>
  <c r="E11" i="39"/>
  <c r="M12" i="39"/>
  <c r="U12" i="39"/>
  <c r="E13" i="39"/>
  <c r="U14" i="39"/>
  <c r="U18" i="39"/>
  <c r="E20" i="39"/>
  <c r="U23" i="39"/>
  <c r="E26" i="39"/>
  <c r="M28" i="39"/>
  <c r="U28" i="39"/>
  <c r="M30" i="39"/>
  <c r="M31" i="39"/>
  <c r="M32" i="39"/>
  <c r="M33" i="39"/>
  <c r="U34" i="39"/>
  <c r="M35" i="39"/>
  <c r="U35" i="39"/>
  <c r="E36" i="39"/>
  <c r="U37" i="39"/>
  <c r="E41" i="39"/>
  <c r="M42" i="39"/>
  <c r="E43" i="39"/>
  <c r="U43" i="39"/>
  <c r="E44" i="39"/>
  <c r="E45" i="39"/>
  <c r="M45" i="39"/>
  <c r="U45" i="39"/>
  <c r="E46" i="39"/>
  <c r="U48" i="39"/>
  <c r="E49" i="39"/>
  <c r="M49" i="39"/>
  <c r="U49" i="39"/>
  <c r="M50" i="39"/>
  <c r="M51" i="39"/>
  <c r="U51" i="39"/>
  <c r="M52" i="39"/>
  <c r="E53" i="39"/>
  <c r="M53" i="39"/>
  <c r="U54" i="39"/>
  <c r="E56" i="39"/>
  <c r="E57" i="39"/>
  <c r="E59" i="39"/>
  <c r="M60" i="39"/>
  <c r="U61" i="39"/>
  <c r="E63" i="39"/>
  <c r="M63" i="39"/>
  <c r="U63" i="39"/>
  <c r="M65" i="39"/>
  <c r="U65" i="39"/>
  <c r="E66" i="39"/>
  <c r="M66" i="39"/>
  <c r="M68" i="39"/>
  <c r="U68" i="39"/>
  <c r="U69" i="39"/>
  <c r="M70" i="39"/>
  <c r="U71" i="39"/>
  <c r="M72" i="39"/>
  <c r="E74" i="39"/>
  <c r="M75" i="39"/>
  <c r="M76" i="39"/>
  <c r="M78" i="39"/>
  <c r="E79" i="39"/>
  <c r="U79" i="39"/>
  <c r="E80" i="39"/>
  <c r="M81" i="39"/>
  <c r="U81" i="39"/>
  <c r="E83" i="39"/>
  <c r="M85" i="39"/>
  <c r="U85" i="39"/>
  <c r="E86" i="39"/>
  <c r="M87" i="39"/>
  <c r="E88" i="39"/>
  <c r="I65" i="41"/>
  <c r="U5" i="39"/>
  <c r="M6" i="39"/>
  <c r="U9" i="39"/>
  <c r="M11" i="39"/>
  <c r="E12" i="39"/>
  <c r="M14" i="39"/>
  <c r="M18" i="39"/>
  <c r="E21" i="39"/>
  <c r="E23" i="39"/>
  <c r="U29" i="39"/>
  <c r="E32" i="39"/>
  <c r="U32" i="39"/>
  <c r="E33" i="39"/>
  <c r="M36" i="39"/>
  <c r="E37" i="39"/>
  <c r="M37" i="39"/>
  <c r="M38" i="39"/>
  <c r="E39" i="39"/>
  <c r="M39" i="39"/>
  <c r="U39" i="39"/>
  <c r="E40" i="39"/>
  <c r="M40" i="39"/>
  <c r="M43" i="39"/>
  <c r="M44" i="39"/>
  <c r="U44" i="39"/>
  <c r="M46" i="39"/>
  <c r="U46" i="39"/>
  <c r="E47" i="39"/>
  <c r="M47" i="39"/>
  <c r="U53" i="39"/>
  <c r="E54" i="39"/>
  <c r="M54" i="39"/>
  <c r="M56" i="39"/>
  <c r="U56" i="39"/>
  <c r="M58" i="39"/>
  <c r="U60" i="39"/>
  <c r="E61" i="39"/>
  <c r="M62" i="39"/>
  <c r="E65" i="39"/>
  <c r="M67" i="39"/>
  <c r="E68" i="39"/>
  <c r="E69" i="39"/>
  <c r="U70" i="39"/>
  <c r="M71" i="39"/>
  <c r="E72" i="39"/>
  <c r="M74" i="39"/>
  <c r="U74" i="39"/>
  <c r="E76" i="39"/>
  <c r="U76" i="39"/>
  <c r="U77" i="39"/>
  <c r="E78" i="39"/>
  <c r="M80" i="39"/>
  <c r="M83" i="39"/>
  <c r="U83" i="39"/>
  <c r="E84" i="39"/>
  <c r="M84" i="39"/>
  <c r="U84" i="39"/>
  <c r="E87" i="39"/>
  <c r="U87" i="39"/>
  <c r="I6" i="40"/>
  <c r="I112" i="40"/>
  <c r="I82" i="40"/>
  <c r="I121" i="40"/>
  <c r="Q49" i="41"/>
  <c r="Q44" i="41"/>
  <c r="U88" i="39"/>
  <c r="M89" i="39"/>
  <c r="E90" i="39"/>
  <c r="U91" i="39"/>
  <c r="M93" i="39"/>
  <c r="U93" i="39"/>
  <c r="M94" i="39"/>
  <c r="E95" i="39"/>
  <c r="E96" i="39"/>
  <c r="M96" i="39"/>
  <c r="U96" i="39"/>
  <c r="M97" i="39"/>
  <c r="U97" i="39"/>
  <c r="E98" i="39"/>
  <c r="U98" i="39"/>
  <c r="U99" i="39"/>
  <c r="M101" i="39"/>
  <c r="E102" i="39"/>
  <c r="M102" i="39"/>
  <c r="U102" i="39"/>
  <c r="U103" i="39"/>
  <c r="U105" i="39"/>
  <c r="E106" i="39"/>
  <c r="U106" i="39"/>
  <c r="E107" i="39"/>
  <c r="M108" i="39"/>
  <c r="E109" i="39"/>
  <c r="M110" i="39"/>
  <c r="E111" i="39"/>
  <c r="M111" i="39"/>
  <c r="U111" i="39"/>
  <c r="M113" i="39"/>
  <c r="U113" i="39"/>
  <c r="E114" i="39"/>
  <c r="E117" i="39"/>
  <c r="M117" i="39"/>
  <c r="E118" i="39"/>
  <c r="E119" i="39"/>
  <c r="U119" i="39"/>
  <c r="M120" i="39"/>
  <c r="U120" i="39"/>
  <c r="M123" i="39"/>
  <c r="M72" i="41"/>
  <c r="E5" i="40"/>
  <c r="M5" i="40"/>
  <c r="E6" i="40"/>
  <c r="I7" i="40"/>
  <c r="Q7" i="40"/>
  <c r="Y7" i="40"/>
  <c r="I8" i="40"/>
  <c r="Q8" i="40"/>
  <c r="Y8" i="40"/>
  <c r="I9" i="40"/>
  <c r="Q9" i="40"/>
  <c r="Y9" i="40"/>
  <c r="M14" i="40"/>
  <c r="Q17" i="40"/>
  <c r="Y17" i="40"/>
  <c r="M21" i="40"/>
  <c r="U21" i="40"/>
  <c r="I24" i="40"/>
  <c r="Q24" i="40"/>
  <c r="Y24" i="40"/>
  <c r="I25" i="40"/>
  <c r="Q25" i="40"/>
  <c r="Y25" i="40"/>
  <c r="I26" i="40"/>
  <c r="Q26" i="40"/>
  <c r="Y26" i="40"/>
  <c r="U30" i="40"/>
  <c r="Q34" i="40"/>
  <c r="Y34" i="40"/>
  <c r="U38" i="40"/>
  <c r="E39" i="40"/>
  <c r="Q43" i="40"/>
  <c r="Y43" i="40"/>
  <c r="Q49" i="40"/>
  <c r="Y49" i="40"/>
  <c r="U54" i="40"/>
  <c r="I58" i="40"/>
  <c r="Q58" i="40"/>
  <c r="Y58" i="40"/>
  <c r="I59" i="40"/>
  <c r="Q59" i="40"/>
  <c r="Y59" i="40"/>
  <c r="I60" i="40"/>
  <c r="Q60" i="40"/>
  <c r="Y60" i="40"/>
  <c r="I61" i="40"/>
  <c r="Q61" i="40"/>
  <c r="Y61" i="40"/>
  <c r="M63" i="40"/>
  <c r="U65" i="40"/>
  <c r="E66" i="40"/>
  <c r="U67" i="40"/>
  <c r="Q71" i="40"/>
  <c r="Y71" i="40"/>
  <c r="I72" i="40"/>
  <c r="Q72" i="40"/>
  <c r="Y72" i="40"/>
  <c r="M77" i="40"/>
  <c r="E78" i="40"/>
  <c r="Q82" i="40"/>
  <c r="Y82" i="40"/>
  <c r="E91" i="40"/>
  <c r="U91" i="40"/>
  <c r="U94" i="40"/>
  <c r="M95" i="40"/>
  <c r="U97" i="40"/>
  <c r="Q102" i="40"/>
  <c r="Y102" i="40"/>
  <c r="I103" i="40"/>
  <c r="Q103" i="40"/>
  <c r="Y103" i="40"/>
  <c r="I104" i="40"/>
  <c r="Q104" i="40"/>
  <c r="Y104" i="40"/>
  <c r="Q112" i="40"/>
  <c r="Y112" i="40"/>
  <c r="I113" i="40"/>
  <c r="Q113" i="40"/>
  <c r="Y113" i="40"/>
  <c r="M115" i="40"/>
  <c r="U115" i="40"/>
  <c r="I117" i="40"/>
  <c r="Q117" i="40"/>
  <c r="Y117" i="40"/>
  <c r="M119" i="40"/>
  <c r="Q121" i="40"/>
  <c r="Y121" i="40"/>
  <c r="U51" i="41"/>
  <c r="M52" i="41"/>
  <c r="Y121" i="41"/>
  <c r="I10" i="40"/>
  <c r="E24" i="40"/>
  <c r="I34" i="40"/>
  <c r="I39" i="40"/>
  <c r="E47" i="40"/>
  <c r="I57" i="40"/>
  <c r="I62" i="40"/>
  <c r="I73" i="40"/>
  <c r="I79" i="40"/>
  <c r="I86" i="40"/>
  <c r="Q105" i="39"/>
  <c r="Y105" i="39"/>
  <c r="I106" i="39"/>
  <c r="Q106" i="39"/>
  <c r="Y106" i="39"/>
  <c r="I107" i="39"/>
  <c r="Q107" i="39"/>
  <c r="Q108" i="39"/>
  <c r="Y108" i="39"/>
  <c r="Q109" i="39"/>
  <c r="Y109" i="39"/>
  <c r="I110" i="39"/>
  <c r="Q110" i="39"/>
  <c r="Y110" i="39"/>
  <c r="Q111" i="39"/>
  <c r="Y111" i="39"/>
  <c r="I112" i="39"/>
  <c r="Q112" i="39"/>
  <c r="Y112" i="39"/>
  <c r="I113" i="39"/>
  <c r="Y113" i="39"/>
  <c r="Q114" i="39"/>
  <c r="Y114" i="39"/>
  <c r="Q115" i="39"/>
  <c r="Y115" i="39"/>
  <c r="I116" i="39"/>
  <c r="Q116" i="39"/>
  <c r="Y116" i="39"/>
  <c r="I117" i="39"/>
  <c r="Q117" i="39"/>
  <c r="Y117" i="39"/>
  <c r="I118" i="39"/>
  <c r="Q118" i="39"/>
  <c r="I119" i="39"/>
  <c r="Q119" i="39"/>
  <c r="I120" i="39"/>
  <c r="Q120" i="39"/>
  <c r="Y120" i="39"/>
  <c r="I121" i="39"/>
  <c r="Q121" i="39"/>
  <c r="Y121" i="39"/>
  <c r="I122" i="39"/>
  <c r="Q122" i="39"/>
  <c r="Y122" i="39"/>
  <c r="I123" i="39"/>
  <c r="Q123" i="39"/>
  <c r="Y123" i="39"/>
  <c r="Q10" i="40"/>
  <c r="Y10" i="40"/>
  <c r="I11" i="40"/>
  <c r="Q11" i="40"/>
  <c r="Y11" i="40"/>
  <c r="I12" i="40"/>
  <c r="Q12" i="40"/>
  <c r="Y12" i="40"/>
  <c r="I13" i="40"/>
  <c r="Q13" i="40"/>
  <c r="Y13" i="40"/>
  <c r="M16" i="40"/>
  <c r="I18" i="40"/>
  <c r="Q18" i="40"/>
  <c r="Y18" i="40"/>
  <c r="I19" i="40"/>
  <c r="Q19" i="40"/>
  <c r="Y19" i="40"/>
  <c r="I20" i="40"/>
  <c r="Q20" i="40"/>
  <c r="Y20" i="40"/>
  <c r="U23" i="40"/>
  <c r="Y27" i="40"/>
  <c r="I28" i="40"/>
  <c r="Q28" i="40"/>
  <c r="Y28" i="40"/>
  <c r="I29" i="40"/>
  <c r="Q29" i="40"/>
  <c r="Y29" i="40"/>
  <c r="M31" i="40"/>
  <c r="E32" i="40"/>
  <c r="E33" i="40"/>
  <c r="E34" i="40"/>
  <c r="I35" i="40"/>
  <c r="Q35" i="40"/>
  <c r="Y35" i="40"/>
  <c r="I36" i="40"/>
  <c r="Q36" i="40"/>
  <c r="Y36" i="40"/>
  <c r="M42" i="40"/>
  <c r="I44" i="40"/>
  <c r="Q44" i="40"/>
  <c r="Y44" i="40"/>
  <c r="I45" i="40"/>
  <c r="Q45" i="40"/>
  <c r="Y45" i="40"/>
  <c r="M47" i="40"/>
  <c r="E48" i="40"/>
  <c r="I50" i="40"/>
  <c r="Q50" i="40"/>
  <c r="Y50" i="40"/>
  <c r="I51" i="40"/>
  <c r="Q51" i="40"/>
  <c r="Y51" i="40"/>
  <c r="I52" i="40"/>
  <c r="Q52" i="40"/>
  <c r="Y52" i="40"/>
  <c r="M57" i="40"/>
  <c r="Q62" i="40"/>
  <c r="Y62" i="40"/>
  <c r="U70" i="40"/>
  <c r="Q73" i="40"/>
  <c r="Y73" i="40"/>
  <c r="I74" i="40"/>
  <c r="Q74" i="40"/>
  <c r="Y74" i="40"/>
  <c r="I75" i="40"/>
  <c r="Q75" i="40"/>
  <c r="Y75" i="40"/>
  <c r="I76" i="40"/>
  <c r="Q76" i="40"/>
  <c r="Y76" i="40"/>
  <c r="E81" i="40"/>
  <c r="I83" i="40"/>
  <c r="Q83" i="40"/>
  <c r="Y83" i="40"/>
  <c r="Q84" i="40"/>
  <c r="Y84" i="40"/>
  <c r="I85" i="40"/>
  <c r="Q85" i="40"/>
  <c r="Y85" i="40"/>
  <c r="U99" i="40"/>
  <c r="I105" i="40"/>
  <c r="Q105" i="40"/>
  <c r="Y105" i="40"/>
  <c r="I106" i="40"/>
  <c r="Q106" i="40"/>
  <c r="Y106" i="40"/>
  <c r="I107" i="40"/>
  <c r="Q107" i="40"/>
  <c r="I108" i="40"/>
  <c r="Q108" i="40"/>
  <c r="Y108" i="40"/>
  <c r="I109" i="40"/>
  <c r="Q109" i="40"/>
  <c r="Y109" i="40"/>
  <c r="U111" i="40"/>
  <c r="Q114" i="40"/>
  <c r="Y114" i="40"/>
  <c r="Q118" i="40"/>
  <c r="Y118" i="40"/>
  <c r="Q122" i="40"/>
  <c r="Y122" i="40"/>
  <c r="M44" i="41"/>
  <c r="Y45" i="41"/>
  <c r="E49" i="41"/>
  <c r="I17" i="40"/>
  <c r="I102" i="40"/>
  <c r="E105" i="40"/>
  <c r="I46" i="40"/>
  <c r="I53" i="40"/>
  <c r="I114" i="40"/>
  <c r="I116" i="40"/>
  <c r="I118" i="40"/>
  <c r="I122" i="40"/>
  <c r="U18" i="40"/>
  <c r="E19" i="40"/>
  <c r="M19" i="40"/>
  <c r="U19" i="40"/>
  <c r="M20" i="40"/>
  <c r="U20" i="40"/>
  <c r="E21" i="40"/>
  <c r="U35" i="40"/>
  <c r="M36" i="40"/>
  <c r="E37" i="40"/>
  <c r="M50" i="40"/>
  <c r="U51" i="40"/>
  <c r="E52" i="40"/>
  <c r="M52" i="40"/>
  <c r="U84" i="40"/>
  <c r="M85" i="40"/>
  <c r="U85" i="40"/>
  <c r="U105" i="40"/>
  <c r="E106" i="40"/>
  <c r="E107" i="40"/>
  <c r="E108" i="40"/>
  <c r="M108" i="40"/>
  <c r="U108" i="40"/>
  <c r="M109" i="40"/>
  <c r="U109" i="40"/>
  <c r="M118" i="40"/>
  <c r="U7" i="40"/>
  <c r="E8" i="40"/>
  <c r="U8" i="40"/>
  <c r="E9" i="40"/>
  <c r="M17" i="40"/>
  <c r="M24" i="40"/>
  <c r="E26" i="40"/>
  <c r="U34" i="40"/>
  <c r="U49" i="40"/>
  <c r="M71" i="40"/>
  <c r="U71" i="40"/>
  <c r="E72" i="40"/>
  <c r="M82" i="40"/>
  <c r="U82" i="40"/>
  <c r="U103" i="40"/>
  <c r="U104" i="40"/>
  <c r="M117" i="40"/>
  <c r="U117" i="40"/>
  <c r="E118" i="40"/>
  <c r="U62" i="40"/>
  <c r="U63" i="40"/>
  <c r="M64" i="40"/>
  <c r="U64" i="40"/>
  <c r="M66" i="40"/>
  <c r="E67" i="40"/>
  <c r="E68" i="40"/>
  <c r="U68" i="40"/>
  <c r="E69" i="40"/>
  <c r="U69" i="40"/>
  <c r="M81" i="40"/>
  <c r="U81" i="40"/>
  <c r="E117" i="40"/>
  <c r="E123" i="40"/>
  <c r="E4" i="40"/>
  <c r="E35" i="40"/>
  <c r="E22" i="40"/>
  <c r="E50" i="40"/>
  <c r="E111" i="40"/>
  <c r="E119" i="40"/>
  <c r="E7" i="40"/>
  <c r="E83" i="40"/>
  <c r="U14" i="40"/>
  <c r="U16" i="40"/>
  <c r="E17" i="40"/>
  <c r="M30" i="40"/>
  <c r="E31" i="40"/>
  <c r="U31" i="40"/>
  <c r="E44" i="40"/>
  <c r="U44" i="40"/>
  <c r="E45" i="40"/>
  <c r="U45" i="40"/>
  <c r="E58" i="40"/>
  <c r="M58" i="40"/>
  <c r="E60" i="40"/>
  <c r="E61" i="40"/>
  <c r="M61" i="40"/>
  <c r="U61" i="40"/>
  <c r="E62" i="40"/>
  <c r="E79" i="40"/>
  <c r="U98" i="40"/>
  <c r="E99" i="40"/>
  <c r="M100" i="40"/>
  <c r="U100" i="40"/>
  <c r="E101" i="40"/>
  <c r="U101" i="40"/>
  <c r="E102" i="40"/>
  <c r="M114" i="40"/>
  <c r="U114" i="40"/>
  <c r="E115" i="40"/>
  <c r="E116" i="40"/>
  <c r="M121" i="40"/>
  <c r="U121" i="40"/>
  <c r="E122" i="40"/>
  <c r="C124" i="40"/>
  <c r="C125" i="40" s="1"/>
  <c r="U10" i="40"/>
  <c r="E11" i="40"/>
  <c r="M11" i="40"/>
  <c r="U11" i="40"/>
  <c r="M12" i="40"/>
  <c r="U13" i="40"/>
  <c r="M27" i="40"/>
  <c r="U27" i="40"/>
  <c r="E28" i="40"/>
  <c r="U28" i="40"/>
  <c r="E29" i="40"/>
  <c r="M39" i="40"/>
  <c r="E40" i="40"/>
  <c r="U40" i="40"/>
  <c r="U41" i="40"/>
  <c r="U42" i="40"/>
  <c r="E43" i="40"/>
  <c r="U53" i="40"/>
  <c r="E54" i="40"/>
  <c r="E55" i="40"/>
  <c r="M55" i="40"/>
  <c r="E56" i="40"/>
  <c r="U56" i="40"/>
  <c r="E57" i="40"/>
  <c r="M73" i="40"/>
  <c r="M74" i="40"/>
  <c r="M75" i="40"/>
  <c r="M76" i="40"/>
  <c r="U76" i="40"/>
  <c r="E77" i="40"/>
  <c r="U86" i="40"/>
  <c r="M87" i="40"/>
  <c r="E88" i="40"/>
  <c r="M88" i="40"/>
  <c r="U88" i="40"/>
  <c r="U89" i="40"/>
  <c r="U90" i="40"/>
  <c r="E92" i="40"/>
  <c r="U92" i="40"/>
  <c r="E93" i="40"/>
  <c r="M93" i="40"/>
  <c r="E95" i="40"/>
  <c r="U95" i="40"/>
  <c r="E96" i="40"/>
  <c r="M96" i="40"/>
  <c r="U96" i="40"/>
  <c r="M97" i="40"/>
  <c r="E98" i="40"/>
  <c r="M112" i="40"/>
  <c r="U112" i="40"/>
  <c r="E113" i="40"/>
  <c r="M113" i="40"/>
  <c r="U113" i="40"/>
  <c r="E114" i="40"/>
  <c r="M120" i="40"/>
  <c r="U120" i="40"/>
  <c r="E121" i="40"/>
  <c r="M88" i="39"/>
  <c r="M90" i="39"/>
  <c r="M91" i="39"/>
  <c r="E92" i="39"/>
  <c r="M92" i="39"/>
  <c r="M95" i="39"/>
  <c r="U95" i="39"/>
  <c r="E97" i="39"/>
  <c r="E99" i="39"/>
  <c r="M103" i="39"/>
  <c r="M106" i="39"/>
  <c r="M107" i="39"/>
  <c r="M109" i="39"/>
  <c r="E110" i="39"/>
  <c r="E112" i="39"/>
  <c r="M112" i="39"/>
  <c r="E115" i="39"/>
  <c r="E116" i="39"/>
  <c r="M116" i="39"/>
  <c r="U118" i="39"/>
  <c r="E121" i="39"/>
  <c r="M121" i="39"/>
  <c r="M4" i="40"/>
  <c r="M6" i="40"/>
  <c r="U9" i="40"/>
  <c r="E10" i="40"/>
  <c r="M10" i="40"/>
  <c r="E14" i="40"/>
  <c r="U15" i="40"/>
  <c r="E16" i="40"/>
  <c r="U17" i="40"/>
  <c r="E18" i="40"/>
  <c r="M22" i="40"/>
  <c r="M23" i="40"/>
  <c r="M25" i="40"/>
  <c r="U25" i="40"/>
  <c r="E27" i="40"/>
  <c r="M28" i="40"/>
  <c r="M29" i="40"/>
  <c r="M33" i="40"/>
  <c r="U33" i="40"/>
  <c r="M34" i="40"/>
  <c r="E36" i="40"/>
  <c r="U36" i="40"/>
  <c r="U39" i="40"/>
  <c r="E41" i="40"/>
  <c r="M41" i="40"/>
  <c r="M44" i="40"/>
  <c r="E46" i="40"/>
  <c r="M46" i="40"/>
  <c r="E49" i="40"/>
  <c r="M51" i="40"/>
  <c r="U55" i="40"/>
  <c r="M56" i="40"/>
  <c r="U59" i="40"/>
  <c r="M60" i="40"/>
  <c r="U60" i="40"/>
  <c r="E63" i="40"/>
  <c r="U66" i="40"/>
  <c r="M67" i="40"/>
  <c r="M68" i="40"/>
  <c r="E71" i="40"/>
  <c r="M72" i="40"/>
  <c r="E74" i="40"/>
  <c r="M78" i="40"/>
  <c r="U78" i="40"/>
  <c r="U80" i="40"/>
  <c r="E82" i="40"/>
  <c r="M83" i="40"/>
  <c r="M84" i="40"/>
  <c r="M86" i="40"/>
  <c r="E87" i="40"/>
  <c r="E90" i="40"/>
  <c r="M90" i="40"/>
  <c r="M92" i="40"/>
  <c r="U93" i="40"/>
  <c r="E94" i="40"/>
  <c r="E97" i="40"/>
  <c r="E100" i="40"/>
  <c r="M101" i="40"/>
  <c r="M102" i="40"/>
  <c r="M105" i="40"/>
  <c r="U106" i="40"/>
  <c r="E109" i="40"/>
  <c r="E110" i="40"/>
  <c r="Q32" i="39"/>
  <c r="Y32" i="39"/>
  <c r="I33" i="39"/>
  <c r="Q33" i="39"/>
  <c r="Y33" i="39"/>
  <c r="Q34" i="39"/>
  <c r="Y34" i="39"/>
  <c r="I35" i="39"/>
  <c r="Y35" i="39"/>
  <c r="I36" i="39"/>
  <c r="Q36" i="39"/>
  <c r="Y36" i="39"/>
  <c r="I37" i="39"/>
  <c r="Y37" i="39"/>
  <c r="I38" i="39"/>
  <c r="Q38" i="39"/>
  <c r="Y38" i="39"/>
  <c r="Q39" i="39"/>
  <c r="Y39" i="39"/>
  <c r="I40" i="39"/>
  <c r="Q40" i="39"/>
  <c r="Y40" i="39"/>
  <c r="Y41" i="39"/>
  <c r="I42" i="39"/>
  <c r="Q42" i="39"/>
  <c r="I43" i="39"/>
  <c r="Y43" i="39"/>
  <c r="I44" i="39"/>
  <c r="Q44" i="39"/>
  <c r="Y44" i="39"/>
  <c r="Q45" i="39"/>
  <c r="Y45" i="39"/>
  <c r="I46" i="39"/>
  <c r="Q46" i="39"/>
  <c r="Y46" i="39"/>
  <c r="I47" i="39"/>
  <c r="Q47" i="39"/>
  <c r="Q48" i="39"/>
  <c r="I49" i="39"/>
  <c r="Q49" i="39"/>
  <c r="Y49" i="39"/>
  <c r="I50" i="39"/>
  <c r="Q50" i="39"/>
  <c r="Y50" i="39"/>
  <c r="I51" i="39"/>
  <c r="Y51" i="39"/>
  <c r="Q52" i="39"/>
  <c r="I53" i="39"/>
  <c r="Q53" i="39"/>
  <c r="Q54" i="39"/>
  <c r="I55" i="39"/>
  <c r="I56" i="39"/>
  <c r="Y56" i="39"/>
  <c r="I57" i="39"/>
  <c r="Q57" i="39"/>
  <c r="Y57" i="39"/>
  <c r="Q58" i="39"/>
  <c r="Y58" i="39"/>
  <c r="I59" i="39"/>
  <c r="Y59" i="39"/>
  <c r="I60" i="39"/>
  <c r="Y60" i="39"/>
  <c r="I61" i="39"/>
  <c r="Q61" i="39"/>
  <c r="Y61" i="39"/>
  <c r="I62" i="39"/>
  <c r="Q62" i="39"/>
  <c r="I63" i="39"/>
  <c r="Q63" i="39"/>
  <c r="Y63" i="39"/>
  <c r="I64" i="39"/>
  <c r="Q64" i="39"/>
  <c r="Y64" i="39"/>
  <c r="Q65" i="39"/>
  <c r="Y65" i="39"/>
  <c r="I66" i="39"/>
  <c r="Q66" i="39"/>
  <c r="Y66" i="39"/>
  <c r="I67" i="39"/>
  <c r="Q67" i="39"/>
  <c r="Y67" i="39"/>
  <c r="I68" i="39"/>
  <c r="Y68" i="39"/>
  <c r="I69" i="39"/>
  <c r="I70" i="39"/>
  <c r="Q70" i="39"/>
  <c r="Y70" i="39"/>
  <c r="I71" i="39"/>
  <c r="Q71" i="39"/>
  <c r="Y71" i="39"/>
  <c r="I72" i="39"/>
  <c r="Q72" i="39"/>
  <c r="Y72" i="39"/>
  <c r="I73" i="39"/>
  <c r="Q73" i="39"/>
  <c r="Y73" i="39"/>
  <c r="I74" i="39"/>
  <c r="I75" i="39"/>
  <c r="Q75" i="39"/>
  <c r="Y75" i="39"/>
  <c r="I76" i="39"/>
  <c r="Q76" i="39"/>
  <c r="I77" i="39"/>
  <c r="Q77" i="39"/>
  <c r="I78" i="39"/>
  <c r="Q78" i="39"/>
  <c r="Y78" i="39"/>
  <c r="I79" i="39"/>
  <c r="Y79" i="39"/>
  <c r="I80" i="39"/>
  <c r="Q80" i="39"/>
  <c r="Y80" i="39"/>
  <c r="I81" i="39"/>
  <c r="Q81" i="39"/>
  <c r="Y81" i="39"/>
  <c r="I82" i="39"/>
  <c r="Q82" i="39"/>
  <c r="Y82" i="39"/>
  <c r="Q83" i="39"/>
  <c r="I84" i="39"/>
  <c r="Q84" i="39"/>
  <c r="Y84" i="39"/>
  <c r="Q85" i="39"/>
  <c r="Y85" i="39"/>
  <c r="I86" i="39"/>
  <c r="Q86" i="39"/>
  <c r="Y86" i="39"/>
  <c r="I87" i="39"/>
  <c r="Q87" i="39"/>
  <c r="I38" i="41"/>
  <c r="I43" i="41"/>
  <c r="E117" i="41"/>
  <c r="U89" i="39"/>
  <c r="E93" i="39"/>
  <c r="U94" i="39"/>
  <c r="M98" i="39"/>
  <c r="E100" i="39"/>
  <c r="E101" i="39"/>
  <c r="E103" i="39"/>
  <c r="M104" i="39"/>
  <c r="U107" i="39"/>
  <c r="U110" i="39"/>
  <c r="U112" i="39"/>
  <c r="U115" i="39"/>
  <c r="U117" i="39"/>
  <c r="M119" i="39"/>
  <c r="E120" i="39"/>
  <c r="E122" i="39"/>
  <c r="M7" i="40"/>
  <c r="M9" i="40"/>
  <c r="E12" i="40"/>
  <c r="M13" i="40"/>
  <c r="M15" i="40"/>
  <c r="E20" i="40"/>
  <c r="U22" i="40"/>
  <c r="U24" i="40"/>
  <c r="M26" i="40"/>
  <c r="M32" i="40"/>
  <c r="U32" i="40"/>
  <c r="M38" i="40"/>
  <c r="M40" i="40"/>
  <c r="E42" i="40"/>
  <c r="M43" i="40"/>
  <c r="U43" i="40"/>
  <c r="U46" i="40"/>
  <c r="U47" i="40"/>
  <c r="M48" i="40"/>
  <c r="M49" i="40"/>
  <c r="E53" i="40"/>
  <c r="M53" i="40"/>
  <c r="M54" i="40"/>
  <c r="U57" i="40"/>
  <c r="U58" i="40"/>
  <c r="M62" i="40"/>
  <c r="E64" i="40"/>
  <c r="E65" i="40"/>
  <c r="M65" i="40"/>
  <c r="M69" i="40"/>
  <c r="E70" i="40"/>
  <c r="E73" i="40"/>
  <c r="U73" i="40"/>
  <c r="U74" i="40"/>
  <c r="U77" i="40"/>
  <c r="E80" i="40"/>
  <c r="M80" i="40"/>
  <c r="U83" i="40"/>
  <c r="E84" i="40"/>
  <c r="E85" i="40"/>
  <c r="U87" i="40"/>
  <c r="E89" i="40"/>
  <c r="M89" i="40"/>
  <c r="M91" i="40"/>
  <c r="M94" i="40"/>
  <c r="M98" i="40"/>
  <c r="M99" i="40"/>
  <c r="M103" i="40"/>
  <c r="U107" i="40"/>
  <c r="M110" i="40"/>
  <c r="E112" i="40"/>
  <c r="Y9" i="41"/>
  <c r="E13" i="41"/>
  <c r="I66" i="41"/>
  <c r="E4" i="41"/>
  <c r="Y6" i="41"/>
  <c r="E32" i="41"/>
  <c r="E60" i="41"/>
  <c r="E88" i="41"/>
  <c r="Y89" i="41"/>
  <c r="Q79" i="41"/>
  <c r="Q27" i="41"/>
  <c r="Q19" i="41"/>
  <c r="Q105" i="41"/>
  <c r="Q97" i="41"/>
  <c r="Q10" i="41"/>
  <c r="Q34" i="41"/>
  <c r="Q42" i="41"/>
  <c r="M4" i="39"/>
  <c r="E5" i="39"/>
  <c r="M5" i="39"/>
  <c r="E6" i="39"/>
  <c r="U6" i="39"/>
  <c r="E7" i="39"/>
  <c r="U7" i="39"/>
  <c r="U8" i="39"/>
  <c r="E9" i="39"/>
  <c r="E10" i="39"/>
  <c r="M10" i="39"/>
  <c r="U10" i="39"/>
  <c r="U11" i="39"/>
  <c r="M13" i="39"/>
  <c r="E14" i="39"/>
  <c r="U15" i="39"/>
  <c r="E16" i="39"/>
  <c r="M16" i="39"/>
  <c r="U16" i="39"/>
  <c r="E17" i="39"/>
  <c r="M17" i="39"/>
  <c r="U17" i="39"/>
  <c r="U19" i="39"/>
  <c r="M20" i="39"/>
  <c r="U20" i="39"/>
  <c r="M21" i="39"/>
  <c r="E22" i="39"/>
  <c r="M22" i="39"/>
  <c r="U22" i="39"/>
  <c r="M23" i="39"/>
  <c r="E24" i="39"/>
  <c r="M24" i="39"/>
  <c r="E25" i="39"/>
  <c r="M25" i="39"/>
  <c r="U25" i="39"/>
  <c r="M26" i="39"/>
  <c r="E27" i="39"/>
  <c r="M27" i="39"/>
  <c r="U27" i="39"/>
  <c r="E28" i="39"/>
  <c r="M29" i="39"/>
  <c r="E30" i="39"/>
  <c r="U30" i="39"/>
  <c r="E31" i="39"/>
  <c r="Y77" i="41"/>
  <c r="Y81" i="41"/>
  <c r="J105" i="1"/>
  <c r="I105" i="1"/>
  <c r="D23" i="1"/>
  <c r="E22" i="1"/>
  <c r="E23" i="1"/>
  <c r="H4" i="24"/>
  <c r="J4" i="24"/>
  <c r="L4" i="24"/>
  <c r="N4" i="24"/>
  <c r="D14" i="1"/>
  <c r="E17" i="1"/>
  <c r="E18" i="1"/>
  <c r="E16" i="1"/>
  <c r="D18" i="1"/>
  <c r="D16" i="1"/>
  <c r="K155" i="1"/>
  <c r="J155" i="1"/>
  <c r="D22" i="1"/>
  <c r="G127" i="1"/>
  <c r="F136" i="1"/>
  <c r="D20" i="1"/>
  <c r="I5" i="1"/>
  <c r="E136" i="1"/>
  <c r="AD22" i="84"/>
  <c r="AD67" i="84"/>
  <c r="AC43" i="84"/>
  <c r="AC120" i="84"/>
  <c r="AD120" i="84"/>
  <c r="AC36" i="84"/>
  <c r="AC41" i="84"/>
  <c r="AD63" i="84"/>
  <c r="AD17" i="84"/>
  <c r="AD56" i="84"/>
  <c r="E127" i="1"/>
  <c r="G136" i="1"/>
  <c r="H127" i="1"/>
  <c r="K149" i="1"/>
  <c r="H136" i="1"/>
  <c r="K3" i="1"/>
  <c r="D21" i="1"/>
  <c r="F127" i="1"/>
  <c r="D5" i="1"/>
  <c r="D17" i="1"/>
  <c r="AC8" i="84"/>
  <c r="AD33" i="84"/>
  <c r="AD35" i="84"/>
  <c r="AD48" i="84"/>
  <c r="AD73" i="84"/>
  <c r="AC84" i="84"/>
  <c r="AC100" i="84"/>
  <c r="AD102" i="84"/>
  <c r="AD113" i="84"/>
  <c r="AD40" i="84"/>
  <c r="AD124" i="84"/>
  <c r="AC17" i="84"/>
  <c r="AC77" i="84"/>
  <c r="AD77" i="84"/>
  <c r="AD29" i="84"/>
  <c r="AC20" i="84"/>
  <c r="AC19" i="84"/>
  <c r="AD93" i="84"/>
  <c r="AC104" i="84"/>
  <c r="AD19" i="84"/>
  <c r="AC56" i="84"/>
  <c r="AC24" i="84"/>
  <c r="AD52" i="84"/>
  <c r="AD21" i="84"/>
  <c r="AD39" i="84"/>
  <c r="AD44" i="84"/>
  <c r="AC45" i="84"/>
  <c r="AD47" i="84"/>
  <c r="AC67" i="84"/>
  <c r="AC69" i="84"/>
  <c r="AD91" i="84"/>
  <c r="AD92" i="84"/>
  <c r="AC102" i="84"/>
  <c r="AC5" i="84"/>
  <c r="G20" i="1" s="1"/>
  <c r="AD16" i="84"/>
  <c r="AD58" i="84"/>
  <c r="AC111" i="84"/>
  <c r="Z41" i="85"/>
  <c r="T41" i="85"/>
  <c r="Z64" i="85"/>
  <c r="T64" i="85"/>
  <c r="Q31" i="39"/>
  <c r="Y77" i="39"/>
  <c r="M8" i="41"/>
  <c r="M36" i="41"/>
  <c r="M64" i="41"/>
  <c r="E73" i="41"/>
  <c r="I102" i="41"/>
  <c r="Q65" i="41"/>
  <c r="AD20" i="84"/>
  <c r="AD26" i="84"/>
  <c r="AC57" i="84"/>
  <c r="AD118" i="84"/>
  <c r="Y29" i="41"/>
  <c r="M56" i="41"/>
  <c r="Z11" i="85"/>
  <c r="T11" i="85"/>
  <c r="Z55" i="85"/>
  <c r="P55" i="85"/>
  <c r="Z110" i="85"/>
  <c r="T110" i="85"/>
  <c r="Z33" i="85"/>
  <c r="T33" i="85"/>
  <c r="Z73" i="85"/>
  <c r="P73" i="85"/>
  <c r="T83" i="85"/>
  <c r="Z91" i="85"/>
  <c r="P91" i="85"/>
  <c r="Z122" i="85"/>
  <c r="T122" i="85"/>
  <c r="E116" i="41"/>
  <c r="O125" i="36"/>
  <c r="Z57" i="85"/>
  <c r="T57" i="85"/>
  <c r="Z71" i="85"/>
  <c r="P71" i="85"/>
  <c r="Z103" i="85"/>
  <c r="P103" i="85"/>
  <c r="Z116" i="85"/>
  <c r="T116" i="85"/>
  <c r="X7" i="95"/>
  <c r="N4" i="95"/>
  <c r="X4" i="95" s="1"/>
  <c r="R6" i="85"/>
  <c r="Z7" i="85"/>
  <c r="Z8" i="85"/>
  <c r="Z13" i="85"/>
  <c r="Z18" i="85"/>
  <c r="Z23" i="85"/>
  <c r="Z28" i="85"/>
  <c r="Z35" i="85"/>
  <c r="Z36" i="85"/>
  <c r="Z43" i="85"/>
  <c r="Z44" i="85"/>
  <c r="Z46" i="85"/>
  <c r="Z51" i="85"/>
  <c r="Z59" i="85"/>
  <c r="Z63" i="85"/>
  <c r="Z65" i="85"/>
  <c r="Z66" i="85"/>
  <c r="Z75" i="85"/>
  <c r="Z76" i="85"/>
  <c r="Z81" i="85"/>
  <c r="Z82" i="85"/>
  <c r="Z84" i="85"/>
  <c r="Z88" i="85"/>
  <c r="Z94" i="85"/>
  <c r="Z98" i="85"/>
  <c r="Z105" i="85"/>
  <c r="Z111" i="85"/>
  <c r="Z117" i="85"/>
  <c r="Z121" i="85"/>
  <c r="Z123" i="85"/>
  <c r="Z124" i="85"/>
  <c r="R132" i="72"/>
  <c r="J4" i="95"/>
  <c r="U4" i="95" s="1"/>
  <c r="BC126" i="97"/>
  <c r="BC89" i="97"/>
  <c r="Q6" i="85"/>
  <c r="T25" i="85"/>
  <c r="Z45" i="85"/>
  <c r="Z47" i="85"/>
  <c r="Z67" i="85"/>
  <c r="T69" i="85"/>
  <c r="Z77" i="85"/>
  <c r="Z83" i="85"/>
  <c r="Z99" i="85"/>
  <c r="P101" i="85"/>
  <c r="P107" i="85"/>
  <c r="S132" i="72"/>
  <c r="W4" i="95"/>
  <c r="BC87" i="97"/>
  <c r="AS29" i="97"/>
  <c r="BA29" i="97" s="1"/>
  <c r="AT8" i="97"/>
  <c r="BB8" i="97" s="1"/>
  <c r="AR102" i="97"/>
  <c r="AZ102" i="97" s="1"/>
  <c r="AS10" i="97"/>
  <c r="BA10" i="97" s="1"/>
  <c r="AR13" i="97"/>
  <c r="AZ13" i="97" s="1"/>
  <c r="BC13" i="97" s="1"/>
  <c r="AS17" i="97"/>
  <c r="BA17" i="97" s="1"/>
  <c r="AT24" i="97"/>
  <c r="BB24" i="97" s="1"/>
  <c r="AT33" i="97"/>
  <c r="BB33" i="97" s="1"/>
  <c r="AS36" i="97"/>
  <c r="BA36" i="97" s="1"/>
  <c r="AT109" i="97"/>
  <c r="BB109" i="97" s="1"/>
  <c r="AT115" i="97"/>
  <c r="BB115" i="97" s="1"/>
  <c r="BC115" i="97" s="1"/>
  <c r="AT70" i="97"/>
  <c r="BB70" i="97" s="1"/>
  <c r="AR74" i="97"/>
  <c r="AZ74" i="97" s="1"/>
  <c r="AR80" i="97"/>
  <c r="AZ80" i="97" s="1"/>
  <c r="AT91" i="97"/>
  <c r="BB91" i="97" s="1"/>
  <c r="BC91" i="97" s="1"/>
  <c r="AT123" i="97"/>
  <c r="BB123" i="97" s="1"/>
  <c r="AT11" i="97"/>
  <c r="BB11" i="97" s="1"/>
  <c r="AS20" i="97"/>
  <c r="BA20" i="97" s="1"/>
  <c r="AS21" i="97"/>
  <c r="BA21" i="97" s="1"/>
  <c r="AS23" i="97"/>
  <c r="BA23" i="97" s="1"/>
  <c r="AR107" i="97"/>
  <c r="AZ107" i="97" s="1"/>
  <c r="AR61" i="97"/>
  <c r="AZ61" i="97" s="1"/>
  <c r="AR116" i="97"/>
  <c r="AZ116" i="97" s="1"/>
  <c r="BC116" i="97" s="1"/>
  <c r="DI4" i="56"/>
  <c r="F40" i="1" l="1"/>
  <c r="F36" i="1"/>
  <c r="F32" i="1"/>
  <c r="E39" i="1"/>
  <c r="E35" i="1"/>
  <c r="E31" i="1"/>
  <c r="F34" i="1"/>
  <c r="E37" i="1"/>
  <c r="F33" i="1"/>
  <c r="E36" i="1"/>
  <c r="F39" i="1"/>
  <c r="F35" i="1"/>
  <c r="F31" i="1"/>
  <c r="E38" i="1"/>
  <c r="E34" i="1"/>
  <c r="E30" i="1"/>
  <c r="F38" i="1"/>
  <c r="F30" i="1"/>
  <c r="E33" i="1"/>
  <c r="F37" i="1"/>
  <c r="E40" i="1"/>
  <c r="E32" i="1"/>
  <c r="C39" i="108"/>
  <c r="C35" i="108"/>
  <c r="C31" i="108"/>
  <c r="C27" i="108"/>
  <c r="C23" i="108"/>
  <c r="C38" i="108"/>
  <c r="C34" i="108"/>
  <c r="C30" i="108"/>
  <c r="C26" i="108"/>
  <c r="C37" i="108"/>
  <c r="C33" i="108"/>
  <c r="C29" i="108"/>
  <c r="C25" i="108"/>
  <c r="C36" i="108"/>
  <c r="C32" i="108"/>
  <c r="C28" i="108"/>
  <c r="C24" i="108"/>
  <c r="C16" i="108"/>
  <c r="C12" i="108"/>
  <c r="C8" i="108"/>
  <c r="C4" i="108"/>
  <c r="C19" i="108"/>
  <c r="C15" i="108"/>
  <c r="C11" i="108"/>
  <c r="C7" i="108"/>
  <c r="C3" i="108"/>
  <c r="C18" i="108"/>
  <c r="C14" i="108"/>
  <c r="C10" i="108"/>
  <c r="C6" i="108"/>
  <c r="C17" i="108"/>
  <c r="C13" i="108"/>
  <c r="C9" i="108"/>
  <c r="C5" i="108"/>
  <c r="G85" i="79"/>
  <c r="G57" i="79"/>
  <c r="G71" i="79"/>
  <c r="G100" i="79"/>
  <c r="V100" i="79" s="1"/>
  <c r="G77" i="79"/>
  <c r="G37" i="79"/>
  <c r="M72" i="79"/>
  <c r="Q72" i="79" s="1"/>
  <c r="M120" i="79"/>
  <c r="Q120" i="79" s="1"/>
  <c r="M118" i="79"/>
  <c r="Q118" i="79" s="1"/>
  <c r="M74" i="79"/>
  <c r="Q74" i="79" s="1"/>
  <c r="M68" i="79"/>
  <c r="Q68" i="79" s="1"/>
  <c r="M108" i="79"/>
  <c r="Q108" i="79" s="1"/>
  <c r="M94" i="79"/>
  <c r="Q94" i="79" s="1"/>
  <c r="E54" i="1"/>
  <c r="E50" i="1"/>
  <c r="E46" i="1"/>
  <c r="E53" i="1"/>
  <c r="E52" i="1"/>
  <c r="E55" i="1"/>
  <c r="E51" i="1"/>
  <c r="E47" i="1"/>
  <c r="E49" i="1"/>
  <c r="E45" i="1"/>
  <c r="E48" i="1"/>
  <c r="BC82" i="97"/>
  <c r="BC113" i="97"/>
  <c r="BC106" i="97"/>
  <c r="BC92" i="97"/>
  <c r="BC18" i="97"/>
  <c r="BC6" i="97"/>
  <c r="BC8" i="97"/>
  <c r="BC123" i="97"/>
  <c r="BC70" i="97"/>
  <c r="BC33" i="97"/>
  <c r="BC101" i="97"/>
  <c r="BC32" i="97"/>
  <c r="BC98" i="97"/>
  <c r="BC76" i="97"/>
  <c r="BC48" i="97"/>
  <c r="BC103" i="97"/>
  <c r="BC122" i="97"/>
  <c r="BC40" i="97"/>
  <c r="BC34" i="97"/>
  <c r="BC20" i="97"/>
  <c r="BC80" i="97"/>
  <c r="BC109" i="97"/>
  <c r="BC17" i="97"/>
  <c r="BC125" i="97"/>
  <c r="BC59" i="97"/>
  <c r="BC119" i="97"/>
  <c r="BC22" i="97"/>
  <c r="BC65" i="97"/>
  <c r="BC97" i="97"/>
  <c r="H6" i="118"/>
  <c r="BC49" i="97"/>
  <c r="BC124" i="97"/>
  <c r="BC114" i="97"/>
  <c r="BC86" i="97"/>
  <c r="BC75" i="97"/>
  <c r="BC99" i="97"/>
  <c r="M42" i="79"/>
  <c r="Q42" i="79" s="1"/>
  <c r="M34" i="79"/>
  <c r="Q34" i="79" s="1"/>
  <c r="M18" i="79"/>
  <c r="Q18" i="79" s="1"/>
  <c r="M44" i="79"/>
  <c r="Q44" i="79" s="1"/>
  <c r="M28" i="79"/>
  <c r="Q28" i="79" s="1"/>
  <c r="M20" i="79"/>
  <c r="Q20" i="79" s="1"/>
  <c r="M46" i="79"/>
  <c r="Q46" i="79" s="1"/>
  <c r="M38" i="79"/>
  <c r="Q38" i="79" s="1"/>
  <c r="M30" i="79"/>
  <c r="Q30" i="79" s="1"/>
  <c r="M22" i="79"/>
  <c r="Q22" i="79" s="1"/>
  <c r="M14" i="79"/>
  <c r="Q14" i="79" s="1"/>
  <c r="M26" i="79"/>
  <c r="Q26" i="79" s="1"/>
  <c r="M10" i="79"/>
  <c r="Q10" i="79" s="1"/>
  <c r="M36" i="79"/>
  <c r="Q36" i="79" s="1"/>
  <c r="M12" i="79"/>
  <c r="Q12" i="79" s="1"/>
  <c r="M48" i="79"/>
  <c r="Q48" i="79" s="1"/>
  <c r="M40" i="79"/>
  <c r="Q40" i="79" s="1"/>
  <c r="M32" i="79"/>
  <c r="Q32" i="79" s="1"/>
  <c r="M24" i="79"/>
  <c r="Q24" i="79" s="1"/>
  <c r="M16" i="79"/>
  <c r="Q16" i="79" s="1"/>
  <c r="M8" i="79"/>
  <c r="Q8" i="79" s="1"/>
  <c r="AG131" i="62"/>
  <c r="J13" i="123"/>
  <c r="Q131" i="60"/>
  <c r="K18" i="123" s="1"/>
  <c r="K13" i="123" s="1"/>
  <c r="L18" i="123"/>
  <c r="L20" i="123"/>
  <c r="I20" i="123"/>
  <c r="I13" i="123" s="1"/>
  <c r="I24" i="123" s="1"/>
  <c r="I12" i="123" s="1"/>
  <c r="V12" i="123" s="1"/>
  <c r="BC79" i="97"/>
  <c r="BC42" i="97"/>
  <c r="BC120" i="97"/>
  <c r="BC73" i="97"/>
  <c r="AM131" i="62"/>
  <c r="BC53" i="97"/>
  <c r="BC83" i="97"/>
  <c r="O131" i="62"/>
  <c r="M148" i="1"/>
  <c r="M146" i="1"/>
  <c r="L148" i="1"/>
  <c r="K148" i="1"/>
  <c r="J148" i="1"/>
  <c r="J140" i="1"/>
  <c r="I4" i="53"/>
  <c r="G5" i="79" s="1"/>
  <c r="G9" i="79"/>
  <c r="G12" i="79"/>
  <c r="X12" i="79" s="1"/>
  <c r="G16" i="79"/>
  <c r="U16" i="79" s="1"/>
  <c r="G7" i="79"/>
  <c r="X7" i="79" s="1"/>
  <c r="E5" i="79"/>
  <c r="J6" i="123"/>
  <c r="J5" i="123" s="1"/>
  <c r="J4" i="53"/>
  <c r="BC21" i="97"/>
  <c r="BC102" i="97"/>
  <c r="BC44" i="97"/>
  <c r="BC55" i="97"/>
  <c r="BC25" i="97"/>
  <c r="BC60" i="97"/>
  <c r="BC74" i="97"/>
  <c r="BC71" i="97"/>
  <c r="BC62" i="97"/>
  <c r="BC26" i="97"/>
  <c r="BC112" i="97"/>
  <c r="BC36" i="97"/>
  <c r="BC117" i="97"/>
  <c r="BC58" i="97"/>
  <c r="BC50" i="97"/>
  <c r="BC66" i="97"/>
  <c r="E5" i="118"/>
  <c r="BC107" i="97"/>
  <c r="BC24" i="97"/>
  <c r="P6" i="85"/>
  <c r="D5" i="79"/>
  <c r="BC96" i="97"/>
  <c r="BC84" i="97"/>
  <c r="BC45" i="97"/>
  <c r="BC105" i="97"/>
  <c r="BC11" i="97"/>
  <c r="BC10" i="97"/>
  <c r="BC56" i="97"/>
  <c r="BC14" i="97"/>
  <c r="BC52" i="97"/>
  <c r="P5" i="79"/>
  <c r="D5" i="118"/>
  <c r="BC61" i="97"/>
  <c r="BC85" i="97"/>
  <c r="BC121" i="97"/>
  <c r="BC104" i="97"/>
  <c r="BC7" i="97"/>
  <c r="BC23" i="97"/>
  <c r="BC16" i="97"/>
  <c r="L140" i="1"/>
  <c r="K140" i="1"/>
  <c r="M140" i="1"/>
  <c r="O122" i="79"/>
  <c r="K4" i="101"/>
  <c r="O116" i="79"/>
  <c r="O43" i="79"/>
  <c r="O47" i="79"/>
  <c r="O124" i="79"/>
  <c r="O107" i="79"/>
  <c r="O115" i="79"/>
  <c r="O56" i="79"/>
  <c r="O117" i="79"/>
  <c r="O66" i="79"/>
  <c r="O100" i="79"/>
  <c r="O80" i="79"/>
  <c r="O112" i="79"/>
  <c r="O69" i="79"/>
  <c r="O99" i="79"/>
  <c r="O111" i="79"/>
  <c r="O31" i="79"/>
  <c r="O109" i="79"/>
  <c r="O54" i="79"/>
  <c r="O58" i="79"/>
  <c r="O78" i="79"/>
  <c r="O106" i="79"/>
  <c r="O67" i="79"/>
  <c r="O53" i="79"/>
  <c r="O110" i="79"/>
  <c r="O90" i="79"/>
  <c r="O81" i="79"/>
  <c r="O114" i="79"/>
  <c r="O77" i="79"/>
  <c r="O96" i="79"/>
  <c r="O51" i="79"/>
  <c r="O104" i="79"/>
  <c r="O33" i="79"/>
  <c r="O125" i="79"/>
  <c r="O57" i="79"/>
  <c r="O123" i="79"/>
  <c r="U118" i="79"/>
  <c r="W21" i="79"/>
  <c r="W64" i="79"/>
  <c r="U125" i="79"/>
  <c r="X95" i="79"/>
  <c r="U55" i="79"/>
  <c r="X64" i="79"/>
  <c r="V64" i="79"/>
  <c r="X62" i="79"/>
  <c r="V111" i="79"/>
  <c r="U84" i="79"/>
  <c r="W17" i="79"/>
  <c r="W113" i="79"/>
  <c r="W94" i="79"/>
  <c r="X32" i="79"/>
  <c r="O7" i="79"/>
  <c r="V77" i="79"/>
  <c r="W96" i="79"/>
  <c r="W116" i="79"/>
  <c r="BC35" i="97"/>
  <c r="O73" i="79"/>
  <c r="O49" i="79"/>
  <c r="O9" i="79"/>
  <c r="Z6" i="85"/>
  <c r="H173" i="1" s="1"/>
  <c r="O35" i="79"/>
  <c r="BC41" i="97"/>
  <c r="BC57" i="97"/>
  <c r="O60" i="79"/>
  <c r="O97" i="79"/>
  <c r="O17" i="79"/>
  <c r="O105" i="79"/>
  <c r="X97" i="79"/>
  <c r="BC30" i="97"/>
  <c r="BC15" i="97"/>
  <c r="BC111" i="97"/>
  <c r="BC27" i="97"/>
  <c r="O92" i="79"/>
  <c r="O13" i="79"/>
  <c r="O29" i="79"/>
  <c r="V11" i="79"/>
  <c r="O79" i="79"/>
  <c r="O19" i="79"/>
  <c r="W29" i="79"/>
  <c r="O39" i="79"/>
  <c r="X109" i="79"/>
  <c r="T6" i="85"/>
  <c r="I62" i="1"/>
  <c r="I61" i="1"/>
  <c r="I60" i="1"/>
  <c r="I63" i="1"/>
  <c r="I58" i="1"/>
  <c r="C22" i="108"/>
  <c r="C2" i="108"/>
  <c r="E61" i="1"/>
  <c r="E60" i="1"/>
  <c r="E63" i="1"/>
  <c r="E58" i="1"/>
  <c r="E62" i="1"/>
  <c r="W92" i="79"/>
  <c r="V92" i="79"/>
  <c r="X92" i="79"/>
  <c r="U92" i="79"/>
  <c r="O85" i="79"/>
  <c r="O52" i="79"/>
  <c r="W56" i="79"/>
  <c r="V37" i="79"/>
  <c r="X89" i="79"/>
  <c r="U67" i="79"/>
  <c r="W123" i="79"/>
  <c r="V49" i="79"/>
  <c r="V14" i="79"/>
  <c r="X20" i="79"/>
  <c r="W68" i="79"/>
  <c r="W45" i="79"/>
  <c r="O89" i="79"/>
  <c r="W72" i="79"/>
  <c r="O98" i="79"/>
  <c r="O84" i="79"/>
  <c r="O15" i="79"/>
  <c r="O70" i="79"/>
  <c r="O88" i="79"/>
  <c r="BC118" i="97"/>
  <c r="BC46" i="97"/>
  <c r="O50" i="79"/>
  <c r="O119" i="79"/>
  <c r="O93" i="79"/>
  <c r="O61" i="79"/>
  <c r="O37" i="79"/>
  <c r="O23" i="79"/>
  <c r="X87" i="79"/>
  <c r="O65" i="79"/>
  <c r="O25" i="79"/>
  <c r="O87" i="79"/>
  <c r="O83" i="79"/>
  <c r="W93" i="79"/>
  <c r="X93" i="79"/>
  <c r="V93" i="79"/>
  <c r="O55" i="79"/>
  <c r="BC110" i="97"/>
  <c r="BC68" i="97"/>
  <c r="BC54" i="97"/>
  <c r="BC28" i="97"/>
  <c r="BC37" i="97"/>
  <c r="O82" i="79"/>
  <c r="O86" i="79"/>
  <c r="O121" i="79"/>
  <c r="O113" i="79"/>
  <c r="O103" i="79"/>
  <c r="O91" i="79"/>
  <c r="O62" i="79"/>
  <c r="U93" i="79"/>
  <c r="O75" i="79"/>
  <c r="O101" i="79"/>
  <c r="BC29" i="97"/>
  <c r="U63" i="79"/>
  <c r="V82" i="79"/>
  <c r="W41" i="79"/>
  <c r="W31" i="79"/>
  <c r="F4" i="60"/>
  <c r="BC81" i="97"/>
  <c r="BC51" i="97"/>
  <c r="BC108" i="97"/>
  <c r="BC64" i="97"/>
  <c r="O76" i="79"/>
  <c r="O63" i="79"/>
  <c r="O27" i="79"/>
  <c r="O64" i="79"/>
  <c r="O45" i="79"/>
  <c r="O95" i="79"/>
  <c r="O59" i="79"/>
  <c r="O71" i="79"/>
  <c r="F23" i="1"/>
  <c r="F18" i="1"/>
  <c r="F21" i="1"/>
  <c r="F20" i="1"/>
  <c r="F22" i="1"/>
  <c r="F17" i="1"/>
  <c r="F16" i="1"/>
  <c r="G171" i="1"/>
  <c r="G172" i="1" s="1"/>
  <c r="F11" i="1"/>
  <c r="W112" i="79"/>
  <c r="W10" i="79"/>
  <c r="V61" i="79"/>
  <c r="V34" i="79"/>
  <c r="V114" i="79"/>
  <c r="X22" i="79"/>
  <c r="AC76" i="84"/>
  <c r="AD76" i="84"/>
  <c r="AC107" i="84"/>
  <c r="AD107" i="84"/>
  <c r="W30" i="79"/>
  <c r="U73" i="79"/>
  <c r="V57" i="79"/>
  <c r="V42" i="79"/>
  <c r="U115" i="79"/>
  <c r="V50" i="79"/>
  <c r="AC115" i="84"/>
  <c r="AD115" i="84"/>
  <c r="AC96" i="84"/>
  <c r="AD96" i="84"/>
  <c r="AD75" i="84"/>
  <c r="AC75" i="84"/>
  <c r="V71" i="79"/>
  <c r="AC118" i="84"/>
  <c r="G17" i="1"/>
  <c r="AG5" i="84"/>
  <c r="G22" i="1" s="1"/>
  <c r="G16" i="1"/>
  <c r="G18" i="1"/>
  <c r="AD5" i="84"/>
  <c r="G21" i="1" s="1"/>
  <c r="G23" i="1"/>
  <c r="U6" i="79"/>
  <c r="X105" i="79"/>
  <c r="AD45" i="84"/>
  <c r="AD11" i="84"/>
  <c r="AC11" i="84"/>
  <c r="AC60" i="84"/>
  <c r="AD60" i="84"/>
  <c r="AD57" i="84"/>
  <c r="AD30" i="84"/>
  <c r="AC30" i="84"/>
  <c r="H169" i="1"/>
  <c r="F171" i="1"/>
  <c r="F172" i="1" s="1"/>
  <c r="X40" i="79"/>
  <c r="X28" i="79"/>
  <c r="X8" i="79"/>
  <c r="AD110" i="84"/>
  <c r="AC110" i="84"/>
  <c r="AC26" i="84"/>
  <c r="AD112" i="84"/>
  <c r="AC112" i="84"/>
  <c r="AC6" i="84"/>
  <c r="E20" i="1" s="1"/>
  <c r="AD6" i="84"/>
  <c r="U120" i="79"/>
  <c r="X102" i="79"/>
  <c r="U70" i="79"/>
  <c r="U44" i="79"/>
  <c r="X39" i="79"/>
  <c r="U83" i="79"/>
  <c r="X27" i="79"/>
  <c r="X18" i="79"/>
  <c r="W15" i="79"/>
  <c r="X99" i="79"/>
  <c r="L5" i="79"/>
  <c r="O6" i="79"/>
  <c r="S6" i="79" s="1"/>
  <c r="AC119" i="84"/>
  <c r="AD119" i="84"/>
  <c r="AD106" i="84"/>
  <c r="AC106" i="84"/>
  <c r="AC82" i="84"/>
  <c r="AD82" i="84"/>
  <c r="AC108" i="84"/>
  <c r="X107" i="79"/>
  <c r="AC92" i="84"/>
  <c r="AC51" i="84"/>
  <c r="AD51" i="84"/>
  <c r="AD100" i="84"/>
  <c r="AC33" i="84"/>
  <c r="AD8" i="84"/>
  <c r="E171" i="1"/>
  <c r="E172" i="1" s="1"/>
  <c r="H170" i="1"/>
  <c r="V76" i="79"/>
  <c r="V46" i="79"/>
  <c r="AD74" i="84"/>
  <c r="AC74" i="84"/>
  <c r="AD18" i="84"/>
  <c r="AC18" i="84"/>
  <c r="X78" i="79"/>
  <c r="U78" i="79"/>
  <c r="V78" i="79"/>
  <c r="F4" i="55"/>
  <c r="V90" i="79"/>
  <c r="V69" i="79"/>
  <c r="U43" i="79"/>
  <c r="F4" i="53"/>
  <c r="V24" i="79"/>
  <c r="X51" i="79"/>
  <c r="D4" i="57"/>
  <c r="AD80" i="84"/>
  <c r="AC80" i="84"/>
  <c r="U65" i="79"/>
  <c r="X58" i="79"/>
  <c r="AD111" i="84"/>
  <c r="AD9" i="84"/>
  <c r="AC9" i="84"/>
  <c r="U106" i="79"/>
  <c r="AD108" i="84"/>
  <c r="AC39" i="84"/>
  <c r="AC21" i="84"/>
  <c r="AD15" i="84"/>
  <c r="AC15" i="84"/>
  <c r="AC113" i="84"/>
  <c r="E42" i="1"/>
  <c r="E27" i="1"/>
  <c r="O120" i="79" l="1"/>
  <c r="O72" i="79"/>
  <c r="S72" i="79" s="1"/>
  <c r="AB72" i="79" s="1"/>
  <c r="O94" i="79"/>
  <c r="S94" i="79" s="1"/>
  <c r="AB94" i="79" s="1"/>
  <c r="O14" i="79"/>
  <c r="S14" i="79" s="1"/>
  <c r="AB14" i="79" s="1"/>
  <c r="O36" i="79"/>
  <c r="S36" i="79" s="1"/>
  <c r="AB36" i="79" s="1"/>
  <c r="O74" i="79"/>
  <c r="S74" i="79" s="1"/>
  <c r="O68" i="79"/>
  <c r="S68" i="79" s="1"/>
  <c r="AB68" i="79" s="1"/>
  <c r="O118" i="79"/>
  <c r="S118" i="79" s="1"/>
  <c r="O108" i="79"/>
  <c r="S108" i="79" s="1"/>
  <c r="O26" i="79"/>
  <c r="O44" i="79"/>
  <c r="S44" i="79" s="1"/>
  <c r="AB44" i="79" s="1"/>
  <c r="O12" i="79"/>
  <c r="S12" i="79" s="1"/>
  <c r="AB12" i="79" s="1"/>
  <c r="O24" i="79"/>
  <c r="S24" i="79" s="1"/>
  <c r="AB24" i="79" s="1"/>
  <c r="O18" i="79"/>
  <c r="S18" i="79" s="1"/>
  <c r="AB18" i="79" s="1"/>
  <c r="O20" i="79"/>
  <c r="S20" i="79" s="1"/>
  <c r="O32" i="79"/>
  <c r="S32" i="79" s="1"/>
  <c r="AB32" i="79" s="1"/>
  <c r="M5" i="79"/>
  <c r="O16" i="79"/>
  <c r="S16" i="79" s="1"/>
  <c r="AB16" i="79" s="1"/>
  <c r="O34" i="79"/>
  <c r="S34" i="79" s="1"/>
  <c r="AB34" i="79" s="1"/>
  <c r="O48" i="79"/>
  <c r="S48" i="79" s="1"/>
  <c r="AB48" i="79" s="1"/>
  <c r="Q5" i="79"/>
  <c r="O8" i="79"/>
  <c r="S8" i="79" s="1"/>
  <c r="AB8" i="79" s="1"/>
  <c r="O10" i="79"/>
  <c r="S10" i="79" s="1"/>
  <c r="AB10" i="79" s="1"/>
  <c r="O42" i="79"/>
  <c r="S42" i="79" s="1"/>
  <c r="AB42" i="79" s="1"/>
  <c r="O46" i="79"/>
  <c r="S46" i="79" s="1"/>
  <c r="AB46" i="79" s="1"/>
  <c r="O28" i="79"/>
  <c r="S28" i="79" s="1"/>
  <c r="AB28" i="79" s="1"/>
  <c r="O30" i="79"/>
  <c r="S30" i="79" s="1"/>
  <c r="AB30" i="79" s="1"/>
  <c r="O40" i="79"/>
  <c r="S40" i="79" s="1"/>
  <c r="AB40" i="79" s="1"/>
  <c r="L13" i="123"/>
  <c r="K22" i="123" s="1"/>
  <c r="H5" i="118"/>
  <c r="L6" i="123"/>
  <c r="L5" i="123" s="1"/>
  <c r="J8" i="123" s="1"/>
  <c r="I23" i="123"/>
  <c r="W12" i="123" s="1"/>
  <c r="L146" i="1"/>
  <c r="J146" i="1"/>
  <c r="J24" i="123"/>
  <c r="J9" i="123" s="1"/>
  <c r="U13" i="123" s="1"/>
  <c r="I9" i="123"/>
  <c r="U12" i="123" s="1"/>
  <c r="K146" i="1"/>
  <c r="X16" i="79"/>
  <c r="V16" i="79"/>
  <c r="W16" i="79"/>
  <c r="U5" i="79"/>
  <c r="K4" i="53"/>
  <c r="E21" i="1"/>
  <c r="S87" i="79"/>
  <c r="S19" i="79"/>
  <c r="AB19" i="79" s="1"/>
  <c r="S35" i="79"/>
  <c r="S71" i="79"/>
  <c r="AB71" i="79" s="1"/>
  <c r="S76" i="79"/>
  <c r="S62" i="79"/>
  <c r="AB62" i="79" s="1"/>
  <c r="S79" i="79"/>
  <c r="S13" i="79"/>
  <c r="AB13" i="79" s="1"/>
  <c r="S105" i="79"/>
  <c r="S60" i="79"/>
  <c r="AB60" i="79" s="1"/>
  <c r="S26" i="79"/>
  <c r="S57" i="79"/>
  <c r="AB57" i="79" s="1"/>
  <c r="S104" i="79"/>
  <c r="S110" i="79"/>
  <c r="S78" i="79"/>
  <c r="AB78" i="79" s="1"/>
  <c r="S31" i="79"/>
  <c r="S117" i="79"/>
  <c r="AB117" i="79" s="1"/>
  <c r="S124" i="79"/>
  <c r="S116" i="79"/>
  <c r="AB116" i="79" s="1"/>
  <c r="S101" i="79"/>
  <c r="AB101" i="79" s="1"/>
  <c r="S113" i="79"/>
  <c r="S61" i="79"/>
  <c r="S50" i="79"/>
  <c r="AB50" i="79" s="1"/>
  <c r="S70" i="79"/>
  <c r="S98" i="79"/>
  <c r="AB98" i="79" s="1"/>
  <c r="S97" i="79"/>
  <c r="AB97" i="79" s="1"/>
  <c r="S49" i="79"/>
  <c r="S123" i="79"/>
  <c r="AB123" i="79" s="1"/>
  <c r="S33" i="79"/>
  <c r="S77" i="79"/>
  <c r="AB77" i="79" s="1"/>
  <c r="S90" i="79"/>
  <c r="S106" i="79"/>
  <c r="AB106" i="79" s="1"/>
  <c r="S109" i="79"/>
  <c r="S69" i="79"/>
  <c r="AB69" i="79" s="1"/>
  <c r="S100" i="79"/>
  <c r="S66" i="79"/>
  <c r="AB66" i="79" s="1"/>
  <c r="S107" i="79"/>
  <c r="S43" i="79"/>
  <c r="AB43" i="79" s="1"/>
  <c r="AA6" i="79"/>
  <c r="AB6" i="79"/>
  <c r="S27" i="79"/>
  <c r="AB27" i="79" s="1"/>
  <c r="S121" i="79"/>
  <c r="S82" i="79"/>
  <c r="AB82" i="79" s="1"/>
  <c r="S15" i="79"/>
  <c r="AB15" i="79" s="1"/>
  <c r="S59" i="79"/>
  <c r="AB59" i="79" s="1"/>
  <c r="S45" i="79"/>
  <c r="AB45" i="79" s="1"/>
  <c r="S75" i="79"/>
  <c r="AB75" i="79" s="1"/>
  <c r="S91" i="79"/>
  <c r="S25" i="79"/>
  <c r="AB25" i="79" s="1"/>
  <c r="S23" i="79"/>
  <c r="AB23" i="79" s="1"/>
  <c r="S93" i="79"/>
  <c r="AB93" i="79" s="1"/>
  <c r="S89" i="79"/>
  <c r="S52" i="79"/>
  <c r="AB52" i="79" s="1"/>
  <c r="S39" i="79"/>
  <c r="AB39" i="79" s="1"/>
  <c r="S17" i="79"/>
  <c r="AB17" i="79" s="1"/>
  <c r="S9" i="79"/>
  <c r="AB9" i="79" s="1"/>
  <c r="S73" i="79"/>
  <c r="S125" i="79"/>
  <c r="AB125" i="79" s="1"/>
  <c r="S51" i="79"/>
  <c r="AB51" i="79" s="1"/>
  <c r="S114" i="79"/>
  <c r="AB114" i="79" s="1"/>
  <c r="S53" i="79"/>
  <c r="AB53" i="79" s="1"/>
  <c r="S58" i="79"/>
  <c r="AB58" i="79" s="1"/>
  <c r="S111" i="79"/>
  <c r="S112" i="79"/>
  <c r="AB112" i="79" s="1"/>
  <c r="S56" i="79"/>
  <c r="AB56" i="79" s="1"/>
  <c r="S47" i="79"/>
  <c r="AB47" i="79" s="1"/>
  <c r="S95" i="79"/>
  <c r="S64" i="79"/>
  <c r="AB64" i="79" s="1"/>
  <c r="S63" i="79"/>
  <c r="AB63" i="79" s="1"/>
  <c r="S103" i="79"/>
  <c r="AB103" i="79" s="1"/>
  <c r="S86" i="79"/>
  <c r="AB86" i="79" s="1"/>
  <c r="S55" i="79"/>
  <c r="S83" i="79"/>
  <c r="AB83" i="79" s="1"/>
  <c r="S65" i="79"/>
  <c r="AB65" i="79" s="1"/>
  <c r="S37" i="79"/>
  <c r="AB37" i="79" s="1"/>
  <c r="S119" i="79"/>
  <c r="AB119" i="79" s="1"/>
  <c r="S88" i="79"/>
  <c r="AB88" i="79" s="1"/>
  <c r="S84" i="79"/>
  <c r="S85" i="79"/>
  <c r="AB85" i="79" s="1"/>
  <c r="S29" i="79"/>
  <c r="AB29" i="79" s="1"/>
  <c r="S92" i="79"/>
  <c r="AB92" i="79" s="1"/>
  <c r="S7" i="79"/>
  <c r="S96" i="79"/>
  <c r="AB96" i="79" s="1"/>
  <c r="S81" i="79"/>
  <c r="AB81" i="79" s="1"/>
  <c r="S67" i="79"/>
  <c r="AB67" i="79" s="1"/>
  <c r="S54" i="79"/>
  <c r="S99" i="79"/>
  <c r="AB99" i="79" s="1"/>
  <c r="S80" i="79"/>
  <c r="AB80" i="79" s="1"/>
  <c r="S115" i="79"/>
  <c r="AB115" i="79" s="1"/>
  <c r="S120" i="79"/>
  <c r="AB120" i="79" s="1"/>
  <c r="S122" i="79"/>
  <c r="Z6" i="79"/>
  <c r="K159" i="1"/>
  <c r="M143" i="1"/>
  <c r="M159" i="1"/>
  <c r="L157" i="1"/>
  <c r="M157" i="1"/>
  <c r="J157" i="1"/>
  <c r="L159" i="1"/>
  <c r="K157" i="1"/>
  <c r="K143" i="1"/>
  <c r="J159" i="1"/>
  <c r="L143" i="1"/>
  <c r="J143" i="1"/>
  <c r="V118" i="79"/>
  <c r="O38" i="79"/>
  <c r="O102" i="79"/>
  <c r="O22" i="79"/>
  <c r="X125" i="79"/>
  <c r="W95" i="79"/>
  <c r="U95" i="79"/>
  <c r="W59" i="79"/>
  <c r="W118" i="79"/>
  <c r="U26" i="79"/>
  <c r="X118" i="79"/>
  <c r="V86" i="79"/>
  <c r="U35" i="79"/>
  <c r="V33" i="79"/>
  <c r="V75" i="79"/>
  <c r="V21" i="79"/>
  <c r="U21" i="79"/>
  <c r="W13" i="79"/>
  <c r="W125" i="79"/>
  <c r="V125" i="79"/>
  <c r="V48" i="79"/>
  <c r="U119" i="79"/>
  <c r="U66" i="79"/>
  <c r="V95" i="79"/>
  <c r="X91" i="79"/>
  <c r="X21" i="79"/>
  <c r="X53" i="79"/>
  <c r="U25" i="79"/>
  <c r="W9" i="79"/>
  <c r="X74" i="79"/>
  <c r="U36" i="79"/>
  <c r="V55" i="79"/>
  <c r="V121" i="79"/>
  <c r="V124" i="79"/>
  <c r="W52" i="79"/>
  <c r="W55" i="79"/>
  <c r="X55" i="79"/>
  <c r="X41" i="79"/>
  <c r="W53" i="79"/>
  <c r="W110" i="79"/>
  <c r="V123" i="79"/>
  <c r="U89" i="79"/>
  <c r="X111" i="79"/>
  <c r="W89" i="79"/>
  <c r="X123" i="79"/>
  <c r="V89" i="79"/>
  <c r="W111" i="79"/>
  <c r="U111" i="79"/>
  <c r="X100" i="79"/>
  <c r="V17" i="79"/>
  <c r="X113" i="79"/>
  <c r="W100" i="79"/>
  <c r="U17" i="79"/>
  <c r="W49" i="79"/>
  <c r="U49" i="79"/>
  <c r="V116" i="79"/>
  <c r="X49" i="79"/>
  <c r="U123" i="79"/>
  <c r="V62" i="79"/>
  <c r="W62" i="79"/>
  <c r="U62" i="79"/>
  <c r="V18" i="79"/>
  <c r="V97" i="79"/>
  <c r="U14" i="79"/>
  <c r="U94" i="79"/>
  <c r="X63" i="79"/>
  <c r="U113" i="79"/>
  <c r="X115" i="79"/>
  <c r="U100" i="79"/>
  <c r="X17" i="79"/>
  <c r="U77" i="79"/>
  <c r="W77" i="79"/>
  <c r="W67" i="79"/>
  <c r="W101" i="79"/>
  <c r="U79" i="79"/>
  <c r="X72" i="79"/>
  <c r="V113" i="79"/>
  <c r="U32" i="79"/>
  <c r="V67" i="79"/>
  <c r="X77" i="79"/>
  <c r="U116" i="79"/>
  <c r="U41" i="79"/>
  <c r="V110" i="79"/>
  <c r="W32" i="79"/>
  <c r="U23" i="79"/>
  <c r="X84" i="79"/>
  <c r="V94" i="79"/>
  <c r="V41" i="79"/>
  <c r="X85" i="79"/>
  <c r="V84" i="79"/>
  <c r="W84" i="79"/>
  <c r="V63" i="79"/>
  <c r="X14" i="79"/>
  <c r="V96" i="79"/>
  <c r="U50" i="79"/>
  <c r="X67" i="79"/>
  <c r="U87" i="79"/>
  <c r="W46" i="79"/>
  <c r="X94" i="79"/>
  <c r="X24" i="79"/>
  <c r="X116" i="79"/>
  <c r="U99" i="79"/>
  <c r="V7" i="79"/>
  <c r="U39" i="79"/>
  <c r="V56" i="79"/>
  <c r="W97" i="79"/>
  <c r="X11" i="79"/>
  <c r="V32" i="79"/>
  <c r="W63" i="79"/>
  <c r="V87" i="79"/>
  <c r="W20" i="79"/>
  <c r="V102" i="79"/>
  <c r="U96" i="79"/>
  <c r="U97" i="79"/>
  <c r="X61" i="79"/>
  <c r="W87" i="79"/>
  <c r="U76" i="79"/>
  <c r="X120" i="79"/>
  <c r="X96" i="79"/>
  <c r="U37" i="79"/>
  <c r="U114" i="79"/>
  <c r="U20" i="79"/>
  <c r="V20" i="79"/>
  <c r="X90" i="79"/>
  <c r="V8" i="79"/>
  <c r="W47" i="79"/>
  <c r="U51" i="79"/>
  <c r="X43" i="79"/>
  <c r="U46" i="79"/>
  <c r="V28" i="79"/>
  <c r="U90" i="79"/>
  <c r="O41" i="79"/>
  <c r="V12" i="79"/>
  <c r="V65" i="79"/>
  <c r="U40" i="79"/>
  <c r="X37" i="79"/>
  <c r="X56" i="79"/>
  <c r="V22" i="79"/>
  <c r="V29" i="79"/>
  <c r="U29" i="79"/>
  <c r="X29" i="79"/>
  <c r="O11" i="79"/>
  <c r="N5" i="79"/>
  <c r="V68" i="79"/>
  <c r="X68" i="79"/>
  <c r="U68" i="79"/>
  <c r="W37" i="79"/>
  <c r="V80" i="79"/>
  <c r="X80" i="79"/>
  <c r="U80" i="79"/>
  <c r="U72" i="79"/>
  <c r="X70" i="79"/>
  <c r="U56" i="79"/>
  <c r="U42" i="79"/>
  <c r="W80" i="79"/>
  <c r="U60" i="79"/>
  <c r="V60" i="79"/>
  <c r="W60" i="79"/>
  <c r="X60" i="79"/>
  <c r="X69" i="79"/>
  <c r="V109" i="79"/>
  <c r="V72" i="79"/>
  <c r="V106" i="79"/>
  <c r="W70" i="79"/>
  <c r="X76" i="79"/>
  <c r="V27" i="79"/>
  <c r="X44" i="79"/>
  <c r="V70" i="79"/>
  <c r="W76" i="79"/>
  <c r="X42" i="79"/>
  <c r="X73" i="79"/>
  <c r="U110" i="79"/>
  <c r="W90" i="79"/>
  <c r="O21" i="79"/>
  <c r="U45" i="79"/>
  <c r="X45" i="79"/>
  <c r="V45" i="79"/>
  <c r="W14" i="79"/>
  <c r="H171" i="1"/>
  <c r="I169" i="1" s="1"/>
  <c r="V88" i="79"/>
  <c r="X88" i="79"/>
  <c r="U88" i="79"/>
  <c r="W6" i="79"/>
  <c r="U58" i="79"/>
  <c r="X6" i="79"/>
  <c r="V58" i="79"/>
  <c r="U82" i="79"/>
  <c r="W88" i="79"/>
  <c r="U103" i="79"/>
  <c r="W103" i="79"/>
  <c r="W99" i="79"/>
  <c r="V99" i="79"/>
  <c r="U7" i="79"/>
  <c r="W7" i="79"/>
  <c r="U117" i="79"/>
  <c r="V117" i="79"/>
  <c r="X117" i="79"/>
  <c r="X65" i="79"/>
  <c r="W120" i="79"/>
  <c r="V120" i="79"/>
  <c r="U105" i="79"/>
  <c r="W105" i="79"/>
  <c r="X50" i="79"/>
  <c r="W115" i="79"/>
  <c r="V115" i="79"/>
  <c r="X57" i="79"/>
  <c r="V73" i="79"/>
  <c r="X110" i="79"/>
  <c r="W117" i="79"/>
  <c r="U22" i="79"/>
  <c r="W22" i="79"/>
  <c r="X114" i="79"/>
  <c r="X34" i="79"/>
  <c r="U61" i="79"/>
  <c r="W61" i="79"/>
  <c r="X103" i="79"/>
  <c r="W73" i="79"/>
  <c r="W114" i="79"/>
  <c r="X108" i="79"/>
  <c r="U108" i="79"/>
  <c r="V108" i="79"/>
  <c r="U107" i="79"/>
  <c r="W107" i="79"/>
  <c r="W81" i="79"/>
  <c r="U81" i="79"/>
  <c r="W83" i="79"/>
  <c r="V83" i="79"/>
  <c r="U12" i="79"/>
  <c r="W12" i="79"/>
  <c r="U24" i="79"/>
  <c r="W24" i="79"/>
  <c r="W58" i="79"/>
  <c r="X106" i="79"/>
  <c r="X46" i="79"/>
  <c r="V15" i="79"/>
  <c r="U15" i="79"/>
  <c r="X15" i="79"/>
  <c r="U27" i="79"/>
  <c r="W27" i="79"/>
  <c r="W44" i="79"/>
  <c r="V44" i="79"/>
  <c r="U28" i="79"/>
  <c r="W28" i="79"/>
  <c r="V40" i="79"/>
  <c r="W40" i="79"/>
  <c r="U71" i="79"/>
  <c r="W71" i="79"/>
  <c r="X81" i="79"/>
  <c r="X71" i="79"/>
  <c r="W106" i="79"/>
  <c r="V10" i="79"/>
  <c r="U10" i="79"/>
  <c r="X10" i="79"/>
  <c r="W108" i="79"/>
  <c r="V54" i="79"/>
  <c r="U54" i="79"/>
  <c r="X54" i="79"/>
  <c r="V107" i="79"/>
  <c r="W57" i="79"/>
  <c r="U57" i="79"/>
  <c r="W34" i="79"/>
  <c r="X104" i="79"/>
  <c r="U104" i="79"/>
  <c r="V104" i="79"/>
  <c r="W104" i="79"/>
  <c r="V51" i="79"/>
  <c r="W51" i="79"/>
  <c r="V6" i="79"/>
  <c r="V43" i="79"/>
  <c r="W43" i="79"/>
  <c r="W69" i="79"/>
  <c r="U69" i="79"/>
  <c r="X82" i="79"/>
  <c r="U109" i="79"/>
  <c r="W109" i="79"/>
  <c r="W18" i="79"/>
  <c r="U18" i="79"/>
  <c r="X83" i="79"/>
  <c r="V39" i="79"/>
  <c r="W39" i="79"/>
  <c r="W102" i="79"/>
  <c r="U102" i="79"/>
  <c r="W65" i="79"/>
  <c r="U8" i="79"/>
  <c r="W8" i="79"/>
  <c r="U11" i="79"/>
  <c r="W11" i="79"/>
  <c r="W50" i="79"/>
  <c r="V81" i="79"/>
  <c r="V105" i="79"/>
  <c r="X30" i="79"/>
  <c r="U30" i="79"/>
  <c r="V30" i="79"/>
  <c r="U34" i="79"/>
  <c r="V103" i="79"/>
  <c r="W42" i="79"/>
  <c r="V31" i="79"/>
  <c r="X31" i="79"/>
  <c r="U31" i="79"/>
  <c r="W82" i="79"/>
  <c r="V38" i="79"/>
  <c r="U38" i="79"/>
  <c r="X38" i="79"/>
  <c r="W38" i="79"/>
  <c r="W54" i="79"/>
  <c r="V112" i="79"/>
  <c r="U112" i="79"/>
  <c r="X112" i="79"/>
  <c r="J22" i="123" l="1"/>
  <c r="L22" i="123"/>
  <c r="I22" i="123"/>
  <c r="L8" i="123"/>
  <c r="L24" i="123"/>
  <c r="I25" i="123" s="1"/>
  <c r="I8" i="123"/>
  <c r="J12" i="123"/>
  <c r="V13" i="123" s="1"/>
  <c r="J23" i="123"/>
  <c r="W13" i="123" s="1"/>
  <c r="M158" i="1"/>
  <c r="W152" i="1" s="1"/>
  <c r="M147" i="1"/>
  <c r="V152" i="1" s="1"/>
  <c r="L158" i="1"/>
  <c r="W151" i="1" s="1"/>
  <c r="L147" i="1"/>
  <c r="V151" i="1" s="1"/>
  <c r="K158" i="1"/>
  <c r="W150" i="1" s="1"/>
  <c r="K147" i="1"/>
  <c r="V150" i="1" s="1"/>
  <c r="J158" i="1"/>
  <c r="W149" i="1" s="1"/>
  <c r="J147" i="1"/>
  <c r="V149" i="1" s="1"/>
  <c r="F5" i="79"/>
  <c r="AD5" i="79" s="1"/>
  <c r="K6" i="123"/>
  <c r="K5" i="123" s="1"/>
  <c r="K144" i="1"/>
  <c r="U150" i="1" s="1"/>
  <c r="AA122" i="79"/>
  <c r="Z122" i="79"/>
  <c r="AA54" i="79"/>
  <c r="Z54" i="79"/>
  <c r="AA7" i="79"/>
  <c r="Z7" i="79"/>
  <c r="AA84" i="79"/>
  <c r="Z84" i="79"/>
  <c r="AA55" i="79"/>
  <c r="Z55" i="79"/>
  <c r="AA95" i="79"/>
  <c r="Z95" i="79"/>
  <c r="AA111" i="79"/>
  <c r="Z111" i="79"/>
  <c r="AA73" i="79"/>
  <c r="Z73" i="79"/>
  <c r="AA89" i="79"/>
  <c r="Z89" i="79"/>
  <c r="Z91" i="79"/>
  <c r="AA91" i="79"/>
  <c r="AA74" i="79"/>
  <c r="Z74" i="79"/>
  <c r="Z121" i="79"/>
  <c r="AA121" i="79"/>
  <c r="AB122" i="79"/>
  <c r="AB54" i="79"/>
  <c r="AB7" i="79"/>
  <c r="AB84" i="79"/>
  <c r="AB55" i="79"/>
  <c r="AB95" i="79"/>
  <c r="AB111" i="79"/>
  <c r="AB73" i="79"/>
  <c r="AB89" i="79"/>
  <c r="AB91" i="79"/>
  <c r="AB74" i="79"/>
  <c r="AB121" i="79"/>
  <c r="AA107" i="79"/>
  <c r="Z107" i="79"/>
  <c r="AA100" i="79"/>
  <c r="Z100" i="79"/>
  <c r="AA109" i="79"/>
  <c r="Z109" i="79"/>
  <c r="AA90" i="79"/>
  <c r="Z90" i="79"/>
  <c r="AA33" i="79"/>
  <c r="Z33" i="79"/>
  <c r="AA49" i="79"/>
  <c r="Z49" i="79"/>
  <c r="AA108" i="79"/>
  <c r="Z108" i="79"/>
  <c r="AA70" i="79"/>
  <c r="Z70" i="79"/>
  <c r="AA61" i="79"/>
  <c r="Z61" i="79"/>
  <c r="AA113" i="79"/>
  <c r="Z113" i="79"/>
  <c r="AA20" i="79"/>
  <c r="Z20" i="79"/>
  <c r="AA124" i="79"/>
  <c r="Z124" i="79"/>
  <c r="AA118" i="79"/>
  <c r="Z118" i="79"/>
  <c r="AA31" i="79"/>
  <c r="Z31" i="79"/>
  <c r="AA110" i="79"/>
  <c r="Z110" i="79"/>
  <c r="AA104" i="79"/>
  <c r="Z104" i="79"/>
  <c r="AA26" i="79"/>
  <c r="Z26" i="79"/>
  <c r="AA105" i="79"/>
  <c r="Z105" i="79"/>
  <c r="AA79" i="79"/>
  <c r="Z79" i="79"/>
  <c r="AA76" i="79"/>
  <c r="Z76" i="79"/>
  <c r="AA35" i="79"/>
  <c r="Z35" i="79"/>
  <c r="AA87" i="79"/>
  <c r="Z87" i="79"/>
  <c r="S21" i="79"/>
  <c r="S38" i="79"/>
  <c r="AB38" i="79" s="1"/>
  <c r="AA115" i="79"/>
  <c r="Z115" i="79"/>
  <c r="AA80" i="79"/>
  <c r="Z80" i="79"/>
  <c r="Z81" i="79"/>
  <c r="AA81" i="79"/>
  <c r="AA48" i="79"/>
  <c r="Z48" i="79"/>
  <c r="AA92" i="79"/>
  <c r="Z92" i="79"/>
  <c r="AA85" i="79"/>
  <c r="Z85" i="79"/>
  <c r="AA119" i="79"/>
  <c r="Z119" i="79"/>
  <c r="AA103" i="79"/>
  <c r="Z103" i="79"/>
  <c r="AA63" i="79"/>
  <c r="Z63" i="79"/>
  <c r="AA47" i="79"/>
  <c r="Z47" i="79"/>
  <c r="AA68" i="79"/>
  <c r="Z68" i="79"/>
  <c r="Z53" i="79"/>
  <c r="AA53" i="79"/>
  <c r="AA51" i="79"/>
  <c r="Z51" i="79"/>
  <c r="AA17" i="79"/>
  <c r="Z17" i="79"/>
  <c r="AA39" i="79"/>
  <c r="Z39" i="79"/>
  <c r="AA93" i="79"/>
  <c r="Z93" i="79"/>
  <c r="Z25" i="79"/>
  <c r="AA25" i="79"/>
  <c r="AA44" i="79"/>
  <c r="Z44" i="79"/>
  <c r="AA59" i="79"/>
  <c r="Z59" i="79"/>
  <c r="AA12" i="79"/>
  <c r="Z12" i="79"/>
  <c r="AA27" i="79"/>
  <c r="Z27" i="79"/>
  <c r="S41" i="79"/>
  <c r="AB41" i="79" s="1"/>
  <c r="S22" i="79"/>
  <c r="AA120" i="79"/>
  <c r="Z120" i="79"/>
  <c r="AA40" i="79"/>
  <c r="Z40" i="79"/>
  <c r="AA99" i="79"/>
  <c r="Z99" i="79"/>
  <c r="AA67" i="79"/>
  <c r="Z67" i="79"/>
  <c r="AA96" i="79"/>
  <c r="Z96" i="79"/>
  <c r="AA34" i="79"/>
  <c r="Z34" i="79"/>
  <c r="AA32" i="79"/>
  <c r="Z32" i="79"/>
  <c r="Z29" i="79"/>
  <c r="AA29" i="79"/>
  <c r="AA28" i="79"/>
  <c r="Z28" i="79"/>
  <c r="AA88" i="79"/>
  <c r="Z88" i="79"/>
  <c r="AA37" i="79"/>
  <c r="Z37" i="79"/>
  <c r="AA83" i="79"/>
  <c r="Z83" i="79"/>
  <c r="AA86" i="79"/>
  <c r="Z86" i="79"/>
  <c r="AA46" i="79"/>
  <c r="Z46" i="79"/>
  <c r="AA64" i="79"/>
  <c r="Z64" i="79"/>
  <c r="AA10" i="79"/>
  <c r="Z10" i="79"/>
  <c r="AA56" i="79"/>
  <c r="Z56" i="79"/>
  <c r="AA112" i="79"/>
  <c r="Z112" i="79"/>
  <c r="AA58" i="79"/>
  <c r="Z58" i="79"/>
  <c r="AA114" i="79"/>
  <c r="Z114" i="79"/>
  <c r="AA125" i="79"/>
  <c r="Z125" i="79"/>
  <c r="AA9" i="79"/>
  <c r="Z9" i="79"/>
  <c r="AA36" i="79"/>
  <c r="Z36" i="79"/>
  <c r="AA52" i="79"/>
  <c r="Z52" i="79"/>
  <c r="AA72" i="79"/>
  <c r="Z72" i="79"/>
  <c r="AA23" i="79"/>
  <c r="Z23" i="79"/>
  <c r="AA30" i="79"/>
  <c r="Z30" i="79"/>
  <c r="AA75" i="79"/>
  <c r="Z75" i="79"/>
  <c r="AA45" i="79"/>
  <c r="Z45" i="79"/>
  <c r="AA15" i="79"/>
  <c r="Z15" i="79"/>
  <c r="AA24" i="79"/>
  <c r="Z24" i="79"/>
  <c r="AA82" i="79"/>
  <c r="Z82" i="79"/>
  <c r="AA14" i="79"/>
  <c r="Z14" i="79"/>
  <c r="AA18" i="79"/>
  <c r="Z18" i="79"/>
  <c r="AB107" i="79"/>
  <c r="AB100" i="79"/>
  <c r="AB109" i="79"/>
  <c r="AB90" i="79"/>
  <c r="AB33" i="79"/>
  <c r="AB49" i="79"/>
  <c r="AB108" i="79"/>
  <c r="AB70" i="79"/>
  <c r="AB61" i="79"/>
  <c r="AB113" i="79"/>
  <c r="AB20" i="79"/>
  <c r="AB124" i="79"/>
  <c r="AB118" i="79"/>
  <c r="AB31" i="79"/>
  <c r="AB110" i="79"/>
  <c r="AB104" i="79"/>
  <c r="AB26" i="79"/>
  <c r="AB105" i="79"/>
  <c r="AB79" i="79"/>
  <c r="AB76" i="79"/>
  <c r="AB35" i="79"/>
  <c r="AB87" i="79"/>
  <c r="S11" i="79"/>
  <c r="AB11" i="79" s="1"/>
  <c r="Z65" i="79"/>
  <c r="AA65" i="79"/>
  <c r="O5" i="79"/>
  <c r="AF5" i="79"/>
  <c r="S102" i="79"/>
  <c r="AB102" i="79" s="1"/>
  <c r="AA43" i="79"/>
  <c r="Z43" i="79"/>
  <c r="AA66" i="79"/>
  <c r="Z66" i="79"/>
  <c r="AA69" i="79"/>
  <c r="Z69" i="79"/>
  <c r="AA106" i="79"/>
  <c r="Z106" i="79"/>
  <c r="AA77" i="79"/>
  <c r="Z77" i="79"/>
  <c r="AA123" i="79"/>
  <c r="Z123" i="79"/>
  <c r="Z97" i="79"/>
  <c r="AA97" i="79"/>
  <c r="AA98" i="79"/>
  <c r="Z98" i="79"/>
  <c r="AA50" i="79"/>
  <c r="Z50" i="79"/>
  <c r="AA16" i="79"/>
  <c r="Z16" i="79"/>
  <c r="AA101" i="79"/>
  <c r="Z101" i="79"/>
  <c r="AA116" i="79"/>
  <c r="Z116" i="79"/>
  <c r="AA117" i="79"/>
  <c r="Z117" i="79"/>
  <c r="AA94" i="79"/>
  <c r="Z94" i="79"/>
  <c r="AA78" i="79"/>
  <c r="Z78" i="79"/>
  <c r="AA42" i="79"/>
  <c r="Z42" i="79"/>
  <c r="AA57" i="79"/>
  <c r="Z57" i="79"/>
  <c r="AA60" i="79"/>
  <c r="Z60" i="79"/>
  <c r="Z13" i="79"/>
  <c r="AA13" i="79"/>
  <c r="AA62" i="79"/>
  <c r="Z62" i="79"/>
  <c r="AA71" i="79"/>
  <c r="Z71" i="79"/>
  <c r="AA19" i="79"/>
  <c r="Z19" i="79"/>
  <c r="AA8" i="79"/>
  <c r="Z8" i="79"/>
  <c r="M144" i="1"/>
  <c r="U152" i="1" s="1"/>
  <c r="L144" i="1"/>
  <c r="U151" i="1" s="1"/>
  <c r="J144" i="1"/>
  <c r="U149" i="1" s="1"/>
  <c r="X75" i="79"/>
  <c r="U13" i="79"/>
  <c r="V26" i="79"/>
  <c r="W26" i="79"/>
  <c r="U33" i="79"/>
  <c r="W86" i="79"/>
  <c r="X86" i="79"/>
  <c r="W91" i="79"/>
  <c r="U9" i="79"/>
  <c r="V35" i="79"/>
  <c r="W48" i="79"/>
  <c r="X26" i="79"/>
  <c r="V52" i="79"/>
  <c r="W74" i="79"/>
  <c r="W35" i="79"/>
  <c r="V36" i="79"/>
  <c r="X35" i="79"/>
  <c r="V53" i="79"/>
  <c r="X33" i="79"/>
  <c r="X9" i="79"/>
  <c r="U59" i="79"/>
  <c r="V59" i="79"/>
  <c r="W33" i="79"/>
  <c r="U86" i="79"/>
  <c r="U48" i="79"/>
  <c r="X59" i="79"/>
  <c r="U53" i="79"/>
  <c r="W75" i="79"/>
  <c r="X119" i="79"/>
  <c r="V13" i="79"/>
  <c r="W119" i="79"/>
  <c r="U75" i="79"/>
  <c r="W121" i="79"/>
  <c r="U52" i="79"/>
  <c r="X13" i="79"/>
  <c r="V119" i="79"/>
  <c r="V74" i="79"/>
  <c r="U74" i="79"/>
  <c r="V9" i="79"/>
  <c r="X48" i="79"/>
  <c r="W66" i="79"/>
  <c r="X66" i="79"/>
  <c r="V91" i="79"/>
  <c r="V66" i="79"/>
  <c r="U91" i="79"/>
  <c r="W124" i="79"/>
  <c r="V25" i="79"/>
  <c r="X124" i="79"/>
  <c r="W36" i="79"/>
  <c r="W25" i="79"/>
  <c r="X36" i="79"/>
  <c r="X25" i="79"/>
  <c r="X121" i="79"/>
  <c r="U121" i="79"/>
  <c r="X52" i="79"/>
  <c r="U124" i="79"/>
  <c r="W79" i="79"/>
  <c r="V101" i="79"/>
  <c r="X101" i="79"/>
  <c r="W23" i="79"/>
  <c r="U101" i="79"/>
  <c r="U85" i="79"/>
  <c r="V79" i="79"/>
  <c r="X79" i="79"/>
  <c r="W85" i="79"/>
  <c r="V85" i="79"/>
  <c r="V23" i="79"/>
  <c r="X23" i="79"/>
  <c r="X47" i="79"/>
  <c r="V47" i="79"/>
  <c r="U47" i="79"/>
  <c r="V122" i="79"/>
  <c r="X122" i="79"/>
  <c r="U122" i="79"/>
  <c r="W122" i="79"/>
  <c r="L160" i="1"/>
  <c r="H172" i="1"/>
  <c r="I170" i="1"/>
  <c r="I171" i="1"/>
  <c r="K160" i="1"/>
  <c r="J160" i="1"/>
  <c r="V98" i="79"/>
  <c r="X98" i="79"/>
  <c r="U98" i="79"/>
  <c r="X19" i="79"/>
  <c r="V19" i="79"/>
  <c r="U19" i="79"/>
  <c r="W98" i="79"/>
  <c r="W19" i="79"/>
  <c r="L12" i="123" l="1"/>
  <c r="V15" i="123" s="1"/>
  <c r="L9" i="123"/>
  <c r="U15" i="123" s="1"/>
  <c r="J25" i="123"/>
  <c r="L23" i="123"/>
  <c r="W15" i="123" s="1"/>
  <c r="K24" i="123"/>
  <c r="K9" i="123" s="1"/>
  <c r="U14" i="123" s="1"/>
  <c r="K8" i="123"/>
  <c r="AA22" i="79"/>
  <c r="Z22" i="79"/>
  <c r="AA21" i="79"/>
  <c r="Z21" i="79"/>
  <c r="Z11" i="79"/>
  <c r="AA11" i="79"/>
  <c r="S5" i="79"/>
  <c r="AB5" i="79" s="1"/>
  <c r="AA102" i="79"/>
  <c r="Z102" i="79"/>
  <c r="AB22" i="79"/>
  <c r="AB21" i="79"/>
  <c r="AA41" i="79"/>
  <c r="Z41" i="79"/>
  <c r="AA38" i="79"/>
  <c r="Z38" i="79"/>
  <c r="X128" i="79"/>
  <c r="V128" i="79"/>
  <c r="U127" i="79"/>
  <c r="W128" i="79"/>
  <c r="V127" i="79"/>
  <c r="W127" i="79"/>
  <c r="X127" i="79"/>
  <c r="M160" i="1"/>
  <c r="V5" i="79"/>
  <c r="X5" i="79"/>
  <c r="W5" i="79"/>
  <c r="U128" i="79"/>
  <c r="K12" i="123" l="1"/>
  <c r="V14" i="123" s="1"/>
  <c r="K23" i="123"/>
  <c r="W14" i="123" s="1"/>
  <c r="K25" i="123"/>
  <c r="L25" i="123" s="1"/>
  <c r="AA128" i="79"/>
  <c r="AB127" i="79"/>
  <c r="Z128" i="79"/>
  <c r="AA5" i="79"/>
  <c r="Z5" i="79"/>
  <c r="AA127" i="79"/>
  <c r="AB128" i="79"/>
  <c r="Z127" i="79"/>
</calcChain>
</file>

<file path=xl/comments1.xml><?xml version="1.0" encoding="utf-8"?>
<comments xmlns="http://schemas.openxmlformats.org/spreadsheetml/2006/main">
  <authors>
    <author>AXW09990</author>
  </authors>
  <commentList>
    <comment ref="M4" authorId="0">
      <text>
        <r>
          <rPr>
            <b/>
            <sz val="10"/>
            <color indexed="81"/>
            <rFont val="Tahoma"/>
            <family val="2"/>
          </rPr>
          <t>AXW09990:</t>
        </r>
        <r>
          <rPr>
            <sz val="10"/>
            <color indexed="81"/>
            <rFont val="Tahoma"/>
            <family val="2"/>
          </rPr>
          <t xml:space="preserve">
</t>
        </r>
      </text>
    </comment>
  </commentList>
</comments>
</file>

<file path=xl/sharedStrings.xml><?xml version="1.0" encoding="utf-8"?>
<sst xmlns="http://schemas.openxmlformats.org/spreadsheetml/2006/main" count="24744" uniqueCount="1367">
  <si>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</si>
  <si>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</si>
  <si>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</si>
  <si>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</si>
  <si>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</si>
  <si>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</si>
  <si>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</si>
  <si>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</si>
  <si>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</si>
  <si>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</si>
  <si>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</si>
  <si>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</si>
  <si>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</si>
  <si>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</si>
  <si>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</si>
  <si>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</si>
  <si>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</si>
  <si>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</si>
  <si>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</si>
  <si>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</si>
  <si>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</si>
  <si>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</si>
  <si>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</si>
  <si>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</si>
  <si>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</si>
  <si>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</si>
  <si>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</si>
  <si>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</si>
  <si>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</si>
  <si>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</si>
  <si>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</si>
  <si>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</si>
  <si>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</si>
  <si>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</si>
  <si>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</si>
  <si>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</si>
  <si>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</si>
  <si>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</si>
  <si>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</si>
  <si>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</si>
  <si>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</si>
  <si>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</si>
  <si>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</si>
  <si>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</si>
  <si>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</si>
  <si>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</si>
  <si>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</si>
  <si>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</si>
  <si>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</si>
  <si>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</si>
  <si>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</si>
  <si>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</si>
  <si>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</si>
  <si>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</si>
  <si>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</si>
  <si>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</si>
  <si>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</si>
  <si>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</si>
  <si>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</si>
  <si>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</si>
  <si>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</si>
  <si>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</si>
  <si>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</si>
  <si>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</si>
  <si>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</si>
  <si>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</si>
  <si>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</si>
  <si>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</si>
  <si>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</si>
  <si>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</si>
  <si>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</si>
  <si>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</si>
  <si>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</si>
  <si>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</si>
  <si>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</si>
  <si>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</si>
  <si>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</si>
  <si>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</si>
  <si>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</si>
  <si>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</si>
  <si>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</si>
  <si>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</si>
  <si>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</si>
  <si>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</si>
  <si>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</si>
  <si>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</si>
  <si>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</si>
  <si>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</si>
  <si>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</si>
  <si>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</si>
  <si>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</si>
  <si>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</si>
  <si>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</si>
  <si>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</si>
  <si>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</si>
  <si>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</si>
  <si>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</si>
  <si>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</si>
  <si>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</si>
  <si>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</si>
  <si>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</si>
  <si>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</si>
  <si>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</si>
  <si>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</si>
  <si>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</si>
  <si>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</si>
  <si>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</si>
  <si>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</si>
  <si>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</si>
  <si>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</si>
  <si>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</si>
  <si>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</si>
  <si>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</si>
  <si>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</si>
  <si>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</si>
  <si>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</si>
  <si>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</si>
  <si>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</si>
  <si>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</si>
  <si>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</si>
  <si>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</si>
  <si>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</si>
  <si>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</si>
  <si>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</si>
  <si>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</si>
  <si>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</si>
  <si>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</si>
  <si>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</si>
  <si>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</si>
  <si>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</si>
  <si>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</si>
  <si>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</si>
  <si>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</si>
  <si>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</si>
  <si>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</si>
  <si>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</si>
  <si>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</si>
  <si>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</si>
  <si>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</si>
  <si>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</si>
  <si>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</si>
  <si>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</si>
  <si>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</si>
  <si>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</si>
  <si>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</si>
  <si>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</si>
  <si>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</si>
  <si>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</si>
  <si>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</si>
  <si>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</si>
  <si>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</si>
  <si>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</si>
  <si>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</si>
  <si>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</si>
  <si>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</si>
  <si>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</si>
  <si>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</si>
  <si>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</si>
  <si>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</si>
  <si>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</si>
  <si>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</si>
  <si>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</si>
  <si>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</si>
  <si>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</si>
  <si>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</si>
  <si>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</si>
  <si>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</si>
  <si>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</si>
  <si>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</si>
  <si>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</si>
  <si>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</si>
  <si>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</si>
  <si>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</si>
  <si>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</si>
  <si>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</si>
  <si>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</si>
  <si>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</si>
  <si>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</si>
  <si>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</si>
  <si>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</si>
  <si>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</si>
  <si>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</si>
  <si>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</si>
  <si>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</si>
  <si>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</si>
  <si>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</si>
  <si>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</si>
  <si>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</si>
  <si>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</si>
  <si>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</si>
  <si>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</si>
  <si>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</si>
  <si>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</si>
  <si>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</si>
  <si>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</si>
  <si>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</si>
  <si>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</si>
  <si>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</si>
  <si>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</si>
  <si>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</si>
  <si>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</si>
  <si>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</si>
  <si>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</si>
  <si>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</si>
  <si>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</si>
  <si>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</si>
  <si>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</si>
  <si>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</si>
  <si>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</si>
  <si>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</si>
  <si>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</si>
  <si>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</si>
  <si>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</si>
  <si>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</si>
  <si>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</si>
  <si>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</si>
  <si>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</si>
  <si>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</si>
  <si>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</si>
  <si>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</si>
  <si>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</si>
  <si>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</si>
  <si>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</si>
  <si>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</si>
  <si>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</si>
  <si>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</si>
  <si>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</si>
  <si>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</si>
  <si>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</si>
  <si>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</si>
  <si>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</si>
  <si>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</si>
  <si>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</si>
  <si>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</si>
  <si>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</si>
  <si>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</si>
  <si>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</si>
  <si>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</si>
  <si>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</si>
  <si>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</si>
  <si>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</si>
  <si>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</si>
  <si>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</si>
  <si>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</si>
  <si>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</si>
  <si>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</si>
  <si>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</si>
  <si>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</si>
  <si>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</si>
  <si>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</si>
  <si>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</si>
  <si>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</si>
  <si>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Civilian Labor Force 2004</t>
  </si>
  <si>
    <t>Unemployed 2004</t>
  </si>
  <si>
    <t>Civilian Labor Force 2005</t>
  </si>
  <si>
    <t>Unemployed 2005</t>
  </si>
  <si>
    <t>Civilian Labor Force 2006</t>
  </si>
  <si>
    <t>Unemployed 2006</t>
  </si>
  <si>
    <t>Civilian Labor Force 2007</t>
  </si>
  <si>
    <t>Unemployed 2007</t>
  </si>
  <si>
    <t>Civilian Labor Force 2008</t>
  </si>
  <si>
    <t>Unemployed 2008</t>
  </si>
  <si>
    <t>Civilian Labor Force 2009</t>
  </si>
  <si>
    <t>Unemployed 2009</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</si>
  <si>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</si>
  <si>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</si>
  <si>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</si>
  <si>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</si>
  <si>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</si>
  <si>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</si>
  <si>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</si>
  <si>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</si>
  <si>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</si>
  <si>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</si>
  <si>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</si>
  <si>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</si>
  <si>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</si>
  <si>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</si>
  <si>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</si>
  <si>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</si>
  <si>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Percent</t>
  </si>
  <si>
    <t>Total</t>
  </si>
  <si>
    <t>Greensville/Emporia</t>
  </si>
  <si>
    <t>Roanoke County/ Salem</t>
  </si>
  <si>
    <t>Rockbridge/BV/ Lexington</t>
  </si>
  <si>
    <t>James City County</t>
  </si>
  <si>
    <t>Location</t>
  </si>
  <si>
    <t>King and Queen</t>
  </si>
  <si>
    <t>SNAP Participation Rate, 2004-2010, by Locality</t>
  </si>
  <si>
    <t>Alleghany-Covington</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</si>
  <si>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</si>
  <si>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</si>
  <si>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</si>
  <si>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</si>
  <si>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</si>
  <si>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</si>
  <si>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</si>
  <si>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</si>
  <si>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</si>
  <si>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</si>
  <si>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</si>
  <si>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</si>
  <si>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</si>
  <si>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</si>
  <si>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</si>
  <si>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</si>
  <si>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</si>
  <si>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Bedford Co./City</t>
  </si>
  <si>
    <t>Franklin Co.</t>
  </si>
  <si>
    <t>Halifax/ So. Boston</t>
  </si>
  <si>
    <t>York/ Poquoson</t>
  </si>
  <si>
    <t>Franklin</t>
  </si>
  <si>
    <t>Richmond</t>
  </si>
  <si>
    <t>Roanoke</t>
  </si>
  <si>
    <t>Federal</t>
  </si>
  <si>
    <t>State</t>
  </si>
  <si>
    <t>Local</t>
  </si>
  <si>
    <t>Administrative costs</t>
  </si>
  <si>
    <t>SNAP</t>
  </si>
  <si>
    <t>000_Fed</t>
  </si>
  <si>
    <t>000_Local</t>
  </si>
  <si>
    <t>000_Total</t>
  </si>
  <si>
    <t>217_Fed</t>
  </si>
  <si>
    <t>217_State</t>
  </si>
  <si>
    <t>217_Local</t>
  </si>
  <si>
    <t>217_Total</t>
  </si>
  <si>
    <t>824_Fed</t>
  </si>
  <si>
    <t>824_State</t>
  </si>
  <si>
    <t>824_Local</t>
  </si>
  <si>
    <t>824_Total</t>
  </si>
  <si>
    <t>829_Fed</t>
  </si>
  <si>
    <t>829_State</t>
  </si>
  <si>
    <t>829_Local</t>
  </si>
  <si>
    <t>829_Total</t>
  </si>
  <si>
    <t>833_Fed</t>
  </si>
  <si>
    <t>833_State</t>
  </si>
  <si>
    <t>833_Local</t>
  </si>
  <si>
    <t>833_Total</t>
  </si>
  <si>
    <t>844_State</t>
  </si>
  <si>
    <t>844_Local</t>
  </si>
  <si>
    <t>844_Total</t>
  </si>
  <si>
    <t>861_Fed</t>
  </si>
  <si>
    <t>861_State</t>
  </si>
  <si>
    <t>861_Local</t>
  </si>
  <si>
    <t>861_Total</t>
  </si>
  <si>
    <t>862_Fed</t>
  </si>
  <si>
    <t>862_State</t>
  </si>
  <si>
    <t>862_Local</t>
  </si>
  <si>
    <t>862_Total</t>
  </si>
  <si>
    <t>864_Fed</t>
  </si>
  <si>
    <t>864_State</t>
  </si>
  <si>
    <t>864_Local</t>
  </si>
  <si>
    <t>864_Total</t>
  </si>
  <si>
    <t>866_Fed</t>
  </si>
  <si>
    <t>866_State</t>
  </si>
  <si>
    <t>866_Local</t>
  </si>
  <si>
    <t>866_Total</t>
  </si>
  <si>
    <t>871_Fed</t>
  </si>
  <si>
    <t>871_State</t>
  </si>
  <si>
    <t>871_Local</t>
  </si>
  <si>
    <t>871_Total</t>
  </si>
  <si>
    <t>872_Fed</t>
  </si>
  <si>
    <t>872_State</t>
  </si>
  <si>
    <t>872_Local</t>
  </si>
  <si>
    <t>872_Total</t>
  </si>
  <si>
    <t>873_Fed</t>
  </si>
  <si>
    <t>873_State</t>
  </si>
  <si>
    <t>873_Local</t>
  </si>
  <si>
    <t>873_Total</t>
  </si>
  <si>
    <t>875_Fed</t>
  </si>
  <si>
    <t>875_State</t>
  </si>
  <si>
    <t>875_Local</t>
  </si>
  <si>
    <t>875_Total</t>
  </si>
  <si>
    <t>878_Fed</t>
  </si>
  <si>
    <t>878_State</t>
  </si>
  <si>
    <t>878_Local</t>
  </si>
  <si>
    <t>878_Total</t>
  </si>
  <si>
    <t>881_Fed</t>
  </si>
  <si>
    <t>881_State</t>
  </si>
  <si>
    <t>881_Local</t>
  </si>
  <si>
    <t>881_Total</t>
  </si>
  <si>
    <t>883_Fed</t>
  </si>
  <si>
    <t>883_State</t>
  </si>
  <si>
    <t>883_Local</t>
  </si>
  <si>
    <t>883_Total</t>
  </si>
  <si>
    <t>890_State</t>
  </si>
  <si>
    <t>890_Local</t>
  </si>
  <si>
    <t>890_Total</t>
  </si>
  <si>
    <t>895_Fed</t>
  </si>
  <si>
    <t>895_State</t>
  </si>
  <si>
    <t>895_Local</t>
  </si>
  <si>
    <t>895_Total</t>
  </si>
  <si>
    <t>Medicaid_Fed</t>
  </si>
  <si>
    <t>SNAP_Total</t>
  </si>
  <si>
    <t>SNAP_FED</t>
  </si>
  <si>
    <t>LIHEAP_Total</t>
  </si>
  <si>
    <t>811_Fed</t>
  </si>
  <si>
    <t>811_State</t>
  </si>
  <si>
    <t>811_Local</t>
  </si>
  <si>
    <t>811_Total</t>
  </si>
  <si>
    <t>812_Fed</t>
  </si>
  <si>
    <t>812_State</t>
  </si>
  <si>
    <t>812_Local</t>
  </si>
  <si>
    <t>812_Total</t>
  </si>
  <si>
    <t>817_Fed</t>
  </si>
  <si>
    <t>817_State</t>
  </si>
  <si>
    <t>817_Local</t>
  </si>
  <si>
    <t>817_Total</t>
  </si>
  <si>
    <t>Non-Reimbursable</t>
  </si>
  <si>
    <t>TANF</t>
  </si>
  <si>
    <t>867_Local</t>
  </si>
  <si>
    <t>867_Total</t>
  </si>
  <si>
    <t>808_Fed</t>
  </si>
  <si>
    <t>808_State</t>
  </si>
  <si>
    <t>808_Local</t>
  </si>
  <si>
    <t>808_Total</t>
  </si>
  <si>
    <t>810_Fed</t>
  </si>
  <si>
    <t>810_State</t>
  </si>
  <si>
    <t>810_Local</t>
  </si>
  <si>
    <t>810_Total</t>
  </si>
  <si>
    <t>848_Fed</t>
  </si>
  <si>
    <t>848_State</t>
  </si>
  <si>
    <t>848_Local</t>
  </si>
  <si>
    <t>848_Total</t>
  </si>
  <si>
    <t>867_Fed</t>
  </si>
  <si>
    <t>867_State</t>
  </si>
  <si>
    <t>804_Fed</t>
  </si>
  <si>
    <t>804_State</t>
  </si>
  <si>
    <t>804_Local</t>
  </si>
  <si>
    <t>804_Total</t>
  </si>
  <si>
    <t>813_Fed</t>
  </si>
  <si>
    <t>813_State</t>
  </si>
  <si>
    <t>813_Local</t>
  </si>
  <si>
    <t>813_Total</t>
  </si>
  <si>
    <t>819_Fed</t>
  </si>
  <si>
    <t>819_State</t>
  </si>
  <si>
    <t>819_Local</t>
  </si>
  <si>
    <t>819_Total</t>
  </si>
  <si>
    <t>Civilian Labor Force 2001</t>
  </si>
  <si>
    <t>Unemployed 2001</t>
  </si>
  <si>
    <t>Civilian Labor Force 2002</t>
  </si>
  <si>
    <t>Unemployed 2002</t>
  </si>
  <si>
    <t>Civilian Labor Force 2003</t>
  </si>
  <si>
    <t>Unemployed 2003</t>
  </si>
  <si>
    <t>2010</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</si>
  <si>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</si>
  <si>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</si>
  <si>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</si>
  <si>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</si>
  <si>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</si>
  <si>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</si>
  <si>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</si>
  <si>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</si>
  <si>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</si>
  <si>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</si>
  <si>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</si>
  <si>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</si>
  <si>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</si>
  <si>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</si>
  <si>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</si>
  <si>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</si>
  <si>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</si>
  <si>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</si>
  <si>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</si>
  <si>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</si>
  <si>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</si>
  <si>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</si>
  <si>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</si>
  <si>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</si>
  <si>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</si>
  <si>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</si>
  <si>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</si>
  <si>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</si>
  <si>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</si>
  <si>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</si>
  <si>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</si>
  <si>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</si>
  <si>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</si>
  <si>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</si>
  <si>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</si>
  <si>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</si>
  <si>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</si>
  <si>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</si>
  <si>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</si>
  <si>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</si>
  <si>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</si>
  <si>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</si>
  <si>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</si>
  <si>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</si>
  <si>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</si>
  <si>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</si>
  <si>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</si>
  <si>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</si>
  <si>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</si>
  <si>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</si>
  <si>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</si>
  <si>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</si>
  <si>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</si>
  <si>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</si>
  <si>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</si>
  <si>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</si>
  <si>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</si>
  <si>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</si>
  <si>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</si>
  <si>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</si>
  <si>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</si>
  <si>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</si>
  <si>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</si>
  <si>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</si>
  <si>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</si>
  <si>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</si>
  <si>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</si>
  <si>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</si>
  <si>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</si>
  <si>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</si>
  <si>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</si>
  <si>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</si>
  <si>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</si>
  <si>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</si>
  <si>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</si>
  <si>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</si>
  <si>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</si>
  <si>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</si>
  <si>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</si>
  <si>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</si>
  <si>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</si>
  <si>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</si>
  <si>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</si>
  <si>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</si>
  <si>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</si>
  <si>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</si>
  <si>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</si>
  <si>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</si>
  <si>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</si>
  <si>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</si>
  <si>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</si>
  <si>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</si>
  <si>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</si>
  <si>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</si>
  <si>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</si>
  <si>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</si>
  <si>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</si>
  <si>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Asian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</si>
  <si>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</si>
  <si>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</si>
  <si>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</si>
  <si>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</si>
  <si>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</si>
  <si>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</si>
  <si>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</si>
  <si>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</si>
  <si>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</si>
  <si>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</si>
  <si>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</si>
  <si>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</si>
  <si>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</si>
  <si>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</si>
  <si>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</si>
  <si>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</si>
  <si>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</si>
  <si>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</si>
  <si>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</si>
  <si>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</si>
  <si>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</si>
  <si>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</si>
  <si>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Notes:  Budget line (BL) key for spending categories.</t>
  </si>
  <si>
    <t>Adoptions_Open</t>
  </si>
  <si>
    <t>Adoptions_Closed</t>
  </si>
  <si>
    <t>Adoptions_Continue</t>
  </si>
  <si>
    <t>Average Adoption Cases Continued</t>
  </si>
  <si>
    <t>Source: OASIS Statistical Care Report</t>
  </si>
  <si>
    <t>http://spark.dss.virginia.gov/divisions/dfs/generic_reports/</t>
  </si>
  <si>
    <t>Medicaid Children</t>
  </si>
  <si>
    <t>Medicaid Adults</t>
  </si>
  <si>
    <t>SNAP Children</t>
  </si>
  <si>
    <t>SNAP Adults</t>
  </si>
  <si>
    <t>TANF Children</t>
  </si>
  <si>
    <t>TANF Adults</t>
  </si>
  <si>
    <t>Recipients</t>
  </si>
  <si>
    <t>Population</t>
  </si>
  <si>
    <t>Percent Receiving Assistance</t>
  </si>
  <si>
    <t>Other race</t>
  </si>
  <si>
    <t>Total Recipients</t>
  </si>
  <si>
    <t>The password for the main sheet is:</t>
  </si>
  <si>
    <t>research</t>
  </si>
  <si>
    <t>lower case</t>
  </si>
  <si>
    <t>Medicaid Clients</t>
  </si>
  <si>
    <t>2011</t>
  </si>
  <si>
    <t>TANF SFY 2011</t>
  </si>
  <si>
    <t>Civilian Labor Force 2010</t>
  </si>
  <si>
    <t>Unemployed 2010</t>
  </si>
  <si>
    <t>Civilian Labor Force 2011</t>
  </si>
  <si>
    <t>Unemployed 2011</t>
  </si>
  <si>
    <t>000_State</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</si>
  <si>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</si>
  <si>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</si>
  <si>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</si>
  <si>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</si>
  <si>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</si>
  <si>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</si>
  <si>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</si>
  <si>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</si>
  <si>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</si>
  <si>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</si>
  <si>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</si>
  <si>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</si>
  <si>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</si>
  <si>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</si>
  <si>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</si>
  <si>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</si>
  <si>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Bedford Co./Bedford City</t>
  </si>
  <si>
    <t>Roanoke Co./Salem</t>
  </si>
  <si>
    <t>% of Total Positions</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</si>
  <si>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</si>
  <si>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</si>
  <si>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</si>
  <si>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</si>
  <si>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</si>
  <si>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</si>
  <si>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Hispanic/Latino</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</si>
  <si>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</si>
  <si>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</si>
  <si>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</si>
  <si>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</si>
  <si>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</si>
  <si>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</si>
  <si>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</si>
  <si>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</si>
  <si>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</si>
  <si>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</si>
  <si>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</si>
  <si>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</si>
  <si>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</si>
  <si>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</si>
  <si>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</si>
  <si>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</si>
  <si>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</si>
  <si>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</si>
  <si>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Married</t>
  </si>
  <si>
    <t>Advisory</t>
  </si>
  <si>
    <t>Fairfax County/Fairfax City/Falls Church</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</si>
  <si>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</si>
  <si>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</si>
  <si>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</si>
  <si>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</si>
  <si>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</si>
  <si>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</si>
  <si>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</si>
  <si>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</si>
  <si>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</si>
  <si>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</si>
  <si>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</si>
  <si>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</si>
  <si>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</si>
  <si>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</si>
  <si>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</si>
  <si>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</si>
  <si>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</si>
  <si>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</si>
  <si>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</si>
  <si>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</si>
  <si>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</si>
  <si>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</si>
  <si>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</si>
  <si>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</si>
  <si>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</si>
  <si>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</si>
  <si>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</si>
  <si>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</si>
  <si>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</si>
  <si>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</si>
  <si>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</si>
  <si>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</si>
  <si>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</si>
  <si>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</si>
  <si>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</si>
  <si>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</si>
  <si>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</si>
  <si>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</si>
  <si>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</si>
  <si>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</si>
  <si>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</si>
  <si>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</si>
  <si>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</si>
  <si>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</si>
  <si>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</si>
  <si>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</si>
  <si>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</si>
  <si>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</si>
  <si>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</si>
  <si>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</si>
  <si>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</si>
  <si>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</si>
  <si>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</si>
  <si>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</si>
  <si>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Client Benefits</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</si>
  <si>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</si>
  <si>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</si>
  <si>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</si>
  <si>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</si>
  <si>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</si>
  <si>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</si>
  <si>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</si>
  <si>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</si>
  <si>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</si>
  <si>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</si>
  <si>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</si>
  <si>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</si>
  <si>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</si>
  <si>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</si>
  <si>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</si>
  <si>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</si>
  <si>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</si>
  <si>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</si>
  <si>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</si>
  <si>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</si>
  <si>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</si>
  <si>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</si>
  <si>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</si>
  <si>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</si>
  <si>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Adults (18-64 years)</t>
  </si>
  <si>
    <t>Elderly Adults (65+ years)</t>
  </si>
  <si>
    <t>Agency Level</t>
  </si>
  <si>
    <t>Asian/PI</t>
  </si>
  <si>
    <t>AI/AN</t>
  </si>
  <si>
    <t>Regions</t>
  </si>
  <si>
    <t>All races</t>
  </si>
  <si>
    <t>Elderly</t>
  </si>
  <si>
    <t>Percentage of Total Population - By Age Group</t>
  </si>
  <si>
    <t>Pop. (all ages)</t>
  </si>
  <si>
    <t>Percentage of Total Population - By Race</t>
  </si>
  <si>
    <t>% of Total</t>
  </si>
  <si>
    <t>SNAP SFY 2012</t>
  </si>
  <si>
    <t>Black/African American</t>
  </si>
  <si>
    <r>
      <t>Type of Agency Board:</t>
    </r>
    <r>
      <rPr>
        <b/>
        <vertAlign val="superscript"/>
        <sz val="9"/>
        <color indexed="8"/>
        <rFont val="Cambria"/>
        <family val="1"/>
      </rPr>
      <t>4</t>
    </r>
  </si>
  <si>
    <t>Unemployed 2000</t>
  </si>
  <si>
    <t>Civilian Labor Force 2000</t>
  </si>
  <si>
    <t>Number of Filled Positions</t>
  </si>
  <si>
    <t>Number of Unfilled Positions</t>
  </si>
  <si>
    <t>Total Number of Positions</t>
  </si>
  <si>
    <t>SNAP SFY 2011</t>
  </si>
  <si>
    <t>TANF SFY 2012</t>
  </si>
  <si>
    <t>Adult 65+ years</t>
  </si>
  <si>
    <t>Source: Virginia Department of Health. Bridged race estimates come from the National Center for Health Statistics. "Other race" includes Asians, Hawaiians/Pacific Islanders, American Indians, and Alaskan Natives. Hispanic origin is not mutually exclusive of race.</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</si>
  <si>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</si>
  <si>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</si>
  <si>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</si>
  <si>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</si>
  <si>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</si>
  <si>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</si>
  <si>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</si>
  <si>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</si>
  <si>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</si>
  <si>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</si>
  <si>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</si>
  <si>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</si>
  <si>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</si>
  <si>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</si>
  <si>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</si>
  <si>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</si>
  <si>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</si>
  <si>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</si>
  <si>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r>
      <t>Medicaid</t>
    </r>
    <r>
      <rPr>
        <vertAlign val="superscript"/>
        <sz val="9"/>
        <color indexed="8"/>
        <rFont val="Cambria"/>
        <family val="1"/>
      </rPr>
      <t>1</t>
    </r>
  </si>
  <si>
    <t>844_Fed</t>
  </si>
  <si>
    <t>Medicaid SFY 2009</t>
  </si>
  <si>
    <t>Medicaid SFY 2010</t>
  </si>
  <si>
    <t>Medicaid SFY 2011</t>
  </si>
  <si>
    <t>Medicaid SFY 2012</t>
  </si>
  <si>
    <t>18-40</t>
  </si>
  <si>
    <t>Race/Ethnicity</t>
  </si>
  <si>
    <t>Age Group (years)</t>
  </si>
  <si>
    <t>Number of Clients Receiving AG (Auxiliary Grant) Services, SFY 2012</t>
  </si>
  <si>
    <t>NH/PI</t>
  </si>
  <si>
    <t>Unknown</t>
  </si>
  <si>
    <t>Fairfax Co.-City/Falls Church</t>
  </si>
  <si>
    <t>Number of Foster Children Adopted, by Race of Child, FFY 2012</t>
  </si>
  <si>
    <t>"Other" race includes Hispanics, American Indians, Hawaiians and Pacific Islanders, Multi-racial, and missing or unavailable race.</t>
  </si>
  <si>
    <t>Source: VDSS, Division of Family Services, ASAPS (Adult Services Adult Protectives Services) data system.</t>
  </si>
  <si>
    <t>Race</t>
  </si>
  <si>
    <t>Age (in years)</t>
  </si>
  <si>
    <t>41-60</t>
  </si>
  <si>
    <t>61 and older</t>
  </si>
  <si>
    <t>Number of People (All Ages) living in Poverty in locality</t>
  </si>
  <si>
    <t>Percent of People (All Ages) living in Poverty in locality</t>
  </si>
  <si>
    <t>Number of Children (&lt; 18 years) living in Poverty in locality</t>
  </si>
  <si>
    <t>Percent of Children (&lt; 18 years) living in Poverty in locality</t>
  </si>
  <si>
    <t>SFY 2012</t>
  </si>
  <si>
    <t>Halifax County</t>
  </si>
  <si>
    <t>Henry County</t>
  </si>
  <si>
    <t>Martinsville City</t>
  </si>
  <si>
    <t>Elderly (65 years and older)</t>
  </si>
  <si>
    <t>Non-Elderly (18-64 years)</t>
  </si>
  <si>
    <t>Non-Elderly</t>
  </si>
  <si>
    <t>Children (under 18)</t>
  </si>
  <si>
    <t>Augusta County/Staunton/Waynesboro</t>
  </si>
  <si>
    <t>Statewide (subtotal)</t>
  </si>
  <si>
    <t>Total (incl. state mental health facilities)</t>
  </si>
  <si>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</si>
  <si>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</si>
  <si>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</si>
  <si>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</si>
  <si>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</si>
  <si>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</si>
  <si>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</si>
  <si>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</si>
  <si>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B17024: AGE BY RATIO OF INCOME TO POVERTY LEVEL IN THE PAST 12 MONTHS - Universe: Population for whom poverty status is determined</t>
  </si>
  <si>
    <t>2007-2011 American Community Survey 5-Year Estimates</t>
  </si>
  <si>
    <t/>
  </si>
  <si>
    <t>Est. Population Count (&lt; 125% FPL)</t>
  </si>
  <si>
    <t>Under 6 years</t>
  </si>
  <si>
    <t>6 to 11 years</t>
  </si>
  <si>
    <t>12 to 17 years</t>
  </si>
  <si>
    <t>18 to 24 years</t>
  </si>
  <si>
    <t>25 to 34 years</t>
  </si>
  <si>
    <t>35 to 44 years</t>
  </si>
  <si>
    <t>45 to 54 years</t>
  </si>
  <si>
    <t>55 to 64 years</t>
  </si>
  <si>
    <t>65 to 74 years</t>
  </si>
  <si>
    <t>75 years and older</t>
  </si>
  <si>
    <t>&lt;125%</t>
  </si>
  <si>
    <t>125% and above</t>
  </si>
  <si>
    <t>&lt;125% FPL</t>
  </si>
  <si>
    <t>Pop - 2011</t>
  </si>
  <si>
    <t>Virginia</t>
  </si>
  <si>
    <t>Total (all ages)</t>
  </si>
  <si>
    <t>SFY 2013</t>
  </si>
  <si>
    <t>SNAP SFY 2013</t>
  </si>
  <si>
    <t>TANF SFY 2013</t>
  </si>
  <si>
    <t>Medicaid SFY 2013</t>
  </si>
  <si>
    <t>2012</t>
  </si>
  <si>
    <t xml:space="preserve">Civilian Labor Force 2012 </t>
  </si>
  <si>
    <t>Unemployed 2012</t>
  </si>
  <si>
    <t xml:space="preserve">Source: Virginia Employment Commission. Rates are not seasonally adjusted. </t>
  </si>
  <si>
    <t>Direct</t>
  </si>
  <si>
    <t>Indirect</t>
  </si>
  <si>
    <t xml:space="preserve">Direct </t>
  </si>
  <si>
    <t>Total (less invalid)</t>
  </si>
  <si>
    <t>By Age Group</t>
  </si>
  <si>
    <t>65+ years</t>
  </si>
  <si>
    <t>18-64 years</t>
  </si>
  <si>
    <t>0-17 years</t>
  </si>
  <si>
    <t>Other race*</t>
  </si>
  <si>
    <t>Goochlan</t>
  </si>
  <si>
    <t xml:space="preserve">Civilian Labor Force 2013 </t>
  </si>
  <si>
    <t>Unemployed 2013</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</si>
  <si>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</si>
  <si>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</si>
  <si>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888_Fed</t>
  </si>
  <si>
    <t>888_State</t>
  </si>
  <si>
    <t>888_Local</t>
  </si>
  <si>
    <t>888_Total</t>
  </si>
  <si>
    <t>816_Fed</t>
  </si>
  <si>
    <t>816_State</t>
  </si>
  <si>
    <t>816_Local</t>
  </si>
  <si>
    <t>816_Total</t>
  </si>
  <si>
    <t>871 (50%/50%)</t>
  </si>
  <si>
    <t>878 (100% Fed)</t>
  </si>
  <si>
    <t>881 (50%/50%)</t>
  </si>
  <si>
    <t>883 (100% Fed)</t>
  </si>
  <si>
    <t>Grand Total</t>
  </si>
  <si>
    <t>Fed/State Total</t>
  </si>
  <si>
    <t>STATE</t>
  </si>
  <si>
    <t>Multiracial</t>
  </si>
  <si>
    <t>By Race &amp; Ethnicity</t>
  </si>
  <si>
    <r>
      <rPr>
        <b/>
        <sz val="12"/>
        <rFont val="Calibri"/>
        <family val="2"/>
      </rPr>
      <t>Source:</t>
    </r>
    <r>
      <rPr>
        <sz val="12"/>
        <rFont val="Calibri"/>
        <family val="2"/>
      </rPr>
      <t xml:space="preserve"> Virginia Department of Health, Division of Health Statistics. Bridged-race population estimates were obtained from the National Center for Health Statistics.  Hispanic origin is not mutually exclusive of race categories. "Other race" is Asian/Pacific Islander (PI) and American Indian/Alaskan Native (AI/AN) combined.</t>
    </r>
  </si>
  <si>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</si>
  <si>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</si>
  <si>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</si>
  <si>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</si>
  <si>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</si>
  <si>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</si>
  <si>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</si>
  <si>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SNAP SFY 2014</t>
  </si>
  <si>
    <t>TANF SFY 2014</t>
  </si>
  <si>
    <t>Medicaid SFY 2014</t>
  </si>
  <si>
    <t>SFY 2014</t>
  </si>
  <si>
    <t>Gender</t>
  </si>
  <si>
    <t>Children receiving adoption assistance</t>
  </si>
  <si>
    <t>Non-Marital Births</t>
  </si>
  <si>
    <t>Teen Births</t>
  </si>
  <si>
    <t>Rate</t>
  </si>
  <si>
    <t>Age Group</t>
  </si>
  <si>
    <r>
      <t>Any Benefit Program</t>
    </r>
    <r>
      <rPr>
        <vertAlign val="superscript"/>
        <sz val="9"/>
        <color theme="1"/>
        <rFont val="Cambria"/>
        <family val="1"/>
        <scheme val="major"/>
      </rPr>
      <t>2</t>
    </r>
  </si>
  <si>
    <r>
      <t>Any Program</t>
    </r>
    <r>
      <rPr>
        <b/>
        <vertAlign val="superscript"/>
        <sz val="9"/>
        <rFont val="Cambria"/>
        <family val="1"/>
        <scheme val="major"/>
      </rPr>
      <t>2</t>
    </r>
  </si>
  <si>
    <t>Number of Non-Marital Births</t>
  </si>
  <si>
    <t>Percentage of Live Births that are Non-Marital</t>
  </si>
  <si>
    <t>Number of Teen Births</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</si>
  <si>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</si>
  <si>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</si>
  <si>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</si>
  <si>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</si>
  <si>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</si>
  <si>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</si>
  <si>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Source: Virginia Department of Health. Based on records of live births among unmarried women aged 15-44 years and among teens aged 10-19 years. Teen birth rate is per 1,000 population.</t>
  </si>
  <si>
    <t>Source: Virginia Department of Social Services, Division of Information Services.  Information was updated on 12/11/2012.</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</si>
  <si>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</si>
  <si>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</si>
  <si>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</si>
  <si>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</si>
  <si>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</si>
  <si>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</si>
  <si>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</si>
  <si>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</si>
  <si>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</si>
  <si>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Total Children under 6 in Family Households</t>
  </si>
  <si>
    <t>Children Under 6 Living in Married-Couple HH</t>
  </si>
  <si>
    <t>Children Under 6 Living in Single Parent HH</t>
  </si>
  <si>
    <t>Children Under 6 Living in Father Only HH</t>
  </si>
  <si>
    <t>Children Under 6 Living in Mother Only HH</t>
  </si>
  <si>
    <t>% Children Under 6 Living in Married Couple HH</t>
  </si>
  <si>
    <t>% Children Under 6 Living in Single Parent HH</t>
  </si>
  <si>
    <t>% Children Under 6 Living in Father Only HH</t>
  </si>
  <si>
    <t>% Children Under 6 Living in Mother Only HH</t>
  </si>
  <si>
    <t>PD</t>
  </si>
  <si>
    <t>EA FFY 2013</t>
  </si>
  <si>
    <t>EA FFY 2014</t>
  </si>
  <si>
    <t>Source: VDSS, Energy Assistance Reports. Unduplicated number of clients served by federal fiscal year.</t>
  </si>
  <si>
    <t>NA</t>
  </si>
  <si>
    <t>All Ages</t>
  </si>
  <si>
    <t>Ages 0-17 years</t>
  </si>
  <si>
    <t>Ages 5-17 years</t>
  </si>
  <si>
    <t>SAIPE Poverty Universe</t>
  </si>
  <si>
    <t>Poverty Count</t>
  </si>
  <si>
    <t>Poverty Percent</t>
  </si>
  <si>
    <t>Bedford</t>
  </si>
  <si>
    <t>Bedford County</t>
  </si>
  <si>
    <r>
      <t>Staff and operations</t>
    </r>
    <r>
      <rPr>
        <vertAlign val="superscript"/>
        <sz val="9"/>
        <color theme="1"/>
        <rFont val="Cambria"/>
        <family val="1"/>
        <scheme val="major"/>
      </rPr>
      <t>1</t>
    </r>
  </si>
  <si>
    <t>850_Fed</t>
  </si>
  <si>
    <t>850_State</t>
  </si>
  <si>
    <t>850_Local</t>
  </si>
  <si>
    <t>850-Fund 0033</t>
  </si>
  <si>
    <t>850-Fund 0077</t>
  </si>
  <si>
    <t>850_Total</t>
  </si>
  <si>
    <t>852_Fed</t>
  </si>
  <si>
    <t>852_State</t>
  </si>
  <si>
    <t>852_Local</t>
  </si>
  <si>
    <t>852_Fund 0033</t>
  </si>
  <si>
    <t>852-Fund 0077</t>
  </si>
  <si>
    <t>852_Total</t>
  </si>
  <si>
    <t>855_Fed</t>
  </si>
  <si>
    <t>855_State</t>
  </si>
  <si>
    <t>855_Local</t>
  </si>
  <si>
    <t>855_Fund 0033</t>
  </si>
  <si>
    <t>855-Fund 0077</t>
  </si>
  <si>
    <t>855_Total</t>
  </si>
  <si>
    <t>858_Fed</t>
  </si>
  <si>
    <t>858_State</t>
  </si>
  <si>
    <t>858_Local</t>
  </si>
  <si>
    <t>858_Fund 0033</t>
  </si>
  <si>
    <t>858-Fund 0077</t>
  </si>
  <si>
    <t>858_Total</t>
  </si>
  <si>
    <t>Fund 0033</t>
  </si>
  <si>
    <t>Fund 0077</t>
  </si>
  <si>
    <t>Non-Reimbursable (0033 &amp; 0077)</t>
  </si>
  <si>
    <t>Local &amp; NER comb.</t>
  </si>
  <si>
    <r>
      <t>Other expenses</t>
    </r>
    <r>
      <rPr>
        <vertAlign val="superscript"/>
        <sz val="9"/>
        <color theme="1"/>
        <rFont val="Cambria"/>
        <family val="1"/>
        <scheme val="major"/>
      </rPr>
      <t>2</t>
    </r>
  </si>
  <si>
    <t>000_Fund 0033</t>
  </si>
  <si>
    <t>000_Fund 0077</t>
  </si>
  <si>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</si>
  <si>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</si>
  <si>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</si>
  <si>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TANF_ARRA</t>
  </si>
  <si>
    <t>TANF_State</t>
  </si>
  <si>
    <t>TANF_Local</t>
  </si>
  <si>
    <t>TANF_NER</t>
  </si>
  <si>
    <t>TANF_Total</t>
  </si>
  <si>
    <r>
      <t>TANF</t>
    </r>
    <r>
      <rPr>
        <vertAlign val="superscript"/>
        <sz val="9"/>
        <color theme="1"/>
        <rFont val="Cambria"/>
        <family val="1"/>
        <scheme val="major"/>
      </rPr>
      <t>5</t>
    </r>
  </si>
  <si>
    <t>810_Fund 0033</t>
  </si>
  <si>
    <t>848_Fund 0033</t>
  </si>
  <si>
    <t>848_Fund 0077</t>
  </si>
  <si>
    <t>867_Fund 0033</t>
  </si>
  <si>
    <t>867_Fund 0077</t>
  </si>
  <si>
    <t>808_Fund 0033</t>
  </si>
  <si>
    <t>LIHEAP_ARRA</t>
  </si>
  <si>
    <t>LIHEAP_State Share</t>
  </si>
  <si>
    <t>LIHEAP_Local Share</t>
  </si>
  <si>
    <t>LIHEAP_Fed Share</t>
  </si>
  <si>
    <t>LIHEAP_NER</t>
  </si>
  <si>
    <t>LIHEAP_Local/NER</t>
  </si>
  <si>
    <t>843_Fed</t>
  </si>
  <si>
    <t>843_State</t>
  </si>
  <si>
    <t>843_Local</t>
  </si>
  <si>
    <t>843_Fund 0033</t>
  </si>
  <si>
    <t>843_Fund 0077</t>
  </si>
  <si>
    <t>843_Total</t>
  </si>
  <si>
    <r>
      <t>Foster care and adoption</t>
    </r>
    <r>
      <rPr>
        <vertAlign val="superscript"/>
        <sz val="9"/>
        <color theme="1"/>
        <rFont val="Cambria"/>
        <family val="1"/>
        <scheme val="major"/>
      </rPr>
      <t>6</t>
    </r>
  </si>
  <si>
    <t>811_Fund 0033</t>
  </si>
  <si>
    <t>811_Fund 0077</t>
  </si>
  <si>
    <t>811_NER</t>
  </si>
  <si>
    <t>811_Local &amp; NER comb.</t>
  </si>
  <si>
    <t>Local/NER comb.</t>
  </si>
  <si>
    <t>812_Fund 0033</t>
  </si>
  <si>
    <t>812_Fund 0077</t>
  </si>
  <si>
    <t>812_NER</t>
  </si>
  <si>
    <t>812_Local &amp; NER comb.</t>
  </si>
  <si>
    <t>817_Fund 0033</t>
  </si>
  <si>
    <t>817_Fund 0077</t>
  </si>
  <si>
    <t>817_NER</t>
  </si>
  <si>
    <t>817_Local &amp; NER comb.</t>
  </si>
  <si>
    <t>816_Fund 0033</t>
  </si>
  <si>
    <t>816_Fund 0077</t>
  </si>
  <si>
    <t>816_NER</t>
  </si>
  <si>
    <t>816_Local &amp; NER comb.</t>
  </si>
  <si>
    <t>CSA_LOCAL</t>
  </si>
  <si>
    <t>CSA_FED</t>
  </si>
  <si>
    <t>CSA_STATE</t>
  </si>
  <si>
    <t>CSA_Non-Reimbursed</t>
  </si>
  <si>
    <t>CSA_Total</t>
  </si>
  <si>
    <t>CSA_Local/NER comb.</t>
  </si>
  <si>
    <r>
      <t>Comprehensive Services (Title IV-E)</t>
    </r>
    <r>
      <rPr>
        <vertAlign val="superscript"/>
        <sz val="9"/>
        <color theme="1"/>
        <rFont val="Cambria"/>
        <family val="1"/>
        <scheme val="major"/>
      </rPr>
      <t>7</t>
    </r>
  </si>
  <si>
    <t xml:space="preserve">(2) Other operational expenses: 000 (Miscellaneous), 805 (Pre-Occupancy Local Facilities Cost), and 843 (Central Service Cost Allocation). </t>
  </si>
  <si>
    <r>
      <t>Child Care</t>
    </r>
    <r>
      <rPr>
        <vertAlign val="superscript"/>
        <sz val="9"/>
        <color theme="1"/>
        <rFont val="Cambria"/>
        <family val="1"/>
        <scheme val="major"/>
      </rPr>
      <t>8</t>
    </r>
  </si>
  <si>
    <r>
      <t>Other Benefits</t>
    </r>
    <r>
      <rPr>
        <vertAlign val="superscript"/>
        <sz val="9"/>
        <color theme="1"/>
        <rFont val="Cambria"/>
        <family val="1"/>
        <scheme val="major"/>
      </rPr>
      <t>9</t>
    </r>
  </si>
  <si>
    <t>804_Fund 0033</t>
  </si>
  <si>
    <t>804_Fund 077</t>
  </si>
  <si>
    <t>813_Fund 0033</t>
  </si>
  <si>
    <t>813_Fund 077</t>
  </si>
  <si>
    <t>819_Fund 0033</t>
  </si>
  <si>
    <t>819_Fund 0077</t>
  </si>
  <si>
    <t>864_Fund 0033</t>
  </si>
  <si>
    <t>864_Fund 0077</t>
  </si>
  <si>
    <t>866_Fund 0077</t>
  </si>
  <si>
    <t>866_Fund 0033</t>
  </si>
  <si>
    <t>217_Fund 0033</t>
  </si>
  <si>
    <t>217_Fund 0077</t>
  </si>
  <si>
    <t>824_Fund 0033</t>
  </si>
  <si>
    <t>824_Fund 0077</t>
  </si>
  <si>
    <t>829_Fund 0033</t>
  </si>
  <si>
    <t>829_Fund 0077</t>
  </si>
  <si>
    <t>833_Fund 0033</t>
  </si>
  <si>
    <t>833_Fund 0077</t>
  </si>
  <si>
    <t>844_Fund 0033</t>
  </si>
  <si>
    <t>844_Fund 0077</t>
  </si>
  <si>
    <t>861_Fund 0033</t>
  </si>
  <si>
    <t>861_Fund 0077</t>
  </si>
  <si>
    <t>862_Fund 0033</t>
  </si>
  <si>
    <t>862_Local 0077</t>
  </si>
  <si>
    <t>871_Fund 0033</t>
  </si>
  <si>
    <t>871_Fund 0077</t>
  </si>
  <si>
    <t>872_Fund 0033</t>
  </si>
  <si>
    <t>872_Fund 0077</t>
  </si>
  <si>
    <t>873_Fund 0033</t>
  </si>
  <si>
    <t>873_Fund 0077</t>
  </si>
  <si>
    <t>875_Fund 0033</t>
  </si>
  <si>
    <t>875_Fund 0077</t>
  </si>
  <si>
    <t>878_Fund 0033</t>
  </si>
  <si>
    <t>878_Fund 0077</t>
  </si>
  <si>
    <t>881_Fund 0033</t>
  </si>
  <si>
    <t>881_Fund 0077</t>
  </si>
  <si>
    <t>883_Fund 0033</t>
  </si>
  <si>
    <t>883_Fund 0077</t>
  </si>
  <si>
    <t>888_Fund 0033</t>
  </si>
  <si>
    <t>888_Fund 0077</t>
  </si>
  <si>
    <t>890_Fund 0033</t>
  </si>
  <si>
    <t>890_Fund 0077</t>
  </si>
  <si>
    <t>895_Fund 0033</t>
  </si>
  <si>
    <t>895_Fund 0077</t>
  </si>
  <si>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</si>
  <si>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</si>
  <si>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</si>
  <si>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</si>
  <si>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</si>
  <si>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</si>
  <si>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</si>
  <si>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</si>
  <si>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</si>
  <si>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Admini-stration</t>
  </si>
  <si>
    <t>All Sources</t>
  </si>
  <si>
    <t>Total SS Spending</t>
  </si>
  <si>
    <t>808_Fund 077</t>
  </si>
  <si>
    <t>810_Fund 077</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</si>
  <si>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</si>
  <si>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</si>
  <si>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</si>
  <si>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Admin/Services/Benefits comb.</t>
  </si>
  <si>
    <t>All Spending</t>
  </si>
  <si>
    <t>Local Spending</t>
  </si>
  <si>
    <t>Missing</t>
  </si>
  <si>
    <t>Benefit Clients Served (unduplicated)</t>
  </si>
  <si>
    <t>Source: LASER, Statewide Summary. "NER" = Expenses not eligible for reimbursement. Costs rounded to whole dollars.</t>
  </si>
  <si>
    <t>Source: VDSS, VaCMS. Unduplicated number of families served by state fiscal year.</t>
  </si>
  <si>
    <t>0-5</t>
  </si>
  <si>
    <t>6-10</t>
  </si>
  <si>
    <t>19+</t>
  </si>
  <si>
    <t>Children in foster care (as of Sept. 30)</t>
  </si>
  <si>
    <t>0-5 years</t>
  </si>
  <si>
    <t>6-10 years</t>
  </si>
  <si>
    <t>11-15 years</t>
  </si>
  <si>
    <t>16-18 years</t>
  </si>
  <si>
    <t>19+ years</t>
  </si>
  <si>
    <t>County Executive</t>
  </si>
  <si>
    <t>Deputy County Administrator</t>
  </si>
  <si>
    <t>City Manager</t>
  </si>
  <si>
    <t>2013 vs 2014</t>
  </si>
  <si>
    <t>2012 vs. 2013</t>
  </si>
  <si>
    <t>Area/Region</t>
  </si>
  <si>
    <t>Source: Virginia Department of Health, Division of Health Statistics, Resident live birth data.  "Other" race refers to residents who are Asian, Hawaiian/Pacific Islander, or American Indian/Alaskan Native. The statewide total includes two births where locality was not specified.</t>
  </si>
  <si>
    <t>Female Teen Population</t>
  </si>
  <si>
    <t>Female Teen (10-19 years) Population</t>
  </si>
  <si>
    <t>Civilian Labor Force 2014</t>
  </si>
  <si>
    <t>Unemployed 2014</t>
  </si>
  <si>
    <t>Number of SNAP Recipients by State Fiscal Year, 2005-2015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</si>
  <si>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t>
  </si>
  <si>
    <t>2014 vs 2015</t>
  </si>
  <si>
    <t>Number of TANF Recipients by State Fiscal Year, 2005-2015</t>
  </si>
  <si>
    <t>TANF SFY 2015</t>
  </si>
  <si>
    <t>Medicaid SFY 2015</t>
  </si>
  <si>
    <t>Number of Medicaid Clients by State Fiscal Year, 2009-2015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</si>
  <si>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 Locality and state counts exclude clients enrolled from state mental health hospitals.</t>
  </si>
  <si>
    <t>SNAP SFY 2015</t>
  </si>
  <si>
    <t>SFY 2015</t>
  </si>
  <si>
    <t>EA FFY 2015</t>
  </si>
  <si>
    <t>Number of Energy Assistance Clients by Federal Fiscal Year, 2013-2015</t>
  </si>
  <si>
    <t>Missing race</t>
  </si>
  <si>
    <t>889_Total</t>
  </si>
  <si>
    <t>889_Fund 0077</t>
  </si>
  <si>
    <t>889_Fund 0033</t>
  </si>
  <si>
    <t>889_Local</t>
  </si>
  <si>
    <t>889_Fed</t>
  </si>
  <si>
    <t>889_State</t>
  </si>
  <si>
    <t>820_Local &amp; NER comb.</t>
  </si>
  <si>
    <t>820_NER</t>
  </si>
  <si>
    <t>820_Total</t>
  </si>
  <si>
    <t>820_Fund 0077</t>
  </si>
  <si>
    <t>820_Local</t>
  </si>
  <si>
    <t>820_Fund 0033</t>
  </si>
  <si>
    <t>820_Fed</t>
  </si>
  <si>
    <t>820_State</t>
  </si>
  <si>
    <t>Amer. Indian/-Alaskan Native</t>
  </si>
  <si>
    <t xml:space="preserve">"Other" race includes Asians, American Indians, Hawaiians and Pacific Islanders, and multi-racial clients; excludes missing or unavailable race data. </t>
  </si>
  <si>
    <t>"Other Race"</t>
  </si>
  <si>
    <t>"Other race"</t>
  </si>
  <si>
    <t xml:space="preserve"> Hawaiian-Pacific Islander</t>
  </si>
  <si>
    <t>Hispanic*</t>
  </si>
  <si>
    <t>Other**</t>
  </si>
  <si>
    <t>Adult Protective Services (APS)</t>
  </si>
  <si>
    <t>Child Welfare Clients</t>
  </si>
  <si>
    <t>Under 4</t>
  </si>
  <si>
    <t>Under 1</t>
  </si>
  <si>
    <t>1 to 3</t>
  </si>
  <si>
    <t>4 to 7</t>
  </si>
  <si>
    <t>8 to 11</t>
  </si>
  <si>
    <t>12 to 15</t>
  </si>
  <si>
    <t>16 to 17</t>
  </si>
  <si>
    <t>18-60</t>
  </si>
  <si>
    <t>Source: LASER, Statewide Summary. Local expenses and expenses not eligible for reimbursement (NER) are combined.</t>
  </si>
  <si>
    <t>Local &amp; NER (comb.)</t>
  </si>
  <si>
    <t>** Deviation Status: ND=Non-deviating; PD=Partial deviating; JW=Jurisdiction-wide</t>
  </si>
  <si>
    <r>
      <t>Sources: Benefit Programs, ADAPT (Data Warehouse,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Excludes enrollees from state mental health hospitals. </t>
    </r>
    <r>
      <rPr>
        <vertAlign val="superscript"/>
        <sz val="8"/>
        <color indexed="8"/>
        <rFont val="Cambria"/>
        <family val="1"/>
      </rPr>
      <t>2</t>
    </r>
    <r>
      <rPr>
        <sz val="8"/>
        <color indexed="8"/>
        <rFont val="Cambria"/>
        <family val="1"/>
      </rPr>
      <t xml:space="preserve"> Unduplicated number of clients who received SNAP, TANF, and/or Medicaid. "Other" race includes Asian, Hawaiian/Pacific Islander, American Indian/Alaskan Native, or multiracial clients. "NA" = Not available for reporting.</t>
    </r>
  </si>
  <si>
    <t>Race*</t>
  </si>
  <si>
    <t>Total Reports</t>
  </si>
  <si>
    <t>Local Board Type</t>
  </si>
  <si>
    <t>Local Policies Followed</t>
  </si>
  <si>
    <t>N/A</t>
  </si>
  <si>
    <t>CC, PE, LV, HD, IW, GV, PR, PA</t>
  </si>
  <si>
    <t>All</t>
  </si>
  <si>
    <t>IW</t>
  </si>
  <si>
    <t>HD</t>
  </si>
  <si>
    <t>County Director of Human Services</t>
  </si>
  <si>
    <t>PE, HD, IW, GV</t>
  </si>
  <si>
    <t>HD, IW</t>
  </si>
  <si>
    <t xml:space="preserve">ND </t>
  </si>
  <si>
    <t>IW, GV</t>
  </si>
  <si>
    <t>CC, PE, LV, HD, IW, AA, LO, PR</t>
  </si>
  <si>
    <t>GV</t>
  </si>
  <si>
    <t>Comp, PE, HD, IW</t>
  </si>
  <si>
    <t>LV, HD, IW, GV, LO, PA</t>
  </si>
  <si>
    <t>Comp</t>
  </si>
  <si>
    <t>HD, IW, GV</t>
  </si>
  <si>
    <t>City Administrator</t>
  </si>
  <si>
    <t>Comp only, PE, SC, LV, HD, IW, PA</t>
  </si>
  <si>
    <t>PE, SC, LV, HD, IW, GV, PR, LO, PA</t>
  </si>
  <si>
    <t>HD, IW, LO</t>
  </si>
  <si>
    <t>LV, HD, IW, AA, PA</t>
  </si>
  <si>
    <t xml:space="preserve">CC, LV, HD, IW, PR, LO, PA </t>
  </si>
  <si>
    <t>Board of Supervisors &amp; County Executive</t>
  </si>
  <si>
    <t>Deputy Chief Administrative Officer</t>
  </si>
  <si>
    <t>SC, LV</t>
  </si>
  <si>
    <t>CC, PE, SC, LV, IW, PR, PA</t>
  </si>
  <si>
    <t>Human Services Director</t>
  </si>
  <si>
    <t>PE, HD, IW</t>
  </si>
  <si>
    <t xml:space="preserve">Count           </t>
  </si>
  <si>
    <t>Level I:    33</t>
  </si>
  <si>
    <t>Level II:   59</t>
  </si>
  <si>
    <t>Level III:  28</t>
  </si>
  <si>
    <t xml:space="preserve">Count                                         </t>
  </si>
  <si>
    <t>Administrative Boards:  78</t>
  </si>
  <si>
    <t>Advisory Boards:  42</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</si>
  <si>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</si>
  <si>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</si>
  <si>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</si>
  <si>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</si>
  <si>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</si>
  <si>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</si>
  <si>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</si>
  <si>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</si>
  <si>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</si>
  <si>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</si>
  <si>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</si>
  <si>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</si>
  <si>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</si>
  <si>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</si>
  <si>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</si>
  <si>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</si>
  <si>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</si>
  <si>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</si>
  <si>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</si>
  <si>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</si>
  <si>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</si>
  <si>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</si>
  <si>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</si>
  <si>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</si>
  <si>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</si>
  <si>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</si>
  <si>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</si>
  <si>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</si>
  <si>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</si>
  <si>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</si>
  <si>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</si>
  <si>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2015 Devia-tion Status*</t>
  </si>
  <si>
    <t>Deviation Classification</t>
  </si>
  <si>
    <t>Local DSS Agency: Region, Local Director/LDSS Level Classification, Local Board Type, &amp; HR Policy/Practice Deviation</t>
  </si>
  <si>
    <t>Source: VDSS, Division of Human Resources. Updated 12/31/2015.</t>
  </si>
  <si>
    <t>Serves as Administrative Entity For Local DSS with Advisory Boards*</t>
  </si>
  <si>
    <t>Child Protective Services (CPS)</t>
  </si>
  <si>
    <t>Annual Unemployment Rate by Locality, 2000-2015</t>
  </si>
  <si>
    <t>Labor Force 2015</t>
  </si>
  <si>
    <t>Unemployed 2015</t>
  </si>
  <si>
    <t>Local Department of Social Services Profile Report, SFY 2016</t>
  </si>
  <si>
    <t>SFY 2016</t>
  </si>
  <si>
    <t>Number of Benefit Program Clients* by State Fiscal Year, 2012-2016</t>
  </si>
  <si>
    <t>Source: VDSS, Client Cross-Program Reporting, Client Cross-Program Locality Yearly Analysis. Statewide counts come from the State Yearly Analysis cube.  * Unduplicated count of clients across any of the three benefit programs (SNAP, TANF, and Medicaid).  Locality and state counts exclude clients enrolled from DMHMRSAS facilities (i.e., state mental health hospitals); invalid values for locality are also excluded.  In cases where the client moves from one locality to another, duplicate records may exist.  Sum of locality counts will exceed the state count. Reports run on 9/13/2016.</t>
  </si>
  <si>
    <t>Medicaid and FAMIS Benefit Spending, SFY 2016</t>
  </si>
  <si>
    <r>
      <rPr>
        <b/>
        <sz val="12"/>
        <color indexed="8"/>
        <rFont val="Calibri"/>
        <family val="2"/>
      </rPr>
      <t xml:space="preserve">Source: </t>
    </r>
    <r>
      <rPr>
        <sz val="12"/>
        <color indexed="8"/>
        <rFont val="Calibri"/>
        <family val="2"/>
      </rPr>
      <t>VDSS, Division of Finances, LASER, FY 2016 Master Financial Statement Report. Accessed 10/19/2016.</t>
    </r>
  </si>
  <si>
    <t>SNAP Benefit Spending, SFY 2016</t>
  </si>
  <si>
    <t>TANF/TANF-UP Benefit Spending, SFY 2016</t>
  </si>
  <si>
    <t>LIHEAP Benefit Spending, SFY 2016</t>
  </si>
  <si>
    <t>Child Care Benefit Spending, 2016</t>
  </si>
  <si>
    <t>890_Fed</t>
  </si>
  <si>
    <t>Other Benefits Spending, SFY 2016</t>
  </si>
  <si>
    <r>
      <rPr>
        <b/>
        <sz val="12"/>
        <color indexed="8"/>
        <rFont val="Calibri"/>
        <family val="2"/>
      </rPr>
      <t>Source:</t>
    </r>
    <r>
      <rPr>
        <sz val="12"/>
        <color indexed="8"/>
        <rFont val="Calibri"/>
        <family val="2"/>
      </rPr>
      <t xml:space="preserve"> VDSS, Division of Finances, LASER, FY 2016 Master Financial Statement Report. Combines BL 804, 808, 810, 813, 819, 848, and 867.  Accessed 10/19/2016. </t>
    </r>
  </si>
  <si>
    <t>Foster Care and Adoption Spending, SFY 2016</t>
  </si>
  <si>
    <r>
      <rPr>
        <b/>
        <sz val="10"/>
        <color indexed="8"/>
        <rFont val="Calibri"/>
        <family val="2"/>
      </rPr>
      <t>Source:</t>
    </r>
    <r>
      <rPr>
        <sz val="10"/>
        <color indexed="8"/>
        <rFont val="Calibri"/>
        <family val="2"/>
      </rPr>
      <t xml:space="preserve"> VDSS, Division of Finances, LASER, FY 2016 Master Financial Statement Report. Combines BL 811, 812, 816, 817, and 820.  Accessed 10/19/2016. </t>
    </r>
  </si>
  <si>
    <t>Client Benefits Spending - Summary, SFY 2016</t>
  </si>
  <si>
    <t>Social Services Spending - Summary, SFY 2016</t>
  </si>
  <si>
    <t>Administrative Expenditures - Staffing, SFY 2016</t>
  </si>
  <si>
    <r>
      <rPr>
        <b/>
        <sz val="12"/>
        <color indexed="8"/>
        <rFont val="Calibri"/>
        <family val="2"/>
      </rPr>
      <t xml:space="preserve">Source: </t>
    </r>
    <r>
      <rPr>
        <sz val="12"/>
        <color indexed="8"/>
        <rFont val="Calibri"/>
        <family val="2"/>
      </rPr>
      <t xml:space="preserve">VDSS, Division of Finances, LASER, FY 2016 Master Financial Statement Report. Combines BL 000 and 843.  Accessed 10/19/2016. </t>
    </r>
  </si>
  <si>
    <t>Other Staffing and Operations Expenditures, SFY 2016</t>
  </si>
  <si>
    <r>
      <rPr>
        <b/>
        <sz val="12"/>
        <color indexed="8"/>
        <rFont val="Calibri"/>
        <family val="2"/>
      </rPr>
      <t>Source:</t>
    </r>
    <r>
      <rPr>
        <sz val="12"/>
        <color indexed="8"/>
        <rFont val="Calibri"/>
        <family val="2"/>
      </rPr>
      <t xml:space="preserve"> VDSS, Division of Finances, LASER, FY 2016 Master Financial Statement Report. Combines BL 217, 824, 829, 833, 844, 861, 862, 864, 866, 871, 872, 873, 875, 878, 881, 883, 888, 889, 890, and 895.  Accessed 10/19/2016. </t>
    </r>
  </si>
  <si>
    <r>
      <rPr>
        <b/>
        <sz val="12"/>
        <color indexed="8"/>
        <rFont val="Calibri"/>
        <family val="2"/>
      </rPr>
      <t xml:space="preserve">Source: </t>
    </r>
    <r>
      <rPr>
        <sz val="12"/>
        <color indexed="8"/>
        <rFont val="Calibri"/>
        <family val="2"/>
      </rPr>
      <t xml:space="preserve">VDSS, Division of Finances, LASER, FY 2016 Master Financial Statement Report. Combines BL 850, 852, 855, 858 and 859.  Accessed 10/19/2016.   </t>
    </r>
  </si>
  <si>
    <t>(1) Local staff and operations: 850 (outstationed eligibility staff), 852 (dedicated Medicaid local effort), 855 (staff &amp; operations base budget), 858 (staff &amp; operations pass through), and 859 (SNAPET RD &amp; IWR).</t>
  </si>
  <si>
    <t>859_Fed</t>
  </si>
  <si>
    <t>859_State</t>
  </si>
  <si>
    <t>859_Local</t>
  </si>
  <si>
    <t>859_Fund 0033</t>
  </si>
  <si>
    <t>859-Fund 0077</t>
  </si>
  <si>
    <t>859_Total</t>
  </si>
  <si>
    <t>Expenditures for Client Services, SFY 2016</t>
  </si>
  <si>
    <t>SNAP SFY 2016</t>
  </si>
  <si>
    <t>Number of Active SNAP Clients by State Fiscal Year, 2012-2016</t>
  </si>
  <si>
    <t>Number of Active TANF Recipients by State Fiscal Year, 2012-2016</t>
  </si>
  <si>
    <t>TANF SFY 2016</t>
  </si>
  <si>
    <t>Medicaid SFY 2016</t>
  </si>
  <si>
    <t>Number of Medicaid Clients by State Fiscal Year, 2012-2016</t>
  </si>
  <si>
    <t>Source: VDSS, Client Cross-Program Reporting, Client Cross-Program Locality Yearly Analysis (unduplicated counts within locality; clients may be counted more than once if they moved to another locality). Data source is ADAPT. Statewide total comes from the Statewide Yearly Analysis and includes enrollees from state mental health facilities. Accessed on 9/13/2016.</t>
  </si>
  <si>
    <t>Residents who received benefits (SNAP, TANF or Medicaid) in SFY 2016</t>
  </si>
  <si>
    <t>Live Births, Nonmarital Births, and Percentage of Births that are Non-Marital, by LDSS Locality and Race of Mother, Virginia, 2014</t>
  </si>
  <si>
    <t>FAMIS_Local</t>
  </si>
  <si>
    <r>
      <t>Medicaid &amp; FAMIS</t>
    </r>
    <r>
      <rPr>
        <vertAlign val="superscript"/>
        <sz val="9"/>
        <color theme="1"/>
        <rFont val="Cambria"/>
        <family val="1"/>
        <scheme val="major"/>
      </rPr>
      <t>5</t>
    </r>
  </si>
  <si>
    <t>(5) Medicaid and FAMIS are combined. The SLH program was not funded in SFY 2015. Local expenses are reported for Medicaid only.</t>
  </si>
  <si>
    <t>Total amount spent on Social Services (SFY 2016)</t>
  </si>
  <si>
    <r>
      <t xml:space="preserve">Total amount spent on Social Services </t>
    </r>
    <r>
      <rPr>
        <b/>
        <i/>
        <sz val="9"/>
        <color theme="6" tint="-0.499984740745262"/>
        <rFont val="Cambria"/>
        <family val="1"/>
      </rPr>
      <t>contributed by local funding</t>
    </r>
    <r>
      <rPr>
        <b/>
        <sz val="9"/>
        <color theme="6" tint="-0.499984740745262"/>
        <rFont val="Cambria"/>
        <family val="1"/>
      </rPr>
      <t xml:space="preserve"> (SFY 2016)</t>
    </r>
  </si>
  <si>
    <t>Total amount spent on Social Services in the locality (SFY 2016)</t>
  </si>
  <si>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(SFY 2016)</t>
    </r>
  </si>
  <si>
    <t>(9) Other Benefit Payments: 804 (Auxiliary Grant), 808 (TANF - Manual checks), 810 (TANF - Emergency assistance), 813 (General Relief), 819 (Refugee Cash Assistance), 848 (TANF-UP - Manual checks), and 867 (TANF - Competitive Grant).</t>
  </si>
  <si>
    <t>(3) Services purchased for clients: 217 (Guardianship Petitions), 824 (Other purchased services), 829 (Family Prevention, or SSBG), 833 (Adult Services), 844 (SNAPET Purchased Services), 861 (Independent Living Program - E&amp;T Vouchers), 862 (Independent Living Program - Basic Allocation), 864 (Respite Care for Foster Families), 866 (Family Preservation/Support - Purchased Services), 871 (TANF/VIEW -Working, Transportation and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t>
  </si>
  <si>
    <t>(4) Medicaid, FAMIS, SNAP, TANF/TANF UP, Energy Assistance, Foster Care/Adoption, CSA, and Child Care are coming from Section III - Statewide Benefit Payments of the LASER report. Refugee Assistance payments are made at Local Health Districts, not LDSS.</t>
  </si>
  <si>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</si>
  <si>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</si>
  <si>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</si>
  <si>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(6) Foster care &amp; adoption benefits: 811 (IV-E Foster Care), 812 (IV-E Adoption Assistance), 816 (International Home Studies), 817 (Special Needs Adoptions), 820 (Adoption Incentives).</t>
  </si>
  <si>
    <t>(7) CSA Costs are paid at the local level with reimbursement from the State Children's Services Act.</t>
  </si>
  <si>
    <t>(8) Child Care provider payments are made by VDSS through VACMS. Certain funds (871 and 881) are split 50%/50% between federal and state sources.</t>
  </si>
  <si>
    <r>
      <t>Source:</t>
    </r>
    <r>
      <rPr>
        <sz val="12"/>
        <color indexed="8"/>
        <rFont val="Calibri"/>
        <family val="2"/>
      </rPr>
      <t xml:space="preserve"> VDSS, Division of Finances, LASER, FY 2016 Master Financial Statement Report. Accessed 10/19/2016.</t>
    </r>
  </si>
  <si>
    <r>
      <t xml:space="preserve">Source: </t>
    </r>
    <r>
      <rPr>
        <sz val="12"/>
        <color indexed="8"/>
        <rFont val="Calibri"/>
        <family val="2"/>
      </rPr>
      <t>VDSS, Division of Finances, LASER, FY 2016 Master Financial Statement Report. Accessed 10/19/2016.</t>
    </r>
  </si>
  <si>
    <t>Percentage of Births that are Non-Marital, by LDSS, Virginia, 2002-2014</t>
  </si>
  <si>
    <t>Teen Births and Birth Rates by Race by LDSS, Virginia, 2014</t>
  </si>
  <si>
    <t>Teen Birth Rates (per 1,000 population), by LDSS, Virginia, 1998-2014</t>
  </si>
  <si>
    <t>Any Energy Assistance</t>
  </si>
  <si>
    <t>Number of SNAP Clients/Recipients by Gender, Age Group and Race, SFY 2016</t>
  </si>
  <si>
    <r>
      <rPr>
        <b/>
        <sz val="12"/>
        <color indexed="8"/>
        <rFont val="Calibri"/>
        <family val="2"/>
      </rPr>
      <t xml:space="preserve">Source: </t>
    </r>
    <r>
      <rPr>
        <sz val="12"/>
        <color indexed="8"/>
        <rFont val="Calibri"/>
        <family val="2"/>
      </rPr>
      <t>VDSS, ADAPT, Client Cross-Program Locality Yearly Analysis. Accessed from the Data Warehouse on 9/13/2016. "Other race" includes Asians, Hawaiians/Pacific Islanders, American Indians, and person who report "other".  Persons with missing information on age, gender, or race were excluded. Ethnicity information was not available in the analysis cube.</t>
    </r>
  </si>
  <si>
    <t>Number of TANF Clients/Recipients by Gender, Age Group and Race/Ethnicity, SFY 2016</t>
  </si>
  <si>
    <r>
      <rPr>
        <b/>
        <sz val="12"/>
        <color indexed="8"/>
        <rFont val="Calibri"/>
        <family val="2"/>
      </rPr>
      <t xml:space="preserve">Source: </t>
    </r>
    <r>
      <rPr>
        <sz val="12"/>
        <color indexed="8"/>
        <rFont val="Calibri"/>
        <family val="2"/>
      </rPr>
      <t>VDSS, ADAPT, Client Cross-Program Locality Yearly Analysis. Accessed from the Data Warehouse on 9/13/2016. "Other race" includes Asians, Hawaiians/Pacific Islanders, American Indians, and persons who report "other". Persons with missing information on age, gender, or race were excluded. Ethnicity information was not available in the analysis cube.</t>
    </r>
  </si>
  <si>
    <t>Number of Medicaid and FAMIS Clients/Recipients by Gender, Age Group and Race/Ethnicity, SFY 2016</t>
  </si>
  <si>
    <r>
      <rPr>
        <b/>
        <sz val="12"/>
        <color indexed="8"/>
        <rFont val="Calibri"/>
        <family val="2"/>
      </rPr>
      <t xml:space="preserve">Source: </t>
    </r>
    <r>
      <rPr>
        <sz val="12"/>
        <color indexed="8"/>
        <rFont val="Calibri"/>
        <family val="2"/>
      </rPr>
      <t>VDSS, ADAPT, Client Cross-Program Locality Yearly Analysis. Accessed from the Data Warehouse on 9/13/2016. Excludes clients who were enrolled through state mental health hospitals.  "Other race" includes Asians, Hawaiians/Pacific Islanders, American Indians, and person who report "other". Persons with missing information on age, gender, or race were excluded. Ethnicity information was not available in the analysis cube.</t>
    </r>
  </si>
  <si>
    <t>Benefit Client Demographics (SFY 2016)</t>
  </si>
  <si>
    <t>Number of Benefit Program Clients/Recipients by Gender, Age Group and Race/Ethnicity, SFY 2016</t>
  </si>
  <si>
    <r>
      <rPr>
        <b/>
        <sz val="12"/>
        <color indexed="8"/>
        <rFont val="Calibri"/>
        <family val="2"/>
      </rPr>
      <t xml:space="preserve">Source: </t>
    </r>
    <r>
      <rPr>
        <sz val="12"/>
        <color indexed="8"/>
        <rFont val="Calibri"/>
        <family val="2"/>
      </rPr>
      <t>VDSS, ADAPT, Client Cross-Program Locality Yearly Analysis. Accessed from the Data Warehouse on 9/13/2016. "Benefit Program Clients" is an unduplicated count of clients who received SNAP, TANF, and/or Medicaid during the year. Excludes clients who were enrolled through state mental health hospitals. "Other race" includes Asians, Hawaiians/Pacific Islanders, American Indians, and person who report "other".  Ethnicity information was not available in the analysis cube.</t>
    </r>
  </si>
  <si>
    <t>Births (2014)</t>
  </si>
  <si>
    <t>Number of Filled and Unfilled Positions by Locality (as of 10/01/2016)</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</si>
  <si>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9/30/2016).  Report run on 10/1/2016. Excludes one unfilled position that was missing classification.</t>
    </r>
  </si>
  <si>
    <t xml:space="preserve">12 filled and 55 unfilled voluntary positions are excluded from the total counts. </t>
  </si>
  <si>
    <t>Social Services Staffing (as of 9/30/2016)</t>
  </si>
  <si>
    <t>Source: LETS, Position Reimbursement And Status Report for State (run on 10/1/2016). Refers to number of positions regardless of percent of time assigned. Invalid filled positions and voluntary positions are excluded. NER= Not eligible for reimbursement.</t>
  </si>
  <si>
    <t>Adult and Child Population by Locality by Race, 2015</t>
  </si>
  <si>
    <t>Population, 2015</t>
  </si>
  <si>
    <t>Number of Households (Cases) Receiving Fuel, Cooling and Crisis Assistance, by Federal Fiscal Year (FFY) 2013-2016</t>
  </si>
  <si>
    <t>Source: Energy Assistance Program Reports (Data Warehouse, "Case Counts Agency Summary Report"). Number of cases are reported separately for each program component by federal fiscal year. FFY 2015 was recently updated.</t>
  </si>
  <si>
    <t>Households (Cases) Served</t>
  </si>
  <si>
    <t>12 to 17</t>
  </si>
  <si>
    <t>Child Care Subsidy Cases (Families) Served (unduplicated count)</t>
  </si>
  <si>
    <t>Source: VDSS, MMIS Data Mart. Represents unduplicated case (household) counts in each state fiscal year overall for the state and for each locality.  Statewide totals include enrollments from state mental health facilities.</t>
  </si>
  <si>
    <t>Number of TANF Cases (Households) by State Fiscal Year</t>
  </si>
  <si>
    <t>Source: VDSS, ADAPT Data Mart. Represent unduplicated case (household) counts in each state fiscal year overall for the state and for each locality.  "Invalid" cases, or cases with no known local agency recorded, are included in the state total.</t>
  </si>
  <si>
    <t>Source: VDSS, ADAPT Data Mart. Represent unduplicated case (household) counts in each state fiscal year overall for the state and for each locality.  "Invalid" cases, for which no local agency is recorded, are included in the state total.</t>
  </si>
  <si>
    <t>Child Care Subsidy Clients (Children) Served by State Fiscal Year (unduplicated count)</t>
  </si>
  <si>
    <t>Number of SNAP Cases (Households) by State Fiscal Year (Unduplicated Count)</t>
  </si>
  <si>
    <t>Number of Medicaid Cases (Households) by State Fiscal Year (Unduplicated Count)</t>
  </si>
  <si>
    <t>Children exited to adoption (FFY 2016)</t>
  </si>
  <si>
    <t>Number of Children in CPS Referrals by Race, SFY 2016</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</si>
  <si>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2016 (report period: 7/1/2015 to 6/30/2016)  Report run on 12/5/2015.   * Hispanic origin is not mutually exclusive from race; racial subgroups do not add up to total number of referred children. **"Other" refers to children who are Asian, Native Hawaiian/Other Pacific Islander, or American Indian/Alaskan Native.</t>
    </r>
  </si>
  <si>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</si>
  <si>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</si>
  <si>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</si>
  <si>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</si>
  <si>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Number of Children By Race and Age In Foster Care at End of Federal Fiscal Year 2016 (9/30/2016)</t>
  </si>
  <si>
    <r>
      <t xml:space="preserve">Source: </t>
    </r>
    <r>
      <rPr>
        <sz val="12"/>
        <color indexed="8"/>
        <rFont val="Calibri"/>
        <family val="2"/>
      </rPr>
      <t>VDSS, VCWOR,  OASIS Rolling Year Data, "Children in Care at the End of the Year by Race/Ethnicity" (in care as of September 30, 2016). "Other" includes children who are Asian, Hawaiian, other Pacific Islander, American Indian, Alaskan Native, Hispanic, and multiracial clients.</t>
    </r>
  </si>
  <si>
    <t>&lt; 1 years</t>
  </si>
  <si>
    <t>1-5 years</t>
  </si>
  <si>
    <t>&lt;1 year</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</si>
  <si>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2015 (October 1, 2015 - September 30, 2016).</t>
    </r>
  </si>
  <si>
    <t xml:space="preserve">"Other" race includes Asians, American Indians, Hawaiians and Pacific Islanders, Hispanics, and multi-racial clients. </t>
  </si>
  <si>
    <t>Diff.</t>
  </si>
  <si>
    <t>Number of Adult Protective Services Reports, SFY 2016</t>
  </si>
  <si>
    <r>
      <rPr>
        <b/>
        <sz val="12"/>
        <color indexed="8"/>
        <rFont val="Calibri"/>
        <family val="2"/>
      </rPr>
      <t>Source:</t>
    </r>
    <r>
      <rPr>
        <sz val="12"/>
        <color indexed="8"/>
        <rFont val="Calibri"/>
        <family val="2"/>
      </rPr>
      <t xml:space="preserve"> ASAPS (Adult Services Adult Protectives Services) data system, "APS Report Statistical Count". "Other" race includes American Indian, Asian/Oriental, and Alaskan Native.  Racial counts do not include Hispanics.  There are occasional undercounts and overcounts within race and age categories.</t>
    </r>
  </si>
  <si>
    <t>Unknown + Diff. Missing</t>
  </si>
  <si>
    <t>Diff./Missing</t>
  </si>
  <si>
    <t>Adult subjects of APS Reports (2016)</t>
  </si>
  <si>
    <t>Source: Adult Services Adult Protective Services (ASAPS) system. * Hispanic origin not reported. Race and age may be undercounted or overcounted.</t>
  </si>
  <si>
    <t>Children In Single-Parent Homes, by LDSS, Virginia (ACS 2011-2015 5-Year Estimate)</t>
  </si>
  <si>
    <r>
      <t xml:space="preserve">Percent of Children living in a single-parent household (2011-2015) </t>
    </r>
    <r>
      <rPr>
        <sz val="9"/>
        <color theme="1"/>
        <rFont val="Cambria"/>
        <family val="1"/>
        <scheme val="major"/>
      </rPr>
      <t>(Source: U.S. Census Bureau, American Community Survey)</t>
    </r>
  </si>
  <si>
    <t>Number of Children by Race and Age Adopted in FFY 2016</t>
  </si>
  <si>
    <t>Number of Children for which Adoption Subsidies were received, by Race &amp; Age of Child (as of 12/1/2016)</t>
  </si>
  <si>
    <r>
      <rPr>
        <b/>
        <sz val="12"/>
        <color indexed="8"/>
        <rFont val="Calibri"/>
        <family val="2"/>
      </rPr>
      <t xml:space="preserve">Source: </t>
    </r>
    <r>
      <rPr>
        <sz val="12"/>
        <color indexed="8"/>
        <rFont val="Calibri"/>
        <family val="2"/>
      </rPr>
      <t>VDSS, Division of Family Services, OASIS/VCWOR, "Adoption Subsidy Race/Age Count". Based on data as of 12/1/2016.</t>
    </r>
  </si>
  <si>
    <t xml:space="preserve">Sources: Division of Family Services, VCWOR/OASIS. "Children in Foster Care" is a point-in-time count as of 9/30/2016.  "Children Exited to Adoption" is reported for the federal fiscal year, ending September 30. "Children Receiving Adoption Assistance": children receiving adoption services as of 12/1/2016. Clients with missing race are included in total counts. </t>
  </si>
  <si>
    <t>11-15</t>
  </si>
  <si>
    <t>16-18</t>
  </si>
  <si>
    <t>Estimated Number of People Living in Poverty and Poverty Rate by LDSS, Virginia, 2015 (Source: Census Bureau, Small Area Income and Poverty Estimate Program)</t>
  </si>
  <si>
    <t>Source: U.S. Census Bureau, Small Area Income and Poverty Estimates (SAIPE), using data from the American Community Survey. Estimates are not based on people living in group quarters (e.g., college dormitories, military barracks, group homes).</t>
  </si>
  <si>
    <t>Percent of Population (All Ages) Living Below 100% Poverty, 2000-2015</t>
  </si>
  <si>
    <t>Percent of Children (0-17 Years) Living Below 100% Poverty, 2000-2015</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</si>
  <si>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</si>
  <si>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rPr>
        <vertAlign val="superscript"/>
        <sz val="8"/>
        <color theme="1"/>
        <rFont val="Cambria"/>
        <family val="1"/>
        <scheme val="major"/>
      </rPr>
      <t>1</t>
    </r>
    <r>
      <rPr>
        <sz val="8"/>
        <color theme="1"/>
        <rFont val="Cambria"/>
        <family val="1"/>
        <scheme val="major"/>
      </rPr>
      <t xml:space="preserve"> Source: VDSS ADAPT Data Mart (SNAP and TANF counts); MMIS Data Mart (Medicaid counts). Represent unduplicated cases.</t>
    </r>
    <r>
      <rPr>
        <sz val="8"/>
        <color indexed="8"/>
        <rFont val="Cambria"/>
        <family val="1"/>
      </rPr>
      <t xml:space="preserve"> </t>
    </r>
    <r>
      <rPr>
        <vertAlign val="superscript"/>
        <sz val="8"/>
        <color indexed="8"/>
        <rFont val="Cambria"/>
        <family val="1"/>
      </rPr>
      <t>2</t>
    </r>
    <r>
      <rPr>
        <sz val="8"/>
        <color indexed="8"/>
        <rFont val="Cambria"/>
        <family val="1"/>
      </rPr>
      <t xml:space="preserve"> Source: Energy Assistance Case (Household) Counts Agency Summary Reports. </t>
    </r>
    <r>
      <rPr>
        <vertAlign val="superscript"/>
        <sz val="8"/>
        <color indexed="8"/>
        <rFont val="Cambria"/>
        <family val="1"/>
      </rPr>
      <t>3</t>
    </r>
    <r>
      <rPr>
        <sz val="8"/>
        <color indexed="8"/>
        <rFont val="Cambria"/>
        <family val="1"/>
      </rPr>
      <t xml:space="preserve"> Source: VaCMS (represent "families"; data not available prior to 2014).</t>
    </r>
  </si>
  <si>
    <t>Total Social Services Spending, SFY2016</t>
  </si>
  <si>
    <r>
      <t>Children's Services Act (CSA)</t>
    </r>
    <r>
      <rPr>
        <vertAlign val="superscript"/>
        <sz val="9"/>
        <color theme="1"/>
        <rFont val="Cambria"/>
        <family val="1"/>
        <scheme val="major"/>
      </rPr>
      <t>7</t>
    </r>
  </si>
  <si>
    <t>Children's Services Act (CSA) Expenditures, SFY 2016</t>
  </si>
  <si>
    <t>Social Services Spending, SFY 2016</t>
  </si>
  <si>
    <t>Social Services Spending, SFY 2016:</t>
  </si>
  <si>
    <r>
      <rPr>
        <vertAlign val="superscript"/>
        <sz val="8"/>
        <color indexed="8"/>
        <rFont val="Cambria"/>
        <family val="1"/>
      </rPr>
      <t>4</t>
    </r>
    <r>
      <rPr>
        <sz val="8"/>
        <color indexed="8"/>
        <rFont val="Cambria"/>
        <family val="1"/>
      </rPr>
      <t xml:space="preserve"> Refers to the local agency's board type (administrative vs. advisory);for advisory boards, administrative entity is also stated. Last verified 12/31/2015.</t>
    </r>
  </si>
  <si>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12/31/2015.</t>
    </r>
  </si>
  <si>
    <t>Children in CPS referrals (SFY 2016)</t>
  </si>
  <si>
    <t>Source: U.S. Census Bureau, American Community Survey (2011-2015 5-Year Estimate), Table B09002 "Own Children Under 18 Years by Family Type and Age".</t>
  </si>
  <si>
    <t>Source: US Census Bureau, Small Area Income and Poverty Estimates (SAIPE). Estimates are for 2015.</t>
  </si>
  <si>
    <r>
      <rPr>
        <vertAlign val="superscript"/>
        <sz val="8"/>
        <color theme="1"/>
        <rFont val="Cambria"/>
        <family val="1"/>
        <scheme val="major"/>
      </rPr>
      <t>1</t>
    </r>
    <r>
      <rPr>
        <sz val="8"/>
        <color theme="1"/>
        <rFont val="Cambria"/>
        <family val="1"/>
        <scheme val="major"/>
      </rPr>
      <t xml:space="preserve"> Source: Benefit Programs, ADAPT (Data Warehouse, Client Cross-Program Locality Yearly Analysis). Unduplicated count within locality; client may be counted again if she/moves between localities. SNAP and TANF counts include household members who are not part of the case.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(not available prior to 2014).</t>
    </r>
  </si>
  <si>
    <t>Source: VDSS, Client Cross-Program Reporting, Client Cross-Program Locality Yearly Analysis (unduplicated counts within locality; clients may be counted more than once if they moved to another locality). Data source is ADAPT. Includes household members who are not part of the case (not "F00"). Statewide total comes from the Statewide Yearly Analysis. Accessed on 9/13/2016.</t>
  </si>
  <si>
    <t>Source: VDSS, Client Cross-Program Reporting, Client Cross-Program Locality Yearly Analysis (unduplicated counts within locality; clients may be counted more than once if they moved to another locality). Includes household members who are not part of the case (not "A00"). Data source is ADAPT. Statewide total comes from the Statewide Yearly Analysis. Accessed on 10/24/2016.</t>
  </si>
  <si>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6/1/2016.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</si>
</sst>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_(* #,##0_);_(* \(#,##0\);_(* &quot;-&quot;??_);_(@_)"/>
    <numFmt numFmtId="172" formatCode="_(* #,##0.0_);_(* \(#,##0.0\);_(* &quot;-&quot;??_);_(@_)"/>
    <numFmt numFmtId="173" formatCode="#_)"/>
    <numFmt numFmtId="174" formatCode="#,##0.0_);\(#,##0.0\)"/>
    <numFmt numFmtId="175" formatCode="#,##0_)"/>
    <numFmt numFmtId="176" formatCode="0_);\(0\)"/>
    <numFmt numFmtId="177" formatCode="_(&quot;$&quot;* #,##0_);_(&quot;$&quot;* \(#,##0\);_(&quot;$&quot;* &quot;-&quot;??_);_(@_)"/>
    <numFmt numFmtId="178" formatCode="&quot;$&quot;###.#"/>
    <numFmt numFmtId="179" formatCode="&quot;$&quot;#,##0;\(&quot;$&quot;#,##0\)"/>
    <numFmt numFmtId="180" formatCode="#.0_)"/>
  </numFmts>
  <fonts count="125" x14ac:knownFonts="1">
    <font>
      <sz val="12"/>
      <color theme="1"/>
      <name val="Times New Roman"/>
      <family val="2"/>
    </font>
    <font>
      <sz val="11"/>
      <color theme="1"/>
      <name val="Calibri"/>
      <family val="2"/>
      <scheme val="minor"/>
    </font>
    <font>
      <sz val="11"/>
      <color theme="1"/>
      <name val="Calibri"/>
      <family val="2"/>
      <scheme val="minor"/>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1"/>
      <name val="Tahoma"/>
      <family val="2"/>
    </font>
    <font>
      <b/>
      <sz val="10"/>
      <color indexed="81"/>
      <name val="Tahoma"/>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vertAlign val="superscript"/>
      <sz val="9"/>
      <color indexed="8"/>
      <name val="Cambria"/>
      <family val="1"/>
    </font>
    <font>
      <sz val="10"/>
      <color indexed="8"/>
      <name val="Arial"/>
      <family val="2"/>
    </font>
    <font>
      <b/>
      <sz val="10"/>
      <name val="Arial"/>
      <family val="2"/>
    </font>
    <font>
      <sz val="12"/>
      <color indexed="8"/>
      <name val="Calibri"/>
      <family val="2"/>
    </font>
    <font>
      <u/>
      <sz val="12"/>
      <color indexed="12"/>
      <name val="Calibri"/>
      <family val="2"/>
    </font>
    <font>
      <sz val="12"/>
      <name val="Courier New"/>
      <family val="3"/>
    </font>
    <font>
      <sz val="12"/>
      <color indexed="8"/>
      <name val="Arial"/>
      <family val="2"/>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b/>
      <sz val="10"/>
      <color theme="1"/>
      <name val="Arial"/>
      <family val="2"/>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2"/>
      <color theme="1"/>
      <name val="Times New Roman"/>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s>
  <fills count="33">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24994659260841701"/>
        <bgColor indexed="64"/>
      </patternFill>
    </fill>
    <fill>
      <patternFill patternType="solid">
        <fgColor theme="3" tint="0.59999389629810485"/>
        <bgColor indexed="64"/>
      </patternFill>
    </fill>
    <fill>
      <patternFill patternType="solid">
        <fgColor rgb="FF00B0F0"/>
        <bgColor indexed="64"/>
      </patternFill>
    </fill>
  </fills>
  <borders count="27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dashed">
        <color indexed="64"/>
      </right>
      <top/>
      <bottom style="thin">
        <color indexed="8"/>
      </bottom>
      <diagonal/>
    </border>
    <border>
      <left style="dashed">
        <color indexed="64"/>
      </left>
      <right style="dashed">
        <color indexed="64"/>
      </right>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right style="thin">
        <color indexed="8"/>
      </right>
      <top/>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right/>
      <top/>
      <bottom style="thin">
        <color indexed="22"/>
      </bottom>
      <diagonal/>
    </border>
    <border>
      <left style="thin">
        <color indexed="8"/>
      </left>
      <right/>
      <top style="thin">
        <color indexed="8"/>
      </top>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dashed">
        <color indexed="64"/>
      </left>
      <right/>
      <top/>
      <bottom style="thin">
        <color indexed="64"/>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22"/>
      </left>
      <right style="thin">
        <color indexed="8"/>
      </right>
      <top/>
      <bottom style="thin">
        <color indexed="22"/>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style="dashed">
        <color indexed="8"/>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thin">
        <color theme="1"/>
      </left>
      <right style="dashed">
        <color theme="1"/>
      </right>
      <top style="thin">
        <color indexed="64"/>
      </top>
      <bottom style="thin">
        <color indexed="64"/>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theme="1"/>
      </left>
      <right style="thin">
        <color indexed="64"/>
      </right>
      <top/>
      <bottom/>
      <diagonal/>
    </border>
    <border>
      <left style="thin">
        <color indexed="64"/>
      </left>
      <right style="thin">
        <color indexed="64"/>
      </right>
      <top/>
      <bottom style="thin">
        <color theme="1"/>
      </bottom>
      <diagonal/>
    </border>
    <border>
      <left style="thin">
        <color theme="1"/>
      </left>
      <right/>
      <top/>
      <bottom/>
      <diagonal/>
    </border>
    <border>
      <left style="dashed">
        <color indexed="64"/>
      </left>
      <right style="thin">
        <color indexed="64"/>
      </right>
      <top style="thin">
        <color theme="3" tint="-0.24994659260841701"/>
      </top>
      <bottom style="thin">
        <color theme="3" tint="-0.24994659260841701"/>
      </bottom>
      <diagonal/>
    </border>
    <border>
      <left style="thin">
        <color indexed="64"/>
      </left>
      <right style="thin">
        <color indexed="64"/>
      </right>
      <top/>
      <bottom style="thin">
        <color theme="3" tint="-0.24994659260841701"/>
      </bottom>
      <diagonal/>
    </border>
    <border>
      <left style="thin">
        <color indexed="64"/>
      </left>
      <right style="thin">
        <color indexed="64"/>
      </right>
      <top style="thin">
        <color theme="3" tint="-0.24994659260841701"/>
      </top>
      <bottom style="thin">
        <color theme="3" tint="-0.24994659260841701"/>
      </bottom>
      <diagonal/>
    </border>
    <border>
      <left style="thin">
        <color indexed="64"/>
      </left>
      <right style="dashed">
        <color indexed="64"/>
      </right>
      <top style="thin">
        <color theme="3" tint="-0.24994659260841701"/>
      </top>
      <bottom style="thin">
        <color theme="3" tint="-0.24994659260841701"/>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dashed">
        <color theme="1"/>
      </right>
      <top style="thin">
        <color indexed="64"/>
      </top>
      <bottom/>
      <diagonal/>
    </border>
    <border>
      <left style="thin">
        <color theme="1"/>
      </left>
      <right style="dashed">
        <color theme="1"/>
      </right>
      <top/>
      <bottom style="thin">
        <color indexed="64"/>
      </bottom>
      <diagonal/>
    </border>
    <border>
      <left style="dashed">
        <color theme="1"/>
      </left>
      <right style="dashed">
        <color theme="1"/>
      </right>
      <top style="thin">
        <color indexed="64"/>
      </top>
      <bottom/>
      <diagonal/>
    </border>
    <border>
      <left style="dashed">
        <color theme="1"/>
      </left>
      <right style="dashed">
        <color theme="1"/>
      </right>
      <top/>
      <bottom style="thin">
        <color indexed="64"/>
      </bottom>
      <diagonal/>
    </border>
    <border>
      <left style="dashed">
        <color theme="1"/>
      </left>
      <right style="thin">
        <color theme="1"/>
      </right>
      <top style="thin">
        <color indexed="64"/>
      </top>
      <bottom/>
      <diagonal/>
    </border>
    <border>
      <left style="dashed">
        <color theme="1"/>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indexed="22"/>
      </left>
      <right style="thin">
        <color indexed="22"/>
      </right>
      <top/>
      <bottom style="thin">
        <color indexed="22"/>
      </bottom>
      <diagonal/>
    </border>
    <border>
      <left/>
      <right style="dashed">
        <color indexed="8"/>
      </right>
      <top style="thin">
        <color indexed="8"/>
      </top>
      <bottom/>
      <diagonal/>
    </border>
    <border>
      <left style="thin">
        <color indexed="8"/>
      </left>
      <right/>
      <top/>
      <bottom/>
      <diagonal/>
    </border>
    <border>
      <left style="thin">
        <color indexed="8"/>
      </left>
      <right/>
      <top/>
      <bottom style="thin">
        <color indexed="22"/>
      </bottom>
      <diagonal/>
    </border>
    <border>
      <left/>
      <right style="thin">
        <color indexed="8"/>
      </right>
      <top/>
      <bottom style="thin">
        <color indexed="2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right/>
      <top style="thin">
        <color indexed="64"/>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dashed">
        <color indexed="64"/>
      </left>
      <right/>
      <top style="thin">
        <color indexed="64"/>
      </top>
      <bottom style="thin">
        <color indexed="8"/>
      </bottom>
      <diagonal/>
    </border>
    <border>
      <left style="thin">
        <color indexed="64"/>
      </left>
      <right style="dashed">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dashed">
        <color auto="1"/>
      </left>
      <right style="thin">
        <color auto="1"/>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8"/>
      </left>
      <right/>
      <top style="thin">
        <color indexed="8"/>
      </top>
      <bottom/>
      <diagonal/>
    </border>
    <border>
      <left/>
      <right style="thin">
        <color indexed="22"/>
      </right>
      <top style="thin">
        <color indexed="8"/>
      </top>
      <bottom/>
      <diagonal/>
    </border>
    <border>
      <left/>
      <right style="thin">
        <color indexed="22"/>
      </right>
      <top/>
      <bottom/>
      <diagonal/>
    </border>
    <border>
      <left/>
      <right style="thin">
        <color indexed="22"/>
      </right>
      <top/>
      <bottom style="thin">
        <color indexed="22"/>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dashed">
        <color indexed="8"/>
      </left>
      <right style="thin">
        <color indexed="8"/>
      </right>
      <top/>
      <bottom/>
      <diagonal/>
    </border>
    <border>
      <left style="dashed">
        <color indexed="8"/>
      </left>
      <right style="thin">
        <color indexed="8"/>
      </right>
      <top/>
      <bottom style="thin">
        <color indexed="64"/>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thin">
        <color indexed="64"/>
      </left>
      <right style="dashed">
        <color theme="1"/>
      </right>
      <top/>
      <bottom style="thin">
        <color theme="1"/>
      </bottom>
      <diagonal/>
    </border>
    <border>
      <left style="dashed">
        <color theme="1"/>
      </left>
      <right style="thin">
        <color indexed="64"/>
      </right>
      <top/>
      <bottom/>
      <diagonal/>
    </border>
    <border>
      <left style="dashed">
        <color theme="1"/>
      </left>
      <right style="thin">
        <color indexed="64"/>
      </right>
      <top/>
      <bottom style="thin">
        <color theme="1"/>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8"/>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style="thin">
        <color indexed="22"/>
      </left>
      <right style="thin">
        <color indexed="22"/>
      </right>
      <top style="thin">
        <color indexed="22"/>
      </top>
      <bottom style="thin">
        <color indexed="22"/>
      </bottom>
      <diagonal/>
    </border>
    <border>
      <left/>
      <right style="dashed">
        <color auto="1"/>
      </right>
      <top/>
      <bottom/>
      <diagonal/>
    </border>
    <border>
      <left style="dashed">
        <color indexed="64"/>
      </left>
      <right/>
      <top/>
      <bottom/>
      <diagonal/>
    </border>
    <border>
      <left/>
      <right style="dashed">
        <color indexed="64"/>
      </right>
      <top style="thin">
        <color indexed="64"/>
      </top>
      <bottom style="thin">
        <color indexed="64"/>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s>
  <cellStyleXfs count="41">
    <xf numFmtId="0" fontId="0" fillId="0" borderId="0"/>
    <xf numFmtId="43" fontId="44" fillId="0" borderId="0" applyFont="0" applyFill="0" applyBorder="0" applyAlignment="0" applyProtection="0"/>
    <xf numFmtId="43" fontId="45" fillId="0" borderId="0" applyFont="0" applyFill="0" applyBorder="0" applyAlignment="0" applyProtection="0"/>
    <xf numFmtId="44" fontId="44" fillId="0" borderId="0" applyFont="0" applyFill="0" applyBorder="0" applyAlignment="0" applyProtection="0"/>
    <xf numFmtId="0" fontId="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0" fontId="5" fillId="0" borderId="0"/>
    <xf numFmtId="0" fontId="10" fillId="0" borderId="0"/>
    <xf numFmtId="0" fontId="6" fillId="0" borderId="0">
      <alignment vertical="top"/>
    </xf>
    <xf numFmtId="0" fontId="44" fillId="0" borderId="0"/>
    <xf numFmtId="0" fontId="6" fillId="0" borderId="0"/>
    <xf numFmtId="0" fontId="45" fillId="0" borderId="0"/>
    <xf numFmtId="0" fontId="9" fillId="0" borderId="0"/>
    <xf numFmtId="0" fontId="6" fillId="0" borderId="0">
      <alignment vertical="top"/>
    </xf>
    <xf numFmtId="0" fontId="13" fillId="0" borderId="0"/>
    <xf numFmtId="0" fontId="17" fillId="0" borderId="0">
      <alignment vertical="top"/>
    </xf>
    <xf numFmtId="0" fontId="9" fillId="0" borderId="0"/>
    <xf numFmtId="0" fontId="18" fillId="0" borderId="0"/>
    <xf numFmtId="0" fontId="18" fillId="0" borderId="0"/>
    <xf numFmtId="0" fontId="18" fillId="0" borderId="0"/>
    <xf numFmtId="0" fontId="18" fillId="0" borderId="0"/>
    <xf numFmtId="0" fontId="9" fillId="0" borderId="0"/>
    <xf numFmtId="0" fontId="30" fillId="0" borderId="0"/>
    <xf numFmtId="0" fontId="9" fillId="0" borderId="0"/>
    <xf numFmtId="0" fontId="30" fillId="0" borderId="0"/>
    <xf numFmtId="0" fontId="10" fillId="0" borderId="0"/>
    <xf numFmtId="0" fontId="3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9" fillId="0" borderId="0"/>
    <xf numFmtId="9" fontId="44" fillId="0" borderId="0" applyFont="0" applyFill="0" applyBorder="0" applyAlignment="0" applyProtection="0"/>
    <xf numFmtId="0" fontId="44" fillId="0" borderId="0"/>
  </cellStyleXfs>
  <cellXfs count="2333">
    <xf numFmtId="0" fontId="0" fillId="0" borderId="0" xfId="0"/>
    <xf numFmtId="0" fontId="3" fillId="0" borderId="1" xfId="27" applyFont="1" applyFill="1" applyBorder="1" applyAlignment="1">
      <alignment wrapText="1"/>
    </xf>
    <xf numFmtId="49" fontId="48" fillId="0" borderId="0" xfId="12" applyNumberFormat="1" applyFont="1" applyFill="1" applyAlignment="1">
      <alignment vertical="top" wrapText="1"/>
    </xf>
    <xf numFmtId="3" fontId="49" fillId="0" borderId="108" xfId="12" applyNumberFormat="1" applyFont="1" applyFill="1" applyBorder="1" applyAlignment="1">
      <alignment horizontal="right" vertical="top"/>
    </xf>
    <xf numFmtId="49" fontId="50" fillId="0" borderId="0" xfId="12" applyNumberFormat="1" applyFont="1" applyFill="1" applyAlignment="1">
      <alignment horizontal="center" vertical="top" wrapText="1"/>
    </xf>
    <xf numFmtId="0" fontId="3" fillId="0" borderId="0" xfId="18" applyFont="1" applyFill="1"/>
    <xf numFmtId="0" fontId="3" fillId="0" borderId="0" xfId="18" applyFont="1" applyFill="1" applyAlignment="1">
      <alignment wrapText="1"/>
    </xf>
    <xf numFmtId="0" fontId="3" fillId="0" borderId="0" xfId="18" applyFont="1" applyFill="1" applyAlignment="1">
      <alignment horizontal="left" wrapText="1"/>
    </xf>
    <xf numFmtId="0" fontId="3" fillId="0" borderId="2" xfId="18" applyFont="1" applyFill="1" applyBorder="1" applyAlignment="1">
      <alignment horizontal="left"/>
    </xf>
    <xf numFmtId="3" fontId="3" fillId="0" borderId="2" xfId="18" applyNumberFormat="1" applyFont="1" applyFill="1" applyBorder="1" applyAlignment="1">
      <alignment horizontal="right"/>
    </xf>
    <xf numFmtId="3" fontId="3" fillId="0" borderId="0" xfId="18" applyNumberFormat="1" applyFont="1" applyFill="1"/>
    <xf numFmtId="0" fontId="3" fillId="0" borderId="0" xfId="18" quotePrefix="1" applyFont="1" applyFill="1"/>
    <xf numFmtId="9" fontId="51" fillId="0" borderId="0" xfId="0" applyNumberFormat="1" applyFont="1" applyAlignment="1">
      <alignment horizontal="right" indent="1"/>
    </xf>
    <xf numFmtId="0" fontId="14" fillId="2" borderId="2" xfId="18" applyFont="1" applyFill="1" applyBorder="1" applyAlignment="1">
      <alignment horizontal="center" wrapText="1"/>
    </xf>
    <xf numFmtId="0" fontId="14" fillId="2" borderId="3" xfId="18" applyFont="1" applyFill="1" applyBorder="1" applyAlignment="1">
      <alignment horizontal="center" wrapText="1"/>
    </xf>
    <xf numFmtId="0" fontId="13" fillId="0" borderId="0" xfId="18" applyAlignment="1">
      <alignment wrapText="1"/>
    </xf>
    <xf numFmtId="0" fontId="14" fillId="0" borderId="1" xfId="18" applyFont="1" applyFill="1" applyBorder="1" applyAlignment="1">
      <alignment wrapText="1"/>
    </xf>
    <xf numFmtId="0" fontId="14" fillId="0" borderId="1" xfId="18" applyFont="1" applyFill="1" applyBorder="1" applyAlignment="1">
      <alignment horizontal="right" wrapText="1"/>
    </xf>
    <xf numFmtId="0" fontId="13" fillId="0" borderId="0" xfId="18"/>
    <xf numFmtId="0" fontId="7" fillId="0" borderId="0" xfId="18" applyFont="1" applyFill="1" applyBorder="1" applyAlignment="1">
      <alignment horizontal="left" wrapText="1"/>
    </xf>
    <xf numFmtId="0" fontId="14" fillId="0" borderId="2" xfId="18" applyFont="1" applyFill="1" applyBorder="1" applyAlignment="1">
      <alignment horizontal="center" wrapText="1"/>
    </xf>
    <xf numFmtId="0" fontId="13" fillId="0" borderId="0" xfId="18" applyFill="1" applyAlignment="1">
      <alignment wrapText="1"/>
    </xf>
    <xf numFmtId="0" fontId="15" fillId="0" borderId="4" xfId="18" applyFont="1" applyBorder="1" applyAlignment="1">
      <alignment horizontal="center"/>
    </xf>
    <xf numFmtId="0" fontId="8" fillId="0" borderId="2" xfId="18" applyFont="1" applyFill="1" applyBorder="1" applyAlignment="1">
      <alignment horizontal="center" wrapText="1"/>
    </xf>
    <xf numFmtId="0" fontId="15" fillId="0" borderId="0" xfId="18" applyFont="1" applyBorder="1" applyAlignment="1">
      <alignment horizontal="center"/>
    </xf>
    <xf numFmtId="3" fontId="14" fillId="0" borderId="1" xfId="18" applyNumberFormat="1" applyFont="1" applyFill="1" applyBorder="1" applyAlignment="1">
      <alignment horizontal="right" wrapText="1"/>
    </xf>
    <xf numFmtId="3" fontId="14" fillId="0" borderId="1" xfId="18" applyNumberFormat="1" applyFont="1" applyFill="1" applyBorder="1" applyAlignment="1">
      <alignment horizontal="right" wrapText="1" indent="1"/>
    </xf>
    <xf numFmtId="9" fontId="51" fillId="0" borderId="0" xfId="0" applyNumberFormat="1" applyFont="1" applyAlignment="1">
      <alignment horizontal="right"/>
    </xf>
    <xf numFmtId="0" fontId="13" fillId="0" borderId="0" xfId="18" applyAlignment="1">
      <alignment horizontal="right"/>
    </xf>
    <xf numFmtId="0" fontId="52" fillId="0" borderId="1" xfId="18" applyFont="1" applyFill="1" applyBorder="1" applyAlignment="1">
      <alignment wrapText="1"/>
    </xf>
    <xf numFmtId="0" fontId="15" fillId="0" borderId="4" xfId="18" applyFont="1" applyBorder="1" applyAlignment="1">
      <alignment horizontal="center" wrapText="1"/>
    </xf>
    <xf numFmtId="0" fontId="14" fillId="0" borderId="2" xfId="18" applyFont="1" applyFill="1" applyBorder="1" applyAlignment="1">
      <alignment horizontal="right" wrapText="1"/>
    </xf>
    <xf numFmtId="0" fontId="52" fillId="0" borderId="1" xfId="18" applyFont="1" applyFill="1" applyBorder="1" applyAlignment="1">
      <alignment horizontal="right" wrapText="1"/>
    </xf>
    <xf numFmtId="0" fontId="15" fillId="0" borderId="5" xfId="18" applyFont="1" applyBorder="1" applyAlignment="1">
      <alignment horizontal="center"/>
    </xf>
    <xf numFmtId="0" fontId="8" fillId="0" borderId="6" xfId="18" applyFont="1" applyFill="1" applyBorder="1" applyAlignment="1">
      <alignment horizontal="center" wrapText="1"/>
    </xf>
    <xf numFmtId="0" fontId="8" fillId="0" borderId="7" xfId="18" applyFont="1" applyFill="1" applyBorder="1" applyAlignment="1">
      <alignment horizontal="center" wrapText="1"/>
    </xf>
    <xf numFmtId="3" fontId="14" fillId="0" borderId="8" xfId="18" applyNumberFormat="1" applyFont="1" applyFill="1" applyBorder="1" applyAlignment="1">
      <alignment horizontal="right" wrapText="1" indent="1"/>
    </xf>
    <xf numFmtId="0" fontId="15" fillId="0" borderId="0" xfId="18" applyFont="1" applyBorder="1" applyAlignment="1"/>
    <xf numFmtId="0" fontId="8" fillId="0" borderId="0" xfId="18" applyFont="1" applyFill="1" applyBorder="1" applyAlignment="1">
      <alignment horizontal="center" wrapText="1"/>
    </xf>
    <xf numFmtId="9" fontId="51" fillId="0" borderId="0" xfId="0" applyNumberFormat="1" applyFont="1" applyBorder="1" applyAlignment="1">
      <alignment horizontal="right"/>
    </xf>
    <xf numFmtId="0" fontId="13" fillId="0" borderId="0" xfId="18" applyBorder="1"/>
    <xf numFmtId="0" fontId="8" fillId="0" borderId="9" xfId="18" applyFont="1" applyFill="1" applyBorder="1" applyAlignment="1">
      <alignment horizontal="center" wrapText="1"/>
    </xf>
    <xf numFmtId="3" fontId="14" fillId="0" borderId="10" xfId="18" applyNumberFormat="1" applyFont="1" applyFill="1" applyBorder="1" applyAlignment="1">
      <alignment horizontal="right" wrapText="1"/>
    </xf>
    <xf numFmtId="0" fontId="15" fillId="0" borderId="0" xfId="18" applyFont="1" applyBorder="1" applyAlignment="1">
      <alignment horizontal="center" wrapText="1"/>
    </xf>
    <xf numFmtId="3" fontId="14" fillId="0" borderId="11" xfId="18" applyNumberFormat="1" applyFont="1" applyFill="1" applyBorder="1" applyAlignment="1">
      <alignment horizontal="right" wrapText="1" indent="1"/>
    </xf>
    <xf numFmtId="3" fontId="14" fillId="0" borderId="10" xfId="18" applyNumberFormat="1" applyFont="1" applyFill="1" applyBorder="1" applyAlignment="1">
      <alignment horizontal="right" wrapText="1" indent="1"/>
    </xf>
    <xf numFmtId="0" fontId="15" fillId="0" borderId="0" xfId="18" applyFont="1" applyBorder="1" applyAlignment="1">
      <alignment wrapText="1"/>
    </xf>
    <xf numFmtId="0" fontId="45" fillId="0" borderId="0" xfId="15"/>
    <xf numFmtId="0" fontId="3" fillId="0" borderId="1" xfId="18" applyFont="1" applyFill="1" applyBorder="1" applyAlignment="1">
      <alignment wrapText="1"/>
    </xf>
    <xf numFmtId="0" fontId="3" fillId="0" borderId="1" xfId="18" quotePrefix="1" applyFont="1" applyFill="1" applyBorder="1" applyAlignment="1">
      <alignment wrapText="1"/>
    </xf>
    <xf numFmtId="0" fontId="6" fillId="0" borderId="0" xfId="12" applyFont="1" applyAlignment="1">
      <alignment vertical="top"/>
    </xf>
    <xf numFmtId="49" fontId="53" fillId="0" borderId="109" xfId="12" applyNumberFormat="1" applyFont="1" applyBorder="1" applyAlignment="1">
      <alignment horizontal="center" vertical="top" wrapText="1"/>
    </xf>
    <xf numFmtId="49" fontId="53" fillId="4" borderId="110" xfId="12" applyNumberFormat="1" applyFont="1" applyFill="1" applyBorder="1" applyAlignment="1">
      <alignment horizontal="right" vertical="top" wrapText="1" indent="1"/>
    </xf>
    <xf numFmtId="49" fontId="49" fillId="5" borderId="110" xfId="12" applyNumberFormat="1" applyFont="1" applyFill="1" applyBorder="1" applyAlignment="1">
      <alignment vertical="top" wrapText="1"/>
    </xf>
    <xf numFmtId="3" fontId="49" fillId="0" borderId="108" xfId="12" applyNumberFormat="1" applyFont="1" applyFill="1" applyBorder="1" applyAlignment="1">
      <alignment horizontal="right" vertical="top" indent="1"/>
    </xf>
    <xf numFmtId="3" fontId="6" fillId="0" borderId="0" xfId="12" applyNumberFormat="1" applyFont="1" applyAlignment="1">
      <alignment horizontal="right" vertical="top" indent="1"/>
    </xf>
    <xf numFmtId="49" fontId="49" fillId="5" borderId="111" xfId="12" applyNumberFormat="1" applyFont="1" applyFill="1" applyBorder="1" applyAlignment="1">
      <alignment vertical="top" wrapText="1"/>
    </xf>
    <xf numFmtId="3" fontId="6" fillId="0" borderId="0" xfId="12" applyNumberFormat="1" applyFont="1" applyAlignment="1">
      <alignment vertical="top"/>
    </xf>
    <xf numFmtId="49" fontId="53" fillId="4" borderId="111" xfId="12" applyNumberFormat="1" applyFont="1" applyFill="1" applyBorder="1" applyAlignment="1">
      <alignment vertical="top" wrapText="1"/>
    </xf>
    <xf numFmtId="168" fontId="53" fillId="0" borderId="108" xfId="12" applyNumberFormat="1" applyFont="1" applyFill="1" applyBorder="1" applyAlignment="1">
      <alignment horizontal="right" vertical="top"/>
    </xf>
    <xf numFmtId="170" fontId="50" fillId="0" borderId="0" xfId="12" applyNumberFormat="1" applyFont="1" applyAlignment="1">
      <alignment horizontal="left" vertical="top" wrapText="1"/>
    </xf>
    <xf numFmtId="169" fontId="50" fillId="0" borderId="0" xfId="12" applyNumberFormat="1" applyFont="1" applyAlignment="1">
      <alignment horizontal="right" vertical="top" wrapText="1"/>
    </xf>
    <xf numFmtId="170" fontId="50" fillId="0" borderId="0" xfId="12" applyNumberFormat="1" applyFont="1" applyAlignment="1">
      <alignment vertical="top" wrapText="1"/>
    </xf>
    <xf numFmtId="0" fontId="54" fillId="0" borderId="0" xfId="0" applyFont="1" applyAlignment="1">
      <alignment horizontal="left"/>
    </xf>
    <xf numFmtId="0" fontId="54" fillId="0" borderId="0" xfId="0" applyFont="1"/>
    <xf numFmtId="0" fontId="55" fillId="0" borderId="0" xfId="0" applyFont="1"/>
    <xf numFmtId="0" fontId="56" fillId="0" borderId="0" xfId="0" applyFont="1"/>
    <xf numFmtId="0" fontId="57" fillId="0" borderId="0" xfId="0" applyFont="1" applyBorder="1" applyAlignment="1"/>
    <xf numFmtId="0" fontId="56" fillId="0" borderId="0" xfId="0" quotePrefix="1" applyFont="1"/>
    <xf numFmtId="0" fontId="57" fillId="0" borderId="0" xfId="0" applyFont="1" applyAlignment="1">
      <alignment horizontal="right"/>
    </xf>
    <xf numFmtId="0" fontId="57" fillId="0" borderId="0" xfId="0" applyFont="1"/>
    <xf numFmtId="0" fontId="58" fillId="0" borderId="0" xfId="0" applyFont="1" applyAlignment="1">
      <alignment vertical="top" wrapText="1"/>
    </xf>
    <xf numFmtId="0" fontId="56" fillId="0" borderId="0" xfId="0" quotePrefix="1" applyFont="1" applyAlignment="1"/>
    <xf numFmtId="0" fontId="56" fillId="0" borderId="0" xfId="0" quotePrefix="1" applyFont="1" applyAlignment="1">
      <alignment horizontal="center"/>
    </xf>
    <xf numFmtId="0" fontId="58" fillId="0" borderId="0" xfId="0" applyFont="1" applyAlignment="1">
      <alignment horizontal="left" vertical="top" wrapText="1"/>
    </xf>
    <xf numFmtId="0" fontId="57" fillId="0" borderId="0" xfId="0" applyFont="1" applyBorder="1"/>
    <xf numFmtId="0" fontId="57" fillId="0" borderId="0" xfId="0" applyFont="1" applyBorder="1" applyAlignment="1">
      <alignment horizontal="right"/>
    </xf>
    <xf numFmtId="0" fontId="57" fillId="0" borderId="0" xfId="0" applyFont="1" applyBorder="1" applyAlignment="1">
      <alignment horizontal="right" wrapText="1"/>
    </xf>
    <xf numFmtId="0" fontId="56" fillId="0" borderId="0" xfId="0" applyFont="1" applyBorder="1"/>
    <xf numFmtId="3" fontId="56" fillId="0" borderId="0" xfId="0" applyNumberFormat="1" applyFont="1"/>
    <xf numFmtId="9" fontId="56" fillId="0" borderId="0" xfId="0" applyNumberFormat="1" applyFont="1"/>
    <xf numFmtId="167" fontId="56" fillId="0" borderId="0" xfId="0" applyNumberFormat="1" applyFont="1"/>
    <xf numFmtId="0" fontId="56" fillId="0" borderId="0" xfId="0" applyFont="1" applyAlignment="1">
      <alignment horizontal="left" indent="2"/>
    </xf>
    <xf numFmtId="0" fontId="56" fillId="0" borderId="0" xfId="0" applyFont="1" applyBorder="1" applyAlignment="1">
      <alignment horizontal="right"/>
    </xf>
    <xf numFmtId="0" fontId="56" fillId="0" borderId="0" xfId="0" applyFont="1" applyAlignment="1">
      <alignment wrapText="1"/>
    </xf>
    <xf numFmtId="9" fontId="56" fillId="0" borderId="0" xfId="0" applyNumberFormat="1" applyFont="1" applyBorder="1"/>
    <xf numFmtId="3" fontId="56" fillId="0" borderId="0" xfId="0" applyNumberFormat="1" applyFont="1" applyAlignment="1">
      <alignment horizontal="right"/>
    </xf>
    <xf numFmtId="9" fontId="56" fillId="0" borderId="0" xfId="39" applyFont="1"/>
    <xf numFmtId="164" fontId="56" fillId="0" borderId="0" xfId="0" applyNumberFormat="1" applyFont="1" applyAlignment="1">
      <alignment horizontal="center"/>
    </xf>
    <xf numFmtId="3" fontId="56" fillId="0" borderId="0" xfId="0" applyNumberFormat="1" applyFont="1" applyAlignment="1">
      <alignment horizontal="right" indent="1"/>
    </xf>
    <xf numFmtId="0" fontId="59" fillId="0" borderId="0" xfId="0" applyFont="1"/>
    <xf numFmtId="0" fontId="59" fillId="0" borderId="0" xfId="0" applyFont="1" applyAlignment="1">
      <alignment horizontal="left"/>
    </xf>
    <xf numFmtId="0" fontId="56" fillId="0" borderId="0" xfId="0" applyFont="1" applyBorder="1" applyAlignment="1"/>
    <xf numFmtId="0" fontId="60" fillId="0" borderId="0" xfId="0" applyFont="1"/>
    <xf numFmtId="0" fontId="61" fillId="0" borderId="12" xfId="0" applyFont="1" applyBorder="1" applyAlignment="1">
      <alignment wrapText="1"/>
    </xf>
    <xf numFmtId="0" fontId="62" fillId="0" borderId="0" xfId="0" applyFont="1" applyAlignment="1">
      <alignment horizontal="center"/>
    </xf>
    <xf numFmtId="0" fontId="62" fillId="0" borderId="0" xfId="0" applyFont="1"/>
    <xf numFmtId="0" fontId="62" fillId="0" borderId="0" xfId="0" applyFont="1" applyAlignment="1">
      <alignment wrapText="1"/>
    </xf>
    <xf numFmtId="0" fontId="61" fillId="0" borderId="0" xfId="0" applyFont="1" applyBorder="1" applyAlignment="1">
      <alignment horizontal="center" wrapText="1"/>
    </xf>
    <xf numFmtId="49" fontId="61" fillId="0" borderId="12" xfId="0" applyNumberFormat="1" applyFont="1" applyBorder="1" applyAlignment="1">
      <alignment horizontal="center"/>
    </xf>
    <xf numFmtId="0" fontId="61" fillId="0" borderId="12" xfId="0" applyFont="1" applyBorder="1" applyAlignment="1">
      <alignment horizontal="left" wrapText="1"/>
    </xf>
    <xf numFmtId="49" fontId="62" fillId="0" borderId="0" xfId="0" applyNumberFormat="1" applyFont="1" applyBorder="1" applyAlignment="1">
      <alignment horizontal="center"/>
    </xf>
    <xf numFmtId="0" fontId="22" fillId="0" borderId="0" xfId="9" applyFont="1" applyBorder="1"/>
    <xf numFmtId="0" fontId="62" fillId="0" borderId="0" xfId="0" applyFont="1" applyBorder="1"/>
    <xf numFmtId="3" fontId="62" fillId="0" borderId="0" xfId="0" applyNumberFormat="1" applyFont="1" applyAlignment="1">
      <alignment horizontal="right" vertical="top" wrapText="1"/>
    </xf>
    <xf numFmtId="3" fontId="62" fillId="0" borderId="0" xfId="0" applyNumberFormat="1" applyFont="1" applyAlignment="1">
      <alignment horizontal="right" indent="1"/>
    </xf>
    <xf numFmtId="3" fontId="62" fillId="0" borderId="0" xfId="0" applyNumberFormat="1" applyFont="1" applyBorder="1" applyAlignment="1">
      <alignment horizontal="center"/>
    </xf>
    <xf numFmtId="3" fontId="62" fillId="0" borderId="0" xfId="0" applyNumberFormat="1" applyFont="1" applyAlignment="1">
      <alignment horizontal="center"/>
    </xf>
    <xf numFmtId="38" fontId="62" fillId="0" borderId="0" xfId="0" applyNumberFormat="1" applyFont="1"/>
    <xf numFmtId="9" fontId="62" fillId="0" borderId="0" xfId="0" applyNumberFormat="1" applyFont="1"/>
    <xf numFmtId="0" fontId="62" fillId="0" borderId="0" xfId="0" applyFont="1" applyAlignment="1">
      <alignment horizontal="right" wrapText="1"/>
    </xf>
    <xf numFmtId="0" fontId="62" fillId="0" borderId="12" xfId="0" applyFont="1" applyBorder="1"/>
    <xf numFmtId="3" fontId="62" fillId="0" borderId="0" xfId="0" applyNumberFormat="1" applyFont="1" applyBorder="1" applyAlignment="1">
      <alignment horizontal="right" vertical="top" wrapText="1"/>
    </xf>
    <xf numFmtId="0" fontId="62" fillId="0" borderId="0" xfId="0" applyFont="1" applyBorder="1" applyAlignment="1">
      <alignment horizontal="right" wrapText="1"/>
    </xf>
    <xf numFmtId="3" fontId="62" fillId="0" borderId="0" xfId="0" applyNumberFormat="1" applyFont="1" applyBorder="1" applyAlignment="1">
      <alignment horizontal="right" indent="1"/>
    </xf>
    <xf numFmtId="49" fontId="62" fillId="0" borderId="0" xfId="0" applyNumberFormat="1" applyFont="1" applyAlignment="1">
      <alignment horizontal="center"/>
    </xf>
    <xf numFmtId="0" fontId="62" fillId="0" borderId="0" xfId="0" applyFont="1" applyAlignment="1">
      <alignment horizontal="left" vertical="top" wrapText="1"/>
    </xf>
    <xf numFmtId="0" fontId="62" fillId="0" borderId="0" xfId="0" applyFont="1" applyAlignment="1">
      <alignment horizontal="center" wrapText="1"/>
    </xf>
    <xf numFmtId="9" fontId="62" fillId="0" borderId="0" xfId="0" applyNumberFormat="1" applyFont="1" applyAlignment="1">
      <alignment horizontal="center"/>
    </xf>
    <xf numFmtId="0" fontId="61" fillId="0" borderId="0" xfId="0" applyFont="1" applyAlignment="1">
      <alignment vertical="top" wrapText="1"/>
    </xf>
    <xf numFmtId="0" fontId="61" fillId="0" borderId="0" xfId="0" applyFont="1" applyAlignment="1">
      <alignment horizontal="center" vertical="top" wrapText="1"/>
    </xf>
    <xf numFmtId="0" fontId="22" fillId="0" borderId="0" xfId="0" applyFont="1" applyBorder="1" applyAlignment="1">
      <alignment vertical="top" wrapText="1"/>
    </xf>
    <xf numFmtId="0" fontId="22" fillId="0" borderId="0" xfId="0" applyFont="1" applyBorder="1" applyAlignment="1">
      <alignment horizontal="center" vertical="top" wrapText="1"/>
    </xf>
    <xf numFmtId="0" fontId="23" fillId="0" borderId="0" xfId="4" applyFont="1" applyFill="1" applyBorder="1" applyAlignment="1" applyProtection="1">
      <alignment wrapText="1"/>
    </xf>
    <xf numFmtId="0" fontId="22" fillId="0" borderId="0" xfId="0" applyFont="1" applyBorder="1" applyAlignment="1">
      <alignment horizontal="left"/>
    </xf>
    <xf numFmtId="0" fontId="59" fillId="0" borderId="0" xfId="0" applyFont="1" applyFill="1" applyBorder="1" applyAlignment="1">
      <alignment wrapText="1"/>
    </xf>
    <xf numFmtId="0" fontId="59" fillId="0" borderId="0" xfId="0" applyFont="1" applyAlignment="1">
      <alignment vertical="top" wrapText="1"/>
    </xf>
    <xf numFmtId="9" fontId="56" fillId="0" borderId="0" xfId="0" applyNumberFormat="1" applyFont="1" applyBorder="1" applyAlignment="1"/>
    <xf numFmtId="9" fontId="56" fillId="0" borderId="0" xfId="0" applyNumberFormat="1" applyFont="1" applyBorder="1" applyAlignment="1">
      <alignment horizontal="right"/>
    </xf>
    <xf numFmtId="0" fontId="56" fillId="0" borderId="0" xfId="0" applyFont="1" applyBorder="1" applyAlignment="1">
      <alignment horizontal="center"/>
    </xf>
    <xf numFmtId="0" fontId="57" fillId="0" borderId="0" xfId="0" applyFont="1" applyAlignment="1">
      <alignment horizontal="center" wrapText="1"/>
    </xf>
    <xf numFmtId="0" fontId="56" fillId="0" borderId="0" xfId="0" applyFont="1" applyFill="1" applyBorder="1" applyAlignment="1">
      <alignment horizontal="left" vertical="top" wrapText="1"/>
    </xf>
    <xf numFmtId="0" fontId="56" fillId="0" borderId="0" xfId="0" applyFont="1" applyAlignment="1">
      <alignment horizontal="left" vertical="top" wrapText="1"/>
    </xf>
    <xf numFmtId="0" fontId="56" fillId="0" borderId="0" xfId="0" applyFont="1" applyAlignment="1">
      <alignment horizontal="left"/>
    </xf>
    <xf numFmtId="0" fontId="63" fillId="0" borderId="0" xfId="0" applyFont="1"/>
    <xf numFmtId="0" fontId="63" fillId="0" borderId="0" xfId="0" applyFont="1" applyAlignment="1">
      <alignment horizontal="center"/>
    </xf>
    <xf numFmtId="0" fontId="62" fillId="0" borderId="0" xfId="0" applyFont="1" applyAlignment="1">
      <alignment horizontal="left" wrapText="1"/>
    </xf>
    <xf numFmtId="49" fontId="22" fillId="0" borderId="0" xfId="0" applyNumberFormat="1" applyFont="1" applyFill="1"/>
    <xf numFmtId="173" fontId="22" fillId="0" borderId="0" xfId="0" applyNumberFormat="1" applyFont="1" applyFill="1" applyBorder="1" applyAlignment="1" applyProtection="1">
      <alignment horizontal="center" vertical="center"/>
    </xf>
    <xf numFmtId="173" fontId="22" fillId="0" borderId="13" xfId="0" applyNumberFormat="1" applyFont="1" applyFill="1" applyBorder="1" applyAlignment="1" applyProtection="1">
      <alignment horizontal="centerContinuous" vertical="center"/>
    </xf>
    <xf numFmtId="173" fontId="22" fillId="0" borderId="14" xfId="0" applyNumberFormat="1" applyFont="1" applyFill="1" applyBorder="1" applyAlignment="1" applyProtection="1">
      <alignment horizontal="centerContinuous" vertical="center"/>
    </xf>
    <xf numFmtId="173" fontId="22" fillId="0" borderId="15" xfId="0" applyNumberFormat="1" applyFont="1" applyFill="1" applyBorder="1" applyAlignment="1" applyProtection="1">
      <alignment horizontal="centerContinuous" vertical="center"/>
    </xf>
    <xf numFmtId="173" fontId="22" fillId="0" borderId="0" xfId="0" applyNumberFormat="1" applyFont="1" applyFill="1"/>
    <xf numFmtId="173" fontId="22" fillId="0" borderId="16" xfId="0" applyNumberFormat="1" applyFont="1" applyFill="1" applyBorder="1" applyAlignment="1" applyProtection="1">
      <alignment horizontal="center" vertical="center"/>
    </xf>
    <xf numFmtId="173" fontId="22" fillId="0" borderId="17" xfId="0" applyNumberFormat="1" applyFont="1" applyFill="1" applyBorder="1" applyAlignment="1" applyProtection="1">
      <alignment horizontal="center" vertical="center"/>
    </xf>
    <xf numFmtId="173" fontId="22" fillId="0" borderId="18" xfId="0" applyNumberFormat="1" applyFont="1" applyFill="1" applyBorder="1" applyAlignment="1">
      <alignment horizontal="center" vertical="center"/>
    </xf>
    <xf numFmtId="49" fontId="24" fillId="6" borderId="19" xfId="0" applyNumberFormat="1" applyFont="1" applyFill="1" applyBorder="1" applyAlignment="1">
      <alignment horizontal="center"/>
    </xf>
    <xf numFmtId="173" fontId="24" fillId="6" borderId="20" xfId="0" applyNumberFormat="1" applyFont="1" applyFill="1" applyBorder="1" applyAlignment="1" applyProtection="1">
      <alignment horizontal="left" vertical="center"/>
    </xf>
    <xf numFmtId="173" fontId="24" fillId="6" borderId="21" xfId="0" applyNumberFormat="1" applyFont="1" applyFill="1" applyBorder="1" applyAlignment="1" applyProtection="1">
      <alignment horizontal="left" vertical="center"/>
    </xf>
    <xf numFmtId="0" fontId="22" fillId="0" borderId="22" xfId="0" applyNumberFormat="1" applyFont="1" applyBorder="1" applyAlignment="1">
      <alignment horizontal="center"/>
    </xf>
    <xf numFmtId="0" fontId="22" fillId="0" borderId="23" xfId="0" applyNumberFormat="1" applyFont="1" applyBorder="1"/>
    <xf numFmtId="175" fontId="22" fillId="0" borderId="0" xfId="0" applyNumberFormat="1" applyFont="1" applyFill="1" applyBorder="1" applyAlignment="1" applyProtection="1">
      <alignment vertical="center"/>
    </xf>
    <xf numFmtId="175" fontId="22" fillId="0" borderId="0" xfId="0" applyNumberFormat="1" applyFont="1" applyFill="1" applyBorder="1" applyAlignment="1" applyProtection="1">
      <alignment vertical="center"/>
      <protection locked="0"/>
    </xf>
    <xf numFmtId="175" fontId="22" fillId="0" borderId="24" xfId="0" applyNumberFormat="1" applyFont="1" applyFill="1" applyBorder="1" applyAlignment="1" applyProtection="1">
      <alignment vertical="center"/>
      <protection locked="0"/>
    </xf>
    <xf numFmtId="175" fontId="22" fillId="0" borderId="24" xfId="0" applyNumberFormat="1" applyFont="1" applyFill="1" applyBorder="1" applyAlignment="1" applyProtection="1">
      <alignment vertical="center"/>
    </xf>
    <xf numFmtId="0" fontId="22" fillId="0" borderId="25" xfId="0" applyNumberFormat="1" applyFont="1" applyBorder="1" applyAlignment="1">
      <alignment horizontal="center"/>
    </xf>
    <xf numFmtId="0" fontId="22" fillId="0" borderId="26" xfId="0" applyNumberFormat="1" applyFont="1" applyBorder="1"/>
    <xf numFmtId="0" fontId="63" fillId="0" borderId="0" xfId="0" applyFont="1" applyAlignment="1">
      <alignment wrapText="1"/>
    </xf>
    <xf numFmtId="0" fontId="63" fillId="0" borderId="0" xfId="0" applyFont="1" applyAlignment="1">
      <alignment horizontal="left" wrapText="1"/>
    </xf>
    <xf numFmtId="0" fontId="64" fillId="0" borderId="0" xfId="0" applyFont="1"/>
    <xf numFmtId="0" fontId="64" fillId="0" borderId="0" xfId="0" applyFont="1" applyAlignment="1">
      <alignment horizontal="right"/>
    </xf>
    <xf numFmtId="0" fontId="65" fillId="0" borderId="0" xfId="0" applyFont="1"/>
    <xf numFmtId="0" fontId="56" fillId="0" borderId="0" xfId="0" applyFont="1" applyFill="1" applyBorder="1"/>
    <xf numFmtId="0" fontId="56" fillId="7" borderId="0" xfId="0" applyFont="1" applyFill="1" applyBorder="1"/>
    <xf numFmtId="0" fontId="56" fillId="7" borderId="23" xfId="0" applyFont="1" applyFill="1" applyBorder="1"/>
    <xf numFmtId="0" fontId="65" fillId="7" borderId="0" xfId="0" applyFont="1" applyFill="1" applyBorder="1" applyAlignment="1"/>
    <xf numFmtId="0" fontId="59" fillId="0" borderId="0" xfId="0" applyFont="1" applyAlignment="1">
      <alignment horizontal="left" wrapText="1"/>
    </xf>
    <xf numFmtId="0" fontId="55" fillId="0" borderId="0" xfId="0" applyFont="1" applyAlignment="1">
      <alignment horizontal="center"/>
    </xf>
    <xf numFmtId="49" fontId="62" fillId="0" borderId="12" xfId="0" applyNumberFormat="1" applyFont="1" applyBorder="1" applyAlignment="1">
      <alignment horizontal="center"/>
    </xf>
    <xf numFmtId="0" fontId="22" fillId="0" borderId="12" xfId="9" applyFont="1" applyBorder="1"/>
    <xf numFmtId="0" fontId="66" fillId="0" borderId="0" xfId="4" applyFont="1" applyAlignment="1" applyProtection="1"/>
    <xf numFmtId="0" fontId="59" fillId="0" borderId="0" xfId="0" applyFont="1" applyAlignment="1">
      <alignment wrapText="1"/>
    </xf>
    <xf numFmtId="0" fontId="57" fillId="0" borderId="0" xfId="0" applyFont="1" applyFill="1" applyBorder="1" applyAlignment="1"/>
    <xf numFmtId="0" fontId="67" fillId="0" borderId="0" xfId="0" applyFont="1" applyBorder="1" applyAlignment="1"/>
    <xf numFmtId="0" fontId="56" fillId="0" borderId="0" xfId="0" applyFont="1" applyAlignment="1"/>
    <xf numFmtId="0" fontId="59" fillId="0" borderId="0" xfId="0" applyFont="1" applyAlignment="1">
      <alignment horizontal="left" vertical="top" wrapText="1"/>
    </xf>
    <xf numFmtId="0" fontId="56" fillId="0" borderId="0" xfId="0" applyFont="1" applyFill="1" applyBorder="1" applyAlignment="1">
      <alignment horizontal="right"/>
    </xf>
    <xf numFmtId="0" fontId="55" fillId="0" borderId="13" xfId="0" applyFont="1" applyBorder="1" applyAlignment="1">
      <alignment horizontal="center"/>
    </xf>
    <xf numFmtId="0" fontId="55" fillId="0" borderId="15" xfId="0" applyFont="1" applyBorder="1" applyAlignment="1">
      <alignment horizontal="center"/>
    </xf>
    <xf numFmtId="0" fontId="55" fillId="0" borderId="28" xfId="0" applyFont="1" applyBorder="1" applyAlignment="1">
      <alignment horizontal="center"/>
    </xf>
    <xf numFmtId="0" fontId="61" fillId="0" borderId="0" xfId="0" applyFont="1" applyBorder="1" applyAlignment="1">
      <alignment horizontal="center" wrapText="1"/>
    </xf>
    <xf numFmtId="0" fontId="62" fillId="0" borderId="0" xfId="0" applyFont="1" applyAlignment="1">
      <alignment horizontal="left" vertical="top" wrapText="1"/>
    </xf>
    <xf numFmtId="0" fontId="68" fillId="0" borderId="12" xfId="0" applyFont="1" applyBorder="1" applyAlignment="1">
      <alignment horizontal="left" wrapText="1"/>
    </xf>
    <xf numFmtId="0" fontId="69" fillId="0" borderId="0" xfId="9" applyFont="1" applyBorder="1" applyAlignment="1">
      <alignment horizontal="left"/>
    </xf>
    <xf numFmtId="0" fontId="69" fillId="0" borderId="0" xfId="14" applyFont="1"/>
    <xf numFmtId="0" fontId="70" fillId="0" borderId="0" xfId="14" applyFont="1"/>
    <xf numFmtId="0" fontId="71" fillId="0" borderId="4" xfId="14" applyFont="1" applyFill="1" applyBorder="1" applyAlignment="1">
      <alignment horizontal="center" wrapText="1"/>
    </xf>
    <xf numFmtId="164" fontId="71" fillId="0" borderId="0" xfId="14" applyNumberFormat="1" applyFont="1" applyFill="1" applyBorder="1" applyAlignment="1">
      <alignment horizontal="center" wrapText="1"/>
    </xf>
    <xf numFmtId="0" fontId="70" fillId="0" borderId="29" xfId="9" applyFont="1" applyBorder="1"/>
    <xf numFmtId="0" fontId="70" fillId="0" borderId="30" xfId="9" applyFont="1" applyBorder="1"/>
    <xf numFmtId="0" fontId="72" fillId="0" borderId="0" xfId="14" applyFont="1" applyFill="1" applyBorder="1" applyAlignment="1">
      <alignment wrapText="1"/>
    </xf>
    <xf numFmtId="0" fontId="70" fillId="0" borderId="31" xfId="9" applyFont="1" applyBorder="1"/>
    <xf numFmtId="0" fontId="70" fillId="0" borderId="0" xfId="14" applyFont="1" applyAlignment="1">
      <alignment horizontal="right" vertical="top"/>
    </xf>
    <xf numFmtId="0" fontId="71" fillId="0" borderId="0" xfId="16" applyFont="1"/>
    <xf numFmtId="0" fontId="61" fillId="0" borderId="0" xfId="0" applyFont="1" applyBorder="1" applyAlignment="1">
      <alignment wrapText="1"/>
    </xf>
    <xf numFmtId="0" fontId="68" fillId="0" borderId="0" xfId="0" applyFont="1" applyBorder="1" applyAlignment="1">
      <alignment horizontal="left" wrapText="1"/>
    </xf>
    <xf numFmtId="49" fontId="61" fillId="8" borderId="0" xfId="0" quotePrefix="1" applyNumberFormat="1" applyFont="1" applyFill="1" applyBorder="1" applyAlignment="1">
      <alignment horizontal="center"/>
    </xf>
    <xf numFmtId="0" fontId="61" fillId="8" borderId="14" xfId="0" applyFont="1" applyFill="1" applyBorder="1" applyAlignment="1">
      <alignment horizontal="left" vertical="top" wrapText="1"/>
    </xf>
    <xf numFmtId="3" fontId="61" fillId="8" borderId="0" xfId="0" applyNumberFormat="1" applyFont="1" applyFill="1" applyBorder="1" applyAlignment="1">
      <alignment horizontal="right" vertical="top" wrapText="1"/>
    </xf>
    <xf numFmtId="3" fontId="61" fillId="8" borderId="12" xfId="0" applyNumberFormat="1" applyFont="1" applyFill="1" applyBorder="1" applyAlignment="1">
      <alignment horizontal="right" indent="1"/>
    </xf>
    <xf numFmtId="3" fontId="61" fillId="8" borderId="12" xfId="0" applyNumberFormat="1" applyFont="1" applyFill="1" applyBorder="1" applyAlignment="1">
      <alignment horizontal="center"/>
    </xf>
    <xf numFmtId="0" fontId="61" fillId="0" borderId="28" xfId="0" applyFont="1" applyBorder="1" applyAlignment="1">
      <alignment horizontal="center" wrapText="1"/>
    </xf>
    <xf numFmtId="165" fontId="61" fillId="8" borderId="31" xfId="39" applyNumberFormat="1" applyFont="1" applyFill="1" applyBorder="1" applyAlignment="1">
      <alignment horizontal="center"/>
    </xf>
    <xf numFmtId="165" fontId="62" fillId="0" borderId="30" xfId="39" applyNumberFormat="1" applyFont="1" applyBorder="1" applyAlignment="1">
      <alignment horizontal="center"/>
    </xf>
    <xf numFmtId="165" fontId="62" fillId="0" borderId="30" xfId="0" applyNumberFormat="1" applyFont="1" applyBorder="1" applyAlignment="1">
      <alignment horizontal="center"/>
    </xf>
    <xf numFmtId="165" fontId="62" fillId="0" borderId="30" xfId="39" applyNumberFormat="1" applyFont="1" applyBorder="1" applyAlignment="1">
      <alignment horizontal="center" wrapText="1"/>
    </xf>
    <xf numFmtId="165" fontId="62" fillId="0" borderId="31" xfId="39" applyNumberFormat="1" applyFont="1" applyBorder="1" applyAlignment="1">
      <alignment horizontal="center" wrapText="1"/>
    </xf>
    <xf numFmtId="165" fontId="62" fillId="0" borderId="31" xfId="0" applyNumberFormat="1" applyFont="1" applyBorder="1" applyAlignment="1">
      <alignment horizontal="center"/>
    </xf>
    <xf numFmtId="165" fontId="62" fillId="0" borderId="31" xfId="39" applyNumberFormat="1" applyFont="1" applyBorder="1" applyAlignment="1">
      <alignment horizontal="center"/>
    </xf>
    <xf numFmtId="0" fontId="61" fillId="0" borderId="31" xfId="0" applyFont="1" applyBorder="1" applyAlignment="1">
      <alignment horizontal="center" wrapText="1"/>
    </xf>
    <xf numFmtId="3" fontId="61" fillId="8" borderId="31" xfId="0" applyNumberFormat="1" applyFont="1" applyFill="1" applyBorder="1" applyAlignment="1">
      <alignment horizontal="right" indent="1"/>
    </xf>
    <xf numFmtId="3" fontId="62" fillId="0" borderId="30" xfId="0" applyNumberFormat="1" applyFont="1" applyBorder="1" applyAlignment="1">
      <alignment horizontal="right" indent="1"/>
    </xf>
    <xf numFmtId="3" fontId="62" fillId="0" borderId="31" xfId="0" applyNumberFormat="1" applyFont="1" applyBorder="1" applyAlignment="1">
      <alignment horizontal="right" indent="1"/>
    </xf>
    <xf numFmtId="171" fontId="61" fillId="8" borderId="31" xfId="1" applyNumberFormat="1" applyFont="1" applyFill="1" applyBorder="1" applyAlignment="1">
      <alignment horizontal="right" vertical="top" wrapText="1"/>
    </xf>
    <xf numFmtId="3" fontId="61" fillId="8" borderId="31" xfId="0" applyNumberFormat="1" applyFont="1" applyFill="1" applyBorder="1" applyAlignment="1">
      <alignment horizontal="right" vertical="top" wrapText="1"/>
    </xf>
    <xf numFmtId="171" fontId="62" fillId="0" borderId="30" xfId="1" applyNumberFormat="1" applyFont="1" applyBorder="1" applyAlignment="1">
      <alignment horizontal="right" vertical="top" wrapText="1"/>
    </xf>
    <xf numFmtId="3" fontId="62" fillId="0" borderId="30" xfId="0" applyNumberFormat="1" applyFont="1" applyBorder="1" applyAlignment="1">
      <alignment horizontal="right" vertical="top" wrapText="1"/>
    </xf>
    <xf numFmtId="171" fontId="62" fillId="0" borderId="31" xfId="1" applyNumberFormat="1" applyFont="1" applyBorder="1" applyAlignment="1">
      <alignment horizontal="right" vertical="top" wrapText="1"/>
    </xf>
    <xf numFmtId="3" fontId="62" fillId="0" borderId="31" xfId="0" applyNumberFormat="1" applyFont="1" applyBorder="1" applyAlignment="1">
      <alignment horizontal="right" vertical="top" wrapText="1"/>
    </xf>
    <xf numFmtId="0" fontId="72" fillId="0" borderId="32" xfId="14" applyFont="1" applyFill="1" applyBorder="1" applyAlignment="1">
      <alignment wrapText="1"/>
    </xf>
    <xf numFmtId="0" fontId="73" fillId="0" borderId="0" xfId="0" applyFont="1" applyAlignment="1">
      <alignment wrapText="1"/>
    </xf>
    <xf numFmtId="0" fontId="73" fillId="0" borderId="0" xfId="0" applyFont="1" applyAlignment="1">
      <alignment horizontal="center"/>
    </xf>
    <xf numFmtId="0" fontId="73" fillId="0" borderId="0" xfId="0" applyFont="1"/>
    <xf numFmtId="49" fontId="55" fillId="0" borderId="12" xfId="0" applyNumberFormat="1" applyFont="1" applyBorder="1" applyAlignment="1">
      <alignment horizontal="center"/>
    </xf>
    <xf numFmtId="0" fontId="55" fillId="0" borderId="12" xfId="0" applyFont="1" applyBorder="1" applyAlignment="1">
      <alignment horizontal="left" wrapText="1"/>
    </xf>
    <xf numFmtId="0" fontId="55" fillId="0" borderId="0" xfId="0" applyFont="1" applyBorder="1" applyAlignment="1">
      <alignment horizontal="left" wrapText="1"/>
    </xf>
    <xf numFmtId="49" fontId="55" fillId="8" borderId="14" xfId="0" quotePrefix="1" applyNumberFormat="1" applyFont="1" applyFill="1" applyBorder="1" applyAlignment="1">
      <alignment horizontal="center"/>
    </xf>
    <xf numFmtId="0" fontId="55" fillId="8" borderId="14" xfId="0" applyFont="1" applyFill="1" applyBorder="1" applyAlignment="1">
      <alignment horizontal="left" wrapText="1"/>
    </xf>
    <xf numFmtId="0" fontId="55" fillId="0" borderId="0" xfId="0" applyFont="1" applyFill="1" applyBorder="1" applyAlignment="1">
      <alignment horizontal="left" wrapText="1"/>
    </xf>
    <xf numFmtId="171" fontId="55" fillId="8" borderId="15" xfId="1" applyNumberFormat="1" applyFont="1" applyFill="1" applyBorder="1" applyAlignment="1"/>
    <xf numFmtId="171" fontId="55" fillId="8" borderId="28" xfId="1" applyNumberFormat="1" applyFont="1" applyFill="1" applyBorder="1" applyAlignment="1"/>
    <xf numFmtId="171" fontId="55" fillId="8" borderId="13" xfId="1" applyNumberFormat="1" applyFont="1" applyFill="1" applyBorder="1" applyAlignment="1"/>
    <xf numFmtId="164" fontId="55" fillId="8" borderId="15" xfId="39" applyNumberFormat="1" applyFont="1" applyFill="1" applyBorder="1" applyAlignment="1"/>
    <xf numFmtId="164" fontId="55" fillId="8" borderId="13" xfId="39" applyNumberFormat="1" applyFont="1" applyFill="1" applyBorder="1" applyAlignment="1"/>
    <xf numFmtId="171" fontId="55" fillId="0" borderId="0" xfId="1" applyNumberFormat="1" applyFont="1" applyFill="1" applyAlignment="1"/>
    <xf numFmtId="49" fontId="73" fillId="0" borderId="0" xfId="0" applyNumberFormat="1" applyFont="1" applyBorder="1" applyAlignment="1">
      <alignment horizontal="center"/>
    </xf>
    <xf numFmtId="0" fontId="70" fillId="0" borderId="0" xfId="9" applyFont="1" applyBorder="1"/>
    <xf numFmtId="0" fontId="73" fillId="0" borderId="0" xfId="0" applyFont="1" applyBorder="1"/>
    <xf numFmtId="171" fontId="73" fillId="0" borderId="33" xfId="1" applyNumberFormat="1" applyFont="1" applyBorder="1"/>
    <xf numFmtId="171" fontId="73" fillId="0" borderId="30" xfId="1" applyNumberFormat="1" applyFont="1" applyBorder="1"/>
    <xf numFmtId="171" fontId="73" fillId="0" borderId="34" xfId="1" applyNumberFormat="1" applyFont="1" applyBorder="1"/>
    <xf numFmtId="164" fontId="73" fillId="0" borderId="33" xfId="39" applyNumberFormat="1" applyFont="1" applyBorder="1"/>
    <xf numFmtId="164" fontId="73" fillId="0" borderId="34" xfId="39" applyNumberFormat="1" applyFont="1" applyBorder="1"/>
    <xf numFmtId="171" fontId="73" fillId="0" borderId="0" xfId="1" applyNumberFormat="1" applyFont="1"/>
    <xf numFmtId="164" fontId="73" fillId="0" borderId="0" xfId="39" applyNumberFormat="1" applyFont="1"/>
    <xf numFmtId="49" fontId="73" fillId="0" borderId="12" xfId="0" applyNumberFormat="1" applyFont="1" applyBorder="1" applyAlignment="1">
      <alignment horizontal="center"/>
    </xf>
    <xf numFmtId="0" fontId="70" fillId="0" borderId="12" xfId="9" applyFont="1" applyBorder="1"/>
    <xf numFmtId="0" fontId="73" fillId="0" borderId="12" xfId="0" applyFont="1" applyBorder="1"/>
    <xf numFmtId="171" fontId="73" fillId="0" borderId="35" xfId="1" applyNumberFormat="1" applyFont="1" applyBorder="1"/>
    <xf numFmtId="171" fontId="73" fillId="0" borderId="31" xfId="1" applyNumberFormat="1" applyFont="1" applyBorder="1"/>
    <xf numFmtId="171" fontId="73" fillId="0" borderId="36" xfId="1" applyNumberFormat="1" applyFont="1" applyBorder="1"/>
    <xf numFmtId="164" fontId="73" fillId="0" borderId="35" xfId="39" applyNumberFormat="1" applyFont="1" applyBorder="1"/>
    <xf numFmtId="164" fontId="73" fillId="0" borderId="36" xfId="39" applyNumberFormat="1" applyFont="1" applyBorder="1"/>
    <xf numFmtId="49" fontId="73" fillId="0" borderId="0" xfId="0" applyNumberFormat="1" applyFont="1" applyAlignment="1">
      <alignment horizontal="left"/>
    </xf>
    <xf numFmtId="0" fontId="73" fillId="0" borderId="0" xfId="0" applyFont="1" applyAlignment="1">
      <alignment horizontal="left" vertical="top" wrapText="1"/>
    </xf>
    <xf numFmtId="0" fontId="70" fillId="0" borderId="0" xfId="0" applyFont="1" applyBorder="1" applyAlignment="1">
      <alignment vertical="top" wrapText="1"/>
    </xf>
    <xf numFmtId="0" fontId="66" fillId="0" borderId="0" xfId="4" applyFont="1" applyFill="1" applyBorder="1" applyAlignment="1" applyProtection="1">
      <alignment wrapText="1"/>
    </xf>
    <xf numFmtId="0" fontId="69" fillId="0" borderId="0" xfId="19" applyFont="1" applyAlignment="1">
      <alignment vertical="top"/>
    </xf>
    <xf numFmtId="0" fontId="54" fillId="0" borderId="0" xfId="15" applyFont="1"/>
    <xf numFmtId="3" fontId="56" fillId="0" borderId="24" xfId="0" applyNumberFormat="1" applyFont="1" applyFill="1" applyBorder="1" applyAlignment="1">
      <alignment horizontal="right" indent="1"/>
    </xf>
    <xf numFmtId="3" fontId="56" fillId="0" borderId="23" xfId="0" applyNumberFormat="1" applyFont="1" applyFill="1" applyBorder="1" applyAlignment="1">
      <alignment horizontal="right" indent="1"/>
    </xf>
    <xf numFmtId="0" fontId="71" fillId="0" borderId="1" xfId="29" applyFont="1" applyFill="1" applyBorder="1" applyAlignment="1"/>
    <xf numFmtId="0" fontId="57" fillId="0" borderId="0" xfId="0" applyFont="1" applyBorder="1" applyAlignment="1">
      <alignment horizontal="center" wrapText="1"/>
    </xf>
    <xf numFmtId="0" fontId="57" fillId="0" borderId="0" xfId="0" applyFont="1" applyBorder="1" applyAlignment="1">
      <alignment wrapText="1"/>
    </xf>
    <xf numFmtId="0" fontId="71" fillId="0" borderId="1" xfId="37" applyFont="1" applyFill="1" applyBorder="1" applyAlignment="1"/>
    <xf numFmtId="0" fontId="57" fillId="0" borderId="0" xfId="0" applyFont="1" applyAlignment="1">
      <alignment wrapText="1"/>
    </xf>
    <xf numFmtId="0" fontId="74" fillId="9" borderId="0" xfId="0" applyFont="1" applyFill="1" applyAlignment="1">
      <alignment wrapText="1"/>
    </xf>
    <xf numFmtId="9" fontId="56" fillId="0" borderId="0" xfId="0" applyNumberFormat="1" applyFont="1" applyFill="1" applyBorder="1"/>
    <xf numFmtId="0" fontId="56" fillId="0" borderId="0" xfId="0" applyFont="1" applyFill="1" applyBorder="1" applyAlignment="1">
      <alignment horizontal="right" indent="1"/>
    </xf>
    <xf numFmtId="3" fontId="56" fillId="0" borderId="0" xfId="0" applyNumberFormat="1" applyFont="1" applyFill="1" applyBorder="1" applyAlignment="1">
      <alignment horizontal="right" indent="1"/>
    </xf>
    <xf numFmtId="0" fontId="75" fillId="0" borderId="0" xfId="0" applyFont="1"/>
    <xf numFmtId="3" fontId="75" fillId="0" borderId="0" xfId="0" applyNumberFormat="1" applyFont="1"/>
    <xf numFmtId="9" fontId="75" fillId="0" borderId="0" xfId="39" applyFont="1"/>
    <xf numFmtId="171" fontId="75" fillId="0" borderId="0" xfId="1" applyNumberFormat="1" applyFont="1"/>
    <xf numFmtId="0" fontId="57" fillId="0" borderId="0" xfId="0" applyFont="1" applyFill="1" applyBorder="1" applyAlignment="1">
      <alignment horizontal="center"/>
    </xf>
    <xf numFmtId="9" fontId="56" fillId="0" borderId="23" xfId="39" applyFont="1" applyBorder="1" applyAlignment="1">
      <alignment horizontal="right" indent="1"/>
    </xf>
    <xf numFmtId="9" fontId="56" fillId="7" borderId="23" xfId="39" applyFont="1" applyFill="1" applyBorder="1" applyAlignment="1">
      <alignment horizontal="right" indent="1"/>
    </xf>
    <xf numFmtId="0" fontId="59" fillId="0" borderId="0" xfId="0" applyFont="1" applyBorder="1" applyAlignment="1">
      <alignment vertical="top" wrapText="1"/>
    </xf>
    <xf numFmtId="0" fontId="59" fillId="0" borderId="0" xfId="0" applyFont="1" applyAlignment="1">
      <alignment vertical="top"/>
    </xf>
    <xf numFmtId="0" fontId="59" fillId="0" borderId="0" xfId="0" applyFont="1" applyFill="1" applyBorder="1" applyAlignment="1">
      <alignment vertical="top" wrapText="1"/>
    </xf>
    <xf numFmtId="3" fontId="56" fillId="0" borderId="112" xfId="0" applyNumberFormat="1" applyFont="1" applyFill="1" applyBorder="1" applyAlignment="1">
      <alignment horizontal="center"/>
    </xf>
    <xf numFmtId="3" fontId="56" fillId="0" borderId="113" xfId="0" applyNumberFormat="1" applyFont="1" applyFill="1" applyBorder="1" applyAlignment="1">
      <alignment horizontal="center"/>
    </xf>
    <xf numFmtId="3" fontId="56" fillId="0" borderId="114" xfId="0" applyNumberFormat="1" applyFont="1" applyFill="1" applyBorder="1" applyAlignment="1">
      <alignment horizontal="center"/>
    </xf>
    <xf numFmtId="0" fontId="22" fillId="0" borderId="0" xfId="0" applyNumberFormat="1" applyFont="1" applyBorder="1" applyAlignment="1">
      <alignment horizontal="center"/>
    </xf>
    <xf numFmtId="0" fontId="22" fillId="0" borderId="0" xfId="0" applyNumberFormat="1" applyFont="1" applyBorder="1"/>
    <xf numFmtId="3" fontId="22" fillId="0" borderId="0" xfId="0" applyNumberFormat="1" applyFont="1" applyFill="1" applyBorder="1" applyAlignment="1" applyProtection="1">
      <alignment vertical="center"/>
    </xf>
    <xf numFmtId="174" fontId="22" fillId="0" borderId="0" xfId="0" applyNumberFormat="1" applyFont="1" applyFill="1" applyBorder="1" applyAlignment="1" applyProtection="1">
      <alignment horizontal="center" vertical="center"/>
    </xf>
    <xf numFmtId="164" fontId="24" fillId="6" borderId="19" xfId="39" applyNumberFormat="1" applyFont="1" applyFill="1" applyBorder="1" applyAlignment="1" applyProtection="1">
      <alignment horizontal="center" vertical="center"/>
    </xf>
    <xf numFmtId="164" fontId="22" fillId="0" borderId="22" xfId="39" applyNumberFormat="1" applyFont="1" applyFill="1" applyBorder="1" applyAlignment="1" applyProtection="1">
      <alignment horizontal="center" vertical="center"/>
    </xf>
    <xf numFmtId="164" fontId="22" fillId="0" borderId="24" xfId="39" applyNumberFormat="1" applyFont="1" applyFill="1" applyBorder="1" applyAlignment="1" applyProtection="1">
      <alignment horizontal="center" vertical="center"/>
    </xf>
    <xf numFmtId="164" fontId="22" fillId="0" borderId="23" xfId="39" applyNumberFormat="1" applyFont="1" applyFill="1" applyBorder="1" applyAlignment="1" applyProtection="1">
      <alignment horizontal="center" vertical="center"/>
    </xf>
    <xf numFmtId="164" fontId="22" fillId="0" borderId="25" xfId="39" applyNumberFormat="1" applyFont="1" applyFill="1" applyBorder="1" applyAlignment="1" applyProtection="1">
      <alignment horizontal="center" vertical="center"/>
    </xf>
    <xf numFmtId="164" fontId="22" fillId="0" borderId="27" xfId="39" applyNumberFormat="1" applyFont="1" applyFill="1" applyBorder="1" applyAlignment="1" applyProtection="1">
      <alignment horizontal="center" vertical="center"/>
    </xf>
    <xf numFmtId="164" fontId="22" fillId="0" borderId="26" xfId="39" applyNumberFormat="1" applyFont="1" applyFill="1" applyBorder="1" applyAlignment="1" applyProtection="1">
      <alignment horizontal="center" vertical="center"/>
    </xf>
    <xf numFmtId="175" fontId="22" fillId="0" borderId="22" xfId="0" applyNumberFormat="1" applyFont="1" applyFill="1" applyBorder="1" applyAlignment="1" applyProtection="1">
      <alignment vertical="center"/>
      <protection locked="0"/>
    </xf>
    <xf numFmtId="3" fontId="22" fillId="0" borderId="23" xfId="0" applyNumberFormat="1" applyFont="1" applyFill="1" applyBorder="1" applyAlignment="1" applyProtection="1">
      <alignment vertical="center"/>
    </xf>
    <xf numFmtId="175" fontId="22" fillId="0" borderId="23" xfId="0" applyNumberFormat="1" applyFont="1" applyFill="1" applyBorder="1" applyAlignment="1" applyProtection="1">
      <alignment vertical="center"/>
    </xf>
    <xf numFmtId="173" fontId="22" fillId="0" borderId="18" xfId="0" applyNumberFormat="1" applyFont="1" applyFill="1" applyBorder="1" applyAlignment="1" applyProtection="1">
      <alignment horizontal="center" vertical="center"/>
    </xf>
    <xf numFmtId="3" fontId="24" fillId="6" borderId="19" xfId="0" applyNumberFormat="1" applyFont="1" applyFill="1" applyBorder="1" applyAlignment="1" applyProtection="1">
      <alignment vertical="center"/>
    </xf>
    <xf numFmtId="3" fontId="24" fillId="6" borderId="20" xfId="0" applyNumberFormat="1" applyFont="1" applyFill="1" applyBorder="1" applyAlignment="1" applyProtection="1">
      <alignment vertical="center"/>
    </xf>
    <xf numFmtId="3" fontId="24" fillId="6" borderId="21" xfId="0" applyNumberFormat="1" applyFont="1" applyFill="1" applyBorder="1" applyAlignment="1" applyProtection="1">
      <alignment vertical="center"/>
    </xf>
    <xf numFmtId="0" fontId="56" fillId="0" borderId="0" xfId="0" applyFont="1" applyBorder="1" applyAlignment="1">
      <alignment vertical="top"/>
    </xf>
    <xf numFmtId="0" fontId="56" fillId="0" borderId="0" xfId="0" applyFont="1" applyBorder="1" applyAlignment="1">
      <alignment vertical="top" wrapText="1"/>
    </xf>
    <xf numFmtId="0" fontId="57" fillId="0" borderId="0" xfId="0" applyFont="1" applyBorder="1" applyAlignment="1">
      <alignment vertical="top"/>
    </xf>
    <xf numFmtId="171" fontId="73" fillId="0" borderId="0" xfId="1" applyNumberFormat="1" applyFont="1" applyBorder="1"/>
    <xf numFmtId="164" fontId="73" fillId="0" borderId="0" xfId="39" applyNumberFormat="1" applyFont="1" applyBorder="1"/>
    <xf numFmtId="49" fontId="55" fillId="0" borderId="0" xfId="0" applyNumberFormat="1" applyFont="1" applyBorder="1" applyAlignment="1">
      <alignment horizontal="center"/>
    </xf>
    <xf numFmtId="0" fontId="56" fillId="0" borderId="0" xfId="0" applyFont="1" applyFill="1" applyBorder="1" applyAlignment="1">
      <alignment horizontal="center"/>
    </xf>
    <xf numFmtId="164" fontId="56" fillId="0" borderId="0" xfId="39" applyNumberFormat="1" applyFont="1" applyFill="1" applyBorder="1" applyAlignment="1">
      <alignment horizontal="center"/>
    </xf>
    <xf numFmtId="164" fontId="56" fillId="0" borderId="0" xfId="0" applyNumberFormat="1" applyFont="1" applyFill="1" applyBorder="1" applyAlignment="1">
      <alignment horizontal="center"/>
    </xf>
    <xf numFmtId="0" fontId="54" fillId="0" borderId="0" xfId="0" applyFont="1" applyAlignment="1"/>
    <xf numFmtId="0" fontId="76" fillId="0" borderId="0" xfId="0" applyFont="1" applyBorder="1" applyAlignment="1">
      <alignment vertical="top" wrapText="1"/>
    </xf>
    <xf numFmtId="178" fontId="77" fillId="0" borderId="0" xfId="0" applyNumberFormat="1" applyFont="1" applyBorder="1" applyAlignment="1">
      <alignment vertical="center"/>
    </xf>
    <xf numFmtId="0" fontId="68" fillId="0" borderId="0" xfId="0" applyFont="1" applyBorder="1" applyAlignment="1">
      <alignment horizontal="left"/>
    </xf>
    <xf numFmtId="0" fontId="63" fillId="0" borderId="0" xfId="0" applyFont="1" applyAlignment="1">
      <alignment horizontal="left"/>
    </xf>
    <xf numFmtId="0" fontId="71" fillId="0" borderId="0" xfId="16" applyFont="1" applyBorder="1" applyAlignment="1">
      <alignment horizontal="center"/>
    </xf>
    <xf numFmtId="0" fontId="54" fillId="0" borderId="0" xfId="0" applyFont="1" applyBorder="1" applyAlignment="1">
      <alignment horizontal="center"/>
    </xf>
    <xf numFmtId="0" fontId="75" fillId="0" borderId="23" xfId="0" applyFont="1" applyBorder="1"/>
    <xf numFmtId="0" fontId="62" fillId="0" borderId="0" xfId="0" applyFont="1" applyAlignment="1">
      <alignment horizontal="left" vertical="top" wrapText="1"/>
    </xf>
    <xf numFmtId="0" fontId="68" fillId="0" borderId="0" xfId="0" applyFont="1" applyBorder="1" applyAlignment="1">
      <alignment horizontal="left" wrapText="1"/>
    </xf>
    <xf numFmtId="175" fontId="22" fillId="0" borderId="30" xfId="0" applyNumberFormat="1" applyFont="1" applyFill="1" applyBorder="1" applyAlignment="1" applyProtection="1">
      <alignment vertical="center"/>
      <protection locked="0"/>
    </xf>
    <xf numFmtId="165" fontId="62" fillId="0" borderId="30" xfId="39" applyNumberFormat="1" applyFont="1" applyBorder="1" applyAlignment="1">
      <alignment horizontal="center" wrapText="1"/>
    </xf>
    <xf numFmtId="165" fontId="62" fillId="0" borderId="30" xfId="0" applyNumberFormat="1" applyFont="1" applyBorder="1" applyAlignment="1">
      <alignment horizontal="center"/>
    </xf>
    <xf numFmtId="165" fontId="62" fillId="0" borderId="30" xfId="39" applyNumberFormat="1" applyFont="1" applyBorder="1" applyAlignment="1">
      <alignment horizontal="center"/>
    </xf>
    <xf numFmtId="3" fontId="56" fillId="0" borderId="22" xfId="0" applyNumberFormat="1" applyFont="1" applyFill="1" applyBorder="1" applyAlignment="1">
      <alignment horizontal="right" indent="1"/>
    </xf>
    <xf numFmtId="0" fontId="31" fillId="0" borderId="0" xfId="0" applyFont="1"/>
    <xf numFmtId="0" fontId="6" fillId="0" borderId="0" xfId="0" applyFont="1"/>
    <xf numFmtId="0" fontId="78" fillId="0" borderId="0" xfId="0" applyFont="1"/>
    <xf numFmtId="9" fontId="56" fillId="10" borderId="115" xfId="39" applyFont="1" applyFill="1" applyBorder="1" applyAlignment="1">
      <alignment horizontal="center"/>
    </xf>
    <xf numFmtId="9" fontId="56" fillId="10" borderId="116" xfId="39" applyFont="1" applyFill="1" applyBorder="1" applyAlignment="1">
      <alignment horizontal="center"/>
    </xf>
    <xf numFmtId="9" fontId="56" fillId="10" borderId="117" xfId="39" applyFont="1" applyFill="1" applyBorder="1" applyAlignment="1">
      <alignment horizontal="center"/>
    </xf>
    <xf numFmtId="0" fontId="56" fillId="12" borderId="23" xfId="0" applyFont="1" applyFill="1" applyBorder="1"/>
    <xf numFmtId="0" fontId="64" fillId="6" borderId="19" xfId="0" applyFont="1" applyFill="1" applyBorder="1" applyAlignment="1">
      <alignment horizontal="center"/>
    </xf>
    <xf numFmtId="0" fontId="64" fillId="6" borderId="21" xfId="0" applyFont="1" applyFill="1" applyBorder="1" applyAlignment="1">
      <alignment horizontal="center"/>
    </xf>
    <xf numFmtId="0" fontId="64" fillId="6" borderId="28" xfId="0" applyFont="1" applyFill="1" applyBorder="1" applyAlignment="1">
      <alignment horizontal="center"/>
    </xf>
    <xf numFmtId="0" fontId="64" fillId="13" borderId="40" xfId="0" applyFont="1" applyFill="1" applyBorder="1" applyAlignment="1"/>
    <xf numFmtId="171" fontId="57" fillId="13" borderId="16" xfId="1" applyNumberFormat="1" applyFont="1" applyFill="1" applyBorder="1" applyAlignment="1"/>
    <xf numFmtId="171" fontId="57" fillId="12" borderId="30" xfId="1" applyNumberFormat="1" applyFont="1" applyFill="1" applyBorder="1"/>
    <xf numFmtId="171" fontId="56" fillId="7" borderId="22" xfId="1" applyNumberFormat="1" applyFont="1" applyFill="1" applyBorder="1" applyAlignment="1">
      <alignment horizontal="left"/>
    </xf>
    <xf numFmtId="172" fontId="56" fillId="7" borderId="30" xfId="1" applyNumberFormat="1" applyFont="1" applyFill="1" applyBorder="1"/>
    <xf numFmtId="171" fontId="56" fillId="0" borderId="22" xfId="1" applyNumberFormat="1" applyFont="1" applyBorder="1" applyAlignment="1"/>
    <xf numFmtId="9" fontId="56" fillId="0" borderId="30" xfId="39" applyFont="1" applyBorder="1"/>
    <xf numFmtId="171" fontId="56" fillId="7" borderId="22" xfId="1" applyNumberFormat="1" applyFont="1" applyFill="1" applyBorder="1" applyAlignment="1"/>
    <xf numFmtId="171" fontId="56" fillId="7" borderId="30" xfId="1" applyNumberFormat="1" applyFont="1" applyFill="1" applyBorder="1"/>
    <xf numFmtId="171" fontId="56" fillId="0" borderId="22" xfId="1" applyNumberFormat="1" applyFont="1" applyBorder="1"/>
    <xf numFmtId="0" fontId="56" fillId="14" borderId="0" xfId="0" quotePrefix="1" applyFont="1" applyFill="1" applyAlignment="1">
      <alignment horizontal="left"/>
    </xf>
    <xf numFmtId="0" fontId="56" fillId="14" borderId="0" xfId="0" quotePrefix="1" applyFont="1" applyFill="1" applyAlignment="1"/>
    <xf numFmtId="0" fontId="56" fillId="14" borderId="0" xfId="0" applyFont="1" applyFill="1" applyAlignment="1">
      <alignment horizontal="center"/>
    </xf>
    <xf numFmtId="0" fontId="64" fillId="14" borderId="28" xfId="0" applyFont="1" applyFill="1" applyBorder="1" applyAlignment="1"/>
    <xf numFmtId="0" fontId="64" fillId="14" borderId="28" xfId="0" quotePrefix="1" applyFont="1" applyFill="1" applyBorder="1" applyAlignment="1">
      <alignment horizontal="left"/>
    </xf>
    <xf numFmtId="0" fontId="56" fillId="0" borderId="34" xfId="0" applyFont="1" applyFill="1" applyBorder="1" applyAlignment="1">
      <alignment horizontal="left"/>
    </xf>
    <xf numFmtId="164" fontId="56" fillId="0" borderId="119" xfId="39" applyNumberFormat="1" applyFont="1" applyFill="1" applyBorder="1"/>
    <xf numFmtId="164" fontId="80" fillId="0" borderId="119" xfId="39" applyNumberFormat="1" applyFont="1" applyFill="1" applyBorder="1"/>
    <xf numFmtId="0" fontId="56" fillId="0" borderId="120" xfId="0" applyFont="1" applyFill="1" applyBorder="1" applyAlignment="1">
      <alignment horizontal="right" indent="1"/>
    </xf>
    <xf numFmtId="0" fontId="56" fillId="16" borderId="34" xfId="0" applyFont="1" applyFill="1" applyBorder="1" applyAlignment="1">
      <alignment horizontal="left" indent="1"/>
    </xf>
    <xf numFmtId="0" fontId="56" fillId="0" borderId="34" xfId="0" applyFont="1" applyBorder="1" applyAlignment="1">
      <alignment horizontal="left" indent="1"/>
    </xf>
    <xf numFmtId="0" fontId="64" fillId="6" borderId="15" xfId="0" applyFont="1" applyFill="1" applyBorder="1" applyAlignment="1">
      <alignment horizontal="center"/>
    </xf>
    <xf numFmtId="0" fontId="64" fillId="13" borderId="41" xfId="0" applyFont="1" applyFill="1" applyBorder="1" applyAlignment="1"/>
    <xf numFmtId="0" fontId="56" fillId="12" borderId="33" xfId="0" applyFont="1" applyFill="1" applyBorder="1"/>
    <xf numFmtId="0" fontId="65" fillId="7" borderId="34" xfId="0" applyFont="1" applyFill="1" applyBorder="1" applyAlignment="1">
      <alignment horizontal="left"/>
    </xf>
    <xf numFmtId="0" fontId="56" fillId="7" borderId="33" xfId="0" applyFont="1" applyFill="1" applyBorder="1"/>
    <xf numFmtId="9" fontId="56" fillId="0" borderId="33" xfId="39" applyFont="1" applyBorder="1" applyAlignment="1">
      <alignment horizontal="right" indent="1"/>
    </xf>
    <xf numFmtId="0" fontId="65" fillId="7" borderId="34" xfId="0" applyFont="1" applyFill="1" applyBorder="1" applyAlignment="1"/>
    <xf numFmtId="9" fontId="56" fillId="7" borderId="33" xfId="39" applyFont="1" applyFill="1" applyBorder="1" applyAlignment="1">
      <alignment horizontal="right" indent="1"/>
    </xf>
    <xf numFmtId="171" fontId="56" fillId="0" borderId="25" xfId="1" applyNumberFormat="1" applyFont="1" applyBorder="1"/>
    <xf numFmtId="9" fontId="56" fillId="0" borderId="26" xfId="39" applyFont="1" applyBorder="1" applyAlignment="1">
      <alignment horizontal="right" indent="1"/>
    </xf>
    <xf numFmtId="9" fontId="56" fillId="0" borderId="31" xfId="39" applyFont="1" applyBorder="1"/>
    <xf numFmtId="9" fontId="56" fillId="0" borderId="35" xfId="39" applyFont="1" applyBorder="1" applyAlignment="1">
      <alignment horizontal="right" indent="1"/>
    </xf>
    <xf numFmtId="0" fontId="57" fillId="17" borderId="122" xfId="0" applyFont="1" applyFill="1" applyBorder="1" applyAlignment="1">
      <alignment horizontal="center"/>
    </xf>
    <xf numFmtId="164" fontId="56" fillId="0" borderId="23" xfId="39" applyNumberFormat="1" applyFont="1" applyBorder="1" applyAlignment="1">
      <alignment horizontal="center"/>
    </xf>
    <xf numFmtId="164" fontId="56" fillId="16" borderId="23" xfId="39" applyNumberFormat="1" applyFont="1" applyFill="1" applyBorder="1" applyAlignment="1">
      <alignment horizontal="center"/>
    </xf>
    <xf numFmtId="0" fontId="57" fillId="17" borderId="19" xfId="0" applyFont="1" applyFill="1" applyBorder="1" applyAlignment="1">
      <alignment horizontal="center"/>
    </xf>
    <xf numFmtId="0" fontId="57" fillId="17" borderId="21" xfId="0" applyFont="1" applyFill="1" applyBorder="1" applyAlignment="1">
      <alignment horizontal="center"/>
    </xf>
    <xf numFmtId="0" fontId="57" fillId="17" borderId="123" xfId="0" applyFont="1" applyFill="1" applyBorder="1" applyAlignment="1">
      <alignment horizontal="center"/>
    </xf>
    <xf numFmtId="0" fontId="57" fillId="17" borderId="124" xfId="0" applyFont="1" applyFill="1" applyBorder="1" applyAlignment="1">
      <alignment horizontal="center"/>
    </xf>
    <xf numFmtId="164" fontId="56" fillId="0" borderId="30" xfId="39" applyNumberFormat="1" applyFont="1" applyBorder="1" applyAlignment="1">
      <alignment horizontal="center"/>
    </xf>
    <xf numFmtId="164" fontId="56" fillId="0" borderId="30" xfId="0" applyNumberFormat="1" applyFont="1" applyBorder="1" applyAlignment="1">
      <alignment horizontal="center"/>
    </xf>
    <xf numFmtId="164" fontId="56" fillId="16" borderId="30" xfId="39" applyNumberFormat="1" applyFont="1" applyFill="1" applyBorder="1" applyAlignment="1">
      <alignment horizontal="center"/>
    </xf>
    <xf numFmtId="164" fontId="56" fillId="16" borderId="30" xfId="0" applyNumberFormat="1" applyFont="1" applyFill="1" applyBorder="1" applyAlignment="1">
      <alignment horizontal="center"/>
    </xf>
    <xf numFmtId="0" fontId="57" fillId="17" borderId="125" xfId="0" applyFont="1" applyFill="1" applyBorder="1" applyAlignment="1">
      <alignment horizontal="center"/>
    </xf>
    <xf numFmtId="37" fontId="56" fillId="0" borderId="22" xfId="1" applyNumberFormat="1" applyFont="1" applyBorder="1" applyAlignment="1">
      <alignment horizontal="center"/>
    </xf>
    <xf numFmtId="37" fontId="56" fillId="16" borderId="22" xfId="1" applyNumberFormat="1" applyFont="1" applyFill="1" applyBorder="1" applyAlignment="1">
      <alignment horizontal="center"/>
    </xf>
    <xf numFmtId="0" fontId="57" fillId="18" borderId="19" xfId="0" applyFont="1" applyFill="1" applyBorder="1" applyAlignment="1">
      <alignment horizontal="center"/>
    </xf>
    <xf numFmtId="0" fontId="57" fillId="18" borderId="20" xfId="0" applyFont="1" applyFill="1" applyBorder="1" applyAlignment="1">
      <alignment horizontal="center"/>
    </xf>
    <xf numFmtId="0" fontId="57" fillId="18" borderId="42" xfId="0" applyFont="1" applyFill="1" applyBorder="1" applyAlignment="1">
      <alignment horizontal="center"/>
    </xf>
    <xf numFmtId="0" fontId="57" fillId="18" borderId="21" xfId="0" applyFont="1" applyFill="1" applyBorder="1" applyAlignment="1">
      <alignment horizontal="center"/>
    </xf>
    <xf numFmtId="0" fontId="57" fillId="19" borderId="126" xfId="0" applyFont="1" applyFill="1" applyBorder="1" applyAlignment="1">
      <alignment horizontal="center"/>
    </xf>
    <xf numFmtId="0" fontId="57" fillId="19" borderId="127" xfId="0" applyFont="1" applyFill="1" applyBorder="1" applyAlignment="1">
      <alignment horizontal="center"/>
    </xf>
    <xf numFmtId="0" fontId="57" fillId="19" borderId="128" xfId="0" applyFont="1" applyFill="1" applyBorder="1" applyAlignment="1">
      <alignment horizontal="center"/>
    </xf>
    <xf numFmtId="167" fontId="59" fillId="9" borderId="23" xfId="0" applyNumberFormat="1" applyFont="1" applyFill="1" applyBorder="1"/>
    <xf numFmtId="9" fontId="59" fillId="0" borderId="27" xfId="39" applyFont="1" applyFill="1" applyBorder="1"/>
    <xf numFmtId="9" fontId="59" fillId="0" borderId="26" xfId="39" applyFont="1" applyFill="1" applyBorder="1"/>
    <xf numFmtId="0" fontId="72" fillId="0" borderId="0" xfId="16" applyFont="1"/>
    <xf numFmtId="0" fontId="54" fillId="0" borderId="19" xfId="0" applyFont="1" applyBorder="1"/>
    <xf numFmtId="0" fontId="54" fillId="0" borderId="20" xfId="0" applyFont="1" applyBorder="1"/>
    <xf numFmtId="0" fontId="54" fillId="0" borderId="42" xfId="0" applyFont="1" applyBorder="1"/>
    <xf numFmtId="0" fontId="54" fillId="0" borderId="21" xfId="0" applyFont="1" applyBorder="1"/>
    <xf numFmtId="0" fontId="71" fillId="6" borderId="0" xfId="16" quotePrefix="1" applyFont="1" applyFill="1"/>
    <xf numFmtId="0" fontId="71" fillId="6" borderId="43" xfId="16" applyFont="1" applyFill="1" applyBorder="1" applyAlignment="1">
      <alignment wrapText="1"/>
    </xf>
    <xf numFmtId="164" fontId="75" fillId="8" borderId="22" xfId="39" applyNumberFormat="1" applyFont="1" applyFill="1" applyBorder="1"/>
    <xf numFmtId="164" fontId="75" fillId="8" borderId="24" xfId="39" applyNumberFormat="1" applyFont="1" applyFill="1" applyBorder="1"/>
    <xf numFmtId="164" fontId="75" fillId="8" borderId="44" xfId="39" applyNumberFormat="1" applyFont="1" applyFill="1" applyBorder="1"/>
    <xf numFmtId="0" fontId="72" fillId="0" borderId="1" xfId="16" applyFont="1" applyFill="1" applyBorder="1" applyAlignment="1">
      <alignment wrapText="1"/>
    </xf>
    <xf numFmtId="0" fontId="72" fillId="0" borderId="11" xfId="16" applyFont="1" applyFill="1" applyBorder="1" applyAlignment="1">
      <alignment wrapText="1"/>
    </xf>
    <xf numFmtId="171" fontId="75" fillId="0" borderId="22" xfId="1" applyNumberFormat="1" applyFont="1" applyBorder="1"/>
    <xf numFmtId="171" fontId="75" fillId="0" borderId="24" xfId="1" applyNumberFormat="1" applyFont="1" applyBorder="1"/>
    <xf numFmtId="171" fontId="75" fillId="0" borderId="44" xfId="1" applyNumberFormat="1" applyFont="1" applyBorder="1"/>
    <xf numFmtId="164" fontId="75" fillId="0" borderId="22" xfId="39" applyNumberFormat="1" applyFont="1" applyBorder="1"/>
    <xf numFmtId="164" fontId="75" fillId="0" borderId="24" xfId="39" applyNumberFormat="1" applyFont="1" applyBorder="1"/>
    <xf numFmtId="164" fontId="75" fillId="0" borderId="44" xfId="39" applyNumberFormat="1" applyFont="1" applyBorder="1"/>
    <xf numFmtId="0" fontId="72" fillId="0" borderId="0" xfId="16" applyFont="1" applyFill="1" applyBorder="1" applyAlignment="1">
      <alignment wrapText="1"/>
    </xf>
    <xf numFmtId="0" fontId="71" fillId="0" borderId="0" xfId="16" applyFont="1" applyFill="1" applyBorder="1" applyAlignment="1">
      <alignment wrapText="1"/>
    </xf>
    <xf numFmtId="0" fontId="81" fillId="0" borderId="0" xfId="14" applyFont="1"/>
    <xf numFmtId="0" fontId="81" fillId="0" borderId="0" xfId="14" applyFont="1" applyAlignment="1">
      <alignment horizontal="right" vertical="top"/>
    </xf>
    <xf numFmtId="0" fontId="82" fillId="0" borderId="0" xfId="4" applyFont="1" applyAlignment="1" applyProtection="1"/>
    <xf numFmtId="0" fontId="71" fillId="0" borderId="4" xfId="14" applyFont="1" applyFill="1" applyBorder="1" applyAlignment="1">
      <alignment horizontal="right" wrapText="1" inden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48" xfId="14" applyFont="1" applyFill="1" applyBorder="1" applyAlignment="1">
      <alignment horizontal="center" wrapText="1"/>
    </xf>
    <xf numFmtId="0" fontId="71" fillId="0" borderId="49" xfId="14" quotePrefix="1" applyFont="1" applyFill="1" applyBorder="1" applyAlignment="1">
      <alignment horizontal="center" wrapText="1"/>
    </xf>
    <xf numFmtId="0" fontId="71" fillId="0" borderId="50" xfId="14" quotePrefix="1" applyFont="1" applyFill="1" applyBorder="1" applyAlignment="1">
      <alignment horizontal="center" wrapText="1"/>
    </xf>
    <xf numFmtId="0" fontId="71" fillId="0" borderId="48" xfId="14" applyFont="1" applyFill="1" applyBorder="1" applyAlignment="1">
      <alignment horizontal="center" wrapTex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51" xfId="14" applyFont="1" applyFill="1" applyBorder="1" applyAlignment="1">
      <alignment horizontal="center" wrapText="1"/>
    </xf>
    <xf numFmtId="0" fontId="71" fillId="0" borderId="52" xfId="14" applyFont="1" applyFill="1" applyBorder="1" applyAlignment="1">
      <alignment horizontal="center" wrapText="1"/>
    </xf>
    <xf numFmtId="0" fontId="72" fillId="0" borderId="0" xfId="14" applyFont="1" applyFill="1" applyBorder="1" applyAlignment="1">
      <alignment horizontal="right" wrapText="1" indent="1"/>
    </xf>
    <xf numFmtId="0" fontId="81" fillId="0" borderId="29" xfId="9" applyFont="1" applyBorder="1"/>
    <xf numFmtId="164" fontId="72" fillId="0" borderId="22" xfId="39" applyNumberFormat="1" applyFont="1" applyFill="1" applyBorder="1" applyAlignment="1">
      <alignment wrapText="1"/>
    </xf>
    <xf numFmtId="164" fontId="72" fillId="0" borderId="53" xfId="14" applyNumberFormat="1" applyFont="1" applyFill="1" applyBorder="1" applyAlignment="1">
      <alignment horizontal="center" wrapText="1"/>
    </xf>
    <xf numFmtId="164" fontId="72" fillId="0" borderId="24" xfId="14" applyNumberFormat="1" applyFont="1" applyFill="1" applyBorder="1" applyAlignment="1">
      <alignment horizontal="center" wrapText="1"/>
    </xf>
    <xf numFmtId="164" fontId="72" fillId="0" borderId="23" xfId="14" applyNumberFormat="1" applyFont="1" applyFill="1" applyBorder="1" applyAlignment="1">
      <alignment horizontal="center" wrapText="1"/>
    </xf>
    <xf numFmtId="164" fontId="72" fillId="0" borderId="30" xfId="14" applyNumberFormat="1" applyFont="1" applyFill="1" applyBorder="1" applyAlignment="1">
      <alignment horizontal="center" wrapText="1"/>
    </xf>
    <xf numFmtId="171" fontId="72" fillId="0" borderId="54" xfId="1" applyNumberFormat="1" applyFont="1" applyFill="1" applyBorder="1" applyAlignment="1">
      <alignment wrapText="1"/>
    </xf>
    <xf numFmtId="171" fontId="72" fillId="0" borderId="55" xfId="1" applyNumberFormat="1" applyFont="1" applyFill="1" applyBorder="1" applyAlignment="1">
      <alignment wrapText="1"/>
    </xf>
    <xf numFmtId="3" fontId="72" fillId="0" borderId="54" xfId="14" applyNumberFormat="1" applyFont="1" applyFill="1" applyBorder="1" applyAlignment="1">
      <alignment horizontal="right" wrapText="1"/>
    </xf>
    <xf numFmtId="3" fontId="72" fillId="0" borderId="55" xfId="14" applyNumberFormat="1" applyFont="1" applyFill="1" applyBorder="1" applyAlignment="1">
      <alignment horizontal="right" wrapText="1"/>
    </xf>
    <xf numFmtId="3" fontId="72" fillId="0" borderId="56" xfId="14" applyNumberFormat="1" applyFont="1" applyFill="1" applyBorder="1" applyAlignment="1">
      <alignment horizontal="right" wrapText="1"/>
    </xf>
    <xf numFmtId="3" fontId="72" fillId="0" borderId="22" xfId="14" applyNumberFormat="1" applyFont="1" applyFill="1" applyBorder="1" applyAlignment="1">
      <alignment horizontal="right" wrapText="1"/>
    </xf>
    <xf numFmtId="3" fontId="72" fillId="0" borderId="24" xfId="14" applyNumberFormat="1" applyFont="1" applyFill="1" applyBorder="1" applyAlignment="1">
      <alignment horizontal="right" wrapText="1"/>
    </xf>
    <xf numFmtId="171" fontId="81" fillId="0" borderId="22" xfId="1" applyNumberFormat="1" applyFont="1" applyBorder="1"/>
    <xf numFmtId="3" fontId="75" fillId="0" borderId="24" xfId="0" applyNumberFormat="1" applyFont="1" applyBorder="1"/>
    <xf numFmtId="0" fontId="81" fillId="0" borderId="30" xfId="9" applyFont="1" applyBorder="1"/>
    <xf numFmtId="171" fontId="72" fillId="0" borderId="22" xfId="1" applyNumberFormat="1" applyFont="1" applyFill="1" applyBorder="1" applyAlignment="1">
      <alignment wrapText="1"/>
    </xf>
    <xf numFmtId="171" fontId="72" fillId="0" borderId="24" xfId="1" applyNumberFormat="1" applyFont="1" applyFill="1" applyBorder="1" applyAlignment="1">
      <alignment wrapText="1"/>
    </xf>
    <xf numFmtId="3" fontId="72" fillId="0" borderId="53" xfId="14" applyNumberFormat="1" applyFont="1" applyFill="1" applyBorder="1" applyAlignment="1">
      <alignment horizontal="right" wrapText="1"/>
    </xf>
    <xf numFmtId="0" fontId="81" fillId="0" borderId="30" xfId="9" applyFont="1" applyBorder="1" applyAlignment="1">
      <alignment wrapText="1"/>
    </xf>
    <xf numFmtId="0" fontId="72" fillId="0" borderId="12" xfId="14" applyFont="1" applyFill="1" applyBorder="1" applyAlignment="1">
      <alignment horizontal="right" wrapText="1" indent="1"/>
    </xf>
    <xf numFmtId="0" fontId="81" fillId="0" borderId="31" xfId="9" applyFont="1" applyBorder="1"/>
    <xf numFmtId="0" fontId="72" fillId="0" borderId="12" xfId="14" applyFont="1" applyFill="1" applyBorder="1" applyAlignment="1">
      <alignment wrapText="1"/>
    </xf>
    <xf numFmtId="164" fontId="72" fillId="0" borderId="25" xfId="39" applyNumberFormat="1" applyFont="1" applyFill="1" applyBorder="1" applyAlignment="1">
      <alignment wrapText="1"/>
    </xf>
    <xf numFmtId="164" fontId="72" fillId="0" borderId="57" xfId="14" applyNumberFormat="1" applyFont="1" applyFill="1" applyBorder="1" applyAlignment="1">
      <alignment horizontal="center" wrapText="1"/>
    </xf>
    <xf numFmtId="164" fontId="72" fillId="0" borderId="27" xfId="14" applyNumberFormat="1" applyFont="1" applyFill="1" applyBorder="1" applyAlignment="1">
      <alignment horizontal="center" wrapText="1"/>
    </xf>
    <xf numFmtId="164" fontId="72" fillId="0" borderId="26" xfId="14" applyNumberFormat="1" applyFont="1" applyFill="1" applyBorder="1" applyAlignment="1">
      <alignment horizontal="center" wrapText="1"/>
    </xf>
    <xf numFmtId="164" fontId="72" fillId="0" borderId="31" xfId="14" applyNumberFormat="1" applyFont="1" applyFill="1" applyBorder="1" applyAlignment="1">
      <alignment horizontal="center" wrapText="1"/>
    </xf>
    <xf numFmtId="0" fontId="81" fillId="0" borderId="0" xfId="9" applyFont="1" applyBorder="1"/>
    <xf numFmtId="164" fontId="72" fillId="0" borderId="0" xfId="14" applyNumberFormat="1" applyFont="1" applyFill="1" applyBorder="1" applyAlignment="1">
      <alignment horizontal="center" wrapText="1"/>
    </xf>
    <xf numFmtId="3" fontId="72" fillId="0" borderId="0" xfId="14" applyNumberFormat="1" applyFont="1" applyFill="1" applyBorder="1" applyAlignment="1">
      <alignment horizontal="right" wrapText="1"/>
    </xf>
    <xf numFmtId="3" fontId="71" fillId="0" borderId="0" xfId="14" applyNumberFormat="1" applyFont="1" applyFill="1" applyBorder="1" applyAlignment="1">
      <alignment horizontal="right" wrapText="1"/>
    </xf>
    <xf numFmtId="0" fontId="72" fillId="0" borderId="0" xfId="14" applyFont="1" applyFill="1" applyBorder="1" applyAlignment="1">
      <alignment horizontal="right" wrapText="1"/>
    </xf>
    <xf numFmtId="164" fontId="72" fillId="0" borderId="22" xfId="14" applyNumberFormat="1" applyFont="1" applyFill="1" applyBorder="1" applyAlignment="1">
      <alignment horizontal="center" wrapText="1"/>
    </xf>
    <xf numFmtId="3" fontId="72" fillId="0" borderId="22" xfId="14" applyNumberFormat="1" applyFont="1" applyFill="1" applyBorder="1" applyAlignment="1">
      <alignment horizontal="right" wrapText="1"/>
    </xf>
    <xf numFmtId="3" fontId="81" fillId="0" borderId="0" xfId="14" applyNumberFormat="1" applyFont="1"/>
    <xf numFmtId="0" fontId="71" fillId="0" borderId="0" xfId="11" applyFont="1" applyFill="1" applyBorder="1" applyAlignment="1">
      <alignment horizontal="center"/>
    </xf>
    <xf numFmtId="164" fontId="71" fillId="6" borderId="38" xfId="16" applyNumberFormat="1" applyFont="1" applyFill="1" applyBorder="1" applyAlignment="1">
      <alignment wrapText="1"/>
    </xf>
    <xf numFmtId="164" fontId="71" fillId="0" borderId="0" xfId="16" applyNumberFormat="1" applyFont="1" applyFill="1" applyBorder="1" applyAlignment="1">
      <alignment wrapText="1"/>
    </xf>
    <xf numFmtId="3" fontId="71" fillId="6" borderId="38" xfId="16" applyNumberFormat="1" applyFont="1" applyFill="1" applyBorder="1" applyAlignment="1">
      <alignment wrapText="1"/>
    </xf>
    <xf numFmtId="0" fontId="71" fillId="0" borderId="58" xfId="16" applyFont="1" applyFill="1" applyBorder="1" applyAlignment="1">
      <alignment horizontal="center"/>
    </xf>
    <xf numFmtId="0" fontId="71" fillId="0" borderId="58" xfId="11" applyFont="1" applyFill="1" applyBorder="1" applyAlignment="1">
      <alignment horizontal="center"/>
    </xf>
    <xf numFmtId="0" fontId="71" fillId="0" borderId="59" xfId="11" applyFont="1" applyFill="1" applyBorder="1" applyAlignment="1">
      <alignment horizontal="center"/>
    </xf>
    <xf numFmtId="176" fontId="71" fillId="0" borderId="58" xfId="1" applyNumberFormat="1" applyFont="1" applyFill="1" applyBorder="1" applyAlignment="1">
      <alignment horizontal="center"/>
    </xf>
    <xf numFmtId="176" fontId="71" fillId="0" borderId="59" xfId="1" applyNumberFormat="1" applyFont="1" applyFill="1" applyBorder="1" applyAlignment="1">
      <alignment horizontal="center"/>
    </xf>
    <xf numFmtId="164" fontId="71" fillId="6" borderId="60" xfId="16" applyNumberFormat="1" applyFont="1" applyFill="1" applyBorder="1" applyAlignment="1">
      <alignment wrapText="1"/>
    </xf>
    <xf numFmtId="164" fontId="71" fillId="6" borderId="61" xfId="16" applyNumberFormat="1" applyFont="1" applyFill="1" applyBorder="1" applyAlignment="1">
      <alignment wrapText="1"/>
    </xf>
    <xf numFmtId="3" fontId="71" fillId="6" borderId="60" xfId="16" applyNumberFormat="1" applyFont="1" applyFill="1" applyBorder="1" applyAlignment="1">
      <alignment wrapText="1"/>
    </xf>
    <xf numFmtId="3" fontId="71" fillId="6" borderId="61" xfId="16" applyNumberFormat="1" applyFont="1" applyFill="1" applyBorder="1"/>
    <xf numFmtId="164" fontId="72" fillId="0" borderId="60" xfId="16" applyNumberFormat="1" applyFont="1" applyFill="1" applyBorder="1" applyAlignment="1">
      <alignment wrapText="1"/>
    </xf>
    <xf numFmtId="164" fontId="72" fillId="0" borderId="61" xfId="16" applyNumberFormat="1" applyFont="1" applyFill="1" applyBorder="1" applyAlignment="1">
      <alignment wrapText="1"/>
    </xf>
    <xf numFmtId="164" fontId="72" fillId="0" borderId="32" xfId="16" applyNumberFormat="1" applyFont="1" applyFill="1" applyBorder="1" applyAlignment="1">
      <alignment wrapText="1"/>
    </xf>
    <xf numFmtId="3" fontId="72" fillId="0" borderId="60" xfId="16" applyNumberFormat="1" applyFont="1" applyFill="1" applyBorder="1" applyAlignment="1">
      <alignment wrapText="1"/>
    </xf>
    <xf numFmtId="3" fontId="72" fillId="0" borderId="62" xfId="0" applyNumberFormat="1" applyFont="1" applyFill="1" applyBorder="1" applyAlignment="1">
      <alignment horizontal="right" wrapText="1"/>
    </xf>
    <xf numFmtId="0" fontId="75" fillId="0" borderId="0" xfId="0" applyFont="1" applyBorder="1"/>
    <xf numFmtId="0" fontId="72" fillId="0" borderId="60" xfId="16" applyNumberFormat="1" applyFont="1" applyFill="1" applyBorder="1" applyAlignment="1">
      <alignment wrapText="1"/>
    </xf>
    <xf numFmtId="164" fontId="72" fillId="0" borderId="63" xfId="16" applyNumberFormat="1" applyFont="1" applyFill="1" applyBorder="1" applyAlignment="1">
      <alignment wrapText="1"/>
    </xf>
    <xf numFmtId="3" fontId="72" fillId="0" borderId="63" xfId="16" applyNumberFormat="1" applyFont="1" applyFill="1" applyBorder="1" applyAlignment="1">
      <alignment wrapText="1"/>
    </xf>
    <xf numFmtId="3" fontId="72" fillId="0" borderId="64" xfId="0" applyNumberFormat="1" applyFont="1" applyFill="1" applyBorder="1" applyAlignment="1">
      <alignment horizontal="right" wrapText="1"/>
    </xf>
    <xf numFmtId="3" fontId="81" fillId="0" borderId="112" xfId="14" applyNumberFormat="1" applyFont="1" applyBorder="1"/>
    <xf numFmtId="3" fontId="81" fillId="0" borderId="113" xfId="14" applyNumberFormat="1" applyFont="1" applyBorder="1"/>
    <xf numFmtId="164" fontId="72" fillId="0" borderId="37" xfId="39" applyNumberFormat="1" applyFont="1" applyBorder="1"/>
    <xf numFmtId="164" fontId="72" fillId="0" borderId="38" xfId="39" applyNumberFormat="1" applyFont="1" applyBorder="1"/>
    <xf numFmtId="164" fontId="72" fillId="0" borderId="61" xfId="39" applyNumberFormat="1" applyFont="1" applyFill="1" applyBorder="1" applyAlignment="1">
      <alignment wrapText="1"/>
    </xf>
    <xf numFmtId="0" fontId="72" fillId="0" borderId="65" xfId="16" applyFont="1" applyFill="1" applyBorder="1" applyAlignment="1">
      <alignment wrapText="1"/>
    </xf>
    <xf numFmtId="0" fontId="72" fillId="0" borderId="66" xfId="16" applyFont="1" applyFill="1" applyBorder="1" applyAlignment="1">
      <alignment wrapText="1"/>
    </xf>
    <xf numFmtId="164" fontId="72" fillId="0" borderId="67" xfId="16" applyNumberFormat="1" applyFont="1" applyFill="1" applyBorder="1" applyAlignment="1">
      <alignment wrapText="1"/>
    </xf>
    <xf numFmtId="164" fontId="72" fillId="0" borderId="37" xfId="39" applyNumberFormat="1" applyFont="1" applyBorder="1"/>
    <xf numFmtId="0" fontId="71" fillId="0" borderId="40" xfId="16" applyFont="1" applyFill="1" applyBorder="1" applyAlignment="1">
      <alignment wrapText="1"/>
    </xf>
    <xf numFmtId="0" fontId="72" fillId="0" borderId="40" xfId="16" applyFont="1" applyFill="1" applyBorder="1" applyAlignment="1">
      <alignment wrapText="1"/>
    </xf>
    <xf numFmtId="164" fontId="72" fillId="0" borderId="40" xfId="16" applyNumberFormat="1" applyFont="1" applyFill="1" applyBorder="1" applyAlignment="1">
      <alignment wrapText="1"/>
    </xf>
    <xf numFmtId="3" fontId="72" fillId="0" borderId="40" xfId="16" applyNumberFormat="1" applyFont="1" applyFill="1" applyBorder="1" applyAlignment="1">
      <alignment wrapText="1"/>
    </xf>
    <xf numFmtId="3" fontId="72" fillId="0" borderId="40" xfId="0" applyNumberFormat="1" applyFont="1" applyFill="1" applyBorder="1" applyAlignment="1">
      <alignment horizontal="right" wrapText="1"/>
    </xf>
    <xf numFmtId="0" fontId="81" fillId="0" borderId="0" xfId="19" applyFont="1" applyAlignment="1">
      <alignment vertical="top"/>
    </xf>
    <xf numFmtId="0" fontId="81" fillId="0" borderId="0" xfId="19" applyFont="1" applyFill="1" applyAlignment="1">
      <alignment vertical="top"/>
    </xf>
    <xf numFmtId="0" fontId="81" fillId="0" borderId="0" xfId="19" applyFont="1" applyAlignment="1"/>
    <xf numFmtId="49" fontId="83" fillId="0" borderId="130" xfId="19" applyNumberFormat="1" applyFont="1" applyBorder="1" applyAlignment="1">
      <alignment wrapText="1"/>
    </xf>
    <xf numFmtId="0" fontId="69" fillId="0" borderId="0" xfId="19" applyFont="1" applyAlignment="1">
      <alignment horizontal="center"/>
    </xf>
    <xf numFmtId="170" fontId="84" fillId="0" borderId="0" xfId="19" applyNumberFormat="1" applyFont="1" applyAlignment="1">
      <alignment horizontal="left" vertical="top" wrapText="1"/>
    </xf>
    <xf numFmtId="0" fontId="81" fillId="0" borderId="0" xfId="14" applyFont="1" applyFill="1" applyBorder="1" applyAlignment="1">
      <alignment horizontal="left" vertical="top" wrapText="1"/>
    </xf>
    <xf numFmtId="0" fontId="81" fillId="0" borderId="0" xfId="14" applyFont="1" applyAlignment="1"/>
    <xf numFmtId="0" fontId="75" fillId="0" borderId="0" xfId="0" applyFont="1" applyAlignment="1">
      <alignment horizontal="left" vertical="top" wrapText="1"/>
    </xf>
    <xf numFmtId="0" fontId="71" fillId="0" borderId="2" xfId="16" applyFont="1" applyFill="1" applyBorder="1" applyAlignment="1">
      <alignment horizontal="left"/>
    </xf>
    <xf numFmtId="0" fontId="71" fillId="0" borderId="6" xfId="16" applyFont="1" applyFill="1" applyBorder="1" applyAlignment="1">
      <alignment horizontal="left"/>
    </xf>
    <xf numFmtId="0" fontId="81" fillId="0" borderId="0" xfId="0" applyFont="1" applyFill="1" applyBorder="1" applyAlignment="1">
      <alignment wrapText="1"/>
    </xf>
    <xf numFmtId="0" fontId="69" fillId="0" borderId="0" xfId="0" applyFont="1" applyBorder="1"/>
    <xf numFmtId="49" fontId="81" fillId="0" borderId="0" xfId="0" applyNumberFormat="1" applyFont="1" applyFill="1" applyBorder="1" applyAlignment="1">
      <alignment horizontal="left"/>
    </xf>
    <xf numFmtId="0" fontId="69" fillId="0" borderId="0" xfId="0" applyFont="1" applyFill="1" applyBorder="1" applyAlignment="1">
      <alignment wrapText="1"/>
    </xf>
    <xf numFmtId="0" fontId="75" fillId="0" borderId="0" xfId="0" applyFont="1" applyAlignment="1">
      <alignment horizontal="center"/>
    </xf>
    <xf numFmtId="0" fontId="69" fillId="0" borderId="0" xfId="0" applyFont="1" applyFill="1" applyBorder="1" applyAlignment="1">
      <alignment horizontal="center" wrapText="1"/>
    </xf>
    <xf numFmtId="0" fontId="81" fillId="0" borderId="0" xfId="0" applyFont="1" applyFill="1" applyBorder="1" applyAlignment="1">
      <alignment horizontal="center" wrapText="1"/>
    </xf>
    <xf numFmtId="49" fontId="69" fillId="0" borderId="0" xfId="0" applyNumberFormat="1" applyFont="1" applyBorder="1" applyAlignment="1">
      <alignment horizontal="center"/>
    </xf>
    <xf numFmtId="49" fontId="69" fillId="0" borderId="0" xfId="0" applyNumberFormat="1" applyFont="1" applyBorder="1"/>
    <xf numFmtId="49" fontId="69" fillId="0" borderId="0" xfId="0" applyNumberFormat="1" applyFont="1" applyBorder="1" applyAlignment="1">
      <alignment horizontal="center" wrapText="1"/>
    </xf>
    <xf numFmtId="49" fontId="75" fillId="0" borderId="0" xfId="0" applyNumberFormat="1" applyFont="1" applyBorder="1" applyAlignment="1">
      <alignment horizontal="center"/>
    </xf>
    <xf numFmtId="0" fontId="75" fillId="0" borderId="0" xfId="0" applyFont="1" applyBorder="1" applyAlignment="1">
      <alignment horizontal="center"/>
    </xf>
    <xf numFmtId="0" fontId="75" fillId="0" borderId="0" xfId="0" applyFont="1" applyFill="1" applyAlignment="1">
      <alignment horizontal="center"/>
    </xf>
    <xf numFmtId="0" fontId="75" fillId="0" borderId="0" xfId="0" applyFont="1" applyAlignment="1">
      <alignment horizontal="left"/>
    </xf>
    <xf numFmtId="0" fontId="71" fillId="0" borderId="12" xfId="14" applyFont="1" applyFill="1" applyBorder="1" applyAlignment="1">
      <alignment horizontal="left" wrapText="1"/>
    </xf>
    <xf numFmtId="49" fontId="81" fillId="0" borderId="0" xfId="0" applyNumberFormat="1" applyFont="1" applyFill="1" applyBorder="1" applyAlignment="1">
      <alignment horizontal="center"/>
    </xf>
    <xf numFmtId="49" fontId="84" fillId="0" borderId="0" xfId="0" applyNumberFormat="1" applyFont="1" applyFill="1" applyBorder="1" applyAlignment="1">
      <alignment wrapText="1"/>
    </xf>
    <xf numFmtId="49" fontId="81" fillId="0" borderId="0" xfId="0" quotePrefix="1" applyNumberFormat="1" applyFont="1" applyFill="1" applyBorder="1" applyAlignment="1">
      <alignment horizontal="center"/>
    </xf>
    <xf numFmtId="0" fontId="75" fillId="0" borderId="0" xfId="15" applyFont="1"/>
    <xf numFmtId="0" fontId="54" fillId="0" borderId="28" xfId="15" applyFont="1" applyBorder="1" applyAlignment="1">
      <alignment horizontal="center" wrapText="1"/>
    </xf>
    <xf numFmtId="0" fontId="75" fillId="0" borderId="0" xfId="15" applyFont="1" applyAlignment="1">
      <alignment horizontal="center" wrapText="1"/>
    </xf>
    <xf numFmtId="3" fontId="54" fillId="20" borderId="28" xfId="15" applyNumberFormat="1" applyFont="1" applyFill="1" applyBorder="1" applyAlignment="1">
      <alignment horizontal="right" vertical="top"/>
    </xf>
    <xf numFmtId="3" fontId="54" fillId="11" borderId="28" xfId="15" applyNumberFormat="1" applyFont="1" applyFill="1" applyBorder="1" applyAlignment="1">
      <alignment horizontal="right" vertical="top"/>
    </xf>
    <xf numFmtId="0" fontId="54" fillId="0" borderId="28" xfId="15" applyFont="1" applyBorder="1"/>
    <xf numFmtId="0" fontId="54" fillId="0" borderId="28" xfId="15" applyFont="1" applyBorder="1" applyAlignment="1">
      <alignment horizontal="left" wrapText="1"/>
    </xf>
    <xf numFmtId="0" fontId="75" fillId="0" borderId="29" xfId="15" applyFont="1" applyBorder="1"/>
    <xf numFmtId="0" fontId="75" fillId="0" borderId="30" xfId="15" applyFont="1" applyBorder="1"/>
    <xf numFmtId="0" fontId="75" fillId="0" borderId="31" xfId="15" applyFont="1" applyBorder="1"/>
    <xf numFmtId="0" fontId="75" fillId="0" borderId="29" xfId="15" applyFont="1" applyFill="1" applyBorder="1" applyAlignment="1">
      <alignment vertical="top"/>
    </xf>
    <xf numFmtId="0" fontId="75" fillId="0" borderId="30" xfId="15" applyFont="1" applyFill="1" applyBorder="1" applyAlignment="1">
      <alignment vertical="top"/>
    </xf>
    <xf numFmtId="0" fontId="75" fillId="0" borderId="31" xfId="15" applyFont="1" applyFill="1" applyBorder="1" applyAlignment="1">
      <alignment vertical="top"/>
    </xf>
    <xf numFmtId="3" fontId="75" fillId="0" borderId="29" xfId="15" applyNumberFormat="1" applyFont="1" applyFill="1" applyBorder="1" applyAlignment="1">
      <alignment horizontal="right" vertical="top"/>
    </xf>
    <xf numFmtId="171" fontId="75" fillId="0" borderId="29" xfId="1" applyNumberFormat="1" applyFont="1" applyFill="1" applyBorder="1"/>
    <xf numFmtId="3" fontId="75" fillId="0" borderId="30" xfId="15" applyNumberFormat="1" applyFont="1" applyFill="1" applyBorder="1" applyAlignment="1">
      <alignment horizontal="right" vertical="top"/>
    </xf>
    <xf numFmtId="171" fontId="75" fillId="0" borderId="30" xfId="1" applyNumberFormat="1" applyFont="1" applyFill="1" applyBorder="1"/>
    <xf numFmtId="3" fontId="75" fillId="0" borderId="31" xfId="15" applyNumberFormat="1" applyFont="1" applyFill="1" applyBorder="1" applyAlignment="1">
      <alignment horizontal="right" vertical="top"/>
    </xf>
    <xf numFmtId="3" fontId="54" fillId="0" borderId="28" xfId="15" applyNumberFormat="1" applyFont="1" applyFill="1" applyBorder="1" applyAlignment="1">
      <alignment horizontal="right" vertical="top"/>
    </xf>
    <xf numFmtId="0" fontId="75" fillId="0" borderId="29" xfId="15" applyFont="1" applyBorder="1" applyAlignment="1">
      <alignment horizontal="center"/>
    </xf>
    <xf numFmtId="3" fontId="75" fillId="0" borderId="29" xfId="15" applyNumberFormat="1" applyFont="1" applyBorder="1"/>
    <xf numFmtId="0" fontId="75" fillId="0" borderId="30" xfId="15" applyFont="1" applyBorder="1" applyAlignment="1">
      <alignment horizontal="center"/>
    </xf>
    <xf numFmtId="3" fontId="75" fillId="0" borderId="30" xfId="15" applyNumberFormat="1" applyFont="1" applyBorder="1"/>
    <xf numFmtId="0" fontId="75" fillId="0" borderId="31" xfId="15" applyFont="1" applyBorder="1" applyAlignment="1">
      <alignment horizontal="center"/>
    </xf>
    <xf numFmtId="3" fontId="75" fillId="0" borderId="31" xfId="15" applyNumberFormat="1" applyFont="1" applyBorder="1"/>
    <xf numFmtId="0" fontId="54" fillId="0" borderId="28" xfId="15" applyFont="1" applyBorder="1" applyAlignment="1">
      <alignment horizontal="center"/>
    </xf>
    <xf numFmtId="0" fontId="54" fillId="0" borderId="28" xfId="15" applyFont="1" applyFill="1" applyBorder="1" applyAlignment="1">
      <alignment horizontal="center" wrapText="1"/>
    </xf>
    <xf numFmtId="3" fontId="54" fillId="6" borderId="28" xfId="15" applyNumberFormat="1" applyFont="1" applyFill="1" applyBorder="1" applyAlignment="1">
      <alignment horizontal="right" vertical="top"/>
    </xf>
    <xf numFmtId="3" fontId="54" fillId="6" borderId="28" xfId="15" applyNumberFormat="1" applyFont="1" applyFill="1" applyBorder="1"/>
    <xf numFmtId="0" fontId="75" fillId="0" borderId="28" xfId="15" quotePrefix="1" applyFont="1" applyBorder="1" applyAlignment="1">
      <alignment horizontal="center"/>
    </xf>
    <xf numFmtId="0" fontId="75" fillId="0" borderId="0" xfId="15" applyFont="1" applyAlignment="1">
      <alignment horizontal="left" wrapText="1"/>
    </xf>
    <xf numFmtId="0" fontId="68" fillId="0" borderId="0" xfId="9" applyFont="1" applyBorder="1" applyAlignment="1">
      <alignment wrapText="1"/>
    </xf>
    <xf numFmtId="0" fontId="63" fillId="0" borderId="0" xfId="9" applyFont="1"/>
    <xf numFmtId="0" fontId="68" fillId="0" borderId="0" xfId="9" applyFont="1" applyBorder="1" applyAlignment="1">
      <alignment horizontal="left" wrapText="1"/>
    </xf>
    <xf numFmtId="0" fontId="68" fillId="0" borderId="12" xfId="9" applyFont="1" applyBorder="1" applyAlignment="1">
      <alignment horizontal="left" wrapText="1"/>
    </xf>
    <xf numFmtId="0" fontId="68" fillId="0" borderId="12" xfId="9" applyFont="1" applyBorder="1" applyAlignment="1">
      <alignment wrapText="1"/>
    </xf>
    <xf numFmtId="0" fontId="63" fillId="0" borderId="0" xfId="9" applyFont="1" applyAlignment="1">
      <alignment wrapText="1"/>
    </xf>
    <xf numFmtId="0" fontId="68" fillId="0" borderId="0" xfId="9" applyFont="1" applyBorder="1" applyAlignment="1">
      <alignment horizontal="center"/>
    </xf>
    <xf numFmtId="49" fontId="68" fillId="0" borderId="12" xfId="9" applyNumberFormat="1" applyFont="1" applyBorder="1" applyAlignment="1">
      <alignment horizontal="center"/>
    </xf>
    <xf numFmtId="0" fontId="68" fillId="0" borderId="12" xfId="9" applyFont="1" applyBorder="1" applyAlignment="1">
      <alignment horizontal="left" wrapText="1"/>
    </xf>
    <xf numFmtId="0" fontId="68" fillId="0" borderId="12" xfId="9" applyFont="1" applyBorder="1" applyAlignment="1">
      <alignment horizontal="center" wrapText="1"/>
    </xf>
    <xf numFmtId="0" fontId="68" fillId="0" borderId="14" xfId="9" applyFont="1" applyBorder="1" applyAlignment="1">
      <alignment horizontal="center" wrapText="1"/>
    </xf>
    <xf numFmtId="49" fontId="68" fillId="6" borderId="0" xfId="9" quotePrefix="1" applyNumberFormat="1" applyFont="1" applyFill="1" applyAlignment="1">
      <alignment horizontal="center"/>
    </xf>
    <xf numFmtId="0" fontId="68" fillId="6" borderId="0" xfId="9" applyFont="1" applyFill="1" applyAlignment="1">
      <alignment horizontal="left" wrapText="1"/>
    </xf>
    <xf numFmtId="3" fontId="68" fillId="6" borderId="0" xfId="9" applyNumberFormat="1" applyFont="1" applyFill="1" applyAlignment="1">
      <alignment horizontal="right" indent="1"/>
    </xf>
    <xf numFmtId="3" fontId="68" fillId="6" borderId="0" xfId="9" applyNumberFormat="1" applyFont="1" applyFill="1" applyAlignment="1">
      <alignment horizontal="right" indent="2"/>
    </xf>
    <xf numFmtId="9" fontId="68" fillId="6" borderId="0" xfId="9" applyNumberFormat="1" applyFont="1" applyFill="1" applyAlignment="1">
      <alignment horizontal="right" wrapText="1" indent="1"/>
    </xf>
    <xf numFmtId="49" fontId="63" fillId="0" borderId="0" xfId="9" applyNumberFormat="1" applyFont="1" applyAlignment="1">
      <alignment horizontal="center"/>
    </xf>
    <xf numFmtId="0" fontId="63" fillId="0" borderId="0" xfId="9" applyFont="1" applyAlignment="1">
      <alignment horizontal="left" wrapText="1"/>
    </xf>
    <xf numFmtId="0" fontId="32" fillId="0" borderId="0" xfId="32" applyFont="1" applyFill="1" applyBorder="1" applyAlignment="1">
      <alignment wrapText="1"/>
    </xf>
    <xf numFmtId="3" fontId="63" fillId="0" borderId="0" xfId="9" applyNumberFormat="1" applyFont="1" applyAlignment="1">
      <alignment horizontal="right" indent="1"/>
    </xf>
    <xf numFmtId="3" fontId="63" fillId="0" borderId="0" xfId="9" applyNumberFormat="1" applyFont="1" applyAlignment="1">
      <alignment horizontal="right" indent="2"/>
    </xf>
    <xf numFmtId="9" fontId="63" fillId="0" borderId="0" xfId="9" applyNumberFormat="1" applyFont="1" applyAlignment="1">
      <alignment horizontal="right" wrapText="1" indent="1"/>
    </xf>
    <xf numFmtId="49" fontId="26" fillId="0" borderId="0" xfId="9" applyNumberFormat="1" applyFont="1" applyAlignment="1">
      <alignment horizontal="center"/>
    </xf>
    <xf numFmtId="165" fontId="32" fillId="0" borderId="0" xfId="14" applyNumberFormat="1" applyFont="1" applyFill="1" applyBorder="1" applyAlignment="1">
      <alignment horizontal="left" wrapText="1"/>
    </xf>
    <xf numFmtId="49" fontId="63" fillId="0" borderId="12" xfId="9" applyNumberFormat="1" applyFont="1" applyBorder="1" applyAlignment="1">
      <alignment horizontal="center"/>
    </xf>
    <xf numFmtId="0" fontId="63" fillId="0" borderId="12" xfId="9" applyFont="1" applyBorder="1" applyAlignment="1">
      <alignment horizontal="left" wrapText="1"/>
    </xf>
    <xf numFmtId="3" fontId="63" fillId="0" borderId="12" xfId="9" applyNumberFormat="1" applyFont="1" applyBorder="1" applyAlignment="1">
      <alignment horizontal="right" indent="2"/>
    </xf>
    <xf numFmtId="0" fontId="26" fillId="0" borderId="0" xfId="9" applyFont="1" applyAlignment="1">
      <alignment horizontal="right" vertical="top"/>
    </xf>
    <xf numFmtId="0" fontId="33" fillId="0" borderId="0" xfId="4" applyFont="1" applyAlignment="1" applyProtection="1"/>
    <xf numFmtId="0" fontId="26" fillId="0" borderId="0" xfId="9" applyFont="1" applyBorder="1"/>
    <xf numFmtId="0" fontId="68" fillId="0" borderId="0" xfId="9" applyFont="1" applyAlignment="1">
      <alignment horizontal="left" vertical="top" wrapText="1"/>
    </xf>
    <xf numFmtId="165" fontId="32" fillId="0" borderId="12" xfId="14" applyNumberFormat="1" applyFont="1" applyFill="1" applyBorder="1" applyAlignment="1">
      <alignment horizontal="left" wrapText="1"/>
    </xf>
    <xf numFmtId="0" fontId="54" fillId="0" borderId="28" xfId="15" applyFont="1" applyBorder="1" applyAlignment="1">
      <alignment horizontal="left" wrapText="1"/>
    </xf>
    <xf numFmtId="0" fontId="54" fillId="6" borderId="28" xfId="15" applyFont="1" applyFill="1" applyBorder="1" applyAlignment="1">
      <alignment horizontal="center" wrapText="1"/>
    </xf>
    <xf numFmtId="0" fontId="75" fillId="0" borderId="29" xfId="15" applyFont="1" applyFill="1" applyBorder="1" applyAlignment="1">
      <alignment vertical="top"/>
    </xf>
    <xf numFmtId="0" fontId="75" fillId="0" borderId="30" xfId="15" applyFont="1" applyFill="1" applyBorder="1" applyAlignment="1">
      <alignment vertical="top"/>
    </xf>
    <xf numFmtId="0" fontId="54" fillId="6" borderId="28" xfId="15" applyFont="1" applyFill="1" applyBorder="1" applyAlignment="1">
      <alignment horizontal="left" wrapText="1"/>
    </xf>
    <xf numFmtId="0" fontId="54" fillId="6" borderId="28" xfId="15" applyFont="1" applyFill="1" applyBorder="1" applyAlignment="1">
      <alignment horizontal="center"/>
    </xf>
    <xf numFmtId="49" fontId="84" fillId="0" borderId="0" xfId="19" applyNumberFormat="1" applyFont="1" applyFill="1" applyBorder="1" applyAlignment="1">
      <alignment vertical="top" wrapText="1"/>
    </xf>
    <xf numFmtId="49" fontId="84" fillId="0" borderId="131" xfId="19" applyNumberFormat="1" applyFont="1" applyFill="1" applyBorder="1" applyAlignment="1">
      <alignment vertical="top" wrapText="1"/>
    </xf>
    <xf numFmtId="3" fontId="81" fillId="0" borderId="0" xfId="19" applyNumberFormat="1" applyFont="1" applyBorder="1" applyAlignment="1">
      <alignment vertical="top"/>
    </xf>
    <xf numFmtId="0" fontId="81" fillId="0" borderId="0" xfId="19" applyFont="1" applyBorder="1" applyAlignment="1">
      <alignment vertical="top"/>
    </xf>
    <xf numFmtId="49" fontId="83" fillId="0" borderId="0" xfId="19" applyNumberFormat="1" applyFont="1" applyBorder="1" applyAlignment="1">
      <alignment wrapText="1"/>
    </xf>
    <xf numFmtId="0" fontId="81" fillId="0" borderId="0" xfId="19" applyFont="1" applyBorder="1" applyAlignment="1">
      <alignment horizontal="center" vertical="top"/>
    </xf>
    <xf numFmtId="0" fontId="71" fillId="0" borderId="4" xfId="14" applyFont="1" applyFill="1" applyBorder="1" applyAlignment="1">
      <alignment horizontal="left" wrapText="1"/>
    </xf>
    <xf numFmtId="0" fontId="81" fillId="0" borderId="0" xfId="14" applyFont="1" applyFill="1" applyBorder="1" applyAlignment="1">
      <alignment vertical="top" wrapText="1"/>
    </xf>
    <xf numFmtId="0" fontId="54" fillId="7" borderId="0" xfId="0" applyFont="1" applyFill="1" applyAlignment="1">
      <alignment horizontal="left"/>
    </xf>
    <xf numFmtId="0" fontId="54" fillId="7" borderId="0" xfId="0" applyFont="1" applyFill="1"/>
    <xf numFmtId="3" fontId="54" fillId="7" borderId="0" xfId="0" applyNumberFormat="1" applyFont="1" applyFill="1"/>
    <xf numFmtId="9" fontId="54" fillId="13" borderId="0" xfId="39" applyFont="1" applyFill="1"/>
    <xf numFmtId="0" fontId="54" fillId="0" borderId="34" xfId="0" applyFont="1" applyBorder="1"/>
    <xf numFmtId="0" fontId="54" fillId="0" borderId="0" xfId="0" applyFont="1" applyBorder="1"/>
    <xf numFmtId="0" fontId="54" fillId="0" borderId="33" xfId="0" applyFont="1" applyBorder="1"/>
    <xf numFmtId="3" fontId="54" fillId="7" borderId="34" xfId="0" applyNumberFormat="1" applyFont="1" applyFill="1" applyBorder="1"/>
    <xf numFmtId="3" fontId="54" fillId="7" borderId="0" xfId="0" applyNumberFormat="1" applyFont="1" applyFill="1" applyBorder="1"/>
    <xf numFmtId="3" fontId="54" fillId="7" borderId="33" xfId="0" applyNumberFormat="1" applyFont="1" applyFill="1" applyBorder="1"/>
    <xf numFmtId="3" fontId="75" fillId="0" borderId="34" xfId="0" applyNumberFormat="1" applyFont="1" applyBorder="1"/>
    <xf numFmtId="3" fontId="75" fillId="0" borderId="0" xfId="0" applyNumberFormat="1" applyFont="1" applyBorder="1"/>
    <xf numFmtId="3" fontId="75" fillId="0" borderId="33" xfId="0" applyNumberFormat="1" applyFont="1" applyBorder="1"/>
    <xf numFmtId="0" fontId="54" fillId="0" borderId="34" xfId="0" applyFont="1" applyBorder="1" applyAlignment="1">
      <alignment horizontal="center"/>
    </xf>
    <xf numFmtId="0" fontId="54" fillId="0" borderId="33" xfId="0" applyFont="1" applyBorder="1" applyAlignment="1">
      <alignment horizontal="center"/>
    </xf>
    <xf numFmtId="9" fontId="54" fillId="7" borderId="34" xfId="39" applyFont="1" applyFill="1" applyBorder="1"/>
    <xf numFmtId="9" fontId="54" fillId="7" borderId="0" xfId="39" applyFont="1" applyFill="1" applyBorder="1"/>
    <xf numFmtId="9" fontId="54" fillId="7" borderId="33" xfId="39" applyFont="1" applyFill="1" applyBorder="1"/>
    <xf numFmtId="9" fontId="75" fillId="0" borderId="34" xfId="39" applyFont="1" applyBorder="1"/>
    <xf numFmtId="9" fontId="75" fillId="0" borderId="0" xfId="39" applyFont="1" applyBorder="1"/>
    <xf numFmtId="9" fontId="75" fillId="0" borderId="33" xfId="39" applyFont="1" applyBorder="1"/>
    <xf numFmtId="0" fontId="72" fillId="0" borderId="40" xfId="16" applyFont="1" applyBorder="1"/>
    <xf numFmtId="0" fontId="72" fillId="0" borderId="0" xfId="14" applyFont="1" applyFill="1" applyBorder="1" applyAlignment="1">
      <alignment horizontal="left" wrapText="1"/>
    </xf>
    <xf numFmtId="0" fontId="54" fillId="6" borderId="28" xfId="15" applyFont="1" applyFill="1" applyBorder="1" applyAlignment="1">
      <alignment horizontal="left"/>
    </xf>
    <xf numFmtId="0" fontId="54" fillId="6" borderId="28" xfId="15" applyFont="1" applyFill="1" applyBorder="1" applyAlignment="1">
      <alignment horizontal="left" wrapText="1"/>
    </xf>
    <xf numFmtId="0" fontId="54" fillId="0" borderId="28" xfId="15" applyFont="1" applyFill="1" applyBorder="1" applyAlignment="1">
      <alignment vertical="top"/>
    </xf>
    <xf numFmtId="0" fontId="75" fillId="0" borderId="30" xfId="15" applyFont="1" applyBorder="1" applyAlignment="1">
      <alignment horizontal="center"/>
    </xf>
    <xf numFmtId="0" fontId="75" fillId="0" borderId="30" xfId="15" applyFont="1" applyFill="1" applyBorder="1" applyAlignment="1">
      <alignment vertical="top"/>
    </xf>
    <xf numFmtId="3" fontId="75" fillId="0" borderId="30" xfId="15" applyNumberFormat="1" applyFont="1" applyFill="1" applyBorder="1" applyAlignment="1">
      <alignment horizontal="right" vertical="top"/>
    </xf>
    <xf numFmtId="3" fontId="75" fillId="0" borderId="30" xfId="15" applyNumberFormat="1" applyFont="1" applyFill="1" applyBorder="1"/>
    <xf numFmtId="0" fontId="75" fillId="0" borderId="0" xfId="15" applyFont="1" applyBorder="1"/>
    <xf numFmtId="0" fontId="54" fillId="0" borderId="28" xfId="15" applyFont="1" applyBorder="1" applyAlignment="1">
      <alignment horizontal="center"/>
    </xf>
    <xf numFmtId="0" fontId="54" fillId="0" borderId="28" xfId="15" applyFont="1" applyFill="1" applyBorder="1" applyAlignment="1">
      <alignment vertical="top" wrapText="1"/>
    </xf>
    <xf numFmtId="3" fontId="54" fillId="0" borderId="28" xfId="15" applyNumberFormat="1" applyFont="1" applyFill="1" applyBorder="1" applyAlignment="1">
      <alignment vertical="top"/>
    </xf>
    <xf numFmtId="0" fontId="54" fillId="6" borderId="30" xfId="15" applyFont="1" applyFill="1" applyBorder="1" applyAlignment="1">
      <alignment horizontal="center"/>
    </xf>
    <xf numFmtId="0" fontId="54" fillId="6" borderId="30" xfId="15" applyFont="1" applyFill="1" applyBorder="1" applyAlignment="1">
      <alignment horizontal="left" wrapText="1"/>
    </xf>
    <xf numFmtId="171" fontId="54" fillId="6" borderId="30" xfId="1" applyNumberFormat="1" applyFont="1" applyFill="1" applyBorder="1" applyAlignment="1">
      <alignment horizontal="center" wrapText="1"/>
    </xf>
    <xf numFmtId="0" fontId="54" fillId="0" borderId="28" xfId="15" applyFont="1" applyFill="1" applyBorder="1" applyAlignment="1">
      <alignment horizontal="center" wrapText="1"/>
    </xf>
    <xf numFmtId="0" fontId="54" fillId="8" borderId="0" xfId="0" applyFont="1" applyFill="1" applyAlignment="1">
      <alignment horizontal="center"/>
    </xf>
    <xf numFmtId="0" fontId="54" fillId="8" borderId="0" xfId="0" applyFont="1" applyFill="1"/>
    <xf numFmtId="171" fontId="54" fillId="8" borderId="0" xfId="0" applyNumberFormat="1" applyFont="1" applyFill="1"/>
    <xf numFmtId="0" fontId="71" fillId="0" borderId="6" xfId="33" applyFont="1" applyFill="1" applyBorder="1" applyAlignment="1">
      <alignment horizontal="center"/>
    </xf>
    <xf numFmtId="0" fontId="71" fillId="0" borderId="69" xfId="33" applyFont="1" applyFill="1" applyBorder="1" applyAlignment="1">
      <alignment horizontal="left"/>
    </xf>
    <xf numFmtId="0" fontId="71" fillId="0" borderId="70" xfId="33" applyFont="1" applyFill="1" applyBorder="1" applyAlignment="1">
      <alignment horizontal="left"/>
    </xf>
    <xf numFmtId="0" fontId="71" fillId="0" borderId="46" xfId="33" applyFont="1" applyFill="1" applyBorder="1" applyAlignment="1">
      <alignment horizontal="center" wrapText="1"/>
    </xf>
    <xf numFmtId="0" fontId="71" fillId="0" borderId="47" xfId="33" applyFont="1" applyFill="1" applyBorder="1" applyAlignment="1">
      <alignment horizontal="center" wrapText="1"/>
    </xf>
    <xf numFmtId="0" fontId="71" fillId="0" borderId="48" xfId="33" applyFont="1" applyFill="1" applyBorder="1" applyAlignment="1">
      <alignment horizontal="center" wrapText="1"/>
    </xf>
    <xf numFmtId="0" fontId="72" fillId="0" borderId="0" xfId="16" applyFont="1" applyFill="1" applyBorder="1" applyAlignment="1">
      <alignment horizontal="center" vertical="center"/>
    </xf>
    <xf numFmtId="0" fontId="71" fillId="6" borderId="0" xfId="33" applyFont="1" applyFill="1" applyBorder="1" applyAlignment="1">
      <alignment horizontal="center"/>
    </xf>
    <xf numFmtId="0" fontId="71" fillId="6" borderId="0" xfId="33" applyFont="1" applyFill="1" applyBorder="1" applyAlignment="1">
      <alignment horizontal="left"/>
    </xf>
    <xf numFmtId="3" fontId="71" fillId="6" borderId="22" xfId="33" applyNumberFormat="1" applyFont="1" applyFill="1" applyBorder="1" applyAlignment="1">
      <alignment horizontal="center" wrapText="1"/>
    </xf>
    <xf numFmtId="0" fontId="72" fillId="0" borderId="1" xfId="33" applyFont="1" applyFill="1" applyBorder="1" applyAlignment="1">
      <alignment horizontal="center" wrapText="1"/>
    </xf>
    <xf numFmtId="0" fontId="72" fillId="0" borderId="11" xfId="33" applyFont="1" applyFill="1" applyBorder="1" applyAlignment="1">
      <alignment wrapText="1"/>
    </xf>
    <xf numFmtId="3" fontId="72" fillId="0" borderId="54" xfId="33" applyNumberFormat="1" applyFont="1" applyFill="1" applyBorder="1" applyAlignment="1">
      <alignment horizontal="right" wrapText="1"/>
    </xf>
    <xf numFmtId="3" fontId="72" fillId="0" borderId="56" xfId="33" applyNumberFormat="1" applyFont="1" applyFill="1" applyBorder="1" applyAlignment="1">
      <alignment horizontal="right" wrapText="1"/>
    </xf>
    <xf numFmtId="3" fontId="72" fillId="0" borderId="55" xfId="33" applyNumberFormat="1" applyFont="1" applyFill="1" applyBorder="1" applyAlignment="1">
      <alignment horizontal="right" wrapText="1"/>
    </xf>
    <xf numFmtId="3" fontId="72" fillId="0" borderId="0" xfId="16" applyNumberFormat="1" applyFont="1"/>
    <xf numFmtId="3" fontId="72" fillId="0" borderId="10" xfId="16" applyNumberFormat="1" applyFont="1" applyFill="1" applyBorder="1" applyAlignment="1">
      <alignment horizontal="right" vertical="center" wrapText="1"/>
    </xf>
    <xf numFmtId="3" fontId="72" fillId="0" borderId="1" xfId="16" applyNumberFormat="1" applyFont="1" applyFill="1" applyBorder="1" applyAlignment="1">
      <alignment horizontal="right" vertical="center" wrapText="1"/>
    </xf>
    <xf numFmtId="3" fontId="72" fillId="0" borderId="0" xfId="16" applyNumberFormat="1" applyFont="1" applyFill="1" applyAlignment="1">
      <alignment horizontal="right" vertical="center" wrapText="1"/>
    </xf>
    <xf numFmtId="3" fontId="72" fillId="0" borderId="1" xfId="16" applyNumberFormat="1" applyFont="1" applyBorder="1"/>
    <xf numFmtId="3" fontId="72" fillId="0" borderId="24" xfId="33" applyNumberFormat="1" applyFont="1" applyBorder="1"/>
    <xf numFmtId="3" fontId="72" fillId="0" borderId="53" xfId="33" applyNumberFormat="1" applyFont="1" applyFill="1" applyBorder="1" applyAlignment="1">
      <alignment horizontal="right" wrapText="1"/>
    </xf>
    <xf numFmtId="3" fontId="72" fillId="0" borderId="8" xfId="16" applyNumberFormat="1" applyFont="1" applyBorder="1"/>
    <xf numFmtId="3" fontId="72" fillId="0" borderId="22" xfId="33" applyNumberFormat="1" applyFont="1" applyBorder="1"/>
    <xf numFmtId="3" fontId="72" fillId="0" borderId="53" xfId="33" applyNumberFormat="1" applyFont="1" applyBorder="1"/>
    <xf numFmtId="3" fontId="72" fillId="0" borderId="0" xfId="16" applyNumberFormat="1" applyFont="1" applyFill="1" applyBorder="1" applyAlignment="1">
      <alignment horizontal="right" vertical="center" wrapText="1"/>
    </xf>
    <xf numFmtId="0" fontId="72" fillId="0" borderId="0" xfId="16" applyFont="1" applyAlignment="1"/>
    <xf numFmtId="0" fontId="0" fillId="0" borderId="0" xfId="0" applyFont="1"/>
    <xf numFmtId="0" fontId="71" fillId="7" borderId="0" xfId="14" applyFont="1" applyFill="1" applyBorder="1" applyAlignment="1">
      <alignment horizontal="left"/>
    </xf>
    <xf numFmtId="0" fontId="32" fillId="0" borderId="0" xfId="14" applyFont="1" applyFill="1" applyBorder="1" applyAlignment="1">
      <alignment horizontal="center" wrapText="1"/>
    </xf>
    <xf numFmtId="0" fontId="32" fillId="0" borderId="0" xfId="14" applyFont="1" applyFill="1" applyBorder="1" applyAlignment="1">
      <alignment wrapText="1"/>
    </xf>
    <xf numFmtId="165" fontId="32" fillId="0" borderId="0" xfId="14" applyNumberFormat="1" applyFont="1" applyFill="1" applyBorder="1" applyAlignment="1">
      <alignment horizontal="center" wrapText="1"/>
    </xf>
    <xf numFmtId="0" fontId="32" fillId="0" borderId="12" xfId="14" applyFont="1" applyFill="1" applyBorder="1" applyAlignment="1">
      <alignment horizontal="center" wrapText="1"/>
    </xf>
    <xf numFmtId="0" fontId="32" fillId="0" borderId="12" xfId="14" applyFont="1" applyFill="1" applyBorder="1" applyAlignment="1">
      <alignment wrapText="1"/>
    </xf>
    <xf numFmtId="165" fontId="32" fillId="0" borderId="12" xfId="14" applyNumberFormat="1" applyFont="1" applyFill="1" applyBorder="1" applyAlignment="1">
      <alignment horizontal="center" wrapText="1"/>
    </xf>
    <xf numFmtId="0" fontId="34" fillId="0" borderId="0" xfId="14" applyFont="1" applyBorder="1"/>
    <xf numFmtId="0" fontId="26" fillId="0" borderId="0" xfId="9" applyFont="1" applyAlignment="1">
      <alignment vertical="top" wrapText="1"/>
    </xf>
    <xf numFmtId="0" fontId="34" fillId="0" borderId="0" xfId="14" applyFont="1"/>
    <xf numFmtId="0" fontId="71" fillId="0" borderId="12" xfId="14" applyFont="1" applyFill="1" applyBorder="1" applyAlignment="1">
      <alignment horizontal="center"/>
    </xf>
    <xf numFmtId="0" fontId="71" fillId="0" borderId="12" xfId="14" applyFont="1" applyFill="1" applyBorder="1" applyAlignment="1">
      <alignment horizontal="center"/>
    </xf>
    <xf numFmtId="0" fontId="71" fillId="7" borderId="0" xfId="14" applyFont="1" applyFill="1" applyBorder="1" applyAlignment="1">
      <alignment horizontal="center"/>
    </xf>
    <xf numFmtId="0" fontId="72" fillId="0" borderId="0" xfId="14" applyFont="1" applyFill="1" applyBorder="1" applyAlignment="1">
      <alignment horizontal="center" wrapText="1"/>
    </xf>
    <xf numFmtId="0" fontId="72" fillId="0" borderId="12" xfId="14" applyFont="1" applyFill="1" applyBorder="1" applyAlignment="1">
      <alignment horizontal="center" wrapText="1"/>
    </xf>
    <xf numFmtId="0" fontId="71" fillId="0" borderId="36" xfId="14" applyFont="1" applyFill="1" applyBorder="1" applyAlignment="1">
      <alignment horizontal="center"/>
    </xf>
    <xf numFmtId="3" fontId="75" fillId="0" borderId="36" xfId="0" applyNumberFormat="1" applyFont="1" applyBorder="1"/>
    <xf numFmtId="37" fontId="75" fillId="0" borderId="34" xfId="1" applyNumberFormat="1" applyFont="1" applyBorder="1"/>
    <xf numFmtId="37" fontId="75" fillId="0" borderId="0" xfId="1" applyNumberFormat="1" applyFont="1" applyBorder="1"/>
    <xf numFmtId="37" fontId="54" fillId="7" borderId="34" xfId="1" applyNumberFormat="1" applyFont="1" applyFill="1" applyBorder="1"/>
    <xf numFmtId="37" fontId="54" fillId="7" borderId="0" xfId="1" applyNumberFormat="1" applyFont="1" applyFill="1" applyBorder="1"/>
    <xf numFmtId="0" fontId="0" fillId="0" borderId="0" xfId="0" applyFont="1" applyAlignment="1">
      <alignment horizontal="left"/>
    </xf>
    <xf numFmtId="0" fontId="71" fillId="0" borderId="12" xfId="14" applyFont="1" applyFill="1" applyBorder="1" applyAlignment="1">
      <alignment horizontal="left"/>
    </xf>
    <xf numFmtId="165" fontId="72" fillId="0" borderId="0" xfId="14" applyNumberFormat="1" applyFont="1" applyFill="1" applyBorder="1" applyAlignment="1">
      <alignment horizontal="left" wrapText="1"/>
    </xf>
    <xf numFmtId="165" fontId="72" fillId="0" borderId="12" xfId="14" applyNumberFormat="1" applyFont="1" applyFill="1" applyBorder="1" applyAlignment="1">
      <alignment horizontal="left" wrapText="1"/>
    </xf>
    <xf numFmtId="0" fontId="34" fillId="0" borderId="0" xfId="14" applyFont="1" applyBorder="1" applyAlignment="1">
      <alignment horizontal="left"/>
    </xf>
    <xf numFmtId="0" fontId="26" fillId="0" borderId="0" xfId="9" applyFont="1" applyBorder="1" applyAlignment="1">
      <alignment horizontal="left"/>
    </xf>
    <xf numFmtId="0" fontId="34" fillId="0" borderId="0" xfId="14" applyFont="1" applyAlignment="1">
      <alignment horizontal="left"/>
    </xf>
    <xf numFmtId="7" fontId="75" fillId="0" borderId="0" xfId="0" applyNumberFormat="1" applyFont="1"/>
    <xf numFmtId="0" fontId="71" fillId="6" borderId="10" xfId="27" applyFont="1" applyFill="1" applyBorder="1" applyAlignment="1">
      <alignment horizontal="center" vertical="center" wrapText="1"/>
    </xf>
    <xf numFmtId="0" fontId="71" fillId="6" borderId="71" xfId="27" applyFont="1" applyFill="1" applyBorder="1" applyAlignment="1">
      <alignment wrapText="1"/>
    </xf>
    <xf numFmtId="0" fontId="72" fillId="0" borderId="0" xfId="27" applyFont="1"/>
    <xf numFmtId="0" fontId="72" fillId="0" borderId="1" xfId="27" applyFont="1" applyFill="1" applyBorder="1" applyAlignment="1">
      <alignment wrapText="1"/>
    </xf>
    <xf numFmtId="166" fontId="72" fillId="0" borderId="1" xfId="27" applyNumberFormat="1" applyFont="1" applyFill="1" applyBorder="1" applyAlignment="1">
      <alignment horizontal="right" wrapText="1"/>
    </xf>
    <xf numFmtId="0" fontId="72" fillId="0" borderId="1" xfId="27" quotePrefix="1" applyFont="1" applyFill="1" applyBorder="1" applyAlignment="1">
      <alignment horizontal="center" wrapText="1"/>
    </xf>
    <xf numFmtId="0" fontId="72" fillId="0" borderId="11" xfId="27" applyFont="1" applyFill="1" applyBorder="1" applyAlignment="1">
      <alignment wrapText="1"/>
    </xf>
    <xf numFmtId="0" fontId="72" fillId="0" borderId="1" xfId="27" applyFont="1" applyFill="1" applyBorder="1" applyAlignment="1">
      <alignment horizontal="center" wrapText="1"/>
    </xf>
    <xf numFmtId="0" fontId="72" fillId="0" borderId="0" xfId="16" applyFont="1" applyAlignment="1">
      <alignment horizontal="left"/>
    </xf>
    <xf numFmtId="0" fontId="71" fillId="0" borderId="2" xfId="27" applyFont="1" applyFill="1" applyBorder="1" applyAlignment="1">
      <alignment horizontal="center"/>
    </xf>
    <xf numFmtId="0" fontId="71" fillId="0" borderId="2" xfId="27" applyFont="1" applyFill="1" applyBorder="1" applyAlignment="1">
      <alignment horizontal="left"/>
    </xf>
    <xf numFmtId="0" fontId="71" fillId="6" borderId="1" xfId="31" quotePrefix="1" applyFont="1" applyFill="1" applyBorder="1" applyAlignment="1">
      <alignment horizontal="center" wrapText="1"/>
    </xf>
    <xf numFmtId="0" fontId="72" fillId="0" borderId="1" xfId="31" applyFont="1" applyFill="1" applyBorder="1" applyAlignment="1">
      <alignment horizontal="center" wrapText="1"/>
    </xf>
    <xf numFmtId="0" fontId="71" fillId="0" borderId="76" xfId="34" applyFont="1" applyFill="1" applyBorder="1" applyAlignment="1">
      <alignment horizontal="center" wrapText="1"/>
    </xf>
    <xf numFmtId="167" fontId="75" fillId="0" borderId="0" xfId="0" applyNumberFormat="1" applyFont="1"/>
    <xf numFmtId="0" fontId="75" fillId="0" borderId="0" xfId="0" applyFont="1" applyFill="1" applyAlignment="1">
      <alignment wrapText="1"/>
    </xf>
    <xf numFmtId="0" fontId="71" fillId="6" borderId="11" xfId="34" applyFont="1" applyFill="1" applyBorder="1" applyAlignment="1">
      <alignment wrapText="1"/>
    </xf>
    <xf numFmtId="0" fontId="72" fillId="0" borderId="11" xfId="34" applyFont="1" applyFill="1" applyBorder="1" applyAlignment="1">
      <alignment wrapText="1"/>
    </xf>
    <xf numFmtId="0" fontId="71" fillId="0" borderId="2" xfId="31" applyFont="1" applyFill="1" applyBorder="1" applyAlignment="1">
      <alignment horizontal="center" wrapText="1"/>
    </xf>
    <xf numFmtId="0" fontId="71" fillId="0" borderId="6" xfId="34" applyFont="1" applyFill="1" applyBorder="1" applyAlignment="1">
      <alignment horizontal="left" wrapText="1"/>
    </xf>
    <xf numFmtId="0" fontId="71" fillId="0" borderId="75" xfId="34" applyFont="1" applyFill="1" applyBorder="1" applyAlignment="1">
      <alignment horizontal="center" wrapText="1"/>
    </xf>
    <xf numFmtId="0" fontId="71" fillId="0" borderId="58" xfId="34" applyFont="1" applyFill="1" applyBorder="1" applyAlignment="1">
      <alignment horizontal="center" wrapText="1"/>
    </xf>
    <xf numFmtId="0" fontId="71" fillId="0" borderId="77" xfId="34" applyFont="1" applyFill="1" applyBorder="1" applyAlignment="1">
      <alignment horizontal="center" wrapText="1"/>
    </xf>
    <xf numFmtId="0" fontId="68" fillId="0" borderId="0" xfId="0" applyFont="1"/>
    <xf numFmtId="0" fontId="0" fillId="0" borderId="0" xfId="0" applyFont="1"/>
    <xf numFmtId="49" fontId="68" fillId="0" borderId="12" xfId="0" applyNumberFormat="1" applyFont="1" applyBorder="1" applyAlignment="1">
      <alignment horizontal="center"/>
    </xf>
    <xf numFmtId="0" fontId="54" fillId="0" borderId="19" xfId="0" applyFont="1" applyBorder="1" applyAlignment="1">
      <alignment wrapText="1"/>
    </xf>
    <xf numFmtId="0" fontId="54" fillId="0" borderId="20" xfId="0" applyFont="1" applyBorder="1" applyAlignment="1">
      <alignment wrapText="1"/>
    </xf>
    <xf numFmtId="0" fontId="54" fillId="0" borderId="21" xfId="0" applyFont="1" applyBorder="1" applyAlignment="1">
      <alignment wrapText="1"/>
    </xf>
    <xf numFmtId="0" fontId="54" fillId="0" borderId="19" xfId="0" applyFont="1" applyBorder="1" applyAlignment="1">
      <alignment horizontal="center" wrapText="1"/>
    </xf>
    <xf numFmtId="0" fontId="54" fillId="0" borderId="78" xfId="0" applyFont="1" applyBorder="1" applyAlignment="1">
      <alignment horizontal="center" wrapText="1"/>
    </xf>
    <xf numFmtId="0" fontId="54" fillId="0" borderId="20" xfId="0" applyFont="1" applyBorder="1" applyAlignment="1">
      <alignment horizontal="center" wrapText="1"/>
    </xf>
    <xf numFmtId="0" fontId="54" fillId="0" borderId="21" xfId="0" applyFont="1" applyBorder="1" applyAlignment="1">
      <alignment horizontal="center"/>
    </xf>
    <xf numFmtId="49" fontId="63" fillId="0" borderId="0" xfId="0" applyNumberFormat="1" applyFont="1" applyBorder="1" applyAlignment="1">
      <alignment horizontal="center"/>
    </xf>
    <xf numFmtId="0" fontId="63" fillId="0" borderId="0" xfId="0" applyFont="1" applyBorder="1"/>
    <xf numFmtId="49" fontId="63" fillId="0" borderId="12" xfId="0" applyNumberFormat="1" applyFont="1" applyBorder="1" applyAlignment="1">
      <alignment horizontal="center"/>
    </xf>
    <xf numFmtId="0" fontId="26" fillId="0" borderId="12" xfId="9" applyFont="1" applyBorder="1"/>
    <xf numFmtId="0" fontId="63" fillId="0" borderId="12" xfId="0" applyFont="1" applyBorder="1"/>
    <xf numFmtId="0" fontId="63" fillId="0" borderId="0" xfId="0" applyFont="1" applyAlignment="1">
      <alignment horizontal="left" vertical="top" wrapText="1"/>
    </xf>
    <xf numFmtId="0" fontId="26" fillId="0" borderId="0" xfId="0" applyFont="1" applyBorder="1" applyAlignment="1">
      <alignment vertical="top" wrapText="1"/>
    </xf>
    <xf numFmtId="0" fontId="33" fillId="0" borderId="0" xfId="4" applyFont="1" applyFill="1" applyBorder="1" applyAlignment="1" applyProtection="1">
      <alignment wrapText="1"/>
    </xf>
    <xf numFmtId="0" fontId="75" fillId="0" borderId="0" xfId="0" applyFont="1" applyAlignment="1">
      <alignment wrapText="1"/>
    </xf>
    <xf numFmtId="49" fontId="54" fillId="0" borderId="12" xfId="0" applyNumberFormat="1" applyFont="1" applyBorder="1" applyAlignment="1">
      <alignment horizontal="center"/>
    </xf>
    <xf numFmtId="0" fontId="54" fillId="0" borderId="12" xfId="0" applyFont="1" applyBorder="1" applyAlignment="1">
      <alignment horizontal="left" wrapText="1"/>
    </xf>
    <xf numFmtId="49" fontId="54" fillId="8" borderId="14" xfId="0" quotePrefix="1" applyNumberFormat="1" applyFont="1" applyFill="1" applyBorder="1" applyAlignment="1">
      <alignment horizontal="center"/>
    </xf>
    <xf numFmtId="0" fontId="54" fillId="8" borderId="14" xfId="0" applyFont="1" applyFill="1" applyBorder="1" applyAlignment="1">
      <alignment horizontal="left" wrapText="1"/>
    </xf>
    <xf numFmtId="0" fontId="75" fillId="0" borderId="22" xfId="0" applyFont="1" applyBorder="1"/>
    <xf numFmtId="0" fontId="75" fillId="0" borderId="24" xfId="0" applyFont="1" applyBorder="1"/>
    <xf numFmtId="0" fontId="75" fillId="0" borderId="30" xfId="0" applyFont="1" applyBorder="1" applyAlignment="1">
      <alignment horizontal="right"/>
    </xf>
    <xf numFmtId="9" fontId="75" fillId="0" borderId="22" xfId="39" applyFont="1" applyBorder="1" applyAlignment="1">
      <alignment horizontal="center"/>
    </xf>
    <xf numFmtId="9" fontId="75" fillId="0" borderId="53" xfId="39" applyFont="1" applyBorder="1" applyAlignment="1">
      <alignment horizontal="center"/>
    </xf>
    <xf numFmtId="9" fontId="75" fillId="0" borderId="24" xfId="39" applyFont="1" applyBorder="1" applyAlignment="1">
      <alignment horizontal="center"/>
    </xf>
    <xf numFmtId="9" fontId="75" fillId="0" borderId="23" xfId="39" applyFont="1" applyBorder="1" applyAlignment="1">
      <alignment horizontal="center"/>
    </xf>
    <xf numFmtId="0" fontId="75" fillId="0" borderId="30" xfId="1" applyNumberFormat="1" applyFont="1" applyBorder="1" applyAlignment="1">
      <alignment horizontal="right"/>
    </xf>
    <xf numFmtId="49" fontId="75" fillId="0" borderId="12" xfId="0" applyNumberFormat="1" applyFont="1" applyBorder="1" applyAlignment="1">
      <alignment horizontal="center"/>
    </xf>
    <xf numFmtId="0" fontId="81" fillId="0" borderId="12" xfId="9" applyFont="1" applyBorder="1"/>
    <xf numFmtId="0" fontId="75" fillId="0" borderId="12" xfId="0" applyFont="1" applyBorder="1"/>
    <xf numFmtId="0" fontId="75" fillId="0" borderId="0" xfId="0" applyFont="1" applyAlignment="1">
      <alignment horizontal="left" vertical="top"/>
    </xf>
    <xf numFmtId="0" fontId="75" fillId="0" borderId="0" xfId="0" applyFont="1" applyAlignment="1">
      <alignment vertical="top"/>
    </xf>
    <xf numFmtId="0" fontId="81" fillId="0" borderId="0" xfId="0" applyFont="1" applyBorder="1" applyAlignment="1">
      <alignment vertical="top" wrapText="1"/>
    </xf>
    <xf numFmtId="0" fontId="82" fillId="0" borderId="0" xfId="4" applyFont="1" applyFill="1" applyBorder="1" applyAlignment="1" applyProtection="1">
      <alignment wrapText="1"/>
    </xf>
    <xf numFmtId="9" fontId="54" fillId="6" borderId="22" xfId="39" applyFont="1" applyFill="1" applyBorder="1" applyAlignment="1">
      <alignment horizontal="center"/>
    </xf>
    <xf numFmtId="9" fontId="54" fillId="6" borderId="23" xfId="39" applyFont="1" applyFill="1" applyBorder="1" applyAlignment="1">
      <alignment horizontal="center"/>
    </xf>
    <xf numFmtId="3" fontId="54" fillId="6" borderId="19" xfId="0" applyNumberFormat="1" applyFont="1" applyFill="1" applyBorder="1"/>
    <xf numFmtId="3" fontId="54" fillId="6" borderId="20" xfId="0" applyNumberFormat="1" applyFont="1" applyFill="1" applyBorder="1"/>
    <xf numFmtId="3" fontId="54" fillId="6" borderId="21" xfId="0" applyNumberFormat="1" applyFont="1" applyFill="1" applyBorder="1"/>
    <xf numFmtId="0" fontId="54" fillId="6" borderId="19" xfId="0" applyFont="1" applyFill="1" applyBorder="1"/>
    <xf numFmtId="0" fontId="54" fillId="6" borderId="20" xfId="0" applyFont="1" applyFill="1" applyBorder="1"/>
    <xf numFmtId="0" fontId="54" fillId="6" borderId="21" xfId="0" applyFont="1" applyFill="1" applyBorder="1"/>
    <xf numFmtId="171" fontId="54" fillId="6" borderId="28" xfId="1" applyNumberFormat="1" applyFont="1" applyFill="1" applyBorder="1"/>
    <xf numFmtId="177" fontId="75" fillId="0" borderId="0" xfId="3" applyNumberFormat="1" applyFont="1"/>
    <xf numFmtId="177" fontId="54" fillId="0" borderId="0" xfId="3" applyNumberFormat="1" applyFont="1" applyAlignment="1">
      <alignment horizontal="center"/>
    </xf>
    <xf numFmtId="177" fontId="54" fillId="0" borderId="0" xfId="3" applyNumberFormat="1" applyFont="1"/>
    <xf numFmtId="49" fontId="68" fillId="13" borderId="14" xfId="0" quotePrefix="1" applyNumberFormat="1" applyFont="1" applyFill="1" applyBorder="1" applyAlignment="1">
      <alignment horizontal="center"/>
    </xf>
    <xf numFmtId="0" fontId="68" fillId="13" borderId="14" xfId="0" applyFont="1" applyFill="1" applyBorder="1" applyAlignment="1">
      <alignment horizontal="left" wrapText="1"/>
    </xf>
    <xf numFmtId="177" fontId="54" fillId="0" borderId="0" xfId="3" applyNumberFormat="1" applyFont="1" applyFill="1"/>
    <xf numFmtId="9" fontId="54" fillId="21" borderId="0" xfId="39" applyFont="1" applyFill="1"/>
    <xf numFmtId="177" fontId="54" fillId="0" borderId="34" xfId="3" applyNumberFormat="1" applyFont="1" applyBorder="1"/>
    <xf numFmtId="177" fontId="54" fillId="0" borderId="0" xfId="3" applyNumberFormat="1" applyFont="1" applyBorder="1" applyAlignment="1">
      <alignment wrapText="1"/>
    </xf>
    <xf numFmtId="177" fontId="54" fillId="0" borderId="0" xfId="3" applyNumberFormat="1" applyFont="1" applyBorder="1"/>
    <xf numFmtId="177" fontId="54" fillId="0" borderId="33" xfId="3" applyNumberFormat="1" applyFont="1" applyBorder="1"/>
    <xf numFmtId="177" fontId="54" fillId="13" borderId="13" xfId="3" applyNumberFormat="1" applyFont="1" applyFill="1" applyBorder="1"/>
    <xf numFmtId="177" fontId="54" fillId="13" borderId="14" xfId="3" applyNumberFormat="1" applyFont="1" applyFill="1" applyBorder="1"/>
    <xf numFmtId="177" fontId="75" fillId="0" borderId="34" xfId="3" applyNumberFormat="1" applyFont="1" applyBorder="1"/>
    <xf numFmtId="177" fontId="75" fillId="0" borderId="0" xfId="3" applyNumberFormat="1" applyFont="1" applyBorder="1"/>
    <xf numFmtId="177" fontId="75" fillId="0" borderId="33" xfId="3" applyNumberFormat="1" applyFont="1" applyBorder="1"/>
    <xf numFmtId="177" fontId="75" fillId="0" borderId="35" xfId="3" applyNumberFormat="1" applyFont="1" applyBorder="1"/>
    <xf numFmtId="9" fontId="54" fillId="0" borderId="34" xfId="39" applyFont="1" applyBorder="1"/>
    <xf numFmtId="9" fontId="54" fillId="0" borderId="33" xfId="39" applyFont="1" applyBorder="1" applyAlignment="1">
      <alignment wrapText="1"/>
    </xf>
    <xf numFmtId="9" fontId="54" fillId="13" borderId="13" xfId="39" applyFont="1" applyFill="1" applyBorder="1"/>
    <xf numFmtId="9" fontId="54" fillId="13" borderId="14" xfId="39" applyFont="1" applyFill="1" applyBorder="1"/>
    <xf numFmtId="9" fontId="54" fillId="13" borderId="15" xfId="39" applyFont="1" applyFill="1" applyBorder="1"/>
    <xf numFmtId="9" fontId="75" fillId="0" borderId="36" xfId="39" applyFont="1" applyBorder="1"/>
    <xf numFmtId="9" fontId="75" fillId="0" borderId="12" xfId="39" applyFont="1" applyBorder="1"/>
    <xf numFmtId="9" fontId="75" fillId="0" borderId="35" xfId="39" applyFont="1" applyBorder="1"/>
    <xf numFmtId="9" fontId="54" fillId="0" borderId="0" xfId="39" applyFont="1" applyBorder="1" applyAlignment="1">
      <alignment wrapText="1"/>
    </xf>
    <xf numFmtId="9" fontId="54" fillId="0" borderId="33" xfId="39" applyFont="1" applyBorder="1"/>
    <xf numFmtId="0" fontId="75" fillId="0" borderId="0" xfId="0" applyFont="1" applyFill="1" applyBorder="1"/>
    <xf numFmtId="0" fontId="72" fillId="0" borderId="1" xfId="37" applyFont="1" applyFill="1" applyBorder="1" applyAlignment="1">
      <alignment wrapText="1"/>
    </xf>
    <xf numFmtId="166" fontId="32" fillId="0" borderId="1" xfId="38" applyNumberFormat="1" applyFont="1" applyFill="1" applyBorder="1" applyAlignment="1">
      <alignment horizontal="right" wrapText="1"/>
    </xf>
    <xf numFmtId="0" fontId="71" fillId="0" borderId="75" xfId="21" applyFont="1" applyFill="1" applyBorder="1" applyAlignment="1">
      <alignment horizontal="center"/>
    </xf>
    <xf numFmtId="0" fontId="71" fillId="0" borderId="58" xfId="21" applyFont="1" applyFill="1" applyBorder="1" applyAlignment="1">
      <alignment horizontal="center"/>
    </xf>
    <xf numFmtId="0" fontId="71" fillId="0" borderId="76" xfId="21" applyFont="1" applyFill="1" applyBorder="1" applyAlignment="1">
      <alignment horizontal="center"/>
    </xf>
    <xf numFmtId="0" fontId="72" fillId="0" borderId="71" xfId="25" applyFont="1" applyFill="1" applyBorder="1" applyAlignment="1">
      <alignment wrapText="1"/>
    </xf>
    <xf numFmtId="167" fontId="72" fillId="0" borderId="79" xfId="25" applyNumberFormat="1" applyFont="1" applyFill="1" applyBorder="1" applyAlignment="1">
      <alignment wrapText="1"/>
    </xf>
    <xf numFmtId="167" fontId="72" fillId="0" borderId="81" xfId="25" applyNumberFormat="1" applyFont="1" applyFill="1" applyBorder="1" applyAlignment="1">
      <alignment wrapText="1"/>
    </xf>
    <xf numFmtId="0" fontId="72" fillId="0" borderId="11" xfId="25" applyFont="1" applyFill="1" applyBorder="1" applyAlignment="1">
      <alignment wrapText="1"/>
    </xf>
    <xf numFmtId="0" fontId="71" fillId="0" borderId="2" xfId="25" applyFont="1" applyFill="1" applyBorder="1" applyAlignment="1">
      <alignment horizontal="center"/>
    </xf>
    <xf numFmtId="0" fontId="72" fillId="0" borderId="10" xfId="31" applyFont="1" applyFill="1" applyBorder="1" applyAlignment="1">
      <alignment horizontal="center" wrapText="1"/>
    </xf>
    <xf numFmtId="0" fontId="71" fillId="0" borderId="2" xfId="31" applyFont="1" applyFill="1" applyBorder="1" applyAlignment="1">
      <alignment horizontal="left" wrapText="1"/>
    </xf>
    <xf numFmtId="0" fontId="71" fillId="0" borderId="2" xfId="25" applyFont="1" applyFill="1" applyBorder="1" applyAlignment="1">
      <alignment horizontal="left"/>
    </xf>
    <xf numFmtId="0" fontId="71" fillId="0" borderId="2" xfId="34" applyFont="1" applyFill="1" applyBorder="1" applyAlignment="1">
      <alignment horizontal="center" wrapText="1"/>
    </xf>
    <xf numFmtId="0" fontId="71" fillId="6" borderId="83" xfId="31" quotePrefix="1" applyFont="1" applyFill="1" applyBorder="1" applyAlignment="1">
      <alignment horizontal="center" wrapText="1"/>
    </xf>
    <xf numFmtId="0" fontId="71" fillId="6" borderId="2" xfId="25" applyFont="1" applyFill="1" applyBorder="1" applyAlignment="1">
      <alignment wrapText="1"/>
    </xf>
    <xf numFmtId="167" fontId="71" fillId="6" borderId="2" xfId="25" applyNumberFormat="1" applyFont="1" applyFill="1" applyBorder="1" applyAlignment="1">
      <alignment wrapText="1"/>
    </xf>
    <xf numFmtId="167" fontId="54" fillId="6" borderId="2" xfId="0" applyNumberFormat="1" applyFont="1" applyFill="1" applyBorder="1"/>
    <xf numFmtId="0" fontId="72" fillId="0" borderId="1" xfId="29" applyFont="1" applyFill="1" applyBorder="1" applyAlignment="1">
      <alignment wrapText="1"/>
    </xf>
    <xf numFmtId="0" fontId="72" fillId="0" borderId="0" xfId="29" applyFont="1" applyFill="1" applyBorder="1" applyAlignment="1">
      <alignment wrapText="1"/>
    </xf>
    <xf numFmtId="167" fontId="72" fillId="0" borderId="0" xfId="29" applyNumberFormat="1" applyFont="1" applyFill="1" applyBorder="1" applyAlignment="1">
      <alignment horizontal="right" wrapText="1"/>
    </xf>
    <xf numFmtId="0" fontId="71" fillId="22" borderId="0" xfId="29" applyFont="1" applyFill="1" applyBorder="1" applyAlignment="1">
      <alignment horizontal="left"/>
    </xf>
    <xf numFmtId="167" fontId="71" fillId="6" borderId="1" xfId="29" applyNumberFormat="1" applyFont="1" applyFill="1" applyBorder="1" applyAlignment="1">
      <alignment wrapText="1"/>
    </xf>
    <xf numFmtId="167" fontId="72" fillId="0" borderId="1" xfId="29" applyNumberFormat="1" applyFont="1" applyFill="1" applyBorder="1" applyAlignment="1">
      <alignment wrapText="1"/>
    </xf>
    <xf numFmtId="167" fontId="72" fillId="0" borderId="1" xfId="29" applyNumberFormat="1" applyFont="1" applyFill="1" applyBorder="1" applyAlignment="1">
      <alignment horizontal="right" wrapText="1"/>
    </xf>
    <xf numFmtId="166" fontId="63" fillId="0" borderId="0" xfId="0" applyNumberFormat="1" applyFont="1"/>
    <xf numFmtId="0" fontId="71" fillId="0" borderId="2" xfId="29" applyFont="1" applyFill="1" applyBorder="1" applyAlignment="1">
      <alignment horizontal="center"/>
    </xf>
    <xf numFmtId="0" fontId="71" fillId="0" borderId="2" xfId="29" applyFont="1" applyFill="1" applyBorder="1" applyAlignment="1">
      <alignment horizontal="center" wrapText="1"/>
    </xf>
    <xf numFmtId="0" fontId="71" fillId="0" borderId="2" xfId="22" applyFont="1" applyFill="1" applyBorder="1" applyAlignment="1">
      <alignment horizontal="center"/>
    </xf>
    <xf numFmtId="167" fontId="75" fillId="0" borderId="0" xfId="0" applyNumberFormat="1" applyFont="1" applyBorder="1"/>
    <xf numFmtId="166" fontId="0" fillId="0" borderId="0" xfId="0" applyNumberFormat="1" applyFont="1"/>
    <xf numFmtId="166" fontId="75" fillId="0" borderId="0" xfId="0" applyNumberFormat="1" applyFont="1"/>
    <xf numFmtId="0" fontId="71" fillId="0" borderId="2" xfId="36" applyFont="1" applyFill="1" applyBorder="1" applyAlignment="1">
      <alignment horizontal="left"/>
    </xf>
    <xf numFmtId="0" fontId="71" fillId="0" borderId="6" xfId="36" applyFont="1" applyFill="1" applyBorder="1" applyAlignment="1">
      <alignment horizontal="left"/>
    </xf>
    <xf numFmtId="0" fontId="71" fillId="0" borderId="75" xfId="36" applyFont="1" applyFill="1" applyBorder="1" applyAlignment="1">
      <alignment horizontal="center" wrapText="1"/>
    </xf>
    <xf numFmtId="0" fontId="71" fillId="0" borderId="58" xfId="36" applyFont="1" applyFill="1" applyBorder="1" applyAlignment="1">
      <alignment horizontal="center" wrapText="1"/>
    </xf>
    <xf numFmtId="1" fontId="0" fillId="0" borderId="0" xfId="0" applyNumberFormat="1" applyFont="1"/>
    <xf numFmtId="1" fontId="71" fillId="0" borderId="14" xfId="14" applyNumberFormat="1" applyFont="1" applyFill="1" applyBorder="1" applyAlignment="1">
      <alignment horizontal="center"/>
    </xf>
    <xf numFmtId="1" fontId="54" fillId="0" borderId="14" xfId="0" applyNumberFormat="1" applyFont="1" applyBorder="1" applyAlignment="1">
      <alignment horizontal="center"/>
    </xf>
    <xf numFmtId="1" fontId="75" fillId="0" borderId="0" xfId="0" applyNumberFormat="1" applyFont="1"/>
    <xf numFmtId="1" fontId="75" fillId="0" borderId="12" xfId="0" applyNumberFormat="1" applyFont="1" applyBorder="1"/>
    <xf numFmtId="0" fontId="32" fillId="0" borderId="0" xfId="14" applyFont="1" applyFill="1" applyBorder="1" applyAlignment="1">
      <alignment horizontal="left" wrapText="1"/>
    </xf>
    <xf numFmtId="0" fontId="26" fillId="0" borderId="0" xfId="14" applyFont="1"/>
    <xf numFmtId="0" fontId="26" fillId="0" borderId="0" xfId="14" applyFont="1" applyAlignment="1">
      <alignment horizontal="right" vertical="top"/>
    </xf>
    <xf numFmtId="0" fontId="26" fillId="0" borderId="0" xfId="14" applyFont="1" applyBorder="1"/>
    <xf numFmtId="0" fontId="81" fillId="0" borderId="0" xfId="14" applyFont="1" applyBorder="1"/>
    <xf numFmtId="0" fontId="71" fillId="0" borderId="14" xfId="14" applyFont="1" applyFill="1" applyBorder="1" applyAlignment="1">
      <alignment horizontal="center"/>
    </xf>
    <xf numFmtId="0" fontId="71" fillId="6" borderId="0" xfId="14" applyFont="1" applyFill="1" applyBorder="1" applyAlignment="1">
      <alignment horizontal="center"/>
    </xf>
    <xf numFmtId="0" fontId="71" fillId="6" borderId="0" xfId="14" applyFont="1" applyFill="1" applyBorder="1" applyAlignment="1">
      <alignment horizontal="left"/>
    </xf>
    <xf numFmtId="0" fontId="75" fillId="0" borderId="0" xfId="0" applyFont="1" applyAlignment="1">
      <alignment horizontal="right"/>
    </xf>
    <xf numFmtId="0" fontId="75" fillId="0" borderId="12" xfId="0" applyFont="1" applyBorder="1"/>
    <xf numFmtId="0" fontId="71" fillId="6" borderId="14" xfId="14" applyFont="1" applyFill="1" applyBorder="1" applyAlignment="1">
      <alignment horizontal="center"/>
    </xf>
    <xf numFmtId="0" fontId="71" fillId="6" borderId="14" xfId="14" applyFont="1" applyFill="1" applyBorder="1" applyAlignment="1">
      <alignment horizontal="left"/>
    </xf>
    <xf numFmtId="0" fontId="36" fillId="0" borderId="12" xfId="32" applyFont="1" applyFill="1" applyBorder="1" applyAlignment="1">
      <alignment horizontal="center"/>
    </xf>
    <xf numFmtId="0" fontId="36" fillId="0" borderId="12" xfId="32" quotePrefix="1" applyFont="1" applyFill="1" applyBorder="1" applyAlignment="1">
      <alignment horizontal="center"/>
    </xf>
    <xf numFmtId="0" fontId="38" fillId="0" borderId="0" xfId="14" applyFont="1"/>
    <xf numFmtId="0" fontId="36" fillId="0" borderId="12" xfId="32" applyFont="1" applyFill="1" applyBorder="1" applyAlignment="1">
      <alignment horizontal="left"/>
    </xf>
    <xf numFmtId="0" fontId="25" fillId="0" borderId="12" xfId="14" applyFont="1" applyBorder="1" applyAlignment="1">
      <alignment horizontal="center"/>
    </xf>
    <xf numFmtId="0" fontId="26" fillId="0" borderId="12" xfId="14" applyFont="1" applyBorder="1" applyAlignment="1"/>
    <xf numFmtId="0" fontId="25" fillId="0" borderId="0" xfId="14" applyFont="1" applyBorder="1" applyAlignment="1"/>
    <xf numFmtId="0" fontId="26" fillId="0" borderId="0" xfId="14" applyFont="1" applyBorder="1" applyAlignment="1"/>
    <xf numFmtId="0" fontId="71" fillId="0" borderId="0" xfId="32" applyFont="1" applyFill="1" applyBorder="1" applyAlignment="1">
      <alignment horizontal="left"/>
    </xf>
    <xf numFmtId="0" fontId="71" fillId="0" borderId="0" xfId="32" applyFont="1" applyFill="1" applyBorder="1" applyAlignment="1">
      <alignment horizontal="center"/>
    </xf>
    <xf numFmtId="9" fontId="71" fillId="0" borderId="0" xfId="32" applyNumberFormat="1" applyFont="1" applyFill="1" applyBorder="1" applyAlignment="1">
      <alignment horizontal="right" wrapText="1"/>
    </xf>
    <xf numFmtId="0" fontId="72" fillId="0" borderId="0" xfId="32" applyFont="1" applyFill="1" applyBorder="1" applyAlignment="1">
      <alignment horizontal="center" wrapText="1"/>
    </xf>
    <xf numFmtId="0" fontId="72" fillId="0" borderId="0" xfId="32" applyFont="1" applyFill="1" applyBorder="1" applyAlignment="1">
      <alignment wrapText="1"/>
    </xf>
    <xf numFmtId="9" fontId="72" fillId="0" borderId="0" xfId="32" applyNumberFormat="1" applyFont="1" applyFill="1" applyBorder="1" applyAlignment="1">
      <alignment horizontal="right" wrapText="1"/>
    </xf>
    <xf numFmtId="0" fontId="72" fillId="0" borderId="0" xfId="32" applyFont="1" applyFill="1" applyBorder="1" applyAlignment="1">
      <alignment vertical="top" wrapText="1"/>
    </xf>
    <xf numFmtId="0" fontId="72" fillId="0" borderId="12" xfId="32" quotePrefix="1" applyFont="1" applyFill="1" applyBorder="1" applyAlignment="1">
      <alignment horizontal="center" wrapText="1"/>
    </xf>
    <xf numFmtId="0" fontId="72" fillId="0" borderId="12" xfId="32" applyFont="1" applyFill="1" applyBorder="1" applyAlignment="1">
      <alignment wrapText="1"/>
    </xf>
    <xf numFmtId="9" fontId="72" fillId="0" borderId="12" xfId="32" applyNumberFormat="1" applyFont="1" applyFill="1" applyBorder="1" applyAlignment="1">
      <alignment horizontal="right" wrapText="1"/>
    </xf>
    <xf numFmtId="0" fontId="75" fillId="0" borderId="25" xfId="0" applyFont="1" applyBorder="1"/>
    <xf numFmtId="0" fontId="75" fillId="0" borderId="27" xfId="0" applyFont="1" applyBorder="1"/>
    <xf numFmtId="0" fontId="75" fillId="0" borderId="26" xfId="0" applyFont="1" applyBorder="1"/>
    <xf numFmtId="0" fontId="75" fillId="0" borderId="31" xfId="0" applyFont="1" applyBorder="1" applyAlignment="1">
      <alignment horizontal="right"/>
    </xf>
    <xf numFmtId="9" fontId="75" fillId="0" borderId="25" xfId="39" applyFont="1" applyBorder="1" applyAlignment="1">
      <alignment horizontal="center"/>
    </xf>
    <xf numFmtId="9" fontId="75" fillId="0" borderId="57" xfId="39" applyFont="1" applyBorder="1" applyAlignment="1">
      <alignment horizontal="center"/>
    </xf>
    <xf numFmtId="9" fontId="75" fillId="0" borderId="27" xfId="39" applyFont="1" applyBorder="1" applyAlignment="1">
      <alignment horizontal="center"/>
    </xf>
    <xf numFmtId="9" fontId="75" fillId="0" borderId="26" xfId="39" applyFont="1" applyBorder="1" applyAlignment="1">
      <alignment horizontal="center"/>
    </xf>
    <xf numFmtId="0" fontId="75" fillId="0" borderId="0" xfId="9" applyFont="1"/>
    <xf numFmtId="0" fontId="75" fillId="0" borderId="0" xfId="9" applyFont="1" applyAlignment="1">
      <alignment horizontal="right" wrapText="1"/>
    </xf>
    <xf numFmtId="0" fontId="54" fillId="0" borderId="12" xfId="9" applyFont="1" applyBorder="1" applyAlignment="1"/>
    <xf numFmtId="0" fontId="54" fillId="0" borderId="0" xfId="9" applyFont="1" applyAlignment="1">
      <alignment horizontal="center"/>
    </xf>
    <xf numFmtId="0" fontId="54" fillId="0" borderId="0" xfId="9" applyFont="1" applyAlignment="1">
      <alignment horizontal="right"/>
    </xf>
    <xf numFmtId="0" fontId="75" fillId="0" borderId="12" xfId="9" applyFont="1" applyBorder="1" applyAlignment="1"/>
    <xf numFmtId="0" fontId="75" fillId="0" borderId="12" xfId="9" applyFont="1" applyBorder="1" applyAlignment="1">
      <alignment horizontal="right"/>
    </xf>
    <xf numFmtId="0" fontId="54" fillId="0" borderId="0" xfId="9" applyFont="1" applyAlignment="1"/>
    <xf numFmtId="0" fontId="54" fillId="0" borderId="0" xfId="9" applyFont="1" applyAlignment="1">
      <alignment horizontal="right" wrapText="1"/>
    </xf>
    <xf numFmtId="49" fontId="54" fillId="0" borderId="12" xfId="9" applyNumberFormat="1" applyFont="1" applyBorder="1" applyAlignment="1">
      <alignment horizontal="center"/>
    </xf>
    <xf numFmtId="0" fontId="54" fillId="0" borderId="12" xfId="9" applyFont="1" applyBorder="1" applyAlignment="1">
      <alignment horizontal="right" wrapText="1"/>
    </xf>
    <xf numFmtId="0" fontId="54" fillId="0" borderId="12" xfId="9" applyFont="1" applyBorder="1"/>
    <xf numFmtId="49" fontId="75" fillId="0" borderId="0" xfId="9" quotePrefix="1" applyNumberFormat="1" applyFont="1" applyAlignment="1">
      <alignment horizontal="center"/>
    </xf>
    <xf numFmtId="49" fontId="75" fillId="0" borderId="0" xfId="9" applyNumberFormat="1" applyFont="1" applyAlignment="1">
      <alignment horizontal="center"/>
    </xf>
    <xf numFmtId="0" fontId="75" fillId="0" borderId="0" xfId="9" applyNumberFormat="1" applyFont="1" applyAlignment="1">
      <alignment horizontal="right"/>
    </xf>
    <xf numFmtId="49" fontId="75" fillId="0" borderId="0" xfId="9" quotePrefix="1" applyNumberFormat="1" applyFont="1" applyAlignment="1">
      <alignment horizontal="right"/>
    </xf>
    <xf numFmtId="49" fontId="75" fillId="0" borderId="0" xfId="9" applyNumberFormat="1" applyFont="1" applyAlignment="1">
      <alignment horizontal="right"/>
    </xf>
    <xf numFmtId="0" fontId="75" fillId="0" borderId="0" xfId="9" quotePrefix="1" applyNumberFormat="1" applyFont="1" applyAlignment="1">
      <alignment horizontal="center"/>
    </xf>
    <xf numFmtId="0" fontId="75" fillId="0" borderId="0" xfId="9" quotePrefix="1" applyNumberFormat="1" applyFont="1" applyAlignment="1">
      <alignment horizontal="right"/>
    </xf>
    <xf numFmtId="49" fontId="75" fillId="0" borderId="12" xfId="9" applyNumberFormat="1" applyFont="1" applyBorder="1" applyAlignment="1">
      <alignment horizontal="center"/>
    </xf>
    <xf numFmtId="0" fontId="75" fillId="0" borderId="12" xfId="9" applyNumberFormat="1" applyFont="1" applyBorder="1" applyAlignment="1">
      <alignment horizontal="right"/>
    </xf>
    <xf numFmtId="0" fontId="75" fillId="0" borderId="12" xfId="9" applyFont="1" applyBorder="1" applyAlignment="1">
      <alignment horizontal="right" wrapText="1"/>
    </xf>
    <xf numFmtId="49" fontId="75" fillId="0" borderId="12" xfId="9" applyNumberFormat="1" applyFont="1" applyBorder="1" applyAlignment="1">
      <alignment horizontal="right"/>
    </xf>
    <xf numFmtId="0" fontId="81" fillId="0" borderId="0" xfId="9" applyFont="1" applyAlignment="1">
      <alignment horizontal="right" vertical="top"/>
    </xf>
    <xf numFmtId="0" fontId="82" fillId="0" borderId="0" xfId="4" applyFont="1" applyAlignment="1" applyProtection="1">
      <alignment horizontal="right"/>
    </xf>
    <xf numFmtId="0" fontId="72" fillId="0" borderId="0" xfId="37" applyFont="1" applyFill="1" applyBorder="1" applyAlignment="1">
      <alignment wrapText="1"/>
    </xf>
    <xf numFmtId="0" fontId="71" fillId="0" borderId="6" xfId="36" applyFont="1" applyFill="1" applyBorder="1" applyAlignment="1">
      <alignment horizontal="left"/>
    </xf>
    <xf numFmtId="167" fontId="72" fillId="0" borderId="1" xfId="29" applyNumberFormat="1" applyFont="1" applyFill="1" applyBorder="1" applyAlignment="1">
      <alignment wrapText="1"/>
    </xf>
    <xf numFmtId="0" fontId="71" fillId="0" borderId="2" xfId="29" applyFont="1" applyFill="1" applyBorder="1" applyAlignment="1">
      <alignment horizontal="left"/>
    </xf>
    <xf numFmtId="0" fontId="72" fillId="0" borderId="88" xfId="25" applyFont="1" applyFill="1" applyBorder="1" applyAlignment="1">
      <alignment wrapText="1"/>
    </xf>
    <xf numFmtId="0" fontId="72" fillId="0" borderId="32" xfId="25" applyFont="1" applyFill="1" applyBorder="1" applyAlignment="1">
      <alignment wrapText="1"/>
    </xf>
    <xf numFmtId="0" fontId="71" fillId="0" borderId="2" xfId="27" applyFont="1" applyFill="1" applyBorder="1" applyAlignment="1">
      <alignment horizontal="left"/>
    </xf>
    <xf numFmtId="0" fontId="71" fillId="6" borderId="0" xfId="27" applyFont="1" applyFill="1" applyBorder="1" applyAlignment="1">
      <alignment wrapText="1"/>
    </xf>
    <xf numFmtId="0" fontId="72" fillId="0" borderId="0" xfId="27" applyFont="1" applyFill="1" applyBorder="1" applyAlignment="1">
      <alignment wrapText="1"/>
    </xf>
    <xf numFmtId="0" fontId="71" fillId="0" borderId="6" xfId="34" applyFont="1" applyFill="1" applyBorder="1" applyAlignment="1">
      <alignment horizontal="left" wrapText="1"/>
    </xf>
    <xf numFmtId="0" fontId="71" fillId="6" borderId="32" xfId="34" applyFont="1" applyFill="1" applyBorder="1" applyAlignment="1">
      <alignment wrapText="1"/>
    </xf>
    <xf numFmtId="0" fontId="72" fillId="0" borderId="32" xfId="34" applyFont="1" applyFill="1" applyBorder="1" applyAlignment="1">
      <alignment wrapText="1"/>
    </xf>
    <xf numFmtId="171" fontId="54" fillId="6" borderId="0" xfId="1" applyNumberFormat="1" applyFont="1" applyFill="1"/>
    <xf numFmtId="0" fontId="28" fillId="0" borderId="0" xfId="0" applyFont="1" applyAlignment="1">
      <alignment horizontal="left" vertical="top"/>
    </xf>
    <xf numFmtId="0" fontId="15" fillId="3" borderId="0" xfId="0" applyFont="1" applyFill="1" applyBorder="1" applyAlignment="1">
      <alignment horizontal="left" vertical="top" wrapText="1"/>
    </xf>
    <xf numFmtId="171" fontId="15" fillId="3" borderId="0" xfId="1" applyNumberFormat="1" applyFont="1" applyFill="1" applyBorder="1" applyAlignment="1">
      <alignment horizontal="left" vertical="top" wrapText="1"/>
    </xf>
    <xf numFmtId="0" fontId="51" fillId="0" borderId="0" xfId="0" applyFont="1"/>
    <xf numFmtId="171" fontId="51" fillId="0" borderId="0" xfId="1" applyNumberFormat="1" applyFont="1"/>
    <xf numFmtId="3" fontId="51" fillId="0" borderId="0" xfId="0" applyNumberFormat="1" applyFont="1"/>
    <xf numFmtId="164" fontId="51" fillId="8" borderId="0" xfId="39" applyNumberFormat="1" applyFont="1" applyFill="1"/>
    <xf numFmtId="171" fontId="51" fillId="8" borderId="0" xfId="1" applyNumberFormat="1" applyFont="1" applyFill="1"/>
    <xf numFmtId="0" fontId="9" fillId="3" borderId="0" xfId="0" applyFont="1" applyFill="1" applyBorder="1" applyAlignment="1">
      <alignment horizontal="left" vertical="top"/>
    </xf>
    <xf numFmtId="0" fontId="51" fillId="0" borderId="0" xfId="0" applyFont="1" applyAlignment="1">
      <alignment horizontal="right"/>
    </xf>
    <xf numFmtId="3" fontId="51" fillId="0" borderId="0" xfId="0" applyNumberFormat="1" applyFont="1" applyAlignment="1">
      <alignment horizontal="right"/>
    </xf>
    <xf numFmtId="164" fontId="51" fillId="0" borderId="0" xfId="39" applyNumberFormat="1" applyFont="1" applyAlignment="1">
      <alignment horizontal="right"/>
    </xf>
    <xf numFmtId="171" fontId="51" fillId="0" borderId="0" xfId="1" applyNumberFormat="1" applyFont="1" applyAlignment="1">
      <alignment horizontal="right"/>
    </xf>
    <xf numFmtId="0" fontId="9" fillId="3" borderId="0" xfId="0" applyFont="1" applyFill="1" applyBorder="1" applyAlignment="1">
      <alignment vertical="top" wrapText="1"/>
    </xf>
    <xf numFmtId="0" fontId="9" fillId="3" borderId="89" xfId="0" applyFont="1" applyFill="1" applyBorder="1" applyAlignment="1">
      <alignment vertical="center" wrapText="1"/>
    </xf>
    <xf numFmtId="0" fontId="9" fillId="3" borderId="9" xfId="0" applyFont="1" applyFill="1" applyBorder="1" applyAlignment="1">
      <alignment vertical="top" wrapText="1"/>
    </xf>
    <xf numFmtId="0" fontId="51" fillId="0" borderId="0" xfId="0" applyFont="1" applyAlignment="1"/>
    <xf numFmtId="0" fontId="85" fillId="0" borderId="0" xfId="0" applyFont="1"/>
    <xf numFmtId="3" fontId="51" fillId="8" borderId="0" xfId="0" applyNumberFormat="1" applyFont="1" applyFill="1"/>
    <xf numFmtId="0" fontId="85" fillId="0" borderId="14" xfId="0" applyFont="1" applyBorder="1"/>
    <xf numFmtId="0" fontId="15" fillId="3" borderId="90" xfId="0" applyFont="1" applyFill="1" applyBorder="1" applyAlignment="1">
      <alignment vertical="top" wrapText="1"/>
    </xf>
    <xf numFmtId="0" fontId="15" fillId="3" borderId="91" xfId="0" applyFont="1" applyFill="1" applyBorder="1" applyAlignment="1">
      <alignment horizontal="left" vertical="top" wrapText="1"/>
    </xf>
    <xf numFmtId="0" fontId="51" fillId="0" borderId="12" xfId="0" applyFont="1" applyBorder="1"/>
    <xf numFmtId="0" fontId="31" fillId="0" borderId="12" xfId="0" applyFont="1" applyBorder="1"/>
    <xf numFmtId="171" fontId="31" fillId="0" borderId="12" xfId="1" applyNumberFormat="1" applyFont="1" applyBorder="1"/>
    <xf numFmtId="3" fontId="51" fillId="8" borderId="29" xfId="0" applyNumberFormat="1" applyFont="1" applyFill="1" applyBorder="1"/>
    <xf numFmtId="3" fontId="51" fillId="0" borderId="30" xfId="0" applyNumberFormat="1" applyFont="1" applyBorder="1" applyAlignment="1">
      <alignment horizontal="right"/>
    </xf>
    <xf numFmtId="0" fontId="51" fillId="8" borderId="0" xfId="0" applyFont="1" applyFill="1"/>
    <xf numFmtId="0" fontId="9" fillId="8" borderId="9" xfId="0" applyFont="1" applyFill="1" applyBorder="1" applyAlignment="1">
      <alignment vertical="top" wrapText="1"/>
    </xf>
    <xf numFmtId="171" fontId="51" fillId="0" borderId="0" xfId="0" applyNumberFormat="1" applyFont="1"/>
    <xf numFmtId="171" fontId="51" fillId="8" borderId="0" xfId="0" applyNumberFormat="1" applyFont="1" applyFill="1"/>
    <xf numFmtId="0" fontId="75" fillId="0" borderId="0" xfId="15" applyFont="1" applyAlignment="1">
      <alignment horizontal="left" wrapText="1"/>
    </xf>
    <xf numFmtId="3" fontId="54" fillId="11" borderId="30" xfId="15" applyNumberFormat="1" applyFont="1" applyFill="1" applyBorder="1" applyAlignment="1">
      <alignment horizontal="right" vertical="top"/>
    </xf>
    <xf numFmtId="171" fontId="75" fillId="0" borderId="30" xfId="1" applyNumberFormat="1" applyFont="1" applyFill="1" applyBorder="1"/>
    <xf numFmtId="171" fontId="75" fillId="0" borderId="31" xfId="1" applyNumberFormat="1" applyFont="1" applyFill="1" applyBorder="1"/>
    <xf numFmtId="171" fontId="54" fillId="6" borderId="30" xfId="1" applyNumberFormat="1" applyFont="1" applyFill="1" applyBorder="1" applyAlignment="1">
      <alignment horizontal="center" wrapText="1"/>
    </xf>
    <xf numFmtId="3" fontId="75" fillId="0" borderId="30" xfId="15" applyNumberFormat="1" applyFont="1" applyFill="1" applyBorder="1"/>
    <xf numFmtId="3" fontId="84" fillId="0" borderId="0" xfId="19" applyNumberFormat="1" applyFont="1" applyFill="1" applyBorder="1" applyAlignment="1">
      <alignment vertical="top" wrapText="1"/>
    </xf>
    <xf numFmtId="3" fontId="56" fillId="0" borderId="34" xfId="0" applyNumberFormat="1" applyFont="1" applyFill="1" applyBorder="1" applyAlignment="1">
      <alignment horizontal="center"/>
    </xf>
    <xf numFmtId="3" fontId="56" fillId="0" borderId="0" xfId="0" applyNumberFormat="1" applyFont="1" applyFill="1" applyBorder="1" applyAlignment="1">
      <alignment horizontal="center"/>
    </xf>
    <xf numFmtId="9" fontId="56" fillId="0" borderId="34" xfId="39" applyFont="1" applyFill="1" applyBorder="1" applyAlignment="1">
      <alignment horizontal="center"/>
    </xf>
    <xf numFmtId="9" fontId="56" fillId="0" borderId="0" xfId="39" applyFont="1" applyFill="1" applyBorder="1" applyAlignment="1">
      <alignment horizontal="center"/>
    </xf>
    <xf numFmtId="0" fontId="54" fillId="0" borderId="31" xfId="0" applyFont="1" applyBorder="1" applyAlignment="1">
      <alignment horizontal="center" wrapText="1"/>
    </xf>
    <xf numFmtId="0" fontId="75" fillId="0" borderId="30" xfId="0" applyFont="1" applyBorder="1" applyAlignment="1">
      <alignment horizontal="right"/>
    </xf>
    <xf numFmtId="0" fontId="75" fillId="0" borderId="30" xfId="1" applyNumberFormat="1" applyFont="1" applyBorder="1" applyAlignment="1">
      <alignment horizontal="right"/>
    </xf>
    <xf numFmtId="0" fontId="75" fillId="0" borderId="31" xfId="0" applyFont="1" applyBorder="1" applyAlignment="1">
      <alignment horizontal="right"/>
    </xf>
    <xf numFmtId="0" fontId="56" fillId="0" borderId="12" xfId="0" applyFont="1" applyFill="1" applyBorder="1" applyAlignment="1">
      <alignment horizontal="left"/>
    </xf>
    <xf numFmtId="3" fontId="56" fillId="0" borderId="25" xfId="0" applyNumberFormat="1" applyFont="1" applyFill="1" applyBorder="1" applyAlignment="1">
      <alignment horizontal="right" indent="1"/>
    </xf>
    <xf numFmtId="3" fontId="56" fillId="0" borderId="27" xfId="0" applyNumberFormat="1" applyFont="1" applyFill="1" applyBorder="1" applyAlignment="1">
      <alignment horizontal="right" indent="1"/>
    </xf>
    <xf numFmtId="3" fontId="56" fillId="0" borderId="26" xfId="0" applyNumberFormat="1" applyFont="1" applyFill="1" applyBorder="1" applyAlignment="1">
      <alignment horizontal="right" indent="1"/>
    </xf>
    <xf numFmtId="0" fontId="56" fillId="0" borderId="0" xfId="0" applyFont="1" applyFill="1" applyBorder="1" applyAlignment="1">
      <alignment horizontal="center"/>
    </xf>
    <xf numFmtId="164" fontId="72" fillId="0" borderId="40" xfId="16" applyNumberFormat="1" applyFont="1" applyFill="1" applyBorder="1" applyAlignment="1">
      <alignment wrapText="1"/>
    </xf>
    <xf numFmtId="0" fontId="71" fillId="0" borderId="93" xfId="11" applyFont="1" applyFill="1" applyBorder="1" applyAlignment="1">
      <alignment horizontal="center"/>
    </xf>
    <xf numFmtId="0" fontId="71" fillId="0" borderId="94" xfId="11" applyFont="1" applyFill="1" applyBorder="1" applyAlignment="1">
      <alignment horizontal="center"/>
    </xf>
    <xf numFmtId="164" fontId="71" fillId="6" borderId="95" xfId="16" applyNumberFormat="1" applyFont="1" applyFill="1" applyBorder="1" applyAlignment="1">
      <alignment wrapText="1"/>
    </xf>
    <xf numFmtId="164" fontId="72" fillId="0" borderId="38" xfId="16" applyNumberFormat="1" applyFont="1" applyFill="1" applyBorder="1" applyAlignment="1">
      <alignment wrapText="1"/>
    </xf>
    <xf numFmtId="164" fontId="72" fillId="0" borderId="96" xfId="16" applyNumberFormat="1" applyFont="1" applyFill="1" applyBorder="1" applyAlignment="1">
      <alignment wrapText="1"/>
    </xf>
    <xf numFmtId="164" fontId="71" fillId="6" borderId="58" xfId="16" applyNumberFormat="1" applyFont="1" applyFill="1" applyBorder="1" applyAlignment="1">
      <alignment wrapText="1"/>
    </xf>
    <xf numFmtId="0" fontId="55" fillId="0" borderId="0" xfId="0" applyFont="1" applyAlignment="1">
      <alignment wrapText="1"/>
    </xf>
    <xf numFmtId="3" fontId="73" fillId="0" borderId="0" xfId="0" applyNumberFormat="1" applyFont="1"/>
    <xf numFmtId="176" fontId="71" fillId="0" borderId="59" xfId="1" applyNumberFormat="1" applyFont="1" applyFill="1" applyBorder="1" applyAlignment="1">
      <alignment horizontal="center"/>
    </xf>
    <xf numFmtId="3" fontId="71" fillId="6" borderId="97" xfId="16" applyNumberFormat="1" applyFont="1" applyFill="1" applyBorder="1"/>
    <xf numFmtId="3" fontId="72" fillId="0" borderId="62" xfId="0" applyNumberFormat="1" applyFont="1" applyFill="1" applyBorder="1" applyAlignment="1">
      <alignment horizontal="right" wrapText="1"/>
    </xf>
    <xf numFmtId="3" fontId="72" fillId="0" borderId="64" xfId="0" applyNumberFormat="1" applyFont="1" applyFill="1" applyBorder="1" applyAlignment="1">
      <alignment horizontal="right" wrapText="1"/>
    </xf>
    <xf numFmtId="3" fontId="81" fillId="0" borderId="132" xfId="14" applyNumberFormat="1" applyFont="1" applyBorder="1"/>
    <xf numFmtId="171" fontId="72" fillId="0" borderId="114" xfId="1" applyNumberFormat="1" applyFont="1" applyBorder="1"/>
    <xf numFmtId="164" fontId="75" fillId="8" borderId="45" xfId="39" applyNumberFormat="1" applyFont="1" applyFill="1" applyBorder="1"/>
    <xf numFmtId="0" fontId="28" fillId="0" borderId="0" xfId="16" applyFont="1"/>
    <xf numFmtId="37" fontId="56" fillId="9" borderId="22" xfId="1" applyNumberFormat="1" applyFont="1" applyFill="1" applyBorder="1" applyAlignment="1">
      <alignment horizontal="center"/>
    </xf>
    <xf numFmtId="164" fontId="56" fillId="9" borderId="23" xfId="39" applyNumberFormat="1" applyFont="1" applyFill="1" applyBorder="1" applyAlignment="1">
      <alignment horizontal="center"/>
    </xf>
    <xf numFmtId="164" fontId="56" fillId="9" borderId="30" xfId="0" applyNumberFormat="1" applyFont="1" applyFill="1" applyBorder="1" applyAlignment="1">
      <alignment horizontal="center"/>
    </xf>
    <xf numFmtId="37" fontId="56" fillId="16" borderId="25" xfId="1" applyNumberFormat="1" applyFont="1" applyFill="1" applyBorder="1" applyAlignment="1">
      <alignment horizontal="center"/>
    </xf>
    <xf numFmtId="164" fontId="56" fillId="16" borderId="26" xfId="39" applyNumberFormat="1" applyFont="1" applyFill="1" applyBorder="1" applyAlignment="1">
      <alignment horizontal="center"/>
    </xf>
    <xf numFmtId="164" fontId="56" fillId="16" borderId="31" xfId="0" applyNumberFormat="1" applyFont="1" applyFill="1" applyBorder="1" applyAlignment="1">
      <alignment horizontal="center"/>
    </xf>
    <xf numFmtId="164" fontId="72" fillId="0" borderId="30" xfId="14" applyNumberFormat="1" applyFont="1" applyFill="1" applyBorder="1" applyAlignment="1">
      <alignment horizontal="center" wrapText="1"/>
    </xf>
    <xf numFmtId="0" fontId="71" fillId="0" borderId="46" xfId="14" applyFont="1" applyFill="1" applyBorder="1" applyAlignment="1">
      <alignment horizontal="center" wrapText="1"/>
    </xf>
    <xf numFmtId="44" fontId="75" fillId="0" borderId="0" xfId="3" applyFont="1"/>
    <xf numFmtId="44" fontId="72" fillId="0" borderId="0" xfId="3" applyFont="1"/>
    <xf numFmtId="44" fontId="81" fillId="0" borderId="0" xfId="3" applyFont="1"/>
    <xf numFmtId="7" fontId="75" fillId="0" borderId="0" xfId="3" applyNumberFormat="1" applyFont="1" applyAlignment="1"/>
    <xf numFmtId="7" fontId="71" fillId="0" borderId="2" xfId="27" applyNumberFormat="1" applyFont="1" applyFill="1" applyBorder="1" applyAlignment="1">
      <alignment horizontal="center" wrapText="1"/>
    </xf>
    <xf numFmtId="7" fontId="71" fillId="0" borderId="6" xfId="34" applyNumberFormat="1" applyFont="1" applyFill="1" applyBorder="1" applyAlignment="1">
      <alignment horizontal="center" wrapText="1"/>
    </xf>
    <xf numFmtId="7" fontId="71" fillId="0" borderId="2" xfId="27" applyNumberFormat="1" applyFont="1" applyFill="1" applyBorder="1" applyAlignment="1">
      <alignment horizontal="center"/>
    </xf>
    <xf numFmtId="7" fontId="71" fillId="0" borderId="2" xfId="3" applyNumberFormat="1" applyFont="1" applyFill="1" applyBorder="1" applyAlignment="1"/>
    <xf numFmtId="7" fontId="72" fillId="0" borderId="0" xfId="16" applyNumberFormat="1" applyFont="1"/>
    <xf numFmtId="7" fontId="72" fillId="0" borderId="0" xfId="3" applyNumberFormat="1" applyFont="1" applyAlignment="1"/>
    <xf numFmtId="7" fontId="81" fillId="0" borderId="0" xfId="14" applyNumberFormat="1" applyFont="1"/>
    <xf numFmtId="7" fontId="81" fillId="0" borderId="0" xfId="3" applyNumberFormat="1" applyFont="1" applyAlignment="1"/>
    <xf numFmtId="7" fontId="71" fillId="0" borderId="58" xfId="21" applyNumberFormat="1" applyFont="1" applyFill="1" applyBorder="1" applyAlignment="1">
      <alignment horizontal="center"/>
    </xf>
    <xf numFmtId="5" fontId="54" fillId="6" borderId="38" xfId="0" applyNumberFormat="1" applyFont="1" applyFill="1" applyBorder="1" applyAlignment="1"/>
    <xf numFmtId="5" fontId="54" fillId="6" borderId="37" xfId="0" applyNumberFormat="1" applyFont="1" applyFill="1" applyBorder="1" applyAlignment="1"/>
    <xf numFmtId="5" fontId="72" fillId="0" borderId="60" xfId="28" applyNumberFormat="1" applyFont="1" applyFill="1" applyBorder="1" applyAlignment="1">
      <alignment wrapText="1"/>
    </xf>
    <xf numFmtId="5" fontId="72" fillId="0" borderId="73" xfId="28" applyNumberFormat="1" applyFont="1" applyFill="1" applyBorder="1" applyAlignment="1">
      <alignment wrapText="1"/>
    </xf>
    <xf numFmtId="5" fontId="72" fillId="0" borderId="37" xfId="28" applyNumberFormat="1" applyFont="1" applyBorder="1" applyAlignment="1"/>
    <xf numFmtId="5" fontId="72" fillId="0" borderId="38" xfId="28" applyNumberFormat="1" applyFont="1" applyBorder="1" applyAlignment="1"/>
    <xf numFmtId="5" fontId="72" fillId="0" borderId="72" xfId="28" applyNumberFormat="1" applyFont="1" applyFill="1" applyBorder="1" applyAlignment="1">
      <alignment wrapText="1"/>
    </xf>
    <xf numFmtId="5" fontId="71" fillId="6" borderId="72" xfId="34" applyNumberFormat="1" applyFont="1" applyFill="1" applyBorder="1" applyAlignment="1">
      <alignment wrapText="1"/>
    </xf>
    <xf numFmtId="5" fontId="71" fillId="6" borderId="60" xfId="34" applyNumberFormat="1" applyFont="1" applyFill="1" applyBorder="1" applyAlignment="1">
      <alignment wrapText="1"/>
    </xf>
    <xf numFmtId="5" fontId="71" fillId="6" borderId="73" xfId="34" applyNumberFormat="1" applyFont="1" applyFill="1" applyBorder="1" applyAlignment="1">
      <alignment wrapText="1"/>
    </xf>
    <xf numFmtId="5" fontId="71" fillId="6" borderId="74" xfId="34" applyNumberFormat="1" applyFont="1" applyFill="1" applyBorder="1" applyAlignment="1">
      <alignment wrapText="1"/>
    </xf>
    <xf numFmtId="5" fontId="72" fillId="0" borderId="72" xfId="34" applyNumberFormat="1" applyFont="1" applyFill="1" applyBorder="1" applyAlignment="1">
      <alignment wrapText="1"/>
    </xf>
    <xf numFmtId="5" fontId="72" fillId="0" borderId="73" xfId="34" applyNumberFormat="1" applyFont="1" applyFill="1" applyBorder="1" applyAlignment="1">
      <alignment wrapText="1"/>
    </xf>
    <xf numFmtId="5" fontId="72" fillId="0" borderId="74" xfId="34" applyNumberFormat="1" applyFont="1" applyFill="1" applyBorder="1" applyAlignment="1">
      <alignment wrapText="1"/>
    </xf>
    <xf numFmtId="5" fontId="72" fillId="0" borderId="72" xfId="3" applyNumberFormat="1" applyFont="1" applyFill="1" applyBorder="1" applyAlignment="1">
      <alignment wrapText="1"/>
    </xf>
    <xf numFmtId="5" fontId="72" fillId="0" borderId="37" xfId="3" applyNumberFormat="1" applyFont="1" applyBorder="1" applyAlignment="1"/>
    <xf numFmtId="5" fontId="54" fillId="6" borderId="22" xfId="0" applyNumberFormat="1" applyFont="1" applyFill="1" applyBorder="1" applyAlignment="1"/>
    <xf numFmtId="5" fontId="54" fillId="6" borderId="24" xfId="0" applyNumberFormat="1" applyFont="1" applyFill="1" applyBorder="1" applyAlignment="1"/>
    <xf numFmtId="5" fontId="54" fillId="6" borderId="23" xfId="0" applyNumberFormat="1" applyFont="1" applyFill="1" applyBorder="1" applyAlignment="1"/>
    <xf numFmtId="5" fontId="54" fillId="6" borderId="3" xfId="0" applyNumberFormat="1" applyFont="1" applyFill="1" applyBorder="1" applyAlignment="1"/>
    <xf numFmtId="5" fontId="54" fillId="6" borderId="3" xfId="3" applyNumberFormat="1" applyFont="1" applyFill="1" applyBorder="1" applyAlignment="1"/>
    <xf numFmtId="5" fontId="75" fillId="0" borderId="22" xfId="0" applyNumberFormat="1" applyFont="1" applyBorder="1" applyAlignment="1"/>
    <xf numFmtId="5" fontId="75" fillId="0" borderId="24" xfId="0" applyNumberFormat="1" applyFont="1" applyBorder="1" applyAlignment="1"/>
    <xf numFmtId="5" fontId="75" fillId="0" borderId="23" xfId="0" applyNumberFormat="1" applyFont="1" applyBorder="1" applyAlignment="1"/>
    <xf numFmtId="5" fontId="72" fillId="0" borderId="84" xfId="26" applyNumberFormat="1" applyFont="1" applyFill="1" applyBorder="1" applyAlignment="1">
      <alignment wrapText="1"/>
    </xf>
    <xf numFmtId="5" fontId="72" fillId="0" borderId="84" xfId="3" applyNumberFormat="1" applyFont="1" applyFill="1" applyBorder="1" applyAlignment="1">
      <alignment wrapText="1"/>
    </xf>
    <xf numFmtId="5" fontId="72" fillId="0" borderId="3" xfId="3" applyNumberFormat="1" applyFont="1" applyBorder="1" applyAlignment="1"/>
    <xf numFmtId="5" fontId="35" fillId="0" borderId="0" xfId="30" applyNumberFormat="1" applyFont="1" applyBorder="1" applyAlignment="1"/>
    <xf numFmtId="5" fontId="35" fillId="0" borderId="82" xfId="30" applyNumberFormat="1" applyFont="1" applyBorder="1" applyAlignment="1"/>
    <xf numFmtId="167" fontId="32" fillId="0" borderId="99" xfId="30" applyNumberFormat="1" applyFont="1" applyFill="1" applyBorder="1" applyAlignment="1">
      <alignment wrapText="1"/>
    </xf>
    <xf numFmtId="167" fontId="35" fillId="0" borderId="0" xfId="30" applyNumberFormat="1" applyFont="1" applyBorder="1" applyAlignment="1"/>
    <xf numFmtId="167" fontId="28" fillId="0" borderId="99" xfId="30" applyNumberFormat="1" applyFont="1" applyFill="1" applyBorder="1" applyAlignment="1">
      <alignment wrapText="1"/>
    </xf>
    <xf numFmtId="167" fontId="28" fillId="0" borderId="0" xfId="30" applyNumberFormat="1" applyFont="1" applyBorder="1" applyAlignment="1"/>
    <xf numFmtId="167" fontId="35" fillId="0" borderId="82" xfId="30" applyNumberFormat="1" applyFont="1" applyBorder="1" applyAlignment="1"/>
    <xf numFmtId="167" fontId="72" fillId="0" borderId="0" xfId="30" applyNumberFormat="1" applyFont="1" applyBorder="1" applyAlignment="1"/>
    <xf numFmtId="167" fontId="72" fillId="0" borderId="82" xfId="30" applyNumberFormat="1" applyFont="1" applyBorder="1" applyAlignment="1"/>
    <xf numFmtId="167" fontId="71" fillId="0" borderId="2" xfId="25" applyNumberFormat="1" applyFont="1" applyFill="1" applyBorder="1" applyAlignment="1">
      <alignment horizontal="center"/>
    </xf>
    <xf numFmtId="167" fontId="35" fillId="0" borderId="0" xfId="30" applyNumberFormat="1" applyFont="1" applyBorder="1"/>
    <xf numFmtId="167" fontId="35" fillId="0" borderId="82" xfId="30" applyNumberFormat="1" applyFont="1" applyBorder="1"/>
    <xf numFmtId="167" fontId="72" fillId="0" borderId="0" xfId="16" applyNumberFormat="1" applyFont="1"/>
    <xf numFmtId="167" fontId="81" fillId="0" borderId="0" xfId="14" applyNumberFormat="1" applyFont="1"/>
    <xf numFmtId="167" fontId="32" fillId="0" borderId="99" xfId="30" applyNumberFormat="1" applyFont="1" applyFill="1" applyBorder="1" applyAlignment="1">
      <alignment horizontal="right" wrapText="1"/>
    </xf>
    <xf numFmtId="5" fontId="32" fillId="0" borderId="99" xfId="30" applyNumberFormat="1" applyFont="1" applyFill="1" applyBorder="1" applyAlignment="1">
      <alignment horizontal="right" wrapText="1"/>
    </xf>
    <xf numFmtId="167" fontId="32" fillId="0" borderId="1" xfId="31" applyNumberFormat="1" applyFont="1" applyFill="1" applyBorder="1" applyAlignment="1">
      <alignment horizontal="right" wrapText="1"/>
    </xf>
    <xf numFmtId="167" fontId="75" fillId="0" borderId="0" xfId="3" applyNumberFormat="1" applyFont="1"/>
    <xf numFmtId="0" fontId="47" fillId="0" borderId="0" xfId="0" applyFont="1" applyBorder="1"/>
    <xf numFmtId="167" fontId="73" fillId="0" borderId="0" xfId="0" applyNumberFormat="1" applyFont="1"/>
    <xf numFmtId="0" fontId="86" fillId="0" borderId="0" xfId="36" applyFont="1" applyFill="1" applyBorder="1" applyAlignment="1">
      <alignment horizontal="center"/>
    </xf>
    <xf numFmtId="0" fontId="86" fillId="0" borderId="4" xfId="36" applyFont="1" applyFill="1" applyBorder="1" applyAlignment="1">
      <alignment horizontal="center"/>
    </xf>
    <xf numFmtId="0" fontId="87" fillId="0" borderId="85" xfId="23" applyFont="1" applyFill="1" applyBorder="1" applyAlignment="1">
      <alignment horizontal="center" wrapText="1"/>
    </xf>
    <xf numFmtId="0" fontId="87" fillId="0" borderId="89" xfId="35" applyFont="1" applyFill="1" applyBorder="1" applyAlignment="1">
      <alignment horizontal="left"/>
    </xf>
    <xf numFmtId="0" fontId="87" fillId="0" borderId="100" xfId="35" applyFont="1" applyFill="1" applyBorder="1" applyAlignment="1">
      <alignment horizontal="center" wrapText="1"/>
    </xf>
    <xf numFmtId="0" fontId="87" fillId="0" borderId="95" xfId="35" applyFont="1" applyFill="1" applyBorder="1" applyAlignment="1">
      <alignment horizontal="center" wrapText="1"/>
    </xf>
    <xf numFmtId="0" fontId="87" fillId="0" borderId="101" xfId="35" applyFont="1" applyFill="1" applyBorder="1" applyAlignment="1">
      <alignment horizontal="center" wrapText="1"/>
    </xf>
    <xf numFmtId="0" fontId="87" fillId="0" borderId="98" xfId="35" applyFont="1" applyFill="1" applyBorder="1" applyAlignment="1">
      <alignment horizontal="center" wrapText="1"/>
    </xf>
    <xf numFmtId="0" fontId="87" fillId="22" borderId="69" xfId="23" applyFont="1" applyFill="1" applyBorder="1" applyAlignment="1">
      <alignment horizontal="center"/>
    </xf>
    <xf numFmtId="0" fontId="87" fillId="6" borderId="102" xfId="35" applyFont="1" applyFill="1" applyBorder="1" applyAlignment="1">
      <alignment wrapText="1"/>
    </xf>
    <xf numFmtId="0" fontId="87" fillId="6" borderId="69" xfId="35" applyFont="1" applyFill="1" applyBorder="1" applyAlignment="1">
      <alignment wrapText="1"/>
    </xf>
    <xf numFmtId="167" fontId="87" fillId="6" borderId="75" xfId="3" applyNumberFormat="1" applyFont="1" applyFill="1" applyBorder="1" applyAlignment="1">
      <alignment horizontal="right" wrapText="1"/>
    </xf>
    <xf numFmtId="167" fontId="87" fillId="6" borderId="58" xfId="3" applyNumberFormat="1" applyFont="1" applyFill="1" applyBorder="1" applyAlignment="1">
      <alignment horizontal="right" wrapText="1"/>
    </xf>
    <xf numFmtId="167" fontId="87" fillId="6" borderId="59" xfId="3" applyNumberFormat="1" applyFont="1" applyFill="1" applyBorder="1" applyAlignment="1">
      <alignment horizontal="right" wrapText="1"/>
    </xf>
    <xf numFmtId="167" fontId="87" fillId="6" borderId="76" xfId="3" applyNumberFormat="1" applyFont="1" applyFill="1" applyBorder="1" applyAlignment="1">
      <alignment horizontal="right" wrapText="1"/>
    </xf>
    <xf numFmtId="0" fontId="86" fillId="0" borderId="103" xfId="23" applyFont="1" applyFill="1" applyBorder="1" applyAlignment="1">
      <alignment horizontal="center" wrapText="1"/>
    </xf>
    <xf numFmtId="167" fontId="86" fillId="0" borderId="43" xfId="35" applyNumberFormat="1" applyFont="1" applyFill="1" applyBorder="1" applyAlignment="1">
      <alignment wrapText="1"/>
    </xf>
    <xf numFmtId="167" fontId="86" fillId="0" borderId="37" xfId="3" applyNumberFormat="1" applyFont="1" applyFill="1" applyBorder="1" applyAlignment="1">
      <alignment wrapText="1"/>
    </xf>
    <xf numFmtId="167" fontId="86" fillId="0" borderId="38" xfId="3" applyNumberFormat="1" applyFont="1" applyFill="1" applyBorder="1" applyAlignment="1">
      <alignment wrapText="1"/>
    </xf>
    <xf numFmtId="167" fontId="86" fillId="0" borderId="37" xfId="36" applyNumberFormat="1" applyFont="1" applyFill="1" applyBorder="1" applyAlignment="1">
      <alignment horizontal="right" wrapText="1"/>
    </xf>
    <xf numFmtId="167" fontId="86" fillId="0" borderId="38" xfId="36" applyNumberFormat="1" applyFont="1" applyFill="1" applyBorder="1" applyAlignment="1">
      <alignment horizontal="right" wrapText="1"/>
    </xf>
    <xf numFmtId="167" fontId="86" fillId="0" borderId="61" xfId="36" applyNumberFormat="1" applyFont="1" applyFill="1" applyBorder="1" applyAlignment="1">
      <alignment horizontal="right" wrapText="1"/>
    </xf>
    <xf numFmtId="167" fontId="86" fillId="0" borderId="39" xfId="36" applyNumberFormat="1" applyFont="1" applyFill="1" applyBorder="1" applyAlignment="1">
      <alignment horizontal="right" wrapText="1"/>
    </xf>
    <xf numFmtId="167" fontId="86" fillId="0" borderId="37" xfId="36" applyNumberFormat="1" applyFont="1" applyBorder="1"/>
    <xf numFmtId="167" fontId="86" fillId="0" borderId="38" xfId="36" applyNumberFormat="1" applyFont="1" applyBorder="1"/>
    <xf numFmtId="167" fontId="86" fillId="0" borderId="39" xfId="36" applyNumberFormat="1" applyFont="1" applyBorder="1"/>
    <xf numFmtId="167" fontId="73" fillId="0" borderId="104" xfId="0" applyNumberFormat="1" applyFont="1" applyBorder="1"/>
    <xf numFmtId="167" fontId="73" fillId="0" borderId="38" xfId="0" applyNumberFormat="1" applyFont="1" applyBorder="1"/>
    <xf numFmtId="167" fontId="73" fillId="0" borderId="37" xfId="0" applyNumberFormat="1" applyFont="1" applyBorder="1"/>
    <xf numFmtId="167" fontId="73" fillId="0" borderId="61" xfId="0" applyNumberFormat="1" applyFont="1" applyBorder="1"/>
    <xf numFmtId="167" fontId="73" fillId="0" borderId="0" xfId="0" applyNumberFormat="1" applyFont="1" applyBorder="1"/>
    <xf numFmtId="0" fontId="86" fillId="0" borderId="0" xfId="16" applyFont="1"/>
    <xf numFmtId="0" fontId="86" fillId="0" borderId="0" xfId="16" applyFont="1" applyAlignment="1">
      <alignment horizontal="left"/>
    </xf>
    <xf numFmtId="3" fontId="86" fillId="0" borderId="0" xfId="16" applyNumberFormat="1" applyFont="1"/>
    <xf numFmtId="167" fontId="88" fillId="0" borderId="37" xfId="38" applyNumberFormat="1" applyFont="1" applyBorder="1"/>
    <xf numFmtId="167" fontId="88" fillId="0" borderId="38" xfId="38" applyNumberFormat="1" applyFont="1" applyBorder="1"/>
    <xf numFmtId="167" fontId="88" fillId="0" borderId="39" xfId="38" applyNumberFormat="1" applyFont="1" applyBorder="1"/>
    <xf numFmtId="167" fontId="88" fillId="0" borderId="37" xfId="38" applyNumberFormat="1" applyFont="1" applyFill="1" applyBorder="1" applyAlignment="1">
      <alignment horizontal="right" wrapText="1"/>
    </xf>
    <xf numFmtId="167" fontId="88" fillId="0" borderId="38" xfId="38" applyNumberFormat="1" applyFont="1" applyFill="1" applyBorder="1" applyAlignment="1">
      <alignment horizontal="right" wrapText="1"/>
    </xf>
    <xf numFmtId="5" fontId="88" fillId="0" borderId="39" xfId="38" applyNumberFormat="1" applyFont="1" applyFill="1" applyBorder="1" applyAlignment="1">
      <alignment horizontal="right" wrapText="1"/>
    </xf>
    <xf numFmtId="0" fontId="89" fillId="0" borderId="85" xfId="37" applyFont="1" applyFill="1" applyBorder="1" applyAlignment="1">
      <alignment horizontal="left"/>
    </xf>
    <xf numFmtId="0" fontId="89" fillId="0" borderId="89" xfId="37" applyFont="1" applyFill="1" applyBorder="1" applyAlignment="1">
      <alignment horizontal="left"/>
    </xf>
    <xf numFmtId="0" fontId="89" fillId="0" borderId="100" xfId="37" applyFont="1" applyFill="1" applyBorder="1" applyAlignment="1">
      <alignment horizontal="center" wrapText="1"/>
    </xf>
    <xf numFmtId="0" fontId="89" fillId="0" borderId="95" xfId="37" applyFont="1" applyFill="1" applyBorder="1" applyAlignment="1">
      <alignment horizontal="center" wrapText="1"/>
    </xf>
    <xf numFmtId="0" fontId="89" fillId="0" borderId="98" xfId="37" applyFont="1" applyFill="1" applyBorder="1" applyAlignment="1">
      <alignment horizontal="center" wrapText="1"/>
    </xf>
    <xf numFmtId="0" fontId="89" fillId="0" borderId="100" xfId="20" applyFont="1" applyFill="1" applyBorder="1" applyAlignment="1">
      <alignment horizontal="center" wrapText="1"/>
    </xf>
    <xf numFmtId="0" fontId="89" fillId="0" borderId="95" xfId="20" applyFont="1" applyFill="1" applyBorder="1" applyAlignment="1">
      <alignment horizontal="center" wrapText="1"/>
    </xf>
    <xf numFmtId="0" fontId="89" fillId="22" borderId="2" xfId="37" applyFont="1" applyFill="1" applyBorder="1" applyAlignment="1">
      <alignment horizontal="left"/>
    </xf>
    <xf numFmtId="0" fontId="89" fillId="22" borderId="6" xfId="37" applyFont="1" applyFill="1" applyBorder="1" applyAlignment="1">
      <alignment horizontal="left"/>
    </xf>
    <xf numFmtId="177" fontId="89" fillId="6" borderId="58" xfId="3" applyNumberFormat="1" applyFont="1" applyFill="1" applyBorder="1" applyAlignment="1">
      <alignment wrapText="1"/>
    </xf>
    <xf numFmtId="177" fontId="89" fillId="22" borderId="75" xfId="3" applyNumberFormat="1" applyFont="1" applyFill="1" applyBorder="1" applyAlignment="1">
      <alignment horizontal="center"/>
    </xf>
    <xf numFmtId="177" fontId="89" fillId="22" borderId="58" xfId="3" applyNumberFormat="1" applyFont="1" applyFill="1" applyBorder="1" applyAlignment="1">
      <alignment horizontal="center"/>
    </xf>
    <xf numFmtId="177" fontId="89" fillId="22" borderId="76" xfId="3" applyNumberFormat="1" applyFont="1" applyFill="1" applyBorder="1" applyAlignment="1">
      <alignment horizontal="center"/>
    </xf>
    <xf numFmtId="167" fontId="88" fillId="0" borderId="3" xfId="37" applyNumberFormat="1" applyFont="1" applyFill="1" applyBorder="1" applyAlignment="1">
      <alignment wrapText="1"/>
    </xf>
    <xf numFmtId="5" fontId="88" fillId="0" borderId="103" xfId="38" applyNumberFormat="1" applyFont="1" applyFill="1" applyBorder="1" applyAlignment="1">
      <alignment horizontal="right" wrapText="1"/>
    </xf>
    <xf numFmtId="5" fontId="88" fillId="0" borderId="43" xfId="38" applyNumberFormat="1" applyFont="1" applyFill="1" applyBorder="1" applyAlignment="1">
      <alignment horizontal="right" wrapText="1"/>
    </xf>
    <xf numFmtId="177" fontId="88" fillId="0" borderId="3" xfId="3" applyNumberFormat="1" applyFont="1" applyFill="1" applyBorder="1" applyAlignment="1">
      <alignment wrapText="1"/>
    </xf>
    <xf numFmtId="0" fontId="47" fillId="0" borderId="12" xfId="0" applyFont="1" applyBorder="1"/>
    <xf numFmtId="167" fontId="28" fillId="0" borderId="0" xfId="30" applyNumberFormat="1" applyFont="1" applyFill="1" applyBorder="1" applyAlignment="1">
      <alignment wrapText="1"/>
    </xf>
    <xf numFmtId="167" fontId="32" fillId="0" borderId="88" xfId="30" applyNumberFormat="1" applyFont="1" applyFill="1" applyBorder="1" applyAlignment="1">
      <alignment horizontal="right" wrapText="1"/>
    </xf>
    <xf numFmtId="167" fontId="32" fillId="0" borderId="0" xfId="30" applyNumberFormat="1" applyFont="1" applyFill="1" applyBorder="1" applyAlignment="1">
      <alignment horizontal="right" wrapText="1"/>
    </xf>
    <xf numFmtId="49" fontId="43" fillId="0" borderId="0" xfId="9" applyNumberFormat="1" applyFont="1" applyAlignment="1">
      <alignment horizontal="center"/>
    </xf>
    <xf numFmtId="0" fontId="43" fillId="0" borderId="0" xfId="9" applyFont="1" applyAlignment="1">
      <alignment horizontal="center"/>
    </xf>
    <xf numFmtId="49" fontId="47" fillId="0" borderId="0" xfId="9" applyNumberFormat="1" applyAlignment="1">
      <alignment horizontal="center"/>
    </xf>
    <xf numFmtId="0" fontId="47" fillId="0" borderId="0" xfId="9"/>
    <xf numFmtId="171" fontId="44" fillId="0" borderId="0" xfId="2" applyNumberFormat="1" applyFont="1"/>
    <xf numFmtId="171" fontId="42" fillId="0" borderId="0" xfId="1" applyNumberFormat="1" applyFont="1"/>
    <xf numFmtId="0" fontId="47" fillId="0" borderId="0" xfId="9" applyFont="1"/>
    <xf numFmtId="49" fontId="90" fillId="0" borderId="0" xfId="9" applyNumberFormat="1" applyFont="1" applyAlignment="1">
      <alignment horizontal="left"/>
    </xf>
    <xf numFmtId="49" fontId="43" fillId="8" borderId="0" xfId="9" applyNumberFormat="1" applyFont="1" applyFill="1" applyAlignment="1">
      <alignment horizontal="center"/>
    </xf>
    <xf numFmtId="0" fontId="43" fillId="8" borderId="0" xfId="9" applyFont="1" applyFill="1" applyAlignment="1">
      <alignment horizontal="center"/>
    </xf>
    <xf numFmtId="171" fontId="91" fillId="0" borderId="0" xfId="2" applyNumberFormat="1" applyFont="1" applyAlignment="1">
      <alignment horizontal="center"/>
    </xf>
    <xf numFmtId="171" fontId="91" fillId="24" borderId="0" xfId="1" applyNumberFormat="1" applyFont="1" applyFill="1" applyAlignment="1">
      <alignment horizontal="center"/>
    </xf>
    <xf numFmtId="171" fontId="91" fillId="0" borderId="0" xfId="1" applyNumberFormat="1" applyFont="1" applyAlignment="1">
      <alignment horizontal="center"/>
    </xf>
    <xf numFmtId="0" fontId="68" fillId="0" borderId="0" xfId="9" applyFont="1" applyAlignment="1">
      <alignment horizontal="left" vertical="top" wrapText="1"/>
    </xf>
    <xf numFmtId="0" fontId="68" fillId="0" borderId="0" xfId="9" applyFont="1" applyAlignment="1">
      <alignment horizontal="left" vertical="top" wrapText="1"/>
    </xf>
    <xf numFmtId="0" fontId="68" fillId="0" borderId="0" xfId="9" applyFont="1" applyBorder="1" applyAlignment="1">
      <alignment horizontal="left"/>
    </xf>
    <xf numFmtId="49" fontId="63" fillId="0" borderId="0" xfId="9" applyNumberFormat="1" applyFont="1" applyBorder="1" applyAlignment="1">
      <alignment horizontal="center"/>
    </xf>
    <xf numFmtId="0" fontId="63" fillId="0" borderId="0" xfId="9" applyFont="1" applyBorder="1" applyAlignment="1">
      <alignment horizontal="left" wrapText="1"/>
    </xf>
    <xf numFmtId="3" fontId="63" fillId="0" borderId="0" xfId="9" applyNumberFormat="1" applyFont="1" applyBorder="1" applyAlignment="1">
      <alignment horizontal="right" indent="1"/>
    </xf>
    <xf numFmtId="3" fontId="63" fillId="0" borderId="0" xfId="9" applyNumberFormat="1" applyFont="1" applyBorder="1" applyAlignment="1">
      <alignment horizontal="right" indent="2"/>
    </xf>
    <xf numFmtId="0" fontId="68" fillId="0" borderId="12" xfId="9" applyFont="1" applyBorder="1" applyAlignment="1">
      <alignment wrapText="1"/>
    </xf>
    <xf numFmtId="0" fontId="68" fillId="0" borderId="12" xfId="9" applyFont="1" applyBorder="1" applyAlignment="1">
      <alignment horizontal="center" wrapText="1"/>
    </xf>
    <xf numFmtId="3" fontId="63" fillId="0" borderId="12" xfId="9" applyNumberFormat="1" applyFont="1" applyBorder="1" applyAlignment="1">
      <alignment horizontal="right" indent="1"/>
    </xf>
    <xf numFmtId="0" fontId="68" fillId="0" borderId="0" xfId="9" applyFont="1" applyBorder="1" applyAlignment="1"/>
    <xf numFmtId="0" fontId="71" fillId="0" borderId="12" xfId="14" applyFont="1" applyFill="1" applyBorder="1" applyAlignment="1">
      <alignment horizontal="center"/>
    </xf>
    <xf numFmtId="3" fontId="75" fillId="0" borderId="12" xfId="0" applyNumberFormat="1" applyFont="1" applyBorder="1"/>
    <xf numFmtId="3" fontId="72" fillId="0" borderId="24" xfId="33" applyNumberFormat="1" applyFont="1" applyFill="1" applyBorder="1" applyAlignment="1">
      <alignment horizontal="right" wrapText="1"/>
    </xf>
    <xf numFmtId="3" fontId="72" fillId="0" borderId="0" xfId="16" applyNumberFormat="1" applyFont="1" applyBorder="1"/>
    <xf numFmtId="0" fontId="71" fillId="0" borderId="48" xfId="33" applyFont="1" applyFill="1" applyBorder="1" applyAlignment="1">
      <alignment horizontal="center" wrapText="1"/>
    </xf>
    <xf numFmtId="0" fontId="59" fillId="0" borderId="0" xfId="0" applyFont="1" applyBorder="1" applyAlignment="1">
      <alignment horizontal="left" vertical="top" wrapText="1"/>
    </xf>
    <xf numFmtId="0" fontId="56" fillId="0" borderId="0" xfId="0" applyFont="1" applyFill="1" applyBorder="1" applyAlignment="1">
      <alignment horizontal="left"/>
    </xf>
    <xf numFmtId="0" fontId="28" fillId="0" borderId="0" xfId="15" applyFont="1" applyAlignment="1">
      <alignment horizontal="left" wrapText="1"/>
    </xf>
    <xf numFmtId="0" fontId="75" fillId="0" borderId="0" xfId="15" applyFont="1" applyAlignment="1">
      <alignment horizontal="left" wrapText="1"/>
    </xf>
    <xf numFmtId="0" fontId="26" fillId="0" borderId="0" xfId="9" applyFont="1"/>
    <xf numFmtId="3" fontId="75" fillId="23" borderId="0" xfId="0" applyNumberFormat="1" applyFont="1" applyFill="1"/>
    <xf numFmtId="9" fontId="75" fillId="23" borderId="34" xfId="39" applyFont="1" applyFill="1" applyBorder="1"/>
    <xf numFmtId="9" fontId="75" fillId="23" borderId="0" xfId="39" applyFont="1" applyFill="1" applyBorder="1"/>
    <xf numFmtId="9" fontId="75" fillId="23" borderId="33" xfId="39" applyFont="1" applyFill="1" applyBorder="1"/>
    <xf numFmtId="9" fontId="75" fillId="23" borderId="0" xfId="39" applyFont="1" applyFill="1"/>
    <xf numFmtId="171" fontId="71" fillId="23" borderId="22" xfId="1" applyNumberFormat="1" applyFont="1" applyFill="1" applyBorder="1" applyAlignment="1">
      <alignment horizontal="center" wrapText="1"/>
    </xf>
    <xf numFmtId="171" fontId="71" fillId="23" borderId="24" xfId="1" applyNumberFormat="1" applyFont="1" applyFill="1" applyBorder="1" applyAlignment="1">
      <alignment horizontal="center" wrapText="1"/>
    </xf>
    <xf numFmtId="3" fontId="71" fillId="23" borderId="22" xfId="14" applyNumberFormat="1" applyFont="1" applyFill="1" applyBorder="1" applyAlignment="1">
      <alignment horizontal="right" wrapText="1"/>
    </xf>
    <xf numFmtId="3" fontId="71" fillId="23" borderId="24" xfId="14" applyNumberFormat="1" applyFont="1" applyFill="1" applyBorder="1" applyAlignment="1">
      <alignment horizontal="right" wrapText="1"/>
    </xf>
    <xf numFmtId="3" fontId="71" fillId="23" borderId="53" xfId="14" applyNumberFormat="1" applyFont="1" applyFill="1" applyBorder="1" applyAlignment="1">
      <alignment horizontal="right" wrapText="1"/>
    </xf>
    <xf numFmtId="171" fontId="69" fillId="23" borderId="22" xfId="1" applyNumberFormat="1" applyFont="1" applyFill="1" applyBorder="1"/>
    <xf numFmtId="3" fontId="54" fillId="23" borderId="24" xfId="0" applyNumberFormat="1" applyFont="1" applyFill="1" applyBorder="1"/>
    <xf numFmtId="0" fontId="71" fillId="23" borderId="0" xfId="14" quotePrefix="1" applyFont="1" applyFill="1" applyBorder="1" applyAlignment="1">
      <alignment horizontal="right" wrapText="1" indent="1"/>
    </xf>
    <xf numFmtId="0" fontId="71" fillId="23" borderId="0" xfId="14" applyFont="1" applyFill="1" applyBorder="1" applyAlignment="1">
      <alignment horizontal="left" wrapText="1"/>
    </xf>
    <xf numFmtId="0" fontId="71" fillId="23" borderId="0" xfId="14" applyFont="1" applyFill="1" applyBorder="1" applyAlignment="1">
      <alignment horizontal="center" wrapText="1"/>
    </xf>
    <xf numFmtId="164" fontId="71" fillId="23" borderId="22" xfId="14" applyNumberFormat="1" applyFont="1" applyFill="1" applyBorder="1" applyAlignment="1">
      <alignment horizontal="center" wrapText="1"/>
    </xf>
    <xf numFmtId="164" fontId="71" fillId="23" borderId="53" xfId="14" applyNumberFormat="1" applyFont="1" applyFill="1" applyBorder="1" applyAlignment="1">
      <alignment horizontal="center" wrapText="1"/>
    </xf>
    <xf numFmtId="164" fontId="71" fillId="23" borderId="24" xfId="14" applyNumberFormat="1" applyFont="1" applyFill="1" applyBorder="1" applyAlignment="1">
      <alignment horizontal="center" wrapText="1"/>
    </xf>
    <xf numFmtId="164" fontId="71" fillId="23" borderId="23" xfId="14" applyNumberFormat="1" applyFont="1" applyFill="1" applyBorder="1" applyAlignment="1">
      <alignment horizontal="center" wrapText="1"/>
    </xf>
    <xf numFmtId="164" fontId="71" fillId="23" borderId="30" xfId="14" applyNumberFormat="1" applyFont="1" applyFill="1" applyBorder="1" applyAlignment="1">
      <alignment horizontal="center" wrapText="1"/>
    </xf>
    <xf numFmtId="9" fontId="96" fillId="0" borderId="0" xfId="39" applyFont="1" applyAlignment="1">
      <alignment vertical="center"/>
    </xf>
    <xf numFmtId="0" fontId="67" fillId="0" borderId="0" xfId="0" applyFont="1" applyFill="1" applyBorder="1" applyAlignment="1">
      <alignment vertical="center" wrapText="1"/>
    </xf>
    <xf numFmtId="171" fontId="97" fillId="0" borderId="0" xfId="1" applyNumberFormat="1" applyFont="1" applyFill="1" applyAlignment="1">
      <alignment vertical="center"/>
    </xf>
    <xf numFmtId="0" fontId="57" fillId="0" borderId="0" xfId="0" applyFont="1" applyFill="1" applyBorder="1" applyAlignment="1">
      <alignment vertical="center"/>
    </xf>
    <xf numFmtId="171" fontId="56" fillId="0" borderId="0" xfId="1" applyNumberFormat="1" applyFont="1" applyFill="1" applyBorder="1"/>
    <xf numFmtId="0" fontId="59" fillId="0" borderId="0" xfId="0" applyFont="1" applyBorder="1" applyAlignment="1">
      <alignment horizontal="center" vertical="top" wrapText="1"/>
    </xf>
    <xf numFmtId="3" fontId="54" fillId="6" borderId="30" xfId="15" applyNumberFormat="1" applyFont="1" applyFill="1" applyBorder="1"/>
    <xf numFmtId="0" fontId="59" fillId="0" borderId="12" xfId="0" applyFont="1" applyBorder="1" applyAlignment="1">
      <alignment vertical="top" wrapText="1"/>
    </xf>
    <xf numFmtId="3" fontId="56" fillId="0" borderId="0" xfId="0" applyNumberFormat="1" applyFont="1" applyBorder="1" applyAlignment="1">
      <alignment horizontal="right" indent="1"/>
    </xf>
    <xf numFmtId="3" fontId="56" fillId="0" borderId="34" xfId="0" applyNumberFormat="1" applyFont="1" applyFill="1" applyBorder="1" applyAlignment="1">
      <alignment horizontal="right" indent="1"/>
    </xf>
    <xf numFmtId="3" fontId="56" fillId="0" borderId="0" xfId="1" applyNumberFormat="1" applyFont="1" applyFill="1" applyBorder="1" applyAlignment="1">
      <alignment horizontal="right" indent="1"/>
    </xf>
    <xf numFmtId="0" fontId="56" fillId="0" borderId="36" xfId="0" applyFont="1" applyFill="1" applyBorder="1" applyAlignment="1">
      <alignment horizontal="left"/>
    </xf>
    <xf numFmtId="0" fontId="57" fillId="18" borderId="78" xfId="0" applyFont="1" applyFill="1" applyBorder="1" applyAlignment="1">
      <alignment horizontal="center"/>
    </xf>
    <xf numFmtId="3" fontId="56" fillId="0" borderId="33" xfId="0" applyNumberFormat="1" applyFont="1" applyFill="1" applyBorder="1" applyAlignment="1">
      <alignment horizontal="right" indent="1"/>
    </xf>
    <xf numFmtId="3" fontId="56" fillId="0" borderId="16" xfId="0" applyNumberFormat="1" applyFont="1" applyFill="1" applyBorder="1" applyAlignment="1">
      <alignment horizontal="right" indent="1"/>
    </xf>
    <xf numFmtId="49" fontId="83" fillId="0" borderId="0" xfId="19" applyNumberFormat="1" applyFont="1" applyBorder="1" applyAlignment="1">
      <alignment horizontal="center" wrapText="1"/>
    </xf>
    <xf numFmtId="0" fontId="28" fillId="0" borderId="0" xfId="0" applyFont="1" applyAlignment="1">
      <alignment horizontal="left" vertical="top" wrapText="1"/>
    </xf>
    <xf numFmtId="0" fontId="28" fillId="0" borderId="0" xfId="15" applyFont="1" applyAlignment="1">
      <alignment horizontal="left" wrapText="1"/>
    </xf>
    <xf numFmtId="3" fontId="56" fillId="0" borderId="45" xfId="0" applyNumberFormat="1" applyFont="1" applyFill="1" applyBorder="1" applyAlignment="1">
      <alignment horizontal="right" indent="1"/>
    </xf>
    <xf numFmtId="3" fontId="56" fillId="0" borderId="44" xfId="0" applyNumberFormat="1" applyFont="1" applyFill="1" applyBorder="1" applyAlignment="1">
      <alignment horizontal="right" indent="1"/>
    </xf>
    <xf numFmtId="3" fontId="56" fillId="0" borderId="92" xfId="0" applyNumberFormat="1" applyFont="1" applyFill="1" applyBorder="1" applyAlignment="1">
      <alignment horizontal="right" indent="1"/>
    </xf>
    <xf numFmtId="0" fontId="106" fillId="7" borderId="151" xfId="0" applyFont="1" applyFill="1" applyBorder="1" applyAlignment="1"/>
    <xf numFmtId="0" fontId="107" fillId="0" borderId="34" xfId="0" applyFont="1" applyFill="1" applyBorder="1" applyAlignment="1"/>
    <xf numFmtId="0" fontId="107" fillId="0" borderId="36" xfId="0" applyFont="1" applyFill="1" applyBorder="1" applyAlignment="1"/>
    <xf numFmtId="0" fontId="108" fillId="0" borderId="0" xfId="0" applyFont="1" applyBorder="1" applyAlignment="1">
      <alignment horizontal="left" vertical="top" wrapText="1"/>
    </xf>
    <xf numFmtId="0" fontId="109" fillId="0" borderId="34" xfId="0" applyFont="1" applyFill="1" applyBorder="1" applyAlignment="1">
      <alignment vertical="center" wrapText="1"/>
    </xf>
    <xf numFmtId="0" fontId="106" fillId="0" borderId="34" xfId="0" applyFont="1" applyFill="1" applyBorder="1" applyAlignment="1"/>
    <xf numFmtId="37" fontId="106" fillId="7" borderId="139" xfId="1" applyNumberFormat="1" applyFont="1" applyFill="1" applyBorder="1" applyAlignment="1">
      <alignment horizontal="center"/>
    </xf>
    <xf numFmtId="9" fontId="106" fillId="7" borderId="139" xfId="39" applyNumberFormat="1" applyFont="1" applyFill="1" applyBorder="1" applyAlignment="1">
      <alignment horizontal="center"/>
    </xf>
    <xf numFmtId="9" fontId="106" fillId="7" borderId="139" xfId="39" applyFont="1" applyFill="1" applyBorder="1" applyAlignment="1">
      <alignment horizontal="center"/>
    </xf>
    <xf numFmtId="37" fontId="107" fillId="0" borderId="30" xfId="1" applyNumberFormat="1" applyFont="1" applyFill="1" applyBorder="1" applyAlignment="1">
      <alignment horizontal="center"/>
    </xf>
    <xf numFmtId="9" fontId="107" fillId="0" borderId="30" xfId="39" applyNumberFormat="1" applyFont="1" applyFill="1" applyBorder="1" applyAlignment="1">
      <alignment horizontal="center"/>
    </xf>
    <xf numFmtId="9" fontId="107" fillId="0" borderId="30" xfId="39" applyFont="1" applyBorder="1" applyAlignment="1">
      <alignment horizontal="center"/>
    </xf>
    <xf numFmtId="37" fontId="107" fillId="0" borderId="31" xfId="1" applyNumberFormat="1" applyFont="1" applyFill="1" applyBorder="1" applyAlignment="1">
      <alignment horizontal="center"/>
    </xf>
    <xf numFmtId="9" fontId="107" fillId="0" borderId="31" xfId="39" applyNumberFormat="1" applyFont="1" applyFill="1" applyBorder="1" applyAlignment="1">
      <alignment horizontal="center"/>
    </xf>
    <xf numFmtId="9" fontId="107" fillId="0" borderId="31" xfId="39" applyFont="1" applyBorder="1" applyAlignment="1">
      <alignment horizontal="center"/>
    </xf>
    <xf numFmtId="0" fontId="69" fillId="23" borderId="163" xfId="19" quotePrefix="1" applyFont="1" applyFill="1" applyBorder="1" applyAlignment="1">
      <alignment horizontal="center" vertical="top"/>
    </xf>
    <xf numFmtId="49" fontId="83" fillId="23" borderId="164" xfId="19" applyNumberFormat="1" applyFont="1" applyFill="1" applyBorder="1" applyAlignment="1">
      <alignment vertical="top" wrapText="1"/>
    </xf>
    <xf numFmtId="49" fontId="83" fillId="23" borderId="163" xfId="19" applyNumberFormat="1" applyFont="1" applyFill="1" applyBorder="1" applyAlignment="1">
      <alignment vertical="top" wrapText="1"/>
    </xf>
    <xf numFmtId="3" fontId="83" fillId="23" borderId="163" xfId="19" applyNumberFormat="1" applyFont="1" applyFill="1" applyBorder="1" applyAlignment="1">
      <alignment vertical="top" wrapText="1"/>
    </xf>
    <xf numFmtId="3" fontId="69" fillId="8" borderId="163" xfId="19" applyNumberFormat="1" applyFont="1" applyFill="1" applyBorder="1" applyAlignment="1">
      <alignment vertical="top"/>
    </xf>
    <xf numFmtId="0" fontId="28" fillId="0" borderId="0" xfId="0" applyFont="1" applyAlignment="1">
      <alignment vertical="top" wrapText="1"/>
    </xf>
    <xf numFmtId="0" fontId="28" fillId="0" borderId="0" xfId="0" applyFont="1" applyAlignment="1">
      <alignment vertical="top"/>
    </xf>
    <xf numFmtId="0" fontId="54" fillId="0" borderId="165" xfId="15" applyFont="1" applyBorder="1" applyAlignment="1">
      <alignment horizontal="left" wrapText="1"/>
    </xf>
    <xf numFmtId="0" fontId="54" fillId="6" borderId="165" xfId="15" applyFont="1" applyFill="1" applyBorder="1" applyAlignment="1">
      <alignment horizontal="left" wrapText="1"/>
    </xf>
    <xf numFmtId="0" fontId="75" fillId="0" borderId="41" xfId="15" applyFont="1" applyFill="1" applyBorder="1" applyAlignment="1">
      <alignment vertical="top"/>
    </xf>
    <xf numFmtId="0" fontId="75" fillId="0" borderId="34" xfId="15" applyFont="1" applyFill="1" applyBorder="1" applyAlignment="1">
      <alignment vertical="top"/>
    </xf>
    <xf numFmtId="0" fontId="75" fillId="0" borderId="36" xfId="15" applyFont="1" applyFill="1" applyBorder="1" applyAlignment="1">
      <alignment vertical="top"/>
    </xf>
    <xf numFmtId="0" fontId="54" fillId="0" borderId="20" xfId="15" applyFont="1" applyFill="1" applyBorder="1" applyAlignment="1">
      <alignment horizontal="center" wrapText="1"/>
    </xf>
    <xf numFmtId="0" fontId="54" fillId="0" borderId="21" xfId="15" applyFont="1" applyFill="1" applyBorder="1" applyAlignment="1">
      <alignment horizontal="center" wrapText="1"/>
    </xf>
    <xf numFmtId="3" fontId="22" fillId="0" borderId="23" xfId="0" applyNumberFormat="1" applyFont="1" applyFill="1" applyBorder="1" applyAlignment="1" applyProtection="1">
      <alignment horizontal="right" vertical="center"/>
    </xf>
    <xf numFmtId="3" fontId="22" fillId="0" borderId="22" xfId="0" applyNumberFormat="1" applyFont="1" applyFill="1" applyBorder="1" applyAlignment="1" applyProtection="1">
      <alignment horizontal="right" vertical="center"/>
      <protection locked="0"/>
    </xf>
    <xf numFmtId="3" fontId="22" fillId="0" borderId="24" xfId="0" applyNumberFormat="1" applyFont="1" applyFill="1" applyBorder="1" applyAlignment="1" applyProtection="1">
      <alignment horizontal="right" vertical="center"/>
    </xf>
    <xf numFmtId="3" fontId="22" fillId="0" borderId="24" xfId="0" applyNumberFormat="1" applyFont="1" applyFill="1" applyBorder="1" applyAlignment="1" applyProtection="1">
      <alignment horizontal="right" vertical="center"/>
      <protection locked="0"/>
    </xf>
    <xf numFmtId="3" fontId="22" fillId="0" borderId="25" xfId="0" applyNumberFormat="1" applyFont="1" applyFill="1" applyBorder="1" applyAlignment="1" applyProtection="1">
      <alignment horizontal="right" vertical="center"/>
      <protection locked="0"/>
    </xf>
    <xf numFmtId="3" fontId="22" fillId="0" borderId="27" xfId="0" applyNumberFormat="1" applyFont="1" applyFill="1" applyBorder="1" applyAlignment="1" applyProtection="1">
      <alignment horizontal="right" vertical="center"/>
    </xf>
    <xf numFmtId="3" fontId="22" fillId="0" borderId="27"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xf>
    <xf numFmtId="173" fontId="22" fillId="0" borderId="29" xfId="0" applyNumberFormat="1" applyFont="1" applyFill="1" applyBorder="1" applyAlignment="1" applyProtection="1">
      <alignment vertical="center"/>
    </xf>
    <xf numFmtId="49" fontId="22" fillId="0" borderId="29" xfId="0" applyNumberFormat="1" applyFont="1" applyFill="1" applyBorder="1" applyAlignment="1">
      <alignment vertical="center"/>
    </xf>
    <xf numFmtId="3" fontId="22" fillId="0" borderId="24" xfId="39" applyNumberFormat="1" applyFont="1" applyFill="1" applyBorder="1" applyAlignment="1" applyProtection="1">
      <alignment horizontal="center" vertical="center"/>
    </xf>
    <xf numFmtId="3" fontId="24" fillId="6" borderId="166" xfId="0" applyNumberFormat="1" applyFont="1" applyFill="1" applyBorder="1" applyAlignment="1" applyProtection="1">
      <alignment horizontal="right" vertical="center"/>
    </xf>
    <xf numFmtId="3" fontId="24" fillId="6" borderId="20" xfId="0" applyNumberFormat="1" applyFont="1" applyFill="1" applyBorder="1" applyAlignment="1" applyProtection="1">
      <alignment horizontal="right" vertical="center"/>
    </xf>
    <xf numFmtId="3" fontId="24" fillId="6" borderId="20" xfId="39" applyNumberFormat="1" applyFont="1" applyFill="1" applyBorder="1" applyAlignment="1" applyProtection="1">
      <alignment horizontal="right" vertical="center"/>
    </xf>
    <xf numFmtId="3" fontId="24" fillId="6" borderId="20" xfId="0" applyNumberFormat="1" applyFont="1" applyFill="1" applyBorder="1" applyAlignment="1">
      <alignment horizontal="right" vertical="center"/>
    </xf>
    <xf numFmtId="3" fontId="24" fillId="6" borderId="21" xfId="0" applyNumberFormat="1" applyFont="1" applyFill="1" applyBorder="1" applyAlignment="1">
      <alignment horizontal="right" vertical="center"/>
    </xf>
    <xf numFmtId="3" fontId="22" fillId="0" borderId="24" xfId="39" applyNumberFormat="1" applyFont="1" applyFill="1" applyBorder="1" applyAlignment="1" applyProtection="1">
      <alignment horizontal="right" vertical="center"/>
    </xf>
    <xf numFmtId="3" fontId="22" fillId="0" borderId="24" xfId="0" applyNumberFormat="1" applyFont="1" applyFill="1" applyBorder="1" applyAlignment="1">
      <alignment horizontal="right" vertical="center"/>
    </xf>
    <xf numFmtId="3" fontId="22" fillId="0" borderId="27" xfId="39" applyNumberFormat="1" applyFont="1" applyFill="1" applyBorder="1" applyAlignment="1" applyProtection="1">
      <alignment horizontal="right" vertical="center"/>
    </xf>
    <xf numFmtId="173" fontId="24" fillId="0" borderId="166" xfId="0" applyNumberFormat="1" applyFont="1" applyFill="1" applyBorder="1" applyAlignment="1" applyProtection="1">
      <alignment horizontal="center" vertical="center"/>
    </xf>
    <xf numFmtId="173" fontId="24" fillId="0" borderId="20" xfId="0" applyNumberFormat="1" applyFont="1" applyFill="1" applyBorder="1" applyAlignment="1" applyProtection="1">
      <alignment horizontal="center" vertical="center"/>
    </xf>
    <xf numFmtId="173" fontId="24" fillId="0" borderId="20" xfId="0" applyNumberFormat="1" applyFont="1" applyFill="1" applyBorder="1" applyAlignment="1">
      <alignment horizontal="center" vertical="center"/>
    </xf>
    <xf numFmtId="173" fontId="24" fillId="0" borderId="20" xfId="0" applyNumberFormat="1" applyFont="1" applyFill="1" applyBorder="1"/>
    <xf numFmtId="173" fontId="24" fillId="0" borderId="21" xfId="0" applyNumberFormat="1" applyFont="1" applyFill="1" applyBorder="1"/>
    <xf numFmtId="3" fontId="22" fillId="0" borderId="22" xfId="0" applyNumberFormat="1" applyFont="1" applyFill="1" applyBorder="1"/>
    <xf numFmtId="3" fontId="22" fillId="0" borderId="24" xfId="0" applyNumberFormat="1" applyFont="1" applyFill="1" applyBorder="1"/>
    <xf numFmtId="3" fontId="24" fillId="6" borderId="166" xfId="0" applyNumberFormat="1" applyFont="1" applyFill="1" applyBorder="1"/>
    <xf numFmtId="3" fontId="24" fillId="6" borderId="20" xfId="0" applyNumberFormat="1" applyFont="1" applyFill="1" applyBorder="1"/>
    <xf numFmtId="3" fontId="24" fillId="6" borderId="21" xfId="0" applyNumberFormat="1" applyFont="1" applyFill="1" applyBorder="1"/>
    <xf numFmtId="173" fontId="24" fillId="0" borderId="166" xfId="0" applyNumberFormat="1" applyFont="1" applyFill="1" applyBorder="1"/>
    <xf numFmtId="9" fontId="22" fillId="0" borderId="22" xfId="39" applyFont="1" applyFill="1" applyBorder="1"/>
    <xf numFmtId="9" fontId="22" fillId="0" borderId="24" xfId="39" applyFont="1" applyFill="1" applyBorder="1"/>
    <xf numFmtId="9" fontId="22" fillId="0" borderId="22" xfId="0" applyNumberFormat="1" applyFont="1" applyFill="1" applyBorder="1"/>
    <xf numFmtId="9" fontId="22" fillId="0" borderId="24" xfId="0" applyNumberFormat="1" applyFont="1" applyFill="1" applyBorder="1"/>
    <xf numFmtId="9" fontId="24" fillId="6" borderId="166" xfId="39" applyFont="1" applyFill="1" applyBorder="1"/>
    <xf numFmtId="9" fontId="24" fillId="6" borderId="20" xfId="39" applyFont="1" applyFill="1" applyBorder="1"/>
    <xf numFmtId="9" fontId="24" fillId="6" borderId="21" xfId="39" applyFont="1" applyFill="1" applyBorder="1"/>
    <xf numFmtId="3" fontId="22" fillId="0" borderId="22" xfId="0" applyNumberFormat="1" applyFont="1" applyFill="1" applyBorder="1" applyAlignment="1" applyProtection="1">
      <alignment vertical="center"/>
      <protection locked="0"/>
    </xf>
    <xf numFmtId="3" fontId="22" fillId="0" borderId="24" xfId="0" applyNumberFormat="1" applyFont="1" applyFill="1" applyBorder="1" applyAlignment="1" applyProtection="1">
      <alignment vertical="center"/>
    </xf>
    <xf numFmtId="3" fontId="22" fillId="0" borderId="24" xfId="0" applyNumberFormat="1" applyFont="1" applyFill="1" applyBorder="1" applyAlignment="1" applyProtection="1">
      <alignment vertical="center"/>
      <protection locked="0"/>
    </xf>
    <xf numFmtId="9" fontId="0" fillId="0" borderId="0" xfId="39" applyFont="1"/>
    <xf numFmtId="49" fontId="75" fillId="0" borderId="0" xfId="9" applyNumberFormat="1" applyFont="1" applyBorder="1" applyAlignment="1">
      <alignment horizontal="center"/>
    </xf>
    <xf numFmtId="49" fontId="75" fillId="0" borderId="0" xfId="9" quotePrefix="1" applyNumberFormat="1" applyFont="1" applyBorder="1" applyAlignment="1">
      <alignment horizontal="center"/>
    </xf>
    <xf numFmtId="0" fontId="54" fillId="0" borderId="0" xfId="9" applyFont="1" applyBorder="1" applyAlignment="1">
      <alignment horizontal="right" wrapText="1"/>
    </xf>
    <xf numFmtId="0" fontId="106" fillId="31" borderId="162" xfId="0" applyFont="1" applyFill="1" applyBorder="1" applyAlignment="1">
      <alignment horizontal="center" vertical="center"/>
    </xf>
    <xf numFmtId="0" fontId="106" fillId="31" borderId="149" xfId="0" applyFont="1" applyFill="1" applyBorder="1" applyAlignment="1">
      <alignment horizontal="center"/>
    </xf>
    <xf numFmtId="165" fontId="24" fillId="6" borderId="166" xfId="39" applyNumberFormat="1" applyFont="1" applyFill="1" applyBorder="1"/>
    <xf numFmtId="165" fontId="24" fillId="6" borderId="20" xfId="39" applyNumberFormat="1" applyFont="1" applyFill="1" applyBorder="1"/>
    <xf numFmtId="165" fontId="22" fillId="0" borderId="22" xfId="39" applyNumberFormat="1" applyFont="1" applyFill="1" applyBorder="1"/>
    <xf numFmtId="165" fontId="22" fillId="0" borderId="24" xfId="39" applyNumberFormat="1" applyFont="1" applyFill="1" applyBorder="1"/>
    <xf numFmtId="165" fontId="22" fillId="0" borderId="22" xfId="0" applyNumberFormat="1" applyFont="1" applyFill="1" applyBorder="1"/>
    <xf numFmtId="165" fontId="22" fillId="0" borderId="24" xfId="0" applyNumberFormat="1" applyFont="1" applyFill="1" applyBorder="1"/>
    <xf numFmtId="165" fontId="0" fillId="0" borderId="0" xfId="39" applyNumberFormat="1" applyFont="1"/>
    <xf numFmtId="0" fontId="69" fillId="0" borderId="0" xfId="0" applyFont="1"/>
    <xf numFmtId="0" fontId="70" fillId="0" borderId="0" xfId="0" applyFont="1"/>
    <xf numFmtId="0" fontId="114" fillId="0" borderId="0" xfId="0" applyFont="1"/>
    <xf numFmtId="0" fontId="114" fillId="0" borderId="12" xfId="0" applyFont="1" applyBorder="1"/>
    <xf numFmtId="0" fontId="114" fillId="0" borderId="166" xfId="0" applyFont="1" applyBorder="1"/>
    <xf numFmtId="0" fontId="114" fillId="0" borderId="20" xfId="0" applyFont="1" applyBorder="1"/>
    <xf numFmtId="0" fontId="114" fillId="0" borderId="21" xfId="0" applyFont="1" applyBorder="1"/>
    <xf numFmtId="3" fontId="70" fillId="0" borderId="22" xfId="0" applyNumberFormat="1" applyFont="1" applyBorder="1"/>
    <xf numFmtId="3" fontId="70" fillId="0" borderId="168" xfId="0" applyNumberFormat="1" applyFont="1" applyBorder="1"/>
    <xf numFmtId="3" fontId="70" fillId="0" borderId="167" xfId="0" applyNumberFormat="1" applyFont="1" applyBorder="1"/>
    <xf numFmtId="0" fontId="115" fillId="0" borderId="0" xfId="4" applyFont="1" applyAlignment="1" applyProtection="1"/>
    <xf numFmtId="49" fontId="70" fillId="7" borderId="0" xfId="0" applyNumberFormat="1" applyFont="1" applyFill="1"/>
    <xf numFmtId="0" fontId="114" fillId="7" borderId="0" xfId="0" applyFont="1" applyFill="1"/>
    <xf numFmtId="3" fontId="114" fillId="7" borderId="22" xfId="0" applyNumberFormat="1" applyFont="1" applyFill="1" applyBorder="1"/>
    <xf numFmtId="3" fontId="114" fillId="7" borderId="24" xfId="0" applyNumberFormat="1" applyFont="1" applyFill="1" applyBorder="1"/>
    <xf numFmtId="3" fontId="114" fillId="7" borderId="167" xfId="0" applyNumberFormat="1" applyFont="1" applyFill="1" applyBorder="1"/>
    <xf numFmtId="3" fontId="114" fillId="7" borderId="168" xfId="0" applyNumberFormat="1" applyFont="1" applyFill="1" applyBorder="1"/>
    <xf numFmtId="0" fontId="70" fillId="0" borderId="12" xfId="0" applyFont="1" applyBorder="1"/>
    <xf numFmtId="3" fontId="70" fillId="0" borderId="25" xfId="0" applyNumberFormat="1" applyFont="1" applyBorder="1"/>
    <xf numFmtId="3" fontId="70" fillId="0" borderId="27" xfId="0" applyNumberFormat="1" applyFont="1" applyBorder="1"/>
    <xf numFmtId="3" fontId="70" fillId="0" borderId="169" xfId="0" applyNumberFormat="1" applyFont="1" applyBorder="1"/>
    <xf numFmtId="3" fontId="70" fillId="0" borderId="170" xfId="0" applyNumberFormat="1" applyFont="1" applyBorder="1"/>
    <xf numFmtId="3" fontId="70" fillId="0" borderId="171" xfId="0" applyNumberFormat="1" applyFont="1" applyBorder="1"/>
    <xf numFmtId="165" fontId="70" fillId="0" borderId="22" xfId="0" applyNumberFormat="1" applyFont="1" applyBorder="1"/>
    <xf numFmtId="165" fontId="70" fillId="0" borderId="168" xfId="0" applyNumberFormat="1" applyFont="1" applyBorder="1"/>
    <xf numFmtId="165" fontId="70" fillId="0" borderId="167" xfId="0" applyNumberFormat="1" applyFont="1" applyBorder="1"/>
    <xf numFmtId="165" fontId="114" fillId="7" borderId="22" xfId="0" applyNumberFormat="1" applyFont="1" applyFill="1" applyBorder="1" applyAlignment="1">
      <alignment horizontal="right"/>
    </xf>
    <xf numFmtId="165" fontId="114" fillId="7" borderId="168" xfId="0" applyNumberFormat="1" applyFont="1" applyFill="1" applyBorder="1" applyAlignment="1">
      <alignment horizontal="right"/>
    </xf>
    <xf numFmtId="165" fontId="114" fillId="7" borderId="167" xfId="0" applyNumberFormat="1" applyFont="1" applyFill="1" applyBorder="1" applyAlignment="1">
      <alignment horizontal="right"/>
    </xf>
    <xf numFmtId="165" fontId="70" fillId="0" borderId="22" xfId="0" applyNumberFormat="1" applyFont="1" applyBorder="1" applyAlignment="1">
      <alignment horizontal="right"/>
    </xf>
    <xf numFmtId="165" fontId="70" fillId="0" borderId="168" xfId="0" applyNumberFormat="1" applyFont="1" applyBorder="1" applyAlignment="1">
      <alignment horizontal="right"/>
    </xf>
    <xf numFmtId="165" fontId="70" fillId="0" borderId="167" xfId="0" applyNumberFormat="1" applyFont="1" applyBorder="1" applyAlignment="1">
      <alignment horizontal="right"/>
    </xf>
    <xf numFmtId="165" fontId="70" fillId="0" borderId="25" xfId="0" applyNumberFormat="1" applyFont="1" applyBorder="1" applyAlignment="1">
      <alignment horizontal="right"/>
    </xf>
    <xf numFmtId="165" fontId="70" fillId="0" borderId="27" xfId="0" applyNumberFormat="1" applyFont="1" applyBorder="1" applyAlignment="1">
      <alignment horizontal="right"/>
    </xf>
    <xf numFmtId="165" fontId="70" fillId="0" borderId="169" xfId="0" applyNumberFormat="1" applyFont="1" applyBorder="1" applyAlignment="1">
      <alignment horizontal="right"/>
    </xf>
    <xf numFmtId="165" fontId="106" fillId="7" borderId="139" xfId="39" applyNumberFormat="1" applyFont="1" applyFill="1" applyBorder="1" applyAlignment="1">
      <alignment horizontal="center"/>
    </xf>
    <xf numFmtId="165" fontId="107" fillId="0" borderId="30" xfId="39" applyNumberFormat="1" applyFont="1" applyFill="1" applyBorder="1" applyAlignment="1">
      <alignment horizontal="center"/>
    </xf>
    <xf numFmtId="165" fontId="107" fillId="0" borderId="31" xfId="39" applyNumberFormat="1" applyFont="1" applyFill="1" applyBorder="1" applyAlignment="1">
      <alignment horizontal="center"/>
    </xf>
    <xf numFmtId="165" fontId="107" fillId="0" borderId="30" xfId="39" applyNumberFormat="1" applyFont="1" applyBorder="1" applyAlignment="1">
      <alignment horizontal="center"/>
    </xf>
    <xf numFmtId="165" fontId="107" fillId="0" borderId="31" xfId="39" applyNumberFormat="1" applyFont="1" applyBorder="1" applyAlignment="1">
      <alignment horizontal="center"/>
    </xf>
    <xf numFmtId="49" fontId="57" fillId="19" borderId="127" xfId="0" applyNumberFormat="1" applyFont="1" applyFill="1" applyBorder="1" applyAlignment="1">
      <alignment horizontal="center"/>
    </xf>
    <xf numFmtId="3" fontId="56" fillId="0" borderId="168" xfId="0" applyNumberFormat="1" applyFont="1" applyFill="1" applyBorder="1" applyAlignment="1">
      <alignment horizontal="right" indent="1"/>
    </xf>
    <xf numFmtId="0" fontId="56" fillId="0" borderId="148" xfId="0" applyFont="1" applyFill="1" applyBorder="1" applyAlignment="1">
      <alignment horizontal="right" indent="1"/>
    </xf>
    <xf numFmtId="0" fontId="56" fillId="0" borderId="145" xfId="0" applyFont="1" applyFill="1" applyBorder="1" applyAlignment="1">
      <alignment horizontal="right" indent="1"/>
    </xf>
    <xf numFmtId="171" fontId="69" fillId="23" borderId="22" xfId="14" applyNumberFormat="1" applyFont="1" applyFill="1" applyBorder="1"/>
    <xf numFmtId="0" fontId="75" fillId="0" borderId="0" xfId="0" applyFont="1" applyFill="1"/>
    <xf numFmtId="9" fontId="73" fillId="0" borderId="0" xfId="1" applyNumberFormat="1" applyFont="1"/>
    <xf numFmtId="37" fontId="73" fillId="0" borderId="0" xfId="1" applyNumberFormat="1" applyFont="1"/>
    <xf numFmtId="9" fontId="73" fillId="0" borderId="0" xfId="0" applyNumberFormat="1" applyFont="1"/>
    <xf numFmtId="171" fontId="55" fillId="6" borderId="165" xfId="1" applyNumberFormat="1" applyFont="1" applyFill="1" applyBorder="1"/>
    <xf numFmtId="171" fontId="55" fillId="6" borderId="163" xfId="1" applyNumberFormat="1" applyFont="1" applyFill="1" applyBorder="1"/>
    <xf numFmtId="9" fontId="55" fillId="6" borderId="163" xfId="39" applyFont="1" applyFill="1" applyBorder="1"/>
    <xf numFmtId="0" fontId="0" fillId="0" borderId="163" xfId="0" applyBorder="1"/>
    <xf numFmtId="37" fontId="55" fillId="6" borderId="163" xfId="1" applyNumberFormat="1" applyFont="1" applyFill="1" applyBorder="1"/>
    <xf numFmtId="0" fontId="116" fillId="6" borderId="163" xfId="0" applyFont="1" applyFill="1" applyBorder="1"/>
    <xf numFmtId="49" fontId="24" fillId="0" borderId="29" xfId="0" applyNumberFormat="1" applyFont="1" applyFill="1" applyBorder="1" applyAlignment="1">
      <alignment vertical="center"/>
    </xf>
    <xf numFmtId="173" fontId="24" fillId="0" borderId="29" xfId="0" applyNumberFormat="1" applyFont="1" applyFill="1" applyBorder="1" applyAlignment="1" applyProtection="1">
      <alignment vertical="center"/>
    </xf>
    <xf numFmtId="0" fontId="22" fillId="0" borderId="0" xfId="0" applyNumberFormat="1" applyFont="1" applyFill="1" applyBorder="1" applyAlignment="1">
      <alignment horizontal="left"/>
    </xf>
    <xf numFmtId="3" fontId="73" fillId="0" borderId="0" xfId="1" applyNumberFormat="1" applyFont="1" applyFill="1" applyBorder="1"/>
    <xf numFmtId="3" fontId="73" fillId="0" borderId="0" xfId="1" applyNumberFormat="1" applyFont="1"/>
    <xf numFmtId="9" fontId="117" fillId="0" borderId="0" xfId="0" applyNumberFormat="1" applyFont="1" applyAlignment="1">
      <alignment vertical="center"/>
    </xf>
    <xf numFmtId="0" fontId="75" fillId="0" borderId="0" xfId="15" applyFont="1" applyAlignment="1">
      <alignment horizontal="left" wrapText="1"/>
    </xf>
    <xf numFmtId="0" fontId="57" fillId="0" borderId="0" xfId="0" applyFont="1" applyFill="1" applyBorder="1" applyAlignment="1">
      <alignment vertical="center" wrapText="1"/>
    </xf>
    <xf numFmtId="0" fontId="90" fillId="0" borderId="0" xfId="0" applyFont="1"/>
    <xf numFmtId="0" fontId="55" fillId="6" borderId="0" xfId="0" applyFont="1" applyFill="1"/>
    <xf numFmtId="0" fontId="55" fillId="6" borderId="0" xfId="0" applyFont="1" applyFill="1" applyAlignment="1">
      <alignment horizontal="left"/>
    </xf>
    <xf numFmtId="3" fontId="55" fillId="6" borderId="0" xfId="0" applyNumberFormat="1" applyFont="1" applyFill="1"/>
    <xf numFmtId="164" fontId="55" fillId="6" borderId="0" xfId="39" applyNumberFormat="1" applyFont="1" applyFill="1"/>
    <xf numFmtId="171" fontId="73" fillId="0" borderId="0" xfId="1" applyNumberFormat="1" applyFont="1" applyFill="1"/>
    <xf numFmtId="0" fontId="71" fillId="0" borderId="95" xfId="11" applyFont="1" applyFill="1" applyBorder="1" applyAlignment="1">
      <alignment horizontal="center"/>
    </xf>
    <xf numFmtId="164" fontId="72" fillId="0" borderId="172" xfId="16" applyNumberFormat="1" applyFont="1" applyFill="1" applyBorder="1" applyAlignment="1">
      <alignment wrapText="1"/>
    </xf>
    <xf numFmtId="0" fontId="71" fillId="0" borderId="101" xfId="16" applyFont="1" applyBorder="1" applyAlignment="1">
      <alignment horizontal="center"/>
    </xf>
    <xf numFmtId="171" fontId="71" fillId="6" borderId="59" xfId="1" applyNumberFormat="1" applyFont="1" applyFill="1" applyBorder="1"/>
    <xf numFmtId="171" fontId="72" fillId="0" borderId="61" xfId="1" applyNumberFormat="1" applyFont="1" applyBorder="1"/>
    <xf numFmtId="171" fontId="72" fillId="0" borderId="173" xfId="1" applyNumberFormat="1" applyFont="1" applyBorder="1"/>
    <xf numFmtId="164" fontId="72" fillId="0" borderId="38" xfId="39" applyNumberFormat="1" applyFont="1" applyFill="1" applyBorder="1" applyAlignment="1">
      <alignment wrapText="1"/>
    </xf>
    <xf numFmtId="0" fontId="71" fillId="0" borderId="58" xfId="16" applyFont="1" applyBorder="1" applyAlignment="1">
      <alignment horizontal="center"/>
    </xf>
    <xf numFmtId="3" fontId="72" fillId="0" borderId="38" xfId="16" applyNumberFormat="1" applyFont="1" applyBorder="1"/>
    <xf numFmtId="3" fontId="72" fillId="0" borderId="174" xfId="16" applyNumberFormat="1" applyFont="1" applyBorder="1"/>
    <xf numFmtId="3" fontId="71" fillId="6" borderId="58" xfId="16" applyNumberFormat="1" applyFont="1" applyFill="1" applyBorder="1"/>
    <xf numFmtId="171" fontId="75" fillId="0" borderId="0" xfId="1" applyNumberFormat="1" applyFont="1" applyBorder="1"/>
    <xf numFmtId="164" fontId="75" fillId="0" borderId="0" xfId="39" applyNumberFormat="1" applyFont="1" applyBorder="1"/>
    <xf numFmtId="0" fontId="54" fillId="0" borderId="45" xfId="0" applyFont="1" applyBorder="1" applyAlignment="1">
      <alignment horizontal="center"/>
    </xf>
    <xf numFmtId="164" fontId="75" fillId="8" borderId="42" xfId="39" applyNumberFormat="1" applyFont="1" applyFill="1" applyBorder="1"/>
    <xf numFmtId="0" fontId="56" fillId="0" borderId="0" xfId="0" applyFont="1" applyAlignment="1">
      <alignment horizontal="left" wrapText="1"/>
    </xf>
    <xf numFmtId="0" fontId="72" fillId="0" borderId="4" xfId="37" applyFont="1" applyFill="1" applyBorder="1" applyAlignment="1">
      <alignment horizontal="center"/>
    </xf>
    <xf numFmtId="167" fontId="59" fillId="9" borderId="171" xfId="0" applyNumberFormat="1" applyFont="1" applyFill="1" applyBorder="1"/>
    <xf numFmtId="5" fontId="72" fillId="0" borderId="3" xfId="3" applyNumberFormat="1" applyFont="1" applyFill="1" applyBorder="1" applyAlignment="1">
      <alignment wrapText="1"/>
    </xf>
    <xf numFmtId="7" fontId="75" fillId="0" borderId="0" xfId="3" applyNumberFormat="1" applyFont="1" applyBorder="1" applyAlignment="1"/>
    <xf numFmtId="0" fontId="56" fillId="0" borderId="0" xfId="0" applyFont="1" applyAlignment="1">
      <alignment horizontal="left" wrapText="1"/>
    </xf>
    <xf numFmtId="7" fontId="71" fillId="0" borderId="6" xfId="27" applyNumberFormat="1" applyFont="1" applyFill="1" applyBorder="1" applyAlignment="1">
      <alignment horizontal="center" wrapText="1"/>
    </xf>
    <xf numFmtId="5" fontId="54" fillId="6" borderId="0" xfId="0" applyNumberFormat="1" applyFont="1" applyFill="1" applyBorder="1" applyAlignment="1"/>
    <xf numFmtId="5" fontId="75" fillId="0" borderId="0" xfId="0" applyNumberFormat="1" applyFont="1" applyFill="1" applyBorder="1" applyAlignment="1"/>
    <xf numFmtId="5" fontId="54" fillId="6" borderId="34" xfId="0" applyNumberFormat="1" applyFont="1" applyFill="1" applyBorder="1" applyAlignment="1"/>
    <xf numFmtId="5" fontId="75" fillId="0" borderId="34" xfId="0" applyNumberFormat="1" applyFont="1" applyBorder="1" applyAlignment="1"/>
    <xf numFmtId="5" fontId="54" fillId="6" borderId="9" xfId="0" applyNumberFormat="1" applyFont="1" applyFill="1" applyBorder="1" applyAlignment="1"/>
    <xf numFmtId="5" fontId="75" fillId="0" borderId="3" xfId="0" applyNumberFormat="1" applyFont="1" applyBorder="1" applyAlignment="1"/>
    <xf numFmtId="5" fontId="75" fillId="0" borderId="9" xfId="0" applyNumberFormat="1" applyFont="1" applyFill="1" applyBorder="1" applyAlignment="1"/>
    <xf numFmtId="0" fontId="71" fillId="0" borderId="58" xfId="21" applyFont="1" applyFill="1" applyBorder="1" applyAlignment="1">
      <alignment horizontal="center" wrapText="1"/>
    </xf>
    <xf numFmtId="0" fontId="71" fillId="0" borderId="69" xfId="34" applyFont="1" applyFill="1" applyBorder="1" applyAlignment="1">
      <alignment horizontal="center" wrapText="1"/>
    </xf>
    <xf numFmtId="5" fontId="72" fillId="0" borderId="32" xfId="34" applyNumberFormat="1" applyFont="1" applyFill="1" applyBorder="1" applyAlignment="1">
      <alignment wrapText="1"/>
    </xf>
    <xf numFmtId="0" fontId="56" fillId="0" borderId="0" xfId="0" applyFont="1" applyAlignment="1">
      <alignment horizontal="left" wrapText="1"/>
    </xf>
    <xf numFmtId="0" fontId="86" fillId="0" borderId="175" xfId="36" applyFont="1" applyFill="1" applyBorder="1" applyAlignment="1">
      <alignment horizontal="center"/>
    </xf>
    <xf numFmtId="0" fontId="87" fillId="0" borderId="5" xfId="35" applyFont="1" applyFill="1" applyBorder="1" applyAlignment="1">
      <alignment horizontal="center" wrapText="1"/>
    </xf>
    <xf numFmtId="167" fontId="86" fillId="0" borderId="0" xfId="36" applyNumberFormat="1" applyFont="1" applyFill="1" applyBorder="1" applyAlignment="1">
      <alignment horizontal="right" wrapText="1"/>
    </xf>
    <xf numFmtId="167" fontId="86" fillId="0" borderId="0" xfId="3" applyNumberFormat="1" applyFont="1" applyFill="1" applyBorder="1" applyAlignment="1">
      <alignment wrapText="1"/>
    </xf>
    <xf numFmtId="5" fontId="88" fillId="0" borderId="37" xfId="3" applyNumberFormat="1" applyFont="1" applyFill="1" applyBorder="1" applyAlignment="1">
      <alignment wrapText="1"/>
    </xf>
    <xf numFmtId="5" fontId="89" fillId="6" borderId="75" xfId="3" applyNumberFormat="1" applyFont="1" applyFill="1" applyBorder="1" applyAlignment="1">
      <alignment wrapText="1"/>
    </xf>
    <xf numFmtId="5" fontId="88" fillId="0" borderId="38" xfId="3" applyNumberFormat="1" applyFont="1" applyFill="1" applyBorder="1" applyAlignment="1">
      <alignment wrapText="1"/>
    </xf>
    <xf numFmtId="5" fontId="89" fillId="6" borderId="58" xfId="3" applyNumberFormat="1" applyFont="1" applyFill="1" applyBorder="1" applyAlignment="1">
      <alignment wrapText="1"/>
    </xf>
    <xf numFmtId="0" fontId="89" fillId="0" borderId="5" xfId="37" applyFont="1" applyFill="1" applyBorder="1" applyAlignment="1">
      <alignment horizontal="center" wrapText="1"/>
    </xf>
    <xf numFmtId="5" fontId="88" fillId="0" borderId="39" xfId="3" applyNumberFormat="1" applyFont="1" applyFill="1" applyBorder="1" applyAlignment="1">
      <alignment wrapText="1"/>
    </xf>
    <xf numFmtId="5" fontId="88" fillId="0" borderId="0" xfId="3" applyNumberFormat="1" applyFont="1" applyFill="1" applyBorder="1" applyAlignment="1">
      <alignment wrapText="1"/>
    </xf>
    <xf numFmtId="0" fontId="71" fillId="0" borderId="2" xfId="25" applyFont="1" applyFill="1" applyBorder="1" applyAlignment="1">
      <alignment horizontal="center" wrapText="1"/>
    </xf>
    <xf numFmtId="167" fontId="71" fillId="0" borderId="2" xfId="25" applyNumberFormat="1" applyFont="1" applyFill="1" applyBorder="1" applyAlignment="1">
      <alignment horizontal="center" wrapText="1"/>
    </xf>
    <xf numFmtId="0" fontId="56" fillId="9" borderId="0" xfId="0" applyFont="1" applyFill="1" applyBorder="1" applyAlignment="1">
      <alignment horizontal="left" indent="1"/>
    </xf>
    <xf numFmtId="0" fontId="75" fillId="0" borderId="0" xfId="15" applyFont="1" applyAlignment="1">
      <alignment horizontal="left" wrapText="1"/>
    </xf>
    <xf numFmtId="0" fontId="68" fillId="0" borderId="12" xfId="9" applyFont="1" applyBorder="1" applyAlignment="1">
      <alignment horizontal="center" wrapText="1"/>
    </xf>
    <xf numFmtId="167" fontId="72" fillId="0" borderId="176" xfId="25" applyNumberFormat="1" applyFont="1" applyFill="1" applyBorder="1" applyAlignment="1">
      <alignment wrapText="1"/>
    </xf>
    <xf numFmtId="167" fontId="72" fillId="0" borderId="0" xfId="25" applyNumberFormat="1" applyFont="1" applyFill="1" applyBorder="1" applyAlignment="1">
      <alignment wrapText="1"/>
    </xf>
    <xf numFmtId="5" fontId="89" fillId="22" borderId="75" xfId="3" applyNumberFormat="1" applyFont="1" applyFill="1" applyBorder="1" applyAlignment="1">
      <alignment horizontal="center"/>
    </xf>
    <xf numFmtId="5" fontId="89" fillId="22" borderId="58" xfId="3" applyNumberFormat="1" applyFont="1" applyFill="1" applyBorder="1" applyAlignment="1">
      <alignment horizontal="center"/>
    </xf>
    <xf numFmtId="0" fontId="57" fillId="15" borderId="179" xfId="0" applyFont="1" applyFill="1" applyBorder="1" applyAlignment="1"/>
    <xf numFmtId="0" fontId="76" fillId="15" borderId="178" xfId="0" applyFont="1" applyFill="1" applyBorder="1" applyAlignment="1"/>
    <xf numFmtId="9" fontId="79" fillId="15" borderId="177" xfId="39" applyFont="1" applyFill="1" applyBorder="1"/>
    <xf numFmtId="9" fontId="79" fillId="15" borderId="180" xfId="39" applyFont="1" applyFill="1" applyBorder="1"/>
    <xf numFmtId="9" fontId="79" fillId="15" borderId="181" xfId="39" applyFont="1" applyFill="1" applyBorder="1"/>
    <xf numFmtId="9" fontId="79" fillId="15" borderId="182" xfId="39" applyFont="1" applyFill="1" applyBorder="1"/>
    <xf numFmtId="167" fontId="118" fillId="10" borderId="16" xfId="0" applyNumberFormat="1" applyFont="1" applyFill="1" applyBorder="1"/>
    <xf numFmtId="167" fontId="118" fillId="10" borderId="17" xfId="0" applyNumberFormat="1" applyFont="1" applyFill="1" applyBorder="1"/>
    <xf numFmtId="167" fontId="118" fillId="10" borderId="18" xfId="0" applyNumberFormat="1" applyFont="1" applyFill="1" applyBorder="1"/>
    <xf numFmtId="167" fontId="118" fillId="10" borderId="118" xfId="0" applyNumberFormat="1" applyFont="1" applyFill="1" applyBorder="1"/>
    <xf numFmtId="167" fontId="119" fillId="10" borderId="129" xfId="0" applyNumberFormat="1" applyFont="1" applyFill="1" applyBorder="1"/>
    <xf numFmtId="164" fontId="56" fillId="0" borderId="0" xfId="39" applyNumberFormat="1" applyFont="1"/>
    <xf numFmtId="5" fontId="54" fillId="13" borderId="163" xfId="3" applyNumberFormat="1" applyFont="1" applyFill="1" applyBorder="1"/>
    <xf numFmtId="5" fontId="75" fillId="0" borderId="0" xfId="3" applyNumberFormat="1" applyFont="1"/>
    <xf numFmtId="167" fontId="71" fillId="6" borderId="183" xfId="29" applyNumberFormat="1" applyFont="1" applyFill="1" applyBorder="1" applyAlignment="1">
      <alignment wrapText="1"/>
    </xf>
    <xf numFmtId="0" fontId="54" fillId="0" borderId="2" xfId="0" applyFont="1" applyBorder="1"/>
    <xf numFmtId="5" fontId="88" fillId="0" borderId="0" xfId="38" applyNumberFormat="1" applyFont="1" applyFill="1" applyBorder="1" applyAlignment="1">
      <alignment horizontal="right" wrapText="1"/>
    </xf>
    <xf numFmtId="5" fontId="89" fillId="22" borderId="59" xfId="3" applyNumberFormat="1" applyFont="1" applyFill="1" applyBorder="1" applyAlignment="1">
      <alignment horizontal="center"/>
    </xf>
    <xf numFmtId="0" fontId="89" fillId="0" borderId="184" xfId="20" applyFont="1" applyFill="1" applyBorder="1" applyAlignment="1">
      <alignment horizontal="center" wrapText="1"/>
    </xf>
    <xf numFmtId="5" fontId="89" fillId="22" borderId="6" xfId="3" applyNumberFormat="1" applyFont="1" applyFill="1" applyBorder="1" applyAlignment="1">
      <alignment horizontal="center"/>
    </xf>
    <xf numFmtId="5" fontId="89" fillId="22" borderId="76" xfId="3" applyNumberFormat="1" applyFont="1" applyFill="1" applyBorder="1" applyAlignment="1">
      <alignment horizontal="center"/>
    </xf>
    <xf numFmtId="5" fontId="88" fillId="0" borderId="185" xfId="38" applyNumberFormat="1" applyFont="1" applyFill="1" applyBorder="1" applyAlignment="1">
      <alignment horizontal="right" wrapText="1"/>
    </xf>
    <xf numFmtId="5" fontId="88" fillId="0" borderId="82" xfId="38" applyNumberFormat="1" applyFont="1" applyFill="1" applyBorder="1" applyAlignment="1">
      <alignment horizontal="right" wrapText="1"/>
    </xf>
    <xf numFmtId="5" fontId="88" fillId="0" borderId="9" xfId="38" applyNumberFormat="1" applyFont="1" applyFill="1" applyBorder="1" applyAlignment="1">
      <alignment horizontal="right" wrapText="1"/>
    </xf>
    <xf numFmtId="5" fontId="88" fillId="0" borderId="186" xfId="38" applyNumberFormat="1" applyFont="1" applyFill="1" applyBorder="1" applyAlignment="1">
      <alignment horizontal="right" wrapText="1"/>
    </xf>
    <xf numFmtId="5" fontId="88" fillId="0" borderId="176" xfId="38" applyNumberFormat="1" applyFont="1" applyFill="1" applyBorder="1" applyAlignment="1">
      <alignment horizontal="right" wrapText="1"/>
    </xf>
    <xf numFmtId="5" fontId="88" fillId="0" borderId="187" xfId="38" applyNumberFormat="1" applyFont="1" applyFill="1" applyBorder="1" applyAlignment="1">
      <alignment horizontal="right" wrapText="1"/>
    </xf>
    <xf numFmtId="167" fontId="89" fillId="22" borderId="75" xfId="3" applyNumberFormat="1" applyFont="1" applyFill="1" applyBorder="1" applyAlignment="1">
      <alignment horizontal="center"/>
    </xf>
    <xf numFmtId="167" fontId="89" fillId="22" borderId="58" xfId="3" applyNumberFormat="1" applyFont="1" applyFill="1" applyBorder="1" applyAlignment="1">
      <alignment horizontal="center"/>
    </xf>
    <xf numFmtId="0" fontId="71" fillId="0" borderId="59" xfId="36" applyFont="1" applyFill="1" applyBorder="1" applyAlignment="1">
      <alignment horizontal="center" wrapText="1"/>
    </xf>
    <xf numFmtId="0" fontId="54" fillId="0" borderId="189" xfId="0" applyFont="1" applyBorder="1" applyAlignment="1">
      <alignment wrapText="1"/>
    </xf>
    <xf numFmtId="0" fontId="56" fillId="9" borderId="190" xfId="0" applyFont="1" applyFill="1" applyBorder="1" applyAlignment="1">
      <alignment horizontal="left" indent="1"/>
    </xf>
    <xf numFmtId="5" fontId="54" fillId="13" borderId="165" xfId="3" applyNumberFormat="1" applyFont="1" applyFill="1" applyBorder="1"/>
    <xf numFmtId="177" fontId="75" fillId="0" borderId="190" xfId="3" applyNumberFormat="1" applyFont="1" applyBorder="1"/>
    <xf numFmtId="177" fontId="54" fillId="0" borderId="165" xfId="3" applyNumberFormat="1" applyFont="1" applyBorder="1"/>
    <xf numFmtId="177" fontId="54" fillId="0" borderId="163" xfId="3" applyNumberFormat="1" applyFont="1" applyBorder="1" applyAlignment="1">
      <alignment wrapText="1"/>
    </xf>
    <xf numFmtId="177" fontId="54" fillId="0" borderId="163" xfId="3" applyNumberFormat="1" applyFont="1" applyBorder="1"/>
    <xf numFmtId="177" fontId="54" fillId="0" borderId="15" xfId="3" applyNumberFormat="1" applyFont="1" applyBorder="1"/>
    <xf numFmtId="164" fontId="54" fillId="13" borderId="13" xfId="39" applyNumberFormat="1" applyFont="1" applyFill="1" applyBorder="1"/>
    <xf numFmtId="164" fontId="54" fillId="13" borderId="14" xfId="39" applyNumberFormat="1" applyFont="1" applyFill="1" applyBorder="1"/>
    <xf numFmtId="164" fontId="54" fillId="13" borderId="15" xfId="39" applyNumberFormat="1" applyFont="1" applyFill="1" applyBorder="1"/>
    <xf numFmtId="164" fontId="75" fillId="0" borderId="12" xfId="39" applyNumberFormat="1" applyFont="1" applyBorder="1"/>
    <xf numFmtId="164" fontId="75" fillId="0" borderId="34" xfId="39" applyNumberFormat="1" applyFont="1" applyBorder="1"/>
    <xf numFmtId="164" fontId="75" fillId="0" borderId="36" xfId="39" applyNumberFormat="1" applyFont="1" applyBorder="1"/>
    <xf numFmtId="164" fontId="75" fillId="0" borderId="33" xfId="39" applyNumberFormat="1" applyFont="1" applyBorder="1"/>
    <xf numFmtId="164" fontId="75" fillId="0" borderId="35" xfId="39" applyNumberFormat="1" applyFont="1" applyBorder="1"/>
    <xf numFmtId="9" fontId="54" fillId="0" borderId="34" xfId="39" applyFont="1" applyBorder="1" applyAlignment="1">
      <alignment wrapText="1"/>
    </xf>
    <xf numFmtId="0" fontId="71" fillId="0" borderId="0" xfId="14" applyFont="1" applyFill="1" applyBorder="1" applyAlignment="1">
      <alignment horizontal="center" wrapText="1"/>
    </xf>
    <xf numFmtId="167" fontId="118" fillId="10" borderId="171" xfId="0" applyNumberFormat="1" applyFont="1" applyFill="1" applyBorder="1"/>
    <xf numFmtId="167" fontId="118" fillId="10" borderId="188" xfId="0" applyNumberFormat="1" applyFont="1" applyFill="1" applyBorder="1"/>
    <xf numFmtId="167" fontId="59" fillId="9" borderId="168" xfId="0" applyNumberFormat="1" applyFont="1" applyFill="1" applyBorder="1"/>
    <xf numFmtId="9" fontId="79" fillId="15" borderId="171" xfId="0" applyNumberFormat="1" applyFont="1" applyFill="1" applyBorder="1"/>
    <xf numFmtId="9" fontId="79" fillId="15" borderId="188" xfId="0" applyNumberFormat="1" applyFont="1" applyFill="1" applyBorder="1"/>
    <xf numFmtId="9" fontId="79" fillId="15" borderId="194" xfId="39" applyFont="1" applyFill="1" applyBorder="1"/>
    <xf numFmtId="164" fontId="79" fillId="15" borderId="194" xfId="39" applyNumberFormat="1" applyFont="1" applyFill="1" applyBorder="1"/>
    <xf numFmtId="164" fontId="79" fillId="15" borderId="193" xfId="39" applyNumberFormat="1" applyFont="1" applyFill="1" applyBorder="1"/>
    <xf numFmtId="167" fontId="59" fillId="9" borderId="188" xfId="0" applyNumberFormat="1" applyFont="1" applyFill="1" applyBorder="1"/>
    <xf numFmtId="9" fontId="79" fillId="15" borderId="171" xfId="39" applyFont="1" applyFill="1" applyBorder="1"/>
    <xf numFmtId="9" fontId="79" fillId="15" borderId="188" xfId="39" applyFont="1" applyFill="1" applyBorder="1"/>
    <xf numFmtId="0" fontId="57" fillId="0" borderId="191" xfId="0" applyFont="1" applyFill="1" applyBorder="1" applyAlignment="1"/>
    <xf numFmtId="0" fontId="56" fillId="0" borderId="195" xfId="0" applyFont="1" applyBorder="1" applyAlignment="1"/>
    <xf numFmtId="0" fontId="57" fillId="0" borderId="195" xfId="0" applyFont="1" applyFill="1" applyBorder="1" applyAlignment="1"/>
    <xf numFmtId="9" fontId="59" fillId="0" borderId="194" xfId="39" applyFont="1" applyFill="1" applyBorder="1"/>
    <xf numFmtId="0" fontId="68" fillId="0" borderId="0" xfId="9" applyFont="1"/>
    <xf numFmtId="49" fontId="57" fillId="19" borderId="128" xfId="0" applyNumberFormat="1" applyFont="1" applyFill="1" applyBorder="1" applyAlignment="1">
      <alignment horizontal="center"/>
    </xf>
    <xf numFmtId="0" fontId="56" fillId="0" borderId="112" xfId="0" applyFont="1" applyBorder="1" applyAlignment="1">
      <alignment horizontal="right" indent="1"/>
    </xf>
    <xf numFmtId="3" fontId="56" fillId="0" borderId="113" xfId="0" applyNumberFormat="1" applyFont="1" applyFill="1" applyBorder="1" applyAlignment="1">
      <alignment horizontal="right" indent="1"/>
    </xf>
    <xf numFmtId="3" fontId="56" fillId="0" borderId="114" xfId="0" applyNumberFormat="1" applyFont="1" applyFill="1" applyBorder="1" applyAlignment="1">
      <alignment horizontal="right" indent="1"/>
    </xf>
    <xf numFmtId="0" fontId="56" fillId="0" borderId="133" xfId="0" applyFont="1" applyBorder="1" applyAlignment="1">
      <alignment horizontal="right" indent="1"/>
    </xf>
    <xf numFmtId="0" fontId="56" fillId="0" borderId="134" xfId="0" applyFont="1" applyFill="1" applyBorder="1" applyAlignment="1">
      <alignment horizontal="right" indent="1"/>
    </xf>
    <xf numFmtId="0" fontId="56" fillId="0" borderId="135" xfId="0" applyFont="1" applyFill="1" applyBorder="1" applyAlignment="1">
      <alignment horizontal="right" indent="1"/>
    </xf>
    <xf numFmtId="171" fontId="54" fillId="6" borderId="14" xfId="1" applyNumberFormat="1" applyFont="1" applyFill="1" applyBorder="1"/>
    <xf numFmtId="0" fontId="20" fillId="0" borderId="0" xfId="0" applyFont="1"/>
    <xf numFmtId="0" fontId="20" fillId="0" borderId="0" xfId="0" applyFont="1" applyAlignment="1">
      <alignment horizontal="left"/>
    </xf>
    <xf numFmtId="0" fontId="20" fillId="0" borderId="0" xfId="0" applyFont="1" applyAlignment="1"/>
    <xf numFmtId="0" fontId="120" fillId="9" borderId="0" xfId="0" applyFont="1" applyFill="1" applyAlignment="1">
      <alignment vertical="top" wrapText="1"/>
    </xf>
    <xf numFmtId="0" fontId="71" fillId="0" borderId="0" xfId="16" applyFont="1" applyFill="1" applyBorder="1" applyAlignment="1">
      <alignment horizontal="center" vertical="center"/>
    </xf>
    <xf numFmtId="0" fontId="71" fillId="0" borderId="0" xfId="16" applyFont="1" applyAlignment="1">
      <alignment vertical="center"/>
    </xf>
    <xf numFmtId="9" fontId="75" fillId="21" borderId="0" xfId="39" applyFont="1" applyFill="1"/>
    <xf numFmtId="0" fontId="75" fillId="0" borderId="34" xfId="0" applyFont="1" applyBorder="1"/>
    <xf numFmtId="3" fontId="81" fillId="0" borderId="22" xfId="14" applyNumberFormat="1" applyFont="1" applyBorder="1"/>
    <xf numFmtId="3" fontId="81" fillId="0" borderId="24" xfId="14" applyNumberFormat="1" applyFont="1" applyBorder="1"/>
    <xf numFmtId="3" fontId="81" fillId="0" borderId="53" xfId="14" applyNumberFormat="1" applyFont="1" applyBorder="1"/>
    <xf numFmtId="0" fontId="56" fillId="9" borderId="190" xfId="0" applyFont="1" applyFill="1" applyBorder="1" applyAlignment="1">
      <alignment horizontal="left" indent="1"/>
    </xf>
    <xf numFmtId="0" fontId="56" fillId="9" borderId="0" xfId="0" applyFont="1" applyFill="1" applyBorder="1" applyAlignment="1">
      <alignment horizontal="left" indent="1"/>
    </xf>
    <xf numFmtId="0" fontId="76" fillId="15" borderId="178" xfId="0" applyFont="1" applyFill="1" applyBorder="1" applyAlignment="1"/>
    <xf numFmtId="0" fontId="64" fillId="0" borderId="0" xfId="0" applyFont="1" applyAlignment="1">
      <alignment horizontal="right"/>
    </xf>
    <xf numFmtId="0" fontId="72" fillId="0" borderId="0" xfId="27" applyFont="1" applyFill="1" applyBorder="1" applyAlignment="1">
      <alignment horizontal="center" wrapText="1"/>
    </xf>
    <xf numFmtId="5" fontId="75" fillId="0" borderId="0" xfId="0" applyNumberFormat="1" applyFont="1" applyBorder="1" applyAlignment="1"/>
    <xf numFmtId="5" fontId="72" fillId="0" borderId="202" xfId="26" applyNumberFormat="1" applyFont="1" applyFill="1" applyBorder="1" applyAlignment="1">
      <alignment wrapText="1"/>
    </xf>
    <xf numFmtId="5" fontId="72" fillId="0" borderId="202" xfId="3" applyNumberFormat="1" applyFont="1" applyFill="1" applyBorder="1" applyAlignment="1">
      <alignment wrapText="1"/>
    </xf>
    <xf numFmtId="5" fontId="72" fillId="0" borderId="202" xfId="3" applyNumberFormat="1" applyFont="1" applyBorder="1" applyAlignment="1"/>
    <xf numFmtId="5" fontId="72" fillId="0" borderId="0" xfId="3" applyNumberFormat="1" applyFont="1" applyBorder="1" applyAlignment="1"/>
    <xf numFmtId="5" fontId="72" fillId="0" borderId="0" xfId="3" applyNumberFormat="1" applyFont="1" applyFill="1" applyBorder="1" applyAlignment="1">
      <alignment wrapText="1"/>
    </xf>
    <xf numFmtId="5" fontId="72" fillId="0" borderId="0" xfId="27" applyNumberFormat="1" applyFont="1" applyFill="1" applyBorder="1" applyAlignment="1">
      <alignment wrapText="1"/>
    </xf>
    <xf numFmtId="5" fontId="75" fillId="0" borderId="0" xfId="0" applyNumberFormat="1" applyFont="1"/>
    <xf numFmtId="167" fontId="86" fillId="0" borderId="0" xfId="36" applyNumberFormat="1" applyFont="1" applyBorder="1"/>
    <xf numFmtId="5" fontId="73" fillId="0" borderId="0" xfId="0" applyNumberFormat="1" applyFont="1" applyBorder="1" applyAlignment="1"/>
    <xf numFmtId="5" fontId="73" fillId="0" borderId="0" xfId="0" applyNumberFormat="1" applyFont="1" applyBorder="1"/>
    <xf numFmtId="49" fontId="2" fillId="0" borderId="0" xfId="9" applyNumberFormat="1" applyFont="1" applyAlignment="1">
      <alignment horizontal="center"/>
    </xf>
    <xf numFmtId="171" fontId="73" fillId="0" borderId="0" xfId="2" applyNumberFormat="1" applyFont="1"/>
    <xf numFmtId="166" fontId="32" fillId="0" borderId="0" xfId="38" applyNumberFormat="1" applyFont="1" applyFill="1" applyBorder="1" applyAlignment="1">
      <alignment horizontal="right" wrapText="1"/>
    </xf>
    <xf numFmtId="0" fontId="64" fillId="0" borderId="0" xfId="0" applyFont="1" applyFill="1" applyBorder="1" applyAlignment="1">
      <alignment horizontal="right"/>
    </xf>
    <xf numFmtId="0" fontId="64" fillId="0" borderId="0" xfId="0" quotePrefix="1" applyFont="1" applyFill="1" applyBorder="1" applyAlignment="1">
      <alignment horizontal="left"/>
    </xf>
    <xf numFmtId="0" fontId="64" fillId="0" borderId="0" xfId="0" applyFont="1" applyFill="1" applyBorder="1" applyAlignment="1"/>
    <xf numFmtId="0" fontId="64" fillId="0" borderId="40" xfId="0" applyFont="1" applyFill="1" applyBorder="1" applyAlignment="1" applyProtection="1">
      <alignment vertical="center"/>
      <protection locked="0"/>
    </xf>
    <xf numFmtId="0" fontId="64" fillId="0" borderId="190" xfId="0" applyFont="1" applyFill="1" applyBorder="1" applyAlignment="1">
      <alignment horizontal="right"/>
    </xf>
    <xf numFmtId="0" fontId="65" fillId="0" borderId="0" xfId="0" applyFont="1" applyBorder="1"/>
    <xf numFmtId="173" fontId="24" fillId="0" borderId="42" xfId="0" applyNumberFormat="1" applyFont="1" applyFill="1" applyBorder="1"/>
    <xf numFmtId="9" fontId="24" fillId="6" borderId="42" xfId="39" applyFont="1" applyFill="1" applyBorder="1"/>
    <xf numFmtId="9" fontId="22" fillId="0" borderId="206" xfId="39" applyFont="1" applyFill="1" applyBorder="1"/>
    <xf numFmtId="9" fontId="22" fillId="0" borderId="206" xfId="0" applyNumberFormat="1" applyFont="1" applyFill="1" applyBorder="1"/>
    <xf numFmtId="9" fontId="22" fillId="0" borderId="167" xfId="39" applyFont="1" applyFill="1" applyBorder="1"/>
    <xf numFmtId="9" fontId="22" fillId="0" borderId="167" xfId="0" applyNumberFormat="1" applyFont="1" applyFill="1" applyBorder="1"/>
    <xf numFmtId="3" fontId="24" fillId="6" borderId="42" xfId="0" applyNumberFormat="1" applyFont="1" applyFill="1" applyBorder="1" applyAlignment="1">
      <alignment horizontal="right" vertical="center"/>
    </xf>
    <xf numFmtId="3" fontId="22" fillId="0" borderId="206" xfId="0" applyNumberFormat="1" applyFont="1" applyFill="1" applyBorder="1" applyAlignment="1">
      <alignment horizontal="right" vertical="center"/>
    </xf>
    <xf numFmtId="3" fontId="22" fillId="0" borderId="167" xfId="0" applyNumberFormat="1" applyFont="1" applyFill="1" applyBorder="1" applyAlignment="1">
      <alignment horizontal="right" vertical="center"/>
    </xf>
    <xf numFmtId="3" fontId="24" fillId="6" borderId="42" xfId="0" applyNumberFormat="1" applyFont="1" applyFill="1" applyBorder="1"/>
    <xf numFmtId="3" fontId="22" fillId="0" borderId="206" xfId="0" applyNumberFormat="1" applyFont="1" applyFill="1" applyBorder="1"/>
    <xf numFmtId="3" fontId="22" fillId="0" borderId="167" xfId="0" applyNumberFormat="1" applyFont="1" applyFill="1" applyBorder="1"/>
    <xf numFmtId="3" fontId="22" fillId="0" borderId="27" xfId="0" applyNumberFormat="1" applyFont="1" applyFill="1" applyBorder="1" applyAlignment="1">
      <alignment horizontal="right" vertical="center"/>
    </xf>
    <xf numFmtId="3" fontId="22" fillId="0" borderId="92" xfId="0" applyNumberFormat="1" applyFont="1" applyFill="1" applyBorder="1" applyAlignment="1">
      <alignment horizontal="right" vertical="center"/>
    </xf>
    <xf numFmtId="3" fontId="22" fillId="0" borderId="26" xfId="0" applyNumberFormat="1" applyFont="1" applyFill="1" applyBorder="1" applyAlignment="1">
      <alignment horizontal="right" vertical="center"/>
    </xf>
    <xf numFmtId="3" fontId="22" fillId="0" borderId="27" xfId="0" applyNumberFormat="1" applyFont="1" applyFill="1" applyBorder="1"/>
    <xf numFmtId="3" fontId="22" fillId="0" borderId="92" xfId="0" applyNumberFormat="1" applyFont="1" applyFill="1" applyBorder="1"/>
    <xf numFmtId="3" fontId="22" fillId="0" borderId="26" xfId="0" applyNumberFormat="1" applyFont="1" applyFill="1" applyBorder="1"/>
    <xf numFmtId="165" fontId="24" fillId="6" borderId="42" xfId="39" applyNumberFormat="1" applyFont="1" applyFill="1" applyBorder="1"/>
    <xf numFmtId="165" fontId="22" fillId="0" borderId="206" xfId="39" applyNumberFormat="1" applyFont="1" applyFill="1" applyBorder="1"/>
    <xf numFmtId="165" fontId="22" fillId="0" borderId="206" xfId="0" applyNumberFormat="1" applyFont="1" applyFill="1" applyBorder="1"/>
    <xf numFmtId="180" fontId="24" fillId="6" borderId="21" xfId="0" applyNumberFormat="1" applyFont="1" applyFill="1" applyBorder="1"/>
    <xf numFmtId="180" fontId="22" fillId="0" borderId="167" xfId="0" applyNumberFormat="1" applyFont="1" applyFill="1" applyBorder="1"/>
    <xf numFmtId="0" fontId="28" fillId="0" borderId="0" xfId="15" applyFont="1" applyAlignment="1">
      <alignment horizontal="left" wrapText="1"/>
    </xf>
    <xf numFmtId="0" fontId="71" fillId="0" borderId="207" xfId="14" quotePrefix="1" applyFont="1" applyFill="1" applyBorder="1" applyAlignment="1">
      <alignment horizontal="center" wrapText="1"/>
    </xf>
    <xf numFmtId="164" fontId="71" fillId="23" borderId="190" xfId="14" applyNumberFormat="1" applyFont="1" applyFill="1" applyBorder="1" applyAlignment="1">
      <alignment horizontal="center" wrapText="1"/>
    </xf>
    <xf numFmtId="164" fontId="72" fillId="0" borderId="190" xfId="14" applyNumberFormat="1" applyFont="1" applyFill="1" applyBorder="1" applyAlignment="1">
      <alignment horizontal="center" wrapText="1"/>
    </xf>
    <xf numFmtId="0" fontId="71" fillId="0" borderId="208" xfId="14" quotePrefix="1" applyFont="1" applyFill="1" applyBorder="1" applyAlignment="1">
      <alignment horizontal="center" wrapText="1"/>
    </xf>
    <xf numFmtId="164" fontId="71" fillId="23" borderId="167" xfId="14" applyNumberFormat="1" applyFont="1" applyFill="1" applyBorder="1" applyAlignment="1">
      <alignment horizontal="center" wrapText="1"/>
    </xf>
    <xf numFmtId="164" fontId="72" fillId="0" borderId="167" xfId="14" applyNumberFormat="1" applyFont="1" applyFill="1" applyBorder="1" applyAlignment="1">
      <alignment horizontal="center" wrapText="1"/>
    </xf>
    <xf numFmtId="164" fontId="72" fillId="0" borderId="194" xfId="14" applyNumberFormat="1" applyFont="1" applyFill="1" applyBorder="1" applyAlignment="1">
      <alignment horizontal="center" wrapText="1"/>
    </xf>
    <xf numFmtId="164" fontId="72" fillId="0" borderId="206" xfId="14" applyNumberFormat="1" applyFont="1" applyFill="1" applyBorder="1" applyAlignment="1">
      <alignment horizontal="center" wrapText="1"/>
    </xf>
    <xf numFmtId="164" fontId="72" fillId="0" borderId="168" xfId="14" applyNumberFormat="1" applyFont="1" applyFill="1" applyBorder="1" applyAlignment="1">
      <alignment horizontal="center" wrapText="1"/>
    </xf>
    <xf numFmtId="0" fontId="71" fillId="0" borderId="209" xfId="14" applyFont="1" applyFill="1" applyBorder="1" applyAlignment="1">
      <alignment horizontal="center" wrapText="1"/>
    </xf>
    <xf numFmtId="171" fontId="69" fillId="23" borderId="206" xfId="14" applyNumberFormat="1" applyFont="1" applyFill="1" applyBorder="1"/>
    <xf numFmtId="171" fontId="81" fillId="0" borderId="206" xfId="1" applyNumberFormat="1" applyFont="1" applyBorder="1"/>
    <xf numFmtId="0" fontId="71" fillId="0" borderId="210" xfId="14" applyFont="1" applyFill="1" applyBorder="1" applyAlignment="1">
      <alignment horizontal="center" wrapText="1"/>
    </xf>
    <xf numFmtId="0" fontId="71" fillId="0" borderId="208" xfId="14" applyFont="1" applyFill="1" applyBorder="1" applyAlignment="1">
      <alignment horizontal="center" wrapText="1"/>
    </xf>
    <xf numFmtId="0" fontId="81" fillId="0" borderId="205" xfId="14" applyFont="1" applyBorder="1"/>
    <xf numFmtId="0" fontId="81" fillId="0" borderId="167" xfId="14" applyFont="1" applyBorder="1"/>
    <xf numFmtId="3" fontId="72" fillId="0" borderId="206" xfId="14" applyNumberFormat="1" applyFont="1" applyFill="1" applyBorder="1" applyAlignment="1">
      <alignment horizontal="right" wrapText="1"/>
    </xf>
    <xf numFmtId="171" fontId="69" fillId="23" borderId="205" xfId="1" applyNumberFormat="1" applyFont="1" applyFill="1" applyBorder="1"/>
    <xf numFmtId="171" fontId="69" fillId="23" borderId="167" xfId="1" applyNumberFormat="1" applyFont="1" applyFill="1" applyBorder="1"/>
    <xf numFmtId="0" fontId="28" fillId="0" borderId="0" xfId="15" applyFont="1" applyAlignment="1">
      <alignment horizontal="left" wrapText="1"/>
    </xf>
    <xf numFmtId="0" fontId="75" fillId="0" borderId="0" xfId="15" applyFont="1" applyAlignment="1">
      <alignment horizontal="left" wrapText="1"/>
    </xf>
    <xf numFmtId="49" fontId="83" fillId="0" borderId="0" xfId="19" applyNumberFormat="1" applyFont="1" applyBorder="1" applyAlignment="1">
      <alignment horizontal="center" wrapText="1"/>
    </xf>
    <xf numFmtId="3" fontId="54" fillId="11" borderId="0" xfId="15" applyNumberFormat="1" applyFont="1" applyFill="1" applyBorder="1" applyAlignment="1">
      <alignment horizontal="right" vertical="top"/>
    </xf>
    <xf numFmtId="171" fontId="75" fillId="0" borderId="0" xfId="1" applyNumberFormat="1" applyFont="1" applyFill="1" applyBorder="1"/>
    <xf numFmtId="3" fontId="54" fillId="6" borderId="0" xfId="15" applyNumberFormat="1" applyFont="1" applyFill="1" applyBorder="1"/>
    <xf numFmtId="3" fontId="75" fillId="0" borderId="0" xfId="15" applyNumberFormat="1" applyFont="1" applyBorder="1"/>
    <xf numFmtId="171" fontId="54" fillId="6" borderId="0" xfId="1" applyNumberFormat="1" applyFont="1" applyFill="1" applyBorder="1" applyAlignment="1">
      <alignment horizontal="center" wrapText="1"/>
    </xf>
    <xf numFmtId="3" fontId="75" fillId="0" borderId="0" xfId="15" applyNumberFormat="1" applyFont="1" applyFill="1" applyBorder="1"/>
    <xf numFmtId="0" fontId="54" fillId="0" borderId="211" xfId="15" applyFont="1" applyFill="1" applyBorder="1" applyAlignment="1">
      <alignment horizontal="center" wrapText="1"/>
    </xf>
    <xf numFmtId="171" fontId="54" fillId="6" borderId="188" xfId="1" applyNumberFormat="1" applyFont="1" applyFill="1" applyBorder="1" applyAlignment="1">
      <alignment horizontal="center" wrapText="1"/>
    </xf>
    <xf numFmtId="3" fontId="75" fillId="0" borderId="188" xfId="15" applyNumberFormat="1" applyFont="1" applyFill="1" applyBorder="1"/>
    <xf numFmtId="3" fontId="54" fillId="0" borderId="211" xfId="15" applyNumberFormat="1" applyFont="1" applyFill="1" applyBorder="1" applyAlignment="1">
      <alignment vertical="top"/>
    </xf>
    <xf numFmtId="3" fontId="56" fillId="9" borderId="205" xfId="0" applyNumberFormat="1" applyFont="1" applyFill="1" applyBorder="1" applyAlignment="1">
      <alignment horizontal="right" indent="1"/>
    </xf>
    <xf numFmtId="3" fontId="56" fillId="11" borderId="205" xfId="0" applyNumberFormat="1" applyFont="1" applyFill="1" applyBorder="1" applyAlignment="1">
      <alignment horizontal="right" indent="1"/>
    </xf>
    <xf numFmtId="3" fontId="56" fillId="0" borderId="205" xfId="0" applyNumberFormat="1" applyFont="1" applyBorder="1" applyAlignment="1">
      <alignment horizontal="right" indent="1"/>
    </xf>
    <xf numFmtId="9" fontId="103" fillId="0" borderId="0" xfId="39" applyFont="1" applyFill="1" applyAlignment="1">
      <alignment vertical="center" wrapText="1"/>
    </xf>
    <xf numFmtId="171" fontId="54" fillId="8" borderId="0" xfId="1" applyNumberFormat="1" applyFont="1" applyFill="1"/>
    <xf numFmtId="0" fontId="57" fillId="18" borderId="211" xfId="0" applyFont="1" applyFill="1" applyBorder="1" applyAlignment="1">
      <alignment wrapText="1"/>
    </xf>
    <xf numFmtId="0" fontId="54" fillId="0" borderId="42" xfId="15" applyFont="1" applyFill="1" applyBorder="1" applyAlignment="1">
      <alignment horizontal="center" wrapText="1"/>
    </xf>
    <xf numFmtId="171" fontId="75" fillId="0" borderId="206" xfId="1" applyNumberFormat="1" applyFont="1" applyFill="1" applyBorder="1"/>
    <xf numFmtId="171" fontId="75" fillId="0" borderId="214" xfId="1" applyNumberFormat="1" applyFont="1" applyFill="1" applyBorder="1"/>
    <xf numFmtId="0" fontId="54" fillId="0" borderId="215" xfId="15" applyFont="1" applyFill="1" applyBorder="1" applyAlignment="1">
      <alignment horizontal="center" wrapText="1"/>
    </xf>
    <xf numFmtId="171" fontId="75" fillId="0" borderId="205" xfId="1" applyNumberFormat="1" applyFont="1" applyFill="1" applyBorder="1"/>
    <xf numFmtId="171" fontId="75" fillId="0" borderId="168" xfId="1" applyNumberFormat="1" applyFont="1" applyFill="1" applyBorder="1"/>
    <xf numFmtId="171" fontId="75" fillId="0" borderId="167" xfId="1" applyNumberFormat="1" applyFont="1" applyFill="1" applyBorder="1"/>
    <xf numFmtId="171" fontId="75" fillId="0" borderId="194" xfId="1" applyNumberFormat="1" applyFont="1" applyFill="1" applyBorder="1"/>
    <xf numFmtId="171" fontId="75" fillId="0" borderId="212" xfId="1" applyNumberFormat="1" applyFont="1" applyFill="1" applyBorder="1"/>
    <xf numFmtId="171" fontId="75" fillId="0" borderId="213" xfId="1" applyNumberFormat="1" applyFont="1" applyFill="1" applyBorder="1"/>
    <xf numFmtId="3" fontId="54" fillId="11" borderId="194" xfId="15" applyNumberFormat="1" applyFont="1" applyFill="1" applyBorder="1" applyAlignment="1">
      <alignment horizontal="right" vertical="top"/>
    </xf>
    <xf numFmtId="0" fontId="28" fillId="0" borderId="0" xfId="15" applyFont="1" applyAlignment="1">
      <alignment horizontal="left" wrapText="1"/>
    </xf>
    <xf numFmtId="3" fontId="75" fillId="0" borderId="188" xfId="15" applyNumberFormat="1" applyFont="1" applyFill="1" applyBorder="1" applyAlignment="1">
      <alignment horizontal="right" vertical="top"/>
    </xf>
    <xf numFmtId="3" fontId="75" fillId="0" borderId="193" xfId="15" applyNumberFormat="1" applyFont="1" applyFill="1" applyBorder="1" applyAlignment="1">
      <alignment horizontal="right" vertical="top"/>
    </xf>
    <xf numFmtId="3" fontId="54" fillId="6" borderId="211" xfId="15" applyNumberFormat="1" applyFont="1" applyFill="1" applyBorder="1" applyAlignment="1">
      <alignment horizontal="right" vertical="top"/>
    </xf>
    <xf numFmtId="171" fontId="75" fillId="0" borderId="188" xfId="1" applyNumberFormat="1" applyFont="1" applyBorder="1"/>
    <xf numFmtId="171" fontId="75" fillId="0" borderId="193" xfId="1" applyNumberFormat="1" applyFont="1" applyBorder="1"/>
    <xf numFmtId="0" fontId="54" fillId="0" borderId="211" xfId="15" applyFont="1" applyBorder="1"/>
    <xf numFmtId="3" fontId="54" fillId="6" borderId="211" xfId="15" applyNumberFormat="1" applyFont="1" applyFill="1" applyBorder="1"/>
    <xf numFmtId="0" fontId="75" fillId="0" borderId="0" xfId="15" applyFont="1" applyAlignment="1">
      <alignment horizontal="left" wrapText="1"/>
    </xf>
    <xf numFmtId="167" fontId="55" fillId="0" borderId="0" xfId="0" applyNumberFormat="1" applyFont="1" applyBorder="1"/>
    <xf numFmtId="167" fontId="73" fillId="0" borderId="0" xfId="0" applyNumberFormat="1" applyFont="1" applyBorder="1" applyAlignment="1"/>
    <xf numFmtId="0" fontId="89" fillId="6" borderId="65" xfId="36" applyFont="1" applyFill="1" applyBorder="1" applyAlignment="1">
      <alignment horizontal="left" wrapText="1"/>
    </xf>
    <xf numFmtId="0" fontId="89" fillId="6" borderId="66" xfId="36" applyFont="1" applyFill="1" applyBorder="1" applyAlignment="1">
      <alignment wrapText="1"/>
    </xf>
    <xf numFmtId="0" fontId="89" fillId="6" borderId="67" xfId="36" applyFont="1" applyFill="1" applyBorder="1" applyAlignment="1">
      <alignment wrapText="1"/>
    </xf>
    <xf numFmtId="5" fontId="90" fillId="6" borderId="37" xfId="3" applyNumberFormat="1" applyFont="1" applyFill="1" applyBorder="1"/>
    <xf numFmtId="5" fontId="90" fillId="6" borderId="189" xfId="0" applyNumberFormat="1" applyFont="1" applyFill="1" applyBorder="1"/>
    <xf numFmtId="0" fontId="1" fillId="0" borderId="0" xfId="0" applyFont="1"/>
    <xf numFmtId="167" fontId="88" fillId="0" borderId="0" xfId="36" applyNumberFormat="1" applyFont="1" applyFill="1" applyBorder="1" applyAlignment="1">
      <alignment wrapText="1"/>
    </xf>
    <xf numFmtId="0" fontId="88" fillId="0" borderId="0" xfId="36" applyFont="1" applyFill="1" applyBorder="1" applyAlignment="1">
      <alignment wrapText="1"/>
    </xf>
    <xf numFmtId="0" fontId="121" fillId="0" borderId="0" xfId="0" applyFont="1" applyBorder="1"/>
    <xf numFmtId="167" fontId="88" fillId="0" borderId="87" xfId="37" applyNumberFormat="1" applyFont="1" applyFill="1" applyBorder="1" applyAlignment="1">
      <alignment horizontal="right" wrapText="1"/>
    </xf>
    <xf numFmtId="167" fontId="88" fillId="0" borderId="63" xfId="37" applyNumberFormat="1" applyFont="1" applyFill="1" applyBorder="1" applyAlignment="1">
      <alignment horizontal="right" wrapText="1"/>
    </xf>
    <xf numFmtId="5" fontId="88" fillId="0" borderId="64" xfId="37" applyNumberFormat="1" applyFont="1" applyFill="1" applyBorder="1" applyAlignment="1">
      <alignment horizontal="right" wrapText="1"/>
    </xf>
    <xf numFmtId="5" fontId="1" fillId="0" borderId="188" xfId="0" applyNumberFormat="1" applyFont="1" applyBorder="1"/>
    <xf numFmtId="0" fontId="1" fillId="0" borderId="0" xfId="0" applyFont="1" applyBorder="1"/>
    <xf numFmtId="167" fontId="88" fillId="0" borderId="37" xfId="37" applyNumberFormat="1" applyFont="1" applyBorder="1"/>
    <xf numFmtId="167" fontId="88" fillId="0" borderId="38" xfId="37" applyNumberFormat="1" applyFont="1" applyBorder="1"/>
    <xf numFmtId="167" fontId="88" fillId="0" borderId="37" xfId="37" applyNumberFormat="1" applyFont="1" applyFill="1" applyBorder="1" applyAlignment="1">
      <alignment horizontal="right" wrapText="1"/>
    </xf>
    <xf numFmtId="167" fontId="88" fillId="0" borderId="38" xfId="37" applyNumberFormat="1" applyFont="1" applyFill="1" applyBorder="1" applyAlignment="1">
      <alignment horizontal="right" wrapText="1"/>
    </xf>
    <xf numFmtId="0" fontId="121" fillId="0" borderId="12" xfId="0" applyFont="1" applyBorder="1"/>
    <xf numFmtId="167" fontId="88" fillId="0" borderId="79" xfId="37" applyNumberFormat="1" applyFont="1" applyFill="1" applyBorder="1" applyAlignment="1">
      <alignment horizontal="right" wrapText="1"/>
    </xf>
    <xf numFmtId="167" fontId="88" fillId="0" borderId="80" xfId="37" applyNumberFormat="1" applyFont="1" applyFill="1" applyBorder="1" applyAlignment="1">
      <alignment horizontal="right" wrapText="1"/>
    </xf>
    <xf numFmtId="166" fontId="1" fillId="0" borderId="0" xfId="0" applyNumberFormat="1" applyFont="1"/>
    <xf numFmtId="5" fontId="1" fillId="0" borderId="0" xfId="0" applyNumberFormat="1" applyFont="1" applyBorder="1" applyAlignment="1"/>
    <xf numFmtId="0" fontId="89" fillId="0" borderId="2" xfId="23" applyFont="1" applyFill="1" applyBorder="1" applyAlignment="1">
      <alignment horizontal="center" wrapText="1"/>
    </xf>
    <xf numFmtId="0" fontId="89" fillId="0" borderId="6" xfId="23" applyFont="1" applyFill="1" applyBorder="1" applyAlignment="1">
      <alignment horizontal="left"/>
    </xf>
    <xf numFmtId="0" fontId="89" fillId="0" borderId="2" xfId="23" applyFont="1" applyFill="1" applyBorder="1" applyAlignment="1">
      <alignment horizontal="center"/>
    </xf>
    <xf numFmtId="0" fontId="89" fillId="22" borderId="0" xfId="23" applyFont="1" applyFill="1" applyBorder="1" applyAlignment="1">
      <alignment horizontal="center"/>
    </xf>
    <xf numFmtId="0" fontId="89" fillId="22" borderId="0" xfId="23" applyFont="1" applyFill="1" applyBorder="1" applyAlignment="1">
      <alignment horizontal="left"/>
    </xf>
    <xf numFmtId="167" fontId="90" fillId="6" borderId="3" xfId="0" applyNumberFormat="1" applyFont="1" applyFill="1" applyBorder="1"/>
    <xf numFmtId="0" fontId="88" fillId="0" borderId="1" xfId="23" applyFont="1" applyFill="1" applyBorder="1" applyAlignment="1">
      <alignment horizontal="center" wrapText="1"/>
    </xf>
    <xf numFmtId="0" fontId="88" fillId="0" borderId="11" xfId="23" applyFont="1" applyFill="1" applyBorder="1" applyAlignment="1">
      <alignment wrapText="1"/>
    </xf>
    <xf numFmtId="5" fontId="122" fillId="0" borderId="84" xfId="34" applyNumberFormat="1" applyFont="1" applyFill="1" applyBorder="1" applyAlignment="1">
      <alignment horizontal="right" wrapText="1"/>
    </xf>
    <xf numFmtId="5" fontId="1" fillId="0" borderId="0" xfId="0" applyNumberFormat="1" applyFont="1"/>
    <xf numFmtId="0" fontId="89" fillId="0" borderId="85" xfId="23" applyFont="1" applyFill="1" applyBorder="1" applyAlignment="1">
      <alignment horizontal="center" wrapText="1"/>
    </xf>
    <xf numFmtId="0" fontId="89" fillId="0" borderId="85" xfId="24" applyFont="1" applyFill="1" applyBorder="1" applyAlignment="1">
      <alignment horizontal="left"/>
    </xf>
    <xf numFmtId="0" fontId="89" fillId="0" borderId="85" xfId="24" applyFont="1" applyFill="1" applyBorder="1" applyAlignment="1">
      <alignment horizontal="center"/>
    </xf>
    <xf numFmtId="0" fontId="89" fillId="22" borderId="3" xfId="23" applyFont="1" applyFill="1" applyBorder="1" applyAlignment="1">
      <alignment horizontal="center"/>
    </xf>
    <xf numFmtId="0" fontId="89" fillId="22" borderId="3" xfId="24" applyFont="1" applyFill="1" applyBorder="1" applyAlignment="1">
      <alignment horizontal="left"/>
    </xf>
    <xf numFmtId="167" fontId="89" fillId="22" borderId="3" xfId="24" applyNumberFormat="1" applyFont="1" applyFill="1" applyBorder="1" applyAlignment="1"/>
    <xf numFmtId="0" fontId="88" fillId="0" borderId="3" xfId="23" applyFont="1" applyFill="1" applyBorder="1" applyAlignment="1">
      <alignment horizontal="center" wrapText="1"/>
    </xf>
    <xf numFmtId="0" fontId="88" fillId="0" borderId="3" xfId="24" applyFont="1" applyFill="1" applyBorder="1" applyAlignment="1">
      <alignment wrapText="1"/>
    </xf>
    <xf numFmtId="167" fontId="122" fillId="0" borderId="3" xfId="35" applyNumberFormat="1" applyFont="1" applyFill="1" applyBorder="1" applyAlignment="1">
      <alignment horizontal="right" wrapText="1"/>
    </xf>
    <xf numFmtId="0" fontId="88" fillId="0" borderId="86" xfId="23" applyFont="1" applyFill="1" applyBorder="1" applyAlignment="1">
      <alignment horizontal="center" wrapText="1"/>
    </xf>
    <xf numFmtId="0" fontId="88" fillId="0" borderId="86" xfId="24" applyFont="1" applyFill="1" applyBorder="1" applyAlignment="1">
      <alignment wrapText="1"/>
    </xf>
    <xf numFmtId="167" fontId="122" fillId="0" borderId="86" xfId="35" applyNumberFormat="1" applyFont="1" applyFill="1" applyBorder="1" applyAlignment="1">
      <alignment horizontal="right" wrapText="1"/>
    </xf>
    <xf numFmtId="166" fontId="123" fillId="0" borderId="0" xfId="0" applyNumberFormat="1" applyFont="1"/>
    <xf numFmtId="5" fontId="91" fillId="8" borderId="0" xfId="2" applyNumberFormat="1" applyFont="1" applyFill="1" applyAlignment="1">
      <alignment horizontal="center"/>
    </xf>
    <xf numFmtId="5" fontId="92" fillId="0" borderId="0" xfId="1" applyNumberFormat="1" applyFont="1" applyAlignment="1">
      <alignment horizontal="right"/>
    </xf>
    <xf numFmtId="5" fontId="92" fillId="24" borderId="0" xfId="1" applyNumberFormat="1" applyFont="1" applyFill="1"/>
    <xf numFmtId="5" fontId="47" fillId="0" borderId="0" xfId="2" applyNumberFormat="1" applyFont="1"/>
    <xf numFmtId="171" fontId="56" fillId="0" borderId="216" xfId="1" applyNumberFormat="1" applyFont="1" applyFill="1" applyBorder="1" applyAlignment="1">
      <alignment horizontal="right"/>
    </xf>
    <xf numFmtId="171" fontId="56" fillId="0" borderId="216" xfId="1" applyNumberFormat="1" applyFont="1" applyFill="1" applyBorder="1"/>
    <xf numFmtId="37" fontId="102" fillId="0" borderId="0" xfId="39" applyNumberFormat="1" applyFont="1" applyAlignment="1">
      <alignment vertical="center"/>
    </xf>
    <xf numFmtId="9" fontId="103" fillId="0" borderId="0" xfId="39" applyFont="1" applyFill="1" applyBorder="1" applyAlignment="1">
      <alignment vertical="center" wrapText="1"/>
    </xf>
    <xf numFmtId="0" fontId="57" fillId="0" borderId="216" xfId="0" applyFont="1" applyFill="1" applyBorder="1" applyAlignment="1">
      <alignment vertical="center"/>
    </xf>
    <xf numFmtId="3" fontId="75" fillId="0" borderId="217" xfId="15" applyNumberFormat="1" applyFont="1" applyFill="1" applyBorder="1"/>
    <xf numFmtId="3" fontId="75" fillId="0" borderId="193" xfId="15" applyNumberFormat="1" applyFont="1" applyFill="1" applyBorder="1"/>
    <xf numFmtId="171" fontId="54" fillId="6" borderId="211" xfId="1" applyNumberFormat="1" applyFont="1" applyFill="1" applyBorder="1" applyAlignment="1">
      <alignment horizontal="center" wrapText="1"/>
    </xf>
    <xf numFmtId="0" fontId="54" fillId="6" borderId="211" xfId="15" applyFont="1" applyFill="1" applyBorder="1" applyAlignment="1">
      <alignment horizontal="center"/>
    </xf>
    <xf numFmtId="0" fontId="54" fillId="6" borderId="211" xfId="15" applyFont="1" applyFill="1" applyBorder="1" applyAlignment="1">
      <alignment horizontal="left" wrapText="1"/>
    </xf>
    <xf numFmtId="167" fontId="28" fillId="0" borderId="218" xfId="30" applyNumberFormat="1" applyFont="1" applyFill="1" applyBorder="1" applyAlignment="1">
      <alignment wrapText="1"/>
    </xf>
    <xf numFmtId="167" fontId="28" fillId="0" borderId="5" xfId="30" applyNumberFormat="1" applyFont="1" applyFill="1" applyBorder="1" applyAlignment="1">
      <alignment wrapText="1"/>
    </xf>
    <xf numFmtId="167" fontId="63" fillId="0" borderId="219" xfId="3" applyNumberFormat="1" applyFont="1" applyBorder="1" applyAlignment="1"/>
    <xf numFmtId="167" fontId="28" fillId="0" borderId="185" xfId="30" applyNumberFormat="1" applyFont="1" applyBorder="1" applyAlignment="1"/>
    <xf numFmtId="167" fontId="28" fillId="0" borderId="220" xfId="30" applyNumberFormat="1" applyFont="1" applyBorder="1" applyAlignment="1"/>
    <xf numFmtId="167" fontId="28" fillId="0" borderId="185" xfId="30" applyNumberFormat="1" applyFont="1" applyFill="1" applyBorder="1" applyAlignment="1">
      <alignment wrapText="1"/>
    </xf>
    <xf numFmtId="167" fontId="28" fillId="0" borderId="220" xfId="30" applyNumberFormat="1" applyFont="1" applyFill="1" applyBorder="1" applyAlignment="1">
      <alignment wrapText="1"/>
    </xf>
    <xf numFmtId="5" fontId="35" fillId="0" borderId="89" xfId="30" applyNumberFormat="1" applyFont="1" applyBorder="1" applyAlignment="1"/>
    <xf numFmtId="5" fontId="35" fillId="0" borderId="5" xfId="30" applyNumberFormat="1" applyFont="1" applyBorder="1" applyAlignment="1"/>
    <xf numFmtId="5" fontId="35" fillId="0" borderId="185" xfId="30" applyNumberFormat="1" applyFont="1" applyBorder="1" applyAlignment="1"/>
    <xf numFmtId="5" fontId="32" fillId="0" borderId="185" xfId="30" applyNumberFormat="1" applyFont="1" applyFill="1" applyBorder="1" applyAlignment="1">
      <alignment wrapText="1"/>
    </xf>
    <xf numFmtId="5" fontId="32" fillId="0" borderId="0" xfId="30" applyNumberFormat="1" applyFont="1" applyFill="1" applyBorder="1" applyAlignment="1">
      <alignment wrapText="1"/>
    </xf>
    <xf numFmtId="5" fontId="32" fillId="0" borderId="220" xfId="30" applyNumberFormat="1" applyFont="1" applyFill="1" applyBorder="1" applyAlignment="1">
      <alignment wrapText="1"/>
    </xf>
    <xf numFmtId="5" fontId="44" fillId="0" borderId="0" xfId="3" applyNumberFormat="1" applyFont="1" applyBorder="1" applyAlignment="1"/>
    <xf numFmtId="167" fontId="32" fillId="0" borderId="218" xfId="30" applyNumberFormat="1" applyFont="1" applyFill="1" applyBorder="1" applyAlignment="1">
      <alignment wrapText="1"/>
    </xf>
    <xf numFmtId="167" fontId="32" fillId="0" borderId="5" xfId="30" applyNumberFormat="1" applyFont="1" applyFill="1" applyBorder="1" applyAlignment="1">
      <alignment wrapText="1"/>
    </xf>
    <xf numFmtId="167" fontId="32" fillId="0" borderId="219" xfId="30" applyNumberFormat="1" applyFont="1" applyFill="1" applyBorder="1" applyAlignment="1">
      <alignment wrapText="1"/>
    </xf>
    <xf numFmtId="167" fontId="32" fillId="0" borderId="185" xfId="30" applyNumberFormat="1" applyFont="1" applyFill="1" applyBorder="1" applyAlignment="1">
      <alignment wrapText="1"/>
    </xf>
    <xf numFmtId="167" fontId="32" fillId="0" borderId="0" xfId="30" applyNumberFormat="1" applyFont="1" applyFill="1" applyBorder="1" applyAlignment="1">
      <alignment wrapText="1"/>
    </xf>
    <xf numFmtId="167" fontId="32" fillId="0" borderId="220" xfId="30" applyNumberFormat="1" applyFont="1" applyFill="1" applyBorder="1" applyAlignment="1">
      <alignment wrapText="1"/>
    </xf>
    <xf numFmtId="167" fontId="35" fillId="0" borderId="185" xfId="30" applyNumberFormat="1" applyFont="1" applyBorder="1" applyAlignment="1"/>
    <xf numFmtId="167" fontId="35" fillId="0" borderId="220" xfId="30" applyNumberFormat="1" applyFont="1" applyBorder="1" applyAlignment="1"/>
    <xf numFmtId="167" fontId="32" fillId="0" borderId="186" xfId="30" applyNumberFormat="1" applyFont="1" applyFill="1" applyBorder="1" applyAlignment="1">
      <alignment wrapText="1"/>
    </xf>
    <xf numFmtId="167" fontId="32" fillId="0" borderId="176" xfId="30" applyNumberFormat="1" applyFont="1" applyFill="1" applyBorder="1" applyAlignment="1">
      <alignment wrapText="1"/>
    </xf>
    <xf numFmtId="167" fontId="32" fillId="0" borderId="221" xfId="30" applyNumberFormat="1" applyFont="1" applyFill="1" applyBorder="1" applyAlignment="1">
      <alignment wrapText="1"/>
    </xf>
    <xf numFmtId="167" fontId="32" fillId="0" borderId="218" xfId="30" applyNumberFormat="1" applyFont="1" applyFill="1" applyBorder="1" applyAlignment="1">
      <alignment horizontal="right" wrapText="1"/>
    </xf>
    <xf numFmtId="167" fontId="32" fillId="0" borderId="5" xfId="30" applyNumberFormat="1" applyFont="1" applyFill="1" applyBorder="1" applyAlignment="1">
      <alignment horizontal="right" wrapText="1"/>
    </xf>
    <xf numFmtId="167" fontId="32" fillId="0" borderId="219" xfId="30" applyNumberFormat="1" applyFont="1" applyFill="1" applyBorder="1" applyAlignment="1">
      <alignment horizontal="right" wrapText="1"/>
    </xf>
    <xf numFmtId="167" fontId="32" fillId="0" borderId="185" xfId="30" applyNumberFormat="1" applyFont="1" applyFill="1" applyBorder="1" applyAlignment="1">
      <alignment horizontal="right" wrapText="1"/>
    </xf>
    <xf numFmtId="167" fontId="32" fillId="0" borderId="220" xfId="30" applyNumberFormat="1" applyFont="1" applyFill="1" applyBorder="1" applyAlignment="1">
      <alignment horizontal="right" wrapText="1"/>
    </xf>
    <xf numFmtId="167" fontId="35" fillId="0" borderId="185" xfId="30" applyNumberFormat="1" applyFont="1" applyBorder="1"/>
    <xf numFmtId="167" fontId="35" fillId="0" borderId="220" xfId="30" applyNumberFormat="1" applyFont="1" applyBorder="1"/>
    <xf numFmtId="167" fontId="32" fillId="0" borderId="186" xfId="30" applyNumberFormat="1" applyFont="1" applyFill="1" applyBorder="1" applyAlignment="1">
      <alignment horizontal="right" wrapText="1"/>
    </xf>
    <xf numFmtId="167" fontId="32" fillId="0" borderId="176" xfId="30" applyNumberFormat="1" applyFont="1" applyFill="1" applyBorder="1" applyAlignment="1">
      <alignment horizontal="right" wrapText="1"/>
    </xf>
    <xf numFmtId="167" fontId="32" fillId="0" borderId="221" xfId="30" applyNumberFormat="1" applyFont="1" applyFill="1" applyBorder="1" applyAlignment="1">
      <alignment horizontal="right" wrapText="1"/>
    </xf>
    <xf numFmtId="167" fontId="35" fillId="0" borderId="218" xfId="30" applyNumberFormat="1" applyFont="1" applyBorder="1" applyAlignment="1"/>
    <xf numFmtId="167" fontId="35" fillId="0" borderId="5" xfId="30" applyNumberFormat="1" applyFont="1" applyBorder="1" applyAlignment="1"/>
    <xf numFmtId="167" fontId="72" fillId="0" borderId="218" xfId="30" applyNumberFormat="1" applyFont="1" applyBorder="1" applyAlignment="1"/>
    <xf numFmtId="167" fontId="72" fillId="0" borderId="5" xfId="30" applyNumberFormat="1" applyFont="1" applyBorder="1" applyAlignment="1"/>
    <xf numFmtId="167" fontId="72" fillId="0" borderId="185" xfId="30" applyNumberFormat="1" applyFont="1" applyFill="1" applyBorder="1" applyAlignment="1">
      <alignment wrapText="1"/>
    </xf>
    <xf numFmtId="167" fontId="72" fillId="0" borderId="0" xfId="30" applyNumberFormat="1" applyFont="1" applyFill="1" applyBorder="1" applyAlignment="1">
      <alignment wrapText="1"/>
    </xf>
    <xf numFmtId="167" fontId="72" fillId="0" borderId="220" xfId="30" applyNumberFormat="1" applyFont="1" applyFill="1" applyBorder="1" applyAlignment="1">
      <alignment wrapText="1"/>
    </xf>
    <xf numFmtId="167" fontId="72" fillId="0" borderId="185" xfId="30" applyNumberFormat="1" applyFont="1" applyBorder="1" applyAlignment="1"/>
    <xf numFmtId="167" fontId="63" fillId="0" borderId="218" xfId="3" applyNumberFormat="1" applyFont="1" applyBorder="1" applyAlignment="1"/>
    <xf numFmtId="167" fontId="63" fillId="0" borderId="5" xfId="3" applyNumberFormat="1" applyFont="1" applyBorder="1" applyAlignment="1"/>
    <xf numFmtId="167" fontId="63" fillId="0" borderId="185" xfId="3" applyNumberFormat="1" applyFont="1" applyBorder="1" applyAlignment="1"/>
    <xf numFmtId="167" fontId="63" fillId="0" borderId="0" xfId="3" applyNumberFormat="1" applyFont="1" applyBorder="1" applyAlignment="1"/>
    <xf numFmtId="167" fontId="63" fillId="0" borderId="220" xfId="3" applyNumberFormat="1" applyFont="1" applyBorder="1" applyAlignment="1"/>
    <xf numFmtId="167" fontId="35" fillId="0" borderId="218" xfId="30" applyNumberFormat="1" applyFont="1" applyBorder="1"/>
    <xf numFmtId="167" fontId="35" fillId="0" borderId="5" xfId="30" applyNumberFormat="1" applyFont="1" applyBorder="1"/>
    <xf numFmtId="7" fontId="75" fillId="0" borderId="0" xfId="7" applyNumberFormat="1" applyFont="1" applyBorder="1"/>
    <xf numFmtId="167" fontId="54" fillId="6" borderId="222" xfId="0" applyNumberFormat="1" applyFont="1" applyFill="1" applyBorder="1"/>
    <xf numFmtId="0" fontId="71" fillId="0" borderId="222" xfId="25" applyFont="1" applyFill="1" applyBorder="1" applyAlignment="1">
      <alignment horizontal="center" wrapText="1"/>
    </xf>
    <xf numFmtId="5" fontId="73" fillId="0" borderId="0" xfId="3" applyNumberFormat="1" applyFont="1" applyBorder="1"/>
    <xf numFmtId="5" fontId="55" fillId="6" borderId="0" xfId="3" applyNumberFormat="1" applyFont="1" applyFill="1"/>
    <xf numFmtId="5" fontId="81" fillId="0" borderId="0" xfId="14" applyNumberFormat="1" applyFont="1"/>
    <xf numFmtId="167" fontId="118" fillId="0" borderId="16" xfId="0" applyNumberFormat="1" applyFont="1" applyFill="1" applyBorder="1"/>
    <xf numFmtId="167" fontId="118" fillId="0" borderId="17" xfId="0" applyNumberFormat="1" applyFont="1" applyFill="1" applyBorder="1"/>
    <xf numFmtId="167" fontId="118" fillId="0" borderId="18" xfId="0" applyNumberFormat="1" applyFont="1" applyFill="1" applyBorder="1"/>
    <xf numFmtId="167" fontId="59" fillId="0" borderId="171" xfId="0" applyNumberFormat="1" applyFont="1" applyFill="1" applyBorder="1"/>
    <xf numFmtId="167" fontId="59" fillId="0" borderId="168" xfId="0" applyNumberFormat="1" applyFont="1" applyFill="1" applyBorder="1"/>
    <xf numFmtId="167" fontId="59" fillId="0" borderId="23" xfId="0" applyNumberFormat="1" applyFont="1" applyFill="1" applyBorder="1"/>
    <xf numFmtId="167" fontId="59" fillId="0" borderId="188" xfId="0" applyNumberFormat="1" applyFont="1" applyFill="1" applyBorder="1"/>
    <xf numFmtId="0" fontId="54" fillId="0" borderId="0" xfId="0" applyFont="1" applyBorder="1" applyAlignment="1">
      <alignment horizontal="center"/>
    </xf>
    <xf numFmtId="0" fontId="68" fillId="0" borderId="12" xfId="9" applyFont="1" applyBorder="1" applyAlignment="1">
      <alignment horizontal="center" wrapText="1"/>
    </xf>
    <xf numFmtId="164" fontId="72" fillId="0" borderId="223" xfId="16" applyNumberFormat="1" applyFont="1" applyFill="1" applyBorder="1" applyAlignment="1">
      <alignment wrapText="1"/>
    </xf>
    <xf numFmtId="3" fontId="72" fillId="0" borderId="224" xfId="16" applyNumberFormat="1" applyFont="1" applyBorder="1"/>
    <xf numFmtId="164" fontId="72" fillId="0" borderId="224" xfId="16" applyNumberFormat="1" applyFont="1" applyFill="1" applyBorder="1" applyAlignment="1">
      <alignment wrapText="1"/>
    </xf>
    <xf numFmtId="164" fontId="72" fillId="0" borderId="225" xfId="16" applyNumberFormat="1" applyFont="1" applyFill="1" applyBorder="1" applyAlignment="1">
      <alignment wrapText="1"/>
    </xf>
    <xf numFmtId="164" fontId="72" fillId="0" borderId="224" xfId="39" applyNumberFormat="1" applyFont="1" applyFill="1" applyBorder="1" applyAlignment="1">
      <alignment wrapText="1"/>
    </xf>
    <xf numFmtId="3" fontId="72" fillId="0" borderId="226" xfId="16" applyNumberFormat="1" applyFont="1" applyBorder="1"/>
    <xf numFmtId="0" fontId="71" fillId="0" borderId="227" xfId="16" applyFont="1" applyFill="1" applyBorder="1" applyAlignment="1">
      <alignment horizontal="left"/>
    </xf>
    <xf numFmtId="0" fontId="71" fillId="6" borderId="0" xfId="16" applyFont="1" applyFill="1" applyBorder="1" applyAlignment="1">
      <alignment wrapText="1"/>
    </xf>
    <xf numFmtId="0" fontId="72" fillId="0" borderId="228" xfId="16" applyFont="1" applyFill="1" applyBorder="1" applyAlignment="1">
      <alignment wrapText="1"/>
    </xf>
    <xf numFmtId="0" fontId="72" fillId="0" borderId="229" xfId="16" applyFont="1" applyFill="1" applyBorder="1" applyAlignment="1">
      <alignment wrapText="1"/>
    </xf>
    <xf numFmtId="0" fontId="72" fillId="0" borderId="223" xfId="16" applyFont="1" applyFill="1" applyBorder="1" applyAlignment="1">
      <alignment wrapText="1"/>
    </xf>
    <xf numFmtId="0" fontId="71" fillId="0" borderId="0" xfId="16" applyFont="1" applyFill="1" applyBorder="1" applyAlignment="1">
      <alignment horizontal="left"/>
    </xf>
    <xf numFmtId="0" fontId="72" fillId="0" borderId="223" xfId="16" applyFont="1" applyBorder="1"/>
    <xf numFmtId="171" fontId="75" fillId="8" borderId="168" xfId="1" applyNumberFormat="1" applyFont="1" applyFill="1" applyBorder="1"/>
    <xf numFmtId="171" fontId="75" fillId="8" borderId="230" xfId="1" applyNumberFormat="1" applyFont="1" applyFill="1" applyBorder="1"/>
    <xf numFmtId="171" fontId="75" fillId="8" borderId="20" xfId="1" applyNumberFormat="1" applyFont="1" applyFill="1" applyBorder="1"/>
    <xf numFmtId="171" fontId="75" fillId="0" borderId="168" xfId="1" applyNumberFormat="1" applyFont="1" applyBorder="1"/>
    <xf numFmtId="0" fontId="54" fillId="0" borderId="42" xfId="0" applyFont="1" applyBorder="1" applyAlignment="1">
      <alignment horizontal="center"/>
    </xf>
    <xf numFmtId="164" fontId="75" fillId="0" borderId="231" xfId="39" applyNumberFormat="1" applyFont="1" applyBorder="1"/>
    <xf numFmtId="164" fontId="75" fillId="0" borderId="206" xfId="39" applyNumberFormat="1" applyFont="1" applyBorder="1"/>
    <xf numFmtId="0" fontId="72" fillId="0" borderId="232" xfId="16" applyFont="1" applyBorder="1"/>
    <xf numFmtId="164" fontId="75" fillId="0" borderId="205" xfId="39" applyNumberFormat="1" applyFont="1" applyBorder="1"/>
    <xf numFmtId="164" fontId="75" fillId="0" borderId="168" xfId="39" applyNumberFormat="1" applyFont="1" applyBorder="1"/>
    <xf numFmtId="171" fontId="75" fillId="0" borderId="205" xfId="1" applyNumberFormat="1" applyFont="1" applyBorder="1"/>
    <xf numFmtId="171" fontId="75" fillId="0" borderId="206" xfId="1" applyNumberFormat="1" applyFont="1" applyBorder="1"/>
    <xf numFmtId="164" fontId="56" fillId="16" borderId="205" xfId="0" applyNumberFormat="1" applyFont="1" applyFill="1" applyBorder="1" applyAlignment="1">
      <alignment horizontal="center"/>
    </xf>
    <xf numFmtId="164" fontId="56" fillId="0" borderId="205" xfId="0" applyNumberFormat="1" applyFont="1" applyBorder="1" applyAlignment="1">
      <alignment horizontal="center"/>
    </xf>
    <xf numFmtId="164" fontId="56" fillId="0" borderId="233" xfId="0" applyNumberFormat="1" applyFont="1" applyFill="1" applyBorder="1" applyAlignment="1">
      <alignment horizontal="center"/>
    </xf>
    <xf numFmtId="164" fontId="56" fillId="16" borderId="167" xfId="0" applyNumberFormat="1" applyFont="1" applyFill="1" applyBorder="1" applyAlignment="1">
      <alignment horizontal="center"/>
    </xf>
    <xf numFmtId="164" fontId="56" fillId="0" borderId="167" xfId="0" applyNumberFormat="1" applyFont="1" applyBorder="1" applyAlignment="1">
      <alignment horizontal="center"/>
    </xf>
    <xf numFmtId="164" fontId="56" fillId="16" borderId="167" xfId="39" applyNumberFormat="1" applyFont="1" applyFill="1" applyBorder="1" applyAlignment="1">
      <alignment horizontal="center"/>
    </xf>
    <xf numFmtId="164" fontId="56" fillId="0" borderId="235" xfId="39" applyNumberFormat="1" applyFont="1" applyFill="1" applyBorder="1" applyAlignment="1">
      <alignment horizontal="center"/>
    </xf>
    <xf numFmtId="164" fontId="56" fillId="0" borderId="205" xfId="0" applyNumberFormat="1" applyFont="1" applyFill="1" applyBorder="1" applyAlignment="1">
      <alignment horizontal="center"/>
    </xf>
    <xf numFmtId="164" fontId="56" fillId="0" borderId="167" xfId="39" applyNumberFormat="1" applyFont="1" applyFill="1" applyBorder="1" applyAlignment="1">
      <alignment horizontal="center"/>
    </xf>
    <xf numFmtId="164" fontId="56" fillId="0" borderId="167" xfId="39" applyNumberFormat="1" applyFont="1" applyBorder="1" applyAlignment="1">
      <alignment horizontal="center"/>
    </xf>
    <xf numFmtId="164" fontId="56" fillId="16" borderId="234" xfId="0" applyNumberFormat="1" applyFont="1" applyFill="1" applyBorder="1" applyAlignment="1">
      <alignment horizontal="center"/>
    </xf>
    <xf numFmtId="164" fontId="56" fillId="16" borderId="236" xfId="39" applyNumberFormat="1" applyFont="1" applyFill="1" applyBorder="1" applyAlignment="1">
      <alignment horizontal="center"/>
    </xf>
    <xf numFmtId="164" fontId="56" fillId="16" borderId="148" xfId="0" applyNumberFormat="1" applyFont="1" applyFill="1" applyBorder="1" applyAlignment="1">
      <alignment horizontal="center"/>
    </xf>
    <xf numFmtId="164" fontId="56" fillId="16" borderId="147" xfId="39" applyNumberFormat="1" applyFont="1" applyFill="1" applyBorder="1" applyAlignment="1">
      <alignment horizontal="center"/>
    </xf>
    <xf numFmtId="0" fontId="68" fillId="0" borderId="12" xfId="9" applyFont="1" applyBorder="1" applyAlignment="1">
      <alignment horizontal="center" wrapText="1"/>
    </xf>
    <xf numFmtId="0" fontId="68" fillId="0" borderId="0" xfId="9" applyFont="1" applyAlignment="1">
      <alignment horizontal="left" vertical="top" wrapText="1"/>
    </xf>
    <xf numFmtId="3" fontId="72" fillId="0" borderId="237" xfId="16" applyNumberFormat="1" applyFont="1" applyFill="1" applyBorder="1" applyAlignment="1">
      <alignment horizontal="right" vertical="center" wrapText="1"/>
    </xf>
    <xf numFmtId="3" fontId="72" fillId="0" borderId="238" xfId="16" applyNumberFormat="1" applyFont="1" applyFill="1" applyBorder="1" applyAlignment="1">
      <alignment horizontal="right" vertical="center" wrapText="1"/>
    </xf>
    <xf numFmtId="3" fontId="72" fillId="0" borderId="238" xfId="16" applyNumberFormat="1" applyFont="1" applyBorder="1"/>
    <xf numFmtId="0" fontId="72" fillId="0" borderId="0" xfId="16" applyFont="1" applyBorder="1"/>
    <xf numFmtId="0" fontId="68" fillId="0" borderId="195" xfId="9" applyFont="1" applyBorder="1" applyAlignment="1">
      <alignment wrapText="1"/>
    </xf>
    <xf numFmtId="0" fontId="68" fillId="0" borderId="195" xfId="9" applyFont="1" applyBorder="1" applyAlignment="1">
      <alignment horizontal="center" wrapText="1"/>
    </xf>
    <xf numFmtId="3" fontId="63" fillId="0" borderId="195" xfId="9" applyNumberFormat="1" applyFont="1" applyBorder="1" applyAlignment="1">
      <alignment horizontal="right" indent="1"/>
    </xf>
    <xf numFmtId="49" fontId="57" fillId="19" borderId="211" xfId="0" applyNumberFormat="1" applyFont="1" applyFill="1" applyBorder="1" applyAlignment="1">
      <alignment horizontal="center"/>
    </xf>
    <xf numFmtId="3" fontId="56" fillId="0" borderId="120" xfId="0" applyNumberFormat="1" applyFont="1" applyFill="1" applyBorder="1" applyAlignment="1">
      <alignment horizontal="right" indent="1"/>
    </xf>
    <xf numFmtId="3" fontId="56" fillId="0" borderId="211" xfId="0" applyNumberFormat="1" applyFont="1" applyFill="1" applyBorder="1" applyAlignment="1">
      <alignment horizontal="right" indent="1"/>
    </xf>
    <xf numFmtId="0" fontId="71" fillId="0" borderId="201" xfId="14" applyFont="1" applyFill="1" applyBorder="1" applyAlignment="1">
      <alignment horizontal="center"/>
    </xf>
    <xf numFmtId="0" fontId="75" fillId="0" borderId="195" xfId="0" applyFont="1" applyBorder="1"/>
    <xf numFmtId="0" fontId="54" fillId="0" borderId="0" xfId="0" applyFont="1" applyAlignment="1">
      <alignment wrapText="1"/>
    </xf>
    <xf numFmtId="3" fontId="73" fillId="0" borderId="0" xfId="0" applyNumberFormat="1" applyFont="1" applyFill="1"/>
    <xf numFmtId="171" fontId="81" fillId="0" borderId="205" xfId="1" applyNumberFormat="1" applyFont="1" applyBorder="1"/>
    <xf numFmtId="171" fontId="81" fillId="0" borderId="167" xfId="1" applyNumberFormat="1" applyFont="1" applyBorder="1"/>
    <xf numFmtId="9" fontId="75" fillId="0" borderId="0" xfId="39" applyFont="1" applyFill="1"/>
    <xf numFmtId="0" fontId="54" fillId="0" borderId="0" xfId="0" applyFont="1" applyAlignment="1">
      <alignment horizontal="center" wrapText="1"/>
    </xf>
    <xf numFmtId="0" fontId="71" fillId="0" borderId="239" xfId="16" applyFont="1" applyFill="1" applyBorder="1" applyAlignment="1">
      <alignment horizontal="center" vertical="center"/>
    </xf>
    <xf numFmtId="3" fontId="72" fillId="6" borderId="239" xfId="16" applyNumberFormat="1" applyFont="1" applyFill="1" applyBorder="1" applyAlignment="1">
      <alignment horizontal="center" vertical="center"/>
    </xf>
    <xf numFmtId="0" fontId="71" fillId="0" borderId="240" xfId="16" applyFont="1" applyFill="1" applyBorder="1" applyAlignment="1">
      <alignment horizontal="center" vertical="center"/>
    </xf>
    <xf numFmtId="0" fontId="71" fillId="0" borderId="241" xfId="16" applyFont="1" applyFill="1" applyBorder="1" applyAlignment="1">
      <alignment horizontal="center" vertical="center"/>
    </xf>
    <xf numFmtId="0" fontId="71" fillId="0" borderId="241" xfId="16" applyFont="1" applyBorder="1" applyAlignment="1">
      <alignment vertical="center"/>
    </xf>
    <xf numFmtId="0" fontId="71" fillId="0" borderId="242" xfId="16" applyFont="1" applyBorder="1" applyAlignment="1">
      <alignment vertical="center"/>
    </xf>
    <xf numFmtId="5" fontId="75" fillId="0" borderId="217" xfId="0" applyNumberFormat="1" applyFont="1" applyBorder="1" applyAlignment="1"/>
    <xf numFmtId="5" fontId="75" fillId="0" borderId="217" xfId="0" applyNumberFormat="1" applyFont="1" applyFill="1" applyBorder="1" applyAlignment="1"/>
    <xf numFmtId="5" fontId="75" fillId="0" borderId="217" xfId="0" applyNumberFormat="1" applyFont="1" applyBorder="1"/>
    <xf numFmtId="5" fontId="1" fillId="0" borderId="217" xfId="0" applyNumberFormat="1" applyFont="1" applyBorder="1" applyAlignment="1">
      <alignment horizontal="right"/>
    </xf>
    <xf numFmtId="167" fontId="1" fillId="0" borderId="217" xfId="0" applyNumberFormat="1" applyFont="1" applyBorder="1" applyAlignment="1"/>
    <xf numFmtId="179" fontId="1" fillId="0" borderId="217" xfId="0" applyNumberFormat="1" applyFont="1" applyBorder="1" applyAlignment="1">
      <alignment horizontal="right"/>
    </xf>
    <xf numFmtId="5" fontId="1" fillId="0" borderId="217" xfId="0" applyNumberFormat="1" applyFont="1" applyBorder="1" applyAlignment="1"/>
    <xf numFmtId="5" fontId="73" fillId="0" borderId="217" xfId="0" applyNumberFormat="1" applyFont="1" applyBorder="1" applyAlignment="1"/>
    <xf numFmtId="5" fontId="73" fillId="0" borderId="217" xfId="0" applyNumberFormat="1" applyFont="1" applyBorder="1"/>
    <xf numFmtId="0" fontId="71" fillId="0" borderId="243" xfId="14" quotePrefix="1" applyFont="1" applyFill="1" applyBorder="1" applyAlignment="1">
      <alignment horizontal="center" wrapText="1"/>
    </xf>
    <xf numFmtId="164" fontId="71" fillId="23" borderId="217" xfId="14" applyNumberFormat="1" applyFont="1" applyFill="1" applyBorder="1" applyAlignment="1">
      <alignment horizontal="center" wrapText="1"/>
    </xf>
    <xf numFmtId="164" fontId="72" fillId="0" borderId="217" xfId="14" applyNumberFormat="1" applyFont="1" applyFill="1" applyBorder="1" applyAlignment="1">
      <alignment horizontal="center" wrapText="1"/>
    </xf>
    <xf numFmtId="164" fontId="72" fillId="0" borderId="193" xfId="14" applyNumberFormat="1" applyFont="1" applyFill="1" applyBorder="1" applyAlignment="1">
      <alignment horizontal="center" wrapText="1"/>
    </xf>
    <xf numFmtId="171" fontId="81" fillId="0" borderId="0" xfId="1" applyNumberFormat="1" applyFont="1" applyBorder="1"/>
    <xf numFmtId="171" fontId="69" fillId="23" borderId="226" xfId="1" applyNumberFormat="1" applyFont="1" applyFill="1" applyBorder="1"/>
    <xf numFmtId="0" fontId="71" fillId="0" borderId="215" xfId="14" applyFont="1" applyFill="1" applyBorder="1" applyAlignment="1">
      <alignment horizontal="center" wrapText="1"/>
    </xf>
    <xf numFmtId="0" fontId="71" fillId="0" borderId="244" xfId="14" applyFont="1" applyFill="1" applyBorder="1" applyAlignment="1">
      <alignment horizontal="center" wrapText="1"/>
    </xf>
    <xf numFmtId="171" fontId="81" fillId="0" borderId="226" xfId="1" applyNumberFormat="1" applyFont="1" applyBorder="1"/>
    <xf numFmtId="9" fontId="57" fillId="18" borderId="248" xfId="39" applyFont="1" applyFill="1" applyBorder="1" applyAlignment="1">
      <alignment horizontal="center" vertical="center"/>
    </xf>
    <xf numFmtId="9" fontId="57" fillId="18" borderId="230" xfId="39" applyFont="1" applyFill="1" applyBorder="1" applyAlignment="1">
      <alignment horizontal="center" vertical="center"/>
    </xf>
    <xf numFmtId="0" fontId="94" fillId="18" borderId="231" xfId="0" applyFont="1" applyFill="1" applyBorder="1" applyAlignment="1">
      <alignment horizontal="center" vertical="center" wrapText="1"/>
    </xf>
    <xf numFmtId="0" fontId="99" fillId="18" borderId="247" xfId="0" applyFont="1" applyFill="1" applyBorder="1" applyAlignment="1">
      <alignment horizontal="center" wrapText="1"/>
    </xf>
    <xf numFmtId="9" fontId="57" fillId="18" borderId="194" xfId="39" applyFont="1" applyFill="1" applyBorder="1" applyAlignment="1">
      <alignment horizontal="center" vertical="center"/>
    </xf>
    <xf numFmtId="9" fontId="57" fillId="18" borderId="249" xfId="39" applyFont="1" applyFill="1" applyBorder="1" applyAlignment="1">
      <alignment horizontal="center" vertical="center"/>
    </xf>
    <xf numFmtId="0" fontId="94" fillId="18" borderId="250" xfId="0" applyFont="1" applyFill="1" applyBorder="1" applyAlignment="1">
      <alignment horizontal="center" vertical="center" wrapText="1"/>
    </xf>
    <xf numFmtId="0" fontId="99" fillId="18" borderId="193" xfId="0" applyFont="1" applyFill="1" applyBorder="1" applyAlignment="1">
      <alignment horizontal="center" wrapText="1"/>
    </xf>
    <xf numFmtId="3" fontId="56" fillId="0" borderId="248" xfId="0" applyNumberFormat="1" applyFont="1" applyBorder="1" applyAlignment="1">
      <alignment horizontal="right" indent="1"/>
    </xf>
    <xf numFmtId="3" fontId="56" fillId="0" borderId="230" xfId="0" applyNumberFormat="1" applyFont="1" applyBorder="1" applyAlignment="1">
      <alignment horizontal="right" indent="1"/>
    </xf>
    <xf numFmtId="3" fontId="56" fillId="0" borderId="251" xfId="0" quotePrefix="1" applyNumberFormat="1" applyFont="1" applyFill="1" applyBorder="1" applyAlignment="1">
      <alignment horizontal="right" indent="1"/>
    </xf>
    <xf numFmtId="171" fontId="56" fillId="0" borderId="247" xfId="1" applyNumberFormat="1" applyFont="1" applyBorder="1"/>
    <xf numFmtId="171" fontId="56" fillId="0" borderId="247" xfId="1" applyNumberFormat="1" applyFont="1" applyBorder="1" applyAlignment="1">
      <alignment horizontal="right"/>
    </xf>
    <xf numFmtId="3" fontId="56" fillId="11" borderId="252" xfId="0" applyNumberFormat="1" applyFont="1" applyFill="1" applyBorder="1" applyAlignment="1">
      <alignment horizontal="right" indent="1"/>
    </xf>
    <xf numFmtId="3" fontId="56" fillId="11" borderId="226" xfId="0" quotePrefix="1" applyNumberFormat="1" applyFont="1" applyFill="1" applyBorder="1" applyAlignment="1">
      <alignment horizontal="right" indent="1"/>
    </xf>
    <xf numFmtId="171" fontId="56" fillId="11" borderId="217" xfId="1" applyNumberFormat="1" applyFont="1" applyFill="1" applyBorder="1"/>
    <xf numFmtId="171" fontId="56" fillId="11" borderId="217" xfId="1" applyNumberFormat="1" applyFont="1" applyFill="1" applyBorder="1" applyAlignment="1">
      <alignment horizontal="right"/>
    </xf>
    <xf numFmtId="3" fontId="56" fillId="0" borderId="252" xfId="0" applyNumberFormat="1" applyFont="1" applyBorder="1" applyAlignment="1">
      <alignment horizontal="right" indent="1"/>
    </xf>
    <xf numFmtId="3" fontId="56" fillId="0" borderId="226" xfId="0" quotePrefix="1" applyNumberFormat="1" applyFont="1" applyFill="1" applyBorder="1" applyAlignment="1">
      <alignment horizontal="right" indent="1"/>
    </xf>
    <xf numFmtId="171" fontId="56" fillId="0" borderId="217" xfId="1" applyNumberFormat="1" applyFont="1" applyBorder="1"/>
    <xf numFmtId="171" fontId="56" fillId="0" borderId="217" xfId="1" applyNumberFormat="1" applyFont="1" applyBorder="1" applyAlignment="1">
      <alignment horizontal="right"/>
    </xf>
    <xf numFmtId="3" fontId="56" fillId="9" borderId="194" xfId="0" applyNumberFormat="1" applyFont="1" applyFill="1" applyBorder="1" applyAlignment="1">
      <alignment horizontal="right" indent="1"/>
    </xf>
    <xf numFmtId="3" fontId="56" fillId="9" borderId="249" xfId="0" applyNumberFormat="1" applyFont="1" applyFill="1" applyBorder="1" applyAlignment="1">
      <alignment horizontal="right" indent="1"/>
    </xf>
    <xf numFmtId="3" fontId="56" fillId="9" borderId="253" xfId="0" quotePrefix="1" applyNumberFormat="1" applyFont="1" applyFill="1" applyBorder="1" applyAlignment="1">
      <alignment horizontal="right" indent="1"/>
    </xf>
    <xf numFmtId="171" fontId="56" fillId="9" borderId="193" xfId="1" applyNumberFormat="1" applyFont="1" applyFill="1" applyBorder="1"/>
    <xf numFmtId="167" fontId="32" fillId="0" borderId="254" xfId="31" applyNumberFormat="1" applyFont="1" applyFill="1" applyBorder="1" applyAlignment="1">
      <alignment horizontal="right" wrapText="1"/>
    </xf>
    <xf numFmtId="0" fontId="71" fillId="0" borderId="222" xfId="22" applyFont="1" applyFill="1" applyBorder="1" applyAlignment="1">
      <alignment horizontal="center" wrapText="1"/>
    </xf>
    <xf numFmtId="5" fontId="75" fillId="21" borderId="0" xfId="0" applyNumberFormat="1" applyFont="1" applyFill="1" applyBorder="1" applyAlignment="1"/>
    <xf numFmtId="0" fontId="41" fillId="0" borderId="0" xfId="16" applyFont="1"/>
    <xf numFmtId="0" fontId="75" fillId="0" borderId="0" xfId="15" applyFont="1" applyAlignment="1">
      <alignment horizontal="left" wrapText="1"/>
    </xf>
    <xf numFmtId="167" fontId="72" fillId="0" borderId="186" xfId="30" applyNumberFormat="1" applyFont="1" applyFill="1" applyBorder="1" applyAlignment="1">
      <alignment wrapText="1"/>
    </xf>
    <xf numFmtId="167" fontId="72" fillId="0" borderId="176" xfId="30" applyNumberFormat="1" applyFont="1" applyFill="1" applyBorder="1" applyAlignment="1">
      <alignment wrapText="1"/>
    </xf>
    <xf numFmtId="167" fontId="72" fillId="0" borderId="221" xfId="30" applyNumberFormat="1" applyFont="1" applyFill="1" applyBorder="1" applyAlignment="1">
      <alignment wrapText="1"/>
    </xf>
    <xf numFmtId="0" fontId="75" fillId="0" borderId="0" xfId="15" applyFont="1" applyAlignment="1">
      <alignment horizontal="left" wrapText="1"/>
    </xf>
    <xf numFmtId="171" fontId="75" fillId="0" borderId="217" xfId="1" applyNumberFormat="1" applyFont="1" applyFill="1" applyBorder="1"/>
    <xf numFmtId="171" fontId="75" fillId="0" borderId="193" xfId="1" applyNumberFormat="1" applyFont="1" applyFill="1" applyBorder="1"/>
    <xf numFmtId="3" fontId="54" fillId="11" borderId="211" xfId="15" applyNumberFormat="1" applyFont="1" applyFill="1" applyBorder="1" applyAlignment="1">
      <alignment horizontal="right" vertical="top"/>
    </xf>
    <xf numFmtId="0" fontId="54" fillId="0" borderId="247" xfId="15" applyFont="1" applyBorder="1" applyAlignment="1">
      <alignment horizontal="center" wrapText="1"/>
    </xf>
    <xf numFmtId="3" fontId="75" fillId="0" borderId="217" xfId="15" applyNumberFormat="1" applyFont="1" applyBorder="1"/>
    <xf numFmtId="3" fontId="75" fillId="0" borderId="193" xfId="15" applyNumberFormat="1" applyFont="1" applyBorder="1"/>
    <xf numFmtId="171" fontId="54" fillId="6" borderId="217" xfId="1" applyNumberFormat="1" applyFont="1" applyFill="1" applyBorder="1" applyAlignment="1">
      <alignment horizontal="center" wrapText="1"/>
    </xf>
    <xf numFmtId="0" fontId="68" fillId="0" borderId="195" xfId="0" applyFont="1" applyBorder="1" applyAlignment="1">
      <alignment horizontal="center" wrapText="1"/>
    </xf>
    <xf numFmtId="0" fontId="68" fillId="0" borderId="195" xfId="0" applyFont="1" applyBorder="1" applyAlignment="1">
      <alignment horizontal="center"/>
    </xf>
    <xf numFmtId="177" fontId="54" fillId="21" borderId="15" xfId="3" applyNumberFormat="1" applyFont="1" applyFill="1" applyBorder="1"/>
    <xf numFmtId="5" fontId="71" fillId="21" borderId="74" xfId="34" applyNumberFormat="1" applyFont="1" applyFill="1" applyBorder="1" applyAlignment="1">
      <alignment wrapText="1"/>
    </xf>
    <xf numFmtId="0" fontId="28" fillId="0" borderId="0" xfId="15" applyFont="1" applyAlignment="1">
      <alignment horizontal="left" wrapText="1"/>
    </xf>
    <xf numFmtId="5" fontId="54" fillId="21" borderId="163" xfId="3" applyNumberFormat="1" applyFont="1" applyFill="1" applyBorder="1"/>
    <xf numFmtId="167" fontId="59" fillId="9" borderId="205" xfId="0" applyNumberFormat="1" applyFont="1" applyFill="1" applyBorder="1"/>
    <xf numFmtId="167" fontId="59" fillId="9" borderId="255" xfId="0" applyNumberFormat="1" applyFont="1" applyFill="1" applyBorder="1"/>
    <xf numFmtId="167" fontId="118" fillId="0" borderId="118" xfId="0" applyNumberFormat="1" applyFont="1" applyFill="1" applyBorder="1"/>
    <xf numFmtId="167" fontId="59" fillId="9" borderId="252" xfId="0" applyNumberFormat="1" applyFont="1" applyFill="1" applyBorder="1"/>
    <xf numFmtId="167" fontId="59" fillId="9" borderId="226" xfId="0" applyNumberFormat="1" applyFont="1" applyFill="1" applyBorder="1"/>
    <xf numFmtId="0" fontId="27" fillId="0" borderId="0" xfId="16" applyFont="1"/>
    <xf numFmtId="5" fontId="54" fillId="21" borderId="15" xfId="3" applyNumberFormat="1" applyFont="1" applyFill="1" applyBorder="1"/>
    <xf numFmtId="177" fontId="89" fillId="22" borderId="59" xfId="3" applyNumberFormat="1" applyFont="1" applyFill="1" applyBorder="1" applyAlignment="1">
      <alignment horizontal="center"/>
    </xf>
    <xf numFmtId="0" fontId="89" fillId="0" borderId="101" xfId="20" applyFont="1" applyFill="1" applyBorder="1" applyAlignment="1">
      <alignment horizontal="center" wrapText="1"/>
    </xf>
    <xf numFmtId="0" fontId="89" fillId="0" borderId="98" xfId="20" applyFont="1" applyFill="1" applyBorder="1" applyAlignment="1">
      <alignment horizontal="center" wrapText="1"/>
    </xf>
    <xf numFmtId="5" fontId="91" fillId="8" borderId="0" xfId="2" applyNumberFormat="1" applyFont="1" applyFill="1" applyAlignment="1">
      <alignment horizontal="right"/>
    </xf>
    <xf numFmtId="5" fontId="90" fillId="6" borderId="9" xfId="3" applyNumberFormat="1" applyFont="1" applyFill="1" applyBorder="1"/>
    <xf numFmtId="0" fontId="71" fillId="0" borderId="222" xfId="25" applyFont="1" applyFill="1" applyBorder="1" applyAlignment="1">
      <alignment horizontal="center"/>
    </xf>
    <xf numFmtId="5" fontId="54" fillId="6" borderId="39" xfId="0" applyNumberFormat="1" applyFont="1" applyFill="1" applyBorder="1" applyAlignment="1"/>
    <xf numFmtId="173" fontId="24" fillId="0" borderId="246" xfId="0" applyNumberFormat="1" applyFont="1" applyFill="1" applyBorder="1"/>
    <xf numFmtId="3" fontId="24" fillId="6" borderId="246" xfId="0"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3" fontId="22" fillId="0" borderId="0" xfId="0" applyNumberFormat="1" applyFont="1" applyFill="1" applyBorder="1"/>
    <xf numFmtId="3" fontId="24" fillId="6" borderId="246" xfId="0" applyNumberFormat="1" applyFont="1" applyFill="1" applyBorder="1"/>
    <xf numFmtId="9" fontId="22" fillId="0" borderId="217" xfId="39" applyFont="1" applyFill="1" applyBorder="1"/>
    <xf numFmtId="9" fontId="22" fillId="0" borderId="217" xfId="0" applyNumberFormat="1" applyFont="1" applyFill="1" applyBorder="1"/>
    <xf numFmtId="173" fontId="24" fillId="0" borderId="211" xfId="0" applyNumberFormat="1" applyFont="1" applyFill="1" applyBorder="1"/>
    <xf numFmtId="9" fontId="24" fillId="6" borderId="211" xfId="39" applyFont="1" applyFill="1" applyBorder="1"/>
    <xf numFmtId="0" fontId="70" fillId="0" borderId="0" xfId="0" applyFont="1" applyBorder="1"/>
    <xf numFmtId="180" fontId="22" fillId="0" borderId="217" xfId="0" applyNumberFormat="1" applyFont="1" applyFill="1" applyBorder="1"/>
    <xf numFmtId="165" fontId="22" fillId="0" borderId="256" xfId="0" applyNumberFormat="1" applyFont="1" applyFill="1" applyBorder="1"/>
    <xf numFmtId="180" fontId="22" fillId="0" borderId="252" xfId="0" applyNumberFormat="1" applyFont="1" applyFill="1" applyBorder="1"/>
    <xf numFmtId="180" fontId="22" fillId="0" borderId="226" xfId="0" applyNumberFormat="1" applyFont="1" applyFill="1" applyBorder="1"/>
    <xf numFmtId="180" fontId="24" fillId="6" borderId="211" xfId="0" applyNumberFormat="1" applyFont="1" applyFill="1" applyBorder="1"/>
    <xf numFmtId="165" fontId="0" fillId="0" borderId="0" xfId="0" applyNumberFormat="1"/>
    <xf numFmtId="0" fontId="54" fillId="0" borderId="246" xfId="15" applyFont="1" applyFill="1" applyBorder="1" applyAlignment="1">
      <alignment horizontal="center" wrapText="1"/>
    </xf>
    <xf numFmtId="171" fontId="75" fillId="0" borderId="195" xfId="1" applyNumberFormat="1" applyFont="1" applyFill="1" applyBorder="1"/>
    <xf numFmtId="0" fontId="54" fillId="0" borderId="259" xfId="15" applyFont="1" applyFill="1" applyBorder="1" applyAlignment="1">
      <alignment horizontal="center" wrapText="1"/>
    </xf>
    <xf numFmtId="3" fontId="54" fillId="11" borderId="249" xfId="15" applyNumberFormat="1" applyFont="1" applyFill="1" applyBorder="1" applyAlignment="1">
      <alignment horizontal="right" vertical="top"/>
    </xf>
    <xf numFmtId="171" fontId="75" fillId="0" borderId="252" xfId="1" applyNumberFormat="1" applyFont="1" applyFill="1" applyBorder="1"/>
    <xf numFmtId="171" fontId="75" fillId="0" borderId="226" xfId="1" applyNumberFormat="1" applyFont="1" applyFill="1" applyBorder="1"/>
    <xf numFmtId="171" fontId="75" fillId="0" borderId="249" xfId="1" applyNumberFormat="1" applyFont="1" applyFill="1" applyBorder="1"/>
    <xf numFmtId="3" fontId="54" fillId="11" borderId="253" xfId="15" applyNumberFormat="1" applyFont="1" applyFill="1" applyBorder="1" applyAlignment="1">
      <alignment horizontal="right" vertical="top"/>
    </xf>
    <xf numFmtId="0" fontId="54" fillId="0" borderId="244" xfId="15" applyFont="1" applyFill="1" applyBorder="1" applyAlignment="1">
      <alignment horizontal="center" wrapText="1"/>
    </xf>
    <xf numFmtId="0" fontId="57" fillId="18" borderId="215" xfId="0" applyFont="1" applyFill="1" applyBorder="1" applyAlignment="1">
      <alignment horizontal="center"/>
    </xf>
    <xf numFmtId="0" fontId="57" fillId="18" borderId="259" xfId="0" applyFont="1" applyFill="1" applyBorder="1" applyAlignment="1">
      <alignment horizontal="center"/>
    </xf>
    <xf numFmtId="0" fontId="57" fillId="18" borderId="244" xfId="0" applyFont="1" applyFill="1" applyBorder="1" applyAlignment="1">
      <alignment horizontal="center"/>
    </xf>
    <xf numFmtId="3" fontId="56" fillId="0" borderId="248" xfId="0" applyNumberFormat="1" applyFont="1" applyFill="1" applyBorder="1" applyAlignment="1">
      <alignment horizontal="right" indent="1"/>
    </xf>
    <xf numFmtId="3" fontId="56" fillId="0" borderId="230" xfId="0" applyNumberFormat="1" applyFont="1" applyFill="1" applyBorder="1" applyAlignment="1">
      <alignment horizontal="right" indent="1"/>
    </xf>
    <xf numFmtId="3" fontId="56" fillId="0" borderId="251" xfId="0" applyNumberFormat="1" applyFont="1" applyFill="1" applyBorder="1" applyAlignment="1">
      <alignment horizontal="right" indent="1"/>
    </xf>
    <xf numFmtId="3" fontId="56" fillId="0" borderId="205" xfId="0" applyNumberFormat="1" applyFont="1" applyFill="1" applyBorder="1" applyAlignment="1">
      <alignment horizontal="right" indent="1"/>
    </xf>
    <xf numFmtId="3" fontId="56" fillId="0" borderId="252" xfId="0" applyNumberFormat="1" applyFont="1" applyFill="1" applyBorder="1" applyAlignment="1">
      <alignment horizontal="right" indent="1"/>
    </xf>
    <xf numFmtId="3" fontId="56" fillId="0" borderId="226" xfId="0" applyNumberFormat="1" applyFont="1" applyFill="1" applyBorder="1" applyAlignment="1">
      <alignment horizontal="right" indent="1"/>
    </xf>
    <xf numFmtId="3" fontId="56" fillId="0" borderId="194" xfId="0" applyNumberFormat="1" applyFont="1" applyFill="1" applyBorder="1" applyAlignment="1">
      <alignment horizontal="right" indent="1"/>
    </xf>
    <xf numFmtId="3" fontId="56" fillId="0" borderId="249" xfId="0" applyNumberFormat="1" applyFont="1" applyFill="1" applyBorder="1" applyAlignment="1">
      <alignment horizontal="right" indent="1"/>
    </xf>
    <xf numFmtId="3" fontId="56" fillId="0" borderId="253" xfId="0" applyNumberFormat="1" applyFont="1" applyFill="1" applyBorder="1" applyAlignment="1">
      <alignment horizontal="right" indent="1"/>
    </xf>
    <xf numFmtId="3" fontId="56" fillId="0" borderId="192" xfId="0" applyNumberFormat="1" applyFont="1" applyFill="1" applyBorder="1" applyAlignment="1">
      <alignment horizontal="right" indent="1"/>
    </xf>
    <xf numFmtId="3" fontId="54" fillId="32" borderId="253" xfId="15" applyNumberFormat="1" applyFont="1" applyFill="1" applyBorder="1" applyAlignment="1">
      <alignment horizontal="right" vertical="top"/>
    </xf>
    <xf numFmtId="3" fontId="54" fillId="6" borderId="215" xfId="15" applyNumberFormat="1" applyFont="1" applyFill="1" applyBorder="1" applyAlignment="1">
      <alignment horizontal="right" vertical="top"/>
    </xf>
    <xf numFmtId="3" fontId="54" fillId="6" borderId="20" xfId="15" applyNumberFormat="1" applyFont="1" applyFill="1" applyBorder="1" applyAlignment="1">
      <alignment horizontal="right" vertical="top"/>
    </xf>
    <xf numFmtId="3" fontId="54" fillId="6" borderId="257" xfId="15" applyNumberFormat="1" applyFont="1" applyFill="1" applyBorder="1" applyAlignment="1">
      <alignment horizontal="right" vertical="top"/>
    </xf>
    <xf numFmtId="3" fontId="54" fillId="6" borderId="258" xfId="15" applyNumberFormat="1" applyFont="1" applyFill="1" applyBorder="1" applyAlignment="1">
      <alignment horizontal="right" vertical="top"/>
    </xf>
    <xf numFmtId="3" fontId="54" fillId="6" borderId="194" xfId="15" applyNumberFormat="1" applyFont="1" applyFill="1" applyBorder="1" applyAlignment="1">
      <alignment horizontal="right" vertical="top"/>
    </xf>
    <xf numFmtId="3" fontId="54" fillId="6" borderId="249" xfId="15" applyNumberFormat="1" applyFont="1" applyFill="1" applyBorder="1" applyAlignment="1">
      <alignment horizontal="right" vertical="top"/>
    </xf>
    <xf numFmtId="3" fontId="56" fillId="9" borderId="252" xfId="0" applyNumberFormat="1" applyFont="1" applyFill="1" applyBorder="1" applyAlignment="1">
      <alignment horizontal="right" indent="1"/>
    </xf>
    <xf numFmtId="3" fontId="56" fillId="9" borderId="226" xfId="0" quotePrefix="1" applyNumberFormat="1" applyFont="1" applyFill="1" applyBorder="1" applyAlignment="1">
      <alignment horizontal="right" indent="1"/>
    </xf>
    <xf numFmtId="171" fontId="56" fillId="0" borderId="192" xfId="1" applyNumberFormat="1" applyFont="1" applyFill="1" applyBorder="1"/>
    <xf numFmtId="171" fontId="56" fillId="0" borderId="232" xfId="1" applyNumberFormat="1" applyFont="1" applyBorder="1" applyAlignment="1">
      <alignment horizontal="right"/>
    </xf>
    <xf numFmtId="171" fontId="56" fillId="11" borderId="33" xfId="1" applyNumberFormat="1" applyFont="1" applyFill="1" applyBorder="1" applyAlignment="1">
      <alignment horizontal="right"/>
    </xf>
    <xf numFmtId="171" fontId="56" fillId="0" borderId="33" xfId="1" applyNumberFormat="1" applyFont="1" applyBorder="1" applyAlignment="1">
      <alignment horizontal="right"/>
    </xf>
    <xf numFmtId="171" fontId="56" fillId="11" borderId="33" xfId="1" applyNumberFormat="1" applyFont="1" applyFill="1" applyBorder="1"/>
    <xf numFmtId="171" fontId="56" fillId="9" borderId="33" xfId="1" applyNumberFormat="1" applyFont="1" applyFill="1" applyBorder="1"/>
    <xf numFmtId="3" fontId="56" fillId="0" borderId="253" xfId="0" quotePrefix="1" applyNumberFormat="1" applyFont="1" applyFill="1" applyBorder="1" applyAlignment="1">
      <alignment horizontal="right" indent="1"/>
    </xf>
    <xf numFmtId="171" fontId="56" fillId="0" borderId="248" xfId="1" applyNumberFormat="1" applyFont="1" applyBorder="1" applyAlignment="1">
      <alignment horizontal="right"/>
    </xf>
    <xf numFmtId="171" fontId="56" fillId="0" borderId="230" xfId="1" applyNumberFormat="1" applyFont="1" applyBorder="1" applyAlignment="1">
      <alignment horizontal="right"/>
    </xf>
    <xf numFmtId="171" fontId="56" fillId="0" borderId="251" xfId="1" applyNumberFormat="1" applyFont="1" applyBorder="1" applyAlignment="1">
      <alignment horizontal="right"/>
    </xf>
    <xf numFmtId="171" fontId="56" fillId="11" borderId="205" xfId="1" applyNumberFormat="1" applyFont="1" applyFill="1" applyBorder="1" applyAlignment="1">
      <alignment horizontal="right"/>
    </xf>
    <xf numFmtId="171" fontId="56" fillId="11" borderId="252" xfId="1" applyNumberFormat="1" applyFont="1" applyFill="1" applyBorder="1" applyAlignment="1">
      <alignment horizontal="right"/>
    </xf>
    <xf numFmtId="171" fontId="56" fillId="11" borderId="226" xfId="1" applyNumberFormat="1" applyFont="1" applyFill="1" applyBorder="1" applyAlignment="1">
      <alignment horizontal="right"/>
    </xf>
    <xf numFmtId="171" fontId="56" fillId="0" borderId="205" xfId="1" applyNumberFormat="1" applyFont="1" applyBorder="1" applyAlignment="1">
      <alignment horizontal="right"/>
    </xf>
    <xf numFmtId="171" fontId="56" fillId="0" borderId="252" xfId="1" applyNumberFormat="1" applyFont="1" applyBorder="1" applyAlignment="1">
      <alignment horizontal="right"/>
    </xf>
    <xf numFmtId="171" fontId="56" fillId="0" borderId="226" xfId="1" applyNumberFormat="1" applyFont="1" applyBorder="1" applyAlignment="1">
      <alignment horizontal="right"/>
    </xf>
    <xf numFmtId="171" fontId="56" fillId="11" borderId="205" xfId="1" applyNumberFormat="1" applyFont="1" applyFill="1" applyBorder="1"/>
    <xf numFmtId="171" fontId="56" fillId="11" borderId="252" xfId="1" applyNumberFormat="1" applyFont="1" applyFill="1" applyBorder="1"/>
    <xf numFmtId="171" fontId="56" fillId="11" borderId="226" xfId="1" applyNumberFormat="1" applyFont="1" applyFill="1" applyBorder="1"/>
    <xf numFmtId="171" fontId="56" fillId="9" borderId="205" xfId="1" applyNumberFormat="1" applyFont="1" applyFill="1" applyBorder="1"/>
    <xf numFmtId="171" fontId="56" fillId="9" borderId="252" xfId="1" applyNumberFormat="1" applyFont="1" applyFill="1" applyBorder="1"/>
    <xf numFmtId="171" fontId="56" fillId="9" borderId="226" xfId="1" applyNumberFormat="1" applyFont="1" applyFill="1" applyBorder="1"/>
    <xf numFmtId="171" fontId="56" fillId="0" borderId="194" xfId="1" applyNumberFormat="1" applyFont="1" applyFill="1" applyBorder="1"/>
    <xf numFmtId="171" fontId="56" fillId="0" borderId="249" xfId="1" applyNumberFormat="1" applyFont="1" applyFill="1" applyBorder="1"/>
    <xf numFmtId="171" fontId="56" fillId="0" borderId="253" xfId="1" applyNumberFormat="1" applyFont="1" applyFill="1" applyBorder="1"/>
    <xf numFmtId="0" fontId="28" fillId="0" borderId="0" xfId="15" applyFont="1" applyAlignment="1">
      <alignment horizontal="left" wrapText="1"/>
    </xf>
    <xf numFmtId="0" fontId="75" fillId="0" borderId="0" xfId="15" applyFont="1" applyAlignment="1">
      <alignment horizontal="left" wrapText="1"/>
    </xf>
    <xf numFmtId="0" fontId="56" fillId="0" borderId="260" xfId="0" applyFont="1" applyBorder="1"/>
    <xf numFmtId="0" fontId="56" fillId="0" borderId="261" xfId="0" applyFont="1" applyBorder="1"/>
    <xf numFmtId="0" fontId="56" fillId="0" borderId="262" xfId="0" applyFont="1" applyBorder="1"/>
    <xf numFmtId="0" fontId="57" fillId="19" borderId="264" xfId="0" applyFont="1" applyFill="1" applyBorder="1" applyAlignment="1">
      <alignment horizontal="center"/>
    </xf>
    <xf numFmtId="0" fontId="57" fillId="19" borderId="263" xfId="0" applyFont="1" applyFill="1" applyBorder="1" applyAlignment="1">
      <alignment horizontal="center"/>
    </xf>
    <xf numFmtId="0" fontId="57" fillId="19" borderId="215" xfId="0" applyFont="1" applyFill="1" applyBorder="1" applyAlignment="1">
      <alignment horizontal="center"/>
    </xf>
    <xf numFmtId="0" fontId="57" fillId="19" borderId="259" xfId="0" applyFont="1" applyFill="1" applyBorder="1" applyAlignment="1">
      <alignment horizontal="center"/>
    </xf>
    <xf numFmtId="0" fontId="56" fillId="0" borderId="253" xfId="0" applyFont="1" applyBorder="1"/>
    <xf numFmtId="0" fontId="57" fillId="19" borderId="244" xfId="0" applyFont="1" applyFill="1" applyBorder="1" applyAlignment="1">
      <alignment horizontal="center"/>
    </xf>
    <xf numFmtId="3" fontId="56" fillId="0" borderId="215" xfId="0" applyNumberFormat="1" applyFont="1" applyFill="1" applyBorder="1" applyAlignment="1">
      <alignment horizontal="right" indent="1"/>
    </xf>
    <xf numFmtId="3" fontId="56" fillId="0" borderId="259" xfId="0" applyNumberFormat="1" applyFont="1" applyFill="1" applyBorder="1" applyAlignment="1">
      <alignment horizontal="right" indent="1"/>
    </xf>
    <xf numFmtId="0" fontId="54" fillId="0" borderId="247" xfId="15" applyFont="1" applyFill="1" applyBorder="1" applyAlignment="1">
      <alignment horizontal="center" wrapText="1"/>
    </xf>
    <xf numFmtId="3" fontId="75" fillId="0" borderId="217" xfId="15" applyNumberFormat="1" applyFont="1" applyFill="1" applyBorder="1" applyAlignment="1">
      <alignment horizontal="right" vertical="top"/>
    </xf>
    <xf numFmtId="171" fontId="75" fillId="0" borderId="217" xfId="1" applyNumberFormat="1" applyFont="1" applyBorder="1"/>
    <xf numFmtId="0" fontId="54" fillId="0" borderId="203" xfId="15" applyFont="1" applyFill="1" applyBorder="1" applyAlignment="1">
      <alignment horizontal="center" wrapText="1"/>
    </xf>
    <xf numFmtId="171" fontId="54" fillId="6" borderId="240" xfId="1" applyNumberFormat="1" applyFont="1" applyFill="1" applyBorder="1" applyAlignment="1">
      <alignment horizontal="center" wrapText="1"/>
    </xf>
    <xf numFmtId="0" fontId="57" fillId="19" borderId="239" xfId="0" applyFont="1" applyFill="1" applyBorder="1" applyAlignment="1">
      <alignment horizontal="center"/>
    </xf>
    <xf numFmtId="0" fontId="56" fillId="0" borderId="239" xfId="0" applyFont="1" applyBorder="1"/>
    <xf numFmtId="49" fontId="57" fillId="19" borderId="244" xfId="0" applyNumberFormat="1" applyFont="1" applyFill="1" applyBorder="1" applyAlignment="1">
      <alignment horizontal="center"/>
    </xf>
    <xf numFmtId="3" fontId="56" fillId="0" borderId="244" xfId="0" applyNumberFormat="1" applyFont="1" applyFill="1" applyBorder="1" applyAlignment="1">
      <alignment horizontal="right" indent="1"/>
    </xf>
    <xf numFmtId="0" fontId="81" fillId="0" borderId="0" xfId="14" applyFont="1" applyAlignment="1">
      <alignment horizontal="left" vertical="top" wrapText="1"/>
    </xf>
    <xf numFmtId="0" fontId="28" fillId="0" borderId="0" xfId="14" applyFont="1" applyFill="1" applyBorder="1" applyAlignment="1">
      <alignment horizontal="left" wrapText="1"/>
    </xf>
    <xf numFmtId="3" fontId="71" fillId="6" borderId="205" xfId="33" applyNumberFormat="1" applyFont="1" applyFill="1" applyBorder="1" applyAlignment="1">
      <alignment horizontal="center" wrapText="1"/>
    </xf>
    <xf numFmtId="0" fontId="72" fillId="0" borderId="0" xfId="33" applyFont="1" applyFill="1" applyBorder="1" applyAlignment="1">
      <alignment horizontal="center" wrapText="1"/>
    </xf>
    <xf numFmtId="0" fontId="72" fillId="0" borderId="0" xfId="33" applyFont="1" applyFill="1" applyBorder="1" applyAlignment="1">
      <alignment wrapText="1"/>
    </xf>
    <xf numFmtId="0" fontId="71" fillId="0" borderId="227" xfId="33" applyFont="1" applyFill="1" applyBorder="1" applyAlignment="1">
      <alignment horizontal="left"/>
    </xf>
    <xf numFmtId="3" fontId="71" fillId="6" borderId="255" xfId="33" applyNumberFormat="1" applyFont="1" applyFill="1" applyBorder="1" applyAlignment="1">
      <alignment horizontal="center" wrapText="1"/>
    </xf>
    <xf numFmtId="0" fontId="71" fillId="0" borderId="268" xfId="33" applyFont="1" applyFill="1" applyBorder="1" applyAlignment="1">
      <alignment horizontal="center" wrapText="1"/>
    </xf>
    <xf numFmtId="0" fontId="71" fillId="0" borderId="269" xfId="33" applyFont="1" applyFill="1" applyBorder="1" applyAlignment="1">
      <alignment horizontal="center" wrapText="1"/>
    </xf>
    <xf numFmtId="0" fontId="71" fillId="0" borderId="270" xfId="33" applyFont="1" applyFill="1" applyBorder="1" applyAlignment="1">
      <alignment horizontal="center" wrapText="1"/>
    </xf>
    <xf numFmtId="3" fontId="71" fillId="6" borderId="252" xfId="33" applyNumberFormat="1" applyFont="1" applyFill="1" applyBorder="1" applyAlignment="1">
      <alignment horizontal="center" wrapText="1"/>
    </xf>
    <xf numFmtId="3" fontId="71" fillId="6" borderId="226" xfId="33" applyNumberFormat="1" applyFont="1" applyFill="1" applyBorder="1" applyAlignment="1">
      <alignment horizontal="center" wrapText="1"/>
    </xf>
    <xf numFmtId="3" fontId="72" fillId="0" borderId="205" xfId="33" applyNumberFormat="1" applyFont="1" applyFill="1" applyBorder="1" applyAlignment="1">
      <alignment horizontal="right" wrapText="1"/>
    </xf>
    <xf numFmtId="3" fontId="72" fillId="0" borderId="252" xfId="33" applyNumberFormat="1" applyFont="1" applyFill="1" applyBorder="1" applyAlignment="1">
      <alignment horizontal="right" wrapText="1"/>
    </xf>
    <xf numFmtId="3" fontId="72" fillId="0" borderId="226" xfId="33" applyNumberFormat="1" applyFont="1" applyFill="1" applyBorder="1" applyAlignment="1">
      <alignment horizontal="right" wrapText="1"/>
    </xf>
    <xf numFmtId="3" fontId="72" fillId="0" borderId="252" xfId="33" applyNumberFormat="1" applyFont="1" applyBorder="1"/>
    <xf numFmtId="3" fontId="72" fillId="0" borderId="252" xfId="33" applyNumberFormat="1" applyFont="1" applyFill="1" applyBorder="1"/>
    <xf numFmtId="3" fontId="72" fillId="0" borderId="226" xfId="33" applyNumberFormat="1" applyFont="1" applyBorder="1"/>
    <xf numFmtId="3" fontId="72" fillId="0" borderId="205" xfId="33" applyNumberFormat="1" applyFont="1" applyBorder="1"/>
    <xf numFmtId="0" fontId="81" fillId="0" borderId="0" xfId="14" applyFont="1" applyAlignment="1">
      <alignment horizontal="left" vertical="top" wrapText="1"/>
    </xf>
    <xf numFmtId="0" fontId="28" fillId="0" borderId="0" xfId="14" applyFont="1" applyFill="1" applyBorder="1" applyAlignment="1">
      <alignment horizontal="left" wrapText="1"/>
    </xf>
    <xf numFmtId="0" fontId="71" fillId="0" borderId="0" xfId="14" applyFont="1" applyFill="1" applyBorder="1" applyAlignment="1">
      <alignment horizontal="center"/>
    </xf>
    <xf numFmtId="0" fontId="71" fillId="0" borderId="195" xfId="14" applyFont="1" applyFill="1" applyBorder="1" applyAlignment="1">
      <alignment horizontal="center"/>
    </xf>
    <xf numFmtId="0" fontId="75" fillId="21" borderId="0" xfId="0" applyFont="1" applyFill="1"/>
    <xf numFmtId="0" fontId="71" fillId="0" borderId="14" xfId="14" applyFont="1" applyFill="1" applyBorder="1" applyAlignment="1">
      <alignment horizontal="center" wrapText="1"/>
    </xf>
    <xf numFmtId="171" fontId="54" fillId="6" borderId="271" xfId="1" applyNumberFormat="1" applyFont="1" applyFill="1" applyBorder="1"/>
    <xf numFmtId="0" fontId="71" fillId="21" borderId="195" xfId="14" applyFont="1" applyFill="1" applyBorder="1" applyAlignment="1">
      <alignment horizontal="center"/>
    </xf>
    <xf numFmtId="0" fontId="71" fillId="21" borderId="195" xfId="14" applyFont="1" applyFill="1" applyBorder="1" applyAlignment="1">
      <alignment horizontal="center" wrapText="1"/>
    </xf>
    <xf numFmtId="0" fontId="71" fillId="21" borderId="0" xfId="14" applyFont="1" applyFill="1" applyBorder="1" applyAlignment="1">
      <alignment horizontal="center" wrapText="1"/>
    </xf>
    <xf numFmtId="0" fontId="56" fillId="0" borderId="244" xfId="0" applyFont="1" applyBorder="1" applyAlignment="1">
      <alignment horizontal="right" indent="1"/>
    </xf>
    <xf numFmtId="171" fontId="56" fillId="0" borderId="211" xfId="1" applyNumberFormat="1" applyFont="1" applyFill="1" applyBorder="1" applyAlignment="1">
      <alignment horizontal="right" vertical="top" wrapText="1" indent="1"/>
    </xf>
    <xf numFmtId="3" fontId="73" fillId="0" borderId="0" xfId="1" applyNumberFormat="1" applyFont="1" applyFill="1"/>
    <xf numFmtId="3" fontId="70" fillId="0" borderId="22" xfId="0" applyNumberFormat="1" applyFont="1" applyFill="1" applyBorder="1"/>
    <xf numFmtId="0" fontId="54" fillId="0" borderId="0" xfId="0" applyFont="1" applyBorder="1" applyAlignment="1">
      <alignment horizontal="center"/>
    </xf>
    <xf numFmtId="3" fontId="72" fillId="0" borderId="56" xfId="33" applyNumberFormat="1" applyFont="1" applyBorder="1"/>
    <xf numFmtId="3" fontId="72" fillId="0" borderId="55" xfId="33" applyNumberFormat="1" applyFont="1" applyBorder="1"/>
    <xf numFmtId="3" fontId="72" fillId="0" borderId="55" xfId="33" applyNumberFormat="1" applyFont="1" applyFill="1" applyBorder="1"/>
    <xf numFmtId="164" fontId="71" fillId="6" borderId="59" xfId="16" applyNumberFormat="1" applyFont="1" applyFill="1" applyBorder="1" applyAlignment="1">
      <alignment wrapText="1"/>
    </xf>
    <xf numFmtId="164" fontId="72" fillId="0" borderId="272" xfId="16" applyNumberFormat="1" applyFont="1" applyFill="1" applyBorder="1" applyAlignment="1">
      <alignment wrapText="1"/>
    </xf>
    <xf numFmtId="164" fontId="72" fillId="0" borderId="273" xfId="16" applyNumberFormat="1" applyFont="1" applyFill="1" applyBorder="1" applyAlignment="1">
      <alignment wrapText="1"/>
    </xf>
    <xf numFmtId="0" fontId="71" fillId="0" borderId="76" xfId="11" applyFont="1" applyFill="1" applyBorder="1" applyAlignment="1">
      <alignment horizontal="center"/>
    </xf>
    <xf numFmtId="164" fontId="71" fillId="6" borderId="76" xfId="16" applyNumberFormat="1" applyFont="1" applyFill="1" applyBorder="1" applyAlignment="1">
      <alignment wrapText="1"/>
    </xf>
    <xf numFmtId="164" fontId="72" fillId="0" borderId="272" xfId="39" applyNumberFormat="1" applyFont="1" applyFill="1" applyBorder="1" applyAlignment="1">
      <alignment wrapText="1"/>
    </xf>
    <xf numFmtId="0" fontId="71" fillId="0" borderId="59" xfId="16" applyFont="1" applyBorder="1" applyAlignment="1">
      <alignment horizontal="center"/>
    </xf>
    <xf numFmtId="3" fontId="71" fillId="6" borderId="59" xfId="16" applyNumberFormat="1" applyFont="1" applyFill="1" applyBorder="1"/>
    <xf numFmtId="3" fontId="72" fillId="0" borderId="272" xfId="16" applyNumberFormat="1" applyFont="1" applyBorder="1"/>
    <xf numFmtId="3" fontId="72" fillId="0" borderId="173" xfId="16" applyNumberFormat="1" applyFont="1" applyBorder="1"/>
    <xf numFmtId="0" fontId="71" fillId="0" borderId="76" xfId="16" applyFont="1" applyBorder="1" applyAlignment="1">
      <alignment horizontal="center"/>
    </xf>
    <xf numFmtId="3" fontId="71" fillId="6" borderId="76" xfId="16" applyNumberFormat="1" applyFont="1" applyFill="1" applyBorder="1"/>
    <xf numFmtId="3" fontId="72" fillId="0" borderId="274" xfId="16" applyNumberFormat="1" applyFont="1" applyBorder="1"/>
    <xf numFmtId="164" fontId="75" fillId="0" borderId="274" xfId="39" applyNumberFormat="1" applyFont="1" applyBorder="1"/>
    <xf numFmtId="0" fontId="54" fillId="0" borderId="239" xfId="0" applyFont="1" applyBorder="1" applyAlignment="1">
      <alignment horizontal="center"/>
    </xf>
    <xf numFmtId="164" fontId="75" fillId="8" borderId="239" xfId="39" applyNumberFormat="1" applyFont="1" applyFill="1" applyBorder="1"/>
    <xf numFmtId="0" fontId="54" fillId="0" borderId="53" xfId="0" applyFont="1" applyFill="1" applyBorder="1" applyAlignment="1">
      <alignment horizontal="center"/>
    </xf>
    <xf numFmtId="164" fontId="75" fillId="0" borderId="53" xfId="39" applyNumberFormat="1" applyFont="1" applyFill="1" applyBorder="1"/>
    <xf numFmtId="164" fontId="75" fillId="0" borderId="23" xfId="39" applyNumberFormat="1" applyFont="1" applyBorder="1"/>
    <xf numFmtId="0" fontId="54" fillId="0" borderId="244" xfId="0" applyFont="1" applyBorder="1" applyAlignment="1">
      <alignment horizontal="center"/>
    </xf>
    <xf numFmtId="164" fontId="75" fillId="8" borderId="244" xfId="39" applyNumberFormat="1" applyFont="1" applyFill="1" applyBorder="1"/>
    <xf numFmtId="0" fontId="54" fillId="0" borderId="239" xfId="0" applyFont="1" applyBorder="1"/>
    <xf numFmtId="171" fontId="75" fillId="8" borderId="239" xfId="1" applyNumberFormat="1" applyFont="1" applyFill="1" applyBorder="1"/>
    <xf numFmtId="171" fontId="75" fillId="0" borderId="274" xfId="1" applyNumberFormat="1" applyFont="1" applyFill="1" applyBorder="1"/>
    <xf numFmtId="171" fontId="75" fillId="0" borderId="23" xfId="1" applyNumberFormat="1" applyFont="1" applyFill="1" applyBorder="1"/>
    <xf numFmtId="0" fontId="54" fillId="0" borderId="244" xfId="0" applyFont="1" applyBorder="1"/>
    <xf numFmtId="171" fontId="75" fillId="8" borderId="244" xfId="1" applyNumberFormat="1" applyFont="1" applyFill="1" applyBorder="1"/>
    <xf numFmtId="171" fontId="75" fillId="0" borderId="274" xfId="1" applyNumberFormat="1" applyFont="1" applyBorder="1"/>
    <xf numFmtId="171" fontId="75" fillId="0" borderId="23" xfId="1" applyNumberFormat="1" applyFont="1" applyBorder="1"/>
    <xf numFmtId="49" fontId="68" fillId="0" borderId="0" xfId="9" applyNumberFormat="1" applyFont="1"/>
    <xf numFmtId="0" fontId="56" fillId="0" borderId="196" xfId="0" applyFont="1" applyFill="1" applyBorder="1" applyAlignment="1">
      <alignment horizontal="left"/>
    </xf>
    <xf numFmtId="0" fontId="56" fillId="0" borderId="197" xfId="0" applyFont="1" applyFill="1" applyBorder="1" applyAlignment="1">
      <alignment horizontal="left"/>
    </xf>
    <xf numFmtId="0" fontId="56" fillId="0" borderId="198" xfId="0" applyFont="1" applyFill="1" applyBorder="1" applyAlignment="1">
      <alignment horizontal="left"/>
    </xf>
    <xf numFmtId="0" fontId="59" fillId="0" borderId="0" xfId="0" applyFont="1" applyFill="1" applyBorder="1" applyAlignment="1">
      <alignment horizontal="left" vertical="top" wrapText="1"/>
    </xf>
    <xf numFmtId="0" fontId="56" fillId="0" borderId="0" xfId="0" applyFont="1" applyBorder="1" applyAlignment="1">
      <alignment horizontal="center"/>
    </xf>
    <xf numFmtId="0" fontId="56" fillId="10" borderId="13" xfId="0" applyFont="1" applyFill="1" applyBorder="1" applyAlignment="1">
      <alignment horizontal="left"/>
    </xf>
    <xf numFmtId="0" fontId="56" fillId="10" borderId="14" xfId="0" applyFont="1" applyFill="1" applyBorder="1" applyAlignment="1">
      <alignment horizontal="left"/>
    </xf>
    <xf numFmtId="0" fontId="56" fillId="10" borderId="142" xfId="0" applyFont="1" applyFill="1" applyBorder="1" applyAlignment="1">
      <alignment horizontal="left"/>
    </xf>
    <xf numFmtId="0" fontId="56" fillId="28" borderId="143" xfId="0" applyFont="1" applyFill="1" applyBorder="1" applyAlignment="1">
      <alignment horizontal="center"/>
    </xf>
    <xf numFmtId="0" fontId="56" fillId="28" borderId="144" xfId="0" applyFont="1" applyFill="1" applyBorder="1" applyAlignment="1">
      <alignment horizontal="center"/>
    </xf>
    <xf numFmtId="0" fontId="57" fillId="0" borderId="34" xfId="0" applyFont="1" applyFill="1" applyBorder="1" applyAlignment="1">
      <alignment horizontal="center" vertical="center" wrapText="1"/>
    </xf>
    <xf numFmtId="0" fontId="57" fillId="10" borderId="154" xfId="0" applyFont="1" applyFill="1" applyBorder="1" applyAlignment="1">
      <alignment horizontal="center" vertical="center" wrapText="1"/>
    </xf>
    <xf numFmtId="0" fontId="57" fillId="10" borderId="155" xfId="0" applyFont="1" applyFill="1" applyBorder="1" applyAlignment="1">
      <alignment horizontal="center" vertical="center" wrapText="1"/>
    </xf>
    <xf numFmtId="0" fontId="57" fillId="10" borderId="156" xfId="0" applyFont="1" applyFill="1" applyBorder="1" applyAlignment="1">
      <alignment horizontal="center" vertical="center" wrapText="1"/>
    </xf>
    <xf numFmtId="0" fontId="57" fillId="10" borderId="157" xfId="0" applyFont="1" applyFill="1" applyBorder="1" applyAlignment="1">
      <alignment horizontal="center" vertical="center" wrapText="1"/>
    </xf>
    <xf numFmtId="0" fontId="57" fillId="10" borderId="158" xfId="0" applyFont="1" applyFill="1" applyBorder="1" applyAlignment="1">
      <alignment horizontal="center" vertical="center" wrapText="1"/>
    </xf>
    <xf numFmtId="0" fontId="57" fillId="10" borderId="159" xfId="0" applyFont="1" applyFill="1" applyBorder="1" applyAlignment="1">
      <alignment horizontal="center" vertical="center" wrapText="1"/>
    </xf>
    <xf numFmtId="0" fontId="57" fillId="10" borderId="160" xfId="0" applyFont="1" applyFill="1" applyBorder="1" applyAlignment="1">
      <alignment horizontal="center" wrapText="1"/>
    </xf>
    <xf numFmtId="0" fontId="57" fillId="10" borderId="161" xfId="0" applyFont="1" applyFill="1" applyBorder="1" applyAlignment="1">
      <alignment horizontal="center" wrapText="1"/>
    </xf>
    <xf numFmtId="0" fontId="56" fillId="0" borderId="0" xfId="0" applyNumberFormat="1" applyFont="1" applyAlignment="1">
      <alignment horizontal="left" wrapText="1"/>
    </xf>
    <xf numFmtId="0" fontId="56" fillId="0" borderId="0" xfId="0" applyFont="1" applyAlignment="1">
      <alignment horizontal="left" wrapText="1"/>
    </xf>
    <xf numFmtId="49" fontId="56" fillId="0" borderId="0" xfId="0" applyNumberFormat="1" applyFont="1" applyAlignment="1">
      <alignment horizontal="left" wrapText="1"/>
    </xf>
    <xf numFmtId="0" fontId="57" fillId="0" borderId="0" xfId="0" applyFont="1" applyFill="1" applyBorder="1" applyAlignment="1">
      <alignment horizontal="center" vertical="center" wrapText="1"/>
    </xf>
    <xf numFmtId="164" fontId="56" fillId="0" borderId="0" xfId="39" applyNumberFormat="1" applyFont="1" applyFill="1" applyBorder="1" applyAlignment="1">
      <alignment horizontal="center"/>
    </xf>
    <xf numFmtId="0" fontId="98" fillId="28" borderId="41" xfId="0" applyFont="1" applyFill="1" applyBorder="1" applyAlignment="1">
      <alignment horizontal="left" vertical="center" wrapText="1"/>
    </xf>
    <xf numFmtId="0" fontId="98" fillId="28" borderId="40" xfId="0" applyFont="1" applyFill="1" applyBorder="1" applyAlignment="1">
      <alignment horizontal="left" vertical="center" wrapText="1"/>
    </xf>
    <xf numFmtId="0" fontId="98" fillId="28" borderId="152" xfId="0" applyFont="1" applyFill="1" applyBorder="1" applyAlignment="1">
      <alignment horizontal="left" vertical="center" wrapText="1"/>
    </xf>
    <xf numFmtId="0" fontId="98" fillId="28" borderId="36" xfId="0" applyFont="1" applyFill="1" applyBorder="1" applyAlignment="1">
      <alignment horizontal="left" vertical="center" wrapText="1"/>
    </xf>
    <xf numFmtId="0" fontId="98" fillId="28" borderId="12" xfId="0" applyFont="1" applyFill="1" applyBorder="1" applyAlignment="1">
      <alignment horizontal="left" vertical="center" wrapText="1"/>
    </xf>
    <xf numFmtId="0" fontId="98" fillId="28" borderId="153" xfId="0" applyFont="1" applyFill="1" applyBorder="1" applyAlignment="1">
      <alignment horizontal="left" vertical="center" wrapText="1"/>
    </xf>
    <xf numFmtId="0" fontId="56" fillId="9" borderId="190" xfId="0" applyFont="1" applyFill="1" applyBorder="1" applyAlignment="1">
      <alignment horizontal="left" indent="1"/>
    </xf>
    <xf numFmtId="0" fontId="56" fillId="9" borderId="0" xfId="0" applyFont="1" applyFill="1" applyBorder="1" applyAlignment="1">
      <alignment horizontal="left" indent="1"/>
    </xf>
    <xf numFmtId="0" fontId="76" fillId="15" borderId="178" xfId="0" applyFont="1" applyFill="1" applyBorder="1" applyAlignment="1"/>
    <xf numFmtId="0" fontId="76" fillId="15" borderId="179" xfId="0" applyFont="1" applyFill="1" applyBorder="1" applyAlignment="1"/>
    <xf numFmtId="0" fontId="57" fillId="29" borderId="16" xfId="0" applyFont="1" applyFill="1" applyBorder="1" applyAlignment="1">
      <alignment horizontal="center" vertical="center"/>
    </xf>
    <xf numFmtId="0" fontId="57" fillId="29" borderId="148" xfId="0" applyFont="1" applyFill="1" applyBorder="1" applyAlignment="1">
      <alignment horizontal="center" vertical="center"/>
    </xf>
    <xf numFmtId="0" fontId="57" fillId="19" borderId="265" xfId="0" applyFont="1" applyFill="1" applyBorder="1" applyAlignment="1">
      <alignment horizontal="center" wrapText="1"/>
    </xf>
    <xf numFmtId="0" fontId="57" fillId="19" borderId="149" xfId="0" applyFont="1" applyFill="1" applyBorder="1" applyAlignment="1">
      <alignment horizontal="center" wrapText="1"/>
    </xf>
    <xf numFmtId="0" fontId="56" fillId="9" borderId="216" xfId="0" applyFont="1" applyFill="1" applyBorder="1" applyAlignment="1">
      <alignment horizontal="left" indent="1"/>
    </xf>
    <xf numFmtId="0" fontId="56" fillId="9" borderId="33" xfId="0" applyFont="1" applyFill="1" applyBorder="1" applyAlignment="1">
      <alignment horizontal="left" indent="1"/>
    </xf>
    <xf numFmtId="0" fontId="57" fillId="19" borderId="139" xfId="0" applyFont="1" applyFill="1" applyBorder="1" applyAlignment="1">
      <alignment horizontal="center" wrapText="1"/>
    </xf>
    <xf numFmtId="0" fontId="57" fillId="19" borderId="193" xfId="0" applyFont="1" applyFill="1" applyBorder="1" applyAlignment="1">
      <alignment horizontal="center" wrapText="1"/>
    </xf>
    <xf numFmtId="0" fontId="76" fillId="15" borderId="190" xfId="0" applyFont="1" applyFill="1" applyBorder="1" applyAlignment="1"/>
    <xf numFmtId="0" fontId="76" fillId="15" borderId="0" xfId="0" applyFont="1" applyFill="1" applyBorder="1" applyAlignment="1"/>
    <xf numFmtId="0" fontId="57" fillId="19" borderId="215" xfId="0" applyFont="1" applyFill="1" applyBorder="1" applyAlignment="1">
      <alignment horizontal="center"/>
    </xf>
    <xf numFmtId="0" fontId="57" fillId="19" borderId="259" xfId="0" applyFont="1" applyFill="1" applyBorder="1" applyAlignment="1">
      <alignment horizontal="center"/>
    </xf>
    <xf numFmtId="0" fontId="57" fillId="19" borderId="244" xfId="0" applyFont="1" applyFill="1" applyBorder="1" applyAlignment="1">
      <alignment horizontal="center"/>
    </xf>
    <xf numFmtId="0" fontId="98" fillId="28" borderId="245" xfId="0" applyFont="1" applyFill="1" applyBorder="1" applyAlignment="1">
      <alignment horizontal="left" wrapText="1"/>
    </xf>
    <xf numFmtId="0" fontId="98" fillId="28" borderId="223" xfId="0" applyFont="1" applyFill="1" applyBorder="1" applyAlignment="1">
      <alignment horizontal="left" wrapText="1"/>
    </xf>
    <xf numFmtId="0" fontId="98" fillId="28" borderId="232" xfId="0" applyFont="1" applyFill="1" applyBorder="1" applyAlignment="1">
      <alignment horizontal="left" wrapText="1"/>
    </xf>
    <xf numFmtId="0" fontId="124" fillId="28" borderId="150" xfId="0" applyFont="1" applyFill="1" applyBorder="1" applyAlignment="1">
      <alignment horizontal="left" wrapText="1"/>
    </xf>
    <xf numFmtId="0" fontId="124" fillId="28" borderId="137" xfId="0" applyFont="1" applyFill="1" applyBorder="1" applyAlignment="1">
      <alignment horizontal="left" wrapText="1"/>
    </xf>
    <xf numFmtId="0" fontId="124" fillId="28" borderId="275" xfId="0" applyFont="1" applyFill="1" applyBorder="1" applyAlignment="1">
      <alignment horizontal="left" wrapText="1"/>
    </xf>
    <xf numFmtId="0" fontId="59" fillId="0" borderId="40" xfId="0" applyFont="1" applyBorder="1" applyAlignment="1">
      <alignment horizontal="center" vertical="top" wrapText="1"/>
    </xf>
    <xf numFmtId="0" fontId="106" fillId="31" borderId="162" xfId="0" applyFont="1" applyFill="1" applyBorder="1" applyAlignment="1">
      <alignment horizontal="center" vertical="center" wrapText="1"/>
    </xf>
    <xf numFmtId="0" fontId="109" fillId="31" borderId="28" xfId="0" applyFont="1" applyFill="1" applyBorder="1" applyAlignment="1">
      <alignment horizontal="center" vertical="top" wrapText="1"/>
    </xf>
    <xf numFmtId="0" fontId="109" fillId="31" borderId="165" xfId="0" applyFont="1" applyFill="1" applyBorder="1" applyAlignment="1">
      <alignment horizontal="center" vertical="top"/>
    </xf>
    <xf numFmtId="0" fontId="109" fillId="31" borderId="163" xfId="0" applyFont="1" applyFill="1" applyBorder="1" applyAlignment="1">
      <alignment horizontal="center" vertical="top"/>
    </xf>
    <xf numFmtId="0" fontId="109" fillId="31" borderId="15" xfId="0" applyFont="1" applyFill="1" applyBorder="1" applyAlignment="1">
      <alignment horizontal="center" vertical="top"/>
    </xf>
    <xf numFmtId="9" fontId="117" fillId="0" borderId="0" xfId="0" applyNumberFormat="1" applyFont="1" applyAlignment="1">
      <alignment horizontal="center" vertical="center"/>
    </xf>
    <xf numFmtId="0" fontId="59" fillId="0" borderId="0" xfId="0" applyFont="1" applyFill="1" applyAlignment="1">
      <alignment horizontal="left" vertical="top" wrapText="1"/>
    </xf>
    <xf numFmtId="0" fontId="57" fillId="17" borderId="118" xfId="0" applyFont="1" applyFill="1" applyBorder="1" applyAlignment="1">
      <alignment horizontal="center" vertical="center" wrapText="1"/>
    </xf>
    <xf numFmtId="0" fontId="57" fillId="17" borderId="129" xfId="0" applyFont="1" applyFill="1" applyBorder="1" applyAlignment="1">
      <alignment horizontal="center" vertical="center" wrapText="1"/>
    </xf>
    <xf numFmtId="0" fontId="57" fillId="17" borderId="22" xfId="0" applyFont="1" applyFill="1" applyBorder="1" applyAlignment="1">
      <alignment horizontal="center" vertical="center" wrapText="1"/>
    </xf>
    <xf numFmtId="0" fontId="57" fillId="17" borderId="23" xfId="0" applyFont="1" applyFill="1" applyBorder="1" applyAlignment="1">
      <alignment horizontal="center" vertical="center" wrapText="1"/>
    </xf>
    <xf numFmtId="0" fontId="57" fillId="17" borderId="118" xfId="0" applyFont="1" applyFill="1" applyBorder="1" applyAlignment="1">
      <alignment horizontal="center" vertical="center"/>
    </xf>
    <xf numFmtId="0" fontId="57" fillId="17" borderId="129" xfId="0" applyFont="1" applyFill="1" applyBorder="1" applyAlignment="1">
      <alignment horizontal="center" vertical="center"/>
    </xf>
    <xf numFmtId="0" fontId="57" fillId="17" borderId="22" xfId="0" applyFont="1" applyFill="1" applyBorder="1" applyAlignment="1">
      <alignment horizontal="center" vertical="center"/>
    </xf>
    <xf numFmtId="0" fontId="57" fillId="17" borderId="23" xfId="0" applyFont="1" applyFill="1" applyBorder="1" applyAlignment="1">
      <alignment horizontal="center" vertical="center"/>
    </xf>
    <xf numFmtId="0" fontId="57" fillId="17" borderId="29" xfId="0" applyFont="1" applyFill="1" applyBorder="1" applyAlignment="1">
      <alignment horizontal="center" vertical="center" wrapText="1"/>
    </xf>
    <xf numFmtId="0" fontId="57" fillId="17" borderId="123" xfId="0" applyFont="1" applyFill="1" applyBorder="1" applyAlignment="1">
      <alignment horizontal="center" vertical="center" wrapText="1"/>
    </xf>
    <xf numFmtId="0" fontId="93" fillId="25" borderId="41" xfId="0" applyFont="1" applyFill="1" applyBorder="1" applyAlignment="1">
      <alignment horizontal="left" vertical="center" wrapText="1"/>
    </xf>
    <xf numFmtId="0" fontId="93" fillId="25" borderId="34" xfId="0" applyFont="1" applyFill="1" applyBorder="1" applyAlignment="1">
      <alignment horizontal="left" vertical="center" wrapText="1"/>
    </xf>
    <xf numFmtId="0" fontId="120" fillId="9" borderId="0" xfId="0" applyFont="1" applyFill="1" applyAlignment="1">
      <alignment horizontal="left" vertical="top" wrapText="1"/>
    </xf>
    <xf numFmtId="0" fontId="56" fillId="0" borderId="136" xfId="0" applyFont="1" applyFill="1" applyBorder="1" applyAlignment="1">
      <alignment horizontal="left"/>
    </xf>
    <xf numFmtId="0" fontId="56" fillId="0" borderId="137" xfId="0" applyFont="1" applyFill="1" applyBorder="1" applyAlignment="1">
      <alignment horizontal="left"/>
    </xf>
    <xf numFmtId="0" fontId="56" fillId="0" borderId="121" xfId="0" applyFont="1" applyFill="1" applyBorder="1" applyAlignment="1">
      <alignment horizontal="left"/>
    </xf>
    <xf numFmtId="0" fontId="56" fillId="0" borderId="0" xfId="0" applyFont="1" applyFill="1" applyBorder="1" applyAlignment="1">
      <alignment horizontal="left"/>
    </xf>
    <xf numFmtId="0" fontId="56" fillId="0" borderId="33" xfId="0" applyFont="1" applyFill="1" applyBorder="1" applyAlignment="1">
      <alignment horizontal="left"/>
    </xf>
    <xf numFmtId="0" fontId="59" fillId="0" borderId="0" xfId="0" applyFont="1" applyBorder="1" applyAlignment="1">
      <alignment horizontal="left" vertical="top" wrapText="1"/>
    </xf>
    <xf numFmtId="0" fontId="59" fillId="0" borderId="137" xfId="0" applyFont="1" applyBorder="1" applyAlignment="1">
      <alignment horizontal="left" vertical="top" wrapText="1"/>
    </xf>
    <xf numFmtId="0" fontId="93" fillId="25" borderId="138" xfId="0" applyFont="1" applyFill="1" applyBorder="1" applyAlignment="1">
      <alignment horizontal="left" vertical="center" wrapText="1"/>
    </xf>
    <xf numFmtId="0" fontId="93" fillId="25" borderId="121" xfId="0" applyFont="1" applyFill="1" applyBorder="1" applyAlignment="1">
      <alignment horizontal="left" vertical="center" wrapText="1"/>
    </xf>
    <xf numFmtId="0" fontId="95" fillId="0" borderId="34" xfId="0" applyFont="1" applyBorder="1" applyAlignment="1">
      <alignment horizontal="left"/>
    </xf>
    <xf numFmtId="0" fontId="95" fillId="0" borderId="0" xfId="0" applyFont="1" applyBorder="1" applyAlignment="1">
      <alignment horizontal="left"/>
    </xf>
    <xf numFmtId="9" fontId="57" fillId="18" borderId="203" xfId="39" applyFont="1" applyFill="1" applyBorder="1" applyAlignment="1">
      <alignment horizontal="center"/>
    </xf>
    <xf numFmtId="9" fontId="57" fillId="18" borderId="246" xfId="39" applyFont="1" applyFill="1" applyBorder="1" applyAlignment="1">
      <alignment horizontal="center"/>
    </xf>
    <xf numFmtId="9" fontId="57" fillId="18" borderId="240" xfId="39" applyFont="1" applyFill="1" applyBorder="1" applyAlignment="1">
      <alignment horizontal="center"/>
    </xf>
    <xf numFmtId="0" fontId="57" fillId="0" borderId="0" xfId="0" applyFont="1" applyFill="1" applyBorder="1" applyAlignment="1">
      <alignment horizontal="center"/>
    </xf>
    <xf numFmtId="9" fontId="57" fillId="19" borderId="245" xfId="39" applyFont="1" applyFill="1" applyBorder="1" applyAlignment="1">
      <alignment horizontal="center"/>
    </xf>
    <xf numFmtId="9" fontId="57" fillId="19" borderId="223" xfId="39" applyFont="1" applyFill="1" applyBorder="1" applyAlignment="1">
      <alignment horizontal="center"/>
    </xf>
    <xf numFmtId="9" fontId="57" fillId="19" borderId="232" xfId="39" applyFont="1" applyFill="1" applyBorder="1" applyAlignment="1">
      <alignment horizontal="center"/>
    </xf>
    <xf numFmtId="0" fontId="57" fillId="19" borderId="247" xfId="0" applyFont="1" applyFill="1" applyBorder="1" applyAlignment="1">
      <alignment horizontal="center" vertical="center"/>
    </xf>
    <xf numFmtId="0" fontId="57" fillId="19" borderId="33" xfId="0" applyFont="1" applyFill="1" applyBorder="1" applyAlignment="1">
      <alignment horizontal="center" vertical="center"/>
    </xf>
    <xf numFmtId="0" fontId="57" fillId="19" borderId="192" xfId="0" applyFont="1" applyFill="1" applyBorder="1" applyAlignment="1">
      <alignment horizontal="center" vertical="center"/>
    </xf>
    <xf numFmtId="9" fontId="57" fillId="19" borderId="215" xfId="39" applyFont="1" applyFill="1" applyBorder="1" applyAlignment="1">
      <alignment horizontal="center" vertical="center"/>
    </xf>
    <xf numFmtId="9" fontId="57" fillId="19" borderId="259" xfId="39" applyFont="1" applyFill="1" applyBorder="1" applyAlignment="1">
      <alignment horizontal="center" vertical="center"/>
    </xf>
    <xf numFmtId="0" fontId="94" fillId="19" borderId="244" xfId="0" applyFont="1" applyFill="1" applyBorder="1" applyAlignment="1">
      <alignment horizontal="center" vertical="center" wrapText="1"/>
    </xf>
    <xf numFmtId="0" fontId="57" fillId="18" borderId="245" xfId="0" applyFont="1" applyFill="1" applyBorder="1" applyAlignment="1">
      <alignment horizontal="center"/>
    </xf>
    <xf numFmtId="0" fontId="57" fillId="18" borderId="223" xfId="0" applyFont="1" applyFill="1" applyBorder="1" applyAlignment="1">
      <alignment horizontal="center"/>
    </xf>
    <xf numFmtId="0" fontId="57" fillId="18" borderId="232" xfId="0" applyFont="1" applyFill="1" applyBorder="1" applyAlignment="1">
      <alignment horizontal="center"/>
    </xf>
    <xf numFmtId="0" fontId="59" fillId="0" borderId="40" xfId="0" applyFont="1" applyFill="1" applyBorder="1" applyAlignment="1">
      <alignment horizontal="left" vertical="top" wrapText="1"/>
    </xf>
    <xf numFmtId="0" fontId="57" fillId="18" borderId="13" xfId="0" applyFont="1" applyFill="1" applyBorder="1" applyAlignment="1">
      <alignment horizontal="center"/>
    </xf>
    <xf numFmtId="0" fontId="57" fillId="18" borderId="14" xfId="0" applyFont="1" applyFill="1" applyBorder="1" applyAlignment="1">
      <alignment horizontal="center"/>
    </xf>
    <xf numFmtId="0" fontId="57" fillId="18" borderId="15" xfId="0" applyFont="1" applyFill="1" applyBorder="1" applyAlignment="1">
      <alignment horizontal="center"/>
    </xf>
    <xf numFmtId="0" fontId="57" fillId="19" borderId="203" xfId="0" applyFont="1" applyFill="1" applyBorder="1" applyAlignment="1">
      <alignment horizontal="center" vertical="center"/>
    </xf>
    <xf numFmtId="0" fontId="57" fillId="19" borderId="246" xfId="0" applyFont="1" applyFill="1" applyBorder="1" applyAlignment="1">
      <alignment horizontal="center" vertical="center"/>
    </xf>
    <xf numFmtId="0" fontId="57" fillId="19" borderId="240" xfId="0" applyFont="1" applyFill="1" applyBorder="1" applyAlignment="1">
      <alignment horizontal="center" vertical="center"/>
    </xf>
    <xf numFmtId="0" fontId="93" fillId="26" borderId="245" xfId="0" applyFont="1" applyFill="1" applyBorder="1" applyAlignment="1">
      <alignment horizontal="left" vertical="center" wrapText="1"/>
    </xf>
    <xf numFmtId="0" fontId="93" fillId="26" borderId="232" xfId="0" applyFont="1" applyFill="1" applyBorder="1" applyAlignment="1">
      <alignment horizontal="left" vertical="center" wrapText="1"/>
    </xf>
    <xf numFmtId="0" fontId="93" fillId="26" borderId="190" xfId="0" applyFont="1" applyFill="1" applyBorder="1" applyAlignment="1">
      <alignment horizontal="left" vertical="center" wrapText="1"/>
    </xf>
    <xf numFmtId="0" fontId="93" fillId="26" borderId="0" xfId="0" applyFont="1" applyFill="1" applyBorder="1" applyAlignment="1">
      <alignment horizontal="left" vertical="center" wrapText="1"/>
    </xf>
    <xf numFmtId="0" fontId="57" fillId="0" borderId="0" xfId="0" applyFont="1" applyFill="1" applyBorder="1" applyAlignment="1">
      <alignment horizontal="center" vertical="center"/>
    </xf>
    <xf numFmtId="0" fontId="93" fillId="26" borderId="216" xfId="0" applyFont="1" applyFill="1" applyBorder="1" applyAlignment="1">
      <alignment horizontal="left" vertical="center" wrapText="1"/>
    </xf>
    <xf numFmtId="0" fontId="93" fillId="26" borderId="33" xfId="0" applyFont="1" applyFill="1" applyBorder="1" applyAlignment="1">
      <alignment horizontal="left" vertical="center" wrapText="1"/>
    </xf>
    <xf numFmtId="0" fontId="56" fillId="0" borderId="190" xfId="0" quotePrefix="1" applyFont="1" applyBorder="1" applyAlignment="1">
      <alignment horizontal="left"/>
    </xf>
    <xf numFmtId="0" fontId="56" fillId="0" borderId="0" xfId="0" quotePrefix="1" applyFont="1" applyBorder="1" applyAlignment="1">
      <alignment horizontal="left"/>
    </xf>
    <xf numFmtId="0" fontId="67" fillId="0" borderId="12" xfId="0" applyFont="1" applyBorder="1" applyAlignment="1">
      <alignment horizontal="center"/>
    </xf>
    <xf numFmtId="0" fontId="64" fillId="14" borderId="165" xfId="0" applyFont="1" applyFill="1" applyBorder="1" applyAlignment="1" applyProtection="1">
      <alignment horizontal="center" vertical="center"/>
      <protection locked="0"/>
    </xf>
    <xf numFmtId="0" fontId="64" fillId="14" borderId="163" xfId="0"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protection locked="0"/>
    </xf>
    <xf numFmtId="0" fontId="57" fillId="0" borderId="0" xfId="0" applyFont="1" applyAlignment="1">
      <alignment horizontal="right"/>
    </xf>
    <xf numFmtId="0" fontId="56" fillId="14" borderId="0" xfId="0" applyFont="1" applyFill="1" applyAlignment="1">
      <alignment horizontal="left"/>
    </xf>
    <xf numFmtId="0" fontId="64" fillId="0" borderId="0" xfId="0" applyFont="1" applyAlignment="1">
      <alignment horizontal="right"/>
    </xf>
    <xf numFmtId="0" fontId="67" fillId="16" borderId="40" xfId="0" applyFont="1" applyFill="1" applyBorder="1" applyAlignment="1">
      <alignment horizontal="center" vertical="center" wrapText="1"/>
    </xf>
    <xf numFmtId="0" fontId="67" fillId="16" borderId="0" xfId="0" applyFont="1" applyFill="1" applyBorder="1" applyAlignment="1">
      <alignment horizontal="center" vertical="center" wrapText="1"/>
    </xf>
    <xf numFmtId="0" fontId="67" fillId="16" borderId="105" xfId="0" applyFont="1" applyFill="1" applyBorder="1" applyAlignment="1">
      <alignment horizontal="center" vertical="center" wrapText="1"/>
    </xf>
    <xf numFmtId="0" fontId="67" fillId="16" borderId="106" xfId="0" applyFont="1" applyFill="1" applyBorder="1" applyAlignment="1">
      <alignment horizontal="center" vertical="center" wrapText="1"/>
    </xf>
    <xf numFmtId="9" fontId="96" fillId="0" borderId="0" xfId="39" applyFont="1" applyAlignment="1">
      <alignment horizontal="center" vertical="center"/>
    </xf>
    <xf numFmtId="0" fontId="57" fillId="0" borderId="0" xfId="0" applyFont="1" applyAlignment="1">
      <alignment horizontal="center"/>
    </xf>
    <xf numFmtId="171" fontId="97" fillId="0" borderId="0" xfId="1" applyNumberFormat="1" applyFont="1" applyAlignment="1">
      <alignment horizontal="center" vertical="center"/>
    </xf>
    <xf numFmtId="0" fontId="98" fillId="27" borderId="41" xfId="0" applyFont="1" applyFill="1" applyBorder="1" applyAlignment="1">
      <alignment horizontal="left" vertical="center"/>
    </xf>
    <xf numFmtId="0" fontId="98" fillId="27" borderId="40" xfId="0" applyFont="1" applyFill="1" applyBorder="1" applyAlignment="1">
      <alignment horizontal="left" vertical="center"/>
    </xf>
    <xf numFmtId="0" fontId="98" fillId="27" borderId="34" xfId="0" applyFont="1" applyFill="1" applyBorder="1" applyAlignment="1">
      <alignment horizontal="left" vertical="center"/>
    </xf>
    <xf numFmtId="0" fontId="98" fillId="27" borderId="0" xfId="0" applyFont="1" applyFill="1" applyBorder="1" applyAlignment="1">
      <alignment horizontal="left" vertical="center"/>
    </xf>
    <xf numFmtId="0" fontId="98" fillId="27" borderId="36" xfId="0" applyFont="1" applyFill="1" applyBorder="1" applyAlignment="1">
      <alignment horizontal="left" vertical="center"/>
    </xf>
    <xf numFmtId="0" fontId="98" fillId="27" borderId="12" xfId="0" applyFont="1" applyFill="1" applyBorder="1" applyAlignment="1">
      <alignment horizontal="left" vertical="center"/>
    </xf>
    <xf numFmtId="0" fontId="64" fillId="6" borderId="29" xfId="0" applyFont="1" applyFill="1" applyBorder="1" applyAlignment="1">
      <alignment horizontal="center" vertical="center"/>
    </xf>
    <xf numFmtId="0" fontId="64" fillId="6" borderId="31" xfId="0" applyFont="1" applyFill="1" applyBorder="1" applyAlignment="1">
      <alignment horizontal="center" vertical="center"/>
    </xf>
    <xf numFmtId="0" fontId="57" fillId="6" borderId="41" xfId="0" applyFont="1" applyFill="1" applyBorder="1" applyAlignment="1">
      <alignment horizontal="center" vertical="center" wrapText="1"/>
    </xf>
    <xf numFmtId="0" fontId="57" fillId="6" borderId="68" xfId="0" applyFont="1" applyFill="1" applyBorder="1" applyAlignment="1">
      <alignment horizontal="center" vertical="center" wrapText="1"/>
    </xf>
    <xf numFmtId="0" fontId="57" fillId="6" borderId="36" xfId="0" applyFont="1" applyFill="1" applyBorder="1" applyAlignment="1">
      <alignment horizontal="center" vertical="center" wrapText="1"/>
    </xf>
    <xf numFmtId="0" fontId="57" fillId="6" borderId="35" xfId="0" applyFont="1" applyFill="1" applyBorder="1" applyAlignment="1">
      <alignment horizontal="center" vertical="center" wrapText="1"/>
    </xf>
    <xf numFmtId="37" fontId="97" fillId="0" borderId="0" xfId="1" applyNumberFormat="1" applyFont="1" applyFill="1" applyAlignment="1">
      <alignment horizontal="center" vertical="center"/>
    </xf>
    <xf numFmtId="0" fontId="95" fillId="0" borderId="36" xfId="0" applyFont="1" applyBorder="1" applyAlignment="1">
      <alignment horizontal="left"/>
    </xf>
    <xf numFmtId="0" fontId="95" fillId="0" borderId="12" xfId="0" applyFont="1" applyBorder="1" applyAlignment="1">
      <alignment horizontal="left"/>
    </xf>
    <xf numFmtId="0" fontId="67" fillId="16" borderId="107" xfId="0" applyFont="1" applyFill="1" applyBorder="1" applyAlignment="1">
      <alignment horizontal="center" vertical="center" wrapText="1"/>
    </xf>
    <xf numFmtId="0" fontId="80" fillId="0" borderId="0" xfId="0" applyFont="1" applyAlignment="1">
      <alignment horizontal="center" vertical="center" wrapText="1"/>
    </xf>
    <xf numFmtId="0" fontId="56" fillId="0" borderId="0" xfId="0" applyFont="1" applyAlignment="1">
      <alignment horizontal="center"/>
    </xf>
    <xf numFmtId="0" fontId="57" fillId="10" borderId="190" xfId="0" applyFont="1" applyFill="1" applyBorder="1" applyAlignment="1"/>
    <xf numFmtId="0" fontId="57" fillId="10" borderId="0" xfId="0" applyFont="1" applyFill="1" applyBorder="1" applyAlignment="1"/>
    <xf numFmtId="0" fontId="76" fillId="15" borderId="191" xfId="0" applyFont="1" applyFill="1" applyBorder="1" applyAlignment="1"/>
    <xf numFmtId="0" fontId="76" fillId="15" borderId="195" xfId="0" applyFont="1" applyFill="1" applyBorder="1" applyAlignment="1"/>
    <xf numFmtId="0" fontId="57" fillId="10" borderId="41" xfId="0" applyFont="1" applyFill="1" applyBorder="1" applyAlignment="1"/>
    <xf numFmtId="0" fontId="57" fillId="10" borderId="40" xfId="0" applyFont="1" applyFill="1" applyBorder="1" applyAlignment="1"/>
    <xf numFmtId="0" fontId="57" fillId="10" borderId="190" xfId="0" applyFont="1" applyFill="1" applyBorder="1" applyAlignment="1">
      <alignment horizontal="left"/>
    </xf>
    <xf numFmtId="0" fontId="57" fillId="10" borderId="0" xfId="0" applyFont="1" applyFill="1" applyBorder="1" applyAlignment="1">
      <alignment horizontal="left"/>
    </xf>
    <xf numFmtId="0" fontId="56" fillId="11" borderId="190" xfId="0" quotePrefix="1" applyFont="1" applyFill="1" applyBorder="1" applyAlignment="1">
      <alignment horizontal="left"/>
    </xf>
    <xf numFmtId="0" fontId="56" fillId="11" borderId="0" xfId="0" quotePrefix="1" applyFont="1" applyFill="1" applyBorder="1" applyAlignment="1">
      <alignment horizontal="left"/>
    </xf>
    <xf numFmtId="0" fontId="57" fillId="29" borderId="17" xfId="0" applyFont="1" applyFill="1" applyBorder="1" applyAlignment="1">
      <alignment horizontal="center" vertical="center"/>
    </xf>
    <xf numFmtId="0" fontId="57" fillId="29" borderId="145" xfId="0" applyFont="1" applyFill="1" applyBorder="1" applyAlignment="1">
      <alignment horizontal="center" vertical="center"/>
    </xf>
    <xf numFmtId="0" fontId="57" fillId="29" borderId="17" xfId="0" applyFont="1" applyFill="1" applyBorder="1" applyAlignment="1">
      <alignment horizontal="center" vertical="center" wrapText="1"/>
    </xf>
    <xf numFmtId="0" fontId="57" fillId="29" borderId="145" xfId="0" applyFont="1" applyFill="1" applyBorder="1" applyAlignment="1">
      <alignment horizontal="center" vertical="center" wrapText="1"/>
    </xf>
    <xf numFmtId="0" fontId="59" fillId="0" borderId="223" xfId="0" applyFont="1" applyBorder="1" applyAlignment="1">
      <alignment horizontal="left"/>
    </xf>
    <xf numFmtId="0" fontId="57" fillId="10" borderId="151" xfId="0" applyFont="1" applyFill="1" applyBorder="1" applyAlignment="1"/>
    <xf numFmtId="0" fontId="57" fillId="10" borderId="141" xfId="0" applyFont="1" applyFill="1" applyBorder="1" applyAlignment="1"/>
    <xf numFmtId="0" fontId="93" fillId="26" borderId="138" xfId="0" applyFont="1" applyFill="1" applyBorder="1" applyAlignment="1">
      <alignment horizontal="left" vertical="center" wrapText="1"/>
    </xf>
    <xf numFmtId="0" fontId="93" fillId="26" borderId="141" xfId="0" applyFont="1" applyFill="1" applyBorder="1" applyAlignment="1">
      <alignment horizontal="left" vertical="center" wrapText="1"/>
    </xf>
    <xf numFmtId="0" fontId="93" fillId="26" borderId="199" xfId="0" applyFont="1" applyFill="1" applyBorder="1" applyAlignment="1">
      <alignment horizontal="left" vertical="center" wrapText="1"/>
    </xf>
    <xf numFmtId="0" fontId="93" fillId="26" borderId="200" xfId="0" applyFont="1" applyFill="1" applyBorder="1" applyAlignment="1">
      <alignment horizontal="left" vertical="center" wrapText="1"/>
    </xf>
    <xf numFmtId="0" fontId="93" fillId="26" borderId="195" xfId="0" applyFont="1" applyFill="1" applyBorder="1" applyAlignment="1">
      <alignment horizontal="left" vertical="center" wrapText="1"/>
    </xf>
    <xf numFmtId="0" fontId="93" fillId="26" borderId="192" xfId="0" applyFont="1" applyFill="1" applyBorder="1" applyAlignment="1">
      <alignment horizontal="left" vertical="center" wrapText="1"/>
    </xf>
    <xf numFmtId="0" fontId="57" fillId="19" borderId="203" xfId="0" applyFont="1" applyFill="1" applyBorder="1" applyAlignment="1">
      <alignment horizontal="center"/>
    </xf>
    <xf numFmtId="0" fontId="57" fillId="19" borderId="246" xfId="0" applyFont="1" applyFill="1" applyBorder="1" applyAlignment="1">
      <alignment horizontal="center"/>
    </xf>
    <xf numFmtId="0" fontId="57" fillId="19" borderId="240" xfId="0" applyFont="1" applyFill="1" applyBorder="1" applyAlignment="1">
      <alignment horizontal="center"/>
    </xf>
    <xf numFmtId="0" fontId="57" fillId="29" borderId="18" xfId="0" applyFont="1" applyFill="1" applyBorder="1" applyAlignment="1">
      <alignment horizontal="center" vertical="center"/>
    </xf>
    <xf numFmtId="0" fontId="57" fillId="29" borderId="147" xfId="0" applyFont="1" applyFill="1" applyBorder="1" applyAlignment="1">
      <alignment horizontal="center" vertical="center"/>
    </xf>
    <xf numFmtId="0" fontId="110" fillId="6" borderId="0" xfId="0" applyFont="1" applyFill="1" applyAlignment="1">
      <alignment horizontal="left" vertical="top" wrapText="1" indent="1"/>
    </xf>
    <xf numFmtId="0" fontId="56" fillId="0" borderId="216" xfId="0" quotePrefix="1" applyFont="1" applyBorder="1" applyAlignment="1">
      <alignment horizontal="left"/>
    </xf>
    <xf numFmtId="0" fontId="56" fillId="0" borderId="33" xfId="0" quotePrefix="1" applyFont="1" applyBorder="1" applyAlignment="1">
      <alignment horizontal="left"/>
    </xf>
    <xf numFmtId="0" fontId="56" fillId="11" borderId="216" xfId="0" quotePrefix="1" applyFont="1" applyFill="1" applyBorder="1" applyAlignment="1">
      <alignment horizontal="left"/>
    </xf>
    <xf numFmtId="0" fontId="56" fillId="11" borderId="33" xfId="0" quotePrefix="1" applyFont="1" applyFill="1" applyBorder="1" applyAlignment="1">
      <alignment horizontal="left"/>
    </xf>
    <xf numFmtId="0" fontId="56" fillId="9" borderId="191" xfId="0" quotePrefix="1" applyFont="1" applyFill="1" applyBorder="1" applyAlignment="1">
      <alignment horizontal="left"/>
    </xf>
    <xf numFmtId="0" fontId="56" fillId="9" borderId="192" xfId="0" quotePrefix="1" applyFont="1" applyFill="1" applyBorder="1" applyAlignment="1">
      <alignment horizontal="left"/>
    </xf>
    <xf numFmtId="0" fontId="56" fillId="9" borderId="190" xfId="0" quotePrefix="1" applyFont="1" applyFill="1" applyBorder="1" applyAlignment="1">
      <alignment horizontal="left"/>
    </xf>
    <xf numFmtId="0" fontId="56" fillId="9" borderId="0" xfId="0" quotePrefix="1" applyFont="1" applyFill="1" applyBorder="1" applyAlignment="1">
      <alignment horizontal="left"/>
    </xf>
    <xf numFmtId="0" fontId="93" fillId="26" borderId="146" xfId="0" applyFont="1" applyFill="1" applyBorder="1" applyAlignment="1">
      <alignment horizontal="left" vertical="center"/>
    </xf>
    <xf numFmtId="0" fontId="93" fillId="26" borderId="140" xfId="0" applyFont="1" applyFill="1" applyBorder="1" applyAlignment="1">
      <alignment horizontal="left" vertical="center"/>
    </xf>
    <xf numFmtId="0" fontId="56" fillId="0" borderId="191" xfId="0" quotePrefix="1" applyFont="1" applyFill="1" applyBorder="1" applyAlignment="1">
      <alignment horizontal="left"/>
    </xf>
    <xf numFmtId="0" fontId="56" fillId="0" borderId="195" xfId="0" quotePrefix="1" applyFont="1" applyFill="1" applyBorder="1" applyAlignment="1">
      <alignment horizontal="left"/>
    </xf>
    <xf numFmtId="9" fontId="57" fillId="19" borderId="196" xfId="0" applyNumberFormat="1" applyFont="1" applyFill="1" applyBorder="1" applyAlignment="1">
      <alignment horizontal="center"/>
    </xf>
    <xf numFmtId="9" fontId="57" fillId="19" borderId="197" xfId="0" applyNumberFormat="1" applyFont="1" applyFill="1" applyBorder="1" applyAlignment="1">
      <alignment horizontal="center"/>
    </xf>
    <xf numFmtId="9" fontId="57" fillId="19" borderId="267" xfId="0" applyNumberFormat="1" applyFont="1" applyFill="1" applyBorder="1" applyAlignment="1">
      <alignment horizontal="center"/>
    </xf>
    <xf numFmtId="9" fontId="57" fillId="19" borderId="245" xfId="0" applyNumberFormat="1" applyFont="1" applyFill="1" applyBorder="1" applyAlignment="1">
      <alignment horizontal="center"/>
    </xf>
    <xf numFmtId="9" fontId="57" fillId="19" borderId="223" xfId="0" applyNumberFormat="1" applyFont="1" applyFill="1" applyBorder="1" applyAlignment="1">
      <alignment horizontal="center"/>
    </xf>
    <xf numFmtId="9" fontId="57" fillId="19" borderId="266" xfId="0" applyNumberFormat="1" applyFont="1" applyFill="1" applyBorder="1" applyAlignment="1">
      <alignment horizontal="center"/>
    </xf>
    <xf numFmtId="0" fontId="99" fillId="19" borderId="248" xfId="0" applyFont="1" applyFill="1" applyBorder="1" applyAlignment="1">
      <alignment horizontal="center" vertical="center" wrapText="1"/>
    </xf>
    <xf numFmtId="0" fontId="99" fillId="19" borderId="194" xfId="0" applyFont="1" applyFill="1" applyBorder="1" applyAlignment="1">
      <alignment horizontal="center" vertical="center" wrapText="1"/>
    </xf>
    <xf numFmtId="0" fontId="57" fillId="18" borderId="247" xfId="0" applyFont="1" applyFill="1" applyBorder="1" applyAlignment="1">
      <alignment horizontal="center" vertical="center"/>
    </xf>
    <xf numFmtId="0" fontId="57" fillId="18" borderId="217" xfId="0" applyFont="1" applyFill="1" applyBorder="1" applyAlignment="1">
      <alignment horizontal="center" vertical="center"/>
    </xf>
    <xf numFmtId="0" fontId="57" fillId="18" borderId="193" xfId="0" applyFont="1" applyFill="1" applyBorder="1" applyAlignment="1">
      <alignment horizontal="center" vertical="center"/>
    </xf>
    <xf numFmtId="0" fontId="108" fillId="0" borderId="0" xfId="0" applyFont="1" applyBorder="1" applyAlignment="1">
      <alignment horizontal="left" vertical="top" wrapText="1"/>
    </xf>
    <xf numFmtId="0" fontId="109" fillId="27" borderId="41" xfId="0" applyFont="1" applyFill="1" applyBorder="1" applyAlignment="1">
      <alignment horizontal="center" vertical="center" wrapText="1"/>
    </xf>
    <xf numFmtId="0" fontId="109" fillId="27" borderId="34" xfId="0" applyFont="1" applyFill="1" applyBorder="1" applyAlignment="1">
      <alignment horizontal="center" vertical="center" wrapText="1"/>
    </xf>
    <xf numFmtId="0" fontId="109" fillId="27" borderId="150" xfId="0" applyFont="1" applyFill="1" applyBorder="1" applyAlignment="1">
      <alignment horizontal="center" vertical="center" wrapText="1"/>
    </xf>
    <xf numFmtId="0" fontId="57" fillId="19" borderId="230" xfId="0" applyFont="1" applyFill="1" applyBorder="1" applyAlignment="1">
      <alignment horizontal="center" vertical="center"/>
    </xf>
    <xf numFmtId="0" fontId="57" fillId="19" borderId="249" xfId="0" applyFont="1" applyFill="1" applyBorder="1" applyAlignment="1">
      <alignment horizontal="center" vertical="center"/>
    </xf>
    <xf numFmtId="0" fontId="57" fillId="19" borderId="242" xfId="0" applyFont="1" applyFill="1" applyBorder="1" applyAlignment="1">
      <alignment horizontal="center" wrapText="1"/>
    </xf>
    <xf numFmtId="0" fontId="57" fillId="19" borderId="246" xfId="0" applyFont="1" applyFill="1" applyBorder="1" applyAlignment="1">
      <alignment horizontal="center" wrapText="1"/>
    </xf>
    <xf numFmtId="0" fontId="57" fillId="19" borderId="240" xfId="0" applyFont="1" applyFill="1" applyBorder="1" applyAlignment="1">
      <alignment horizontal="center" wrapText="1"/>
    </xf>
    <xf numFmtId="0" fontId="57" fillId="19" borderId="242" xfId="0" applyFont="1" applyFill="1" applyBorder="1" applyAlignment="1">
      <alignment horizontal="center"/>
    </xf>
    <xf numFmtId="37" fontId="102" fillId="0" borderId="0" xfId="39" applyNumberFormat="1" applyFont="1" applyAlignment="1">
      <alignment horizontal="center" vertical="center"/>
    </xf>
    <xf numFmtId="0" fontId="105" fillId="26" borderId="13" xfId="0" applyFont="1" applyFill="1" applyBorder="1" applyAlignment="1">
      <alignment horizontal="left" vertical="center" wrapText="1"/>
    </xf>
    <xf numFmtId="0" fontId="105" fillId="26" borderId="14" xfId="0" applyFont="1" applyFill="1" applyBorder="1" applyAlignment="1">
      <alignment horizontal="left" vertical="center" wrapText="1"/>
    </xf>
    <xf numFmtId="9" fontId="103" fillId="30" borderId="0" xfId="39" applyFont="1" applyFill="1" applyAlignment="1">
      <alignment horizontal="center" vertical="center" wrapText="1"/>
    </xf>
    <xf numFmtId="0" fontId="57" fillId="19" borderId="251" xfId="0" applyFont="1" applyFill="1" applyBorder="1" applyAlignment="1">
      <alignment horizontal="center" vertical="center"/>
    </xf>
    <xf numFmtId="0" fontId="57" fillId="19" borderId="253" xfId="0" applyFont="1" applyFill="1" applyBorder="1" applyAlignment="1">
      <alignment horizontal="center" vertical="center"/>
    </xf>
    <xf numFmtId="0" fontId="64" fillId="14" borderId="203" xfId="0" applyFont="1" applyFill="1" applyBorder="1" applyAlignment="1" applyProtection="1">
      <alignment horizontal="center" vertical="center"/>
      <protection locked="0"/>
    </xf>
    <xf numFmtId="0" fontId="64" fillId="14" borderId="201" xfId="0" applyFont="1" applyFill="1" applyBorder="1" applyAlignment="1" applyProtection="1">
      <alignment horizontal="center" vertical="center"/>
      <protection locked="0"/>
    </xf>
    <xf numFmtId="0" fontId="64" fillId="14" borderId="204" xfId="0" applyFont="1" applyFill="1" applyBorder="1" applyAlignment="1" applyProtection="1">
      <alignment horizontal="center" vertical="center"/>
      <protection locked="0"/>
    </xf>
    <xf numFmtId="0" fontId="59" fillId="0" borderId="40" xfId="0" applyFont="1" applyBorder="1" applyAlignment="1">
      <alignment horizontal="center"/>
    </xf>
    <xf numFmtId="0" fontId="54" fillId="0" borderId="0" xfId="0" applyFont="1" applyBorder="1" applyAlignment="1">
      <alignment horizontal="center"/>
    </xf>
    <xf numFmtId="0" fontId="54" fillId="0" borderId="33" xfId="0" applyFont="1" applyBorder="1" applyAlignment="1">
      <alignment horizontal="center"/>
    </xf>
    <xf numFmtId="0" fontId="54" fillId="0" borderId="34" xfId="0" applyFont="1" applyBorder="1" applyAlignment="1">
      <alignment horizontal="center"/>
    </xf>
    <xf numFmtId="9" fontId="54" fillId="0" borderId="34" xfId="39" applyFont="1" applyBorder="1" applyAlignment="1">
      <alignment horizontal="center"/>
    </xf>
    <xf numFmtId="9" fontId="54" fillId="0" borderId="0" xfId="39" applyFont="1" applyBorder="1" applyAlignment="1">
      <alignment horizontal="center"/>
    </xf>
    <xf numFmtId="9" fontId="54" fillId="0" borderId="33" xfId="39" applyFont="1" applyBorder="1" applyAlignment="1">
      <alignment horizontal="center"/>
    </xf>
    <xf numFmtId="0" fontId="55" fillId="0" borderId="0" xfId="0" applyFont="1" applyAlignment="1">
      <alignment horizontal="center"/>
    </xf>
    <xf numFmtId="0" fontId="71" fillId="0" borderId="4" xfId="16" applyFont="1" applyBorder="1" applyAlignment="1">
      <alignment horizontal="center"/>
    </xf>
    <xf numFmtId="0" fontId="54" fillId="0" borderId="195" xfId="0" applyFont="1" applyBorder="1" applyAlignment="1">
      <alignment horizontal="center"/>
    </xf>
    <xf numFmtId="0" fontId="31" fillId="0" borderId="12" xfId="0" applyFont="1" applyBorder="1" applyAlignment="1">
      <alignment horizontal="center"/>
    </xf>
    <xf numFmtId="0" fontId="31" fillId="0" borderId="0" xfId="0" applyFont="1" applyAlignment="1">
      <alignment horizontal="center"/>
    </xf>
    <xf numFmtId="16" fontId="31" fillId="0" borderId="12" xfId="0" applyNumberFormat="1" applyFont="1" applyBorder="1" applyAlignment="1">
      <alignment horizontal="center"/>
    </xf>
    <xf numFmtId="0" fontId="26" fillId="0" borderId="0" xfId="14" applyFont="1" applyFill="1" applyBorder="1" applyAlignment="1">
      <alignment horizontal="left" vertical="top" wrapText="1"/>
    </xf>
    <xf numFmtId="0" fontId="81" fillId="0" borderId="0" xfId="14" applyFont="1" applyFill="1" applyBorder="1" applyAlignment="1">
      <alignment horizontal="left" vertical="top" wrapText="1"/>
    </xf>
    <xf numFmtId="0" fontId="62" fillId="0" borderId="0" xfId="0" applyFont="1" applyAlignment="1">
      <alignment horizontal="left" vertical="top" wrapText="1"/>
    </xf>
    <xf numFmtId="173" fontId="22" fillId="0" borderId="13" xfId="0" applyNumberFormat="1" applyFont="1" applyFill="1" applyBorder="1" applyAlignment="1" applyProtection="1">
      <alignment horizontal="center" vertical="center"/>
    </xf>
    <xf numFmtId="173" fontId="22" fillId="0" borderId="14" xfId="0" applyNumberFormat="1" applyFont="1" applyFill="1" applyBorder="1" applyAlignment="1" applyProtection="1">
      <alignment horizontal="center" vertical="center"/>
    </xf>
    <xf numFmtId="173" fontId="22" fillId="0" borderId="15" xfId="0" applyNumberFormat="1" applyFont="1" applyFill="1" applyBorder="1" applyAlignment="1" applyProtection="1">
      <alignment horizontal="center" vertical="center"/>
    </xf>
    <xf numFmtId="0" fontId="61" fillId="0" borderId="12" xfId="0" applyFont="1" applyBorder="1" applyAlignment="1">
      <alignment horizontal="center" wrapText="1"/>
    </xf>
    <xf numFmtId="49" fontId="22" fillId="0" borderId="29" xfId="0" applyNumberFormat="1" applyFont="1" applyFill="1" applyBorder="1" applyAlignment="1">
      <alignment horizontal="center" vertical="center"/>
    </xf>
    <xf numFmtId="49" fontId="22" fillId="0" borderId="31" xfId="0" applyNumberFormat="1" applyFont="1" applyFill="1" applyBorder="1" applyAlignment="1">
      <alignment horizontal="center" vertical="center"/>
    </xf>
    <xf numFmtId="173" fontId="22" fillId="0" borderId="29" xfId="0" applyNumberFormat="1" applyFont="1" applyFill="1" applyBorder="1" applyAlignment="1" applyProtection="1">
      <alignment horizontal="center" vertical="center"/>
    </xf>
    <xf numFmtId="173" fontId="22" fillId="0" borderId="31" xfId="0" applyNumberFormat="1" applyFont="1" applyFill="1" applyBorder="1" applyAlignment="1" applyProtection="1">
      <alignment horizontal="center" vertical="center"/>
    </xf>
    <xf numFmtId="0" fontId="114" fillId="0" borderId="166" xfId="0" applyFont="1" applyBorder="1" applyAlignment="1">
      <alignment horizontal="center"/>
    </xf>
    <xf numFmtId="0" fontId="114" fillId="0" borderId="20" xfId="0" applyFont="1" applyBorder="1" applyAlignment="1">
      <alignment horizontal="center"/>
    </xf>
    <xf numFmtId="0" fontId="114" fillId="0" borderId="21" xfId="0" applyFont="1" applyBorder="1" applyAlignment="1">
      <alignment horizontal="center"/>
    </xf>
    <xf numFmtId="0" fontId="114" fillId="0" borderId="163" xfId="0" applyFont="1" applyBorder="1" applyAlignment="1">
      <alignment horizontal="center"/>
    </xf>
    <xf numFmtId="0" fontId="61" fillId="0" borderId="0" xfId="0" applyFont="1" applyBorder="1" applyAlignment="1">
      <alignment horizontal="center" wrapText="1"/>
    </xf>
    <xf numFmtId="0" fontId="68" fillId="0" borderId="195" xfId="0" applyFont="1" applyBorder="1" applyAlignment="1">
      <alignment horizontal="center" wrapText="1"/>
    </xf>
    <xf numFmtId="0" fontId="68" fillId="0" borderId="195" xfId="0" applyFont="1" applyBorder="1" applyAlignment="1">
      <alignment horizontal="center"/>
    </xf>
    <xf numFmtId="0" fontId="68" fillId="0" borderId="0" xfId="0" applyFont="1" applyBorder="1" applyAlignment="1">
      <alignment horizontal="center"/>
    </xf>
    <xf numFmtId="0" fontId="68" fillId="0" borderId="12" xfId="0" applyFont="1" applyBorder="1" applyAlignment="1">
      <alignment horizontal="center"/>
    </xf>
    <xf numFmtId="0" fontId="28" fillId="0" borderId="0" xfId="15" applyFont="1" applyAlignment="1">
      <alignment horizontal="left" wrapText="1"/>
    </xf>
    <xf numFmtId="0" fontId="75" fillId="0" borderId="0" xfId="15" applyFont="1" applyAlignment="1">
      <alignment horizontal="left" wrapText="1"/>
    </xf>
    <xf numFmtId="0" fontId="54" fillId="0" borderId="248" xfId="15" applyFont="1" applyBorder="1" applyAlignment="1">
      <alignment horizontal="center"/>
    </xf>
    <xf numFmtId="0" fontId="54" fillId="0" borderId="230" xfId="15" applyFont="1" applyBorder="1" applyAlignment="1">
      <alignment horizontal="center"/>
    </xf>
    <xf numFmtId="0" fontId="54" fillId="0" borderId="251" xfId="15" applyFont="1" applyBorder="1" applyAlignment="1">
      <alignment horizontal="center"/>
    </xf>
    <xf numFmtId="0" fontId="54" fillId="0" borderId="242" xfId="15" applyFont="1" applyBorder="1" applyAlignment="1">
      <alignment horizontal="center"/>
    </xf>
    <xf numFmtId="0" fontId="54" fillId="0" borderId="246" xfId="15" applyFont="1" applyBorder="1" applyAlignment="1">
      <alignment horizontal="center"/>
    </xf>
    <xf numFmtId="0" fontId="54" fillId="0" borderId="240" xfId="15" applyFont="1" applyBorder="1" applyAlignment="1">
      <alignment horizontal="center"/>
    </xf>
    <xf numFmtId="0" fontId="54" fillId="0" borderId="239" xfId="15" applyFont="1" applyBorder="1" applyAlignment="1">
      <alignment horizontal="center"/>
    </xf>
    <xf numFmtId="49" fontId="83" fillId="0" borderId="0" xfId="19" applyNumberFormat="1" applyFont="1" applyBorder="1" applyAlignment="1">
      <alignment horizontal="center" wrapText="1"/>
    </xf>
    <xf numFmtId="0" fontId="28" fillId="0" borderId="0" xfId="0" applyFont="1" applyAlignment="1">
      <alignment horizontal="left" vertical="top" wrapText="1"/>
    </xf>
    <xf numFmtId="0" fontId="60" fillId="0" borderId="0" xfId="0" applyFont="1" applyAlignment="1">
      <alignment horizontal="center"/>
    </xf>
    <xf numFmtId="0" fontId="78" fillId="0" borderId="0" xfId="0" applyFont="1" applyAlignment="1">
      <alignment horizontal="center"/>
    </xf>
    <xf numFmtId="0" fontId="68" fillId="0" borderId="12" xfId="9" applyFont="1" applyBorder="1" applyAlignment="1">
      <alignment horizontal="center" wrapText="1"/>
    </xf>
    <xf numFmtId="0" fontId="68" fillId="0" borderId="0" xfId="9" applyFont="1" applyAlignment="1">
      <alignment horizontal="left" vertical="top" wrapText="1"/>
    </xf>
    <xf numFmtId="0" fontId="26" fillId="0" borderId="0" xfId="9" applyFont="1" applyAlignment="1">
      <alignment horizontal="left" vertical="top" wrapText="1"/>
    </xf>
    <xf numFmtId="0" fontId="68" fillId="0" borderId="14" xfId="9" applyFont="1" applyBorder="1" applyAlignment="1">
      <alignment horizontal="center"/>
    </xf>
    <xf numFmtId="0" fontId="68" fillId="0" borderId="201" xfId="9" applyFont="1" applyBorder="1" applyAlignment="1">
      <alignment horizontal="center"/>
    </xf>
    <xf numFmtId="0" fontId="72" fillId="0" borderId="0" xfId="16" applyFont="1" applyAlignment="1">
      <alignment horizontal="left" wrapText="1"/>
    </xf>
    <xf numFmtId="0" fontId="28" fillId="0" borderId="0" xfId="16" applyFont="1" applyAlignment="1">
      <alignment horizontal="left" wrapText="1"/>
    </xf>
    <xf numFmtId="0" fontId="32" fillId="0" borderId="0" xfId="14" applyFont="1" applyFill="1" applyBorder="1" applyAlignment="1">
      <alignment horizontal="left" wrapText="1"/>
    </xf>
    <xf numFmtId="0" fontId="81" fillId="0" borderId="0" xfId="14" applyFont="1" applyAlignment="1">
      <alignment horizontal="left" vertical="top" wrapText="1"/>
    </xf>
    <xf numFmtId="0" fontId="28" fillId="0" borderId="0" xfId="14" applyFont="1" applyFill="1" applyBorder="1" applyAlignment="1">
      <alignment horizontal="left" wrapText="1"/>
    </xf>
    <xf numFmtId="0" fontId="68" fillId="0" borderId="0" xfId="9" applyFont="1" applyBorder="1" applyAlignment="1">
      <alignment horizontal="left"/>
    </xf>
    <xf numFmtId="0" fontId="15" fillId="0" borderId="4" xfId="18" applyFont="1" applyBorder="1" applyAlignment="1">
      <alignment horizontal="center"/>
    </xf>
    <xf numFmtId="0" fontId="16" fillId="0" borderId="0" xfId="18" applyFont="1" applyBorder="1" applyAlignment="1">
      <alignment horizontal="center"/>
    </xf>
    <xf numFmtId="0" fontId="7" fillId="0" borderId="0" xfId="18" applyFont="1" applyFill="1" applyBorder="1" applyAlignment="1">
      <alignment horizontal="left" wrapText="1"/>
    </xf>
    <xf numFmtId="0" fontId="7" fillId="0" borderId="33" xfId="18" applyFont="1" applyFill="1" applyBorder="1" applyAlignment="1">
      <alignment horizontal="left" wrapText="1"/>
    </xf>
    <xf numFmtId="0" fontId="16" fillId="0" borderId="12" xfId="18" applyFont="1" applyBorder="1" applyAlignment="1">
      <alignment horizontal="center"/>
    </xf>
    <xf numFmtId="0" fontId="16" fillId="0" borderId="4" xfId="18" applyFont="1" applyBorder="1" applyAlignment="1">
      <alignment horizontal="center"/>
    </xf>
    <xf numFmtId="0" fontId="15" fillId="0" borderId="69" xfId="18" applyFont="1" applyBorder="1" applyAlignment="1">
      <alignment horizontal="center"/>
    </xf>
    <xf numFmtId="9" fontId="54" fillId="0" borderId="41" xfId="39" applyFont="1" applyBorder="1" applyAlignment="1">
      <alignment horizontal="center"/>
    </xf>
    <xf numFmtId="9" fontId="54" fillId="0" borderId="40" xfId="39" applyFont="1" applyBorder="1" applyAlignment="1">
      <alignment horizontal="center"/>
    </xf>
    <xf numFmtId="9" fontId="54" fillId="0" borderId="68" xfId="39" applyFont="1" applyBorder="1" applyAlignment="1">
      <alignment horizontal="center"/>
    </xf>
    <xf numFmtId="177" fontId="54" fillId="0" borderId="41" xfId="3" applyNumberFormat="1" applyFont="1" applyBorder="1" applyAlignment="1">
      <alignment horizontal="center"/>
    </xf>
    <xf numFmtId="177" fontId="54" fillId="0" borderId="40" xfId="3" applyNumberFormat="1" applyFont="1" applyBorder="1" applyAlignment="1">
      <alignment horizontal="center"/>
    </xf>
    <xf numFmtId="177" fontId="54" fillId="0" borderId="68" xfId="3" applyNumberFormat="1" applyFont="1" applyBorder="1" applyAlignment="1">
      <alignment horizontal="center"/>
    </xf>
    <xf numFmtId="0" fontId="54" fillId="0" borderId="41" xfId="0" applyFont="1" applyBorder="1" applyAlignment="1">
      <alignment horizontal="center"/>
    </xf>
    <xf numFmtId="0" fontId="54" fillId="0" borderId="40" xfId="0" applyFont="1" applyBorder="1" applyAlignment="1">
      <alignment horizontal="center"/>
    </xf>
    <xf numFmtId="0" fontId="54" fillId="0" borderId="68" xfId="0" applyFont="1" applyBorder="1" applyAlignment="1">
      <alignment horizontal="center"/>
    </xf>
    <xf numFmtId="177" fontId="54" fillId="0" borderId="165" xfId="3" applyNumberFormat="1" applyFont="1" applyBorder="1" applyAlignment="1">
      <alignment horizontal="center"/>
    </xf>
    <xf numFmtId="177" fontId="54" fillId="0" borderId="163" xfId="3" applyNumberFormat="1" applyFont="1" applyBorder="1" applyAlignment="1">
      <alignment horizontal="center"/>
    </xf>
    <xf numFmtId="177" fontId="54" fillId="0" borderId="15" xfId="3" applyNumberFormat="1" applyFont="1" applyBorder="1" applyAlignment="1">
      <alignment horizontal="center"/>
    </xf>
    <xf numFmtId="0" fontId="54" fillId="0" borderId="19" xfId="0" applyFont="1" applyBorder="1" applyAlignment="1">
      <alignment horizontal="center"/>
    </xf>
    <xf numFmtId="0" fontId="54" fillId="0" borderId="78" xfId="0" applyFont="1" applyBorder="1" applyAlignment="1">
      <alignment horizontal="center"/>
    </xf>
    <xf numFmtId="0" fontId="54" fillId="0" borderId="20" xfId="0" applyFont="1" applyBorder="1" applyAlignment="1">
      <alignment horizontal="center"/>
    </xf>
    <xf numFmtId="0" fontId="54" fillId="0" borderId="21" xfId="0" applyFont="1" applyBorder="1" applyAlignment="1">
      <alignment horizontal="center"/>
    </xf>
    <xf numFmtId="0" fontId="54" fillId="0" borderId="29" xfId="0" applyFont="1" applyBorder="1" applyAlignment="1">
      <alignment horizontal="center" wrapText="1"/>
    </xf>
    <xf numFmtId="0" fontId="54" fillId="0" borderId="31" xfId="0" applyFont="1" applyBorder="1" applyAlignment="1">
      <alignment horizontal="center" wrapText="1"/>
    </xf>
    <xf numFmtId="0" fontId="54" fillId="0" borderId="28" xfId="0" applyFont="1" applyBorder="1" applyAlignment="1">
      <alignment horizontal="center" wrapText="1"/>
    </xf>
    <xf numFmtId="0" fontId="54" fillId="0" borderId="41" xfId="0" applyFont="1" applyBorder="1" applyAlignment="1">
      <alignment horizontal="center" wrapText="1"/>
    </xf>
    <xf numFmtId="0" fontId="54" fillId="0" borderId="40" xfId="0" applyFont="1" applyBorder="1" applyAlignment="1">
      <alignment horizontal="center" wrapText="1"/>
    </xf>
    <xf numFmtId="0" fontId="54" fillId="0" borderId="68" xfId="0" applyFont="1" applyBorder="1" applyAlignment="1">
      <alignment horizontal="center" wrapText="1"/>
    </xf>
    <xf numFmtId="0" fontId="61" fillId="0" borderId="28" xfId="0" applyFont="1" applyBorder="1" applyAlignment="1">
      <alignment horizontal="center" wrapText="1"/>
    </xf>
    <xf numFmtId="0" fontId="22" fillId="0" borderId="0" xfId="0" applyFont="1" applyBorder="1" applyAlignment="1">
      <alignment horizontal="left" vertical="top" wrapText="1"/>
    </xf>
    <xf numFmtId="0" fontId="23" fillId="0" borderId="0" xfId="4" applyFont="1" applyFill="1" applyBorder="1" applyAlignment="1" applyProtection="1">
      <alignment horizontal="left" wrapText="1"/>
    </xf>
    <xf numFmtId="0" fontId="68" fillId="0" borderId="0" xfId="0" applyFont="1" applyBorder="1" applyAlignment="1">
      <alignment horizontal="left" wrapText="1"/>
    </xf>
    <xf numFmtId="0" fontId="55" fillId="0" borderId="14" xfId="0" applyFont="1" applyBorder="1" applyAlignment="1">
      <alignment horizontal="center" wrapText="1"/>
    </xf>
    <xf numFmtId="0" fontId="26" fillId="0" borderId="0" xfId="14" applyFont="1" applyAlignment="1">
      <alignment horizontal="left" vertical="top" wrapText="1"/>
    </xf>
    <xf numFmtId="1" fontId="54" fillId="0" borderId="12" xfId="0" applyNumberFormat="1" applyFont="1" applyBorder="1" applyAlignment="1">
      <alignment horizontal="center"/>
    </xf>
    <xf numFmtId="1" fontId="54" fillId="0" borderId="0" xfId="0" applyNumberFormat="1" applyFont="1" applyAlignment="1">
      <alignment horizontal="center"/>
    </xf>
    <xf numFmtId="0" fontId="75" fillId="0" borderId="0" xfId="9" applyFont="1" applyAlignment="1">
      <alignment horizontal="left" vertical="top" wrapText="1"/>
    </xf>
    <xf numFmtId="0" fontId="81" fillId="0" borderId="0" xfId="9" applyFont="1" applyAlignment="1">
      <alignment horizontal="left" vertical="top" wrapText="1"/>
    </xf>
  </cellXfs>
  <cellStyles count="41">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40"/>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10 Other Benefits LASER 2011" xfId="20"/>
    <cellStyle name="Normal_3 Other Exp LASER 2011" xfId="21"/>
    <cellStyle name="Normal_5 Medicaid &amp; FAMIS 2011" xfId="22"/>
    <cellStyle name="Normal_6 SNAP LASER 2011" xfId="23"/>
    <cellStyle name="Normal_7 LIHEAP LASER 2011" xfId="24"/>
    <cellStyle name="Normal_Sheet1" xfId="25"/>
    <cellStyle name="Normal_Sheet1 2" xfId="26"/>
    <cellStyle name="Normal_Sheet2" xfId="27"/>
    <cellStyle name="Normal_Sheet2 2" xfId="28"/>
    <cellStyle name="Normal_Sheet2_1" xfId="29"/>
    <cellStyle name="Normal_Sheet3" xfId="30"/>
    <cellStyle name="Normal_Sheet4" xfId="31"/>
    <cellStyle name="Normal_Sheet4_1" xfId="32"/>
    <cellStyle name="Normal_Sheet4_2" xfId="33"/>
    <cellStyle name="Normal_Sheet5" xfId="34"/>
    <cellStyle name="Normal_Sheet6" xfId="35"/>
    <cellStyle name="Normal_Sheet7" xfId="36"/>
    <cellStyle name="Normal_Sheet8" xfId="37"/>
    <cellStyle name="Normal_Sheet9" xfId="38"/>
    <cellStyle name="Percent" xfId="39"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 of Work-Eligible Adults who are Unemployed, 2005-2015</a:t>
            </a:r>
          </a:p>
        </c:rich>
      </c:tx>
      <c:layout>
        <c:manualLayout>
          <c:xMode val="edge"/>
          <c:yMode val="edge"/>
          <c:x val="0.17044581383848895"/>
          <c:y val="7.1399491094148476E-2"/>
        </c:manualLayout>
      </c:layout>
      <c:overlay val="0"/>
    </c:title>
    <c:autoTitleDeleted val="0"/>
    <c:plotArea>
      <c:layout>
        <c:manualLayout>
          <c:layoutTarget val="inner"/>
          <c:xMode val="edge"/>
          <c:yMode val="edge"/>
          <c:x val="0.13897504893237494"/>
          <c:y val="0.1526807893783152"/>
          <c:w val="0.80175410152944593"/>
          <c:h val="0.4843263342082324"/>
        </c:manualLayout>
      </c:layout>
      <c:lineChart>
        <c:grouping val="standard"/>
        <c:varyColors val="0"/>
        <c:ser>
          <c:idx val="0"/>
          <c:order val="0"/>
          <c:tx>
            <c:strRef>
              <c:f>Profile!$D$3</c:f>
              <c:strCache>
                <c:ptCount val="1"/>
                <c:pt idx="0">
                  <c:v>Accomack</c:v>
                </c:pt>
              </c:strCache>
            </c:strRef>
          </c:tx>
          <c:marker>
            <c:symbol val="none"/>
          </c:marker>
          <c:cat>
            <c:numRef>
              <c:f>Profile!$B$45:$B$55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Profile!$D$45:$D$55</c:f>
              <c:numCache>
                <c:formatCode>0.0%</c:formatCode>
                <c:ptCount val="11"/>
                <c:pt idx="0">
                  <c:v>4.6296296296296294E-2</c:v>
                </c:pt>
                <c:pt idx="1">
                  <c:v>4.2121684867394697E-2</c:v>
                </c:pt>
                <c:pt idx="2">
                  <c:v>4.1361228530151423E-2</c:v>
                </c:pt>
                <c:pt idx="3">
                  <c:v>4.9915842625710076E-2</c:v>
                </c:pt>
                <c:pt idx="4">
                  <c:v>6.7361708588491317E-2</c:v>
                </c:pt>
                <c:pt idx="5">
                  <c:v>7.0492496300993454E-2</c:v>
                </c:pt>
                <c:pt idx="6">
                  <c:v>7.280433499651269E-2</c:v>
                </c:pt>
                <c:pt idx="7">
                  <c:v>6.8050561185572622E-2</c:v>
                </c:pt>
                <c:pt idx="8">
                  <c:v>6.469613259668508E-2</c:v>
                </c:pt>
                <c:pt idx="9">
                  <c:v>6.4902646030953567E-2</c:v>
                </c:pt>
                <c:pt idx="10">
                  <c:v>5.4219884798397198E-2</c:v>
                </c:pt>
              </c:numCache>
            </c:numRef>
          </c:val>
          <c:smooth val="0"/>
        </c:ser>
        <c:ser>
          <c:idx val="1"/>
          <c:order val="1"/>
          <c:tx>
            <c:strRef>
              <c:f>Profile!$E$42</c:f>
              <c:strCache>
                <c:ptCount val="1"/>
                <c:pt idx="0">
                  <c:v>Eastern</c:v>
                </c:pt>
              </c:strCache>
            </c:strRef>
          </c:tx>
          <c:spPr>
            <a:ln>
              <a:prstDash val="sysDot"/>
            </a:ln>
          </c:spPr>
          <c:marker>
            <c:symbol val="none"/>
          </c:marker>
          <c:cat>
            <c:numRef>
              <c:f>Profile!$B$45:$B$55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Profile!$E$45:$E$55</c:f>
              <c:numCache>
                <c:formatCode>0.0%</c:formatCode>
                <c:ptCount val="11"/>
                <c:pt idx="0">
                  <c:v>3.9893832142007021E-2</c:v>
                </c:pt>
                <c:pt idx="1">
                  <c:v>3.4054139645035592E-2</c:v>
                </c:pt>
                <c:pt idx="2">
                  <c:v>3.3091630916195276E-2</c:v>
                </c:pt>
                <c:pt idx="3">
                  <c:v>4.2744274872914149E-2</c:v>
                </c:pt>
                <c:pt idx="4">
                  <c:v>7.2502585768335376E-2</c:v>
                </c:pt>
                <c:pt idx="5">
                  <c:v>7.6663536748089484E-2</c:v>
                </c:pt>
                <c:pt idx="6">
                  <c:v>7.2411265556543009E-2</c:v>
                </c:pt>
                <c:pt idx="7">
                  <c:v>6.6414075961871114E-2</c:v>
                </c:pt>
                <c:pt idx="8">
                  <c:v>6.1377424762512969E-2</c:v>
                </c:pt>
                <c:pt idx="9">
                  <c:v>5.7334382521145637E-2</c:v>
                </c:pt>
                <c:pt idx="10">
                  <c:v>4.9696849219759469E-2</c:v>
                </c:pt>
              </c:numCache>
            </c:numRef>
          </c:val>
          <c:smooth val="0"/>
        </c:ser>
        <c:ser>
          <c:idx val="2"/>
          <c:order val="2"/>
          <c:tx>
            <c:strRef>
              <c:f>Profile!$F$42</c:f>
              <c:strCache>
                <c:ptCount val="1"/>
                <c:pt idx="0">
                  <c:v>Statewide</c:v>
                </c:pt>
              </c:strCache>
            </c:strRef>
          </c:tx>
          <c:marker>
            <c:symbol val="none"/>
          </c:marker>
          <c:cat>
            <c:numRef>
              <c:f>Profile!$B$45:$B$55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Profile!$F$45:$F$55</c:f>
              <c:numCache>
                <c:formatCode>0.0%</c:formatCode>
                <c:ptCount val="11"/>
                <c:pt idx="0">
                  <c:v>3.5184099138150848E-2</c:v>
                </c:pt>
                <c:pt idx="1">
                  <c:v>3.042605361214783E-2</c:v>
                </c:pt>
                <c:pt idx="2">
                  <c:v>3.0637117624127935E-2</c:v>
                </c:pt>
                <c:pt idx="3">
                  <c:v>3.9533104507533175E-2</c:v>
                </c:pt>
                <c:pt idx="4">
                  <c:v>6.9500899241383113E-2</c:v>
                </c:pt>
                <c:pt idx="5">
                  <c:v>7.0996273411972191E-2</c:v>
                </c:pt>
                <c:pt idx="6">
                  <c:v>6.4437374190308969E-2</c:v>
                </c:pt>
                <c:pt idx="7">
                  <c:v>5.8774345474193433E-2</c:v>
                </c:pt>
                <c:pt idx="8">
                  <c:v>5.5454654156622714E-2</c:v>
                </c:pt>
                <c:pt idx="9">
                  <c:v>5.1645529339042547E-2</c:v>
                </c:pt>
                <c:pt idx="10">
                  <c:v>4.4467413563948954E-2</c:v>
                </c:pt>
              </c:numCache>
            </c:numRef>
          </c:val>
          <c:smooth val="0"/>
        </c:ser>
        <c:dLbls>
          <c:showLegendKey val="0"/>
          <c:showVal val="0"/>
          <c:showCatName val="0"/>
          <c:showSerName val="0"/>
          <c:showPercent val="0"/>
          <c:showBubbleSize val="0"/>
        </c:dLbls>
        <c:marker val="1"/>
        <c:smooth val="0"/>
        <c:axId val="117520640"/>
        <c:axId val="117522432"/>
      </c:lineChart>
      <c:catAx>
        <c:axId val="117520640"/>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117522432"/>
        <c:crosses val="autoZero"/>
        <c:auto val="1"/>
        <c:lblAlgn val="ctr"/>
        <c:lblOffset val="100"/>
        <c:tickLblSkip val="1"/>
        <c:tickMarkSkip val="1"/>
        <c:noMultiLvlLbl val="0"/>
      </c:catAx>
      <c:valAx>
        <c:axId val="117522432"/>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117520640"/>
        <c:crosses val="autoZero"/>
        <c:crossBetween val="midCat"/>
      </c:valAx>
      <c:spPr>
        <a:noFill/>
        <a:ln>
          <a:solidFill>
            <a:schemeClr val="accent5">
              <a:lumMod val="75000"/>
            </a:schemeClr>
          </a:solidFill>
        </a:ln>
      </c:spPr>
    </c:plotArea>
    <c:legend>
      <c:legendPos val="b"/>
      <c:layout>
        <c:manualLayout>
          <c:xMode val="edge"/>
          <c:yMode val="edge"/>
          <c:x val="9.0534063676824938E-3"/>
          <c:y val="0.7711598645589213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SFY 2016	</a:t>
            </a:r>
          </a:p>
          <a:p>
            <a:pPr>
              <a:defRPr sz="1000"/>
            </a:pPr>
            <a:endParaRPr lang="en-US" sz="1000"/>
          </a:p>
        </c:rich>
      </c:tx>
      <c:overlay val="0"/>
    </c:title>
    <c:autoTitleDeleted val="0"/>
    <c:plotArea>
      <c:layout>
        <c:manualLayout>
          <c:layoutTarget val="inner"/>
          <c:xMode val="edge"/>
          <c:yMode val="edge"/>
          <c:x val="0.27425227728887114"/>
          <c:y val="0.32725632596896548"/>
          <c:w val="0.35985178323298261"/>
          <c:h val="0.59393012766608055"/>
        </c:manualLayout>
      </c:layout>
      <c:pieChart>
        <c:varyColors val="1"/>
        <c:ser>
          <c:idx val="0"/>
          <c:order val="0"/>
          <c:tx>
            <c:v>Pct of Total SS Spending by Source</c:v>
          </c:tx>
          <c:spPr>
            <a:ln>
              <a:solidFill>
                <a:schemeClr val="tx1"/>
              </a:solidFill>
            </a:ln>
          </c:spPr>
          <c:dLbls>
            <c:dLblPos val="outEnd"/>
            <c:showLegendKey val="0"/>
            <c:showVal val="1"/>
            <c:showCatName val="1"/>
            <c:showSerName val="0"/>
            <c:showPercent val="0"/>
            <c:showBubbleSize val="0"/>
            <c:showLeaderLines val="1"/>
          </c:dLbls>
          <c:cat>
            <c:strRef>
              <c:f>Profile!$J$138:$L$138</c:f>
              <c:strCache>
                <c:ptCount val="3"/>
                <c:pt idx="0">
                  <c:v>Federal</c:v>
                </c:pt>
                <c:pt idx="1">
                  <c:v>State</c:v>
                </c:pt>
                <c:pt idx="2">
                  <c:v>Local &amp; NER (comb.)</c:v>
                </c:pt>
              </c:strCache>
            </c:strRef>
          </c:cat>
          <c:val>
            <c:numRef>
              <c:f>'Spending By Region'!$I$25:$K$25</c:f>
              <c:numCache>
                <c:formatCode>0%</c:formatCode>
                <c:ptCount val="3"/>
                <c:pt idx="0">
                  <c:v>0.53787591067010876</c:v>
                </c:pt>
                <c:pt idx="1">
                  <c:v>0.42834140069017268</c:v>
                </c:pt>
                <c:pt idx="2">
                  <c:v>3.378268863971854E-2</c:v>
                </c:pt>
              </c:numCache>
            </c:numRef>
          </c:val>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a:t>
            </a:r>
          </a:p>
          <a:p>
            <a:pPr>
              <a:defRPr sz="1000"/>
            </a:pPr>
            <a:r>
              <a:rPr lang="en-US" sz="1000"/>
              <a:t>SFY 2016	</a:t>
            </a:r>
          </a:p>
        </c:rich>
      </c:tx>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dPt>
          <c:dLbls>
            <c:dLbl>
              <c:idx val="0"/>
              <c:spPr/>
              <c:txPr>
                <a:bodyPr/>
                <a:lstStyle/>
                <a:p>
                  <a:pPr>
                    <a:defRPr/>
                  </a:pPr>
                  <a:endParaRPr lang="en-US"/>
                </a:p>
              </c:txPr>
              <c:dLblPos val="outEnd"/>
              <c:showLegendKey val="0"/>
              <c:showVal val="1"/>
              <c:showCatName val="1"/>
              <c:showSerName val="0"/>
              <c:showPercent val="0"/>
              <c:showBubbleSize val="0"/>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dLbl>
            <c:dLbl>
              <c:idx val="2"/>
              <c:layout>
                <c:manualLayout>
                  <c:x val="-4.6920821114369467E-2"/>
                  <c:y val="-3.9800995024875989E-2"/>
                </c:manualLayout>
              </c:layout>
              <c:dLblPos val="bestFit"/>
              <c:showLegendKey val="0"/>
              <c:showVal val="1"/>
              <c:showCatName val="1"/>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Profile!$U$147:$W$147</c:f>
              <c:strCache>
                <c:ptCount val="3"/>
                <c:pt idx="0">
                  <c:v>Admini-stration</c:v>
                </c:pt>
                <c:pt idx="1">
                  <c:v>Services</c:v>
                </c:pt>
                <c:pt idx="2">
                  <c:v>Benefits</c:v>
                </c:pt>
              </c:strCache>
            </c:strRef>
          </c:cat>
          <c:val>
            <c:numRef>
              <c:f>'Spending By Region'!$U$15:$W$15</c:f>
              <c:numCache>
                <c:formatCode>0.0%</c:formatCode>
                <c:ptCount val="3"/>
                <c:pt idx="0">
                  <c:v>5.2623867492067544E-2</c:v>
                </c:pt>
                <c:pt idx="1">
                  <c:v>2.4099323944009625E-3</c:v>
                </c:pt>
                <c:pt idx="2">
                  <c:v>0.9449662001135315</c:v>
                </c:pt>
              </c:numCache>
            </c:numRef>
          </c:val>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TANF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Profile!$E$80</c:f>
              <c:strCache>
                <c:ptCount val="1"/>
                <c:pt idx="0">
                  <c:v>TANF</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Profile!$B$82:$C$86</c:f>
              <c:strCache>
                <c:ptCount val="5"/>
                <c:pt idx="0">
                  <c:v>2012</c:v>
                </c:pt>
                <c:pt idx="1">
                  <c:v>2013</c:v>
                </c:pt>
                <c:pt idx="2">
                  <c:v>2014</c:v>
                </c:pt>
                <c:pt idx="3">
                  <c:v>2015</c:v>
                </c:pt>
                <c:pt idx="4">
                  <c:v>2016</c:v>
                </c:pt>
              </c:strCache>
            </c:strRef>
          </c:cat>
          <c:val>
            <c:numRef>
              <c:f>Profile!$E$82:$E$86</c:f>
              <c:numCache>
                <c:formatCode>#,##0</c:formatCode>
                <c:ptCount val="5"/>
                <c:pt idx="0">
                  <c:v>1127</c:v>
                </c:pt>
                <c:pt idx="1">
                  <c:v>1131</c:v>
                </c:pt>
                <c:pt idx="2">
                  <c:v>974</c:v>
                </c:pt>
                <c:pt idx="3">
                  <c:v>833</c:v>
                </c:pt>
                <c:pt idx="4">
                  <c:v>759</c:v>
                </c:pt>
              </c:numCache>
            </c:numRef>
          </c:val>
        </c:ser>
        <c:dLbls>
          <c:showLegendKey val="0"/>
          <c:showVal val="0"/>
          <c:showCatName val="0"/>
          <c:showSerName val="0"/>
          <c:showPercent val="0"/>
          <c:showBubbleSize val="0"/>
        </c:dLbls>
        <c:gapWidth val="150"/>
        <c:axId val="117548544"/>
        <c:axId val="117550080"/>
      </c:barChart>
      <c:catAx>
        <c:axId val="117548544"/>
        <c:scaling>
          <c:orientation val="minMax"/>
        </c:scaling>
        <c:delete val="0"/>
        <c:axPos val="b"/>
        <c:numFmt formatCode="General" sourceLinked="1"/>
        <c:majorTickMark val="out"/>
        <c:minorTickMark val="none"/>
        <c:tickLblPos val="nextTo"/>
        <c:txPr>
          <a:bodyPr rot="0" vert="horz"/>
          <a:lstStyle/>
          <a:p>
            <a:pPr>
              <a:defRPr/>
            </a:pPr>
            <a:endParaRPr lang="en-US"/>
          </a:p>
        </c:txPr>
        <c:crossAx val="117550080"/>
        <c:crosses val="autoZero"/>
        <c:auto val="1"/>
        <c:lblAlgn val="ctr"/>
        <c:lblOffset val="100"/>
        <c:noMultiLvlLbl val="0"/>
      </c:catAx>
      <c:valAx>
        <c:axId val="117550080"/>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117548544"/>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Percentage of People (All Ages) Living in Poverty, </a:t>
            </a:r>
          </a:p>
          <a:p>
            <a:pPr>
              <a:defRPr sz="1000">
                <a:latin typeface="+mj-lt"/>
              </a:defRPr>
            </a:pPr>
            <a:r>
              <a:rPr lang="en-US" sz="1000">
                <a:latin typeface="+mj-lt"/>
              </a:rPr>
              <a:t>2005-2015</a:t>
            </a:r>
          </a:p>
        </c:rich>
      </c:tx>
      <c:layout/>
      <c:overlay val="0"/>
    </c:title>
    <c:autoTitleDeleted val="0"/>
    <c:plotArea>
      <c:layout>
        <c:manualLayout>
          <c:layoutTarget val="inner"/>
          <c:xMode val="edge"/>
          <c:yMode val="edge"/>
          <c:x val="0.13416343936028979"/>
          <c:y val="0.19261056920123787"/>
          <c:w val="0.80380179750259229"/>
          <c:h val="0.4789763779527631"/>
        </c:manualLayout>
      </c:layout>
      <c:lineChart>
        <c:grouping val="standard"/>
        <c:varyColors val="0"/>
        <c:ser>
          <c:idx val="0"/>
          <c:order val="0"/>
          <c:tx>
            <c:strRef>
              <c:f>Profile!$C$27</c:f>
              <c:strCache>
                <c:ptCount val="1"/>
                <c:pt idx="0">
                  <c:v>Accomack</c:v>
                </c:pt>
              </c:strCache>
            </c:strRef>
          </c:tx>
          <c:marker>
            <c:symbol val="none"/>
          </c:marker>
          <c:cat>
            <c:numRef>
              <c:f>Profile!$B$30:$B$40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Profile!$C$30:$C$40</c:f>
              <c:numCache>
                <c:formatCode>0.0%</c:formatCode>
                <c:ptCount val="11"/>
                <c:pt idx="0">
                  <c:v>0.183</c:v>
                </c:pt>
                <c:pt idx="1">
                  <c:v>0.154</c:v>
                </c:pt>
                <c:pt idx="2">
                  <c:v>0.16800000000000001</c:v>
                </c:pt>
                <c:pt idx="3">
                  <c:v>0.20600000000000002</c:v>
                </c:pt>
                <c:pt idx="4">
                  <c:v>0.183</c:v>
                </c:pt>
                <c:pt idx="5">
                  <c:v>0.20499999999999999</c:v>
                </c:pt>
                <c:pt idx="6">
                  <c:v>0.193</c:v>
                </c:pt>
                <c:pt idx="7">
                  <c:v>0.19900000000000001</c:v>
                </c:pt>
                <c:pt idx="8">
                  <c:v>0.19252741881281887</c:v>
                </c:pt>
                <c:pt idx="9">
                  <c:v>0.19371551195585529</c:v>
                </c:pt>
                <c:pt idx="10">
                  <c:v>0.20385040530582166</c:v>
                </c:pt>
              </c:numCache>
            </c:numRef>
          </c:val>
          <c:smooth val="0"/>
        </c:ser>
        <c:ser>
          <c:idx val="1"/>
          <c:order val="1"/>
          <c:tx>
            <c:strRef>
              <c:f>Profile!$E$27</c:f>
              <c:strCache>
                <c:ptCount val="1"/>
                <c:pt idx="0">
                  <c:v>Eastern</c:v>
                </c:pt>
              </c:strCache>
            </c:strRef>
          </c:tx>
          <c:spPr>
            <a:ln>
              <a:prstDash val="sysDot"/>
            </a:ln>
          </c:spPr>
          <c:marker>
            <c:symbol val="none"/>
          </c:marker>
          <c:cat>
            <c:numRef>
              <c:f>Profile!$B$30:$B$40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Profile!$E$30:$E$40</c:f>
              <c:numCache>
                <c:formatCode>0.0%</c:formatCode>
                <c:ptCount val="11"/>
                <c:pt idx="0">
                  <c:v>0.11367927485747498</c:v>
                </c:pt>
                <c:pt idx="1">
                  <c:v>0.10639459370059251</c:v>
                </c:pt>
                <c:pt idx="2">
                  <c:v>0.11202655946373949</c:v>
                </c:pt>
                <c:pt idx="3">
                  <c:v>0.11571808952754851</c:v>
                </c:pt>
                <c:pt idx="4">
                  <c:v>0.11429957969100746</c:v>
                </c:pt>
                <c:pt idx="5">
                  <c:v>0.12023872863352066</c:v>
                </c:pt>
                <c:pt idx="6">
                  <c:v>0.12870004950966066</c:v>
                </c:pt>
                <c:pt idx="7">
                  <c:v>0.13600000000000001</c:v>
                </c:pt>
                <c:pt idx="8">
                  <c:v>0.13722953804582269</c:v>
                </c:pt>
                <c:pt idx="9">
                  <c:v>0.13349245196423984</c:v>
                </c:pt>
                <c:pt idx="10">
                  <c:v>0.12957719229379919</c:v>
                </c:pt>
              </c:numCache>
            </c:numRef>
          </c:val>
          <c:smooth val="0"/>
        </c:ser>
        <c:ser>
          <c:idx val="2"/>
          <c:order val="2"/>
          <c:tx>
            <c:strRef>
              <c:f>Profile!$G$27</c:f>
              <c:strCache>
                <c:ptCount val="1"/>
                <c:pt idx="0">
                  <c:v>Statewide</c:v>
                </c:pt>
              </c:strCache>
            </c:strRef>
          </c:tx>
          <c:marker>
            <c:symbol val="none"/>
          </c:marker>
          <c:cat>
            <c:numRef>
              <c:f>Profile!$B$30:$B$40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Profile!$G$30:$G$40</c:f>
              <c:numCache>
                <c:formatCode>0.0%</c:formatCode>
                <c:ptCount val="11"/>
                <c:pt idx="0">
                  <c:v>9.9600000000000008E-2</c:v>
                </c:pt>
                <c:pt idx="1">
                  <c:v>9.6199999999999994E-2</c:v>
                </c:pt>
                <c:pt idx="2">
                  <c:v>9.9000000000000005E-2</c:v>
                </c:pt>
                <c:pt idx="3">
                  <c:v>0.10210000000000001</c:v>
                </c:pt>
                <c:pt idx="4">
                  <c:v>9.9000000000000005E-2</c:v>
                </c:pt>
                <c:pt idx="5">
                  <c:v>0.11118840014389482</c:v>
                </c:pt>
                <c:pt idx="6">
                  <c:v>0.11600000000000001</c:v>
                </c:pt>
                <c:pt idx="7">
                  <c:v>0.11799999999999999</c:v>
                </c:pt>
                <c:pt idx="8">
                  <c:v>0.11747751027208382</c:v>
                </c:pt>
                <c:pt idx="9">
                  <c:v>0.1182560438559494</c:v>
                </c:pt>
                <c:pt idx="10">
                  <c:v>0.11243251566072024</c:v>
                </c:pt>
              </c:numCache>
            </c:numRef>
          </c:val>
          <c:smooth val="0"/>
        </c:ser>
        <c:dLbls>
          <c:showLegendKey val="0"/>
          <c:showVal val="0"/>
          <c:showCatName val="0"/>
          <c:showSerName val="0"/>
          <c:showPercent val="0"/>
          <c:showBubbleSize val="0"/>
        </c:dLbls>
        <c:marker val="1"/>
        <c:smooth val="0"/>
        <c:axId val="112952064"/>
        <c:axId val="112953600"/>
      </c:lineChart>
      <c:catAx>
        <c:axId val="112952064"/>
        <c:scaling>
          <c:orientation val="minMax"/>
        </c:scaling>
        <c:delete val="0"/>
        <c:axPos val="b"/>
        <c:numFmt formatCode="General" sourceLinked="1"/>
        <c:majorTickMark val="out"/>
        <c:minorTickMark val="none"/>
        <c:tickLblPos val="nextTo"/>
        <c:txPr>
          <a:bodyPr rot="-1200000" vert="horz"/>
          <a:lstStyle/>
          <a:p>
            <a:pPr>
              <a:defRPr/>
            </a:pPr>
            <a:endParaRPr lang="en-US"/>
          </a:p>
        </c:txPr>
        <c:crossAx val="112953600"/>
        <c:crosses val="autoZero"/>
        <c:auto val="1"/>
        <c:lblAlgn val="ctr"/>
        <c:lblOffset val="100"/>
        <c:tickLblSkip val="1"/>
        <c:noMultiLvlLbl val="0"/>
      </c:catAx>
      <c:valAx>
        <c:axId val="112953600"/>
        <c:scaling>
          <c:orientation val="minMax"/>
        </c:scaling>
        <c:delete val="0"/>
        <c:axPos val="l"/>
        <c:title>
          <c:tx>
            <c:rich>
              <a:bodyPr/>
              <a:lstStyle/>
              <a:p>
                <a:pPr>
                  <a:defRPr/>
                </a:pPr>
                <a:r>
                  <a:rPr lang="en-US"/>
                  <a:t>Percentage (%)</a:t>
                </a:r>
              </a:p>
            </c:rich>
          </c:tx>
          <c:layout/>
          <c:overlay val="0"/>
        </c:title>
        <c:numFmt formatCode="0%" sourceLinked="0"/>
        <c:majorTickMark val="out"/>
        <c:minorTickMark val="none"/>
        <c:tickLblPos val="nextTo"/>
        <c:txPr>
          <a:bodyPr rot="0" vert="horz"/>
          <a:lstStyle/>
          <a:p>
            <a:pPr>
              <a:defRPr/>
            </a:pPr>
            <a:endParaRPr lang="en-US"/>
          </a:p>
        </c:txPr>
        <c:crossAx val="112952064"/>
        <c:crosses val="autoZero"/>
        <c:crossBetween val="midCat"/>
      </c:valAx>
    </c:plotArea>
    <c:legend>
      <c:legendPos val="r"/>
      <c:layout>
        <c:manualLayout>
          <c:xMode val="edge"/>
          <c:yMode val="edge"/>
          <c:x val="1.0978558074672261E-3"/>
          <c:y val="0.7947236259646645"/>
          <c:w val="0.99890214419252699"/>
          <c:h val="0.13174716966349503"/>
        </c:manualLayout>
      </c:layout>
      <c:overlay val="0"/>
      <c:txPr>
        <a:bodyPr/>
        <a:lstStyle/>
        <a:p>
          <a:pPr>
            <a:defRPr sz="900"/>
          </a:pPr>
          <a:endParaRPr lang="en-US"/>
        </a:p>
      </c:txPr>
    </c:legend>
    <c:plotVisOnly val="1"/>
    <c:dispBlanksAs val="gap"/>
    <c:showDLblsOverMax val="0"/>
  </c:chart>
  <c:spPr>
    <a:ln w="15875">
      <a:solidFill>
        <a:schemeClr val="accent5">
          <a:lumMod val="75000"/>
        </a:schemeClr>
      </a:solidFill>
    </a:ln>
  </c:spPr>
  <c:printSettings>
    <c:headerFooter/>
    <c:pageMargins b="0.5" l="0.45" r="0.45" t="0.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in Locality, SFY 2016</a:t>
            </a:r>
          </a:p>
          <a:p>
            <a:pPr>
              <a:defRPr sz="1000"/>
            </a:pPr>
            <a:endParaRPr lang="en-US" sz="1000"/>
          </a:p>
        </c:rich>
      </c:tx>
      <c:overlay val="0"/>
    </c:title>
    <c:autoTitleDeleted val="0"/>
    <c:plotArea>
      <c:layout>
        <c:manualLayout>
          <c:layoutTarget val="inner"/>
          <c:xMode val="edge"/>
          <c:yMode val="edge"/>
          <c:x val="0.27425227728887114"/>
          <c:y val="0.28124126791843329"/>
          <c:w val="0.4422047244094488"/>
          <c:h val="0.57826771653543307"/>
        </c:manualLayout>
      </c:layout>
      <c:pieChart>
        <c:varyColors val="1"/>
        <c:ser>
          <c:idx val="0"/>
          <c:order val="0"/>
          <c:tx>
            <c:v>Pct of Total SS Spending by Source</c:v>
          </c:tx>
          <c:spPr>
            <a:ln>
              <a:solidFill>
                <a:schemeClr val="tx1"/>
              </a:solidFill>
            </a:ln>
          </c:spPr>
          <c:dPt>
            <c:idx val="0"/>
            <c:bubble3D val="0"/>
            <c:spPr>
              <a:solidFill>
                <a:schemeClr val="accent3">
                  <a:lumMod val="50000"/>
                </a:schemeClr>
              </a:solidFill>
              <a:ln>
                <a:solidFill>
                  <a:schemeClr val="tx1"/>
                </a:solidFill>
              </a:ln>
            </c:spPr>
          </c:dPt>
          <c:dLbls>
            <c:dLblPos val="outEnd"/>
            <c:showLegendKey val="0"/>
            <c:showVal val="1"/>
            <c:showCatName val="1"/>
            <c:showSerName val="0"/>
            <c:showPercent val="0"/>
            <c:showBubbleSize val="0"/>
            <c:showLeaderLines val="1"/>
          </c:dLbls>
          <c:cat>
            <c:strRef>
              <c:f>Profile!$J$138:$L$138</c:f>
              <c:strCache>
                <c:ptCount val="3"/>
                <c:pt idx="0">
                  <c:v>Federal</c:v>
                </c:pt>
                <c:pt idx="1">
                  <c:v>State</c:v>
                </c:pt>
                <c:pt idx="2">
                  <c:v>Local &amp; NER (comb.)</c:v>
                </c:pt>
              </c:strCache>
            </c:strRef>
          </c:cat>
          <c:val>
            <c:numRef>
              <c:f>Profile!$J$160:$L$160</c:f>
              <c:numCache>
                <c:formatCode>0%</c:formatCode>
                <c:ptCount val="3"/>
                <c:pt idx="0">
                  <c:v>0.56918938168597832</c:v>
                </c:pt>
                <c:pt idx="1">
                  <c:v>0.41454363992732363</c:v>
                </c:pt>
                <c:pt idx="2">
                  <c:v>1.6266978386698123E-2</c:v>
                </c:pt>
              </c:numCache>
            </c:numRef>
          </c:val>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in  Locality, SFY 2016</a:t>
            </a:r>
          </a:p>
        </c:rich>
      </c:tx>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dPt>
          <c:dPt>
            <c:idx val="1"/>
            <c:bubble3D val="0"/>
            <c:spPr>
              <a:solidFill>
                <a:schemeClr val="accent3"/>
              </a:solidFill>
              <a:ln>
                <a:solidFill>
                  <a:schemeClr val="tx1"/>
                </a:solidFill>
              </a:ln>
            </c:spPr>
          </c:dPt>
          <c:dPt>
            <c:idx val="2"/>
            <c:bubble3D val="0"/>
            <c:spPr>
              <a:solidFill>
                <a:schemeClr val="accent3">
                  <a:lumMod val="50000"/>
                </a:schemeClr>
              </a:solidFill>
              <a:ln>
                <a:solidFill>
                  <a:schemeClr val="tx1"/>
                </a:solidFill>
              </a:ln>
            </c:spPr>
          </c:dPt>
          <c:dLbls>
            <c:dLbl>
              <c:idx val="0"/>
              <c:spPr/>
              <c:txPr>
                <a:bodyPr/>
                <a:lstStyle/>
                <a:p>
                  <a:pPr>
                    <a:defRPr/>
                  </a:pPr>
                  <a:endParaRPr lang="en-US"/>
                </a:p>
              </c:txPr>
              <c:dLblPos val="outEnd"/>
              <c:showLegendKey val="0"/>
              <c:showVal val="1"/>
              <c:showCatName val="1"/>
              <c:showSerName val="0"/>
              <c:showPercent val="0"/>
              <c:showBubbleSize val="0"/>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dLbl>
            <c:dLbl>
              <c:idx val="2"/>
              <c:layout>
                <c:manualLayout>
                  <c:x val="-4.6920821114369467E-2"/>
                  <c:y val="-3.9800995024875989E-2"/>
                </c:manualLayout>
              </c:layout>
              <c:dLblPos val="bestFit"/>
              <c:showLegendKey val="0"/>
              <c:showVal val="1"/>
              <c:showCatName val="1"/>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Profile!$U$147:$W$147</c:f>
              <c:strCache>
                <c:ptCount val="3"/>
                <c:pt idx="0">
                  <c:v>Admini-stration</c:v>
                </c:pt>
                <c:pt idx="1">
                  <c:v>Services</c:v>
                </c:pt>
                <c:pt idx="2">
                  <c:v>Benefits</c:v>
                </c:pt>
              </c:strCache>
            </c:strRef>
          </c:cat>
          <c:val>
            <c:numRef>
              <c:f>Profile!$U$152:$W$152</c:f>
              <c:numCache>
                <c:formatCode>0.0%</c:formatCode>
                <c:ptCount val="3"/>
                <c:pt idx="0">
                  <c:v>5.4708231127196597E-2</c:v>
                </c:pt>
                <c:pt idx="1">
                  <c:v>1.5410133735980023E-3</c:v>
                </c:pt>
                <c:pt idx="2">
                  <c:v>0.9437507554992054</c:v>
                </c:pt>
              </c:numCache>
            </c:numRef>
          </c:val>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Medicaid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Profile!$F$80</c:f>
              <c:strCache>
                <c:ptCount val="1"/>
                <c:pt idx="0">
                  <c:v>Medicaid</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Profile!$B$82:$C$86</c:f>
              <c:strCache>
                <c:ptCount val="5"/>
                <c:pt idx="0">
                  <c:v>2012</c:v>
                </c:pt>
                <c:pt idx="1">
                  <c:v>2013</c:v>
                </c:pt>
                <c:pt idx="2">
                  <c:v>2014</c:v>
                </c:pt>
                <c:pt idx="3">
                  <c:v>2015</c:v>
                </c:pt>
                <c:pt idx="4">
                  <c:v>2016</c:v>
                </c:pt>
              </c:strCache>
            </c:strRef>
          </c:cat>
          <c:val>
            <c:numRef>
              <c:f>Profile!$F$82:$F$86</c:f>
              <c:numCache>
                <c:formatCode>#,##0</c:formatCode>
                <c:ptCount val="5"/>
                <c:pt idx="0">
                  <c:v>7700</c:v>
                </c:pt>
                <c:pt idx="1">
                  <c:v>8722</c:v>
                </c:pt>
                <c:pt idx="2">
                  <c:v>8891</c:v>
                </c:pt>
                <c:pt idx="3">
                  <c:v>9155</c:v>
                </c:pt>
                <c:pt idx="4">
                  <c:v>9712</c:v>
                </c:pt>
              </c:numCache>
            </c:numRef>
          </c:val>
        </c:ser>
        <c:dLbls>
          <c:showLegendKey val="0"/>
          <c:showVal val="0"/>
          <c:showCatName val="0"/>
          <c:showSerName val="0"/>
          <c:showPercent val="0"/>
          <c:showBubbleSize val="0"/>
        </c:dLbls>
        <c:gapWidth val="150"/>
        <c:axId val="119346688"/>
        <c:axId val="119348224"/>
      </c:barChart>
      <c:catAx>
        <c:axId val="119346688"/>
        <c:scaling>
          <c:orientation val="minMax"/>
        </c:scaling>
        <c:delete val="0"/>
        <c:axPos val="b"/>
        <c:numFmt formatCode="General" sourceLinked="1"/>
        <c:majorTickMark val="out"/>
        <c:minorTickMark val="none"/>
        <c:tickLblPos val="nextTo"/>
        <c:txPr>
          <a:bodyPr rot="0" vert="horz"/>
          <a:lstStyle/>
          <a:p>
            <a:pPr>
              <a:defRPr/>
            </a:pPr>
            <a:endParaRPr lang="en-US"/>
          </a:p>
        </c:txPr>
        <c:crossAx val="119348224"/>
        <c:crosses val="autoZero"/>
        <c:auto val="1"/>
        <c:lblAlgn val="ctr"/>
        <c:lblOffset val="100"/>
        <c:noMultiLvlLbl val="0"/>
      </c:catAx>
      <c:valAx>
        <c:axId val="119348224"/>
        <c:scaling>
          <c:orientation val="minMax"/>
          <c:min val="0"/>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119346688"/>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SNAP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Profile!$D$80</c:f>
              <c:strCache>
                <c:ptCount val="1"/>
                <c:pt idx="0">
                  <c:v>SNAP</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Profile!$B$82:$C$86</c:f>
              <c:strCache>
                <c:ptCount val="5"/>
                <c:pt idx="0">
                  <c:v>2012</c:v>
                </c:pt>
                <c:pt idx="1">
                  <c:v>2013</c:v>
                </c:pt>
                <c:pt idx="2">
                  <c:v>2014</c:v>
                </c:pt>
                <c:pt idx="3">
                  <c:v>2015</c:v>
                </c:pt>
                <c:pt idx="4">
                  <c:v>2016</c:v>
                </c:pt>
              </c:strCache>
            </c:strRef>
          </c:cat>
          <c:val>
            <c:numRef>
              <c:f>Profile!$D$82:$D$86</c:f>
              <c:numCache>
                <c:formatCode>#,##0</c:formatCode>
                <c:ptCount val="5"/>
                <c:pt idx="0">
                  <c:v>10046</c:v>
                </c:pt>
                <c:pt idx="1">
                  <c:v>10332</c:v>
                </c:pt>
                <c:pt idx="2">
                  <c:v>10098</c:v>
                </c:pt>
                <c:pt idx="3">
                  <c:v>9497</c:v>
                </c:pt>
                <c:pt idx="4">
                  <c:v>8724</c:v>
                </c:pt>
              </c:numCache>
            </c:numRef>
          </c:val>
        </c:ser>
        <c:dLbls>
          <c:showLegendKey val="0"/>
          <c:showVal val="0"/>
          <c:showCatName val="0"/>
          <c:showSerName val="0"/>
          <c:showPercent val="0"/>
          <c:showBubbleSize val="0"/>
        </c:dLbls>
        <c:gapWidth val="150"/>
        <c:axId val="119377280"/>
        <c:axId val="119735424"/>
      </c:barChart>
      <c:catAx>
        <c:axId val="119377280"/>
        <c:scaling>
          <c:orientation val="minMax"/>
        </c:scaling>
        <c:delete val="0"/>
        <c:axPos val="b"/>
        <c:numFmt formatCode="General" sourceLinked="1"/>
        <c:majorTickMark val="out"/>
        <c:minorTickMark val="none"/>
        <c:tickLblPos val="nextTo"/>
        <c:txPr>
          <a:bodyPr rot="0" vert="horz"/>
          <a:lstStyle/>
          <a:p>
            <a:pPr>
              <a:defRPr/>
            </a:pPr>
            <a:endParaRPr lang="en-US"/>
          </a:p>
        </c:txPr>
        <c:crossAx val="119735424"/>
        <c:crosses val="autoZero"/>
        <c:auto val="1"/>
        <c:lblAlgn val="ctr"/>
        <c:lblOffset val="100"/>
        <c:noMultiLvlLbl val="0"/>
      </c:catAx>
      <c:valAx>
        <c:axId val="119735424"/>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119377280"/>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Non-Marital</a:t>
            </a:r>
            <a:r>
              <a:rPr lang="en-US" sz="1200" baseline="0"/>
              <a:t> </a:t>
            </a:r>
            <a:r>
              <a:rPr lang="en-US" sz="1200"/>
              <a:t>Births, 1998-2014</a:t>
            </a:r>
          </a:p>
        </c:rich>
      </c:tx>
      <c:layout>
        <c:manualLayout>
          <c:xMode val="edge"/>
          <c:yMode val="edge"/>
          <c:x val="0.27221727718817756"/>
          <c:y val="1.6666666666666701E-2"/>
        </c:manualLayout>
      </c:layout>
      <c:overlay val="1"/>
    </c:title>
    <c:autoTitleDeleted val="0"/>
    <c:plotArea>
      <c:layout>
        <c:manualLayout>
          <c:layoutTarget val="inner"/>
          <c:xMode val="edge"/>
          <c:yMode val="edge"/>
          <c:x val="0.13912009250591928"/>
          <c:y val="0.20532280214199244"/>
          <c:w val="0.8329426304229457"/>
          <c:h val="0.5588455818022745"/>
        </c:manualLayout>
      </c:layout>
      <c:lineChart>
        <c:grouping val="standard"/>
        <c:varyColors val="0"/>
        <c:ser>
          <c:idx val="0"/>
          <c:order val="0"/>
          <c:tx>
            <c:strRef>
              <c:f>'Data for Graphs'!$B$2</c:f>
              <c:strCache>
                <c:ptCount val="1"/>
                <c:pt idx="0">
                  <c:v>Accomack</c:v>
                </c:pt>
              </c:strCache>
            </c:strRef>
          </c:tx>
          <c:spPr>
            <a:ln>
              <a:solidFill>
                <a:schemeClr val="accent2"/>
              </a:solidFill>
            </a:ln>
          </c:spPr>
          <c:marker>
            <c:symbol val="none"/>
          </c:marker>
          <c:cat>
            <c:numRef>
              <c:f>'Data for Graphs'!$A$3:$A$19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Graphs'!$B$3:$B$19</c:f>
              <c:numCache>
                <c:formatCode>0%</c:formatCode>
                <c:ptCount val="17"/>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0.55585106382978722</c:v>
                </c:pt>
                <c:pt idx="16">
                  <c:v>0.55585106382978722</c:v>
                </c:pt>
              </c:numCache>
            </c:numRef>
          </c:val>
          <c:smooth val="0"/>
        </c:ser>
        <c:ser>
          <c:idx val="2"/>
          <c:order val="1"/>
          <c:tx>
            <c:strRef>
              <c:f>'Data for Graphs'!$C$2</c:f>
              <c:strCache>
                <c:ptCount val="1"/>
                <c:pt idx="0">
                  <c:v>Eastern</c:v>
                </c:pt>
              </c:strCache>
            </c:strRef>
          </c:tx>
          <c:spPr>
            <a:ln>
              <a:solidFill>
                <a:schemeClr val="accent3">
                  <a:lumMod val="50000"/>
                </a:schemeClr>
              </a:solidFill>
              <a:prstDash val="sysDot"/>
            </a:ln>
          </c:spPr>
          <c:marker>
            <c:symbol val="none"/>
          </c:marker>
          <c:cat>
            <c:numRef>
              <c:f>'Data for Graphs'!$A$3:$A$19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Graphs'!$C$3:$C$19</c:f>
              <c:numCache>
                <c:formatCode>0%</c:formatCode>
                <c:ptCount val="17"/>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0.39805019705455302</c:v>
                </c:pt>
                <c:pt idx="16">
                  <c:v>0.39805019705455302</c:v>
                </c:pt>
              </c:numCache>
            </c:numRef>
          </c:val>
          <c:smooth val="0"/>
        </c:ser>
        <c:ser>
          <c:idx val="1"/>
          <c:order val="2"/>
          <c:tx>
            <c:strRef>
              <c:f>'Data for Graphs'!$D$2</c:f>
              <c:strCache>
                <c:ptCount val="1"/>
                <c:pt idx="0">
                  <c:v>STATE</c:v>
                </c:pt>
              </c:strCache>
            </c:strRef>
          </c:tx>
          <c:spPr>
            <a:ln>
              <a:solidFill>
                <a:schemeClr val="accent1"/>
              </a:solidFill>
            </a:ln>
          </c:spPr>
          <c:marker>
            <c:symbol val="none"/>
          </c:marker>
          <c:cat>
            <c:numRef>
              <c:f>'Data for Graphs'!$A$3:$A$19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Graphs'!$D$3:$D$19</c:f>
              <c:numCache>
                <c:formatCode>0%</c:formatCode>
                <c:ptCount val="17"/>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0.340045722068194</c:v>
                </c:pt>
                <c:pt idx="16">
                  <c:v>0.340045722068194</c:v>
                </c:pt>
              </c:numCache>
            </c:numRef>
          </c:val>
          <c:smooth val="0"/>
        </c:ser>
        <c:dLbls>
          <c:showLegendKey val="0"/>
          <c:showVal val="0"/>
          <c:showCatName val="0"/>
          <c:showSerName val="0"/>
          <c:showPercent val="0"/>
          <c:showBubbleSize val="0"/>
        </c:dLbls>
        <c:marker val="1"/>
        <c:smooth val="0"/>
        <c:axId val="119773824"/>
        <c:axId val="119775616"/>
      </c:lineChart>
      <c:catAx>
        <c:axId val="119773824"/>
        <c:scaling>
          <c:orientation val="minMax"/>
        </c:scaling>
        <c:delete val="0"/>
        <c:axPos val="b"/>
        <c:numFmt formatCode="General" sourceLinked="1"/>
        <c:majorTickMark val="out"/>
        <c:minorTickMark val="none"/>
        <c:tickLblPos val="nextTo"/>
        <c:txPr>
          <a:bodyPr rot="-2100000"/>
          <a:lstStyle/>
          <a:p>
            <a:pPr>
              <a:defRPr/>
            </a:pPr>
            <a:endParaRPr lang="en-US"/>
          </a:p>
        </c:txPr>
        <c:crossAx val="119775616"/>
        <c:crosses val="autoZero"/>
        <c:auto val="1"/>
        <c:lblAlgn val="ctr"/>
        <c:lblOffset val="100"/>
        <c:tickLblSkip val="1"/>
        <c:noMultiLvlLbl val="0"/>
      </c:catAx>
      <c:valAx>
        <c:axId val="119775616"/>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Percentage</a:t>
                </a:r>
              </a:p>
            </c:rich>
          </c:tx>
          <c:layout>
            <c:manualLayout>
              <c:xMode val="edge"/>
              <c:yMode val="edge"/>
              <c:x val="2.0830962563246429E-3"/>
              <c:y val="0.36937051618548206"/>
            </c:manualLayout>
          </c:layout>
          <c:overlay val="0"/>
        </c:title>
        <c:numFmt formatCode="0%" sourceLinked="1"/>
        <c:majorTickMark val="out"/>
        <c:minorTickMark val="none"/>
        <c:tickLblPos val="nextTo"/>
        <c:crossAx val="119773824"/>
        <c:crosses val="autoZero"/>
        <c:crossBetween val="midCat"/>
      </c:valAx>
    </c:plotArea>
    <c:legend>
      <c:legendPos val="r"/>
      <c:layout>
        <c:manualLayout>
          <c:xMode val="edge"/>
          <c:yMode val="edge"/>
          <c:x val="7.0718083316509014E-2"/>
          <c:y val="0.12406035932814929"/>
          <c:w val="0.91713672154617021"/>
          <c:h val="8.209098862642171E-2"/>
        </c:manualLayout>
      </c:layout>
      <c:overlay val="0"/>
    </c:legend>
    <c:plotVisOnly val="1"/>
    <c:dispBlanksAs val="gap"/>
    <c:showDLblsOverMax val="0"/>
  </c:chart>
  <c:spPr>
    <a:ln w="15875">
      <a:solidFill>
        <a:schemeClr val="accent1"/>
      </a:solidFill>
    </a:ln>
  </c:spPr>
  <c:printSettings>
    <c:headerFooter/>
    <c:pageMargins b="0.75000000000000688" l="0.70000000000000062" r="0.70000000000000062" t="0.7500000000000068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a:t>
            </a:r>
            <a:r>
              <a:rPr lang="en-US" sz="1200"/>
              <a:t>, 1998-2014</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1891808978423152"/>
          <c:y val="0.20532280214199244"/>
          <c:w val="0.85314472054629564"/>
          <c:h val="0.5588455818022745"/>
        </c:manualLayout>
      </c:layout>
      <c:lineChart>
        <c:grouping val="standard"/>
        <c:varyColors val="0"/>
        <c:ser>
          <c:idx val="0"/>
          <c:order val="0"/>
          <c:tx>
            <c:strRef>
              <c:f>'Data for Graphs'!$B$22</c:f>
              <c:strCache>
                <c:ptCount val="1"/>
                <c:pt idx="0">
                  <c:v>Accomack</c:v>
                </c:pt>
              </c:strCache>
            </c:strRef>
          </c:tx>
          <c:spPr>
            <a:ln>
              <a:solidFill>
                <a:schemeClr val="accent2"/>
              </a:solidFill>
            </a:ln>
          </c:spPr>
          <c:marker>
            <c:symbol val="none"/>
          </c:marker>
          <c:cat>
            <c:numRef>
              <c:f>'Data for Graphs'!$A$23:$A$39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Graphs'!$B$23:$B$39</c:f>
              <c:numCache>
                <c:formatCode>0.0</c:formatCode>
                <c:ptCount val="17"/>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numCache>
            </c:numRef>
          </c:val>
          <c:smooth val="0"/>
        </c:ser>
        <c:ser>
          <c:idx val="2"/>
          <c:order val="1"/>
          <c:tx>
            <c:strRef>
              <c:f>'Data for Graphs'!$C$22</c:f>
              <c:strCache>
                <c:ptCount val="1"/>
                <c:pt idx="0">
                  <c:v>Eastern</c:v>
                </c:pt>
              </c:strCache>
            </c:strRef>
          </c:tx>
          <c:spPr>
            <a:ln>
              <a:solidFill>
                <a:schemeClr val="accent3">
                  <a:lumMod val="50000"/>
                </a:schemeClr>
              </a:solidFill>
              <a:prstDash val="sysDot"/>
            </a:ln>
          </c:spPr>
          <c:marker>
            <c:symbol val="none"/>
          </c:marker>
          <c:cat>
            <c:numRef>
              <c:f>'Data for Graphs'!$A$23:$A$39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Graphs'!$C$23:$C$39</c:f>
              <c:numCache>
                <c:formatCode>0.0</c:formatCode>
                <c:ptCount val="17"/>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12.424590006041555</c:v>
                </c:pt>
                <c:pt idx="16">
                  <c:v>10.34276433883238</c:v>
                </c:pt>
              </c:numCache>
            </c:numRef>
          </c:val>
          <c:smooth val="0"/>
        </c:ser>
        <c:ser>
          <c:idx val="1"/>
          <c:order val="2"/>
          <c:tx>
            <c:strRef>
              <c:f>'Data for Graphs'!$D$22</c:f>
              <c:strCache>
                <c:ptCount val="1"/>
                <c:pt idx="0">
                  <c:v>STATE</c:v>
                </c:pt>
              </c:strCache>
            </c:strRef>
          </c:tx>
          <c:spPr>
            <a:ln>
              <a:solidFill>
                <a:schemeClr val="accent1"/>
              </a:solidFill>
            </a:ln>
          </c:spPr>
          <c:marker>
            <c:symbol val="none"/>
          </c:marker>
          <c:cat>
            <c:numRef>
              <c:f>'Data for Graphs'!$A$23:$A$39</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'Data for Graphs'!$D$23:$D$39</c:f>
              <c:numCache>
                <c:formatCode>0.0</c:formatCode>
                <c:ptCount val="17"/>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numCache>
            </c:numRef>
          </c:val>
          <c:smooth val="0"/>
        </c:ser>
        <c:dLbls>
          <c:showLegendKey val="0"/>
          <c:showVal val="0"/>
          <c:showCatName val="0"/>
          <c:showSerName val="0"/>
          <c:showPercent val="0"/>
          <c:showBubbleSize val="0"/>
        </c:dLbls>
        <c:marker val="1"/>
        <c:smooth val="0"/>
        <c:axId val="121125120"/>
        <c:axId val="121139200"/>
      </c:lineChart>
      <c:catAx>
        <c:axId val="121125120"/>
        <c:scaling>
          <c:orientation val="minMax"/>
        </c:scaling>
        <c:delete val="0"/>
        <c:axPos val="b"/>
        <c:numFmt formatCode="General" sourceLinked="1"/>
        <c:majorTickMark val="out"/>
        <c:minorTickMark val="none"/>
        <c:tickLblPos val="nextTo"/>
        <c:txPr>
          <a:bodyPr rot="-2100000"/>
          <a:lstStyle/>
          <a:p>
            <a:pPr>
              <a:defRPr/>
            </a:pPr>
            <a:endParaRPr lang="en-US"/>
          </a:p>
        </c:txPr>
        <c:crossAx val="121139200"/>
        <c:crosses val="autoZero"/>
        <c:auto val="1"/>
        <c:lblAlgn val="ctr"/>
        <c:lblOffset val="100"/>
        <c:tickLblSkip val="1"/>
        <c:noMultiLvlLbl val="0"/>
      </c:catAx>
      <c:valAx>
        <c:axId val="1211392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121125120"/>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xdr:col>
      <xdr:colOff>85725</xdr:colOff>
      <xdr:row>41</xdr:row>
      <xdr:rowOff>38100</xdr:rowOff>
    </xdr:from>
    <xdr:to>
      <xdr:col>13</xdr:col>
      <xdr:colOff>352425</xdr:colOff>
      <xdr:row>55</xdr:row>
      <xdr:rowOff>133350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304802</xdr:colOff>
      <xdr:row>89</xdr:row>
      <xdr:rowOff>0</xdr:rowOff>
    </xdr:from>
    <xdr:to>
      <xdr:col>9</xdr:col>
      <xdr:colOff>638175</xdr:colOff>
      <xdr:row>101</xdr:row>
      <xdr:rowOff>85724</xdr:rowOff>
    </xdr:to>
    <xdr:graphicFrame macro="">
      <xdr:nvGraphicFramePr>
        <xdr:cNvPr id="10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24</xdr:row>
      <xdr:rowOff>142875</xdr:rowOff>
    </xdr:from>
    <xdr:to>
      <xdr:col>13</xdr:col>
      <xdr:colOff>676275</xdr:colOff>
      <xdr:row>40</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xdr:colOff>
      <xdr:row>148</xdr:row>
      <xdr:rowOff>161925</xdr:rowOff>
    </xdr:from>
    <xdr:to>
      <xdr:col>5</xdr:col>
      <xdr:colOff>495299</xdr:colOff>
      <xdr:row>160</xdr:row>
      <xdr:rowOff>66675</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137</xdr:row>
      <xdr:rowOff>123825</xdr:rowOff>
    </xdr:from>
    <xdr:to>
      <xdr:col>5</xdr:col>
      <xdr:colOff>514349</xdr:colOff>
      <xdr:row>148</xdr:row>
      <xdr:rowOff>123825</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11</xdr:row>
      <xdr:rowOff>19050</xdr:rowOff>
    </xdr:from>
    <xdr:to>
      <xdr:col>9</xdr:col>
      <xdr:colOff>0</xdr:colOff>
      <xdr:row>13</xdr:row>
      <xdr:rowOff>152400</xdr:rowOff>
    </xdr:to>
    <xdr:sp macro="" textlink="">
      <xdr:nvSpPr>
        <xdr:cNvPr id="24" name="Rounded Rectangle 23"/>
        <xdr:cNvSpPr/>
      </xdr:nvSpPr>
      <xdr:spPr>
        <a:xfrm>
          <a:off x="4933950" y="17621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17</xdr:row>
      <xdr:rowOff>19050</xdr:rowOff>
    </xdr:from>
    <xdr:to>
      <xdr:col>8</xdr:col>
      <xdr:colOff>742950</xdr:colOff>
      <xdr:row>19</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14</xdr:row>
      <xdr:rowOff>19050</xdr:rowOff>
    </xdr:from>
    <xdr:to>
      <xdr:col>8</xdr:col>
      <xdr:colOff>752474</xdr:colOff>
      <xdr:row>16</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20</xdr:row>
      <xdr:rowOff>19050</xdr:rowOff>
    </xdr:from>
    <xdr:to>
      <xdr:col>8</xdr:col>
      <xdr:colOff>733424</xdr:colOff>
      <xdr:row>22</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161</xdr:row>
      <xdr:rowOff>28575</xdr:rowOff>
    </xdr:from>
    <xdr:to>
      <xdr:col>3</xdr:col>
      <xdr:colOff>666750</xdr:colOff>
      <xdr:row>164</xdr:row>
      <xdr:rowOff>152400</xdr:rowOff>
    </xdr:to>
    <xdr:sp macro="" textlink="$M$159">
      <xdr:nvSpPr>
        <xdr:cNvPr id="11" name="Rounded Rectangle 10"/>
        <xdr:cNvSpPr/>
      </xdr:nvSpPr>
      <xdr:spPr>
        <a:xfrm>
          <a:off x="95250" y="221742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600" b="1" i="0" u="none" strike="noStrike">
              <a:solidFill>
                <a:srgbClr val="FF0000"/>
              </a:solidFill>
              <a:latin typeface="Cambriaew Roman"/>
            </a:rPr>
            <a:pPr algn="ctr"/>
            <a:t>$65,344,053</a:t>
          </a:fld>
          <a:endParaRPr lang="en-US" sz="1600" b="1"/>
        </a:p>
      </xdr:txBody>
    </xdr:sp>
    <xdr:clientData/>
  </xdr:twoCellAnchor>
  <xdr:twoCellAnchor>
    <xdr:from>
      <xdr:col>5</xdr:col>
      <xdr:colOff>666750</xdr:colOff>
      <xdr:row>161</xdr:row>
      <xdr:rowOff>38100</xdr:rowOff>
    </xdr:from>
    <xdr:to>
      <xdr:col>8</xdr:col>
      <xdr:colOff>666750</xdr:colOff>
      <xdr:row>164</xdr:row>
      <xdr:rowOff>161925</xdr:rowOff>
    </xdr:to>
    <xdr:sp macro="" textlink="$L$159">
      <xdr:nvSpPr>
        <xdr:cNvPr id="37" name="Rounded Rectangle 36"/>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6E64D973-77A5-4A49-B64A-D205048FC130}" type="TxLink">
            <a:rPr lang="en-US" sz="1600" b="1" i="0" u="none" strike="noStrike">
              <a:solidFill>
                <a:srgbClr val="000000"/>
              </a:solidFill>
              <a:latin typeface="Cambriaew Roman"/>
            </a:rPr>
            <a:pPr algn="ctr"/>
            <a:t>$1,062,950</a:t>
          </a:fld>
          <a:endParaRPr lang="en-US" sz="1600" b="1"/>
        </a:p>
      </xdr:txBody>
    </xdr:sp>
    <xdr:clientData/>
  </xdr:twoCellAnchor>
  <xdr:twoCellAnchor>
    <xdr:from>
      <xdr:col>9</xdr:col>
      <xdr:colOff>723900</xdr:colOff>
      <xdr:row>89</xdr:row>
      <xdr:rowOff>19050</xdr:rowOff>
    </xdr:from>
    <xdr:to>
      <xdr:col>13</xdr:col>
      <xdr:colOff>476249</xdr:colOff>
      <xdr:row>101</xdr:row>
      <xdr:rowOff>104774</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47625</xdr:colOff>
      <xdr:row>89</xdr:row>
      <xdr:rowOff>0</xdr:rowOff>
    </xdr:from>
    <xdr:to>
      <xdr:col>5</xdr:col>
      <xdr:colOff>190500</xdr:colOff>
      <xdr:row>101</xdr:row>
      <xdr:rowOff>85724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64</xdr:row>
      <xdr:rowOff>19050</xdr:rowOff>
    </xdr:from>
    <xdr:to>
      <xdr:col>7</xdr:col>
      <xdr:colOff>266700</xdr:colOff>
      <xdr:row>76</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314326</xdr:colOff>
      <xdr:row>64</xdr:row>
      <xdr:rowOff>19050</xdr:rowOff>
    </xdr:from>
    <xdr:to>
      <xdr:col>13</xdr:col>
      <xdr:colOff>552451</xdr:colOff>
      <xdr:row>76</xdr:row>
      <xdr:rowOff>133350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704850</xdr:colOff>
      <xdr:row>55</xdr:row>
      <xdr:rowOff>171450</xdr:rowOff>
    </xdr:from>
    <xdr:to>
      <xdr:col>13</xdr:col>
      <xdr:colOff>19050</xdr:colOff>
      <xdr:row>58</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11</xdr:col>
      <xdr:colOff>247650</xdr:colOff>
      <xdr:row>78</xdr:row>
      <xdr:rowOff>19050</xdr:rowOff>
    </xdr:from>
    <xdr:to>
      <xdr:col>12</xdr:col>
      <xdr:colOff>400050</xdr:colOff>
      <xdr:row>80</xdr:row>
      <xdr:rowOff>152400</xdr:rowOff>
    </xdr:to>
    <xdr:sp macro="" textlink="">
      <xdr:nvSpPr>
        <xdr:cNvPr id="20" name="Rounded Rectangle 19"/>
        <xdr:cNvSpPr/>
      </xdr:nvSpPr>
      <xdr:spPr>
        <a:xfrm>
          <a:off x="9715500" y="13544550"/>
          <a:ext cx="914400"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29793" name="Picture 1" descr="http://dssdw.vita.virginia.gov:80/crn/common/images/filter.gif"/>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34290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0.0361</cdr:x>
      <cdr:y>0.88889</cdr:y>
    </cdr:from>
    <cdr:to>
      <cdr:x>0.98996</cdr:x>
      <cdr:y>0.97956</cdr:y>
    </cdr:to>
    <cdr:sp macro="" textlink="">
      <cdr:nvSpPr>
        <cdr:cNvPr id="3" name="TextBox 2"/>
        <cdr:cNvSpPr txBox="1"/>
      </cdr:nvSpPr>
      <cdr:spPr>
        <a:xfrm xmlns:a="http://schemas.openxmlformats.org/drawingml/2006/main">
          <a:off x="171239" y="2133600"/>
          <a:ext cx="4524586" cy="217646"/>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are</a:t>
          </a:r>
          <a:r>
            <a:rPr lang="en-US" sz="800" baseline="0">
              <a:latin typeface="+mj-lt"/>
              <a:cs typeface="Arial" pitchFamily="34" charset="0"/>
            </a:rPr>
            <a:t> for  each calendar year. </a:t>
          </a:r>
          <a:r>
            <a:rPr lang="en-US" sz="800">
              <a:latin typeface="+mj-lt"/>
              <a:cs typeface="Arial" pitchFamily="34" charset="0"/>
            </a:rPr>
            <a:t>Rates 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0.00829</cdr:x>
      <cdr:y>0.84753</cdr:y>
    </cdr:from>
    <cdr:to>
      <cdr:x>0.9625</cdr:x>
      <cdr:y>1</cdr:y>
    </cdr:to>
    <cdr:sp macro="" textlink="">
      <cdr:nvSpPr>
        <cdr:cNvPr id="2" name="TextBox 1"/>
        <cdr:cNvSpPr txBox="1"/>
      </cdr:nvSpPr>
      <cdr:spPr>
        <a:xfrm xmlns:a="http://schemas.openxmlformats.org/drawingml/2006/main">
          <a:off x="25270" y="1864807"/>
          <a:ext cx="2908430" cy="3354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0.00829</cdr:x>
      <cdr:y>0.84753</cdr:y>
    </cdr:from>
    <cdr:to>
      <cdr:x>0.9625</cdr:x>
      <cdr:y>1</cdr:y>
    </cdr:to>
    <cdr:sp macro="" textlink="">
      <cdr:nvSpPr>
        <cdr:cNvPr id="2" name="TextBox 1"/>
        <cdr:cNvSpPr txBox="1"/>
      </cdr:nvSpPr>
      <cdr:spPr>
        <a:xfrm xmlns:a="http://schemas.openxmlformats.org/drawingml/2006/main">
          <a:off x="25270" y="1864807"/>
          <a:ext cx="2908430" cy="3354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0.00829</cdr:x>
      <cdr:y>0.84753</cdr:y>
    </cdr:from>
    <cdr:to>
      <cdr:x>0.97183</cdr:x>
      <cdr:y>1</cdr:y>
    </cdr:to>
    <cdr:sp macro="" textlink="">
      <cdr:nvSpPr>
        <cdr:cNvPr id="2" name="TextBox 1"/>
        <cdr:cNvSpPr txBox="1"/>
      </cdr:nvSpPr>
      <cdr:spPr>
        <a:xfrm xmlns:a="http://schemas.openxmlformats.org/drawingml/2006/main">
          <a:off x="22425" y="1816362"/>
          <a:ext cx="2606475" cy="3267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pPr algn="l"/>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8.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85725</xdr:colOff>
      <xdr:row>2</xdr:row>
      <xdr:rowOff>85725</xdr:rowOff>
    </xdr:from>
    <xdr:to>
      <xdr:col>4</xdr:col>
      <xdr:colOff>542925</xdr:colOff>
      <xdr:row>13</xdr:row>
      <xdr:rowOff>161925</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14</xdr:row>
      <xdr:rowOff>47624</xdr:rowOff>
    </xdr:from>
    <xdr:to>
      <xdr:col>4</xdr:col>
      <xdr:colOff>533400</xdr:colOff>
      <xdr:row>25</xdr:row>
      <xdr:rowOff>76199</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26</xdr:row>
      <xdr:rowOff>28575</xdr:rowOff>
    </xdr:from>
    <xdr:to>
      <xdr:col>2</xdr:col>
      <xdr:colOff>666750</xdr:colOff>
      <xdr:row>29</xdr:row>
      <xdr:rowOff>152400</xdr:rowOff>
    </xdr:to>
    <xdr:sp macro="" textlink="$L$24">
      <xdr:nvSpPr>
        <xdr:cNvPr id="4" name="Rounded Rectangle 3"/>
        <xdr:cNvSpPr/>
      </xdr:nvSpPr>
      <xdr:spPr>
        <a:xfrm>
          <a:off x="95250" y="27270075"/>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rgbClr val="FF0000"/>
              </a:solidFill>
              <a:latin typeface="+mn-lt"/>
              <a:cs typeface="Times New Roman"/>
            </a:rPr>
            <a:pPr algn="ctr"/>
            <a:t>$2,032,188,941</a:t>
          </a:fld>
          <a:endParaRPr lang="en-US" sz="1600" b="1">
            <a:latin typeface="+mn-lt"/>
          </a:endParaRPr>
        </a:p>
      </xdr:txBody>
    </xdr:sp>
    <xdr:clientData/>
  </xdr:twoCellAnchor>
  <xdr:twoCellAnchor>
    <xdr:from>
      <xdr:col>4</xdr:col>
      <xdr:colOff>666750</xdr:colOff>
      <xdr:row>26</xdr:row>
      <xdr:rowOff>38100</xdr:rowOff>
    </xdr:from>
    <xdr:to>
      <xdr:col>7</xdr:col>
      <xdr:colOff>666750</xdr:colOff>
      <xdr:row>29</xdr:row>
      <xdr:rowOff>161925</xdr:rowOff>
    </xdr:to>
    <xdr:sp macro="" textlink="$K$24">
      <xdr:nvSpPr>
        <xdr:cNvPr id="5" name="Rounded Rectangle 4"/>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C31A062B-EC35-4B52-AF38-2D995E6EEFD6}" type="TxLink">
            <a:rPr lang="en-US" sz="1600" b="1" i="0" u="none" strike="noStrike">
              <a:solidFill>
                <a:srgbClr val="000000"/>
              </a:solidFill>
              <a:latin typeface="+mn-lt"/>
              <a:cs typeface="Times New Roman"/>
            </a:rPr>
            <a:pPr algn="ctr"/>
            <a:t>$68,652,806</a:t>
          </a:fld>
          <a:endParaRPr lang="en-US" sz="1600" b="1">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y_Management/Local%20Departments,%20Data/Profiles/Profile%20Report%202012/2012%20Local%20DSS%20Agency%20Profile%20Report%202012_05_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Agency Level"/>
      <sheetName val="HR Policy"/>
      <sheetName val="IT Support"/>
      <sheetName val="Board Type"/>
      <sheetName val="2010 Population"/>
      <sheetName val="Hispanic Population"/>
      <sheetName val="Unemployment 2001-2011"/>
      <sheetName val="Poverty 1998-2010"/>
      <sheetName val="SNAP Demographics 2011"/>
      <sheetName val="TANF DEMOGRAPHICS 2011"/>
      <sheetName val="SNAP Clients by SFY"/>
      <sheetName val="TANF Clients by SFY"/>
      <sheetName val="Medicaid 2011"/>
      <sheetName val="Adoption Child by Race"/>
      <sheetName val="CPS Referrals by Race 2011"/>
      <sheetName val="Compare Recipients Census Med"/>
      <sheetName val="Compare Recipients Census SNAP"/>
      <sheetName val="Compare Recipients Census TANF"/>
      <sheetName val="Adoption Counts Summed SFY 2010"/>
      <sheetName val="Foster Care Children Race-2011"/>
      <sheetName val="CPS Ref Child Demo 2010 (2)"/>
      <sheetName val="Eligibililty Staff LASER-2011"/>
      <sheetName val="Services Staff LASER 2011"/>
      <sheetName val="Other Exp. LASER 2011"/>
      <sheetName val="Services for Clients LASER 2011"/>
      <sheetName val="Medicaid &amp; FAMIS - LASER 2011"/>
      <sheetName val="SNAP - LASER 2011"/>
      <sheetName val="FC &amp; Adoptions LASER 2011"/>
      <sheetName val="LIHEAP LASER 2011"/>
      <sheetName val="TANF LASER 2011"/>
      <sheetName val="Other Benefits LASER 2011"/>
      <sheetName val="Benefits Spending Summary"/>
      <sheetName val="Position_Mar2012"/>
      <sheetName val="Medicaid Clients"/>
      <sheetName val="Children in Single-Parent Homes"/>
      <sheetName val="Non-marital births"/>
      <sheetName val="Cohabiting Couples"/>
      <sheetName val="SNAP Participation Rate"/>
      <sheetName val="Children in Foster Care"/>
      <sheetName val="Children in CPS Investigations"/>
      <sheetName val="Abuse and Neglect by Locality"/>
      <sheetName val="Locality Name"/>
      <sheetName val="Password"/>
      <sheetName val="AG Master"/>
      <sheetName val="APS Master"/>
    </sheetNames>
    <sheetDataSet>
      <sheetData sheetId="0"/>
      <sheetData sheetId="1"/>
      <sheetData sheetId="2"/>
      <sheetData sheetId="3"/>
      <sheetData sheetId="4"/>
      <sheetData sheetId="5"/>
      <sheetData sheetId="6"/>
      <sheetData sheetId="7"/>
      <sheetData sheetId="8"/>
      <sheetData sheetId="9">
        <row r="6">
          <cell r="A6" t="str">
            <v>001</v>
          </cell>
          <cell r="B6" t="str">
            <v>Accomack</v>
          </cell>
          <cell r="C6">
            <v>5384</v>
          </cell>
          <cell r="D6">
            <v>2692</v>
          </cell>
          <cell r="E6">
            <v>2470</v>
          </cell>
          <cell r="F6">
            <v>222</v>
          </cell>
          <cell r="G6">
            <v>3978</v>
          </cell>
          <cell r="H6">
            <v>1992</v>
          </cell>
          <cell r="I6">
            <v>1898</v>
          </cell>
          <cell r="J6">
            <v>88</v>
          </cell>
          <cell r="K6">
            <v>9362</v>
          </cell>
        </row>
        <row r="7">
          <cell r="A7" t="str">
            <v>003</v>
          </cell>
          <cell r="B7" t="str">
            <v>Albemarle</v>
          </cell>
          <cell r="C7">
            <v>5829</v>
          </cell>
          <cell r="D7">
            <v>2981</v>
          </cell>
          <cell r="E7">
            <v>1544</v>
          </cell>
          <cell r="F7">
            <v>1304</v>
          </cell>
          <cell r="G7">
            <v>4102</v>
          </cell>
          <cell r="H7">
            <v>1817</v>
          </cell>
          <cell r="I7">
            <v>1232</v>
          </cell>
          <cell r="J7">
            <v>1053</v>
          </cell>
          <cell r="K7">
            <v>9931</v>
          </cell>
        </row>
        <row r="8">
          <cell r="A8" t="str">
            <v>005</v>
          </cell>
          <cell r="B8" t="str">
            <v>Alleghany/Covington</v>
          </cell>
          <cell r="C8">
            <v>3013</v>
          </cell>
          <cell r="D8">
            <v>2600</v>
          </cell>
          <cell r="E8">
            <v>331</v>
          </cell>
          <cell r="F8">
            <v>82</v>
          </cell>
          <cell r="G8">
            <v>1974</v>
          </cell>
          <cell r="H8">
            <v>1572</v>
          </cell>
          <cell r="I8">
            <v>208</v>
          </cell>
          <cell r="J8">
            <v>194</v>
          </cell>
          <cell r="K8">
            <v>4987</v>
          </cell>
        </row>
        <row r="9">
          <cell r="A9" t="str">
            <v>007</v>
          </cell>
          <cell r="B9" t="str">
            <v>Amelia</v>
          </cell>
          <cell r="C9">
            <v>1825</v>
          </cell>
          <cell r="D9">
            <v>1091</v>
          </cell>
          <cell r="E9">
            <v>658</v>
          </cell>
          <cell r="F9">
            <v>76</v>
          </cell>
          <cell r="G9">
            <v>1103</v>
          </cell>
          <cell r="H9">
            <v>660</v>
          </cell>
          <cell r="I9">
            <v>372</v>
          </cell>
          <cell r="J9">
            <v>71</v>
          </cell>
          <cell r="K9">
            <v>2928</v>
          </cell>
        </row>
        <row r="10">
          <cell r="A10" t="str">
            <v>009</v>
          </cell>
          <cell r="B10" t="str">
            <v>Amherst</v>
          </cell>
          <cell r="C10">
            <v>3581</v>
          </cell>
          <cell r="D10">
            <v>2278</v>
          </cell>
          <cell r="E10">
            <v>1005</v>
          </cell>
          <cell r="F10">
            <v>298</v>
          </cell>
          <cell r="G10">
            <v>2398</v>
          </cell>
          <cell r="H10">
            <v>1479</v>
          </cell>
          <cell r="I10">
            <v>662</v>
          </cell>
          <cell r="J10">
            <v>257</v>
          </cell>
          <cell r="K10">
            <v>5979</v>
          </cell>
        </row>
        <row r="11">
          <cell r="A11" t="str">
            <v>011</v>
          </cell>
          <cell r="B11" t="str">
            <v>Appomattox</v>
          </cell>
          <cell r="C11">
            <v>2108</v>
          </cell>
          <cell r="D11">
            <v>1268</v>
          </cell>
          <cell r="E11">
            <v>812</v>
          </cell>
          <cell r="F11">
            <v>28</v>
          </cell>
          <cell r="G11">
            <v>1348</v>
          </cell>
          <cell r="H11">
            <v>781</v>
          </cell>
          <cell r="I11">
            <v>514</v>
          </cell>
          <cell r="J11">
            <v>53</v>
          </cell>
          <cell r="K11">
            <v>3456</v>
          </cell>
        </row>
        <row r="12">
          <cell r="A12" t="str">
            <v>013</v>
          </cell>
          <cell r="B12" t="str">
            <v>Arlington</v>
          </cell>
          <cell r="C12">
            <v>7242</v>
          </cell>
          <cell r="D12">
            <v>2991</v>
          </cell>
          <cell r="E12">
            <v>2182</v>
          </cell>
          <cell r="F12">
            <v>2069</v>
          </cell>
          <cell r="G12">
            <v>4283</v>
          </cell>
          <cell r="H12">
            <v>1997</v>
          </cell>
          <cell r="I12">
            <v>1115</v>
          </cell>
          <cell r="J12">
            <v>1171</v>
          </cell>
          <cell r="K12">
            <v>11525</v>
          </cell>
        </row>
        <row r="13">
          <cell r="A13" t="str">
            <v>015</v>
          </cell>
          <cell r="B13" t="str">
            <v>Augusta/ Staunton/ Waynesboro</v>
          </cell>
          <cell r="C13">
            <v>13362</v>
          </cell>
          <cell r="D13">
            <v>10344</v>
          </cell>
          <cell r="E13">
            <v>1786</v>
          </cell>
          <cell r="F13">
            <v>1232</v>
          </cell>
          <cell r="G13">
            <v>8859</v>
          </cell>
          <cell r="H13">
            <v>6515</v>
          </cell>
          <cell r="I13">
            <v>1356</v>
          </cell>
          <cell r="J13">
            <v>988</v>
          </cell>
          <cell r="K13">
            <v>22221</v>
          </cell>
        </row>
        <row r="14">
          <cell r="A14" t="str">
            <v>017</v>
          </cell>
          <cell r="B14" t="str">
            <v>Bath</v>
          </cell>
          <cell r="C14">
            <v>376</v>
          </cell>
          <cell r="D14">
            <v>347</v>
          </cell>
          <cell r="E14">
            <v>21</v>
          </cell>
          <cell r="F14">
            <v>8</v>
          </cell>
          <cell r="G14">
            <v>203</v>
          </cell>
          <cell r="H14">
            <v>183</v>
          </cell>
          <cell r="I14">
            <v>6</v>
          </cell>
          <cell r="J14">
            <v>14</v>
          </cell>
          <cell r="K14">
            <v>579</v>
          </cell>
        </row>
        <row r="15">
          <cell r="A15" t="str">
            <v>019</v>
          </cell>
          <cell r="B15" t="str">
            <v>Bedford County/City</v>
          </cell>
          <cell r="C15">
            <v>6199</v>
          </cell>
          <cell r="D15">
            <v>4614</v>
          </cell>
          <cell r="E15">
            <v>956</v>
          </cell>
          <cell r="F15">
            <v>629</v>
          </cell>
          <cell r="G15">
            <v>4170</v>
          </cell>
          <cell r="H15">
            <v>3100</v>
          </cell>
          <cell r="I15">
            <v>647</v>
          </cell>
          <cell r="J15">
            <v>423</v>
          </cell>
          <cell r="K15">
            <v>10369</v>
          </cell>
        </row>
        <row r="16">
          <cell r="A16" t="str">
            <v>021</v>
          </cell>
          <cell r="B16" t="str">
            <v>Bland</v>
          </cell>
          <cell r="C16">
            <v>627</v>
          </cell>
          <cell r="D16">
            <v>542</v>
          </cell>
          <cell r="E16">
            <v>8</v>
          </cell>
          <cell r="F16">
            <v>77</v>
          </cell>
          <cell r="G16">
            <v>343</v>
          </cell>
          <cell r="H16">
            <v>308</v>
          </cell>
          <cell r="I16">
            <v>9</v>
          </cell>
          <cell r="J16">
            <v>26</v>
          </cell>
          <cell r="K16">
            <v>970</v>
          </cell>
        </row>
        <row r="17">
          <cell r="A17" t="str">
            <v>023</v>
          </cell>
          <cell r="B17" t="str">
            <v>Botetourt</v>
          </cell>
          <cell r="C17">
            <v>1497</v>
          </cell>
          <cell r="D17">
            <v>1328</v>
          </cell>
          <cell r="E17">
            <v>64</v>
          </cell>
          <cell r="F17">
            <v>105</v>
          </cell>
          <cell r="G17">
            <v>1025</v>
          </cell>
          <cell r="H17">
            <v>878</v>
          </cell>
          <cell r="I17">
            <v>47</v>
          </cell>
          <cell r="J17">
            <v>100</v>
          </cell>
          <cell r="K17">
            <v>2522</v>
          </cell>
        </row>
        <row r="18">
          <cell r="A18" t="str">
            <v>025</v>
          </cell>
          <cell r="B18" t="str">
            <v>Brunswick</v>
          </cell>
          <cell r="C18">
            <v>3160</v>
          </cell>
          <cell r="D18">
            <v>737</v>
          </cell>
          <cell r="E18">
            <v>2315</v>
          </cell>
          <cell r="F18">
            <v>108</v>
          </cell>
          <cell r="G18">
            <v>1896</v>
          </cell>
          <cell r="H18">
            <v>376</v>
          </cell>
          <cell r="I18">
            <v>1436</v>
          </cell>
          <cell r="J18">
            <v>84</v>
          </cell>
          <cell r="K18">
            <v>5056</v>
          </cell>
        </row>
        <row r="19">
          <cell r="A19" t="str">
            <v>027</v>
          </cell>
          <cell r="B19" t="str">
            <v>Buchanan</v>
          </cell>
          <cell r="C19">
            <v>4002</v>
          </cell>
          <cell r="D19">
            <v>3831</v>
          </cell>
          <cell r="E19">
            <v>18</v>
          </cell>
          <cell r="F19">
            <v>153</v>
          </cell>
          <cell r="G19">
            <v>2033</v>
          </cell>
          <cell r="H19">
            <v>1905</v>
          </cell>
          <cell r="I19">
            <v>9</v>
          </cell>
          <cell r="J19">
            <v>119</v>
          </cell>
          <cell r="K19">
            <v>6035</v>
          </cell>
        </row>
        <row r="20">
          <cell r="A20" t="str">
            <v>029</v>
          </cell>
          <cell r="B20" t="str">
            <v>Buckingham</v>
          </cell>
          <cell r="C20">
            <v>2910</v>
          </cell>
          <cell r="D20">
            <v>1327</v>
          </cell>
          <cell r="E20">
            <v>1358</v>
          </cell>
          <cell r="F20">
            <v>225</v>
          </cell>
          <cell r="G20">
            <v>1566</v>
          </cell>
          <cell r="H20">
            <v>787</v>
          </cell>
          <cell r="I20">
            <v>658</v>
          </cell>
          <cell r="J20">
            <v>121</v>
          </cell>
          <cell r="K20">
            <v>4476</v>
          </cell>
        </row>
        <row r="21">
          <cell r="A21" t="str">
            <v>031</v>
          </cell>
          <cell r="B21" t="str">
            <v>Campbell</v>
          </cell>
          <cell r="C21">
            <v>6627</v>
          </cell>
          <cell r="D21">
            <v>4457</v>
          </cell>
          <cell r="E21">
            <v>1617</v>
          </cell>
          <cell r="F21">
            <v>553</v>
          </cell>
          <cell r="G21">
            <v>4251</v>
          </cell>
          <cell r="H21">
            <v>2755</v>
          </cell>
          <cell r="I21">
            <v>1060</v>
          </cell>
          <cell r="J21">
            <v>436</v>
          </cell>
          <cell r="K21">
            <v>10878</v>
          </cell>
        </row>
        <row r="22">
          <cell r="A22" t="str">
            <v>033</v>
          </cell>
          <cell r="B22" t="str">
            <v>Caroline</v>
          </cell>
          <cell r="C22">
            <v>4064</v>
          </cell>
          <cell r="D22">
            <v>2037</v>
          </cell>
          <cell r="E22">
            <v>1653</v>
          </cell>
          <cell r="F22">
            <v>374</v>
          </cell>
          <cell r="G22">
            <v>2853</v>
          </cell>
          <cell r="H22">
            <v>1441</v>
          </cell>
          <cell r="I22">
            <v>1089</v>
          </cell>
          <cell r="J22">
            <v>323</v>
          </cell>
          <cell r="K22">
            <v>6917</v>
          </cell>
        </row>
        <row r="23">
          <cell r="A23" t="str">
            <v>035</v>
          </cell>
          <cell r="B23" t="str">
            <v>Carroll</v>
          </cell>
          <cell r="C23">
            <v>4866</v>
          </cell>
          <cell r="D23">
            <v>4326</v>
          </cell>
          <cell r="E23">
            <v>43</v>
          </cell>
          <cell r="F23">
            <v>497</v>
          </cell>
          <cell r="G23">
            <v>2686</v>
          </cell>
          <cell r="H23">
            <v>2362</v>
          </cell>
          <cell r="I23">
            <v>42</v>
          </cell>
          <cell r="J23">
            <v>282</v>
          </cell>
          <cell r="K23">
            <v>7552</v>
          </cell>
        </row>
        <row r="24">
          <cell r="A24" t="str">
            <v>036</v>
          </cell>
          <cell r="B24" t="str">
            <v>Charles City</v>
          </cell>
          <cell r="C24">
            <v>883</v>
          </cell>
          <cell r="D24">
            <v>223</v>
          </cell>
          <cell r="E24">
            <v>465</v>
          </cell>
          <cell r="F24">
            <v>195</v>
          </cell>
          <cell r="G24">
            <v>478</v>
          </cell>
          <cell r="H24">
            <v>147</v>
          </cell>
          <cell r="I24">
            <v>265</v>
          </cell>
          <cell r="J24">
            <v>66</v>
          </cell>
          <cell r="K24">
            <v>1361</v>
          </cell>
        </row>
        <row r="25">
          <cell r="A25" t="str">
            <v>037</v>
          </cell>
          <cell r="B25" t="str">
            <v>Charlotte</v>
          </cell>
          <cell r="C25">
            <v>2104</v>
          </cell>
          <cell r="D25">
            <v>986</v>
          </cell>
          <cell r="E25">
            <v>1031</v>
          </cell>
          <cell r="F25">
            <v>87</v>
          </cell>
          <cell r="G25">
            <v>1288</v>
          </cell>
          <cell r="H25">
            <v>556</v>
          </cell>
          <cell r="I25">
            <v>645</v>
          </cell>
          <cell r="J25">
            <v>87</v>
          </cell>
          <cell r="K25">
            <v>3392</v>
          </cell>
        </row>
        <row r="26">
          <cell r="A26" t="str">
            <v>041</v>
          </cell>
          <cell r="B26" t="str">
            <v>Chesterfield/Colonial Heights</v>
          </cell>
          <cell r="C26">
            <v>24892</v>
          </cell>
          <cell r="D26">
            <v>12095</v>
          </cell>
          <cell r="E26">
            <v>8742</v>
          </cell>
          <cell r="F26">
            <v>4055</v>
          </cell>
          <cell r="G26">
            <v>20904</v>
          </cell>
          <cell r="H26">
            <v>9459</v>
          </cell>
          <cell r="I26">
            <v>8109</v>
          </cell>
          <cell r="J26">
            <v>3336</v>
          </cell>
          <cell r="K26">
            <v>45796</v>
          </cell>
        </row>
        <row r="27">
          <cell r="A27" t="str">
            <v>043</v>
          </cell>
          <cell r="B27" t="str">
            <v>Clarke</v>
          </cell>
          <cell r="C27">
            <v>816</v>
          </cell>
          <cell r="D27">
            <v>593</v>
          </cell>
          <cell r="E27">
            <v>124</v>
          </cell>
          <cell r="F27">
            <v>99</v>
          </cell>
          <cell r="G27">
            <v>472</v>
          </cell>
          <cell r="H27">
            <v>346</v>
          </cell>
          <cell r="I27">
            <v>62</v>
          </cell>
          <cell r="J27">
            <v>64</v>
          </cell>
          <cell r="K27">
            <v>1288</v>
          </cell>
        </row>
        <row r="28">
          <cell r="A28" t="str">
            <v>045</v>
          </cell>
          <cell r="B28" t="str">
            <v>Craig</v>
          </cell>
          <cell r="C28">
            <v>504</v>
          </cell>
          <cell r="D28">
            <v>497</v>
          </cell>
          <cell r="E28">
            <v>3</v>
          </cell>
          <cell r="F28">
            <v>4</v>
          </cell>
          <cell r="G28">
            <v>325</v>
          </cell>
          <cell r="H28">
            <v>306</v>
          </cell>
          <cell r="I28">
            <v>2</v>
          </cell>
          <cell r="J28">
            <v>17</v>
          </cell>
          <cell r="K28">
            <v>829</v>
          </cell>
        </row>
        <row r="29">
          <cell r="A29" t="str">
            <v>047</v>
          </cell>
          <cell r="B29" t="str">
            <v>Culpeper</v>
          </cell>
          <cell r="C29">
            <v>4728</v>
          </cell>
          <cell r="D29">
            <v>2667</v>
          </cell>
          <cell r="E29">
            <v>1568</v>
          </cell>
          <cell r="F29">
            <v>493</v>
          </cell>
          <cell r="G29">
            <v>3568</v>
          </cell>
          <cell r="H29">
            <v>1765</v>
          </cell>
          <cell r="I29">
            <v>1046</v>
          </cell>
          <cell r="J29">
            <v>757</v>
          </cell>
          <cell r="K29">
            <v>8296</v>
          </cell>
        </row>
        <row r="30">
          <cell r="A30" t="str">
            <v>049</v>
          </cell>
          <cell r="B30" t="str">
            <v>Cumberland</v>
          </cell>
          <cell r="C30">
            <v>1843</v>
          </cell>
          <cell r="D30">
            <v>843</v>
          </cell>
          <cell r="E30">
            <v>894</v>
          </cell>
          <cell r="F30">
            <v>106</v>
          </cell>
          <cell r="G30">
            <v>1143</v>
          </cell>
          <cell r="H30">
            <v>519</v>
          </cell>
          <cell r="I30">
            <v>555</v>
          </cell>
          <cell r="J30">
            <v>69</v>
          </cell>
          <cell r="K30">
            <v>2986</v>
          </cell>
        </row>
        <row r="31">
          <cell r="A31" t="str">
            <v>051</v>
          </cell>
          <cell r="B31" t="str">
            <v>Dickenson</v>
          </cell>
          <cell r="C31">
            <v>2920</v>
          </cell>
          <cell r="D31">
            <v>2776</v>
          </cell>
          <cell r="E31">
            <v>20</v>
          </cell>
          <cell r="F31">
            <v>124</v>
          </cell>
          <cell r="G31">
            <v>1517</v>
          </cell>
          <cell r="H31">
            <v>1466</v>
          </cell>
          <cell r="I31">
            <v>10</v>
          </cell>
          <cell r="J31">
            <v>41</v>
          </cell>
          <cell r="K31">
            <v>4437</v>
          </cell>
        </row>
        <row r="32">
          <cell r="A32" t="str">
            <v>053</v>
          </cell>
          <cell r="B32" t="str">
            <v>Dinwiddie</v>
          </cell>
          <cell r="C32">
            <v>3851</v>
          </cell>
          <cell r="D32">
            <v>1846</v>
          </cell>
          <cell r="E32">
            <v>1515</v>
          </cell>
          <cell r="F32">
            <v>490</v>
          </cell>
          <cell r="G32">
            <v>2499</v>
          </cell>
          <cell r="H32">
            <v>1206</v>
          </cell>
          <cell r="I32">
            <v>961</v>
          </cell>
          <cell r="J32">
            <v>332</v>
          </cell>
          <cell r="K32">
            <v>6350</v>
          </cell>
        </row>
        <row r="33">
          <cell r="A33" t="str">
            <v>057</v>
          </cell>
          <cell r="B33" t="str">
            <v>Essex</v>
          </cell>
          <cell r="C33">
            <v>1852</v>
          </cell>
          <cell r="D33">
            <v>534</v>
          </cell>
          <cell r="E33">
            <v>1018</v>
          </cell>
          <cell r="F33">
            <v>300</v>
          </cell>
          <cell r="G33">
            <v>1355</v>
          </cell>
          <cell r="H33">
            <v>358</v>
          </cell>
          <cell r="I33">
            <v>760</v>
          </cell>
          <cell r="J33">
            <v>237</v>
          </cell>
          <cell r="K33">
            <v>3207</v>
          </cell>
        </row>
        <row r="34">
          <cell r="A34" t="str">
            <v>059</v>
          </cell>
          <cell r="B34" t="str">
            <v>Fairfax County/City/Falls Church</v>
          </cell>
          <cell r="C34">
            <v>40309</v>
          </cell>
          <cell r="D34">
            <v>17858</v>
          </cell>
          <cell r="E34">
            <v>8157</v>
          </cell>
          <cell r="F34">
            <v>14294</v>
          </cell>
          <cell r="G34">
            <v>29871</v>
          </cell>
          <cell r="H34">
            <v>14413</v>
          </cell>
          <cell r="I34">
            <v>6670</v>
          </cell>
          <cell r="J34">
            <v>8788</v>
          </cell>
          <cell r="K34">
            <v>70180</v>
          </cell>
        </row>
        <row r="35">
          <cell r="A35" t="str">
            <v>061</v>
          </cell>
          <cell r="B35" t="str">
            <v>Fauquier</v>
          </cell>
          <cell r="C35">
            <v>3775</v>
          </cell>
          <cell r="D35">
            <v>2133</v>
          </cell>
          <cell r="E35">
            <v>908</v>
          </cell>
          <cell r="F35">
            <v>734</v>
          </cell>
          <cell r="G35">
            <v>2726</v>
          </cell>
          <cell r="H35">
            <v>1552</v>
          </cell>
          <cell r="I35">
            <v>662</v>
          </cell>
          <cell r="J35">
            <v>512</v>
          </cell>
          <cell r="K35">
            <v>6501</v>
          </cell>
        </row>
        <row r="36">
          <cell r="A36" t="str">
            <v>063</v>
          </cell>
          <cell r="B36" t="str">
            <v>Floyd</v>
          </cell>
          <cell r="C36">
            <v>1800</v>
          </cell>
          <cell r="D36">
            <v>1498</v>
          </cell>
          <cell r="E36">
            <v>70</v>
          </cell>
          <cell r="F36">
            <v>232</v>
          </cell>
          <cell r="G36">
            <v>1137</v>
          </cell>
          <cell r="H36">
            <v>984</v>
          </cell>
          <cell r="I36">
            <v>39</v>
          </cell>
          <cell r="J36">
            <v>114</v>
          </cell>
          <cell r="K36">
            <v>2937</v>
          </cell>
        </row>
        <row r="37">
          <cell r="A37" t="str">
            <v>065</v>
          </cell>
          <cell r="B37" t="str">
            <v>Fluvanna</v>
          </cell>
          <cell r="C37">
            <v>1465</v>
          </cell>
          <cell r="D37">
            <v>888</v>
          </cell>
          <cell r="E37">
            <v>507</v>
          </cell>
          <cell r="F37">
            <v>70</v>
          </cell>
          <cell r="G37">
            <v>1082</v>
          </cell>
          <cell r="H37">
            <v>587</v>
          </cell>
          <cell r="I37">
            <v>415</v>
          </cell>
          <cell r="J37">
            <v>80</v>
          </cell>
          <cell r="K37">
            <v>2547</v>
          </cell>
        </row>
        <row r="38">
          <cell r="A38" t="str">
            <v>067</v>
          </cell>
          <cell r="B38" t="str">
            <v>Franklin County</v>
          </cell>
          <cell r="C38">
            <v>7028</v>
          </cell>
          <cell r="D38">
            <v>5022</v>
          </cell>
          <cell r="E38">
            <v>985</v>
          </cell>
          <cell r="F38">
            <v>1021</v>
          </cell>
          <cell r="G38">
            <v>4414</v>
          </cell>
          <cell r="H38">
            <v>3095</v>
          </cell>
          <cell r="I38">
            <v>600</v>
          </cell>
          <cell r="J38">
            <v>719</v>
          </cell>
          <cell r="K38">
            <v>11442</v>
          </cell>
        </row>
        <row r="39">
          <cell r="A39" t="str">
            <v>069</v>
          </cell>
          <cell r="B39" t="str">
            <v>Frederick</v>
          </cell>
          <cell r="C39">
            <v>6222</v>
          </cell>
          <cell r="D39">
            <v>5233</v>
          </cell>
          <cell r="E39">
            <v>468</v>
          </cell>
          <cell r="F39">
            <v>521</v>
          </cell>
          <cell r="G39">
            <v>4781</v>
          </cell>
          <cell r="H39">
            <v>3729</v>
          </cell>
          <cell r="I39">
            <v>453</v>
          </cell>
          <cell r="J39">
            <v>599</v>
          </cell>
          <cell r="K39">
            <v>11003</v>
          </cell>
        </row>
        <row r="40">
          <cell r="A40" t="str">
            <v>071</v>
          </cell>
          <cell r="B40" t="str">
            <v>Giles</v>
          </cell>
          <cell r="C40">
            <v>2307</v>
          </cell>
          <cell r="D40">
            <v>2189</v>
          </cell>
          <cell r="E40">
            <v>43</v>
          </cell>
          <cell r="F40">
            <v>75</v>
          </cell>
          <cell r="G40">
            <v>1338</v>
          </cell>
          <cell r="H40">
            <v>1240</v>
          </cell>
          <cell r="I40">
            <v>45</v>
          </cell>
          <cell r="J40">
            <v>53</v>
          </cell>
          <cell r="K40">
            <v>3645</v>
          </cell>
        </row>
        <row r="41">
          <cell r="A41" t="str">
            <v>073</v>
          </cell>
          <cell r="B41" t="str">
            <v>Gloucester</v>
          </cell>
          <cell r="C41">
            <v>3752</v>
          </cell>
          <cell r="D41">
            <v>2974</v>
          </cell>
          <cell r="E41">
            <v>610</v>
          </cell>
          <cell r="F41">
            <v>168</v>
          </cell>
          <cell r="G41">
            <v>2327</v>
          </cell>
          <cell r="H41">
            <v>1785</v>
          </cell>
          <cell r="I41">
            <v>367</v>
          </cell>
          <cell r="J41">
            <v>175</v>
          </cell>
          <cell r="K41">
            <v>6079</v>
          </cell>
        </row>
        <row r="42">
          <cell r="A42" t="str">
            <v>075</v>
          </cell>
          <cell r="B42" t="str">
            <v>Goochland</v>
          </cell>
          <cell r="C42">
            <v>1227</v>
          </cell>
          <cell r="D42">
            <v>543</v>
          </cell>
          <cell r="E42">
            <v>562</v>
          </cell>
          <cell r="F42">
            <v>122</v>
          </cell>
          <cell r="G42">
            <v>719</v>
          </cell>
          <cell r="H42">
            <v>319</v>
          </cell>
          <cell r="I42">
            <v>319</v>
          </cell>
          <cell r="J42">
            <v>81</v>
          </cell>
          <cell r="K42">
            <v>1946</v>
          </cell>
        </row>
        <row r="43">
          <cell r="A43" t="str">
            <v>077</v>
          </cell>
          <cell r="B43" t="str">
            <v>Grayson</v>
          </cell>
          <cell r="C43">
            <v>2572</v>
          </cell>
          <cell r="D43">
            <v>2334</v>
          </cell>
          <cell r="E43">
            <v>113</v>
          </cell>
          <cell r="F43">
            <v>125</v>
          </cell>
          <cell r="G43">
            <v>1381</v>
          </cell>
          <cell r="H43">
            <v>1231</v>
          </cell>
          <cell r="I43">
            <v>64</v>
          </cell>
          <cell r="J43">
            <v>86</v>
          </cell>
          <cell r="K43">
            <v>3953</v>
          </cell>
        </row>
        <row r="44">
          <cell r="A44" t="str">
            <v>079</v>
          </cell>
          <cell r="B44" t="str">
            <v>Greene</v>
          </cell>
          <cell r="C44">
            <v>1709</v>
          </cell>
          <cell r="D44">
            <v>1305</v>
          </cell>
          <cell r="E44">
            <v>287</v>
          </cell>
          <cell r="F44">
            <v>117</v>
          </cell>
          <cell r="G44">
            <v>1215</v>
          </cell>
          <cell r="H44">
            <v>819</v>
          </cell>
          <cell r="I44">
            <v>196</v>
          </cell>
          <cell r="J44">
            <v>200</v>
          </cell>
          <cell r="K44">
            <v>2924</v>
          </cell>
        </row>
        <row r="45">
          <cell r="A45" t="str">
            <v>081</v>
          </cell>
          <cell r="B45" t="str">
            <v>Greensville/Emporia</v>
          </cell>
          <cell r="C45">
            <v>3257</v>
          </cell>
          <cell r="D45">
            <v>502</v>
          </cell>
          <cell r="E45">
            <v>2674</v>
          </cell>
          <cell r="F45">
            <v>81</v>
          </cell>
          <cell r="G45">
            <v>2300</v>
          </cell>
          <cell r="H45">
            <v>280</v>
          </cell>
          <cell r="I45">
            <v>1919</v>
          </cell>
          <cell r="J45">
            <v>101</v>
          </cell>
          <cell r="K45">
            <v>5557</v>
          </cell>
        </row>
        <row r="46">
          <cell r="A46" t="str">
            <v>083</v>
          </cell>
          <cell r="B46" t="str">
            <v>Halifax</v>
          </cell>
          <cell r="C46">
            <v>5764</v>
          </cell>
          <cell r="D46">
            <v>1961</v>
          </cell>
          <cell r="E46">
            <v>3087</v>
          </cell>
          <cell r="F46">
            <v>716</v>
          </cell>
          <cell r="G46">
            <v>3560</v>
          </cell>
          <cell r="H46">
            <v>1157</v>
          </cell>
          <cell r="I46">
            <v>2063</v>
          </cell>
          <cell r="J46">
            <v>340</v>
          </cell>
          <cell r="K46">
            <v>9324</v>
          </cell>
        </row>
        <row r="47">
          <cell r="A47" t="str">
            <v>085</v>
          </cell>
          <cell r="B47" t="str">
            <v>Hanover</v>
          </cell>
          <cell r="C47">
            <v>4867</v>
          </cell>
          <cell r="D47">
            <v>3052</v>
          </cell>
          <cell r="E47">
            <v>1245</v>
          </cell>
          <cell r="F47">
            <v>570</v>
          </cell>
          <cell r="G47">
            <v>3487</v>
          </cell>
          <cell r="H47">
            <v>1971</v>
          </cell>
          <cell r="I47">
            <v>1030</v>
          </cell>
          <cell r="J47">
            <v>486</v>
          </cell>
          <cell r="K47">
            <v>8354</v>
          </cell>
        </row>
        <row r="48">
          <cell r="A48" t="str">
            <v>087</v>
          </cell>
          <cell r="B48" t="str">
            <v>Henrico</v>
          </cell>
          <cell r="C48">
            <v>26050</v>
          </cell>
          <cell r="D48">
            <v>6621</v>
          </cell>
          <cell r="E48">
            <v>13136</v>
          </cell>
          <cell r="F48">
            <v>6293</v>
          </cell>
          <cell r="G48">
            <v>20367</v>
          </cell>
          <cell r="H48">
            <v>4001</v>
          </cell>
          <cell r="I48">
            <v>11586</v>
          </cell>
          <cell r="J48">
            <v>4780</v>
          </cell>
          <cell r="K48">
            <v>46417</v>
          </cell>
        </row>
        <row r="49">
          <cell r="A49" t="str">
            <v>089</v>
          </cell>
          <cell r="B49" t="str">
            <v>Henry/Martinsville</v>
          </cell>
          <cell r="C49">
            <v>14011</v>
          </cell>
          <cell r="D49">
            <v>7090</v>
          </cell>
          <cell r="E49">
            <v>5115</v>
          </cell>
          <cell r="F49">
            <v>1806</v>
          </cell>
          <cell r="G49">
            <v>8296</v>
          </cell>
          <cell r="H49">
            <v>3742</v>
          </cell>
          <cell r="I49">
            <v>3047</v>
          </cell>
          <cell r="J49">
            <v>1507</v>
          </cell>
          <cell r="K49">
            <v>22307</v>
          </cell>
        </row>
        <row r="50">
          <cell r="A50" t="str">
            <v>091</v>
          </cell>
          <cell r="B50" t="str">
            <v>Highland</v>
          </cell>
          <cell r="C50">
            <v>167</v>
          </cell>
          <cell r="D50">
            <v>148</v>
          </cell>
          <cell r="E50">
            <v>1</v>
          </cell>
          <cell r="F50">
            <v>18</v>
          </cell>
          <cell r="G50">
            <v>81</v>
          </cell>
          <cell r="H50">
            <v>69</v>
          </cell>
          <cell r="I50">
            <v>0</v>
          </cell>
          <cell r="J50">
            <v>12</v>
          </cell>
          <cell r="K50">
            <v>248</v>
          </cell>
        </row>
        <row r="51">
          <cell r="A51" t="str">
            <v>093</v>
          </cell>
          <cell r="B51" t="str">
            <v>Isle of Wight</v>
          </cell>
          <cell r="C51">
            <v>3421</v>
          </cell>
          <cell r="D51">
            <v>1394</v>
          </cell>
          <cell r="E51">
            <v>1738</v>
          </cell>
          <cell r="F51">
            <v>289</v>
          </cell>
          <cell r="G51">
            <v>2265</v>
          </cell>
          <cell r="H51">
            <v>888</v>
          </cell>
          <cell r="I51">
            <v>1143</v>
          </cell>
          <cell r="J51">
            <v>234</v>
          </cell>
          <cell r="K51">
            <v>5686</v>
          </cell>
        </row>
        <row r="52">
          <cell r="A52" t="str">
            <v>095</v>
          </cell>
          <cell r="B52" t="str">
            <v>James City</v>
          </cell>
          <cell r="C52">
            <v>3713</v>
          </cell>
          <cell r="D52">
            <v>1749</v>
          </cell>
          <cell r="E52">
            <v>1521</v>
          </cell>
          <cell r="F52">
            <v>443</v>
          </cell>
          <cell r="G52">
            <v>2902</v>
          </cell>
          <cell r="H52">
            <v>1195</v>
          </cell>
          <cell r="I52">
            <v>1309</v>
          </cell>
          <cell r="J52">
            <v>398</v>
          </cell>
          <cell r="K52">
            <v>6615</v>
          </cell>
        </row>
        <row r="53">
          <cell r="A53" t="str">
            <v>097</v>
          </cell>
          <cell r="B53" t="str">
            <v>King and Queen</v>
          </cell>
          <cell r="C53">
            <v>950</v>
          </cell>
          <cell r="D53">
            <v>430</v>
          </cell>
          <cell r="E53">
            <v>418</v>
          </cell>
          <cell r="F53">
            <v>102</v>
          </cell>
          <cell r="G53">
            <v>667</v>
          </cell>
          <cell r="H53">
            <v>306</v>
          </cell>
          <cell r="I53">
            <v>257</v>
          </cell>
          <cell r="J53">
            <v>104</v>
          </cell>
          <cell r="K53">
            <v>1617</v>
          </cell>
        </row>
        <row r="54">
          <cell r="A54" t="str">
            <v>099</v>
          </cell>
          <cell r="B54" t="str">
            <v>King George</v>
          </cell>
          <cell r="C54">
            <v>2136</v>
          </cell>
          <cell r="D54">
            <v>1191</v>
          </cell>
          <cell r="E54">
            <v>781</v>
          </cell>
          <cell r="F54">
            <v>164</v>
          </cell>
          <cell r="G54">
            <v>1686</v>
          </cell>
          <cell r="H54">
            <v>855</v>
          </cell>
          <cell r="I54">
            <v>630</v>
          </cell>
          <cell r="J54">
            <v>201</v>
          </cell>
          <cell r="K54">
            <v>3822</v>
          </cell>
        </row>
        <row r="55">
          <cell r="A55" t="str">
            <v>101</v>
          </cell>
          <cell r="B55" t="str">
            <v>King William</v>
          </cell>
          <cell r="C55">
            <v>1470</v>
          </cell>
          <cell r="D55">
            <v>707</v>
          </cell>
          <cell r="E55">
            <v>590</v>
          </cell>
          <cell r="F55">
            <v>173</v>
          </cell>
          <cell r="G55">
            <v>1133</v>
          </cell>
          <cell r="H55">
            <v>624</v>
          </cell>
          <cell r="I55">
            <v>411</v>
          </cell>
          <cell r="J55">
            <v>98</v>
          </cell>
          <cell r="K55">
            <v>2603</v>
          </cell>
        </row>
        <row r="56">
          <cell r="A56" t="str">
            <v>103</v>
          </cell>
          <cell r="B56" t="str">
            <v>Lancaster</v>
          </cell>
          <cell r="C56">
            <v>1390</v>
          </cell>
          <cell r="D56">
            <v>458</v>
          </cell>
          <cell r="E56">
            <v>913</v>
          </cell>
          <cell r="F56">
            <v>19</v>
          </cell>
          <cell r="G56">
            <v>916</v>
          </cell>
          <cell r="H56">
            <v>210</v>
          </cell>
          <cell r="I56">
            <v>660</v>
          </cell>
          <cell r="J56">
            <v>46</v>
          </cell>
          <cell r="K56">
            <v>2306</v>
          </cell>
        </row>
        <row r="57">
          <cell r="A57" t="str">
            <v>105</v>
          </cell>
          <cell r="B57" t="str">
            <v>Lee</v>
          </cell>
          <cell r="C57">
            <v>5304</v>
          </cell>
          <cell r="D57">
            <v>5066</v>
          </cell>
          <cell r="E57">
            <v>30</v>
          </cell>
          <cell r="F57">
            <v>208</v>
          </cell>
          <cell r="G57">
            <v>2539</v>
          </cell>
          <cell r="H57">
            <v>2416</v>
          </cell>
          <cell r="I57">
            <v>30</v>
          </cell>
          <cell r="J57">
            <v>93</v>
          </cell>
          <cell r="K57">
            <v>7843</v>
          </cell>
        </row>
        <row r="58">
          <cell r="A58" t="str">
            <v>107</v>
          </cell>
          <cell r="B58" t="str">
            <v>Loudoun</v>
          </cell>
          <cell r="C58">
            <v>7728</v>
          </cell>
          <cell r="D58">
            <v>3545</v>
          </cell>
          <cell r="E58">
            <v>1602</v>
          </cell>
          <cell r="F58">
            <v>2581</v>
          </cell>
          <cell r="G58">
            <v>6319</v>
          </cell>
          <cell r="H58">
            <v>2617</v>
          </cell>
          <cell r="I58">
            <v>1397</v>
          </cell>
          <cell r="J58">
            <v>2305</v>
          </cell>
          <cell r="K58">
            <v>14047</v>
          </cell>
        </row>
        <row r="59">
          <cell r="A59" t="str">
            <v>109</v>
          </cell>
          <cell r="B59" t="str">
            <v>Louisa</v>
          </cell>
          <cell r="C59">
            <v>3740</v>
          </cell>
          <cell r="D59">
            <v>2162</v>
          </cell>
          <cell r="E59">
            <v>1131</v>
          </cell>
          <cell r="F59">
            <v>447</v>
          </cell>
          <cell r="G59">
            <v>2390</v>
          </cell>
          <cell r="H59">
            <v>1388</v>
          </cell>
          <cell r="I59">
            <v>674</v>
          </cell>
          <cell r="J59">
            <v>328</v>
          </cell>
          <cell r="K59">
            <v>6130</v>
          </cell>
        </row>
        <row r="60">
          <cell r="A60" t="str">
            <v>111</v>
          </cell>
          <cell r="B60" t="str">
            <v>Lunenburg</v>
          </cell>
          <cell r="C60">
            <v>2165</v>
          </cell>
          <cell r="D60">
            <v>983</v>
          </cell>
          <cell r="E60">
            <v>1006</v>
          </cell>
          <cell r="F60">
            <v>176</v>
          </cell>
          <cell r="G60">
            <v>1295</v>
          </cell>
          <cell r="H60">
            <v>522</v>
          </cell>
          <cell r="I60">
            <v>608</v>
          </cell>
          <cell r="J60">
            <v>165</v>
          </cell>
          <cell r="K60">
            <v>3460</v>
          </cell>
        </row>
        <row r="61">
          <cell r="A61" t="str">
            <v>113</v>
          </cell>
          <cell r="B61" t="str">
            <v>Madison</v>
          </cell>
          <cell r="C61">
            <v>1294</v>
          </cell>
          <cell r="D61">
            <v>981</v>
          </cell>
          <cell r="E61">
            <v>255</v>
          </cell>
          <cell r="F61">
            <v>58</v>
          </cell>
          <cell r="G61">
            <v>909</v>
          </cell>
          <cell r="H61">
            <v>680</v>
          </cell>
          <cell r="I61">
            <v>168</v>
          </cell>
          <cell r="J61">
            <v>61</v>
          </cell>
          <cell r="K61">
            <v>2203</v>
          </cell>
        </row>
        <row r="62">
          <cell r="A62" t="str">
            <v>115</v>
          </cell>
          <cell r="B62" t="str">
            <v>Mathews</v>
          </cell>
          <cell r="C62">
            <v>922</v>
          </cell>
          <cell r="D62">
            <v>665</v>
          </cell>
          <cell r="E62">
            <v>180</v>
          </cell>
          <cell r="F62">
            <v>77</v>
          </cell>
          <cell r="G62">
            <v>491</v>
          </cell>
          <cell r="H62">
            <v>397</v>
          </cell>
          <cell r="I62">
            <v>77</v>
          </cell>
          <cell r="J62">
            <v>17</v>
          </cell>
          <cell r="K62">
            <v>1413</v>
          </cell>
        </row>
        <row r="63">
          <cell r="A63" t="str">
            <v>117</v>
          </cell>
          <cell r="B63" t="str">
            <v>Mecklenburg</v>
          </cell>
          <cell r="C63">
            <v>4336</v>
          </cell>
          <cell r="D63">
            <v>1573</v>
          </cell>
          <cell r="E63">
            <v>2655</v>
          </cell>
          <cell r="F63">
            <v>108</v>
          </cell>
          <cell r="G63">
            <v>2891</v>
          </cell>
          <cell r="H63">
            <v>978</v>
          </cell>
          <cell r="I63">
            <v>1783</v>
          </cell>
          <cell r="J63">
            <v>130</v>
          </cell>
          <cell r="K63">
            <v>7227</v>
          </cell>
        </row>
        <row r="64">
          <cell r="A64" t="str">
            <v>119</v>
          </cell>
          <cell r="B64" t="str">
            <v>Middlesex</v>
          </cell>
          <cell r="C64">
            <v>1306</v>
          </cell>
          <cell r="D64">
            <v>751</v>
          </cell>
          <cell r="E64">
            <v>447</v>
          </cell>
          <cell r="F64">
            <v>108</v>
          </cell>
          <cell r="G64">
            <v>735</v>
          </cell>
          <cell r="H64">
            <v>462</v>
          </cell>
          <cell r="I64">
            <v>209</v>
          </cell>
          <cell r="J64">
            <v>64</v>
          </cell>
          <cell r="K64">
            <v>2041</v>
          </cell>
        </row>
        <row r="65">
          <cell r="A65" t="str">
            <v>121</v>
          </cell>
          <cell r="B65" t="str">
            <v>Montgomery</v>
          </cell>
          <cell r="C65">
            <v>6734</v>
          </cell>
          <cell r="D65">
            <v>5287</v>
          </cell>
          <cell r="E65">
            <v>531</v>
          </cell>
          <cell r="F65">
            <v>916</v>
          </cell>
          <cell r="G65">
            <v>4259</v>
          </cell>
          <cell r="H65">
            <v>3208</v>
          </cell>
          <cell r="I65">
            <v>427</v>
          </cell>
          <cell r="J65">
            <v>624</v>
          </cell>
          <cell r="K65">
            <v>10993</v>
          </cell>
        </row>
        <row r="66">
          <cell r="A66" t="str">
            <v>125</v>
          </cell>
          <cell r="B66" t="str">
            <v>Nelson</v>
          </cell>
          <cell r="C66">
            <v>1922</v>
          </cell>
          <cell r="D66">
            <v>1249</v>
          </cell>
          <cell r="E66">
            <v>406</v>
          </cell>
          <cell r="F66">
            <v>267</v>
          </cell>
          <cell r="G66">
            <v>1159</v>
          </cell>
          <cell r="H66">
            <v>766</v>
          </cell>
          <cell r="I66">
            <v>226</v>
          </cell>
          <cell r="J66">
            <v>167</v>
          </cell>
          <cell r="K66">
            <v>3081</v>
          </cell>
        </row>
        <row r="67">
          <cell r="A67" t="str">
            <v>127</v>
          </cell>
          <cell r="B67" t="str">
            <v>New Kent</v>
          </cell>
          <cell r="C67">
            <v>1003</v>
          </cell>
          <cell r="D67">
            <v>708</v>
          </cell>
          <cell r="E67">
            <v>221</v>
          </cell>
          <cell r="F67">
            <v>74</v>
          </cell>
          <cell r="G67">
            <v>719</v>
          </cell>
          <cell r="H67">
            <v>512</v>
          </cell>
          <cell r="I67">
            <v>154</v>
          </cell>
          <cell r="J67">
            <v>53</v>
          </cell>
          <cell r="K67">
            <v>1722</v>
          </cell>
        </row>
        <row r="68">
          <cell r="A68" t="str">
            <v>131</v>
          </cell>
          <cell r="B68" t="str">
            <v>Northampton</v>
          </cell>
          <cell r="C68">
            <v>2488</v>
          </cell>
          <cell r="D68">
            <v>753</v>
          </cell>
          <cell r="E68">
            <v>1542</v>
          </cell>
          <cell r="F68">
            <v>193</v>
          </cell>
          <cell r="G68">
            <v>1540</v>
          </cell>
          <cell r="H68">
            <v>574</v>
          </cell>
          <cell r="I68">
            <v>857</v>
          </cell>
          <cell r="J68">
            <v>109</v>
          </cell>
          <cell r="K68">
            <v>4028</v>
          </cell>
        </row>
        <row r="69">
          <cell r="A69" t="str">
            <v>133</v>
          </cell>
          <cell r="B69" t="str">
            <v>Northumberland</v>
          </cell>
          <cell r="C69">
            <v>1348</v>
          </cell>
          <cell r="D69">
            <v>534</v>
          </cell>
          <cell r="E69">
            <v>751</v>
          </cell>
          <cell r="F69">
            <v>63</v>
          </cell>
          <cell r="G69">
            <v>895</v>
          </cell>
          <cell r="H69">
            <v>295</v>
          </cell>
          <cell r="I69">
            <v>522</v>
          </cell>
          <cell r="J69">
            <v>78</v>
          </cell>
          <cell r="K69">
            <v>2243</v>
          </cell>
        </row>
        <row r="70">
          <cell r="A70" t="str">
            <v>135</v>
          </cell>
          <cell r="B70" t="str">
            <v>Nottoway</v>
          </cell>
          <cell r="C70">
            <v>2844</v>
          </cell>
          <cell r="D70">
            <v>1091</v>
          </cell>
          <cell r="E70">
            <v>1502</v>
          </cell>
          <cell r="F70">
            <v>251</v>
          </cell>
          <cell r="G70">
            <v>1852</v>
          </cell>
          <cell r="H70">
            <v>723</v>
          </cell>
          <cell r="I70">
            <v>942</v>
          </cell>
          <cell r="J70">
            <v>187</v>
          </cell>
          <cell r="K70">
            <v>4696</v>
          </cell>
        </row>
        <row r="71">
          <cell r="A71" t="str">
            <v>137</v>
          </cell>
          <cell r="B71" t="str">
            <v>Orange</v>
          </cell>
          <cell r="C71">
            <v>2887</v>
          </cell>
          <cell r="D71">
            <v>1809</v>
          </cell>
          <cell r="E71">
            <v>713</v>
          </cell>
          <cell r="F71">
            <v>365</v>
          </cell>
          <cell r="G71">
            <v>2096</v>
          </cell>
          <cell r="H71">
            <v>1263</v>
          </cell>
          <cell r="I71">
            <v>558</v>
          </cell>
          <cell r="J71">
            <v>275</v>
          </cell>
          <cell r="K71">
            <v>4983</v>
          </cell>
        </row>
        <row r="72">
          <cell r="A72" t="str">
            <v>139</v>
          </cell>
          <cell r="B72" t="str">
            <v>Page</v>
          </cell>
          <cell r="C72">
            <v>3351</v>
          </cell>
          <cell r="D72">
            <v>3002</v>
          </cell>
          <cell r="E72">
            <v>88</v>
          </cell>
          <cell r="F72">
            <v>261</v>
          </cell>
          <cell r="G72">
            <v>1985</v>
          </cell>
          <cell r="H72">
            <v>1809</v>
          </cell>
          <cell r="I72">
            <v>66</v>
          </cell>
          <cell r="J72">
            <v>110</v>
          </cell>
          <cell r="K72">
            <v>5336</v>
          </cell>
        </row>
        <row r="73">
          <cell r="A73" t="str">
            <v>141</v>
          </cell>
          <cell r="B73" t="str">
            <v>Patrick</v>
          </cell>
          <cell r="C73">
            <v>3218</v>
          </cell>
          <cell r="D73">
            <v>2682</v>
          </cell>
          <cell r="E73">
            <v>325</v>
          </cell>
          <cell r="F73">
            <v>211</v>
          </cell>
          <cell r="G73">
            <v>1781</v>
          </cell>
          <cell r="H73">
            <v>1464</v>
          </cell>
          <cell r="I73">
            <v>193</v>
          </cell>
          <cell r="J73">
            <v>124</v>
          </cell>
          <cell r="K73">
            <v>4999</v>
          </cell>
        </row>
        <row r="74">
          <cell r="A74" t="str">
            <v>143</v>
          </cell>
          <cell r="B74" t="str">
            <v>Pittsylvania</v>
          </cell>
          <cell r="C74">
            <v>8668</v>
          </cell>
          <cell r="D74">
            <v>4511</v>
          </cell>
          <cell r="E74">
            <v>2935</v>
          </cell>
          <cell r="F74">
            <v>1222</v>
          </cell>
          <cell r="G74">
            <v>5331</v>
          </cell>
          <cell r="H74">
            <v>2954</v>
          </cell>
          <cell r="I74">
            <v>1700</v>
          </cell>
          <cell r="J74">
            <v>677</v>
          </cell>
          <cell r="K74">
            <v>13999</v>
          </cell>
        </row>
        <row r="75">
          <cell r="A75" t="str">
            <v>145</v>
          </cell>
          <cell r="B75" t="str">
            <v>Powhatan</v>
          </cell>
          <cell r="C75">
            <v>1231</v>
          </cell>
          <cell r="D75">
            <v>731</v>
          </cell>
          <cell r="E75">
            <v>257</v>
          </cell>
          <cell r="F75">
            <v>243</v>
          </cell>
          <cell r="G75">
            <v>830</v>
          </cell>
          <cell r="H75">
            <v>549</v>
          </cell>
          <cell r="I75">
            <v>155</v>
          </cell>
          <cell r="J75">
            <v>126</v>
          </cell>
          <cell r="K75">
            <v>2061</v>
          </cell>
        </row>
        <row r="76">
          <cell r="A76" t="str">
            <v>147</v>
          </cell>
          <cell r="B76" t="str">
            <v>Prince Edward</v>
          </cell>
          <cell r="C76">
            <v>3093</v>
          </cell>
          <cell r="D76">
            <v>1076</v>
          </cell>
          <cell r="E76">
            <v>1891</v>
          </cell>
          <cell r="F76">
            <v>126</v>
          </cell>
          <cell r="G76">
            <v>1941</v>
          </cell>
          <cell r="H76">
            <v>602</v>
          </cell>
          <cell r="I76">
            <v>1173</v>
          </cell>
          <cell r="J76">
            <v>166</v>
          </cell>
          <cell r="K76">
            <v>5034</v>
          </cell>
        </row>
        <row r="77">
          <cell r="A77" t="str">
            <v>149</v>
          </cell>
          <cell r="B77" t="str">
            <v>Prince George</v>
          </cell>
          <cell r="C77">
            <v>2268</v>
          </cell>
          <cell r="D77">
            <v>1259</v>
          </cell>
          <cell r="E77">
            <v>890</v>
          </cell>
          <cell r="F77">
            <v>119</v>
          </cell>
          <cell r="G77">
            <v>1755</v>
          </cell>
          <cell r="H77">
            <v>826</v>
          </cell>
          <cell r="I77">
            <v>757</v>
          </cell>
          <cell r="J77">
            <v>172</v>
          </cell>
          <cell r="K77">
            <v>4023</v>
          </cell>
        </row>
        <row r="78">
          <cell r="A78" t="str">
            <v>153</v>
          </cell>
          <cell r="B78" t="str">
            <v>Prince William</v>
          </cell>
          <cell r="C78">
            <v>21993</v>
          </cell>
          <cell r="D78">
            <v>9832</v>
          </cell>
          <cell r="E78">
            <v>7074</v>
          </cell>
          <cell r="F78">
            <v>5087</v>
          </cell>
          <cell r="G78">
            <v>20483</v>
          </cell>
          <cell r="H78">
            <v>9153</v>
          </cell>
          <cell r="I78">
            <v>6755</v>
          </cell>
          <cell r="J78">
            <v>4575</v>
          </cell>
          <cell r="K78">
            <v>42476</v>
          </cell>
        </row>
        <row r="79">
          <cell r="A79" t="str">
            <v>155</v>
          </cell>
          <cell r="B79" t="str">
            <v>Pulaski</v>
          </cell>
          <cell r="C79">
            <v>5473</v>
          </cell>
          <cell r="D79">
            <v>4845</v>
          </cell>
          <cell r="E79">
            <v>486</v>
          </cell>
          <cell r="F79">
            <v>142</v>
          </cell>
          <cell r="G79">
            <v>3026</v>
          </cell>
          <cell r="H79">
            <v>2459</v>
          </cell>
          <cell r="I79">
            <v>305</v>
          </cell>
          <cell r="J79">
            <v>262</v>
          </cell>
          <cell r="K79">
            <v>8499</v>
          </cell>
        </row>
        <row r="80">
          <cell r="A80" t="str">
            <v>157</v>
          </cell>
          <cell r="B80" t="str">
            <v>Rappahannock</v>
          </cell>
          <cell r="C80">
            <v>481</v>
          </cell>
          <cell r="D80">
            <v>409</v>
          </cell>
          <cell r="E80">
            <v>42</v>
          </cell>
          <cell r="F80">
            <v>30</v>
          </cell>
          <cell r="G80">
            <v>312</v>
          </cell>
          <cell r="H80">
            <v>258</v>
          </cell>
          <cell r="I80">
            <v>31</v>
          </cell>
          <cell r="J80">
            <v>23</v>
          </cell>
          <cell r="K80">
            <v>793</v>
          </cell>
        </row>
        <row r="81">
          <cell r="A81" t="str">
            <v>159</v>
          </cell>
          <cell r="B81" t="str">
            <v>Richmond County</v>
          </cell>
          <cell r="C81">
            <v>1257</v>
          </cell>
          <cell r="D81">
            <v>536</v>
          </cell>
          <cell r="E81">
            <v>544</v>
          </cell>
          <cell r="F81">
            <v>177</v>
          </cell>
          <cell r="G81">
            <v>787</v>
          </cell>
          <cell r="H81">
            <v>312</v>
          </cell>
          <cell r="I81">
            <v>355</v>
          </cell>
          <cell r="J81">
            <v>120</v>
          </cell>
          <cell r="K81">
            <v>2044</v>
          </cell>
        </row>
        <row r="82">
          <cell r="A82" t="str">
            <v>161</v>
          </cell>
          <cell r="B82" t="str">
            <v>Roanoke County/Salem</v>
          </cell>
          <cell r="C82">
            <v>7060</v>
          </cell>
          <cell r="D82">
            <v>4820</v>
          </cell>
          <cell r="E82">
            <v>1013</v>
          </cell>
          <cell r="F82">
            <v>1227</v>
          </cell>
          <cell r="G82">
            <v>5188</v>
          </cell>
          <cell r="H82">
            <v>3274</v>
          </cell>
          <cell r="I82">
            <v>1036</v>
          </cell>
          <cell r="J82">
            <v>878</v>
          </cell>
          <cell r="K82">
            <v>12248</v>
          </cell>
        </row>
        <row r="83">
          <cell r="A83" t="str">
            <v>163</v>
          </cell>
          <cell r="B83" t="str">
            <v>Rockbridge/Buena Vista/Lexington</v>
          </cell>
          <cell r="C83">
            <v>3532</v>
          </cell>
          <cell r="D83">
            <v>2991</v>
          </cell>
          <cell r="E83">
            <v>298</v>
          </cell>
          <cell r="F83">
            <v>243</v>
          </cell>
          <cell r="G83">
            <v>2166</v>
          </cell>
          <cell r="H83">
            <v>1694</v>
          </cell>
          <cell r="I83">
            <v>214</v>
          </cell>
          <cell r="J83">
            <v>258</v>
          </cell>
          <cell r="K83">
            <v>5698</v>
          </cell>
        </row>
        <row r="84">
          <cell r="A84" t="str">
            <v>165</v>
          </cell>
          <cell r="B84" t="str">
            <v>Rockingham/Harrisonburg</v>
          </cell>
          <cell r="C84">
            <v>10477</v>
          </cell>
          <cell r="D84">
            <v>7532</v>
          </cell>
          <cell r="E84">
            <v>870</v>
          </cell>
          <cell r="F84">
            <v>2075</v>
          </cell>
          <cell r="G84">
            <v>7755</v>
          </cell>
          <cell r="H84">
            <v>5128</v>
          </cell>
          <cell r="I84">
            <v>665</v>
          </cell>
          <cell r="J84">
            <v>1962</v>
          </cell>
          <cell r="K84">
            <v>18232</v>
          </cell>
        </row>
        <row r="85">
          <cell r="A85" t="str">
            <v>167</v>
          </cell>
          <cell r="B85" t="str">
            <v>Russell</v>
          </cell>
          <cell r="C85">
            <v>5141</v>
          </cell>
          <cell r="D85">
            <v>4589</v>
          </cell>
          <cell r="E85">
            <v>30</v>
          </cell>
          <cell r="F85">
            <v>522</v>
          </cell>
          <cell r="G85">
            <v>2755</v>
          </cell>
          <cell r="H85">
            <v>2412</v>
          </cell>
          <cell r="I85">
            <v>28</v>
          </cell>
          <cell r="J85">
            <v>315</v>
          </cell>
          <cell r="K85">
            <v>7896</v>
          </cell>
        </row>
        <row r="86">
          <cell r="A86" t="str">
            <v>169</v>
          </cell>
          <cell r="B86" t="str">
            <v>Scott</v>
          </cell>
          <cell r="C86">
            <v>3443</v>
          </cell>
          <cell r="D86">
            <v>3181</v>
          </cell>
          <cell r="E86">
            <v>36</v>
          </cell>
          <cell r="F86">
            <v>226</v>
          </cell>
          <cell r="G86">
            <v>1869</v>
          </cell>
          <cell r="H86">
            <v>1709</v>
          </cell>
          <cell r="I86">
            <v>27</v>
          </cell>
          <cell r="J86">
            <v>133</v>
          </cell>
          <cell r="K86">
            <v>5312</v>
          </cell>
        </row>
        <row r="87">
          <cell r="A87" t="str">
            <v>171</v>
          </cell>
          <cell r="B87" t="str">
            <v>Shenandoah</v>
          </cell>
          <cell r="C87">
            <v>4416</v>
          </cell>
          <cell r="D87">
            <v>3543</v>
          </cell>
          <cell r="E87">
            <v>138</v>
          </cell>
          <cell r="F87">
            <v>735</v>
          </cell>
          <cell r="G87">
            <v>3120</v>
          </cell>
          <cell r="H87">
            <v>2506</v>
          </cell>
          <cell r="I87">
            <v>91</v>
          </cell>
          <cell r="J87">
            <v>523</v>
          </cell>
          <cell r="K87">
            <v>7536</v>
          </cell>
        </row>
        <row r="88">
          <cell r="A88" t="str">
            <v>173</v>
          </cell>
          <cell r="B88" t="str">
            <v>Smyth</v>
          </cell>
          <cell r="C88">
            <v>5752</v>
          </cell>
          <cell r="D88">
            <v>5199</v>
          </cell>
          <cell r="E88">
            <v>123</v>
          </cell>
          <cell r="F88">
            <v>430</v>
          </cell>
          <cell r="G88">
            <v>3180</v>
          </cell>
          <cell r="H88">
            <v>2730</v>
          </cell>
          <cell r="I88">
            <v>101</v>
          </cell>
          <cell r="J88">
            <v>349</v>
          </cell>
          <cell r="K88">
            <v>8932</v>
          </cell>
        </row>
        <row r="89">
          <cell r="A89" t="str">
            <v>175</v>
          </cell>
          <cell r="B89" t="str">
            <v>Southampton</v>
          </cell>
          <cell r="C89">
            <v>2449</v>
          </cell>
          <cell r="D89">
            <v>654</v>
          </cell>
          <cell r="E89">
            <v>1485</v>
          </cell>
          <cell r="F89">
            <v>310</v>
          </cell>
          <cell r="G89">
            <v>1523</v>
          </cell>
          <cell r="H89">
            <v>454</v>
          </cell>
          <cell r="I89">
            <v>936</v>
          </cell>
          <cell r="J89">
            <v>133</v>
          </cell>
          <cell r="K89">
            <v>3972</v>
          </cell>
        </row>
        <row r="90">
          <cell r="A90" t="str">
            <v>177</v>
          </cell>
          <cell r="B90" t="str">
            <v>Spotsylvania</v>
          </cell>
          <cell r="C90">
            <v>9472</v>
          </cell>
          <cell r="D90">
            <v>5799</v>
          </cell>
          <cell r="E90">
            <v>2551</v>
          </cell>
          <cell r="F90">
            <v>1122</v>
          </cell>
          <cell r="G90">
            <v>7930</v>
          </cell>
          <cell r="H90">
            <v>4242</v>
          </cell>
          <cell r="I90">
            <v>2470</v>
          </cell>
          <cell r="J90">
            <v>1218</v>
          </cell>
          <cell r="K90">
            <v>17402</v>
          </cell>
        </row>
        <row r="91">
          <cell r="A91" t="str">
            <v>179</v>
          </cell>
          <cell r="B91" t="str">
            <v>Stafford</v>
          </cell>
          <cell r="C91">
            <v>7196</v>
          </cell>
          <cell r="D91">
            <v>3113</v>
          </cell>
          <cell r="E91">
            <v>1872</v>
          </cell>
          <cell r="F91">
            <v>2211</v>
          </cell>
          <cell r="G91">
            <v>6727</v>
          </cell>
          <cell r="H91">
            <v>2630</v>
          </cell>
          <cell r="I91">
            <v>2052</v>
          </cell>
          <cell r="J91">
            <v>2045</v>
          </cell>
          <cell r="K91">
            <v>13923</v>
          </cell>
        </row>
        <row r="92">
          <cell r="A92" t="str">
            <v>181</v>
          </cell>
          <cell r="B92" t="str">
            <v>Surry</v>
          </cell>
          <cell r="C92">
            <v>884</v>
          </cell>
          <cell r="D92">
            <v>291</v>
          </cell>
          <cell r="E92">
            <v>531</v>
          </cell>
          <cell r="F92">
            <v>62</v>
          </cell>
          <cell r="G92">
            <v>528</v>
          </cell>
          <cell r="H92">
            <v>182</v>
          </cell>
          <cell r="I92">
            <v>320</v>
          </cell>
          <cell r="J92">
            <v>26</v>
          </cell>
          <cell r="K92">
            <v>1412</v>
          </cell>
        </row>
        <row r="93">
          <cell r="A93" t="str">
            <v>183</v>
          </cell>
          <cell r="B93" t="str">
            <v>Sussex</v>
          </cell>
          <cell r="C93">
            <v>1611</v>
          </cell>
          <cell r="D93">
            <v>323</v>
          </cell>
          <cell r="E93">
            <v>1022</v>
          </cell>
          <cell r="F93">
            <v>266</v>
          </cell>
          <cell r="G93">
            <v>1055</v>
          </cell>
          <cell r="H93">
            <v>198</v>
          </cell>
          <cell r="I93">
            <v>699</v>
          </cell>
          <cell r="J93">
            <v>158</v>
          </cell>
          <cell r="K93">
            <v>2666</v>
          </cell>
        </row>
        <row r="94">
          <cell r="A94" t="str">
            <v>185</v>
          </cell>
          <cell r="B94" t="str">
            <v>Tazewell</v>
          </cell>
          <cell r="C94">
            <v>6354</v>
          </cell>
          <cell r="D94">
            <v>5708</v>
          </cell>
          <cell r="E94">
            <v>199</v>
          </cell>
          <cell r="F94">
            <v>447</v>
          </cell>
          <cell r="G94">
            <v>3867</v>
          </cell>
          <cell r="H94">
            <v>3280</v>
          </cell>
          <cell r="I94">
            <v>172</v>
          </cell>
          <cell r="J94">
            <v>415</v>
          </cell>
          <cell r="K94">
            <v>10221</v>
          </cell>
        </row>
        <row r="95">
          <cell r="A95" t="str">
            <v>187</v>
          </cell>
          <cell r="B95" t="str">
            <v>Warren</v>
          </cell>
          <cell r="C95">
            <v>4290</v>
          </cell>
          <cell r="D95">
            <v>3214</v>
          </cell>
          <cell r="E95">
            <v>401</v>
          </cell>
          <cell r="F95">
            <v>675</v>
          </cell>
          <cell r="G95">
            <v>2886</v>
          </cell>
          <cell r="H95">
            <v>2161</v>
          </cell>
          <cell r="I95">
            <v>300</v>
          </cell>
          <cell r="J95">
            <v>425</v>
          </cell>
          <cell r="K95">
            <v>7176</v>
          </cell>
        </row>
        <row r="96">
          <cell r="A96" t="str">
            <v>191</v>
          </cell>
          <cell r="B96" t="str">
            <v>Washington</v>
          </cell>
          <cell r="C96">
            <v>6672</v>
          </cell>
          <cell r="D96">
            <v>6366</v>
          </cell>
          <cell r="E96">
            <v>164</v>
          </cell>
          <cell r="F96">
            <v>142</v>
          </cell>
          <cell r="G96">
            <v>3860</v>
          </cell>
          <cell r="H96">
            <v>3532</v>
          </cell>
          <cell r="I96">
            <v>115</v>
          </cell>
          <cell r="J96">
            <v>213</v>
          </cell>
          <cell r="K96">
            <v>10532</v>
          </cell>
        </row>
        <row r="97">
          <cell r="A97" t="str">
            <v>193</v>
          </cell>
          <cell r="B97" t="str">
            <v>Westmoreland</v>
          </cell>
          <cell r="C97">
            <v>2630</v>
          </cell>
          <cell r="D97">
            <v>1071</v>
          </cell>
          <cell r="E97">
            <v>1099</v>
          </cell>
          <cell r="F97">
            <v>460</v>
          </cell>
          <cell r="G97">
            <v>1801</v>
          </cell>
          <cell r="H97">
            <v>675</v>
          </cell>
          <cell r="I97">
            <v>845</v>
          </cell>
          <cell r="J97">
            <v>281</v>
          </cell>
          <cell r="K97">
            <v>4431</v>
          </cell>
        </row>
        <row r="98">
          <cell r="A98" t="str">
            <v>195</v>
          </cell>
          <cell r="B98" t="str">
            <v>Wise</v>
          </cell>
          <cell r="C98">
            <v>7307</v>
          </cell>
          <cell r="D98">
            <v>6563</v>
          </cell>
          <cell r="E98">
            <v>165</v>
          </cell>
          <cell r="F98">
            <v>579</v>
          </cell>
          <cell r="G98">
            <v>4173</v>
          </cell>
          <cell r="H98">
            <v>3605</v>
          </cell>
          <cell r="I98">
            <v>123</v>
          </cell>
          <cell r="J98">
            <v>445</v>
          </cell>
          <cell r="K98">
            <v>11480</v>
          </cell>
        </row>
        <row r="99">
          <cell r="A99" t="str">
            <v>197</v>
          </cell>
          <cell r="B99" t="str">
            <v>Wythe</v>
          </cell>
          <cell r="C99">
            <v>4291</v>
          </cell>
          <cell r="D99">
            <v>3611</v>
          </cell>
          <cell r="E99">
            <v>221</v>
          </cell>
          <cell r="F99">
            <v>459</v>
          </cell>
          <cell r="G99">
            <v>2369</v>
          </cell>
          <cell r="H99">
            <v>1905</v>
          </cell>
          <cell r="I99">
            <v>155</v>
          </cell>
          <cell r="J99">
            <v>309</v>
          </cell>
          <cell r="K99">
            <v>6660</v>
          </cell>
        </row>
        <row r="100">
          <cell r="A100" t="str">
            <v>199</v>
          </cell>
          <cell r="B100" t="str">
            <v>York/Poquoson</v>
          </cell>
          <cell r="C100">
            <v>2685</v>
          </cell>
          <cell r="D100">
            <v>1499</v>
          </cell>
          <cell r="E100">
            <v>895</v>
          </cell>
          <cell r="F100">
            <v>291</v>
          </cell>
          <cell r="G100">
            <v>2251</v>
          </cell>
          <cell r="H100">
            <v>1199</v>
          </cell>
          <cell r="I100">
            <v>810</v>
          </cell>
          <cell r="J100">
            <v>242</v>
          </cell>
          <cell r="K100">
            <v>4936</v>
          </cell>
        </row>
        <row r="101">
          <cell r="A101" t="str">
            <v>510</v>
          </cell>
          <cell r="B101" t="str">
            <v>Alexandria</v>
          </cell>
          <cell r="C101">
            <v>8162</v>
          </cell>
          <cell r="D101">
            <v>2475</v>
          </cell>
          <cell r="E101">
            <v>3669</v>
          </cell>
          <cell r="F101">
            <v>2018</v>
          </cell>
          <cell r="G101">
            <v>5682</v>
          </cell>
          <cell r="H101">
            <v>1969</v>
          </cell>
          <cell r="I101">
            <v>2374</v>
          </cell>
          <cell r="J101">
            <v>1339</v>
          </cell>
          <cell r="K101">
            <v>13844</v>
          </cell>
        </row>
        <row r="102">
          <cell r="A102" t="str">
            <v>520</v>
          </cell>
          <cell r="B102" t="str">
            <v>Bristol</v>
          </cell>
          <cell r="C102">
            <v>4197</v>
          </cell>
          <cell r="D102">
            <v>3676</v>
          </cell>
          <cell r="E102">
            <v>409</v>
          </cell>
          <cell r="F102">
            <v>112</v>
          </cell>
          <cell r="G102">
            <v>2458</v>
          </cell>
          <cell r="H102">
            <v>1970</v>
          </cell>
          <cell r="I102">
            <v>310</v>
          </cell>
          <cell r="J102">
            <v>178</v>
          </cell>
          <cell r="K102">
            <v>6655</v>
          </cell>
        </row>
        <row r="103">
          <cell r="A103" t="str">
            <v>540</v>
          </cell>
          <cell r="B103" t="str">
            <v>Charlottesville</v>
          </cell>
          <cell r="C103">
            <v>5283</v>
          </cell>
          <cell r="D103">
            <v>1835</v>
          </cell>
          <cell r="E103">
            <v>2846</v>
          </cell>
          <cell r="F103">
            <v>602</v>
          </cell>
          <cell r="G103">
            <v>3053</v>
          </cell>
          <cell r="H103">
            <v>741</v>
          </cell>
          <cell r="I103">
            <v>1905</v>
          </cell>
          <cell r="J103">
            <v>407</v>
          </cell>
          <cell r="K103">
            <v>8336</v>
          </cell>
        </row>
        <row r="104">
          <cell r="A104" t="str">
            <v>550</v>
          </cell>
          <cell r="B104" t="str">
            <v>Chesapeake</v>
          </cell>
          <cell r="C104">
            <v>17367</v>
          </cell>
          <cell r="D104">
            <v>5673</v>
          </cell>
          <cell r="E104">
            <v>10160</v>
          </cell>
          <cell r="F104">
            <v>1534</v>
          </cell>
          <cell r="G104">
            <v>14579</v>
          </cell>
          <cell r="H104">
            <v>3753</v>
          </cell>
          <cell r="I104">
            <v>9302</v>
          </cell>
          <cell r="J104">
            <v>1524</v>
          </cell>
          <cell r="K104">
            <v>31946</v>
          </cell>
        </row>
        <row r="105">
          <cell r="A105" t="str">
            <v>590</v>
          </cell>
          <cell r="B105" t="str">
            <v>Danville</v>
          </cell>
          <cell r="C105">
            <v>10842</v>
          </cell>
          <cell r="D105">
            <v>2649</v>
          </cell>
          <cell r="E105">
            <v>6840</v>
          </cell>
          <cell r="F105">
            <v>1353</v>
          </cell>
          <cell r="G105">
            <v>6712</v>
          </cell>
          <cell r="H105">
            <v>1296</v>
          </cell>
          <cell r="I105">
            <v>4618</v>
          </cell>
          <cell r="J105">
            <v>798</v>
          </cell>
          <cell r="K105">
            <v>17554</v>
          </cell>
        </row>
        <row r="106">
          <cell r="A106" t="str">
            <v>620</v>
          </cell>
          <cell r="B106" t="str">
            <v>Franklin City</v>
          </cell>
          <cell r="C106">
            <v>2065</v>
          </cell>
          <cell r="D106">
            <v>218</v>
          </cell>
          <cell r="E106">
            <v>1671</v>
          </cell>
          <cell r="F106">
            <v>176</v>
          </cell>
          <cell r="G106">
            <v>1357</v>
          </cell>
          <cell r="H106">
            <v>103</v>
          </cell>
          <cell r="I106">
            <v>1098</v>
          </cell>
          <cell r="J106">
            <v>156</v>
          </cell>
          <cell r="K106">
            <v>3422</v>
          </cell>
        </row>
        <row r="107">
          <cell r="A107" t="str">
            <v>630</v>
          </cell>
          <cell r="B107" t="str">
            <v>Fredericksburg</v>
          </cell>
          <cell r="C107">
            <v>4112</v>
          </cell>
          <cell r="D107">
            <v>1731</v>
          </cell>
          <cell r="E107">
            <v>1694</v>
          </cell>
          <cell r="F107">
            <v>687</v>
          </cell>
          <cell r="G107">
            <v>2844</v>
          </cell>
          <cell r="H107">
            <v>852</v>
          </cell>
          <cell r="I107">
            <v>1421</v>
          </cell>
          <cell r="J107">
            <v>571</v>
          </cell>
          <cell r="K107">
            <v>6956</v>
          </cell>
        </row>
        <row r="108">
          <cell r="A108" t="str">
            <v>640</v>
          </cell>
          <cell r="B108" t="str">
            <v>Galax</v>
          </cell>
          <cell r="C108">
            <v>1776</v>
          </cell>
          <cell r="D108">
            <v>1421</v>
          </cell>
          <cell r="E108">
            <v>151</v>
          </cell>
          <cell r="F108">
            <v>204</v>
          </cell>
          <cell r="G108">
            <v>1017</v>
          </cell>
          <cell r="H108">
            <v>821</v>
          </cell>
          <cell r="I108">
            <v>116</v>
          </cell>
          <cell r="J108">
            <v>80</v>
          </cell>
          <cell r="K108">
            <v>2793</v>
          </cell>
        </row>
        <row r="109">
          <cell r="A109" t="str">
            <v>650</v>
          </cell>
          <cell r="B109" t="str">
            <v>Hampton</v>
          </cell>
          <cell r="C109">
            <v>16627</v>
          </cell>
          <cell r="D109">
            <v>3783</v>
          </cell>
          <cell r="E109">
            <v>11321</v>
          </cell>
          <cell r="F109">
            <v>1523</v>
          </cell>
          <cell r="G109">
            <v>13015</v>
          </cell>
          <cell r="H109">
            <v>2262</v>
          </cell>
          <cell r="I109">
            <v>9218</v>
          </cell>
          <cell r="J109">
            <v>1535</v>
          </cell>
          <cell r="K109">
            <v>29642</v>
          </cell>
        </row>
        <row r="110">
          <cell r="A110" t="str">
            <v>670</v>
          </cell>
          <cell r="B110" t="str">
            <v>Hopewell</v>
          </cell>
          <cell r="C110">
            <v>5310</v>
          </cell>
          <cell r="D110">
            <v>2097</v>
          </cell>
          <cell r="E110">
            <v>2637</v>
          </cell>
          <cell r="F110">
            <v>576</v>
          </cell>
          <cell r="G110">
            <v>3928</v>
          </cell>
          <cell r="H110">
            <v>1291</v>
          </cell>
          <cell r="I110">
            <v>2177</v>
          </cell>
          <cell r="J110">
            <v>460</v>
          </cell>
          <cell r="K110">
            <v>9238</v>
          </cell>
        </row>
        <row r="111">
          <cell r="A111" t="str">
            <v>680</v>
          </cell>
          <cell r="B111" t="str">
            <v>Lynchburg</v>
          </cell>
          <cell r="C111">
            <v>10294</v>
          </cell>
          <cell r="D111">
            <v>3276</v>
          </cell>
          <cell r="E111">
            <v>5885</v>
          </cell>
          <cell r="F111">
            <v>1133</v>
          </cell>
          <cell r="G111">
            <v>7227</v>
          </cell>
          <cell r="H111">
            <v>1752</v>
          </cell>
          <cell r="I111">
            <v>4534</v>
          </cell>
          <cell r="J111">
            <v>941</v>
          </cell>
          <cell r="K111">
            <v>17521</v>
          </cell>
        </row>
        <row r="112">
          <cell r="A112" t="str">
            <v>683</v>
          </cell>
          <cell r="B112" t="str">
            <v>Manassas</v>
          </cell>
          <cell r="C112">
            <v>3508</v>
          </cell>
          <cell r="D112">
            <v>1528</v>
          </cell>
          <cell r="E112">
            <v>894</v>
          </cell>
          <cell r="F112">
            <v>1086</v>
          </cell>
          <cell r="G112">
            <v>3680</v>
          </cell>
          <cell r="H112">
            <v>1349</v>
          </cell>
          <cell r="I112">
            <v>743</v>
          </cell>
          <cell r="J112">
            <v>1588</v>
          </cell>
          <cell r="K112">
            <v>7188</v>
          </cell>
        </row>
        <row r="113">
          <cell r="A113" t="str">
            <v>685</v>
          </cell>
          <cell r="B113" t="str">
            <v>Manassas Park</v>
          </cell>
          <cell r="C113">
            <v>1146</v>
          </cell>
          <cell r="D113">
            <v>643</v>
          </cell>
          <cell r="E113">
            <v>178</v>
          </cell>
          <cell r="F113">
            <v>325</v>
          </cell>
          <cell r="G113">
            <v>1095</v>
          </cell>
          <cell r="H113">
            <v>562</v>
          </cell>
          <cell r="I113">
            <v>195</v>
          </cell>
          <cell r="J113">
            <v>338</v>
          </cell>
          <cell r="K113">
            <v>2241</v>
          </cell>
        </row>
        <row r="114">
          <cell r="A114" t="str">
            <v>700</v>
          </cell>
          <cell r="B114" t="str">
            <v>Newport News</v>
          </cell>
          <cell r="C114">
            <v>27379</v>
          </cell>
          <cell r="D114">
            <v>5295</v>
          </cell>
          <cell r="E114">
            <v>18419</v>
          </cell>
          <cell r="F114">
            <v>3665</v>
          </cell>
          <cell r="G114">
            <v>20949</v>
          </cell>
          <cell r="H114">
            <v>3075</v>
          </cell>
          <cell r="I114">
            <v>14882</v>
          </cell>
          <cell r="J114">
            <v>2992</v>
          </cell>
          <cell r="K114">
            <v>48328</v>
          </cell>
        </row>
        <row r="115">
          <cell r="A115" t="str">
            <v>710</v>
          </cell>
          <cell r="B115" t="str">
            <v>Norfolk</v>
          </cell>
          <cell r="C115">
            <v>37461</v>
          </cell>
          <cell r="D115">
            <v>6694</v>
          </cell>
          <cell r="E115">
            <v>26854</v>
          </cell>
          <cell r="F115">
            <v>3913</v>
          </cell>
          <cell r="G115">
            <v>26772</v>
          </cell>
          <cell r="H115">
            <v>3397</v>
          </cell>
          <cell r="I115">
            <v>20306</v>
          </cell>
          <cell r="J115">
            <v>3069</v>
          </cell>
          <cell r="K115">
            <v>64233</v>
          </cell>
        </row>
        <row r="116">
          <cell r="A116" t="str">
            <v>720</v>
          </cell>
          <cell r="B116" t="str">
            <v>Norton</v>
          </cell>
          <cell r="C116">
            <v>955</v>
          </cell>
          <cell r="D116">
            <v>789</v>
          </cell>
          <cell r="E116">
            <v>76</v>
          </cell>
          <cell r="F116">
            <v>90</v>
          </cell>
          <cell r="G116">
            <v>522</v>
          </cell>
          <cell r="H116">
            <v>396</v>
          </cell>
          <cell r="I116">
            <v>58</v>
          </cell>
          <cell r="J116">
            <v>68</v>
          </cell>
          <cell r="K116">
            <v>1477</v>
          </cell>
        </row>
        <row r="117">
          <cell r="A117" t="str">
            <v>730</v>
          </cell>
          <cell r="B117" t="str">
            <v>Petersburg</v>
          </cell>
          <cell r="C117">
            <v>9258</v>
          </cell>
          <cell r="D117">
            <v>726</v>
          </cell>
          <cell r="E117">
            <v>7470</v>
          </cell>
          <cell r="F117">
            <v>1062</v>
          </cell>
          <cell r="G117">
            <v>5447</v>
          </cell>
          <cell r="H117">
            <v>312</v>
          </cell>
          <cell r="I117">
            <v>4498</v>
          </cell>
          <cell r="J117">
            <v>637</v>
          </cell>
          <cell r="K117">
            <v>14705</v>
          </cell>
        </row>
        <row r="118">
          <cell r="A118" t="str">
            <v>740</v>
          </cell>
          <cell r="B118" t="str">
            <v>Portsmouth</v>
          </cell>
          <cell r="C118">
            <v>17171</v>
          </cell>
          <cell r="D118">
            <v>2842</v>
          </cell>
          <cell r="E118">
            <v>12377</v>
          </cell>
          <cell r="F118">
            <v>1952</v>
          </cell>
          <cell r="G118">
            <v>12724</v>
          </cell>
          <cell r="H118">
            <v>1540</v>
          </cell>
          <cell r="I118">
            <v>9965</v>
          </cell>
          <cell r="J118">
            <v>1219</v>
          </cell>
          <cell r="K118">
            <v>29895</v>
          </cell>
        </row>
        <row r="119">
          <cell r="A119" t="str">
            <v>750</v>
          </cell>
          <cell r="B119" t="str">
            <v>Radford</v>
          </cell>
          <cell r="C119">
            <v>1635</v>
          </cell>
          <cell r="D119">
            <v>1276</v>
          </cell>
          <cell r="E119">
            <v>293</v>
          </cell>
          <cell r="F119">
            <v>66</v>
          </cell>
          <cell r="G119">
            <v>1012</v>
          </cell>
          <cell r="H119">
            <v>688</v>
          </cell>
          <cell r="I119">
            <v>198</v>
          </cell>
          <cell r="J119">
            <v>126</v>
          </cell>
          <cell r="K119">
            <v>2647</v>
          </cell>
        </row>
        <row r="120">
          <cell r="A120" t="str">
            <v>760</v>
          </cell>
          <cell r="B120" t="str">
            <v>Richmond City</v>
          </cell>
          <cell r="C120">
            <v>42255</v>
          </cell>
          <cell r="D120">
            <v>4583</v>
          </cell>
          <cell r="E120">
            <v>32383</v>
          </cell>
          <cell r="F120">
            <v>5289</v>
          </cell>
          <cell r="G120">
            <v>25729</v>
          </cell>
          <cell r="H120">
            <v>1594</v>
          </cell>
          <cell r="I120">
            <v>20082</v>
          </cell>
          <cell r="J120">
            <v>4053</v>
          </cell>
          <cell r="K120">
            <v>67984</v>
          </cell>
        </row>
        <row r="121">
          <cell r="A121" t="str">
            <v>770</v>
          </cell>
          <cell r="B121" t="str">
            <v>Roanoke City</v>
          </cell>
          <cell r="C121">
            <v>19240</v>
          </cell>
          <cell r="D121">
            <v>9232</v>
          </cell>
          <cell r="E121">
            <v>7738</v>
          </cell>
          <cell r="F121">
            <v>2270</v>
          </cell>
          <cell r="G121">
            <v>12738</v>
          </cell>
          <cell r="H121">
            <v>4815</v>
          </cell>
          <cell r="I121">
            <v>6198</v>
          </cell>
          <cell r="J121">
            <v>1725</v>
          </cell>
          <cell r="K121">
            <v>31978</v>
          </cell>
        </row>
        <row r="122">
          <cell r="A122" t="str">
            <v>800</v>
          </cell>
          <cell r="B122" t="str">
            <v>Suffolk</v>
          </cell>
          <cell r="C122">
            <v>9608</v>
          </cell>
          <cell r="D122">
            <v>1799</v>
          </cell>
          <cell r="E122">
            <v>6641</v>
          </cell>
          <cell r="F122">
            <v>1168</v>
          </cell>
          <cell r="G122">
            <v>6941</v>
          </cell>
          <cell r="H122">
            <v>1134</v>
          </cell>
          <cell r="I122">
            <v>5035</v>
          </cell>
          <cell r="J122">
            <v>772</v>
          </cell>
          <cell r="K122">
            <v>16549</v>
          </cell>
        </row>
        <row r="123">
          <cell r="A123" t="str">
            <v>810</v>
          </cell>
          <cell r="B123" t="str">
            <v>Virginia Beach</v>
          </cell>
          <cell r="C123">
            <v>27476</v>
          </cell>
          <cell r="D123">
            <v>10992</v>
          </cell>
          <cell r="E123">
            <v>11907</v>
          </cell>
          <cell r="F123">
            <v>4577</v>
          </cell>
          <cell r="G123">
            <v>21346</v>
          </cell>
          <cell r="H123">
            <v>6514</v>
          </cell>
          <cell r="I123">
            <v>10810</v>
          </cell>
          <cell r="J123">
            <v>4022</v>
          </cell>
          <cell r="K123">
            <v>48822</v>
          </cell>
        </row>
        <row r="124">
          <cell r="A124" t="str">
            <v>830</v>
          </cell>
          <cell r="B124" t="str">
            <v>Williamsburg</v>
          </cell>
          <cell r="C124">
            <v>1070</v>
          </cell>
          <cell r="D124">
            <v>394</v>
          </cell>
          <cell r="E124">
            <v>521</v>
          </cell>
          <cell r="F124">
            <v>155</v>
          </cell>
          <cell r="G124">
            <v>815</v>
          </cell>
          <cell r="H124">
            <v>266</v>
          </cell>
          <cell r="I124">
            <v>420</v>
          </cell>
          <cell r="J124">
            <v>129</v>
          </cell>
          <cell r="K124">
            <v>1885</v>
          </cell>
        </row>
        <row r="125">
          <cell r="A125" t="str">
            <v>840</v>
          </cell>
          <cell r="B125" t="str">
            <v>Winchester</v>
          </cell>
          <cell r="C125">
            <v>4428</v>
          </cell>
          <cell r="D125">
            <v>2903</v>
          </cell>
          <cell r="E125">
            <v>759</v>
          </cell>
          <cell r="F125">
            <v>766</v>
          </cell>
          <cell r="G125">
            <v>3083</v>
          </cell>
          <cell r="H125">
            <v>1895</v>
          </cell>
          <cell r="I125">
            <v>605</v>
          </cell>
          <cell r="J125">
            <v>583</v>
          </cell>
          <cell r="K125">
            <v>7511</v>
          </cell>
        </row>
        <row r="126">
          <cell r="A126" t="str">
            <v>999</v>
          </cell>
          <cell r="B126" t="str">
            <v>Statewide</v>
          </cell>
          <cell r="C126">
            <v>741768</v>
          </cell>
          <cell r="D126">
            <v>344768</v>
          </cell>
          <cell r="E126">
            <v>292560</v>
          </cell>
          <cell r="F126">
            <v>104440</v>
          </cell>
          <cell r="G126">
            <v>486216</v>
          </cell>
          <cell r="H126">
            <v>217138</v>
          </cell>
          <cell r="I126">
            <v>221009</v>
          </cell>
          <cell r="J126">
            <v>81172</v>
          </cell>
          <cell r="K126">
            <v>1261087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esearch@dss.virginia.gov"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 Id="rId4" Type="http://schemas.openxmlformats.org/officeDocument/2006/relationships/comments" Target="../comments1.xml"/></Relationships>
</file>

<file path=xl/worksheets/_rels/sheet5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search@dss.virginia.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23"/>
  <sheetViews>
    <sheetView tabSelected="1" zoomScaleNormal="100" zoomScaleSheetLayoutView="100" workbookViewId="0">
      <pane ySplit="4" topLeftCell="A26" activePane="bottomLeft" state="frozen"/>
      <selection pane="bottomLeft" activeCell="C45" sqref="C45"/>
    </sheetView>
  </sheetViews>
  <sheetFormatPr defaultRowHeight="12" x14ac:dyDescent="0.2"/>
  <cols>
    <col min="1" max="1" width="1" style="66" customWidth="1"/>
    <col min="2" max="2" width="9.5" style="66" customWidth="1"/>
    <col min="3" max="8" width="9" style="66" customWidth="1"/>
    <col min="9" max="9" width="10.125" style="66" customWidth="1"/>
    <col min="10" max="11" width="10.25" style="66" customWidth="1"/>
    <col min="12" max="13" width="10.625" style="66" customWidth="1"/>
    <col min="14" max="14" width="9" style="66" customWidth="1"/>
    <col min="15" max="16" width="10" style="66" customWidth="1"/>
    <col min="17" max="17" width="9.125" style="66" bestFit="1" customWidth="1"/>
    <col min="18" max="18" width="6.5" style="66" bestFit="1" customWidth="1"/>
    <col min="19" max="19" width="9.125" style="66" bestFit="1" customWidth="1"/>
    <col min="20" max="20" width="12" style="66" customWidth="1"/>
    <col min="21" max="21" width="12.75" style="66" customWidth="1"/>
    <col min="22" max="22" width="11" style="66" bestFit="1" customWidth="1"/>
    <col min="23" max="23" width="12" style="66" customWidth="1"/>
    <col min="24" max="24" width="10.875" style="66" bestFit="1" customWidth="1"/>
    <col min="25" max="16384" width="9" style="66"/>
  </cols>
  <sheetData>
    <row r="1" spans="2:32" ht="15.75" x14ac:dyDescent="0.25">
      <c r="B1" s="2134" t="s">
        <v>1228</v>
      </c>
      <c r="C1" s="2134"/>
      <c r="D1" s="2134"/>
      <c r="E1" s="2134"/>
      <c r="F1" s="2134"/>
      <c r="G1" s="2134"/>
      <c r="H1" s="2134"/>
      <c r="I1" s="2134"/>
      <c r="J1" s="2134"/>
      <c r="K1" s="2134"/>
      <c r="L1" s="2134"/>
      <c r="M1" s="2134"/>
      <c r="N1" s="2134"/>
      <c r="O1" s="173"/>
      <c r="P1" s="67"/>
      <c r="Q1" s="67"/>
      <c r="R1" s="67"/>
      <c r="AF1" s="68" t="s">
        <v>8</v>
      </c>
    </row>
    <row r="2" spans="2:32" ht="8.25" customHeight="1" x14ac:dyDescent="0.2"/>
    <row r="3" spans="2:32" ht="15.75" customHeight="1" x14ac:dyDescent="0.2">
      <c r="B3" s="2140" t="s">
        <v>1</v>
      </c>
      <c r="C3" s="2140"/>
      <c r="D3" s="2135" t="s">
        <v>11</v>
      </c>
      <c r="E3" s="2136"/>
      <c r="F3" s="2136"/>
      <c r="G3" s="2137"/>
      <c r="H3" s="160" t="s">
        <v>0</v>
      </c>
      <c r="I3" s="349" t="str">
        <f>VLOOKUP(D3,Loc_Name,2,FALSE)</f>
        <v>001</v>
      </c>
      <c r="J3" s="160" t="s">
        <v>613</v>
      </c>
      <c r="K3" s="348" t="str">
        <f>VLOOKUP(+I3,Agency_Level,3,FALSE)</f>
        <v>Eastern</v>
      </c>
      <c r="L3" s="161"/>
      <c r="M3" s="161"/>
      <c r="N3" s="161"/>
      <c r="O3" s="161"/>
      <c r="R3" s="71"/>
      <c r="S3" s="71"/>
      <c r="T3" s="71"/>
    </row>
    <row r="4" spans="2:32" ht="9" customHeight="1" x14ac:dyDescent="0.2">
      <c r="J4" s="72"/>
      <c r="Q4" s="71"/>
      <c r="R4" s="71"/>
      <c r="S4" s="71"/>
      <c r="T4" s="71"/>
    </row>
    <row r="5" spans="2:32" ht="13.5" customHeight="1" x14ac:dyDescent="0.2">
      <c r="B5" s="2138" t="s">
        <v>614</v>
      </c>
      <c r="C5" s="2138"/>
      <c r="D5" s="345" t="str">
        <f>VLOOKUP(I3,Agency_Level,5,FALSE)</f>
        <v>II (Two)</v>
      </c>
      <c r="E5" s="69" t="s">
        <v>615</v>
      </c>
      <c r="F5" s="2139" t="str">
        <f>VLOOKUP(I3,Agency_Level,9,FALSE)</f>
        <v>Non-Deviating</v>
      </c>
      <c r="G5" s="2139"/>
      <c r="H5" s="69" t="s">
        <v>616</v>
      </c>
      <c r="I5" s="346" t="str">
        <f>VLOOKUP(+I3,IT_Support,4,)</f>
        <v>Shared</v>
      </c>
      <c r="J5" s="2146" t="s">
        <v>734</v>
      </c>
      <c r="K5" s="2146"/>
      <c r="L5" s="347" t="str">
        <f>VLOOKUP(I3,Agency_Level,6,FALSE)</f>
        <v>Administrative</v>
      </c>
      <c r="M5" s="2090" t="str">
        <f>IF((VLOOKUP(I3,Agency_Level,6,FALSE))="Administrative"," ",VLOOKUP(I3,Agency_Level,7,FALSE))</f>
        <v xml:space="preserve"> </v>
      </c>
      <c r="N5" s="2090"/>
      <c r="O5" s="266"/>
      <c r="P5" s="266"/>
      <c r="R5" s="74"/>
      <c r="S5" s="74"/>
      <c r="T5" s="74"/>
    </row>
    <row r="6" spans="2:32" ht="7.5" customHeight="1" x14ac:dyDescent="0.2">
      <c r="J6" s="73"/>
      <c r="L6" s="174"/>
      <c r="M6" s="2090"/>
      <c r="N6" s="2090"/>
      <c r="O6" s="174"/>
      <c r="Q6" s="74"/>
      <c r="R6" s="74"/>
      <c r="S6" s="74"/>
      <c r="T6" s="74"/>
    </row>
    <row r="7" spans="2:32" ht="13.5" customHeight="1" x14ac:dyDescent="0.2">
      <c r="B7" s="1468" t="s">
        <v>1359</v>
      </c>
      <c r="C7" s="166"/>
      <c r="D7" s="166"/>
      <c r="E7" s="166"/>
      <c r="F7" s="166"/>
      <c r="G7" s="166"/>
      <c r="H7" s="166"/>
      <c r="I7" s="166"/>
      <c r="M7" s="1470"/>
      <c r="N7" s="1470"/>
      <c r="Q7" s="74"/>
      <c r="R7" s="74"/>
      <c r="S7" s="74"/>
      <c r="T7" s="74"/>
    </row>
    <row r="8" spans="2:32" ht="13.5" customHeight="1" x14ac:dyDescent="0.2">
      <c r="B8" s="1469" t="s">
        <v>1366</v>
      </c>
      <c r="C8" s="171"/>
      <c r="D8" s="171"/>
      <c r="E8" s="171"/>
      <c r="F8" s="171"/>
      <c r="G8" s="171"/>
      <c r="H8" s="166"/>
      <c r="I8" s="166"/>
      <c r="J8" s="166"/>
      <c r="K8" s="166"/>
      <c r="L8" s="166"/>
      <c r="M8" s="175"/>
      <c r="N8" s="166"/>
      <c r="O8" s="166"/>
      <c r="Q8" s="74"/>
      <c r="R8" s="74"/>
      <c r="S8" s="74"/>
      <c r="T8" s="74"/>
    </row>
    <row r="9" spans="2:32" ht="13.5" customHeight="1" x14ac:dyDescent="0.2">
      <c r="B9" s="90" t="s">
        <v>718</v>
      </c>
      <c r="C9" s="90"/>
      <c r="D9" s="90"/>
    </row>
    <row r="10" spans="2:32" ht="13.5" customHeight="1" x14ac:dyDescent="0.2">
      <c r="B10" s="1467" t="s">
        <v>1358</v>
      </c>
      <c r="C10" s="90"/>
      <c r="D10" s="90"/>
      <c r="E10" s="90"/>
      <c r="F10" s="90"/>
      <c r="G10" s="90"/>
      <c r="H10" s="90"/>
      <c r="I10" s="90"/>
      <c r="J10" s="90"/>
      <c r="K10" s="90"/>
      <c r="L10" s="90"/>
    </row>
    <row r="11" spans="2:32" ht="13.5" customHeight="1" x14ac:dyDescent="0.2">
      <c r="B11" s="2148" t="s">
        <v>1305</v>
      </c>
      <c r="C11" s="2149"/>
      <c r="D11" s="2156" t="str">
        <f>D3</f>
        <v>Accomack</v>
      </c>
      <c r="E11" s="2157"/>
      <c r="F11" s="2154" t="str">
        <f>K3</f>
        <v>Eastern</v>
      </c>
      <c r="G11" s="2154" t="s">
        <v>9</v>
      </c>
    </row>
    <row r="12" spans="2:32" ht="13.5" customHeight="1" x14ac:dyDescent="0.2">
      <c r="B12" s="2150"/>
      <c r="C12" s="2151"/>
      <c r="D12" s="2158"/>
      <c r="E12" s="2159"/>
      <c r="F12" s="2155"/>
      <c r="G12" s="2155"/>
      <c r="I12" s="2160">
        <f>VLOOKUP(I3,Poverty,5,FALSE)</f>
        <v>6639</v>
      </c>
      <c r="J12" s="2142" t="s">
        <v>782</v>
      </c>
      <c r="K12" s="2142"/>
      <c r="L12" s="2142"/>
      <c r="M12" s="2142"/>
    </row>
    <row r="13" spans="2:32" ht="13.5" customHeight="1" x14ac:dyDescent="0.2">
      <c r="B13" s="2152"/>
      <c r="C13" s="2153"/>
      <c r="D13" s="332" t="s">
        <v>620</v>
      </c>
      <c r="E13" s="333" t="s">
        <v>280</v>
      </c>
      <c r="F13" s="334" t="s">
        <v>280</v>
      </c>
      <c r="G13" s="356" t="s">
        <v>280</v>
      </c>
      <c r="I13" s="2160"/>
      <c r="J13" s="2142"/>
      <c r="K13" s="2142"/>
      <c r="L13" s="2142"/>
      <c r="M13" s="2142"/>
    </row>
    <row r="14" spans="2:32" ht="13.5" customHeight="1" x14ac:dyDescent="0.2">
      <c r="B14" s="357" t="s">
        <v>448</v>
      </c>
      <c r="C14" s="335"/>
      <c r="D14" s="336">
        <f>VLOOKUP(I3,Pop_2013,5,FALSE)</f>
        <v>32973</v>
      </c>
      <c r="E14" s="331"/>
      <c r="F14" s="337"/>
      <c r="G14" s="358"/>
      <c r="I14" s="2160"/>
      <c r="J14" s="2163"/>
      <c r="K14" s="2163"/>
      <c r="L14" s="2163"/>
      <c r="M14" s="2163"/>
    </row>
    <row r="15" spans="2:32" ht="13.5" customHeight="1" x14ac:dyDescent="0.2">
      <c r="B15" s="359" t="s">
        <v>617</v>
      </c>
      <c r="C15" s="163"/>
      <c r="D15" s="338"/>
      <c r="E15" s="164"/>
      <c r="F15" s="339"/>
      <c r="G15" s="360"/>
      <c r="I15" s="2145">
        <f>VLOOKUP(I3,Poverty,6,FALSE)</f>
        <v>0.20385040530582166</v>
      </c>
      <c r="J15" s="2142" t="s">
        <v>783</v>
      </c>
      <c r="K15" s="2142"/>
      <c r="L15" s="2142"/>
      <c r="M15" s="2142"/>
    </row>
    <row r="16" spans="2:32" ht="13.5" customHeight="1" x14ac:dyDescent="0.2">
      <c r="B16" s="2100" t="s">
        <v>618</v>
      </c>
      <c r="C16" s="2101"/>
      <c r="D16" s="340">
        <f>VLOOKUP(I3,Pop_2013,11,FALSE)</f>
        <v>6844</v>
      </c>
      <c r="E16" s="275">
        <f>VLOOKUP(I3,Pop_2013,34,FALSE)</f>
        <v>0.20756376429199649</v>
      </c>
      <c r="F16" s="341">
        <f>VLOOKUP(K3,Pop_2013,34,FALSE)</f>
        <v>0.22111615514614036</v>
      </c>
      <c r="G16" s="361">
        <f>'2015 Population'!AH5</f>
        <v>0.22312102610606976</v>
      </c>
      <c r="I16" s="2145"/>
      <c r="J16" s="2142"/>
      <c r="K16" s="2142"/>
      <c r="L16" s="2142"/>
      <c r="M16" s="2142"/>
    </row>
    <row r="17" spans="2:17" ht="13.5" customHeight="1" x14ac:dyDescent="0.2">
      <c r="B17" s="2100" t="s">
        <v>719</v>
      </c>
      <c r="C17" s="2101"/>
      <c r="D17" s="340">
        <f>VLOOKUP(I3,Pop_2013,17,FALSE)</f>
        <v>18963</v>
      </c>
      <c r="E17" s="275">
        <f>VLOOKUP(I3,Pop_2013,35,FALSE)</f>
        <v>0.57510690565007738</v>
      </c>
      <c r="F17" s="341">
        <f>VLOOKUP(K3,Pop_2013,35,FALSE)</f>
        <v>0.64084039090029099</v>
      </c>
      <c r="G17" s="361">
        <f>'2015 Population'!AI5</f>
        <v>0.63511659857046288</v>
      </c>
      <c r="I17" s="2145"/>
      <c r="J17" s="2142"/>
      <c r="K17" s="2142"/>
      <c r="L17" s="2142"/>
      <c r="M17" s="2142"/>
    </row>
    <row r="18" spans="2:17" ht="13.5" customHeight="1" x14ac:dyDescent="0.2">
      <c r="B18" s="2100" t="s">
        <v>742</v>
      </c>
      <c r="C18" s="2101"/>
      <c r="D18" s="340">
        <f>VLOOKUP(I3,Pop_2013,23,FALSE)</f>
        <v>7166</v>
      </c>
      <c r="E18" s="275">
        <f>VLOOKUP(I3,Pop_2013,36,FALSE)</f>
        <v>0.21732933005792618</v>
      </c>
      <c r="F18" s="341">
        <f>VLOOKUP(K3,Pop_2013,36,FALSE)</f>
        <v>0.13804345395356862</v>
      </c>
      <c r="G18" s="361">
        <f>'2015 Population'!AJ5</f>
        <v>0.14176237532346742</v>
      </c>
      <c r="I18" s="2147">
        <f>VLOOKUP(I3,Poverty,8,FALSE)</f>
        <v>2082</v>
      </c>
      <c r="J18" s="2141" t="s">
        <v>784</v>
      </c>
      <c r="K18" s="2141"/>
      <c r="L18" s="2141"/>
      <c r="M18" s="2141"/>
    </row>
    <row r="19" spans="2:17" ht="13.5" customHeight="1" x14ac:dyDescent="0.2">
      <c r="B19" s="362" t="s">
        <v>863</v>
      </c>
      <c r="C19" s="165"/>
      <c r="D19" s="342"/>
      <c r="E19" s="276"/>
      <c r="F19" s="343"/>
      <c r="G19" s="363"/>
      <c r="I19" s="2147"/>
      <c r="J19" s="2142"/>
      <c r="K19" s="2142"/>
      <c r="L19" s="2142"/>
      <c r="M19" s="2142"/>
    </row>
    <row r="20" spans="2:17" ht="13.5" customHeight="1" x14ac:dyDescent="0.2">
      <c r="B20" s="2100" t="s">
        <v>2</v>
      </c>
      <c r="C20" s="2101"/>
      <c r="D20" s="344">
        <f>VLOOKUP(I3,Pop_2013,6,FALSE)</f>
        <v>22896</v>
      </c>
      <c r="E20" s="275">
        <f>VLOOKUP(I3,Pop_2013,29,FALSE)</f>
        <v>0.69438631607679013</v>
      </c>
      <c r="F20" s="341">
        <f>VLOOKUP(K3,Pop_2013,29,FALSE)</f>
        <v>0.61223048932819202</v>
      </c>
      <c r="G20" s="361">
        <f>'2015 Population'!AC5</f>
        <v>0.71616235394685401</v>
      </c>
      <c r="I20" s="2147"/>
      <c r="J20" s="2143"/>
      <c r="K20" s="2143"/>
      <c r="L20" s="2143"/>
      <c r="M20" s="2143"/>
    </row>
    <row r="21" spans="2:17" ht="13.5" customHeight="1" x14ac:dyDescent="0.2">
      <c r="B21" s="2100" t="s">
        <v>733</v>
      </c>
      <c r="C21" s="2101"/>
      <c r="D21" s="344">
        <f>VLOOKUP(I3,Pop_2013,7,FALSE)</f>
        <v>9544</v>
      </c>
      <c r="E21" s="275">
        <f>VLOOKUP(I3,Pop_2013,30,FALSE)</f>
        <v>0.28944894307463681</v>
      </c>
      <c r="F21" s="341">
        <f>VLOOKUP(K3,Pop_2013,30,FALSE)</f>
        <v>0.33712115161602574</v>
      </c>
      <c r="G21" s="361">
        <f>'2015 Population'!AD5</f>
        <v>0.20633334657442753</v>
      </c>
      <c r="I21" s="2145">
        <f>VLOOKUP(I3,Poverty,9,FALSE)</f>
        <v>0.3097292472478429</v>
      </c>
      <c r="J21" s="2144" t="s">
        <v>785</v>
      </c>
      <c r="K21" s="2144"/>
      <c r="L21" s="2144"/>
      <c r="M21" s="2144"/>
      <c r="Q21" s="80"/>
    </row>
    <row r="22" spans="2:17" ht="13.5" customHeight="1" x14ac:dyDescent="0.2">
      <c r="B22" s="2100" t="s">
        <v>581</v>
      </c>
      <c r="C22" s="2101"/>
      <c r="D22" s="344">
        <f>VLOOKUP(I3,Pop_2013,8,FALSE)</f>
        <v>303</v>
      </c>
      <c r="E22" s="275">
        <f>VLOOKUP(I3,Pop_2013,33,FALSE)</f>
        <v>1.6164740848573073E-2</v>
      </c>
      <c r="F22" s="341">
        <f>VLOOKUP(K3,Pop_2013,33,FALSE)</f>
        <v>5.0648359055782202E-2</v>
      </c>
      <c r="G22" s="361">
        <f>'2015 Population'!AG5</f>
        <v>7.7504299478718397E-2</v>
      </c>
      <c r="I22" s="2145"/>
      <c r="J22" s="2142"/>
      <c r="K22" s="2142"/>
      <c r="L22" s="2142"/>
      <c r="M22" s="2142"/>
    </row>
    <row r="23" spans="2:17" ht="13.5" customHeight="1" x14ac:dyDescent="0.2">
      <c r="B23" s="2161" t="s">
        <v>619</v>
      </c>
      <c r="C23" s="2162"/>
      <c r="D23" s="364">
        <f>VLOOKUP(I3,Pop_2013,37,FALSE)</f>
        <v>2926</v>
      </c>
      <c r="E23" s="365">
        <f>VLOOKUP(I3,Pop_2013,41,FALSE)</f>
        <v>8.8739271525187277E-2</v>
      </c>
      <c r="F23" s="366">
        <f>VLOOKUP(K3,Pop_2013,41,FALSE)</f>
        <v>6.4104325268911674E-2</v>
      </c>
      <c r="G23" s="367">
        <f>'2015 Population'!AO5</f>
        <v>9.003192535172104E-2</v>
      </c>
      <c r="H23" s="78"/>
      <c r="I23" s="2145"/>
      <c r="J23" s="2142"/>
      <c r="K23" s="2142"/>
      <c r="L23" s="2142"/>
      <c r="M23" s="2142"/>
    </row>
    <row r="24" spans="2:17" ht="13.5" customHeight="1" x14ac:dyDescent="0.2">
      <c r="B24" s="2096" t="s">
        <v>743</v>
      </c>
      <c r="C24" s="2096"/>
      <c r="D24" s="2096"/>
      <c r="E24" s="2096"/>
      <c r="F24" s="2096"/>
      <c r="G24" s="2096"/>
      <c r="H24" s="277"/>
      <c r="I24" s="277"/>
      <c r="J24" s="2077" t="s">
        <v>1362</v>
      </c>
      <c r="K24" s="2077"/>
      <c r="L24" s="2077"/>
      <c r="M24" s="2077"/>
    </row>
    <row r="25" spans="2:17" ht="13.5" customHeight="1" x14ac:dyDescent="0.2">
      <c r="B25" s="2096"/>
      <c r="C25" s="2096"/>
      <c r="D25" s="2096"/>
      <c r="E25" s="2096"/>
      <c r="F25" s="2096"/>
      <c r="G25" s="2096"/>
      <c r="H25" s="277"/>
      <c r="I25" s="277"/>
      <c r="J25" s="2077"/>
      <c r="K25" s="2077"/>
      <c r="L25" s="2077"/>
      <c r="M25" s="2077"/>
    </row>
    <row r="26" spans="2:17" ht="13.5" customHeight="1" x14ac:dyDescent="0.2">
      <c r="B26" s="2096"/>
      <c r="C26" s="2096"/>
      <c r="D26" s="2096"/>
      <c r="E26" s="2096"/>
      <c r="F26" s="2096"/>
      <c r="G26" s="2096"/>
      <c r="H26" s="277"/>
      <c r="I26" s="277"/>
    </row>
    <row r="27" spans="2:17" ht="13.5" customHeight="1" x14ac:dyDescent="0.2">
      <c r="B27" s="2098" t="s">
        <v>745</v>
      </c>
      <c r="C27" s="2078" t="str">
        <f>D3</f>
        <v>Accomack</v>
      </c>
      <c r="D27" s="2079"/>
      <c r="E27" s="2078" t="str">
        <f>K3</f>
        <v>Eastern</v>
      </c>
      <c r="F27" s="2079"/>
      <c r="G27" s="2082" t="s">
        <v>9</v>
      </c>
      <c r="H27" s="2083"/>
      <c r="J27" s="172"/>
    </row>
    <row r="28" spans="2:17" ht="13.5" customHeight="1" x14ac:dyDescent="0.2">
      <c r="B28" s="2099"/>
      <c r="C28" s="2080"/>
      <c r="D28" s="2081"/>
      <c r="E28" s="2080"/>
      <c r="F28" s="2081"/>
      <c r="G28" s="2084"/>
      <c r="H28" s="2085"/>
      <c r="J28" s="172"/>
    </row>
    <row r="29" spans="2:17" ht="13.5" customHeight="1" x14ac:dyDescent="0.2">
      <c r="B29" s="2099"/>
      <c r="C29" s="371" t="s">
        <v>746</v>
      </c>
      <c r="D29" s="372" t="s">
        <v>7</v>
      </c>
      <c r="E29" s="371" t="s">
        <v>746</v>
      </c>
      <c r="F29" s="372" t="s">
        <v>7</v>
      </c>
      <c r="G29" s="371" t="s">
        <v>746</v>
      </c>
      <c r="H29" s="372" t="s">
        <v>7</v>
      </c>
    </row>
    <row r="30" spans="2:17" ht="13.5" customHeight="1" x14ac:dyDescent="0.2">
      <c r="B30" s="354">
        <v>2005</v>
      </c>
      <c r="C30" s="1737">
        <f>VLOOKUP(I3,Poverty_AllAges,9,FALSE)</f>
        <v>0.183</v>
      </c>
      <c r="D30" s="1740">
        <f>VLOOKUP(I3,Poverty_Child,9,FALSE)</f>
        <v>0.26399999999999996</v>
      </c>
      <c r="E30" s="1737">
        <f>VLOOKUP(K3,Poverty_AllAges,9,FALSE)</f>
        <v>0.11367927485747498</v>
      </c>
      <c r="F30" s="1740">
        <f>VLOOKUP(K3,Poverty_Child,9,FALSE)</f>
        <v>0.16352767930188164</v>
      </c>
      <c r="G30" s="1737">
        <f>'Poverty_All ages'!I4</f>
        <v>9.9600000000000008E-2</v>
      </c>
      <c r="H30" s="1742">
        <f>Poverty_Child!I5</f>
        <v>0.13300000000000001</v>
      </c>
    </row>
    <row r="31" spans="2:17" ht="13.5" customHeight="1" x14ac:dyDescent="0.2">
      <c r="B31" s="355">
        <v>2006</v>
      </c>
      <c r="C31" s="1738">
        <f>VLOOKUP(I3,Poverty_AllAges,10,FALSE)</f>
        <v>0.154</v>
      </c>
      <c r="D31" s="1741">
        <f>VLOOKUP(I3,Poverty_Child,10,FALSE)</f>
        <v>0.23199999999999998</v>
      </c>
      <c r="E31" s="1738">
        <f>VLOOKUP(K3,Poverty_AllAges,10,FALSE)</f>
        <v>0.10639459370059251</v>
      </c>
      <c r="F31" s="1741">
        <f>VLOOKUP(K3,Poverty_Child,10,FALSE)</f>
        <v>0.14641453075926292</v>
      </c>
      <c r="G31" s="1738">
        <f>'Poverty_All ages'!J4</f>
        <v>9.6199999999999994E-2</v>
      </c>
      <c r="H31" s="1746">
        <f>Poverty_Child!J5</f>
        <v>0.12322064717116948</v>
      </c>
    </row>
    <row r="32" spans="2:17" ht="13.5" customHeight="1" x14ac:dyDescent="0.2">
      <c r="B32" s="354">
        <v>2007</v>
      </c>
      <c r="C32" s="1737">
        <f>VLOOKUP(I3,Poverty_AllAges,11,FALSE)</f>
        <v>0.16800000000000001</v>
      </c>
      <c r="D32" s="1740">
        <f>VLOOKUP(I3,Poverty_Child,11,FALSE)</f>
        <v>0.25100000000000006</v>
      </c>
      <c r="E32" s="1737">
        <f>VLOOKUP(K3,Poverty_AllAges,11,FALSE)</f>
        <v>0.11202655946373949</v>
      </c>
      <c r="F32" s="1740">
        <f>VLOOKUP(K3,Poverty_Child,11,FALSE)</f>
        <v>0.15611975749596346</v>
      </c>
      <c r="G32" s="1737">
        <f>'Poverty_All ages'!K4</f>
        <v>9.9000000000000005E-2</v>
      </c>
      <c r="H32" s="1742">
        <f>Poverty_Child!K5</f>
        <v>0.12930216566469369</v>
      </c>
    </row>
    <row r="33" spans="2:8" ht="13.5" customHeight="1" x14ac:dyDescent="0.2">
      <c r="B33" s="355">
        <v>2008</v>
      </c>
      <c r="C33" s="1738">
        <f>VLOOKUP(I3,Poverty_AllAges,12,FALSE)</f>
        <v>0.20600000000000002</v>
      </c>
      <c r="D33" s="1741">
        <f>VLOOKUP(I3,Poverty_Child,12,FALSE)</f>
        <v>0.29699999999999999</v>
      </c>
      <c r="E33" s="1738">
        <f>VLOOKUP(K3,Poverty_AllAges,12,FALSE)</f>
        <v>0.11571808952754851</v>
      </c>
      <c r="F33" s="1741">
        <f>VLOOKUP(K3,Poverty_Child,12,FALSE)</f>
        <v>0.16549851613310601</v>
      </c>
      <c r="G33" s="1738">
        <f>'Poverty_All ages'!L4</f>
        <v>0.10210000000000001</v>
      </c>
      <c r="H33" s="1746">
        <f>Poverty_Child!L5</f>
        <v>0.13580226821250407</v>
      </c>
    </row>
    <row r="34" spans="2:8" ht="13.5" customHeight="1" x14ac:dyDescent="0.2">
      <c r="B34" s="354">
        <v>2009</v>
      </c>
      <c r="C34" s="1737">
        <f>VLOOKUP(I3,Poverty_AllAges,13,FALSE)</f>
        <v>0.183</v>
      </c>
      <c r="D34" s="1740">
        <f>VLOOKUP(I3,Poverty_Child,13,FALSE)</f>
        <v>0.27400000000000002</v>
      </c>
      <c r="E34" s="1737">
        <f>VLOOKUP(K3,Poverty_AllAges,13,FALSE)</f>
        <v>0.11429957969100746</v>
      </c>
      <c r="F34" s="1740">
        <f>VLOOKUP(K3,Poverty_Child,13,FALSE)</f>
        <v>0.16261973561466178</v>
      </c>
      <c r="G34" s="1737">
        <f>'Poverty_All ages'!K4</f>
        <v>9.9000000000000005E-2</v>
      </c>
      <c r="H34" s="1742">
        <f>Poverty_Child!M5</f>
        <v>0.14000000000000001</v>
      </c>
    </row>
    <row r="35" spans="2:8" ht="13.5" customHeight="1" x14ac:dyDescent="0.2">
      <c r="B35" s="355">
        <v>2010</v>
      </c>
      <c r="C35" s="1738">
        <f>VLOOKUP(I3,Poverty_AllAges,14,FALSE)</f>
        <v>0.20499999999999999</v>
      </c>
      <c r="D35" s="1741">
        <f>VLOOKUP(I3,Poverty_Child,14,FALSE)</f>
        <v>0.28699999999999998</v>
      </c>
      <c r="E35" s="1738">
        <f>VLOOKUP(K3,Poverty_AllAges,14,FALSE)</f>
        <v>0.12023872863352066</v>
      </c>
      <c r="F35" s="1741">
        <f>VLOOKUP(K3,Poverty_Child,14,FALSE)</f>
        <v>0.16684839324070738</v>
      </c>
      <c r="G35" s="1738">
        <f>'Poverty_All ages'!N4</f>
        <v>0.11118840014389482</v>
      </c>
      <c r="H35" s="1746">
        <f>Poverty_Child!N5</f>
        <v>0.14555376556266278</v>
      </c>
    </row>
    <row r="36" spans="2:8" ht="13.5" customHeight="1" x14ac:dyDescent="0.2">
      <c r="B36" s="354">
        <v>2011</v>
      </c>
      <c r="C36" s="1737">
        <f>VLOOKUP(I3,Poverty_AllAges,15,FALSE)</f>
        <v>0.193</v>
      </c>
      <c r="D36" s="1740">
        <f>VLOOKUP(I3,Poverty_Child,15,FALSE)</f>
        <v>0.30499999999999999</v>
      </c>
      <c r="E36" s="1737">
        <f>VLOOKUP(K3,Poverty_AllAges,15,FALSE)</f>
        <v>0.12870004950966066</v>
      </c>
      <c r="F36" s="1740">
        <f>VLOOKUP(K3,Poverty_Child,15,FALSE)</f>
        <v>0.18344688787599084</v>
      </c>
      <c r="G36" s="1737">
        <f>'Poverty_All ages'!O4</f>
        <v>0.11600000000000001</v>
      </c>
      <c r="H36" s="1742">
        <f>Poverty_Child!O5</f>
        <v>0.156</v>
      </c>
    </row>
    <row r="37" spans="2:8" ht="13.5" customHeight="1" x14ac:dyDescent="0.2">
      <c r="B37" s="355">
        <v>2012</v>
      </c>
      <c r="C37" s="1738">
        <f>VLOOKUP(I3,Poverty_AllAges,16,FALSE)</f>
        <v>0.19900000000000001</v>
      </c>
      <c r="D37" s="1741">
        <f>VLOOKUP(I3,Poverty_Child,16,FALSE)</f>
        <v>0.314</v>
      </c>
      <c r="E37" s="1738">
        <f>VLOOKUP(K3,Poverty_AllAges,16,FALSE)</f>
        <v>0.13600000000000001</v>
      </c>
      <c r="F37" s="1741">
        <f>VLOOKUP(K3,Poverty_Child,16,FALSE)</f>
        <v>0.19465468306527908</v>
      </c>
      <c r="G37" s="1738">
        <f>'Poverty_All ages'!P4</f>
        <v>0.11799999999999999</v>
      </c>
      <c r="H37" s="1746">
        <f>Poverty_Child!P5</f>
        <v>0.155</v>
      </c>
    </row>
    <row r="38" spans="2:8" ht="13.5" customHeight="1" x14ac:dyDescent="0.2">
      <c r="B38" s="354">
        <v>2013</v>
      </c>
      <c r="C38" s="1737">
        <f>VLOOKUP(I3,Poverty_AllAges,17,FALSE)</f>
        <v>0.19252741881281887</v>
      </c>
      <c r="D38" s="1742">
        <f>VLOOKUP(I3,Poverty_Child,17,FALSE)</f>
        <v>0.29439930354033661</v>
      </c>
      <c r="E38" s="1737">
        <f>VLOOKUP(K3,Poverty_AllAges,17,FALSE)</f>
        <v>0.13722953804582269</v>
      </c>
      <c r="F38" s="1742">
        <f>VLOOKUP(K3,Poverty_Child,17,FALSE)</f>
        <v>0.19731917697955095</v>
      </c>
      <c r="G38" s="1737">
        <f>'Poverty_All ages'!Q4</f>
        <v>0.11747751027208382</v>
      </c>
      <c r="H38" s="1742">
        <f>Poverty_Child!Q5</f>
        <v>0.15745553871615489</v>
      </c>
    </row>
    <row r="39" spans="2:8" ht="13.5" customHeight="1" x14ac:dyDescent="0.2">
      <c r="B39" s="355">
        <v>2014</v>
      </c>
      <c r="C39" s="1739">
        <f>VLOOKUP(I3,Poverty_AllAges,18,FALSE)</f>
        <v>0.19371551195585529</v>
      </c>
      <c r="D39" s="1743">
        <f>VLOOKUP(I3,Poverty_Child,18,FALSE)</f>
        <v>0.30916311222238563</v>
      </c>
      <c r="E39" s="1744">
        <f>VLOOKUP(K3,Poverty_AllAges,18,FALSE)</f>
        <v>0.13349245196423984</v>
      </c>
      <c r="F39" s="1745">
        <f>VLOOKUP(K3,Poverty_Child,18,FALSE)</f>
        <v>0.1918605782799529</v>
      </c>
      <c r="G39" s="1744">
        <f>'Poverty_All ages'!R4</f>
        <v>0.1182560438559494</v>
      </c>
      <c r="H39" s="1745">
        <f>Poverty_Child!R5</f>
        <v>0.15872305329925826</v>
      </c>
    </row>
    <row r="40" spans="2:8" ht="13.5" customHeight="1" x14ac:dyDescent="0.2">
      <c r="B40" s="354">
        <v>2015</v>
      </c>
      <c r="C40" s="1747">
        <f>VLOOKUP(I3,Poverty_AllAges,19,FALSE)</f>
        <v>0.20385040530582166</v>
      </c>
      <c r="D40" s="1748">
        <f>VLOOKUP(I3,Poverty_Child,19,FALSE)</f>
        <v>0.3097292472478429</v>
      </c>
      <c r="E40" s="1749">
        <f>VLOOKUP(K3,Poverty_AllAges,19,FALSE)</f>
        <v>0.12957719229379919</v>
      </c>
      <c r="F40" s="1750">
        <f>VLOOKUP(K3,Poverty_Child,19,FALSE)</f>
        <v>0.18934995181748365</v>
      </c>
      <c r="G40" s="1749">
        <f>'Poverty_All ages'!S4</f>
        <v>0.11243251566072024</v>
      </c>
      <c r="H40" s="1750">
        <f>Poverty_Child!S5</f>
        <v>0.14973262322463776</v>
      </c>
    </row>
    <row r="41" spans="2:8" ht="13.5" customHeight="1" x14ac:dyDescent="0.2">
      <c r="B41" s="278" t="s">
        <v>744</v>
      </c>
      <c r="C41" s="90"/>
    </row>
    <row r="42" spans="2:8" ht="13.5" customHeight="1" x14ac:dyDescent="0.2">
      <c r="B42" s="2088" t="s">
        <v>747</v>
      </c>
      <c r="C42" s="2086" t="str">
        <f>D3</f>
        <v>Accomack</v>
      </c>
      <c r="D42" s="2086"/>
      <c r="E42" s="2086" t="str">
        <f>K3</f>
        <v>Eastern</v>
      </c>
      <c r="F42" s="2086" t="s">
        <v>9</v>
      </c>
      <c r="G42" s="2129"/>
      <c r="H42" s="2129"/>
    </row>
    <row r="43" spans="2:8" ht="13.5" customHeight="1" x14ac:dyDescent="0.2">
      <c r="B43" s="2089"/>
      <c r="C43" s="2087"/>
      <c r="D43" s="2087"/>
      <c r="E43" s="2087"/>
      <c r="F43" s="2087"/>
      <c r="G43" s="2129"/>
      <c r="H43" s="2129"/>
    </row>
    <row r="44" spans="2:8" ht="13.5" customHeight="1" x14ac:dyDescent="0.2">
      <c r="B44" s="2089"/>
      <c r="C44" s="379" t="s">
        <v>620</v>
      </c>
      <c r="D44" s="368" t="s">
        <v>748</v>
      </c>
      <c r="E44" s="373" t="s">
        <v>748</v>
      </c>
      <c r="F44" s="374" t="s">
        <v>748</v>
      </c>
      <c r="G44" s="307"/>
      <c r="H44" s="307"/>
    </row>
    <row r="45" spans="2:8" ht="13.5" customHeight="1" x14ac:dyDescent="0.2">
      <c r="B45" s="354">
        <v>2005</v>
      </c>
      <c r="C45" s="381">
        <f>VLOOKUP(I3,Employment,32,FALSE)</f>
        <v>875</v>
      </c>
      <c r="D45" s="370">
        <f>VLOOKUP($I$3,Employment,9,FALSE)</f>
        <v>4.6296296296296294E-2</v>
      </c>
      <c r="E45" s="378">
        <f>VLOOKUP($K$3,Employment,9,FALSE)</f>
        <v>3.9893832142007021E-2</v>
      </c>
      <c r="F45" s="377">
        <f>Unemployment!I4</f>
        <v>3.5184099138150848E-2</v>
      </c>
      <c r="G45" s="309"/>
      <c r="H45" s="308"/>
    </row>
    <row r="46" spans="2:8" ht="13.5" customHeight="1" x14ac:dyDescent="0.2">
      <c r="B46" s="355">
        <v>2006</v>
      </c>
      <c r="C46" s="380">
        <f>VLOOKUP(I3,Employment,34,FALSE)</f>
        <v>783</v>
      </c>
      <c r="D46" s="369">
        <f>VLOOKUP($I$3,Employment,10,FALSE)</f>
        <v>4.2121684867394697E-2</v>
      </c>
      <c r="E46" s="376">
        <f>VLOOKUP($K$3,Employment,10,FALSE)</f>
        <v>3.4054139645035592E-2</v>
      </c>
      <c r="F46" s="375">
        <f>Unemployment!J4</f>
        <v>3.042605361214783E-2</v>
      </c>
      <c r="G46" s="309"/>
      <c r="H46" s="308"/>
    </row>
    <row r="47" spans="2:8" ht="13.5" customHeight="1" x14ac:dyDescent="0.2">
      <c r="B47" s="354">
        <v>2007</v>
      </c>
      <c r="C47" s="381">
        <f>VLOOKUP(I3,Employment,36,FALSE)</f>
        <v>773</v>
      </c>
      <c r="D47" s="370">
        <f>VLOOKUP($I$3,Employment,11,FALSE)</f>
        <v>4.1361228530151423E-2</v>
      </c>
      <c r="E47" s="378">
        <f>VLOOKUP($K$3,Employment,11,FALSE)</f>
        <v>3.3091630916195276E-2</v>
      </c>
      <c r="F47" s="377">
        <f>Unemployment!K4</f>
        <v>3.0637117624127935E-2</v>
      </c>
      <c r="G47" s="309"/>
      <c r="H47" s="308"/>
    </row>
    <row r="48" spans="2:8" ht="13.5" customHeight="1" x14ac:dyDescent="0.2">
      <c r="B48" s="355">
        <v>2008</v>
      </c>
      <c r="C48" s="380">
        <f>VLOOKUP(I3,Employment,38,FALSE)</f>
        <v>949</v>
      </c>
      <c r="D48" s="369">
        <f>VLOOKUP($I$3,Employment,12,FALSE)</f>
        <v>4.9915842625710076E-2</v>
      </c>
      <c r="E48" s="376">
        <f>VLOOKUP($K$3,Employment,12,FALSE)</f>
        <v>4.2744274872914149E-2</v>
      </c>
      <c r="F48" s="375">
        <f>Unemployment!L4</f>
        <v>3.9533104507533175E-2</v>
      </c>
      <c r="G48" s="309"/>
      <c r="H48" s="308"/>
    </row>
    <row r="49" spans="2:14" ht="13.5" customHeight="1" x14ac:dyDescent="0.2">
      <c r="B49" s="354">
        <v>2009</v>
      </c>
      <c r="C49" s="381">
        <f>VLOOKUP(I3,Employment,40,FALSE)</f>
        <v>1331</v>
      </c>
      <c r="D49" s="370">
        <f>VLOOKUP($I$3,Employment,13,FALSE)</f>
        <v>6.7361708588491317E-2</v>
      </c>
      <c r="E49" s="378">
        <f>VLOOKUP($K$3,Employment,13,FALSE)</f>
        <v>7.2502585768335376E-2</v>
      </c>
      <c r="F49" s="377">
        <f>Unemployment!M4</f>
        <v>6.9500899241383113E-2</v>
      </c>
      <c r="G49" s="309"/>
      <c r="H49" s="308"/>
    </row>
    <row r="50" spans="2:14" ht="13.5" customHeight="1" x14ac:dyDescent="0.2">
      <c r="B50" s="355">
        <v>2010</v>
      </c>
      <c r="C50" s="380">
        <f>VLOOKUP(I3,Employment,42,FALSE)</f>
        <v>1334</v>
      </c>
      <c r="D50" s="369">
        <f>VLOOKUP($I$3,Employment,14,FALSE)</f>
        <v>7.0492496300993454E-2</v>
      </c>
      <c r="E50" s="376">
        <f>VLOOKUP($K$3,Employment,14,FALSE)</f>
        <v>7.6663536748089484E-2</v>
      </c>
      <c r="F50" s="375">
        <f>Unemployment!N4</f>
        <v>7.0996273411972191E-2</v>
      </c>
      <c r="G50" s="309"/>
      <c r="H50" s="308"/>
    </row>
    <row r="51" spans="2:14" ht="13.5" customHeight="1" x14ac:dyDescent="0.2">
      <c r="B51" s="354">
        <v>2011</v>
      </c>
      <c r="C51" s="381">
        <f>VLOOKUP(I3,Employment,44,FALSE)</f>
        <v>1357</v>
      </c>
      <c r="D51" s="370">
        <f>VLOOKUP($I$3,Employment,15,FALSE)</f>
        <v>7.280433499651269E-2</v>
      </c>
      <c r="E51" s="378">
        <f>VLOOKUP($K$3,Employment,15,FALSE)</f>
        <v>7.2411265556543009E-2</v>
      </c>
      <c r="F51" s="377">
        <f>Unemployment!O4</f>
        <v>6.4437374190308969E-2</v>
      </c>
      <c r="G51" s="309"/>
      <c r="H51" s="308"/>
    </row>
    <row r="52" spans="2:14" ht="13.5" customHeight="1" x14ac:dyDescent="0.2">
      <c r="B52" s="355">
        <v>2012</v>
      </c>
      <c r="C52" s="380">
        <f>VLOOKUP(I3,Employment,46,FALSE)</f>
        <v>1249</v>
      </c>
      <c r="D52" s="369">
        <f>VLOOKUP($I$3,Employment,16,FALSE)</f>
        <v>6.8050561185572622E-2</v>
      </c>
      <c r="E52" s="376">
        <f>VLOOKUP($K$3,Employment,16,FALSE)</f>
        <v>6.6414075961871114E-2</v>
      </c>
      <c r="F52" s="375">
        <f>Unemployment!P4</f>
        <v>5.8774345474193433E-2</v>
      </c>
      <c r="G52" s="309"/>
      <c r="H52" s="308"/>
    </row>
    <row r="53" spans="2:14" ht="13.5" customHeight="1" x14ac:dyDescent="0.2">
      <c r="B53" s="354">
        <v>2013</v>
      </c>
      <c r="C53" s="381">
        <f>VLOOKUP(I3,Employment,48,FALSE)</f>
        <v>1171</v>
      </c>
      <c r="D53" s="370">
        <f>VLOOKUP($I$3,Employment,17,FALSE)</f>
        <v>6.469613259668508E-2</v>
      </c>
      <c r="E53" s="378">
        <f>VLOOKUP($K$3,Employment,17,FALSE)</f>
        <v>6.1377424762512969E-2</v>
      </c>
      <c r="F53" s="377">
        <f>Unemployment!Q4</f>
        <v>5.5454654156622714E-2</v>
      </c>
      <c r="G53" s="309"/>
      <c r="H53" s="307"/>
    </row>
    <row r="54" spans="2:14" ht="13.5" customHeight="1" x14ac:dyDescent="0.2">
      <c r="B54" s="355">
        <v>2014</v>
      </c>
      <c r="C54" s="987">
        <f>VLOOKUP(I3,Employment,50,FALSE)</f>
        <v>1040</v>
      </c>
      <c r="D54" s="988">
        <f>VLOOKUP(I3,Employment,18,FALSE)</f>
        <v>6.4902646030953567E-2</v>
      </c>
      <c r="E54" s="989">
        <f>VLOOKUP(K3,Employment,18,FALSE)</f>
        <v>5.7334382521145637E-2</v>
      </c>
      <c r="F54" s="375">
        <f>Unemployment!R4</f>
        <v>5.1645529339042547E-2</v>
      </c>
      <c r="G54" s="309"/>
      <c r="H54" s="969"/>
    </row>
    <row r="55" spans="2:14" ht="13.5" customHeight="1" x14ac:dyDescent="0.2">
      <c r="B55" s="354">
        <v>2015</v>
      </c>
      <c r="C55" s="990">
        <f>VLOOKUP(I3,Employment,52,FALSE)</f>
        <v>866</v>
      </c>
      <c r="D55" s="991">
        <f>VLOOKUP(I3,Employment,19,FALSE)</f>
        <v>5.4219884798397198E-2</v>
      </c>
      <c r="E55" s="992">
        <f>VLOOKUP(K3,Employment,19,FALSE)</f>
        <v>4.9696849219759469E-2</v>
      </c>
      <c r="F55" s="377">
        <f>Unemployment!S4</f>
        <v>4.4467413563948954E-2</v>
      </c>
      <c r="G55" s="309"/>
      <c r="H55" s="307"/>
    </row>
    <row r="56" spans="2:14" ht="14.25" customHeight="1" x14ac:dyDescent="0.2">
      <c r="B56" s="2070" t="s">
        <v>832</v>
      </c>
      <c r="C56" s="2070"/>
      <c r="D56" s="2070"/>
      <c r="E56" s="2070"/>
      <c r="F56" s="2070"/>
    </row>
    <row r="57" spans="2:14" ht="14.25" customHeight="1" x14ac:dyDescent="0.2">
      <c r="B57" s="2219" t="s">
        <v>1298</v>
      </c>
      <c r="C57" s="2072" t="s">
        <v>878</v>
      </c>
      <c r="D57" s="2072"/>
      <c r="E57" s="2072"/>
      <c r="F57" s="2072"/>
      <c r="G57" s="2073" t="s">
        <v>879</v>
      </c>
      <c r="H57" s="2074"/>
      <c r="I57" s="2074"/>
      <c r="J57" s="2075"/>
      <c r="K57" s="1195"/>
      <c r="M57" s="2076">
        <f>VLOOKUP(I3,Child_SingleParentHH,11,FALSE)</f>
        <v>0.37857268104506397</v>
      </c>
      <c r="N57" s="1333"/>
    </row>
    <row r="58" spans="2:14" ht="21.75" customHeight="1" x14ac:dyDescent="0.2">
      <c r="B58" s="2220"/>
      <c r="C58" s="2071" t="str">
        <f>D3</f>
        <v>Accomack</v>
      </c>
      <c r="D58" s="2071"/>
      <c r="E58" s="1264" t="str">
        <f>K3</f>
        <v>Eastern</v>
      </c>
      <c r="F58" s="1264" t="s">
        <v>9</v>
      </c>
      <c r="G58" s="2071" t="str">
        <f>D3</f>
        <v>Accomack</v>
      </c>
      <c r="H58" s="2071"/>
      <c r="I58" s="1264" t="str">
        <f>K3</f>
        <v>Eastern</v>
      </c>
      <c r="J58" s="1264" t="s">
        <v>9</v>
      </c>
      <c r="K58" s="1195"/>
      <c r="L58" s="1333"/>
      <c r="M58" s="2076"/>
      <c r="N58" s="1333"/>
    </row>
    <row r="59" spans="2:14" ht="14.25" customHeight="1" x14ac:dyDescent="0.2">
      <c r="B59" s="2221"/>
      <c r="C59" s="1265" t="s">
        <v>620</v>
      </c>
      <c r="D59" s="1265" t="s">
        <v>280</v>
      </c>
      <c r="E59" s="1265" t="s">
        <v>280</v>
      </c>
      <c r="F59" s="1265" t="s">
        <v>280</v>
      </c>
      <c r="G59" s="1265" t="s">
        <v>620</v>
      </c>
      <c r="H59" s="1265" t="s">
        <v>880</v>
      </c>
      <c r="I59" s="1265" t="s">
        <v>880</v>
      </c>
      <c r="J59" s="1265" t="s">
        <v>880</v>
      </c>
      <c r="K59" s="1195"/>
      <c r="L59" s="2194" t="s">
        <v>1340</v>
      </c>
      <c r="M59" s="2194"/>
      <c r="N59" s="2194"/>
    </row>
    <row r="60" spans="2:14" ht="14.25" customHeight="1" x14ac:dyDescent="0.2">
      <c r="B60" s="1191" t="s">
        <v>281</v>
      </c>
      <c r="C60" s="1197">
        <f>VLOOKUP(I3,NonMaritalBirths,8,FALSE)</f>
        <v>209</v>
      </c>
      <c r="D60" s="1198">
        <f>VLOOKUP(I3,NonMaritalBirths,12,FALSE)</f>
        <v>0.55585106382978722</v>
      </c>
      <c r="E60" s="1199">
        <f>VLOOKUP(K3,NonMaritalBirths,12,FALSE)</f>
        <v>0.39805019705455302</v>
      </c>
      <c r="F60" s="1198">
        <f>'Non-marital births'!L6</f>
        <v>0.340045722068194</v>
      </c>
      <c r="G60" s="1197">
        <f>VLOOKUP(I3,TeenBirths, 4, FALSE)</f>
        <v>30</v>
      </c>
      <c r="H60" s="1308">
        <f>VLOOKUP(I3,TeenBirths, 12, FALSE)</f>
        <v>17.793594306049823</v>
      </c>
      <c r="I60" s="1308">
        <f>VLOOKUP(K3,TeenBirths, 12, FALSE)</f>
        <v>10.59461163305869</v>
      </c>
      <c r="J60" s="1308">
        <f>'Teen births'!L5</f>
        <v>9.405709207785387</v>
      </c>
      <c r="K60" s="1196"/>
      <c r="L60" s="2194"/>
      <c r="M60" s="2194"/>
      <c r="N60" s="2194"/>
    </row>
    <row r="61" spans="2:14" ht="14.25" customHeight="1" x14ac:dyDescent="0.2">
      <c r="B61" s="1192" t="s">
        <v>2</v>
      </c>
      <c r="C61" s="1200">
        <f>VLOOKUP(I3,NonMaritalBirths,9,FALSE)</f>
        <v>108</v>
      </c>
      <c r="D61" s="1201">
        <f>VLOOKUP(I3,NonMaritalBirths,13,FALSE)</f>
        <v>0.46153846153846156</v>
      </c>
      <c r="E61" s="1202">
        <f>VLOOKUP(K3,NonMaritalBirths,13,FALSE)</f>
        <v>0.24013903581683543</v>
      </c>
      <c r="F61" s="1201">
        <f>'Non-marital births'!M6</f>
        <v>0.25172854525015786</v>
      </c>
      <c r="G61" s="1200">
        <f>VLOOKUP(I3,TeenBirths, 5, FALSE)</f>
        <v>13</v>
      </c>
      <c r="H61" s="1309">
        <f>VLOOKUP(I3,TeenBirths, 13, FALSE)</f>
        <v>12.138188608776844</v>
      </c>
      <c r="I61" s="1311">
        <f>VLOOKUP(K3,TeenBirths, 13, FALSE)</f>
        <v>7.2788086326351831</v>
      </c>
      <c r="J61" s="1309">
        <f>'Teen births'!M5</f>
        <v>7.3308793962077399</v>
      </c>
      <c r="K61" s="1192"/>
      <c r="L61" s="2194"/>
      <c r="M61" s="2194"/>
      <c r="N61" s="2194"/>
    </row>
    <row r="62" spans="2:14" ht="14.25" customHeight="1" x14ac:dyDescent="0.2">
      <c r="B62" s="1192" t="s">
        <v>445</v>
      </c>
      <c r="C62" s="1200">
        <f>VLOOKUP(I3,NonMaritalBirths,10,FALSE)</f>
        <v>101</v>
      </c>
      <c r="D62" s="1201">
        <f>VLOOKUP(I3,NonMaritalBirths,14,FALSE)</f>
        <v>0.75939849624060152</v>
      </c>
      <c r="E62" s="1202">
        <f>VLOOKUP(K3,NonMaritalBirths,14,FALSE)</f>
        <v>0.67109554293996865</v>
      </c>
      <c r="F62" s="1201">
        <f>'Non-marital births'!N6</f>
        <v>0.64729392956223253</v>
      </c>
      <c r="G62" s="1200">
        <f>VLOOKUP(I3,TeenBirths, 6, FALSE)</f>
        <v>17</v>
      </c>
      <c r="H62" s="1309">
        <f>VLOOKUP(I3,TeenBirths, 14, FALSE)</f>
        <v>29.159519725557463</v>
      </c>
      <c r="I62" s="1311">
        <f>VLOOKUP(K3,TeenBirths, 14, FALSE)</f>
        <v>13.523551516210784</v>
      </c>
      <c r="J62" s="1309">
        <f>'Teen births'!N5</f>
        <v>12.565368971528182</v>
      </c>
      <c r="K62" s="1192"/>
      <c r="L62" s="2194"/>
      <c r="M62" s="2194"/>
      <c r="N62" s="2194"/>
    </row>
    <row r="63" spans="2:14" ht="14.25" customHeight="1" x14ac:dyDescent="0.2">
      <c r="B63" s="1193" t="s">
        <v>581</v>
      </c>
      <c r="C63" s="1203">
        <f>VLOOKUP(I3,NonMaritalBirths,11,FALSE)</f>
        <v>0</v>
      </c>
      <c r="D63" s="1204">
        <f>VLOOKUP(I3,NonMaritalBirths,15,FALSE)</f>
        <v>0</v>
      </c>
      <c r="E63" s="1205">
        <f>VLOOKUP(K3,NonMaritalBirths,15,FALSE)</f>
        <v>0.33217592592592593</v>
      </c>
      <c r="F63" s="1204">
        <f>'Non-marital births'!O6</f>
        <v>0.29188016155283619</v>
      </c>
      <c r="G63" s="1203">
        <f>VLOOKUP(I3,TeenBirths, 7, FALSE)</f>
        <v>0</v>
      </c>
      <c r="H63" s="1310">
        <f>VLOOKUP(I3,TeenBirths, 15, FALSE)</f>
        <v>0</v>
      </c>
      <c r="I63" s="1312">
        <f>VLOOKUP(K3,TeenBirths, 15, FALSE)</f>
        <v>23.708421797593772</v>
      </c>
      <c r="J63" s="1310">
        <f>'Teen births'!O5</f>
        <v>17.985433285438241</v>
      </c>
      <c r="K63" s="1192"/>
      <c r="L63" s="2194"/>
      <c r="M63" s="2194"/>
      <c r="N63" s="2194"/>
    </row>
    <row r="64" spans="2:14" ht="14.25" customHeight="1" x14ac:dyDescent="0.2">
      <c r="B64" s="2218" t="s">
        <v>893</v>
      </c>
      <c r="C64" s="2218"/>
      <c r="D64" s="2218"/>
      <c r="E64" s="2218"/>
      <c r="F64" s="2218"/>
      <c r="G64" s="2218"/>
      <c r="H64" s="2218"/>
      <c r="I64" s="2218"/>
      <c r="J64" s="2218"/>
      <c r="K64" s="2218"/>
      <c r="L64" s="2218"/>
      <c r="M64" s="2218"/>
      <c r="N64" s="2218"/>
    </row>
    <row r="65" spans="2:16" ht="14.25" customHeight="1" x14ac:dyDescent="0.2">
      <c r="B65" s="1194"/>
      <c r="C65" s="1194"/>
      <c r="D65" s="1194"/>
      <c r="E65" s="1194"/>
      <c r="F65" s="1194"/>
      <c r="G65" s="1194"/>
      <c r="H65" s="1194"/>
    </row>
    <row r="66" spans="2:16" ht="14.25" customHeight="1" x14ac:dyDescent="0.2">
      <c r="B66" s="1194"/>
      <c r="C66" s="1194"/>
      <c r="D66" s="1194"/>
      <c r="E66" s="1194"/>
      <c r="F66" s="1194"/>
      <c r="G66" s="1194"/>
      <c r="H66" s="1194"/>
    </row>
    <row r="67" spans="2:16" ht="14.25" customHeight="1" x14ac:dyDescent="0.2">
      <c r="B67" s="1194"/>
      <c r="C67" s="1194"/>
      <c r="D67" s="1194"/>
      <c r="E67" s="1194"/>
      <c r="F67" s="1194"/>
      <c r="G67" s="1194"/>
      <c r="H67" s="1194"/>
    </row>
    <row r="68" spans="2:16" ht="14.25" customHeight="1" x14ac:dyDescent="0.2">
      <c r="B68" s="1194"/>
      <c r="C68" s="1194"/>
      <c r="D68" s="1194"/>
      <c r="E68" s="1194"/>
      <c r="F68" s="1194"/>
      <c r="G68" s="1194"/>
      <c r="H68" s="1194"/>
    </row>
    <row r="69" spans="2:16" ht="14.25" customHeight="1" x14ac:dyDescent="0.2">
      <c r="B69" s="1194"/>
      <c r="C69" s="1194"/>
      <c r="D69" s="1194"/>
      <c r="E69" s="1194"/>
      <c r="F69" s="1194"/>
      <c r="G69" s="1194"/>
      <c r="H69" s="1194"/>
    </row>
    <row r="70" spans="2:16" ht="14.25" customHeight="1" x14ac:dyDescent="0.2">
      <c r="B70" s="1175"/>
      <c r="C70" s="1175"/>
      <c r="D70" s="1175"/>
      <c r="E70" s="1175"/>
      <c r="F70" s="1175"/>
    </row>
    <row r="71" spans="2:16" ht="14.25" customHeight="1" x14ac:dyDescent="0.2">
      <c r="B71" s="1175"/>
      <c r="C71" s="1175"/>
      <c r="D71" s="1175"/>
      <c r="E71" s="1175"/>
      <c r="F71" s="1175"/>
    </row>
    <row r="72" spans="2:16" ht="14.25" customHeight="1" x14ac:dyDescent="0.2">
      <c r="B72" s="1175"/>
      <c r="C72" s="1175"/>
      <c r="D72" s="1175"/>
      <c r="E72" s="1175"/>
      <c r="F72" s="1175"/>
    </row>
    <row r="73" spans="2:16" ht="14.25" customHeight="1" x14ac:dyDescent="0.2">
      <c r="B73" s="1175"/>
      <c r="C73" s="1175"/>
      <c r="D73" s="1175"/>
      <c r="E73" s="1175"/>
      <c r="F73" s="1175"/>
    </row>
    <row r="74" spans="2:16" ht="14.25" customHeight="1" x14ac:dyDescent="0.2">
      <c r="B74" s="1175"/>
      <c r="C74" s="1175"/>
      <c r="D74" s="1175"/>
      <c r="E74" s="1175"/>
      <c r="F74" s="1175"/>
    </row>
    <row r="75" spans="2:16" ht="14.25" customHeight="1" x14ac:dyDescent="0.2">
      <c r="B75" s="1175"/>
      <c r="C75" s="1175"/>
      <c r="D75" s="1175"/>
      <c r="E75" s="1175"/>
      <c r="F75" s="1175"/>
    </row>
    <row r="76" spans="2:16" ht="14.25" customHeight="1" x14ac:dyDescent="0.2">
      <c r="B76" s="1175"/>
      <c r="C76" s="1175"/>
      <c r="D76" s="1175"/>
      <c r="E76" s="1175"/>
      <c r="F76" s="1175"/>
    </row>
    <row r="77" spans="2:16" ht="13.5" customHeight="1" x14ac:dyDescent="0.2">
      <c r="B77" s="278"/>
      <c r="C77" s="90"/>
    </row>
    <row r="78" spans="2:16" ht="13.5" customHeight="1" x14ac:dyDescent="0.2">
      <c r="B78" s="1177"/>
      <c r="C78" s="1177"/>
      <c r="D78" s="1177"/>
      <c r="E78" s="1177"/>
      <c r="F78" s="1177"/>
      <c r="G78" s="1177"/>
      <c r="H78" s="277"/>
      <c r="I78" s="277"/>
      <c r="J78" s="277"/>
      <c r="K78" s="87"/>
      <c r="L78" s="87"/>
    </row>
    <row r="79" spans="2:16" ht="13.5" customHeight="1" x14ac:dyDescent="0.2">
      <c r="B79" s="2125" t="s">
        <v>1078</v>
      </c>
      <c r="C79" s="2126"/>
      <c r="D79" s="2102" t="s">
        <v>866</v>
      </c>
      <c r="E79" s="2103"/>
      <c r="F79" s="2103"/>
      <c r="G79" s="2104"/>
      <c r="H79" s="2215" t="s">
        <v>870</v>
      </c>
      <c r="I79" s="1641"/>
      <c r="L79" s="2228">
        <f>G86</f>
        <v>11816</v>
      </c>
      <c r="M79" s="2228"/>
      <c r="O79" s="1639"/>
      <c r="P79" s="1639"/>
    </row>
    <row r="80" spans="2:16" ht="13.5" customHeight="1" x14ac:dyDescent="0.2">
      <c r="B80" s="2130"/>
      <c r="C80" s="2131"/>
      <c r="D80" s="1795" t="s">
        <v>318</v>
      </c>
      <c r="E80" s="1796" t="s">
        <v>409</v>
      </c>
      <c r="F80" s="1797" t="s">
        <v>865</v>
      </c>
      <c r="G80" s="1798" t="s">
        <v>883</v>
      </c>
      <c r="H80" s="2216"/>
      <c r="I80" s="1641"/>
      <c r="L80" s="2228"/>
      <c r="M80" s="2228"/>
      <c r="O80" s="1639"/>
      <c r="P80" s="1639"/>
    </row>
    <row r="81" spans="2:16" ht="13.5" customHeight="1" x14ac:dyDescent="0.2">
      <c r="B81" s="2130"/>
      <c r="C81" s="2131"/>
      <c r="D81" s="1799"/>
      <c r="E81" s="1800"/>
      <c r="F81" s="1801"/>
      <c r="G81" s="1802"/>
      <c r="H81" s="2217"/>
      <c r="I81" s="1641"/>
      <c r="L81" s="2228"/>
      <c r="M81" s="2228"/>
      <c r="O81" s="1639"/>
      <c r="P81" s="1639"/>
    </row>
    <row r="82" spans="2:16" ht="13.5" customHeight="1" x14ac:dyDescent="0.2">
      <c r="B82" s="2195">
        <v>2012</v>
      </c>
      <c r="C82" s="2196"/>
      <c r="D82" s="1803">
        <f>VLOOKUP($I$3,SNAPClnts_Yearly,4, FALSE)</f>
        <v>10046</v>
      </c>
      <c r="E82" s="1804">
        <f>VLOOKUP($I$3,TANFClnts_Yearly,4,FALSE)</f>
        <v>1127</v>
      </c>
      <c r="F82" s="1805">
        <f>VLOOKUP(I3,MAClnts_Annual,4,FALSE)</f>
        <v>7700</v>
      </c>
      <c r="G82" s="1806">
        <f>VLOOKUP(I3,BenefitClients,4,FALSE)</f>
        <v>11400</v>
      </c>
      <c r="H82" s="1807" t="s">
        <v>917</v>
      </c>
      <c r="I82" s="1637"/>
      <c r="L82" s="2231" t="s">
        <v>1265</v>
      </c>
      <c r="M82" s="2231"/>
      <c r="O82" s="1640"/>
      <c r="P82" s="1640"/>
    </row>
    <row r="83" spans="2:16" ht="13.5" customHeight="1" x14ac:dyDescent="0.2">
      <c r="B83" s="2197">
        <v>2013</v>
      </c>
      <c r="C83" s="2198"/>
      <c r="D83" s="1560">
        <f>VLOOKUP($I$3,SNAPClnts_Yearly,5, FALSE)</f>
        <v>10332</v>
      </c>
      <c r="E83" s="1808">
        <f>VLOOKUP($I$3,TANFClnts_Yearly,5,FALSE)</f>
        <v>1131</v>
      </c>
      <c r="F83" s="1809">
        <f>VLOOKUP(I3,MAClnts_Annual,5,FALSE)</f>
        <v>8722</v>
      </c>
      <c r="G83" s="1810">
        <f>VLOOKUP(I3,BenefitClients,5,FALSE)</f>
        <v>12029</v>
      </c>
      <c r="H83" s="1811" t="s">
        <v>917</v>
      </c>
      <c r="I83" s="1637"/>
      <c r="L83" s="2231"/>
      <c r="M83" s="2231"/>
      <c r="O83" s="1640"/>
      <c r="P83" s="1640"/>
    </row>
    <row r="84" spans="2:16" ht="13.5" customHeight="1" x14ac:dyDescent="0.2">
      <c r="B84" s="2195">
        <v>2014</v>
      </c>
      <c r="C84" s="2196"/>
      <c r="D84" s="1561">
        <f>VLOOKUP($I$3,SNAPClnts_Yearly,6, FALSE)</f>
        <v>10098</v>
      </c>
      <c r="E84" s="1812">
        <f>VLOOKUP($I$3,TANFClnts_Yearly,6,FALSE)</f>
        <v>974</v>
      </c>
      <c r="F84" s="1813">
        <f>VLOOKUP(I3,MAClnts_Annual,6,FALSE)</f>
        <v>8891</v>
      </c>
      <c r="G84" s="1814">
        <f>VLOOKUP(I3,BenefitClients,6,FALSE)</f>
        <v>11868</v>
      </c>
      <c r="H84" s="1815">
        <f>VLOOKUP(I3,ChildCareClients,4,FALSE)</f>
        <v>94</v>
      </c>
      <c r="I84" s="1637"/>
      <c r="L84" s="2231"/>
      <c r="M84" s="2231"/>
      <c r="O84" s="1640"/>
      <c r="P84" s="1640"/>
    </row>
    <row r="85" spans="2:16" ht="13.5" customHeight="1" x14ac:dyDescent="0.2">
      <c r="B85" s="2197">
        <v>2015</v>
      </c>
      <c r="C85" s="2198"/>
      <c r="D85" s="1560">
        <f>VLOOKUP($I$3,SNAPClnts_Yearly,7, FALSE)</f>
        <v>9497</v>
      </c>
      <c r="E85" s="1808">
        <f>VLOOKUP($I$3,TANFClnts_Yearly,7,FALSE)</f>
        <v>833</v>
      </c>
      <c r="F85" s="1809">
        <f>VLOOKUP(I3,MAClnts_Annual,7,FALSE)</f>
        <v>9155</v>
      </c>
      <c r="G85" s="1810">
        <f>VLOOKUP(I3,BenefitClients,7,FALSE)</f>
        <v>11785</v>
      </c>
      <c r="H85" s="1811">
        <f>VLOOKUP(I3,ChildCareClients,5,FALSE)</f>
        <v>83</v>
      </c>
      <c r="I85" s="1637"/>
      <c r="L85" s="2231"/>
      <c r="M85" s="2231"/>
      <c r="O85" s="1640"/>
      <c r="P85" s="1640"/>
    </row>
    <row r="86" spans="2:16" ht="13.5" customHeight="1" x14ac:dyDescent="0.2">
      <c r="B86" s="2199">
        <v>2016</v>
      </c>
      <c r="C86" s="2200"/>
      <c r="D86" s="1816">
        <f>VLOOKUP($I$3,SNAPClnts_Yearly,8, FALSE)</f>
        <v>8724</v>
      </c>
      <c r="E86" s="1817">
        <f>VLOOKUP($I$3,TANFClnts_Yearly,8,FALSE)</f>
        <v>759</v>
      </c>
      <c r="F86" s="1818">
        <f>VLOOKUP(I3,MAClnts_Annual,8,FALSE)</f>
        <v>9712</v>
      </c>
      <c r="G86" s="1819">
        <f>VLOOKUP(I3,BenefitClients,8,FALSE)</f>
        <v>11816</v>
      </c>
      <c r="H86" s="1819">
        <f>VLOOKUP(I3,ChildCareClients,6,FALSE)</f>
        <v>84</v>
      </c>
      <c r="I86" s="1638"/>
      <c r="L86" s="2231"/>
      <c r="M86" s="2231"/>
      <c r="O86" s="1640"/>
      <c r="P86" s="1640"/>
    </row>
    <row r="87" spans="2:16" ht="13.5" customHeight="1" x14ac:dyDescent="0.2">
      <c r="B87" s="2096" t="s">
        <v>1363</v>
      </c>
      <c r="C87" s="2096"/>
      <c r="D87" s="2096"/>
      <c r="E87" s="2096"/>
      <c r="F87" s="2096"/>
      <c r="G87" s="2096"/>
      <c r="H87" s="2096"/>
      <c r="I87" s="2096"/>
      <c r="J87" s="2096"/>
      <c r="L87" s="2231"/>
      <c r="M87" s="2231"/>
      <c r="O87" s="1640"/>
      <c r="P87" s="1640"/>
    </row>
    <row r="88" spans="2:16" ht="13.5" customHeight="1" x14ac:dyDescent="0.2">
      <c r="B88" s="2096"/>
      <c r="C88" s="2096"/>
      <c r="D88" s="2096"/>
      <c r="E88" s="2096"/>
      <c r="F88" s="2096"/>
      <c r="G88" s="2096"/>
      <c r="H88" s="2096"/>
      <c r="I88" s="2096"/>
      <c r="J88" s="2096"/>
      <c r="L88" s="2231"/>
      <c r="M88" s="2231"/>
      <c r="O88" s="1640"/>
      <c r="P88" s="1640"/>
    </row>
    <row r="89" spans="2:16" ht="13.5" customHeight="1" x14ac:dyDescent="0.2">
      <c r="B89" s="2096"/>
      <c r="C89" s="2096"/>
      <c r="D89" s="2096"/>
      <c r="E89" s="2096"/>
      <c r="F89" s="2096"/>
      <c r="G89" s="2096"/>
      <c r="H89" s="2096"/>
      <c r="I89" s="2096"/>
      <c r="J89" s="2096"/>
      <c r="L89" s="1562"/>
      <c r="M89" s="1562"/>
      <c r="N89" s="87"/>
      <c r="O89" s="1640"/>
      <c r="P89" s="1640"/>
    </row>
    <row r="90" spans="2:16" ht="13.5" customHeight="1" x14ac:dyDescent="0.2">
      <c r="B90" s="1145"/>
      <c r="C90" s="1145"/>
      <c r="D90" s="1145"/>
      <c r="E90" s="1145"/>
      <c r="F90" s="1145"/>
      <c r="G90" s="1145"/>
      <c r="H90" s="1145"/>
      <c r="I90" s="126"/>
      <c r="J90" s="126"/>
      <c r="K90" s="87"/>
      <c r="L90" s="87"/>
      <c r="M90" s="87"/>
      <c r="N90" s="87"/>
    </row>
    <row r="91" spans="2:16" ht="13.5" customHeight="1" x14ac:dyDescent="0.2">
      <c r="B91" s="1145"/>
      <c r="C91" s="1145"/>
      <c r="D91" s="1145"/>
      <c r="E91" s="1145"/>
      <c r="F91" s="1145"/>
      <c r="G91" s="1145"/>
      <c r="H91" s="1145"/>
      <c r="I91" s="126"/>
      <c r="J91" s="126"/>
      <c r="K91" s="87"/>
      <c r="L91" s="87"/>
      <c r="M91" s="87"/>
      <c r="N91" s="87"/>
    </row>
    <row r="92" spans="2:16" ht="13.5" customHeight="1" x14ac:dyDescent="0.2">
      <c r="B92" s="1145"/>
      <c r="C92" s="1145"/>
      <c r="D92" s="1145"/>
      <c r="E92" s="1145"/>
      <c r="F92" s="1145"/>
      <c r="G92" s="1145"/>
      <c r="H92" s="1145"/>
      <c r="I92" s="126"/>
      <c r="J92" s="126"/>
      <c r="K92" s="87"/>
      <c r="L92" s="87"/>
      <c r="M92" s="87"/>
      <c r="N92" s="87"/>
    </row>
    <row r="93" spans="2:16" ht="13.5" customHeight="1" x14ac:dyDescent="0.2">
      <c r="B93" s="1145"/>
      <c r="C93" s="1145"/>
      <c r="D93" s="1145"/>
      <c r="E93" s="1145"/>
      <c r="F93" s="1145"/>
      <c r="G93" s="1145"/>
      <c r="H93" s="1145"/>
      <c r="I93" s="126"/>
      <c r="J93" s="126"/>
      <c r="K93" s="87"/>
      <c r="L93" s="87"/>
      <c r="M93" s="87"/>
      <c r="N93" s="87"/>
    </row>
    <row r="94" spans="2:16" ht="13.5" customHeight="1" x14ac:dyDescent="0.2">
      <c r="B94" s="1145"/>
      <c r="C94" s="1145"/>
      <c r="D94" s="1145"/>
      <c r="E94" s="1145"/>
      <c r="F94" s="1145"/>
      <c r="G94" s="1145"/>
      <c r="H94" s="1145"/>
      <c r="I94" s="126"/>
      <c r="J94" s="126"/>
      <c r="K94" s="87"/>
      <c r="L94" s="87"/>
      <c r="M94" s="87"/>
      <c r="N94" s="87"/>
    </row>
    <row r="95" spans="2:16" ht="13.5" customHeight="1" x14ac:dyDescent="0.2">
      <c r="B95" s="1145"/>
      <c r="C95" s="1145"/>
      <c r="D95" s="1145"/>
      <c r="E95" s="1145"/>
      <c r="F95" s="1145"/>
      <c r="G95" s="1145"/>
      <c r="H95" s="1145"/>
      <c r="I95" s="126"/>
      <c r="J95" s="126"/>
      <c r="K95" s="87"/>
      <c r="L95" s="87"/>
      <c r="M95" s="87"/>
      <c r="N95" s="87"/>
    </row>
    <row r="96" spans="2:16" ht="13.5" customHeight="1" x14ac:dyDescent="0.2">
      <c r="B96" s="1145"/>
      <c r="C96" s="1145"/>
      <c r="D96" s="1145"/>
      <c r="E96" s="1145"/>
      <c r="F96" s="1145"/>
      <c r="G96" s="1145"/>
      <c r="H96" s="1145"/>
      <c r="I96" s="126"/>
      <c r="J96" s="126"/>
      <c r="K96" s="87"/>
      <c r="L96" s="87"/>
      <c r="M96" s="87"/>
      <c r="N96" s="87"/>
    </row>
    <row r="97" spans="2:28" ht="13.5" customHeight="1" x14ac:dyDescent="0.2">
      <c r="B97" s="1145"/>
      <c r="C97" s="1145"/>
      <c r="D97" s="1145"/>
      <c r="E97" s="1145"/>
      <c r="F97" s="1145"/>
      <c r="G97" s="1145"/>
      <c r="H97" s="1145"/>
      <c r="I97" s="126"/>
      <c r="J97" s="126"/>
      <c r="K97" s="87"/>
      <c r="L97" s="87"/>
      <c r="M97" s="87"/>
      <c r="N97" s="87"/>
    </row>
    <row r="98" spans="2:28" ht="13.5" customHeight="1" x14ac:dyDescent="0.2">
      <c r="B98" s="1145"/>
      <c r="C98" s="1145"/>
      <c r="D98" s="1145"/>
      <c r="E98" s="1145"/>
      <c r="F98" s="1145"/>
      <c r="G98" s="1145"/>
      <c r="H98" s="1145"/>
      <c r="I98" s="126"/>
      <c r="J98" s="126"/>
      <c r="K98" s="87"/>
      <c r="L98" s="87"/>
      <c r="M98" s="87"/>
      <c r="N98" s="87"/>
    </row>
    <row r="99" spans="2:28" ht="13.5" customHeight="1" x14ac:dyDescent="0.2">
      <c r="B99" s="1145"/>
      <c r="C99" s="1145"/>
      <c r="D99" s="1145"/>
      <c r="E99" s="1145"/>
      <c r="F99" s="1145"/>
      <c r="G99" s="1145"/>
      <c r="H99" s="1145"/>
      <c r="I99" s="126"/>
      <c r="J99" s="126"/>
      <c r="K99" s="87"/>
      <c r="L99" s="87"/>
      <c r="M99" s="87"/>
      <c r="N99" s="87"/>
    </row>
    <row r="100" spans="2:28" ht="13.5" customHeight="1" x14ac:dyDescent="0.2">
      <c r="B100" s="1145"/>
      <c r="C100" s="1145"/>
      <c r="D100" s="1145"/>
      <c r="E100" s="1145"/>
      <c r="F100" s="1145"/>
      <c r="G100" s="1145"/>
      <c r="H100" s="1145"/>
      <c r="I100" s="126"/>
      <c r="J100" s="126"/>
      <c r="K100" s="87"/>
      <c r="L100" s="87"/>
      <c r="M100" s="87"/>
      <c r="N100" s="87"/>
    </row>
    <row r="101" spans="2:28" ht="13.5" customHeight="1" x14ac:dyDescent="0.2">
      <c r="B101" s="1145"/>
      <c r="C101" s="1145"/>
      <c r="D101" s="1145"/>
      <c r="E101" s="1145"/>
      <c r="F101" s="1145"/>
      <c r="G101" s="1145"/>
      <c r="H101" s="1145"/>
      <c r="I101" s="126"/>
      <c r="J101" s="126"/>
      <c r="K101" s="87"/>
      <c r="L101" s="87"/>
      <c r="M101" s="87"/>
      <c r="N101" s="87"/>
    </row>
    <row r="102" spans="2:28" ht="13.5" customHeight="1" x14ac:dyDescent="0.2">
      <c r="B102" s="277"/>
      <c r="C102" s="277"/>
      <c r="D102" s="277"/>
      <c r="E102" s="277"/>
      <c r="F102" s="277"/>
      <c r="G102" s="277"/>
      <c r="H102" s="1145"/>
      <c r="I102" s="126"/>
      <c r="J102" s="126"/>
      <c r="K102" s="87"/>
      <c r="L102" s="87"/>
      <c r="M102" s="87"/>
      <c r="N102" s="87"/>
    </row>
    <row r="103" spans="2:28" ht="13.5" customHeight="1" x14ac:dyDescent="0.2">
      <c r="B103" s="2229" t="s">
        <v>1295</v>
      </c>
      <c r="C103" s="2230"/>
      <c r="D103" s="2119" t="s">
        <v>837</v>
      </c>
      <c r="E103" s="2120"/>
      <c r="F103" s="2121"/>
      <c r="G103" s="2119" t="s">
        <v>876</v>
      </c>
      <c r="H103" s="2120"/>
      <c r="I103" s="2115" t="s">
        <v>778</v>
      </c>
      <c r="J103" s="2116"/>
      <c r="K103" s="2116"/>
      <c r="L103" s="2117"/>
      <c r="M103" s="2105"/>
      <c r="N103" s="274"/>
      <c r="P103" s="172"/>
      <c r="Q103" s="172"/>
      <c r="S103" s="78"/>
      <c r="T103" s="172"/>
      <c r="X103" s="75"/>
      <c r="Y103" s="76"/>
      <c r="Z103" s="76"/>
      <c r="AA103" s="77"/>
      <c r="AB103" s="76"/>
    </row>
    <row r="104" spans="2:28" ht="13.5" customHeight="1" x14ac:dyDescent="0.2">
      <c r="B104" s="2229"/>
      <c r="C104" s="2230"/>
      <c r="D104" s="382" t="s">
        <v>840</v>
      </c>
      <c r="E104" s="383" t="s">
        <v>839</v>
      </c>
      <c r="F104" s="385" t="s">
        <v>838</v>
      </c>
      <c r="G104" s="1182" t="s">
        <v>549</v>
      </c>
      <c r="H104" s="384" t="s">
        <v>548</v>
      </c>
      <c r="I104" s="1881" t="s">
        <v>2</v>
      </c>
      <c r="J104" s="1882" t="s">
        <v>445</v>
      </c>
      <c r="K104" s="1883" t="s">
        <v>446</v>
      </c>
      <c r="L104" s="1564" t="s">
        <v>1077</v>
      </c>
      <c r="M104" s="2105"/>
      <c r="N104" s="274"/>
      <c r="P104" s="274"/>
      <c r="Q104" s="274"/>
      <c r="S104" s="78"/>
      <c r="T104" s="274"/>
      <c r="X104" s="75"/>
      <c r="Y104" s="76"/>
      <c r="Z104" s="76"/>
      <c r="AA104" s="77"/>
      <c r="AB104" s="76"/>
    </row>
    <row r="105" spans="2:28" ht="13.5" customHeight="1" x14ac:dyDescent="0.2">
      <c r="B105" s="350" t="s">
        <v>318</v>
      </c>
      <c r="C105" s="1146"/>
      <c r="D105" s="324">
        <f>VLOOKUP($I$3,SNAPClient_Demo,4,FALSE)</f>
        <v>3780</v>
      </c>
      <c r="E105" s="259">
        <f>VLOOKUP($I$3,SNAPClient_Demo,5,FALSE)</f>
        <v>4470</v>
      </c>
      <c r="F105" s="260">
        <f>VLOOKUP($I$3,SNAPClient_Demo,6,FALSE)</f>
        <v>473</v>
      </c>
      <c r="G105" s="1184">
        <f>VLOOKUP($I$3,SNAPClient_Demo,7,FALSE)</f>
        <v>4874</v>
      </c>
      <c r="H105" s="1188">
        <f>VLOOKUP($I$3,SNAPClient_Demo,8,FALSE)</f>
        <v>3850</v>
      </c>
      <c r="I105" s="1884">
        <f>VLOOKUP($I$3,SNAPClient_Demo,9,FALSE)</f>
        <v>4066</v>
      </c>
      <c r="J105" s="1885">
        <f>VLOOKUP($I$3,SNAPClient_Demo,10,FALSE)</f>
        <v>3922</v>
      </c>
      <c r="K105" s="1886">
        <f>VLOOKUP($I$3,SNAPClient_Demo,11,FALSE)</f>
        <v>167</v>
      </c>
      <c r="L105" s="1183">
        <f>VLOOKUP($I$3,SNAPClient_Demo,12,FALSE)</f>
        <v>569</v>
      </c>
      <c r="M105" s="269"/>
      <c r="N105" s="269"/>
      <c r="P105" s="268"/>
      <c r="Q105" s="268"/>
      <c r="S105" s="78"/>
      <c r="T105" s="162"/>
      <c r="V105" s="79"/>
      <c r="W105" s="79"/>
      <c r="X105" s="79"/>
      <c r="Y105" s="79"/>
      <c r="Z105" s="79"/>
      <c r="AA105" s="79"/>
      <c r="AB105" s="79"/>
    </row>
    <row r="106" spans="2:28" ht="13.5" customHeight="1" x14ac:dyDescent="0.2">
      <c r="B106" s="350" t="s">
        <v>409</v>
      </c>
      <c r="C106" s="1146"/>
      <c r="D106" s="324">
        <f>VLOOKUP(I3,TANFClient_Demo,4,FALSE)</f>
        <v>496</v>
      </c>
      <c r="E106" s="259">
        <f>VLOOKUP(I3,TANFClient_Demo,5,FALSE)</f>
        <v>262</v>
      </c>
      <c r="F106" s="260">
        <f>VLOOKUP(I3,TANFClient_Demo,6,FALSE)</f>
        <v>0</v>
      </c>
      <c r="G106" s="324">
        <f>VLOOKUP(I3,TANFClient_Demo,7,FALSE)</f>
        <v>451</v>
      </c>
      <c r="H106" s="1189">
        <f>VLOOKUP(I3,TANFClient_Demo,8,FALSE)</f>
        <v>308</v>
      </c>
      <c r="I106" s="1887">
        <f>VLOOKUP(I3,TANFClient_Demo,9,FALSE)</f>
        <v>267</v>
      </c>
      <c r="J106" s="1888">
        <f>VLOOKUP(I3,TANFClient_Demo,10,FALSE)</f>
        <v>427</v>
      </c>
      <c r="K106" s="1889">
        <f>VLOOKUP(I3,TANFClient_Demo,11,FALSE)</f>
        <v>30</v>
      </c>
      <c r="L106" s="1183">
        <f>VLOOKUP(I3,TANFClient_Demo,12,FALSE)</f>
        <v>35</v>
      </c>
      <c r="M106" s="269"/>
      <c r="N106" s="269"/>
      <c r="P106" s="268"/>
      <c r="Q106" s="268"/>
      <c r="S106" s="78"/>
      <c r="T106" s="162"/>
      <c r="V106" s="79"/>
      <c r="W106" s="79"/>
      <c r="X106" s="79"/>
      <c r="Y106" s="79"/>
      <c r="Z106" s="79"/>
      <c r="AA106" s="79"/>
      <c r="AB106" s="79"/>
    </row>
    <row r="107" spans="2:28" ht="13.5" customHeight="1" x14ac:dyDescent="0.2">
      <c r="B107" s="350" t="s">
        <v>762</v>
      </c>
      <c r="C107" s="1146"/>
      <c r="D107" s="324">
        <f>VLOOKUP(I3,MedicaidClient_Demographics,4,FALSE)</f>
        <v>5042</v>
      </c>
      <c r="E107" s="259">
        <f>VLOOKUP(I3,MedicaidClient_Demographics,5,FALSE)</f>
        <v>3655</v>
      </c>
      <c r="F107" s="260">
        <f>VLOOKUP(I3,MedicaidClient_Demographics,6,FALSE)</f>
        <v>1015</v>
      </c>
      <c r="G107" s="324">
        <f>VLOOKUP(I3,MedicaidClient_Demographics,7,FALSE)</f>
        <v>5604</v>
      </c>
      <c r="H107" s="1189">
        <f>VLOOKUP(I3,MedicaidClient_Demographics,8,FALSE)</f>
        <v>4108</v>
      </c>
      <c r="I107" s="1887">
        <f>VLOOKUP(I3,MedicaidClient_Demographics,9,FALSE)</f>
        <v>4626</v>
      </c>
      <c r="J107" s="1888">
        <f>VLOOKUP(I3,MedicaidClient_Demographics,10,FALSE)</f>
        <v>4454</v>
      </c>
      <c r="K107" s="1889">
        <f>VLOOKUP(I3,MedicaidClient_Demographics,11,FALSE)</f>
        <v>376</v>
      </c>
      <c r="L107" s="1183">
        <f>VLOOKUP(I3,MedicaidClient_Demographics,12,FALSE)</f>
        <v>99</v>
      </c>
      <c r="M107" s="269"/>
      <c r="N107" s="1180"/>
      <c r="P107" s="268"/>
      <c r="Q107" s="268"/>
      <c r="S107" s="78"/>
      <c r="T107" s="162"/>
      <c r="X107" s="75"/>
      <c r="Y107" s="76"/>
      <c r="Z107" s="76"/>
      <c r="AA107" s="77"/>
      <c r="AB107" s="76"/>
    </row>
    <row r="108" spans="2:28" ht="13.5" customHeight="1" x14ac:dyDescent="0.2">
      <c r="B108" s="1181" t="s">
        <v>882</v>
      </c>
      <c r="C108" s="965"/>
      <c r="D108" s="966">
        <f>VLOOKUP(I3,BenefitClient_Demo,4,FALSE)</f>
        <v>5524</v>
      </c>
      <c r="E108" s="967">
        <f>VLOOKUP(I3,BenefitClient_Demo,5,FALSE)</f>
        <v>5199</v>
      </c>
      <c r="F108" s="968">
        <f>VLOOKUP(I3,BenefitClient_Demo,6,FALSE)</f>
        <v>1092</v>
      </c>
      <c r="G108" s="966">
        <f>VLOOKUP(I3,BenefitClient_Demo,7,FALSE)</f>
        <v>6628</v>
      </c>
      <c r="H108" s="1190">
        <f>VLOOKUP(I3,BenefitClient_Demo,8,FALSE)</f>
        <v>5188</v>
      </c>
      <c r="I108" s="1890">
        <f>VLOOKUP(I3,BenefitClient_Demo,9,FALSE)</f>
        <v>5527</v>
      </c>
      <c r="J108" s="1891">
        <f>VLOOKUP(I3,BenefitClient_Demo,10,FALSE)</f>
        <v>5418</v>
      </c>
      <c r="K108" s="1892">
        <f>VLOOKUP(I3,BenefitClient_Demo,11,FALSE)</f>
        <v>403</v>
      </c>
      <c r="L108" s="1893">
        <f>VLOOKUP(I3,BenefitClient_Demo,12,FALSE)</f>
        <v>468</v>
      </c>
      <c r="M108" s="269"/>
      <c r="N108" s="269"/>
      <c r="O108" s="1178"/>
      <c r="P108" s="268"/>
      <c r="Q108" s="268"/>
      <c r="S108" s="78"/>
      <c r="T108" s="162"/>
      <c r="X108" s="75"/>
      <c r="Y108" s="76"/>
      <c r="Z108" s="76"/>
      <c r="AA108" s="77"/>
      <c r="AB108" s="76"/>
    </row>
    <row r="109" spans="2:28" ht="13.5" customHeight="1" x14ac:dyDescent="0.2">
      <c r="B109" s="2118" t="s">
        <v>1148</v>
      </c>
      <c r="C109" s="2118"/>
      <c r="D109" s="2118"/>
      <c r="E109" s="2118"/>
      <c r="F109" s="2118"/>
      <c r="G109" s="2118"/>
      <c r="H109" s="2118"/>
      <c r="I109" s="2118"/>
      <c r="J109" s="2118"/>
      <c r="K109" s="2118"/>
      <c r="L109" s="2118"/>
      <c r="M109" s="2020"/>
      <c r="N109" s="279"/>
      <c r="O109" s="279"/>
      <c r="P109" s="267"/>
    </row>
    <row r="110" spans="2:28" ht="13.5" customHeight="1" x14ac:dyDescent="0.2">
      <c r="B110" s="2020"/>
      <c r="C110" s="2020"/>
      <c r="D110" s="2020"/>
      <c r="E110" s="2020"/>
      <c r="F110" s="2020"/>
      <c r="G110" s="2020"/>
      <c r="H110" s="2020"/>
      <c r="I110" s="2020"/>
      <c r="J110" s="2020"/>
      <c r="K110" s="2020"/>
      <c r="L110" s="2020"/>
      <c r="M110" s="2020"/>
      <c r="N110" s="279"/>
      <c r="O110" s="279"/>
      <c r="P110" s="267"/>
    </row>
    <row r="111" spans="2:28" ht="13.5" customHeight="1" x14ac:dyDescent="0.2">
      <c r="B111" s="2125" t="s">
        <v>1308</v>
      </c>
      <c r="C111" s="2126"/>
      <c r="D111" s="2106" t="s">
        <v>866</v>
      </c>
      <c r="E111" s="2107"/>
      <c r="F111" s="2108"/>
      <c r="G111" s="2122" t="s">
        <v>871</v>
      </c>
      <c r="H111" s="2123"/>
      <c r="I111" s="2124"/>
      <c r="J111" s="2109" t="s">
        <v>870</v>
      </c>
      <c r="K111" s="1173"/>
      <c r="L111" s="1172"/>
      <c r="M111" s="1171"/>
      <c r="N111" s="1171"/>
      <c r="O111" s="1171"/>
      <c r="P111" s="1171"/>
      <c r="Q111" s="87"/>
      <c r="R111" s="80"/>
    </row>
    <row r="112" spans="2:28" ht="13.5" customHeight="1" x14ac:dyDescent="0.2">
      <c r="B112" s="2127"/>
      <c r="C112" s="2128"/>
      <c r="D112" s="2112" t="s">
        <v>318</v>
      </c>
      <c r="E112" s="2113" t="s">
        <v>409</v>
      </c>
      <c r="F112" s="2114" t="s">
        <v>865</v>
      </c>
      <c r="G112" s="2213" t="s">
        <v>867</v>
      </c>
      <c r="H112" s="2222" t="s">
        <v>868</v>
      </c>
      <c r="I112" s="2232" t="s">
        <v>869</v>
      </c>
      <c r="J112" s="2110"/>
      <c r="K112" s="1173"/>
      <c r="L112" s="1172"/>
      <c r="M112" s="1171"/>
      <c r="N112" s="1171"/>
      <c r="O112" s="1171"/>
      <c r="P112" s="1171"/>
      <c r="Q112" s="87"/>
      <c r="R112" s="80"/>
    </row>
    <row r="113" spans="2:24" ht="13.5" customHeight="1" x14ac:dyDescent="0.2">
      <c r="B113" s="2127"/>
      <c r="C113" s="2128"/>
      <c r="D113" s="2112"/>
      <c r="E113" s="2113"/>
      <c r="F113" s="2114"/>
      <c r="G113" s="2214"/>
      <c r="H113" s="2223"/>
      <c r="I113" s="2233"/>
      <c r="J113" s="2111"/>
      <c r="K113" s="1173"/>
      <c r="L113" s="1172"/>
      <c r="M113" s="1171"/>
      <c r="N113" s="1171"/>
      <c r="O113" s="1171"/>
      <c r="P113" s="1171"/>
      <c r="Q113" s="87"/>
      <c r="R113" s="80"/>
    </row>
    <row r="114" spans="2:24" ht="13.5" customHeight="1" x14ac:dyDescent="0.2">
      <c r="B114" s="2132">
        <v>2010</v>
      </c>
      <c r="C114" s="2133"/>
      <c r="D114" s="1803">
        <f>VLOOKUP(I3,SNAPCases_SFY, 4,FALSE)</f>
        <v>3524</v>
      </c>
      <c r="E114" s="1804">
        <f>VLOOKUP(I3,TANFCases_SFY,4,FALSE)</f>
        <v>375</v>
      </c>
      <c r="F114" s="1805">
        <f>VLOOKUP(I3,MedicaidCases_SFY,4,FALSE)</f>
        <v>5061</v>
      </c>
      <c r="G114" s="1910" t="s">
        <v>917</v>
      </c>
      <c r="H114" s="1911" t="s">
        <v>917</v>
      </c>
      <c r="I114" s="1912" t="s">
        <v>917</v>
      </c>
      <c r="J114" s="1904" t="s">
        <v>917</v>
      </c>
      <c r="K114" s="1174"/>
      <c r="L114" s="1170"/>
      <c r="M114" s="1171"/>
      <c r="N114" s="1171"/>
      <c r="O114" s="1171"/>
      <c r="P114" s="1171"/>
      <c r="Q114" s="87"/>
      <c r="R114" s="80"/>
    </row>
    <row r="115" spans="2:24" ht="13.5" customHeight="1" x14ac:dyDescent="0.2">
      <c r="B115" s="2174">
        <v>2011</v>
      </c>
      <c r="C115" s="2175"/>
      <c r="D115" s="1560">
        <f>VLOOKUP(I3,SNAPCases_SFY, 5,FALSE)</f>
        <v>3901</v>
      </c>
      <c r="E115" s="1808">
        <f>VLOOKUP(I3,TANFCases_SFY,5,FALSE)</f>
        <v>374</v>
      </c>
      <c r="F115" s="1809">
        <f>VLOOKUP(I3,MedicaidCases_SFY,5,FALSE)</f>
        <v>5183</v>
      </c>
      <c r="G115" s="1913" t="s">
        <v>917</v>
      </c>
      <c r="H115" s="1914" t="s">
        <v>917</v>
      </c>
      <c r="I115" s="1915" t="s">
        <v>917</v>
      </c>
      <c r="J115" s="1905" t="s">
        <v>917</v>
      </c>
      <c r="K115" s="1174"/>
      <c r="L115" s="1170"/>
      <c r="M115" s="1171"/>
      <c r="N115" s="1171"/>
      <c r="O115" s="1171"/>
      <c r="P115" s="1171"/>
      <c r="Q115" s="87"/>
      <c r="R115" s="80"/>
    </row>
    <row r="116" spans="2:24" ht="13.5" customHeight="1" x14ac:dyDescent="0.2">
      <c r="B116" s="2132">
        <v>2012</v>
      </c>
      <c r="C116" s="2133"/>
      <c r="D116" s="1561">
        <f>VLOOKUP(I3,SNAPCases_SFY, 6,FALSE)</f>
        <v>4257</v>
      </c>
      <c r="E116" s="1812">
        <f>VLOOKUP(I3,TANFCases_SFY,6,FALSE)</f>
        <v>387</v>
      </c>
      <c r="F116" s="1813">
        <f>VLOOKUP(I3,MedicaidCases_SFY,6,FALSE)</f>
        <v>5235</v>
      </c>
      <c r="G116" s="1916" t="s">
        <v>917</v>
      </c>
      <c r="H116" s="1917" t="s">
        <v>917</v>
      </c>
      <c r="I116" s="1918" t="s">
        <v>917</v>
      </c>
      <c r="J116" s="1906" t="s">
        <v>917</v>
      </c>
      <c r="K116" s="1174"/>
      <c r="L116" s="1170"/>
      <c r="M116" s="1171"/>
      <c r="N116" s="1171"/>
      <c r="O116" s="1171"/>
      <c r="P116" s="1171"/>
      <c r="Q116" s="87"/>
      <c r="R116" s="80"/>
    </row>
    <row r="117" spans="2:24" ht="13.5" customHeight="1" x14ac:dyDescent="0.2">
      <c r="B117" s="2174">
        <v>2013</v>
      </c>
      <c r="C117" s="2175"/>
      <c r="D117" s="1560">
        <f>VLOOKUP(I3,SNAPCases_SFY, 7,FALSE)</f>
        <v>4419</v>
      </c>
      <c r="E117" s="1808">
        <f>VLOOKUP(I3,TANFCases_SFY,7,FALSE)</f>
        <v>379</v>
      </c>
      <c r="F117" s="1809">
        <f>VLOOKUP(I3,MedicaidCases_SFY,7,FALSE)</f>
        <v>5244</v>
      </c>
      <c r="G117" s="1919">
        <f>VLOOKUP(I3,EACases_FFY,4,FALSE)</f>
        <v>1949</v>
      </c>
      <c r="H117" s="1920">
        <f>VLOOKUP(I3,EACases_FFY,8,FALSE)</f>
        <v>593</v>
      </c>
      <c r="I117" s="1921">
        <f>VLOOKUP(I3,EACases_FFY,12,FALSE)</f>
        <v>831</v>
      </c>
      <c r="J117" s="1905" t="s">
        <v>917</v>
      </c>
      <c r="K117" s="1174"/>
      <c r="L117" s="1170"/>
      <c r="M117" s="87"/>
      <c r="N117" s="87"/>
      <c r="O117" s="87"/>
      <c r="P117" s="87"/>
      <c r="Q117" s="87"/>
      <c r="R117" s="80"/>
    </row>
    <row r="118" spans="2:24" ht="13.5" customHeight="1" x14ac:dyDescent="0.2">
      <c r="B118" s="2201">
        <v>2014</v>
      </c>
      <c r="C118" s="2202"/>
      <c r="D118" s="1559">
        <f>VLOOKUP(I3,SNAPCases_SFY, 8,FALSE)</f>
        <v>4404</v>
      </c>
      <c r="E118" s="1901">
        <f>VLOOKUP(I3,TANFCases_SFY,8,FALSE)</f>
        <v>321</v>
      </c>
      <c r="F118" s="1902">
        <f>VLOOKUP(I3,MedicaidCases_SFY,8,FALSE)</f>
        <v>5279</v>
      </c>
      <c r="G118" s="1922">
        <f>VLOOKUP(I3,EACases_FFY,5,FALSE)</f>
        <v>1818</v>
      </c>
      <c r="H118" s="1923">
        <f>VLOOKUP(I3,EACases_FFY,9,FALSE)</f>
        <v>659</v>
      </c>
      <c r="I118" s="1924">
        <f>VLOOKUP(I3,EACases_FFY,13,FALSE)</f>
        <v>883</v>
      </c>
      <c r="J118" s="1908">
        <f>VLOOKUP(I3,ChildCareFamilies,4,FALSE)</f>
        <v>62</v>
      </c>
      <c r="K118" s="1174"/>
      <c r="L118" s="1170"/>
      <c r="M118" s="87"/>
      <c r="N118" s="87"/>
      <c r="O118" s="87"/>
      <c r="P118" s="87"/>
      <c r="Q118" s="87"/>
      <c r="R118" s="80"/>
    </row>
    <row r="119" spans="2:24" ht="13.5" customHeight="1" x14ac:dyDescent="0.2">
      <c r="B119" s="2174">
        <v>2015</v>
      </c>
      <c r="C119" s="2175"/>
      <c r="D119" s="1560">
        <f>VLOOKUP(I3,SNAPCases_SFY, 9,FALSE)</f>
        <v>4081</v>
      </c>
      <c r="E119" s="1808">
        <f>VLOOKUP(I3,TANFCases_SFY,9,FALSE)</f>
        <v>275</v>
      </c>
      <c r="F119" s="1809">
        <f>VLOOKUP(I3,MedicaidCases_SFY,9,FALSE)</f>
        <v>5412</v>
      </c>
      <c r="G119" s="1919">
        <f>VLOOKUP(I3,EACases_FFY,6,FALSE)</f>
        <v>1821</v>
      </c>
      <c r="H119" s="1920">
        <f>VLOOKUP(I3,EACases_FFY,10,FALSE)</f>
        <v>586</v>
      </c>
      <c r="I119" s="1921">
        <f>VLOOKUP(I3,EACases_FFY,14,FALSE)</f>
        <v>819</v>
      </c>
      <c r="J119" s="1907">
        <f>VLOOKUP(I3,ChildCareFamilies,5,FALSE)</f>
        <v>55</v>
      </c>
      <c r="K119" s="1174"/>
      <c r="L119" s="1170"/>
      <c r="M119" s="87"/>
      <c r="N119" s="87"/>
      <c r="O119" s="87"/>
      <c r="P119" s="87"/>
      <c r="Q119" s="87"/>
      <c r="R119" s="80"/>
    </row>
    <row r="120" spans="2:24" ht="13.5" customHeight="1" x14ac:dyDescent="0.2">
      <c r="B120" s="2205">
        <v>2016</v>
      </c>
      <c r="C120" s="2206"/>
      <c r="D120" s="1890">
        <f>VLOOKUP(I3,SNAPCases_SFY,10,FALSE)</f>
        <v>3754</v>
      </c>
      <c r="E120" s="1891">
        <f>VLOOKUP(I3,TANFCases_SFY,10,FALSE)</f>
        <v>245</v>
      </c>
      <c r="F120" s="1909">
        <f>VLOOKUP(I3,MedicaidCases_SFY,10,FALSE)</f>
        <v>5483</v>
      </c>
      <c r="G120" s="1925">
        <f>VLOOKUP(I3,EACases_FFY,7,FALSE)</f>
        <v>1680</v>
      </c>
      <c r="H120" s="1926">
        <f>VLOOKUP(I3,EACases_FFY,11,FALSE)</f>
        <v>528</v>
      </c>
      <c r="I120" s="1927">
        <f>VLOOKUP(I3,EACases_FFY,15,FALSE)</f>
        <v>582</v>
      </c>
      <c r="J120" s="1903">
        <f>VLOOKUP(I3,ChildCareFamilies,6,FALSE)</f>
        <v>52</v>
      </c>
      <c r="K120" s="1174"/>
      <c r="L120" s="1170"/>
      <c r="M120" s="87"/>
      <c r="N120" s="87"/>
      <c r="O120" s="87"/>
      <c r="P120" s="87"/>
      <c r="Q120" s="87"/>
      <c r="R120" s="80"/>
    </row>
    <row r="121" spans="2:24" ht="13.5" customHeight="1" x14ac:dyDescent="0.2">
      <c r="B121" s="2096" t="s">
        <v>1352</v>
      </c>
      <c r="C121" s="2096"/>
      <c r="D121" s="2096"/>
      <c r="E121" s="2096"/>
      <c r="F121" s="2096"/>
      <c r="G121" s="2096"/>
      <c r="H121" s="2096"/>
      <c r="I121" s="2096"/>
      <c r="J121" s="2096"/>
      <c r="K121" s="2096"/>
      <c r="L121" s="87"/>
      <c r="M121" s="87"/>
      <c r="N121" s="87"/>
      <c r="O121" s="87"/>
      <c r="P121" s="87"/>
      <c r="Q121" s="87"/>
      <c r="R121" s="80"/>
    </row>
    <row r="122" spans="2:24" ht="13.5" customHeight="1" x14ac:dyDescent="0.2">
      <c r="B122" s="2097"/>
      <c r="C122" s="2097"/>
      <c r="D122" s="2097"/>
      <c r="E122" s="2096"/>
      <c r="F122" s="2096"/>
      <c r="G122" s="2096"/>
      <c r="H122" s="2096"/>
      <c r="I122" s="2096"/>
      <c r="J122" s="2096"/>
      <c r="K122" s="2096"/>
      <c r="L122" s="87"/>
      <c r="M122" s="87"/>
      <c r="N122" s="87"/>
      <c r="O122" s="87"/>
      <c r="P122" s="87"/>
      <c r="Q122" s="87"/>
      <c r="R122" s="80"/>
    </row>
    <row r="123" spans="2:24" ht="13.5" customHeight="1" x14ac:dyDescent="0.2">
      <c r="B123" s="2203" t="s">
        <v>1136</v>
      </c>
      <c r="C123" s="2204"/>
      <c r="D123" s="2204"/>
      <c r="E123" s="2053" t="s">
        <v>582</v>
      </c>
      <c r="F123" s="2210" t="s">
        <v>778</v>
      </c>
      <c r="G123" s="2211"/>
      <c r="H123" s="2211"/>
      <c r="I123" s="2212"/>
      <c r="J123" s="2207" t="s">
        <v>770</v>
      </c>
      <c r="K123" s="2208"/>
      <c r="L123" s="2208"/>
      <c r="M123" s="2208"/>
      <c r="N123" s="2209"/>
      <c r="O123" s="85"/>
      <c r="P123" s="267"/>
    </row>
    <row r="124" spans="2:24" ht="13.5" customHeight="1" x14ac:dyDescent="0.2">
      <c r="B124" s="2203"/>
      <c r="C124" s="2204"/>
      <c r="D124" s="2204"/>
      <c r="E124" s="2054"/>
      <c r="F124" s="386" t="s">
        <v>2</v>
      </c>
      <c r="G124" s="387" t="s">
        <v>445</v>
      </c>
      <c r="H124" s="1933" t="s">
        <v>446</v>
      </c>
      <c r="I124" s="1934" t="s">
        <v>773</v>
      </c>
      <c r="J124" s="386" t="s">
        <v>1081</v>
      </c>
      <c r="K124" s="1313" t="s">
        <v>1082</v>
      </c>
      <c r="L124" s="1459" t="s">
        <v>1345</v>
      </c>
      <c r="M124" s="388" t="s">
        <v>1346</v>
      </c>
      <c r="N124" s="388" t="s">
        <v>1083</v>
      </c>
      <c r="O124" s="268"/>
      <c r="P124" s="268"/>
      <c r="X124" s="81"/>
    </row>
    <row r="125" spans="2:24" ht="13.5" customHeight="1" x14ac:dyDescent="0.2">
      <c r="B125" s="2093" t="s">
        <v>1084</v>
      </c>
      <c r="C125" s="2094"/>
      <c r="D125" s="2094"/>
      <c r="E125" s="324">
        <f>VLOOKUP(I3,FC_DEMO,4,FALSE)</f>
        <v>10</v>
      </c>
      <c r="F125" s="324">
        <f>VLOOKUP(I3,FC_DEMO,5,FALSE)</f>
        <v>7</v>
      </c>
      <c r="G125" s="1314">
        <f>VLOOKUP(I3,FC_DEMO,6,FALSE)</f>
        <v>2</v>
      </c>
      <c r="H125" s="1888">
        <f>VLOOKUP(I3,FC_DEMO,14,FALSE)</f>
        <v>1</v>
      </c>
      <c r="I125" s="1931">
        <f>VLOOKUP(I3,FC_DEMO,12,FALSE)</f>
        <v>0</v>
      </c>
      <c r="J125" s="1460">
        <f>VLOOKUP(I3,FC_DEMO,27,FALSE)</f>
        <v>5</v>
      </c>
      <c r="K125" s="1461">
        <f>VLOOKUP(I3,FC_DEMO,28,FALSE)</f>
        <v>2</v>
      </c>
      <c r="L125" s="1462">
        <f>VLOOKUP(I3,FC_DEMO,29,FALSE)</f>
        <v>1</v>
      </c>
      <c r="M125" s="1462">
        <f>VLOOKUP(I3,FC_DEMO,30,FALSE)</f>
        <v>2</v>
      </c>
      <c r="N125" s="1462">
        <f>VLOOKUP(I3,FC_DEMO,25,FALSE)</f>
        <v>0</v>
      </c>
      <c r="O125" s="268"/>
      <c r="P125" s="162"/>
      <c r="T125" s="82"/>
      <c r="U125" s="81"/>
      <c r="V125" s="81"/>
      <c r="W125" s="81"/>
      <c r="X125" s="81"/>
    </row>
    <row r="126" spans="2:24" ht="13.5" customHeight="1" x14ac:dyDescent="0.2">
      <c r="B126" s="2093" t="s">
        <v>1318</v>
      </c>
      <c r="C126" s="2094"/>
      <c r="D126" s="2095"/>
      <c r="E126" s="1179">
        <f>VLOOKUP(I3,Adoption_Child_Demo,4,FALSE)</f>
        <v>2</v>
      </c>
      <c r="F126" s="324">
        <f>VLOOKUP(I3,Adoption_Child_Demo,5,FALSE)</f>
        <v>1</v>
      </c>
      <c r="G126" s="1314">
        <f>VLOOKUP(I3,Adoption_Child_Demo,6,FALSE)</f>
        <v>0</v>
      </c>
      <c r="H126" s="1888">
        <f>VLOOKUP(I3,Adoption_Child_Demo,13,FALSE)</f>
        <v>1</v>
      </c>
      <c r="I126" s="1930">
        <f>VLOOKUP(I3,Adoption_Child_Demo,12,FALSE)</f>
        <v>0</v>
      </c>
      <c r="J126" s="1460">
        <f>VLOOKUP(I3,Adoption_Child_Demo,23,FALSE)</f>
        <v>2</v>
      </c>
      <c r="K126" s="1461">
        <f>VLOOKUP(I3,Adoption_Child_Demo,24,FALSE)</f>
        <v>0</v>
      </c>
      <c r="L126" s="1462">
        <f>VLOOKUP(I3,Adoption_Child_Demo,25,FALSE)</f>
        <v>0</v>
      </c>
      <c r="M126" s="1462">
        <f>VLOOKUP(I3,Adoption_Child_Demo,26,FALSE)</f>
        <v>0</v>
      </c>
      <c r="N126" s="1462">
        <f>VLOOKUP(I3,Adoption_Child_Demo,27,FALSE)</f>
        <v>0</v>
      </c>
      <c r="O126" s="268"/>
      <c r="P126" s="162"/>
      <c r="T126" s="82"/>
      <c r="U126" s="81"/>
      <c r="V126" s="81"/>
      <c r="W126" s="81"/>
      <c r="X126" s="81"/>
    </row>
    <row r="127" spans="2:24" ht="13.5" customHeight="1" x14ac:dyDescent="0.2">
      <c r="B127" s="2091" t="s">
        <v>877</v>
      </c>
      <c r="C127" s="2092"/>
      <c r="D127" s="2092"/>
      <c r="E127" s="353">
        <f>VLOOKUP(I3,AdoptionServices,4,FALSE)</f>
        <v>13</v>
      </c>
      <c r="F127" s="1315">
        <f>VLOOKUP(I3,AdoptionServices,5,FALSE)</f>
        <v>8</v>
      </c>
      <c r="G127" s="1316">
        <f>VLOOKUP(I3,AdoptionServices,6,FALSE)</f>
        <v>2</v>
      </c>
      <c r="H127" s="1316">
        <f>VLOOKUP(I3,AdoptionServices,12,FALSE)</f>
        <v>3</v>
      </c>
      <c r="I127" s="1932">
        <f>VLOOKUP(I3,AdoptionServices,11)</f>
        <v>0</v>
      </c>
      <c r="J127" s="1463">
        <f>VLOOKUP(I3,AdoptionServices,14,FALSE)</f>
        <v>2</v>
      </c>
      <c r="K127" s="1464">
        <f>VLOOKUP(I3,AdoptionServices,15,FALSE)</f>
        <v>3</v>
      </c>
      <c r="L127" s="1465">
        <f>VLOOKUP(I3,AdoptionServices,16,FALSE)</f>
        <v>5</v>
      </c>
      <c r="M127" s="1465">
        <f>VLOOKUP(I3,AdoptionServices,17,FALSE)</f>
        <v>3</v>
      </c>
      <c r="N127" s="1465">
        <f>VLOOKUP(I3,AdoptionServices,18,FALSE)</f>
        <v>0</v>
      </c>
      <c r="O127" s="268"/>
      <c r="P127" s="162"/>
      <c r="T127" s="82"/>
      <c r="U127" s="81"/>
      <c r="V127" s="81"/>
      <c r="W127" s="81"/>
      <c r="X127" s="81"/>
    </row>
    <row r="128" spans="2:24" ht="13.5" customHeight="1" x14ac:dyDescent="0.2">
      <c r="B128" s="2020" t="s">
        <v>1344</v>
      </c>
      <c r="C128" s="2020"/>
      <c r="D128" s="2020"/>
      <c r="E128" s="2020"/>
      <c r="F128" s="2020"/>
      <c r="G128" s="2020"/>
      <c r="H128" s="2020"/>
      <c r="I128" s="2020"/>
      <c r="J128" s="2020"/>
      <c r="K128" s="2020"/>
      <c r="L128" s="2020"/>
      <c r="M128" s="2020"/>
      <c r="N128" s="2020"/>
      <c r="O128" s="268"/>
      <c r="P128" s="162"/>
      <c r="T128" s="82"/>
      <c r="U128" s="81"/>
      <c r="V128" s="81"/>
      <c r="W128" s="81"/>
      <c r="X128" s="81"/>
    </row>
    <row r="129" spans="2:25" ht="13.5" customHeight="1" x14ac:dyDescent="0.2">
      <c r="B129" s="2020"/>
      <c r="C129" s="2020"/>
      <c r="D129" s="2020"/>
      <c r="E129" s="2020"/>
      <c r="F129" s="2020"/>
      <c r="G129" s="2020"/>
      <c r="H129" s="2020"/>
      <c r="I129" s="2020"/>
      <c r="J129" s="2020"/>
      <c r="K129" s="2020"/>
      <c r="L129" s="2020"/>
      <c r="M129" s="2020"/>
      <c r="N129" s="2020"/>
      <c r="O129" s="268"/>
      <c r="P129" s="162"/>
      <c r="T129" s="82"/>
      <c r="U129" s="81"/>
      <c r="V129" s="81"/>
      <c r="W129" s="81"/>
      <c r="X129" s="81"/>
    </row>
    <row r="130" spans="2:25" ht="13.5" customHeight="1" x14ac:dyDescent="0.2">
      <c r="B130" s="2183" t="s">
        <v>1224</v>
      </c>
      <c r="C130" s="2184"/>
      <c r="D130" s="2185"/>
      <c r="E130" s="2057" t="s">
        <v>449</v>
      </c>
      <c r="F130" s="2227" t="s">
        <v>1323</v>
      </c>
      <c r="G130" s="2190"/>
      <c r="H130" s="2190"/>
      <c r="I130" s="2190"/>
      <c r="J130" s="2190"/>
      <c r="K130" s="2224" t="s">
        <v>1322</v>
      </c>
      <c r="L130" s="2225"/>
      <c r="M130" s="2225"/>
      <c r="N130" s="2226"/>
      <c r="O130" s="268"/>
      <c r="P130" s="162"/>
      <c r="T130" s="82"/>
      <c r="U130" s="81"/>
      <c r="V130" s="81"/>
      <c r="W130" s="81"/>
      <c r="X130" s="81"/>
    </row>
    <row r="131" spans="2:25" ht="13.5" customHeight="1" x14ac:dyDescent="0.2">
      <c r="B131" s="2186"/>
      <c r="C131" s="2187"/>
      <c r="D131" s="2188"/>
      <c r="E131" s="2058"/>
      <c r="F131" s="1935" t="s">
        <v>2</v>
      </c>
      <c r="G131" s="1936" t="s">
        <v>445</v>
      </c>
      <c r="H131" s="1936" t="s">
        <v>446</v>
      </c>
      <c r="I131" s="1946" t="s">
        <v>773</v>
      </c>
      <c r="J131" s="1948" t="s">
        <v>551</v>
      </c>
      <c r="K131" s="1760" t="s">
        <v>1137</v>
      </c>
      <c r="L131" s="1760" t="s">
        <v>1321</v>
      </c>
      <c r="M131" s="1760" t="s">
        <v>1309</v>
      </c>
      <c r="N131" s="1760" t="s">
        <v>773</v>
      </c>
      <c r="O131" s="268"/>
      <c r="P131" s="162"/>
      <c r="T131" s="82"/>
      <c r="U131" s="81"/>
      <c r="V131" s="81"/>
      <c r="W131" s="81"/>
      <c r="X131" s="81"/>
    </row>
    <row r="132" spans="2:25" ht="13.5" customHeight="1" x14ac:dyDescent="0.2">
      <c r="B132" s="2017" t="s">
        <v>1360</v>
      </c>
      <c r="C132" s="2018"/>
      <c r="D132" s="2019"/>
      <c r="E132" s="1761">
        <f>VLOOKUP(I3,CPSReferrals,4,FALSE)</f>
        <v>373</v>
      </c>
      <c r="F132" s="1939">
        <f>VLOOKUP(I3,CPSReferrals,13,FALSE)</f>
        <v>222</v>
      </c>
      <c r="G132" s="1940">
        <f>VLOOKUP(I3,CPSReferrals,14,FALSE)</f>
        <v>149</v>
      </c>
      <c r="H132" s="1940">
        <f>VLOOKUP(I3,CPSReferrals,15,FALSE)</f>
        <v>0</v>
      </c>
      <c r="I132" s="1947">
        <f>VLOOKUP(I3,Children_CPS_Referrals,10,FALSE)</f>
        <v>0</v>
      </c>
      <c r="J132" s="1949">
        <f>VLOOKUP(I3, Children_CPS_Referrals,11,FALSE)</f>
        <v>50</v>
      </c>
      <c r="K132" s="1762">
        <f>VLOOKUP(I3,Children_CPS_Referrals,25,FALSE)</f>
        <v>99</v>
      </c>
      <c r="L132" s="1980">
        <f>VLOOKUP(I3,Children_CPS_Referrals,26,FALSE)</f>
        <v>179</v>
      </c>
      <c r="M132" s="1980">
        <f>VLOOKUP(I3,Children_CPS_Referrals, 27,FALSE)</f>
        <v>88</v>
      </c>
      <c r="N132" s="1980">
        <f>VLOOKUP(I3,Children_CPS_Referrals,23,FALSE)</f>
        <v>7</v>
      </c>
      <c r="O132" s="268"/>
      <c r="P132" s="162"/>
      <c r="T132" s="82"/>
      <c r="U132" s="81"/>
      <c r="V132" s="81"/>
      <c r="W132" s="81"/>
      <c r="X132" s="81"/>
    </row>
    <row r="133" spans="2:25" ht="13.5" customHeight="1" x14ac:dyDescent="0.2">
      <c r="B133" s="2020" t="s">
        <v>1324</v>
      </c>
      <c r="C133" s="2020"/>
      <c r="D133" s="2020"/>
      <c r="E133" s="2020"/>
      <c r="F133" s="2020"/>
      <c r="G133" s="2020"/>
      <c r="H133" s="2020"/>
      <c r="I133" s="2020"/>
      <c r="J133" s="2020"/>
      <c r="K133" s="2020"/>
      <c r="L133" s="2020"/>
      <c r="M133" s="2020"/>
      <c r="N133" s="2020"/>
      <c r="O133" s="268"/>
      <c r="P133" s="162"/>
      <c r="T133" s="82"/>
      <c r="U133" s="81"/>
      <c r="V133" s="81"/>
      <c r="W133" s="81"/>
      <c r="X133" s="81"/>
    </row>
    <row r="134" spans="2:25" ht="13.5" customHeight="1" x14ac:dyDescent="0.2">
      <c r="B134" s="2183" t="s">
        <v>1135</v>
      </c>
      <c r="C134" s="2184"/>
      <c r="D134" s="2185"/>
      <c r="E134" s="2057" t="s">
        <v>1150</v>
      </c>
      <c r="F134" s="2189" t="s">
        <v>1149</v>
      </c>
      <c r="G134" s="2190"/>
      <c r="H134" s="2190"/>
      <c r="I134" s="2191"/>
      <c r="J134" s="2061" t="s">
        <v>770</v>
      </c>
      <c r="K134" s="2062"/>
      <c r="L134" s="2063"/>
      <c r="M134" s="268"/>
      <c r="N134" s="268"/>
      <c r="O134" s="268"/>
      <c r="P134" s="162"/>
      <c r="T134" s="82"/>
      <c r="U134" s="81"/>
      <c r="V134" s="81"/>
      <c r="W134" s="81"/>
      <c r="X134" s="81"/>
    </row>
    <row r="135" spans="2:25" ht="13.5" customHeight="1" x14ac:dyDescent="0.2">
      <c r="B135" s="2186"/>
      <c r="C135" s="2187"/>
      <c r="D135" s="2188"/>
      <c r="E135" s="2058"/>
      <c r="F135" s="1935" t="s">
        <v>2</v>
      </c>
      <c r="G135" s="1936" t="s">
        <v>445</v>
      </c>
      <c r="H135" s="1936" t="s">
        <v>446</v>
      </c>
      <c r="I135" s="1938" t="s">
        <v>773</v>
      </c>
      <c r="J135" s="1935" t="s">
        <v>1144</v>
      </c>
      <c r="K135" s="1936" t="s">
        <v>781</v>
      </c>
      <c r="L135" s="1938" t="s">
        <v>773</v>
      </c>
      <c r="M135" s="268"/>
      <c r="N135" s="268"/>
      <c r="O135" s="268"/>
      <c r="P135" s="268"/>
      <c r="T135" s="82"/>
      <c r="U135" s="81"/>
      <c r="V135" s="81"/>
      <c r="W135" s="81"/>
      <c r="X135" s="81"/>
    </row>
    <row r="136" spans="2:25" ht="13.5" customHeight="1" x14ac:dyDescent="0.2">
      <c r="B136" s="2017" t="s">
        <v>1337</v>
      </c>
      <c r="C136" s="2018"/>
      <c r="D136" s="2019"/>
      <c r="E136" s="1761">
        <f>VLOOKUP(I3,APS_Reports,4,FALSE)</f>
        <v>76</v>
      </c>
      <c r="F136" s="1890">
        <f>VLOOKUP(I3,APS_Reports,5,FALSE)</f>
        <v>49</v>
      </c>
      <c r="G136" s="1891">
        <f>VLOOKUP(I3,APS_Reports,6,FALSE)</f>
        <v>27</v>
      </c>
      <c r="H136" s="1891">
        <f>VLOOKUP(I3,APS_Reports,7,FALSE)</f>
        <v>0</v>
      </c>
      <c r="I136" s="1937">
        <f>VLOOKUP(I3,APS_Reports,10,FALSE)</f>
        <v>0</v>
      </c>
      <c r="J136" s="1939">
        <f>VLOOKUP(I3,APS_Reports,11,FALSE)</f>
        <v>30</v>
      </c>
      <c r="K136" s="1940">
        <f>VLOOKUP(I3,APS_Reports,12,FALSE)</f>
        <v>46</v>
      </c>
      <c r="L136" s="1979">
        <f>VLOOKUP(I3,APS_Reports,13,FALSE)</f>
        <v>0</v>
      </c>
      <c r="M136" s="78"/>
      <c r="N136" s="78"/>
      <c r="O136" s="78"/>
      <c r="P136" s="162"/>
      <c r="T136" s="82"/>
      <c r="U136" s="81"/>
      <c r="V136" s="81"/>
      <c r="W136" s="81"/>
      <c r="X136" s="81"/>
    </row>
    <row r="137" spans="2:25" ht="13.5" customHeight="1" x14ac:dyDescent="0.2">
      <c r="B137" s="2020" t="s">
        <v>1338</v>
      </c>
      <c r="C137" s="2020"/>
      <c r="D137" s="2020"/>
      <c r="E137" s="2020"/>
      <c r="F137" s="2020"/>
      <c r="G137" s="2020"/>
      <c r="H137" s="2020"/>
      <c r="I137" s="2020"/>
      <c r="J137" s="2020"/>
      <c r="K137" s="2020"/>
      <c r="L137" s="2020"/>
      <c r="M137" s="2020"/>
      <c r="N137" s="125"/>
      <c r="O137" s="125"/>
      <c r="P137" s="83"/>
      <c r="Q137" s="83"/>
      <c r="T137" s="82"/>
      <c r="U137" s="81"/>
      <c r="V137" s="81"/>
      <c r="W137" s="81"/>
      <c r="X137" s="81"/>
    </row>
    <row r="138" spans="2:25" ht="13.5" customHeight="1" x14ac:dyDescent="0.2">
      <c r="G138" s="2064" t="s">
        <v>1356</v>
      </c>
      <c r="H138" s="2065"/>
      <c r="I138" s="2066"/>
      <c r="J138" s="2051" t="s">
        <v>314</v>
      </c>
      <c r="K138" s="2176" t="s">
        <v>315</v>
      </c>
      <c r="L138" s="2178" t="s">
        <v>1146</v>
      </c>
      <c r="M138" s="2192" t="s">
        <v>1067</v>
      </c>
      <c r="N138" s="78"/>
      <c r="O138" s="83"/>
      <c r="T138" s="82"/>
      <c r="U138" s="92"/>
      <c r="V138" s="127"/>
      <c r="W138" s="80"/>
      <c r="X138" s="80"/>
      <c r="Y138" s="87"/>
    </row>
    <row r="139" spans="2:25" ht="13.5" customHeight="1" x14ac:dyDescent="0.2">
      <c r="G139" s="2067" t="str">
        <f>D3</f>
        <v>Accomack</v>
      </c>
      <c r="H139" s="2068"/>
      <c r="I139" s="2069"/>
      <c r="J139" s="2052"/>
      <c r="K139" s="2177"/>
      <c r="L139" s="2179"/>
      <c r="M139" s="2193"/>
      <c r="N139" s="78"/>
      <c r="O139" s="83"/>
      <c r="T139" s="82"/>
      <c r="U139" s="92"/>
      <c r="V139" s="127"/>
      <c r="W139" s="80"/>
      <c r="X139" s="80"/>
      <c r="Y139" s="87"/>
    </row>
    <row r="140" spans="2:25" ht="13.5" customHeight="1" x14ac:dyDescent="0.2">
      <c r="G140" s="2172" t="s">
        <v>317</v>
      </c>
      <c r="H140" s="2173"/>
      <c r="I140" s="2173"/>
      <c r="J140" s="1443">
        <f>J141+J142</f>
        <v>1850806.6023633333</v>
      </c>
      <c r="K140" s="1443">
        <f t="shared" ref="K140:M140" si="0">K141+K142</f>
        <v>949891.17763666669</v>
      </c>
      <c r="L140" s="1443">
        <f t="shared" si="0"/>
        <v>774159.79</v>
      </c>
      <c r="M140" s="1444">
        <f t="shared" si="0"/>
        <v>3574857.57</v>
      </c>
      <c r="N140" s="78"/>
      <c r="O140" s="83"/>
      <c r="T140" s="82"/>
      <c r="V140" s="87"/>
      <c r="W140" s="87"/>
      <c r="X140" s="87"/>
      <c r="Y140" s="87"/>
    </row>
    <row r="141" spans="2:25" ht="13.5" customHeight="1" x14ac:dyDescent="0.2">
      <c r="G141" s="2047" t="s">
        <v>926</v>
      </c>
      <c r="H141" s="2048"/>
      <c r="I141" s="2048"/>
      <c r="J141" s="1359">
        <f>VLOOKUP(I3,Staffing_LASER,4,FALSE)</f>
        <v>1789405.8023633333</v>
      </c>
      <c r="K141" s="1445">
        <f>VLOOKUP(I3,Staffing_LASER,5,FALSE)</f>
        <v>949891.17763666669</v>
      </c>
      <c r="L141" s="1445">
        <f>VLOOKUP(I3,Staffing_LASER,11,FALSE)</f>
        <v>606158.59</v>
      </c>
      <c r="M141" s="389">
        <f>VLOOKUP(I3,Staffing_LASER,9,FALSE)</f>
        <v>3345455.57</v>
      </c>
      <c r="N141" s="78"/>
      <c r="O141" s="83"/>
      <c r="T141" s="82"/>
      <c r="V141" s="128"/>
      <c r="W141" s="80"/>
      <c r="X141" s="80"/>
      <c r="Y141" s="87"/>
    </row>
    <row r="142" spans="2:25" ht="13.5" customHeight="1" x14ac:dyDescent="0.2">
      <c r="G142" s="2047" t="s">
        <v>955</v>
      </c>
      <c r="H142" s="2048"/>
      <c r="I142" s="2048"/>
      <c r="J142" s="1359">
        <f>VLOOKUP(I3,Other_Oper_Exp_LASER,4,FALSE)</f>
        <v>61400.800000000003</v>
      </c>
      <c r="K142" s="1445">
        <f>VLOOKUP(I3,Other_Oper_Exp_LASER,5,FALSE)</f>
        <v>0</v>
      </c>
      <c r="L142" s="1445">
        <f>VLOOKUP(I3,Other_Oper_Exp_LASER,11,FALSE)</f>
        <v>168001.2</v>
      </c>
      <c r="M142" s="389">
        <f>VLOOKUP(I3,Other_Oper_Exp_LASER,9,FALSE)</f>
        <v>229402</v>
      </c>
      <c r="P142" s="312"/>
      <c r="Q142" s="312"/>
      <c r="R142" s="302"/>
      <c r="S142" s="301"/>
      <c r="T142" s="82"/>
      <c r="U142" s="81"/>
      <c r="V142" s="81"/>
      <c r="W142" s="81"/>
      <c r="X142" s="81"/>
    </row>
    <row r="143" spans="2:25" ht="13.5" customHeight="1" x14ac:dyDescent="0.2">
      <c r="G143" s="2049" t="s">
        <v>1060</v>
      </c>
      <c r="H143" s="2050"/>
      <c r="I143" s="2050"/>
      <c r="J143" s="1397">
        <f>J140/M140</f>
        <v>0.51772876712493288</v>
      </c>
      <c r="K143" s="1397">
        <f>K140/M140</f>
        <v>0.26571441212318475</v>
      </c>
      <c r="L143" s="1397">
        <f>L140/M140</f>
        <v>0.21655682075188246</v>
      </c>
      <c r="M143" s="1398">
        <f>M140/M140</f>
        <v>1</v>
      </c>
      <c r="P143" s="312"/>
      <c r="Q143" s="312"/>
      <c r="R143" s="302"/>
      <c r="S143" s="301"/>
      <c r="T143" s="82"/>
    </row>
    <row r="144" spans="2:25" ht="13.5" customHeight="1" x14ac:dyDescent="0.2">
      <c r="G144" s="2059" t="s">
        <v>1057</v>
      </c>
      <c r="H144" s="2060"/>
      <c r="I144" s="2060"/>
      <c r="J144" s="1446">
        <f>J140/J159</f>
        <v>4.9762040481450394E-2</v>
      </c>
      <c r="K144" s="1446">
        <f>K140/K159</f>
        <v>3.5066912315458262E-2</v>
      </c>
      <c r="L144" s="1446">
        <f>L140/L159</f>
        <v>0.72831230977430883</v>
      </c>
      <c r="M144" s="1447">
        <f>M140/M159</f>
        <v>5.4708231127196597E-2</v>
      </c>
      <c r="P144" s="312"/>
      <c r="Q144" s="312"/>
      <c r="R144" s="303"/>
      <c r="S144" s="301"/>
      <c r="T144" s="82"/>
    </row>
    <row r="145" spans="7:25" ht="13.5" customHeight="1" x14ac:dyDescent="0.2">
      <c r="G145" s="2170" t="s">
        <v>958</v>
      </c>
      <c r="H145" s="2171"/>
      <c r="I145" s="2171"/>
      <c r="J145" s="1401">
        <f>VLOOKUP(I3,Client_Svcs_LASER,4,FALSE)</f>
        <v>63400.393606312617</v>
      </c>
      <c r="K145" s="1402">
        <f>VLOOKUP(I3,Client_Svcs_LASER,5,FALSE)</f>
        <v>8449.1963936873817</v>
      </c>
      <c r="L145" s="1402">
        <f>VLOOKUP(I3,Client_Svcs_LASER,11,FALSE)</f>
        <v>28846.470000000005</v>
      </c>
      <c r="M145" s="1403">
        <f>VLOOKUP(I3,Client_Svcs_LASER,9, FALSE)</f>
        <v>100696.06</v>
      </c>
      <c r="P145" s="312"/>
      <c r="Q145" s="312"/>
      <c r="R145" s="303"/>
      <c r="S145" s="301"/>
      <c r="T145" s="82"/>
    </row>
    <row r="146" spans="7:25" ht="13.5" customHeight="1" x14ac:dyDescent="0.2">
      <c r="G146" s="1396" t="s">
        <v>1061</v>
      </c>
      <c r="H146" s="1395"/>
      <c r="I146" s="1395"/>
      <c r="J146" s="1397">
        <f>J145/M145</f>
        <v>0.62962139339227985</v>
      </c>
      <c r="K146" s="1399">
        <f>K145/M145</f>
        <v>8.3907914507155318E-2</v>
      </c>
      <c r="L146" s="1399">
        <f>L145/M145</f>
        <v>0.28647069210056486</v>
      </c>
      <c r="M146" s="1400">
        <f>M145/M145</f>
        <v>1</v>
      </c>
      <c r="P146" s="312"/>
      <c r="Q146" s="312"/>
      <c r="R146" s="303"/>
      <c r="S146" s="301"/>
      <c r="T146" s="82"/>
    </row>
    <row r="147" spans="7:25" ht="13.5" customHeight="1" x14ac:dyDescent="0.2">
      <c r="G147" s="2168" t="s">
        <v>1058</v>
      </c>
      <c r="H147" s="2169"/>
      <c r="I147" s="2169"/>
      <c r="J147" s="1448">
        <f>J145/J159</f>
        <v>1.704625944790027E-3</v>
      </c>
      <c r="K147" s="1449">
        <f>K145/K159</f>
        <v>3.1191702381180701E-4</v>
      </c>
      <c r="L147" s="1449">
        <f>L145/L159</f>
        <v>2.7138117305905683E-2</v>
      </c>
      <c r="M147" s="1450">
        <f>M145/M159</f>
        <v>1.5410133735980023E-3</v>
      </c>
      <c r="P147" s="311"/>
      <c r="Q147" s="311"/>
      <c r="T147" s="81"/>
      <c r="U147" s="81" t="s">
        <v>1066</v>
      </c>
      <c r="V147" s="81" t="s">
        <v>1065</v>
      </c>
      <c r="W147" s="81" t="s">
        <v>1064</v>
      </c>
      <c r="Y147" s="87"/>
    </row>
    <row r="148" spans="7:25" ht="13.5" customHeight="1" x14ac:dyDescent="0.2">
      <c r="G148" s="2166" t="s">
        <v>1277</v>
      </c>
      <c r="H148" s="2167"/>
      <c r="I148" s="2167"/>
      <c r="J148" s="1443">
        <f>SUM(J149:J156)</f>
        <v>35278934.291177765</v>
      </c>
      <c r="K148" s="1443">
        <f>SUM(K149:K156)</f>
        <v>26129621.32306876</v>
      </c>
      <c r="L148" s="1443">
        <f>SUM(L149:L156)</f>
        <v>259944.04251499998</v>
      </c>
      <c r="M148" s="1444">
        <f>SUM(M149:M156)</f>
        <v>61668499.65676152</v>
      </c>
      <c r="P148" s="311"/>
      <c r="Q148" s="311"/>
      <c r="T148" s="81"/>
      <c r="U148" s="81"/>
      <c r="V148" s="81"/>
      <c r="W148" s="81"/>
      <c r="Y148" s="87"/>
    </row>
    <row r="149" spans="7:25" ht="13.5" customHeight="1" x14ac:dyDescent="0.2">
      <c r="G149" s="2047" t="s">
        <v>1268</v>
      </c>
      <c r="H149" s="2048"/>
      <c r="I149" s="2048"/>
      <c r="J149" s="1359">
        <f>VLOOKUP(I3,Medicaid_FAMIS_LASER,5,FALSE)</f>
        <v>26428886.94119177</v>
      </c>
      <c r="K149" s="1445">
        <f>VLOOKUP(I3,Medicaid_FAMIS_LASER,6,FALSE)</f>
        <v>25190220.353054762</v>
      </c>
      <c r="L149" s="1445">
        <f>VLOOKUP(I3,Medicaid_FAMIS_LASER,7,FALSE)</f>
        <v>72968.982514999996</v>
      </c>
      <c r="M149" s="389">
        <f>VLOOKUP(I3,Medicaid_FAMIS_LASER,4,FALSE)</f>
        <v>51692076.276761532</v>
      </c>
      <c r="P149" s="311"/>
      <c r="Q149" s="311"/>
      <c r="T149" s="81" t="s">
        <v>314</v>
      </c>
      <c r="U149" s="1406">
        <f>J144</f>
        <v>4.9762040481450394E-2</v>
      </c>
      <c r="V149" s="1406">
        <f>J147</f>
        <v>1.704625944790027E-3</v>
      </c>
      <c r="W149" s="1406">
        <f>J158</f>
        <v>0.94853333357375957</v>
      </c>
      <c r="Y149" s="87"/>
    </row>
    <row r="150" spans="7:25" ht="13.5" customHeight="1" x14ac:dyDescent="0.2">
      <c r="G150" s="2047" t="s">
        <v>318</v>
      </c>
      <c r="H150" s="2048"/>
      <c r="I150" s="2048"/>
      <c r="J150" s="1359">
        <f>VLOOKUP(I3,SNAP_LASER,5,FALSE)</f>
        <v>7585336</v>
      </c>
      <c r="K150" s="1445">
        <v>0</v>
      </c>
      <c r="L150" s="1445">
        <v>0</v>
      </c>
      <c r="M150" s="389">
        <f>VLOOKUP(I3,SNAP_LASER,4,FALSE)</f>
        <v>7585336</v>
      </c>
      <c r="N150" s="78"/>
      <c r="O150" s="83"/>
      <c r="P150" s="83"/>
      <c r="Q150" s="83"/>
      <c r="T150" s="81" t="s">
        <v>315</v>
      </c>
      <c r="U150" s="1406">
        <f>K144</f>
        <v>3.5066912315458262E-2</v>
      </c>
      <c r="V150" s="1406">
        <f>K147</f>
        <v>3.1191702381180701E-4</v>
      </c>
      <c r="W150" s="1406">
        <f>K158</f>
        <v>0.96462117066072983</v>
      </c>
      <c r="Y150" s="87"/>
    </row>
    <row r="151" spans="7:25" ht="13.5" customHeight="1" x14ac:dyDescent="0.2">
      <c r="G151" s="2047" t="s">
        <v>409</v>
      </c>
      <c r="H151" s="2048"/>
      <c r="I151" s="2048"/>
      <c r="J151" s="1359">
        <f>VLOOKUP(I3,TANF_LASER,4,FALSE)</f>
        <v>141080.08998600001</v>
      </c>
      <c r="K151" s="1359">
        <f>VLOOKUP(I3,TANF_LASER,6,FALSE)</f>
        <v>179601.49001400001</v>
      </c>
      <c r="L151" s="1359">
        <f>VLOOKUP(I3,TANF_LASER,10,FALSE)</f>
        <v>0</v>
      </c>
      <c r="M151" s="1451">
        <f>VLOOKUP(I3,TANF_LASER,9,FALSE)</f>
        <v>320681.58</v>
      </c>
      <c r="N151" s="78"/>
      <c r="O151" s="83"/>
      <c r="P151" s="83"/>
      <c r="Q151" s="83"/>
      <c r="T151" s="81" t="s">
        <v>662</v>
      </c>
      <c r="U151" s="1406">
        <f>L144</f>
        <v>0.72831230977430883</v>
      </c>
      <c r="V151" s="1406">
        <f>L147</f>
        <v>2.7138117305905683E-2</v>
      </c>
      <c r="W151" s="1406">
        <f>L158</f>
        <v>0.24454957291978541</v>
      </c>
      <c r="X151" s="81"/>
    </row>
    <row r="152" spans="7:25" ht="13.5" customHeight="1" x14ac:dyDescent="0.2">
      <c r="G152" s="2047" t="s">
        <v>1278</v>
      </c>
      <c r="H152" s="2048"/>
      <c r="I152" s="2048"/>
      <c r="J152" s="1359">
        <f>VLOOKUP(I3,EA_LASER,5,FALSE)</f>
        <v>897630.91</v>
      </c>
      <c r="K152" s="1445">
        <f>VLOOKUP(I3,EA_LASER,7,FALSE)</f>
        <v>0</v>
      </c>
      <c r="L152" s="1445">
        <f>VLOOKUP(I3,EA_LASER,10,FALSE)</f>
        <v>0</v>
      </c>
      <c r="M152" s="389">
        <f>VLOOKUP(I3,EA_LASER,4,FALSE)</f>
        <v>897630.91</v>
      </c>
      <c r="N152" s="78"/>
      <c r="O152" s="83"/>
      <c r="P152" s="83"/>
      <c r="Q152" s="83"/>
      <c r="T152" s="81" t="s">
        <v>281</v>
      </c>
      <c r="U152" s="1406">
        <f>M144</f>
        <v>5.4708231127196597E-2</v>
      </c>
      <c r="V152" s="1406">
        <f>M147</f>
        <v>1.5410133735980023E-3</v>
      </c>
      <c r="W152" s="1406">
        <f>M158</f>
        <v>0.9437507554992054</v>
      </c>
      <c r="X152" s="81"/>
    </row>
    <row r="153" spans="7:25" ht="13.5" customHeight="1" x14ac:dyDescent="0.2">
      <c r="G153" s="2047" t="s">
        <v>1279</v>
      </c>
      <c r="H153" s="2048"/>
      <c r="I153" s="2048"/>
      <c r="J153" s="1842">
        <f>VLOOKUP(I3,FC_Adop_LASER,4,FALSE)</f>
        <v>108731.38</v>
      </c>
      <c r="K153" s="1843">
        <f>VLOOKUP(I3,FC_Adop_LASER,5,FALSE)</f>
        <v>171067.38</v>
      </c>
      <c r="L153" s="1845">
        <f>VLOOKUP(I3,FC_Adop_LASER,8,FALSE)</f>
        <v>-7.0000000000000007E-2</v>
      </c>
      <c r="M153" s="1846">
        <f>VLOOKUP(I3,FC_Adop_LASER,9,FALSE)</f>
        <v>279798.69</v>
      </c>
      <c r="N153" s="78"/>
      <c r="O153" s="83"/>
      <c r="P153" s="83"/>
      <c r="Q153" s="83"/>
      <c r="T153" s="81"/>
      <c r="U153" s="1406"/>
      <c r="V153" s="1406"/>
      <c r="W153" s="1406"/>
      <c r="X153" s="81"/>
    </row>
    <row r="154" spans="7:25" ht="13.5" customHeight="1" x14ac:dyDescent="0.2">
      <c r="G154" s="2055" t="s">
        <v>1009</v>
      </c>
      <c r="H154" s="2048"/>
      <c r="I154" s="2056"/>
      <c r="J154" s="1842">
        <f>VLOOKUP(I3,CSA_LASER,4,FALSE)</f>
        <v>0</v>
      </c>
      <c r="K154" s="1843">
        <f>VLOOKUP(I3,CSA_LASER,5,FALSE)</f>
        <v>436173.54</v>
      </c>
      <c r="L154" s="1845">
        <f>VLOOKUP(I3,CSA_LASER,9,FALSE)</f>
        <v>152464.93</v>
      </c>
      <c r="M154" s="1846">
        <f>VLOOKUP(I3,CSA_LASER,8,FALSE)</f>
        <v>588638.47</v>
      </c>
      <c r="N154" s="78"/>
      <c r="O154" s="83"/>
      <c r="P154" s="83"/>
      <c r="Q154" s="83"/>
      <c r="T154" s="81"/>
      <c r="U154" s="1406"/>
      <c r="V154" s="1406"/>
      <c r="W154" s="1406"/>
      <c r="X154" s="81"/>
    </row>
    <row r="155" spans="7:25" ht="13.5" customHeight="1" x14ac:dyDescent="0.2">
      <c r="G155" s="1426" t="s">
        <v>1011</v>
      </c>
      <c r="H155" s="1388"/>
      <c r="I155" s="1388"/>
      <c r="J155" s="1359">
        <f>VLOOKUP(I3,ChildCareLASER,9,FALSE)</f>
        <v>119712</v>
      </c>
      <c r="K155" s="1359">
        <f>VLOOKUP(I3,ChildCareLASER,10,FALSE)</f>
        <v>16865</v>
      </c>
      <c r="L155" s="1445">
        <v>0</v>
      </c>
      <c r="M155" s="389">
        <f>VLOOKUP(I3,ChildCareLASER,8,FALSE)</f>
        <v>136577</v>
      </c>
      <c r="N155" s="78"/>
      <c r="O155" s="83"/>
      <c r="P155" s="83"/>
      <c r="Q155" s="83"/>
      <c r="T155" s="82"/>
      <c r="U155" s="81"/>
      <c r="V155" s="81"/>
      <c r="W155" s="81"/>
      <c r="X155" s="81"/>
    </row>
    <row r="156" spans="7:25" ht="13.5" customHeight="1" x14ac:dyDescent="0.2">
      <c r="G156" s="2047" t="s">
        <v>1012</v>
      </c>
      <c r="H156" s="2048"/>
      <c r="I156" s="2048"/>
      <c r="J156" s="1359">
        <f>VLOOKUP(I3,OT_BENE_LASER,4,FALSE)</f>
        <v>-2443.0300000000002</v>
      </c>
      <c r="K156" s="1359">
        <f>VLOOKUP(I3,OT_BENE_LASER,5,FALSE)</f>
        <v>135693.56</v>
      </c>
      <c r="L156" s="1359">
        <f>VLOOKUP(I3,OT_BENE_LASER,8,FALSE)</f>
        <v>34510.199999999997</v>
      </c>
      <c r="M156" s="1451">
        <f>VLOOKUP(I3,OT_BENE_LASER,9,FALSE)</f>
        <v>167760.72999999998</v>
      </c>
      <c r="N156" s="78"/>
      <c r="O156" s="83"/>
      <c r="P156" s="83"/>
      <c r="Q156" s="83"/>
      <c r="T156" s="82"/>
      <c r="U156" s="81"/>
      <c r="V156" s="81"/>
      <c r="W156" s="81"/>
      <c r="X156" s="81"/>
    </row>
    <row r="157" spans="7:25" ht="13.5" customHeight="1" x14ac:dyDescent="0.2">
      <c r="G157" s="2049" t="s">
        <v>1062</v>
      </c>
      <c r="H157" s="2050"/>
      <c r="I157" s="2050"/>
      <c r="J157" s="1397">
        <f>J148/M148</f>
        <v>0.57207382192749157</v>
      </c>
      <c r="K157" s="1397">
        <f>K148/M148</f>
        <v>0.4237109945677725</v>
      </c>
      <c r="L157" s="1397">
        <f>L148/M148</f>
        <v>4.2151835047360186E-3</v>
      </c>
      <c r="M157" s="1398">
        <f>M148/M148</f>
        <v>1</v>
      </c>
      <c r="N157" s="78"/>
      <c r="O157" s="83"/>
      <c r="P157" s="83"/>
      <c r="Q157" s="83"/>
      <c r="T157" s="82"/>
      <c r="U157" s="81"/>
      <c r="V157" s="81"/>
      <c r="W157" s="81"/>
      <c r="X157" s="81"/>
    </row>
    <row r="158" spans="7:25" ht="13.5" customHeight="1" x14ac:dyDescent="0.2">
      <c r="G158" s="2059" t="s">
        <v>1059</v>
      </c>
      <c r="H158" s="2060"/>
      <c r="I158" s="2060"/>
      <c r="J158" s="1452">
        <f>J148/J159</f>
        <v>0.94853333357375957</v>
      </c>
      <c r="K158" s="1452">
        <f>K148/K159</f>
        <v>0.96462117066072983</v>
      </c>
      <c r="L158" s="1452">
        <f>L148/L159</f>
        <v>0.24454957291978541</v>
      </c>
      <c r="M158" s="1453">
        <f>M148/M159</f>
        <v>0.9437507554992054</v>
      </c>
      <c r="N158" s="78"/>
      <c r="O158" s="83"/>
      <c r="P158" s="83"/>
      <c r="Q158" s="83"/>
      <c r="T158" s="82"/>
      <c r="U158" s="81"/>
      <c r="V158" s="81"/>
      <c r="W158" s="81"/>
      <c r="X158" s="81"/>
    </row>
    <row r="159" spans="7:25" ht="13.5" customHeight="1" x14ac:dyDescent="0.2">
      <c r="G159" s="2181" t="s">
        <v>1068</v>
      </c>
      <c r="H159" s="2182"/>
      <c r="I159" s="2182"/>
      <c r="J159" s="1404">
        <f>J140+J145+J148</f>
        <v>37193141.28714741</v>
      </c>
      <c r="K159" s="1404">
        <f>K140+K145+K148</f>
        <v>27087961.697099116</v>
      </c>
      <c r="L159" s="1404">
        <f>L140+L145+L148</f>
        <v>1062950.3025150001</v>
      </c>
      <c r="M159" s="1405">
        <f>M140+M145+M148</f>
        <v>65344053.286761522</v>
      </c>
      <c r="N159" s="92"/>
      <c r="O159" s="92"/>
      <c r="P159" s="83"/>
      <c r="Q159" s="83"/>
      <c r="T159" s="82"/>
      <c r="U159" s="81"/>
      <c r="V159" s="81"/>
      <c r="W159" s="81"/>
      <c r="X159" s="81"/>
    </row>
    <row r="160" spans="7:25" ht="13.5" customHeight="1" x14ac:dyDescent="0.2">
      <c r="G160" s="1454" t="s">
        <v>1063</v>
      </c>
      <c r="H160" s="1455"/>
      <c r="I160" s="1456"/>
      <c r="J160" s="1457">
        <f>J159/$M159</f>
        <v>0.56918938168597832</v>
      </c>
      <c r="K160" s="390">
        <f>K159/$M159</f>
        <v>0.41454363992732363</v>
      </c>
      <c r="L160" s="390">
        <f>L159/$M159</f>
        <v>1.6266978386698123E-2</v>
      </c>
      <c r="M160" s="391">
        <f>SUM(J160:L160)</f>
        <v>1.0000000000000002</v>
      </c>
      <c r="N160" s="92"/>
      <c r="O160" s="92"/>
      <c r="Q160" s="83"/>
      <c r="T160" s="82"/>
      <c r="U160" s="81"/>
      <c r="V160" s="81"/>
      <c r="W160" s="81"/>
      <c r="X160" s="81"/>
    </row>
    <row r="161" spans="2:25" ht="13.5" customHeight="1" x14ac:dyDescent="0.2">
      <c r="C161" s="91"/>
      <c r="D161" s="91"/>
      <c r="E161" s="133"/>
      <c r="F161" s="133"/>
      <c r="G161" s="2180" t="s">
        <v>1145</v>
      </c>
      <c r="H161" s="2180"/>
      <c r="I161" s="2180"/>
      <c r="J161" s="2180"/>
      <c r="K161" s="2180"/>
      <c r="L161" s="2180"/>
      <c r="M161" s="2180"/>
      <c r="N161" s="92"/>
      <c r="O161" s="92"/>
      <c r="P161" s="83"/>
      <c r="Q161" s="83"/>
      <c r="T161" s="82"/>
      <c r="U161" s="81"/>
      <c r="V161" s="81"/>
      <c r="W161" s="81"/>
      <c r="X161" s="81"/>
    </row>
    <row r="162" spans="2:25" ht="13.5" customHeight="1" x14ac:dyDescent="0.2">
      <c r="B162" s="2165"/>
      <c r="C162" s="2165"/>
      <c r="D162" s="2165"/>
      <c r="E162" s="2164" t="s">
        <v>1272</v>
      </c>
      <c r="F162" s="2164"/>
      <c r="G162" s="91"/>
      <c r="H162" s="133"/>
      <c r="J162" s="2164" t="s">
        <v>1273</v>
      </c>
      <c r="K162" s="2164"/>
      <c r="N162" s="92"/>
      <c r="O162" s="92"/>
      <c r="P162" s="83"/>
      <c r="Q162" s="83"/>
      <c r="T162" s="82"/>
      <c r="U162" s="81"/>
    </row>
    <row r="163" spans="2:25" ht="13.5" customHeight="1" x14ac:dyDescent="0.2">
      <c r="B163" s="2165"/>
      <c r="C163" s="2165"/>
      <c r="D163" s="2165"/>
      <c r="E163" s="2164"/>
      <c r="F163" s="2164"/>
      <c r="G163" s="91"/>
      <c r="H163" s="133"/>
      <c r="J163" s="2164"/>
      <c r="K163" s="2164"/>
      <c r="N163" s="92"/>
      <c r="O163" s="92"/>
      <c r="P163" s="83"/>
      <c r="Q163" s="83"/>
      <c r="T163" s="82"/>
      <c r="U163" s="81"/>
    </row>
    <row r="164" spans="2:25" ht="13.5" customHeight="1" x14ac:dyDescent="0.2">
      <c r="B164" s="2165"/>
      <c r="C164" s="2165"/>
      <c r="D164" s="2165"/>
      <c r="E164" s="2164"/>
      <c r="F164" s="2164"/>
      <c r="G164" s="91"/>
      <c r="H164" s="133"/>
      <c r="J164" s="2164"/>
      <c r="K164" s="2164"/>
      <c r="N164" s="92"/>
      <c r="O164" s="92"/>
      <c r="P164" s="83"/>
      <c r="Q164" s="83"/>
      <c r="T164" s="82"/>
      <c r="U164" s="81"/>
    </row>
    <row r="165" spans="2:25" ht="13.5" customHeight="1" x14ac:dyDescent="0.2">
      <c r="B165" s="2165"/>
      <c r="C165" s="2165"/>
      <c r="D165" s="2165"/>
      <c r="E165" s="2164"/>
      <c r="F165" s="2164"/>
      <c r="G165" s="91"/>
      <c r="H165" s="133"/>
      <c r="J165" s="2164"/>
      <c r="K165" s="2164"/>
      <c r="N165" s="92"/>
      <c r="O165" s="92"/>
      <c r="P165" s="83"/>
      <c r="Q165" s="83"/>
      <c r="T165" s="82"/>
      <c r="U165" s="81"/>
    </row>
    <row r="166" spans="2:25" ht="13.5" customHeight="1" x14ac:dyDescent="0.2">
      <c r="C166" s="91"/>
      <c r="D166" s="91"/>
      <c r="E166" s="133"/>
      <c r="F166" s="133"/>
      <c r="G166" s="91"/>
      <c r="H166" s="133"/>
      <c r="N166" s="92"/>
      <c r="O166" s="92"/>
      <c r="P166" s="83"/>
      <c r="Q166" s="83"/>
      <c r="T166" s="82"/>
      <c r="U166" s="81"/>
    </row>
    <row r="167" spans="2:25" ht="13.5" customHeight="1" x14ac:dyDescent="0.2">
      <c r="B167" s="2041" t="s">
        <v>1302</v>
      </c>
      <c r="C167" s="2042"/>
      <c r="D167" s="2043"/>
      <c r="E167" s="2028" t="s">
        <v>835</v>
      </c>
      <c r="F167" s="2030" t="s">
        <v>834</v>
      </c>
      <c r="G167" s="2030" t="s">
        <v>304</v>
      </c>
      <c r="H167" s="2032" t="s">
        <v>635</v>
      </c>
      <c r="I167" s="2034" t="s">
        <v>612</v>
      </c>
      <c r="J167" s="2027"/>
      <c r="K167" s="1335"/>
      <c r="L167" s="2039"/>
      <c r="M167" s="2039"/>
      <c r="U167" s="159"/>
    </row>
    <row r="168" spans="2:25" ht="13.5" customHeight="1" x14ac:dyDescent="0.2">
      <c r="B168" s="2044"/>
      <c r="C168" s="2045"/>
      <c r="D168" s="2046"/>
      <c r="E168" s="2029"/>
      <c r="F168" s="2031"/>
      <c r="G168" s="2031"/>
      <c r="H168" s="2033"/>
      <c r="I168" s="2035"/>
      <c r="J168" s="2027"/>
      <c r="K168" s="1335"/>
      <c r="L168" s="2039"/>
      <c r="M168" s="2039"/>
      <c r="U168" s="69"/>
      <c r="V168" s="69"/>
      <c r="W168" s="69"/>
      <c r="X168" s="69"/>
      <c r="Y168" s="69"/>
    </row>
    <row r="169" spans="2:25" ht="13.5" customHeight="1" x14ac:dyDescent="0.2">
      <c r="B169" s="350" t="s">
        <v>737</v>
      </c>
      <c r="C169" s="176"/>
      <c r="D169" s="176"/>
      <c r="E169" s="280">
        <f>VLOOKUP($I$3,Staffing,4,FALSE)</f>
        <v>33</v>
      </c>
      <c r="F169" s="281">
        <f>VLOOKUP($I$3,Staffing,5,FALSE)</f>
        <v>19</v>
      </c>
      <c r="G169" s="281">
        <f>VLOOKUP($I$3,Staffing,6,FALSE)</f>
        <v>0</v>
      </c>
      <c r="H169" s="282">
        <f>E169+F169+G169</f>
        <v>52</v>
      </c>
      <c r="I169" s="351">
        <f>H169/H171</f>
        <v>0.72222222222222221</v>
      </c>
      <c r="J169" s="957"/>
      <c r="K169" s="958"/>
      <c r="L169" s="2040"/>
      <c r="M169" s="2040"/>
      <c r="U169" s="86"/>
      <c r="V169" s="86"/>
      <c r="W169" s="86"/>
      <c r="X169" s="86"/>
      <c r="Y169" s="86"/>
    </row>
    <row r="170" spans="2:25" ht="13.5" customHeight="1" x14ac:dyDescent="0.2">
      <c r="B170" s="350" t="s">
        <v>738</v>
      </c>
      <c r="C170" s="176"/>
      <c r="D170" s="176"/>
      <c r="E170" s="280">
        <f>VLOOKUP($I$3,Staffing,8,FALSE)</f>
        <v>12</v>
      </c>
      <c r="F170" s="281">
        <f>VLOOKUP($I$3,Staffing,9,FALSE)</f>
        <v>6</v>
      </c>
      <c r="G170" s="281">
        <f>VLOOKUP($I$3,Staffing,10,FALSE)</f>
        <v>2</v>
      </c>
      <c r="H170" s="282">
        <f>E170+F170+G170</f>
        <v>20</v>
      </c>
      <c r="I170" s="352">
        <f>H170/H171</f>
        <v>0.27777777777777779</v>
      </c>
      <c r="J170" s="957"/>
      <c r="K170" s="958"/>
      <c r="L170" s="2040"/>
      <c r="M170" s="2040"/>
      <c r="U170" s="86"/>
      <c r="V170" s="86"/>
      <c r="W170" s="86"/>
      <c r="X170" s="86"/>
      <c r="Y170" s="86"/>
    </row>
    <row r="171" spans="2:25" ht="13.5" customHeight="1" x14ac:dyDescent="0.2">
      <c r="B171" s="350" t="s">
        <v>739</v>
      </c>
      <c r="C171" s="176"/>
      <c r="D171" s="176"/>
      <c r="E171" s="280">
        <f>+E170+E169</f>
        <v>45</v>
      </c>
      <c r="F171" s="281">
        <f>+F170+F169</f>
        <v>25</v>
      </c>
      <c r="G171" s="281">
        <f>+G170+G169</f>
        <v>2</v>
      </c>
      <c r="H171" s="282">
        <f>+H170+H169</f>
        <v>72</v>
      </c>
      <c r="I171" s="351">
        <f>H171/H171</f>
        <v>1</v>
      </c>
      <c r="J171" s="957"/>
      <c r="K171" s="958"/>
      <c r="L171" s="2040"/>
      <c r="M171" s="2040"/>
      <c r="U171" s="86"/>
      <c r="V171" s="86"/>
      <c r="W171" s="86"/>
      <c r="X171" s="86"/>
      <c r="Y171" s="86"/>
    </row>
    <row r="172" spans="2:25" ht="13.5" customHeight="1" x14ac:dyDescent="0.2">
      <c r="B172" s="2022" t="s">
        <v>628</v>
      </c>
      <c r="C172" s="2023"/>
      <c r="D172" s="2024"/>
      <c r="E172" s="328">
        <f>IF(E171=0,"NA",(E170/E171))</f>
        <v>0.26666666666666666</v>
      </c>
      <c r="F172" s="329">
        <f>IF(F171=0,"NA",(F170/F171))</f>
        <v>0.24</v>
      </c>
      <c r="G172" s="329">
        <f>IF(G171=0,"NA",(G170/G171))</f>
        <v>1</v>
      </c>
      <c r="H172" s="330">
        <f>IF(H171=0,"NA",(H170/H171))</f>
        <v>0.27777777777777779</v>
      </c>
      <c r="I172" s="2025"/>
      <c r="J172" s="959"/>
      <c r="K172" s="960"/>
      <c r="L172" s="2040"/>
      <c r="M172" s="2040"/>
    </row>
    <row r="173" spans="2:25" ht="13.5" customHeight="1" x14ac:dyDescent="0.2">
      <c r="B173" s="2022" t="s">
        <v>629</v>
      </c>
      <c r="C173" s="2023"/>
      <c r="D173" s="2024"/>
      <c r="E173" s="328">
        <f>Staffing!W6</f>
        <v>0.19497573508421354</v>
      </c>
      <c r="F173" s="328">
        <f>Staffing!X6</f>
        <v>0.1774427370252247</v>
      </c>
      <c r="G173" s="328">
        <f>Staffing!Y6</f>
        <v>0.28251121076233182</v>
      </c>
      <c r="H173" s="328">
        <f>Staffing!Z6</f>
        <v>0.19300981561324648</v>
      </c>
      <c r="I173" s="2026"/>
      <c r="J173" s="959"/>
      <c r="K173" s="960"/>
      <c r="L173" s="2040"/>
      <c r="M173" s="2040"/>
      <c r="O173" s="87"/>
      <c r="P173" s="87"/>
      <c r="R173" s="80"/>
    </row>
    <row r="174" spans="2:25" ht="23.25" customHeight="1" x14ac:dyDescent="0.2">
      <c r="B174" s="2020" t="s">
        <v>1303</v>
      </c>
      <c r="C174" s="2020"/>
      <c r="D174" s="2020"/>
      <c r="E174" s="2020"/>
      <c r="F174" s="2020"/>
      <c r="G174" s="2020"/>
      <c r="H174" s="2020"/>
      <c r="I174" s="2020"/>
      <c r="J174" s="2020"/>
      <c r="K174" s="2020"/>
      <c r="L174" s="279"/>
      <c r="O174" s="87"/>
      <c r="P174" s="87"/>
      <c r="R174" s="80"/>
    </row>
    <row r="175" spans="2:25" x14ac:dyDescent="0.2">
      <c r="B175" s="131"/>
      <c r="C175" s="131"/>
      <c r="D175" s="131"/>
      <c r="E175" s="131"/>
      <c r="F175" s="131"/>
      <c r="G175" s="131"/>
      <c r="H175" s="131"/>
      <c r="I175" s="132"/>
      <c r="J175" s="132"/>
      <c r="K175" s="132"/>
      <c r="L175" s="132"/>
      <c r="M175" s="132"/>
      <c r="N175" s="132"/>
      <c r="O175" s="132"/>
    </row>
    <row r="176" spans="2:25" x14ac:dyDescent="0.2">
      <c r="B176" s="70" t="s">
        <v>1353</v>
      </c>
      <c r="C176" s="70"/>
      <c r="D176" s="70"/>
      <c r="E176" s="70"/>
      <c r="F176" s="70"/>
      <c r="G176" s="70"/>
      <c r="H176" s="70"/>
      <c r="I176" s="67"/>
      <c r="J176" s="67"/>
      <c r="K176" s="67"/>
      <c r="L176" s="67"/>
      <c r="M176" s="67"/>
    </row>
    <row r="177" spans="2:15" x14ac:dyDescent="0.2">
      <c r="B177" s="66" t="s">
        <v>565</v>
      </c>
      <c r="I177" s="67"/>
      <c r="J177" s="67"/>
      <c r="K177" s="67"/>
      <c r="L177" s="67"/>
      <c r="M177" s="67"/>
    </row>
    <row r="178" spans="2:15" s="133" customFormat="1" ht="24.75" customHeight="1" x14ac:dyDescent="0.2">
      <c r="B178" s="2037" t="s">
        <v>1250</v>
      </c>
      <c r="C178" s="2037"/>
      <c r="D178" s="2037"/>
      <c r="E178" s="2037"/>
      <c r="F178" s="2037"/>
      <c r="G178" s="2037"/>
      <c r="H178" s="2037"/>
      <c r="I178" s="2037"/>
      <c r="J178" s="2037"/>
      <c r="K178" s="2037"/>
      <c r="L178" s="2037"/>
      <c r="M178" s="2037"/>
      <c r="N178" s="2037"/>
      <c r="O178" s="84"/>
    </row>
    <row r="179" spans="2:15" ht="12" customHeight="1" x14ac:dyDescent="0.2">
      <c r="B179" s="2037" t="s">
        <v>1010</v>
      </c>
      <c r="C179" s="2037"/>
      <c r="D179" s="2037"/>
      <c r="E179" s="2037"/>
      <c r="F179" s="2037"/>
      <c r="G179" s="2037"/>
      <c r="H179" s="2037"/>
      <c r="I179" s="2037"/>
      <c r="J179" s="2037"/>
      <c r="K179" s="2037"/>
      <c r="L179" s="2037"/>
      <c r="M179" s="2037"/>
      <c r="N179" s="2037"/>
      <c r="O179" s="84"/>
    </row>
    <row r="180" spans="2:15" ht="63" customHeight="1" x14ac:dyDescent="0.2">
      <c r="B180" s="2036" t="s">
        <v>1275</v>
      </c>
      <c r="C180" s="2036"/>
      <c r="D180" s="2036"/>
      <c r="E180" s="2036"/>
      <c r="F180" s="2036"/>
      <c r="G180" s="2036"/>
      <c r="H180" s="2036"/>
      <c r="I180" s="2036"/>
      <c r="J180" s="2036"/>
      <c r="K180" s="2036"/>
      <c r="L180" s="2036"/>
      <c r="M180" s="2036"/>
      <c r="N180" s="2036"/>
      <c r="O180" s="1357"/>
    </row>
    <row r="181" spans="2:15" ht="25.5" customHeight="1" x14ac:dyDescent="0.2">
      <c r="B181" s="2037" t="s">
        <v>1276</v>
      </c>
      <c r="C181" s="2037"/>
      <c r="D181" s="2037"/>
      <c r="E181" s="2037"/>
      <c r="F181" s="2037"/>
      <c r="G181" s="2037"/>
      <c r="H181" s="2037"/>
      <c r="I181" s="2037"/>
      <c r="J181" s="2037"/>
      <c r="K181" s="2037"/>
      <c r="L181" s="2037"/>
      <c r="M181" s="2037"/>
      <c r="N181" s="2037"/>
      <c r="O181" s="1357"/>
    </row>
    <row r="182" spans="2:15" x14ac:dyDescent="0.2">
      <c r="B182" s="133" t="s">
        <v>1269</v>
      </c>
      <c r="C182" s="1357"/>
      <c r="D182" s="1357"/>
      <c r="E182" s="1357"/>
      <c r="F182" s="1357"/>
      <c r="G182" s="1357"/>
      <c r="H182" s="1357"/>
      <c r="I182" s="1357"/>
      <c r="J182" s="1357"/>
      <c r="K182" s="1357"/>
      <c r="L182" s="1357"/>
      <c r="M182" s="1357"/>
      <c r="N182" s="1357"/>
      <c r="O182" s="1357"/>
    </row>
    <row r="183" spans="2:15" ht="12" customHeight="1" x14ac:dyDescent="0.2">
      <c r="B183" s="2037" t="s">
        <v>1280</v>
      </c>
      <c r="C183" s="2037"/>
      <c r="D183" s="2037"/>
      <c r="E183" s="2037"/>
      <c r="F183" s="2037"/>
      <c r="G183" s="2037"/>
      <c r="H183" s="2037"/>
      <c r="I183" s="2037"/>
      <c r="J183" s="2037"/>
      <c r="K183" s="2037"/>
      <c r="L183" s="2037"/>
      <c r="M183" s="2037"/>
      <c r="N183" s="2037"/>
      <c r="O183" s="84"/>
    </row>
    <row r="184" spans="2:15" x14ac:dyDescent="0.2">
      <c r="B184" s="133" t="s">
        <v>1281</v>
      </c>
      <c r="C184" s="1362"/>
      <c r="D184" s="1362"/>
      <c r="E184" s="1362"/>
      <c r="F184" s="1362"/>
      <c r="G184" s="1362"/>
      <c r="H184" s="1362"/>
      <c r="I184" s="1362"/>
      <c r="J184" s="1362"/>
      <c r="K184" s="1362"/>
      <c r="L184" s="1362"/>
      <c r="M184" s="1362"/>
      <c r="N184" s="1362"/>
      <c r="O184" s="1362"/>
    </row>
    <row r="185" spans="2:15" x14ac:dyDescent="0.2">
      <c r="B185" s="133" t="s">
        <v>1282</v>
      </c>
      <c r="C185" s="1374"/>
      <c r="D185" s="1374"/>
      <c r="E185" s="1374"/>
      <c r="F185" s="1374"/>
      <c r="G185" s="1374"/>
      <c r="H185" s="1374"/>
      <c r="I185" s="1374"/>
      <c r="J185" s="1374"/>
      <c r="K185" s="1374"/>
      <c r="L185" s="1374"/>
      <c r="M185" s="1374"/>
      <c r="N185" s="1374"/>
      <c r="O185" s="1374"/>
    </row>
    <row r="186" spans="2:15" ht="24" customHeight="1" x14ac:dyDescent="0.2">
      <c r="B186" s="2038" t="s">
        <v>1274</v>
      </c>
      <c r="C186" s="2038"/>
      <c r="D186" s="2038"/>
      <c r="E186" s="2038"/>
      <c r="F186" s="2038"/>
      <c r="G186" s="2038"/>
      <c r="H186" s="2038"/>
      <c r="I186" s="2038"/>
      <c r="J186" s="2038"/>
      <c r="K186" s="2038"/>
      <c r="L186" s="2038"/>
      <c r="M186" s="2038"/>
      <c r="N186" s="2038"/>
    </row>
    <row r="187" spans="2:15" x14ac:dyDescent="0.2">
      <c r="B187" s="70"/>
      <c r="C187" s="70"/>
      <c r="D187" s="70"/>
      <c r="E187" s="70"/>
      <c r="F187" s="70"/>
      <c r="G187" s="70"/>
      <c r="H187" s="70"/>
      <c r="I187" s="67"/>
      <c r="J187" s="67"/>
      <c r="K187" s="67"/>
      <c r="L187" s="67"/>
      <c r="M187" s="67"/>
    </row>
    <row r="192" spans="2:15" ht="12.75" customHeight="1" x14ac:dyDescent="0.2">
      <c r="B192" s="263"/>
      <c r="C192" s="263"/>
      <c r="D192" s="263"/>
      <c r="E192" s="263"/>
      <c r="F192" s="263"/>
      <c r="G192" s="263"/>
      <c r="H192" s="263"/>
      <c r="I192" s="263"/>
      <c r="J192" s="263"/>
      <c r="K192" s="263"/>
      <c r="L192" s="265"/>
      <c r="M192" s="265"/>
      <c r="N192" s="265"/>
    </row>
    <row r="193" spans="2:15" ht="12.75" customHeight="1" x14ac:dyDescent="0.2">
      <c r="B193" s="262"/>
      <c r="C193" s="262"/>
      <c r="D193" s="262"/>
      <c r="E193" s="262"/>
      <c r="F193" s="262"/>
      <c r="G193" s="262"/>
      <c r="H193" s="262"/>
      <c r="I193" s="263"/>
      <c r="J193" s="263"/>
      <c r="K193" s="263"/>
      <c r="L193" s="130"/>
      <c r="M193" s="130"/>
      <c r="N193" s="130"/>
    </row>
    <row r="194" spans="2:15" x14ac:dyDescent="0.2">
      <c r="B194" s="263"/>
      <c r="C194" s="263"/>
      <c r="D194" s="262"/>
      <c r="E194" s="262"/>
      <c r="F194" s="262"/>
      <c r="G194" s="262"/>
      <c r="H194" s="262"/>
      <c r="I194" s="263"/>
      <c r="J194" s="262"/>
      <c r="K194" s="262"/>
      <c r="L194" s="262"/>
      <c r="M194" s="262"/>
      <c r="N194" s="262"/>
      <c r="O194" s="262"/>
    </row>
    <row r="195" spans="2:15" x14ac:dyDescent="0.2">
      <c r="B195" s="68"/>
      <c r="L195" s="73"/>
      <c r="M195" s="73"/>
      <c r="N195" s="88"/>
      <c r="O195" s="88"/>
    </row>
    <row r="196" spans="2:15" x14ac:dyDescent="0.2">
      <c r="B196" s="73"/>
      <c r="C196" s="73"/>
      <c r="D196" s="73"/>
      <c r="E196" s="73"/>
      <c r="F196" s="73"/>
      <c r="G196" s="73"/>
      <c r="H196" s="73"/>
      <c r="I196" s="89"/>
      <c r="J196" s="88"/>
      <c r="K196" s="88"/>
      <c r="L196" s="73"/>
      <c r="M196" s="73"/>
      <c r="N196" s="88"/>
      <c r="O196" s="88"/>
    </row>
    <row r="197" spans="2:15" x14ac:dyDescent="0.2">
      <c r="B197" s="73"/>
      <c r="C197" s="73"/>
      <c r="D197" s="73"/>
      <c r="E197" s="73"/>
      <c r="F197" s="73"/>
      <c r="G197" s="73"/>
      <c r="H197" s="73"/>
      <c r="I197" s="89"/>
      <c r="J197" s="88"/>
      <c r="K197" s="88"/>
      <c r="L197" s="73"/>
      <c r="M197" s="73"/>
      <c r="N197" s="88"/>
      <c r="O197" s="88"/>
    </row>
    <row r="198" spans="2:15" x14ac:dyDescent="0.2">
      <c r="B198" s="73"/>
      <c r="C198" s="73"/>
      <c r="D198" s="73"/>
      <c r="E198" s="73"/>
      <c r="F198" s="73"/>
      <c r="G198" s="73"/>
      <c r="H198" s="73"/>
      <c r="I198" s="89"/>
      <c r="J198" s="88"/>
      <c r="K198" s="88"/>
      <c r="L198" s="73"/>
      <c r="M198" s="73"/>
      <c r="N198" s="88"/>
      <c r="O198" s="88"/>
    </row>
    <row r="199" spans="2:15" x14ac:dyDescent="0.2">
      <c r="B199" s="73"/>
      <c r="C199" s="73"/>
      <c r="D199" s="73"/>
      <c r="E199" s="73"/>
      <c r="F199" s="73"/>
      <c r="G199" s="73"/>
      <c r="H199" s="73"/>
      <c r="I199" s="89"/>
      <c r="J199" s="88"/>
      <c r="K199" s="88"/>
      <c r="L199" s="73"/>
      <c r="M199" s="73"/>
      <c r="N199" s="88"/>
      <c r="O199" s="88"/>
    </row>
    <row r="200" spans="2:15" x14ac:dyDescent="0.2">
      <c r="B200" s="73"/>
      <c r="C200" s="73"/>
      <c r="D200" s="73"/>
      <c r="E200" s="73"/>
      <c r="F200" s="73"/>
      <c r="G200" s="73"/>
      <c r="H200" s="73"/>
      <c r="I200" s="89"/>
      <c r="J200" s="88"/>
      <c r="K200" s="88"/>
      <c r="L200" s="73"/>
      <c r="M200" s="73"/>
      <c r="N200" s="88"/>
      <c r="O200" s="88"/>
    </row>
    <row r="201" spans="2:15" x14ac:dyDescent="0.2">
      <c r="B201" s="73"/>
      <c r="C201" s="73"/>
      <c r="D201" s="73"/>
      <c r="E201" s="73"/>
      <c r="F201" s="73"/>
      <c r="G201" s="73"/>
      <c r="H201" s="73"/>
      <c r="I201" s="89"/>
      <c r="J201" s="88"/>
      <c r="K201" s="88"/>
      <c r="L201" s="73"/>
      <c r="M201" s="73"/>
      <c r="N201" s="88"/>
      <c r="O201" s="88"/>
    </row>
    <row r="202" spans="2:15" x14ac:dyDescent="0.2">
      <c r="B202" s="73"/>
      <c r="C202" s="73"/>
      <c r="D202" s="73"/>
      <c r="E202" s="73"/>
      <c r="F202" s="73"/>
      <c r="G202" s="73"/>
      <c r="H202" s="73"/>
      <c r="I202" s="89"/>
      <c r="J202" s="88"/>
      <c r="K202" s="88"/>
      <c r="L202" s="73"/>
      <c r="M202" s="73"/>
      <c r="N202" s="88"/>
      <c r="O202" s="88"/>
    </row>
    <row r="203" spans="2:15" x14ac:dyDescent="0.2">
      <c r="B203" s="73"/>
      <c r="C203" s="73"/>
      <c r="D203" s="73"/>
      <c r="E203" s="73"/>
      <c r="F203" s="73"/>
      <c r="G203" s="73"/>
      <c r="H203" s="73"/>
      <c r="I203" s="89"/>
      <c r="J203" s="88"/>
      <c r="K203" s="88"/>
      <c r="L203" s="73"/>
      <c r="M203" s="73"/>
      <c r="N203" s="88"/>
      <c r="O203" s="88"/>
    </row>
    <row r="204" spans="2:15" x14ac:dyDescent="0.2">
      <c r="B204" s="73"/>
      <c r="C204" s="73"/>
      <c r="D204" s="73"/>
      <c r="E204" s="73"/>
      <c r="F204" s="73"/>
      <c r="G204" s="73"/>
      <c r="H204" s="73"/>
      <c r="I204" s="89"/>
      <c r="J204" s="88"/>
      <c r="K204" s="88"/>
      <c r="L204" s="73"/>
      <c r="M204" s="73"/>
      <c r="N204" s="88"/>
      <c r="O204" s="88"/>
    </row>
    <row r="205" spans="2:15" x14ac:dyDescent="0.2">
      <c r="B205" s="73"/>
      <c r="C205" s="73"/>
      <c r="D205" s="73"/>
      <c r="E205" s="73"/>
      <c r="F205" s="73"/>
      <c r="G205" s="73"/>
      <c r="H205" s="73"/>
      <c r="I205" s="89"/>
      <c r="J205" s="88"/>
      <c r="K205" s="88"/>
      <c r="L205" s="73"/>
      <c r="M205" s="73"/>
      <c r="N205" s="88"/>
      <c r="O205" s="88"/>
    </row>
    <row r="206" spans="2:15" x14ac:dyDescent="0.2">
      <c r="B206" s="73"/>
      <c r="C206" s="73"/>
      <c r="D206" s="73"/>
      <c r="E206" s="73"/>
      <c r="F206" s="73"/>
      <c r="G206" s="73"/>
      <c r="H206" s="73"/>
      <c r="I206" s="89"/>
      <c r="J206" s="88"/>
      <c r="K206" s="88"/>
    </row>
    <row r="210" spans="2:25" x14ac:dyDescent="0.2">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row>
    <row r="211" spans="2:25" x14ac:dyDescent="0.2">
      <c r="B211" s="78"/>
      <c r="C211" s="78"/>
      <c r="D211" s="78"/>
      <c r="E211" s="78"/>
      <c r="F211" s="78"/>
      <c r="G211" s="78"/>
      <c r="H211" s="78"/>
      <c r="I211" s="78"/>
      <c r="J211" s="78"/>
      <c r="K211" s="78"/>
      <c r="L211" s="78"/>
      <c r="M211" s="78"/>
      <c r="N211" s="78"/>
      <c r="O211" s="78"/>
      <c r="P211" s="78"/>
      <c r="Q211" s="78"/>
      <c r="R211" s="78"/>
      <c r="S211" s="2021"/>
      <c r="T211" s="2021"/>
      <c r="U211" s="2021"/>
      <c r="V211" s="2021"/>
      <c r="W211" s="2021"/>
      <c r="X211" s="2021"/>
      <c r="Y211" s="2021"/>
    </row>
    <row r="212" spans="2:25" x14ac:dyDescent="0.2">
      <c r="B212" s="78"/>
      <c r="C212" s="78"/>
      <c r="D212" s="78"/>
      <c r="E212" s="78"/>
      <c r="F212" s="78"/>
      <c r="G212" s="78"/>
      <c r="H212" s="78"/>
      <c r="I212" s="78"/>
      <c r="J212" s="78"/>
      <c r="K212" s="78"/>
      <c r="L212" s="78"/>
      <c r="M212" s="78"/>
      <c r="N212" s="78"/>
      <c r="O212" s="78"/>
      <c r="P212" s="78"/>
      <c r="Q212" s="78"/>
      <c r="R212" s="78"/>
      <c r="S212" s="2021"/>
      <c r="T212" s="2021"/>
      <c r="U212" s="2021"/>
      <c r="V212" s="129"/>
      <c r="W212" s="2021"/>
      <c r="X212" s="2021"/>
      <c r="Y212" s="2021"/>
    </row>
    <row r="213" spans="2:25" x14ac:dyDescent="0.2">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row>
    <row r="214" spans="2:25" x14ac:dyDescent="0.2">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2:25" x14ac:dyDescent="0.2">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2:25" x14ac:dyDescent="0.2">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2:25" x14ac:dyDescent="0.2">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2:25" x14ac:dyDescent="0.2">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2:25" x14ac:dyDescent="0.2">
      <c r="B219" s="78"/>
      <c r="C219" s="78"/>
      <c r="D219" s="78"/>
      <c r="E219" s="78"/>
      <c r="F219" s="78"/>
      <c r="G219" s="78"/>
      <c r="H219" s="78"/>
      <c r="I219" s="78"/>
      <c r="J219" s="78"/>
      <c r="K219" s="78"/>
      <c r="L219" s="78"/>
      <c r="M219" s="78"/>
      <c r="N219" s="78"/>
      <c r="O219" s="78"/>
      <c r="P219" s="78"/>
      <c r="Q219" s="78"/>
      <c r="R219" s="78"/>
      <c r="S219" s="78"/>
      <c r="T219" s="78"/>
      <c r="U219" s="78"/>
      <c r="V219" s="78"/>
      <c r="W219" s="83"/>
      <c r="X219" s="83"/>
      <c r="Y219" s="83"/>
    </row>
    <row r="220" spans="2:25" x14ac:dyDescent="0.2">
      <c r="B220" s="78"/>
      <c r="C220" s="78"/>
      <c r="D220" s="78"/>
      <c r="E220" s="78"/>
      <c r="F220" s="78"/>
      <c r="G220" s="78"/>
      <c r="H220" s="78"/>
      <c r="I220" s="78"/>
      <c r="J220" s="78"/>
      <c r="K220" s="78"/>
      <c r="L220" s="78"/>
      <c r="M220" s="78"/>
      <c r="N220" s="78"/>
      <c r="O220" s="78"/>
      <c r="P220" s="78"/>
      <c r="Q220" s="78"/>
      <c r="R220" s="78"/>
      <c r="S220" s="78"/>
      <c r="T220" s="78"/>
      <c r="U220" s="78"/>
      <c r="V220" s="78"/>
      <c r="W220" s="83"/>
      <c r="X220" s="83"/>
      <c r="Y220" s="83"/>
    </row>
    <row r="221" spans="2:25" x14ac:dyDescent="0.2">
      <c r="B221" s="78"/>
      <c r="C221" s="78"/>
      <c r="D221" s="78"/>
      <c r="E221" s="78"/>
      <c r="F221" s="78"/>
      <c r="G221" s="78"/>
      <c r="H221" s="78"/>
      <c r="I221" s="78"/>
      <c r="J221" s="78"/>
      <c r="K221" s="78"/>
      <c r="L221" s="78"/>
      <c r="M221" s="78"/>
      <c r="N221" s="78"/>
      <c r="O221" s="78"/>
      <c r="P221" s="78"/>
      <c r="Q221" s="78"/>
      <c r="R221" s="78"/>
      <c r="S221" s="78"/>
      <c r="T221" s="78"/>
      <c r="U221" s="78"/>
      <c r="V221" s="78"/>
      <c r="W221" s="83"/>
      <c r="X221" s="83"/>
      <c r="Y221" s="83"/>
    </row>
    <row r="222" spans="2:25" x14ac:dyDescent="0.2">
      <c r="N222" s="78"/>
    </row>
    <row r="223" spans="2:25" x14ac:dyDescent="0.2">
      <c r="I223" s="84"/>
      <c r="J223" s="84"/>
      <c r="K223" s="84"/>
      <c r="L223" s="84"/>
      <c r="M223" s="84"/>
      <c r="N223" s="84"/>
      <c r="O223" s="84"/>
      <c r="P223" s="84"/>
      <c r="Q223" s="84"/>
      <c r="R223" s="84"/>
      <c r="S223" s="84"/>
      <c r="T223" s="84"/>
      <c r="U223" s="84"/>
      <c r="V223" s="84"/>
      <c r="W223" s="84"/>
      <c r="X223" s="84"/>
      <c r="Y223" s="84"/>
    </row>
  </sheetData>
  <mergeCells count="151">
    <mergeCell ref="B87:J89"/>
    <mergeCell ref="L59:N63"/>
    <mergeCell ref="B82:C82"/>
    <mergeCell ref="B83:C83"/>
    <mergeCell ref="B84:C84"/>
    <mergeCell ref="B85:C85"/>
    <mergeCell ref="B86:C86"/>
    <mergeCell ref="B118:C118"/>
    <mergeCell ref="B130:D131"/>
    <mergeCell ref="B123:D124"/>
    <mergeCell ref="B120:C120"/>
    <mergeCell ref="J123:N123"/>
    <mergeCell ref="F123:I123"/>
    <mergeCell ref="G112:G113"/>
    <mergeCell ref="H79:H81"/>
    <mergeCell ref="B64:N64"/>
    <mergeCell ref="B57:B59"/>
    <mergeCell ref="H112:H113"/>
    <mergeCell ref="K130:N130"/>
    <mergeCell ref="F130:J130"/>
    <mergeCell ref="L79:M81"/>
    <mergeCell ref="B103:C104"/>
    <mergeCell ref="L82:M88"/>
    <mergeCell ref="I112:I113"/>
    <mergeCell ref="J162:K165"/>
    <mergeCell ref="G149:I149"/>
    <mergeCell ref="B162:D165"/>
    <mergeCell ref="G148:I148"/>
    <mergeCell ref="E162:F165"/>
    <mergeCell ref="G147:I147"/>
    <mergeCell ref="G145:I145"/>
    <mergeCell ref="G140:I140"/>
    <mergeCell ref="B115:C115"/>
    <mergeCell ref="B133:N133"/>
    <mergeCell ref="K138:K139"/>
    <mergeCell ref="L138:L139"/>
    <mergeCell ref="G157:I157"/>
    <mergeCell ref="G161:M161"/>
    <mergeCell ref="G158:I158"/>
    <mergeCell ref="G159:I159"/>
    <mergeCell ref="B119:C119"/>
    <mergeCell ref="B117:C117"/>
    <mergeCell ref="B116:C116"/>
    <mergeCell ref="B125:D125"/>
    <mergeCell ref="B134:D135"/>
    <mergeCell ref="B132:D132"/>
    <mergeCell ref="F134:I134"/>
    <mergeCell ref="M138:M139"/>
    <mergeCell ref="B1:N1"/>
    <mergeCell ref="D3:G3"/>
    <mergeCell ref="B5:C5"/>
    <mergeCell ref="F5:G5"/>
    <mergeCell ref="B3:C3"/>
    <mergeCell ref="J18:M20"/>
    <mergeCell ref="J21:M23"/>
    <mergeCell ref="I15:I17"/>
    <mergeCell ref="J5:K5"/>
    <mergeCell ref="B16:C16"/>
    <mergeCell ref="B17:C17"/>
    <mergeCell ref="B18:C18"/>
    <mergeCell ref="I18:I20"/>
    <mergeCell ref="I21:I23"/>
    <mergeCell ref="B11:C13"/>
    <mergeCell ref="F11:F12"/>
    <mergeCell ref="D11:E12"/>
    <mergeCell ref="I12:I14"/>
    <mergeCell ref="B23:C23"/>
    <mergeCell ref="J12:M14"/>
    <mergeCell ref="B20:C20"/>
    <mergeCell ref="J15:M17"/>
    <mergeCell ref="G11:G12"/>
    <mergeCell ref="B21:C21"/>
    <mergeCell ref="M5:N6"/>
    <mergeCell ref="B128:N129"/>
    <mergeCell ref="B127:D127"/>
    <mergeCell ref="B126:D126"/>
    <mergeCell ref="B121:K122"/>
    <mergeCell ref="B27:B29"/>
    <mergeCell ref="B22:C22"/>
    <mergeCell ref="D79:G79"/>
    <mergeCell ref="M103:M104"/>
    <mergeCell ref="D111:F111"/>
    <mergeCell ref="J111:J113"/>
    <mergeCell ref="D112:D113"/>
    <mergeCell ref="E112:E113"/>
    <mergeCell ref="F112:F113"/>
    <mergeCell ref="I103:L103"/>
    <mergeCell ref="B109:M110"/>
    <mergeCell ref="D103:F103"/>
    <mergeCell ref="G103:H103"/>
    <mergeCell ref="G111:I111"/>
    <mergeCell ref="B111:C113"/>
    <mergeCell ref="G42:H43"/>
    <mergeCell ref="B79:C81"/>
    <mergeCell ref="B24:G26"/>
    <mergeCell ref="B114:C114"/>
    <mergeCell ref="B56:F56"/>
    <mergeCell ref="C58:D58"/>
    <mergeCell ref="C57:F57"/>
    <mergeCell ref="G58:H58"/>
    <mergeCell ref="G57:J57"/>
    <mergeCell ref="M57:M58"/>
    <mergeCell ref="J24:M25"/>
    <mergeCell ref="C27:D28"/>
    <mergeCell ref="E27:F28"/>
    <mergeCell ref="G27:H28"/>
    <mergeCell ref="E42:E43"/>
    <mergeCell ref="F42:F43"/>
    <mergeCell ref="B42:B44"/>
    <mergeCell ref="C42:D43"/>
    <mergeCell ref="G156:I156"/>
    <mergeCell ref="G142:I142"/>
    <mergeCell ref="G152:I152"/>
    <mergeCell ref="G143:I143"/>
    <mergeCell ref="J138:J139"/>
    <mergeCell ref="E123:E124"/>
    <mergeCell ref="G150:I150"/>
    <mergeCell ref="G151:I151"/>
    <mergeCell ref="G141:I141"/>
    <mergeCell ref="G153:I153"/>
    <mergeCell ref="G154:I154"/>
    <mergeCell ref="E130:E131"/>
    <mergeCell ref="G144:I144"/>
    <mergeCell ref="E134:E135"/>
    <mergeCell ref="J134:L134"/>
    <mergeCell ref="G138:I138"/>
    <mergeCell ref="G139:I139"/>
    <mergeCell ref="B136:D136"/>
    <mergeCell ref="B137:M137"/>
    <mergeCell ref="W212:Y212"/>
    <mergeCell ref="S211:Y211"/>
    <mergeCell ref="S212:U212"/>
    <mergeCell ref="B172:D172"/>
    <mergeCell ref="B173:D173"/>
    <mergeCell ref="I172:I173"/>
    <mergeCell ref="J167:J168"/>
    <mergeCell ref="E167:E168"/>
    <mergeCell ref="F167:F168"/>
    <mergeCell ref="G167:G168"/>
    <mergeCell ref="H167:H168"/>
    <mergeCell ref="I167:I168"/>
    <mergeCell ref="B180:N180"/>
    <mergeCell ref="B183:N183"/>
    <mergeCell ref="B179:N179"/>
    <mergeCell ref="B178:N178"/>
    <mergeCell ref="B186:N186"/>
    <mergeCell ref="B181:N181"/>
    <mergeCell ref="L167:M168"/>
    <mergeCell ref="L169:M173"/>
    <mergeCell ref="B167:D168"/>
    <mergeCell ref="B174:K174"/>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9" orientation="landscape" r:id="rId1"/>
  <headerFooter>
    <oddFooter>&amp;L&amp;"Cambria,Regular"&amp;9Compiled by the VDSS Office of Research and Planning.  For more information, contact Gail.Jennings@dss.virginia.gov.&amp;R&amp;"Cambria,Regular"&amp;9&amp;P of &amp;N</oddFooter>
  </headerFooter>
  <rowBreaks count="4" manualBreakCount="4">
    <brk id="41" max="16383" man="1"/>
    <brk id="77" min="1" max="13" man="1"/>
    <brk id="110" min="1" max="13" man="1"/>
    <brk id="13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26"/>
  <sheetViews>
    <sheetView workbookViewId="0">
      <selection activeCell="C16" sqref="C16"/>
    </sheetView>
  </sheetViews>
  <sheetFormatPr defaultRowHeight="12.75" x14ac:dyDescent="0.2"/>
  <cols>
    <col min="1" max="1" width="9" style="922"/>
    <col min="2" max="2" width="30.375" style="935" customWidth="1"/>
    <col min="3" max="42" width="9" style="922"/>
    <col min="43" max="43" width="2.125" style="922" customWidth="1"/>
    <col min="44" max="46" width="9" style="922"/>
    <col min="47" max="47" width="2.5" style="922" customWidth="1"/>
    <col min="48" max="50" width="12" style="923" customWidth="1"/>
    <col min="51" max="51" width="2.875" style="922" customWidth="1"/>
    <col min="52" max="54" width="9.875" style="922" bestFit="1" customWidth="1"/>
    <col min="55" max="55" width="14.375" style="922" customWidth="1"/>
    <col min="56" max="16384" width="9" style="922"/>
  </cols>
  <sheetData>
    <row r="1" spans="1:55" ht="12" customHeight="1" x14ac:dyDescent="0.2">
      <c r="A1" s="927" t="s">
        <v>805</v>
      </c>
      <c r="B1" s="932"/>
    </row>
    <row r="2" spans="1:55" ht="12" customHeight="1" x14ac:dyDescent="0.2">
      <c r="A2" s="927" t="s">
        <v>806</v>
      </c>
      <c r="B2" s="932"/>
    </row>
    <row r="3" spans="1:55" ht="12" customHeight="1" x14ac:dyDescent="0.2">
      <c r="B3" s="933" t="s">
        <v>807</v>
      </c>
      <c r="AZ3" s="2248" t="s">
        <v>808</v>
      </c>
      <c r="BA3" s="2248"/>
      <c r="BB3" s="2248"/>
    </row>
    <row r="4" spans="1:55" ht="12" customHeight="1" x14ac:dyDescent="0.2">
      <c r="B4" s="934"/>
      <c r="C4" s="2247" t="s">
        <v>809</v>
      </c>
      <c r="D4" s="2247"/>
      <c r="E4" s="2247"/>
      <c r="F4" s="2247" t="s">
        <v>810</v>
      </c>
      <c r="G4" s="2247"/>
      <c r="H4" s="2247"/>
      <c r="I4" s="2249" t="s">
        <v>811</v>
      </c>
      <c r="J4" s="2247"/>
      <c r="K4" s="2247"/>
      <c r="L4" s="2249" t="s">
        <v>812</v>
      </c>
      <c r="M4" s="2247"/>
      <c r="N4" s="2247"/>
      <c r="O4" s="2249" t="s">
        <v>813</v>
      </c>
      <c r="P4" s="2247"/>
      <c r="Q4" s="2247"/>
      <c r="R4" s="2249" t="s">
        <v>814</v>
      </c>
      <c r="S4" s="2247"/>
      <c r="T4" s="2247"/>
      <c r="U4" s="2249" t="s">
        <v>815</v>
      </c>
      <c r="V4" s="2247"/>
      <c r="W4" s="2247"/>
      <c r="X4" s="2249" t="s">
        <v>816</v>
      </c>
      <c r="Y4" s="2247"/>
      <c r="Z4" s="2247"/>
      <c r="AA4" s="2249" t="s">
        <v>817</v>
      </c>
      <c r="AB4" s="2247"/>
      <c r="AC4" s="2247"/>
      <c r="AD4" s="2249" t="s">
        <v>818</v>
      </c>
      <c r="AE4" s="2247"/>
      <c r="AF4" s="2247"/>
      <c r="AG4" s="941"/>
      <c r="AH4" s="2247" t="s">
        <v>618</v>
      </c>
      <c r="AI4" s="2247"/>
      <c r="AJ4" s="2247"/>
      <c r="AK4" s="2247" t="s">
        <v>720</v>
      </c>
      <c r="AL4" s="2247"/>
      <c r="AM4" s="2247"/>
      <c r="AN4" s="2247" t="s">
        <v>790</v>
      </c>
      <c r="AO4" s="2247"/>
      <c r="AP4" s="2247"/>
      <c r="AQ4" s="941"/>
      <c r="AR4" s="942" t="s">
        <v>7</v>
      </c>
      <c r="AS4" s="942" t="s">
        <v>6</v>
      </c>
      <c r="AT4" s="942" t="s">
        <v>727</v>
      </c>
      <c r="AU4" s="941"/>
      <c r="AV4" s="943" t="s">
        <v>7</v>
      </c>
      <c r="AW4" s="943" t="s">
        <v>6</v>
      </c>
      <c r="AX4" s="943" t="s">
        <v>727</v>
      </c>
      <c r="AY4" s="941"/>
      <c r="AZ4" s="942" t="s">
        <v>7</v>
      </c>
      <c r="BA4" s="942" t="s">
        <v>6</v>
      </c>
      <c r="BB4" s="942" t="s">
        <v>727</v>
      </c>
      <c r="BC4" s="936" t="s">
        <v>824</v>
      </c>
    </row>
    <row r="5" spans="1:55" ht="12" customHeight="1" x14ac:dyDescent="0.2">
      <c r="A5" s="938" t="s">
        <v>4</v>
      </c>
      <c r="B5" s="939" t="s">
        <v>5</v>
      </c>
      <c r="C5" s="940" t="s">
        <v>819</v>
      </c>
      <c r="D5" s="940" t="s">
        <v>820</v>
      </c>
      <c r="E5" s="940" t="s">
        <v>281</v>
      </c>
      <c r="F5" s="940" t="s">
        <v>819</v>
      </c>
      <c r="G5" s="940" t="s">
        <v>820</v>
      </c>
      <c r="H5" s="940" t="s">
        <v>281</v>
      </c>
      <c r="I5" s="940" t="s">
        <v>819</v>
      </c>
      <c r="J5" s="940" t="s">
        <v>820</v>
      </c>
      <c r="K5" s="940" t="s">
        <v>281</v>
      </c>
      <c r="L5" s="940" t="s">
        <v>819</v>
      </c>
      <c r="M5" s="940" t="s">
        <v>820</v>
      </c>
      <c r="N5" s="940" t="s">
        <v>281</v>
      </c>
      <c r="O5" s="940" t="s">
        <v>819</v>
      </c>
      <c r="P5" s="940" t="s">
        <v>820</v>
      </c>
      <c r="Q5" s="940" t="s">
        <v>281</v>
      </c>
      <c r="R5" s="940" t="s">
        <v>819</v>
      </c>
      <c r="S5" s="940" t="s">
        <v>820</v>
      </c>
      <c r="T5" s="940" t="s">
        <v>281</v>
      </c>
      <c r="U5" s="940" t="s">
        <v>819</v>
      </c>
      <c r="V5" s="940" t="s">
        <v>820</v>
      </c>
      <c r="W5" s="940" t="s">
        <v>281</v>
      </c>
      <c r="X5" s="940" t="s">
        <v>819</v>
      </c>
      <c r="Y5" s="940" t="s">
        <v>820</v>
      </c>
      <c r="Z5" s="940" t="s">
        <v>281</v>
      </c>
      <c r="AA5" s="940" t="s">
        <v>819</v>
      </c>
      <c r="AB5" s="940" t="s">
        <v>820</v>
      </c>
      <c r="AC5" s="940" t="s">
        <v>281</v>
      </c>
      <c r="AD5" s="940" t="s">
        <v>819</v>
      </c>
      <c r="AE5" s="940" t="s">
        <v>820</v>
      </c>
      <c r="AF5" s="940" t="s">
        <v>281</v>
      </c>
      <c r="AH5" s="920" t="s">
        <v>819</v>
      </c>
      <c r="AI5" s="920" t="s">
        <v>820</v>
      </c>
      <c r="AJ5" s="920" t="s">
        <v>281</v>
      </c>
      <c r="AK5" s="920" t="s">
        <v>819</v>
      </c>
      <c r="AL5" s="920" t="s">
        <v>820</v>
      </c>
      <c r="AM5" s="920" t="s">
        <v>281</v>
      </c>
      <c r="AN5" s="920" t="s">
        <v>819</v>
      </c>
      <c r="AO5" s="920" t="s">
        <v>820</v>
      </c>
      <c r="AP5" s="920" t="s">
        <v>281</v>
      </c>
      <c r="AR5" s="920" t="s">
        <v>821</v>
      </c>
      <c r="AS5" s="920" t="s">
        <v>821</v>
      </c>
      <c r="AT5" s="920" t="s">
        <v>821</v>
      </c>
      <c r="AV5" s="921" t="s">
        <v>822</v>
      </c>
      <c r="AW5" s="921" t="s">
        <v>822</v>
      </c>
      <c r="AX5" s="921" t="s">
        <v>822</v>
      </c>
      <c r="AZ5" s="920" t="s">
        <v>821</v>
      </c>
      <c r="BA5" s="920" t="s">
        <v>821</v>
      </c>
      <c r="BB5" s="920" t="s">
        <v>821</v>
      </c>
    </row>
    <row r="6" spans="1:55" ht="12" customHeight="1" x14ac:dyDescent="0.2">
      <c r="A6" s="946">
        <v>999</v>
      </c>
      <c r="B6" s="947" t="s">
        <v>823</v>
      </c>
      <c r="C6" s="944">
        <v>125317</v>
      </c>
      <c r="D6" s="937">
        <v>474351</v>
      </c>
      <c r="E6" s="937">
        <v>599668</v>
      </c>
      <c r="F6" s="937">
        <v>109777</v>
      </c>
      <c r="G6" s="937">
        <v>488763</v>
      </c>
      <c r="H6" s="937">
        <v>598540</v>
      </c>
      <c r="I6" s="937">
        <v>100011</v>
      </c>
      <c r="J6" s="937">
        <v>519188</v>
      </c>
      <c r="K6" s="937">
        <v>619199</v>
      </c>
      <c r="L6" s="937">
        <v>172606</v>
      </c>
      <c r="M6" s="937">
        <v>509335</v>
      </c>
      <c r="N6" s="937">
        <v>681941</v>
      </c>
      <c r="O6" s="937">
        <v>139803</v>
      </c>
      <c r="P6" s="937">
        <v>900533</v>
      </c>
      <c r="Q6" s="937">
        <v>1040336</v>
      </c>
      <c r="R6" s="937">
        <v>116509</v>
      </c>
      <c r="S6" s="937">
        <v>990782</v>
      </c>
      <c r="T6" s="937">
        <v>1107291</v>
      </c>
      <c r="U6" s="937">
        <v>113684</v>
      </c>
      <c r="V6" s="937">
        <v>1067688</v>
      </c>
      <c r="W6" s="937">
        <v>1181372</v>
      </c>
      <c r="X6" s="937">
        <v>86625</v>
      </c>
      <c r="Y6" s="937">
        <v>838307</v>
      </c>
      <c r="Z6" s="937">
        <v>924932</v>
      </c>
      <c r="AA6" s="937">
        <v>54846</v>
      </c>
      <c r="AB6" s="937">
        <v>473761</v>
      </c>
      <c r="AC6" s="937">
        <v>528607</v>
      </c>
      <c r="AD6" s="937">
        <v>64094</v>
      </c>
      <c r="AE6" s="937">
        <v>335413</v>
      </c>
      <c r="AF6" s="937">
        <v>399507</v>
      </c>
      <c r="AH6" s="924">
        <f t="shared" ref="AH6:AH37" si="0">C6+F6+I6</f>
        <v>335105</v>
      </c>
      <c r="AI6" s="924">
        <f t="shared" ref="AI6:AI37" si="1">D6+G6+J6</f>
        <v>1482302</v>
      </c>
      <c r="AJ6" s="924">
        <f t="shared" ref="AJ6:AJ37" si="2">E6+H6+K6</f>
        <v>1817407</v>
      </c>
      <c r="AK6" s="924">
        <f t="shared" ref="AK6:AK37" si="3">L6+O6+R6+U6+X6</f>
        <v>629227</v>
      </c>
      <c r="AL6" s="924">
        <f t="shared" ref="AL6:AL37" si="4">M6+P6+S6+V6+Y6</f>
        <v>4306645</v>
      </c>
      <c r="AM6" s="924">
        <f t="shared" ref="AM6:AM37" si="5">N6+Q6+T6+W6+Z6</f>
        <v>4935872</v>
      </c>
      <c r="AN6" s="924">
        <f t="shared" ref="AN6:AN37" si="6">AA6+AD6</f>
        <v>118940</v>
      </c>
      <c r="AO6" s="924">
        <f t="shared" ref="AO6:AO37" si="7">AB6+AE6</f>
        <v>809174</v>
      </c>
      <c r="AP6" s="924">
        <f t="shared" ref="AP6:AP37" si="8">AC6+AF6</f>
        <v>928114</v>
      </c>
      <c r="AR6" s="925">
        <f t="shared" ref="AR6:AR37" si="9">AH6/AJ6</f>
        <v>0.18438632623292417</v>
      </c>
      <c r="AS6" s="925">
        <f t="shared" ref="AS6:AS37" si="10">AK6/AM6</f>
        <v>0.12748041278217911</v>
      </c>
      <c r="AT6" s="925">
        <f t="shared" ref="AT6:AT37" si="11">AN6/AP6</f>
        <v>0.12815236059363397</v>
      </c>
      <c r="AV6" s="926">
        <v>1853546</v>
      </c>
      <c r="AW6" s="926">
        <v>5231995</v>
      </c>
      <c r="AX6" s="926">
        <v>1011063</v>
      </c>
      <c r="AZ6" s="926">
        <f t="shared" ref="AZ6:AZ37" si="12">AR6*AV6</f>
        <v>341768.53744373168</v>
      </c>
      <c r="BA6" s="926">
        <f t="shared" ref="BA6:BA37" si="13">AS6*AW6</f>
        <v>666976.88227429718</v>
      </c>
      <c r="BB6" s="926">
        <f t="shared" ref="BB6:BB37" si="14">AT6*AX6</f>
        <v>129570.11015888135</v>
      </c>
      <c r="BC6" s="949">
        <f>SUM(AZ6:BB6)</f>
        <v>1138315.5298769102</v>
      </c>
    </row>
    <row r="7" spans="1:55" s="928" customFormat="1" ht="12" customHeight="1" x14ac:dyDescent="0.2">
      <c r="A7" s="928" t="s">
        <v>10</v>
      </c>
      <c r="B7" s="932" t="s">
        <v>450</v>
      </c>
      <c r="C7" s="945">
        <v>1259</v>
      </c>
      <c r="D7" s="929">
        <v>1135</v>
      </c>
      <c r="E7" s="929">
        <v>2394</v>
      </c>
      <c r="F7" s="929">
        <v>716</v>
      </c>
      <c r="G7" s="929">
        <v>1777</v>
      </c>
      <c r="H7" s="929">
        <v>2493</v>
      </c>
      <c r="I7" s="929">
        <v>496</v>
      </c>
      <c r="J7" s="929">
        <v>1833</v>
      </c>
      <c r="K7" s="929">
        <v>2329</v>
      </c>
      <c r="L7" s="929">
        <v>783</v>
      </c>
      <c r="M7" s="929">
        <v>1677</v>
      </c>
      <c r="N7" s="929">
        <v>2460</v>
      </c>
      <c r="O7" s="929">
        <v>806</v>
      </c>
      <c r="P7" s="929">
        <v>2617</v>
      </c>
      <c r="Q7" s="929">
        <v>3423</v>
      </c>
      <c r="R7" s="929">
        <v>623</v>
      </c>
      <c r="S7" s="929">
        <v>3263</v>
      </c>
      <c r="T7" s="929">
        <v>3886</v>
      </c>
      <c r="U7" s="929">
        <v>1058</v>
      </c>
      <c r="V7" s="929">
        <v>4232</v>
      </c>
      <c r="W7" s="929">
        <v>5290</v>
      </c>
      <c r="X7" s="929">
        <v>1083</v>
      </c>
      <c r="Y7" s="929">
        <v>3810</v>
      </c>
      <c r="Z7" s="929">
        <v>4893</v>
      </c>
      <c r="AA7" s="929">
        <v>497</v>
      </c>
      <c r="AB7" s="929">
        <v>2921</v>
      </c>
      <c r="AC7" s="929">
        <v>3418</v>
      </c>
      <c r="AD7" s="929">
        <v>913</v>
      </c>
      <c r="AE7" s="929">
        <v>1739</v>
      </c>
      <c r="AF7" s="929">
        <v>2652</v>
      </c>
      <c r="AH7" s="929">
        <f t="shared" si="0"/>
        <v>2471</v>
      </c>
      <c r="AI7" s="929">
        <f t="shared" si="1"/>
        <v>4745</v>
      </c>
      <c r="AJ7" s="929">
        <f t="shared" si="2"/>
        <v>7216</v>
      </c>
      <c r="AK7" s="929">
        <f t="shared" si="3"/>
        <v>4353</v>
      </c>
      <c r="AL7" s="929">
        <f t="shared" si="4"/>
        <v>15599</v>
      </c>
      <c r="AM7" s="929">
        <f t="shared" si="5"/>
        <v>19952</v>
      </c>
      <c r="AN7" s="929">
        <f t="shared" si="6"/>
        <v>1410</v>
      </c>
      <c r="AO7" s="929">
        <f t="shared" si="7"/>
        <v>4660</v>
      </c>
      <c r="AP7" s="929">
        <f t="shared" si="8"/>
        <v>6070</v>
      </c>
      <c r="AR7" s="930">
        <f t="shared" si="9"/>
        <v>0.34243348115299332</v>
      </c>
      <c r="AS7" s="930">
        <f t="shared" si="10"/>
        <v>0.21817361668003207</v>
      </c>
      <c r="AT7" s="930">
        <f t="shared" si="11"/>
        <v>0.23228995057660626</v>
      </c>
      <c r="AV7" s="931">
        <v>7036</v>
      </c>
      <c r="AW7" s="931">
        <v>19832</v>
      </c>
      <c r="AX7" s="931">
        <v>6468</v>
      </c>
      <c r="AZ7" s="931">
        <f t="shared" si="12"/>
        <v>2409.3619733924611</v>
      </c>
      <c r="BA7" s="931">
        <f t="shared" si="13"/>
        <v>4326.8191659983959</v>
      </c>
      <c r="BB7" s="931">
        <f t="shared" si="14"/>
        <v>1502.4514003294894</v>
      </c>
      <c r="BC7" s="948">
        <f t="shared" ref="BC7:BC70" si="15">SUM(AZ7:BB7)</f>
        <v>8238.6325397203473</v>
      </c>
    </row>
    <row r="8" spans="1:55" s="928" customFormat="1" ht="12" customHeight="1" x14ac:dyDescent="0.2">
      <c r="A8" s="928" t="s">
        <v>12</v>
      </c>
      <c r="B8" s="932" t="s">
        <v>451</v>
      </c>
      <c r="C8" s="945">
        <v>1302</v>
      </c>
      <c r="D8" s="929">
        <v>5120</v>
      </c>
      <c r="E8" s="929">
        <v>6422</v>
      </c>
      <c r="F8" s="929">
        <v>913</v>
      </c>
      <c r="G8" s="929">
        <v>6447</v>
      </c>
      <c r="H8" s="929">
        <v>7360</v>
      </c>
      <c r="I8" s="929">
        <v>1165</v>
      </c>
      <c r="J8" s="929">
        <v>6249</v>
      </c>
      <c r="K8" s="929">
        <v>7414</v>
      </c>
      <c r="L8" s="929">
        <v>2216</v>
      </c>
      <c r="M8" s="929">
        <v>5933</v>
      </c>
      <c r="N8" s="929">
        <v>8149</v>
      </c>
      <c r="O8" s="929">
        <v>1867</v>
      </c>
      <c r="P8" s="929">
        <v>9965</v>
      </c>
      <c r="Q8" s="929">
        <v>11832</v>
      </c>
      <c r="R8" s="929">
        <v>1068</v>
      </c>
      <c r="S8" s="929">
        <v>11128</v>
      </c>
      <c r="T8" s="929">
        <v>12196</v>
      </c>
      <c r="U8" s="929">
        <v>1150</v>
      </c>
      <c r="V8" s="929">
        <v>13176</v>
      </c>
      <c r="W8" s="929">
        <v>14326</v>
      </c>
      <c r="X8" s="929">
        <v>961</v>
      </c>
      <c r="Y8" s="929">
        <v>11026</v>
      </c>
      <c r="Z8" s="929">
        <v>11987</v>
      </c>
      <c r="AA8" s="929">
        <v>440</v>
      </c>
      <c r="AB8" s="929">
        <v>6378</v>
      </c>
      <c r="AC8" s="929">
        <v>6818</v>
      </c>
      <c r="AD8" s="929">
        <v>779</v>
      </c>
      <c r="AE8" s="929">
        <v>5574</v>
      </c>
      <c r="AF8" s="929">
        <v>6353</v>
      </c>
      <c r="AH8" s="929">
        <f t="shared" si="0"/>
        <v>3380</v>
      </c>
      <c r="AI8" s="929">
        <f t="shared" si="1"/>
        <v>17816</v>
      </c>
      <c r="AJ8" s="929">
        <f t="shared" si="2"/>
        <v>21196</v>
      </c>
      <c r="AK8" s="929">
        <f t="shared" si="3"/>
        <v>7262</v>
      </c>
      <c r="AL8" s="929">
        <f t="shared" si="4"/>
        <v>51228</v>
      </c>
      <c r="AM8" s="929">
        <f t="shared" si="5"/>
        <v>58490</v>
      </c>
      <c r="AN8" s="929">
        <f t="shared" si="6"/>
        <v>1219</v>
      </c>
      <c r="AO8" s="929">
        <f t="shared" si="7"/>
        <v>11952</v>
      </c>
      <c r="AP8" s="929">
        <f t="shared" si="8"/>
        <v>13171</v>
      </c>
      <c r="AR8" s="930">
        <f t="shared" si="9"/>
        <v>0.1594640498207209</v>
      </c>
      <c r="AS8" s="930">
        <f t="shared" si="10"/>
        <v>0.1241579757223457</v>
      </c>
      <c r="AT8" s="930">
        <f t="shared" si="11"/>
        <v>9.2551818388884668E-2</v>
      </c>
      <c r="AV8" s="931">
        <v>21443</v>
      </c>
      <c r="AW8" s="931">
        <v>64549</v>
      </c>
      <c r="AX8" s="931">
        <v>14561</v>
      </c>
      <c r="AZ8" s="931">
        <f t="shared" si="12"/>
        <v>3419.3876203057184</v>
      </c>
      <c r="BA8" s="931">
        <f t="shared" si="13"/>
        <v>8014.273174901693</v>
      </c>
      <c r="BB8" s="931">
        <f t="shared" si="14"/>
        <v>1347.6470275605498</v>
      </c>
      <c r="BC8" s="948">
        <f t="shared" si="15"/>
        <v>12781.307822767962</v>
      </c>
    </row>
    <row r="9" spans="1:55" s="928" customFormat="1" ht="12" customHeight="1" x14ac:dyDescent="0.2">
      <c r="A9" s="928" t="s">
        <v>16</v>
      </c>
      <c r="B9" s="932" t="s">
        <v>749</v>
      </c>
      <c r="C9" s="945">
        <v>369</v>
      </c>
      <c r="D9" s="929">
        <v>895</v>
      </c>
      <c r="E9" s="929">
        <v>1264</v>
      </c>
      <c r="F9" s="929">
        <v>481</v>
      </c>
      <c r="G9" s="929">
        <v>1061</v>
      </c>
      <c r="H9" s="929">
        <v>1542</v>
      </c>
      <c r="I9" s="929">
        <v>356</v>
      </c>
      <c r="J9" s="929">
        <v>1536</v>
      </c>
      <c r="K9" s="929">
        <v>1892</v>
      </c>
      <c r="L9" s="929">
        <v>387</v>
      </c>
      <c r="M9" s="929">
        <v>1292</v>
      </c>
      <c r="N9" s="929">
        <v>1679</v>
      </c>
      <c r="O9" s="929">
        <v>422</v>
      </c>
      <c r="P9" s="929">
        <v>1329</v>
      </c>
      <c r="Q9" s="929">
        <v>1751</v>
      </c>
      <c r="R9" s="929">
        <v>325</v>
      </c>
      <c r="S9" s="929">
        <v>2656</v>
      </c>
      <c r="T9" s="929">
        <v>2981</v>
      </c>
      <c r="U9" s="929">
        <v>513</v>
      </c>
      <c r="V9" s="929">
        <v>2898</v>
      </c>
      <c r="W9" s="929">
        <v>3411</v>
      </c>
      <c r="X9" s="929">
        <v>526</v>
      </c>
      <c r="Y9" s="929">
        <v>2680</v>
      </c>
      <c r="Z9" s="929">
        <v>3206</v>
      </c>
      <c r="AA9" s="929">
        <v>218</v>
      </c>
      <c r="AB9" s="929">
        <v>2173</v>
      </c>
      <c r="AC9" s="929">
        <v>2391</v>
      </c>
      <c r="AD9" s="929">
        <v>361</v>
      </c>
      <c r="AE9" s="929">
        <v>1439</v>
      </c>
      <c r="AF9" s="929">
        <v>1800</v>
      </c>
      <c r="AH9" s="929">
        <f t="shared" si="0"/>
        <v>1206</v>
      </c>
      <c r="AI9" s="929">
        <f t="shared" si="1"/>
        <v>3492</v>
      </c>
      <c r="AJ9" s="929">
        <f t="shared" si="2"/>
        <v>4698</v>
      </c>
      <c r="AK9" s="929">
        <f t="shared" si="3"/>
        <v>2173</v>
      </c>
      <c r="AL9" s="929">
        <f t="shared" si="4"/>
        <v>10855</v>
      </c>
      <c r="AM9" s="929">
        <f t="shared" si="5"/>
        <v>13028</v>
      </c>
      <c r="AN9" s="929">
        <f t="shared" si="6"/>
        <v>579</v>
      </c>
      <c r="AO9" s="929">
        <f t="shared" si="7"/>
        <v>3612</v>
      </c>
      <c r="AP9" s="929">
        <f t="shared" si="8"/>
        <v>4191</v>
      </c>
      <c r="AR9" s="930">
        <f t="shared" si="9"/>
        <v>0.25670498084291188</v>
      </c>
      <c r="AS9" s="930">
        <f t="shared" si="10"/>
        <v>0.16679459625422169</v>
      </c>
      <c r="AT9" s="930">
        <f t="shared" si="11"/>
        <v>0.13815318539727989</v>
      </c>
      <c r="AV9" s="931">
        <v>3385</v>
      </c>
      <c r="AW9" s="931">
        <v>9456</v>
      </c>
      <c r="AX9" s="931">
        <v>3334</v>
      </c>
      <c r="AZ9" s="931">
        <f t="shared" si="12"/>
        <v>868.94636015325671</v>
      </c>
      <c r="BA9" s="931">
        <f t="shared" si="13"/>
        <v>1577.2097021799202</v>
      </c>
      <c r="BB9" s="931">
        <f t="shared" si="14"/>
        <v>460.60272011453117</v>
      </c>
      <c r="BC9" s="948">
        <f t="shared" si="15"/>
        <v>2906.7587824477082</v>
      </c>
    </row>
    <row r="10" spans="1:55" s="928" customFormat="1" ht="12" customHeight="1" x14ac:dyDescent="0.2">
      <c r="A10" s="928" t="s">
        <v>18</v>
      </c>
      <c r="B10" s="932" t="s">
        <v>452</v>
      </c>
      <c r="C10" s="945">
        <v>317</v>
      </c>
      <c r="D10" s="929">
        <v>635</v>
      </c>
      <c r="E10" s="929">
        <v>952</v>
      </c>
      <c r="F10" s="929">
        <v>171</v>
      </c>
      <c r="G10" s="929">
        <v>787</v>
      </c>
      <c r="H10" s="929">
        <v>958</v>
      </c>
      <c r="I10" s="929">
        <v>216</v>
      </c>
      <c r="J10" s="929">
        <v>714</v>
      </c>
      <c r="K10" s="929">
        <v>930</v>
      </c>
      <c r="L10" s="929">
        <v>129</v>
      </c>
      <c r="M10" s="929">
        <v>812</v>
      </c>
      <c r="N10" s="929">
        <v>941</v>
      </c>
      <c r="O10" s="929">
        <v>509</v>
      </c>
      <c r="P10" s="929">
        <v>763</v>
      </c>
      <c r="Q10" s="929">
        <v>1272</v>
      </c>
      <c r="R10" s="929">
        <v>124</v>
      </c>
      <c r="S10" s="929">
        <v>1615</v>
      </c>
      <c r="T10" s="929">
        <v>1739</v>
      </c>
      <c r="U10" s="929">
        <v>333</v>
      </c>
      <c r="V10" s="929">
        <v>1782</v>
      </c>
      <c r="W10" s="929">
        <v>2115</v>
      </c>
      <c r="X10" s="929">
        <v>283</v>
      </c>
      <c r="Y10" s="929">
        <v>1329</v>
      </c>
      <c r="Z10" s="929">
        <v>1612</v>
      </c>
      <c r="AA10" s="929">
        <v>230</v>
      </c>
      <c r="AB10" s="929">
        <v>1029</v>
      </c>
      <c r="AC10" s="929">
        <v>1259</v>
      </c>
      <c r="AD10" s="929">
        <v>134</v>
      </c>
      <c r="AE10" s="929">
        <v>615</v>
      </c>
      <c r="AF10" s="929">
        <v>749</v>
      </c>
      <c r="AH10" s="929">
        <f t="shared" si="0"/>
        <v>704</v>
      </c>
      <c r="AI10" s="929">
        <f t="shared" si="1"/>
        <v>2136</v>
      </c>
      <c r="AJ10" s="929">
        <f t="shared" si="2"/>
        <v>2840</v>
      </c>
      <c r="AK10" s="929">
        <f t="shared" si="3"/>
        <v>1378</v>
      </c>
      <c r="AL10" s="929">
        <f t="shared" si="4"/>
        <v>6301</v>
      </c>
      <c r="AM10" s="929">
        <f t="shared" si="5"/>
        <v>7679</v>
      </c>
      <c r="AN10" s="929">
        <f t="shared" si="6"/>
        <v>364</v>
      </c>
      <c r="AO10" s="929">
        <f t="shared" si="7"/>
        <v>1644</v>
      </c>
      <c r="AP10" s="929">
        <f t="shared" si="8"/>
        <v>2008</v>
      </c>
      <c r="AR10" s="930">
        <f t="shared" si="9"/>
        <v>0.24788732394366197</v>
      </c>
      <c r="AS10" s="930">
        <f t="shared" si="10"/>
        <v>0.17945044927724965</v>
      </c>
      <c r="AT10" s="930">
        <f t="shared" si="11"/>
        <v>0.18127490039840638</v>
      </c>
      <c r="AV10" s="931">
        <v>2782</v>
      </c>
      <c r="AW10" s="931">
        <v>7949</v>
      </c>
      <c r="AX10" s="931">
        <v>2074</v>
      </c>
      <c r="AZ10" s="931">
        <f t="shared" si="12"/>
        <v>689.62253521126763</v>
      </c>
      <c r="BA10" s="931">
        <f t="shared" si="13"/>
        <v>1426.4516213048576</v>
      </c>
      <c r="BB10" s="931">
        <f t="shared" si="14"/>
        <v>375.96414342629481</v>
      </c>
      <c r="BC10" s="948">
        <f t="shared" si="15"/>
        <v>2492.0382999424201</v>
      </c>
    </row>
    <row r="11" spans="1:55" s="928" customFormat="1" ht="12" customHeight="1" x14ac:dyDescent="0.2">
      <c r="A11" s="928" t="s">
        <v>20</v>
      </c>
      <c r="B11" s="932" t="s">
        <v>453</v>
      </c>
      <c r="C11" s="945">
        <v>499</v>
      </c>
      <c r="D11" s="929">
        <v>1423</v>
      </c>
      <c r="E11" s="929">
        <v>1922</v>
      </c>
      <c r="F11" s="929">
        <v>452</v>
      </c>
      <c r="G11" s="929">
        <v>1514</v>
      </c>
      <c r="H11" s="929">
        <v>1966</v>
      </c>
      <c r="I11" s="929">
        <v>424</v>
      </c>
      <c r="J11" s="929">
        <v>2181</v>
      </c>
      <c r="K11" s="929">
        <v>2605</v>
      </c>
      <c r="L11" s="929">
        <v>585</v>
      </c>
      <c r="M11" s="929">
        <v>1914</v>
      </c>
      <c r="N11" s="929">
        <v>2499</v>
      </c>
      <c r="O11" s="929">
        <v>480</v>
      </c>
      <c r="P11" s="929">
        <v>2687</v>
      </c>
      <c r="Q11" s="929">
        <v>3167</v>
      </c>
      <c r="R11" s="929">
        <v>670</v>
      </c>
      <c r="S11" s="929">
        <v>3409</v>
      </c>
      <c r="T11" s="929">
        <v>4079</v>
      </c>
      <c r="U11" s="929">
        <v>695</v>
      </c>
      <c r="V11" s="929">
        <v>4317</v>
      </c>
      <c r="W11" s="929">
        <v>5012</v>
      </c>
      <c r="X11" s="929">
        <v>485</v>
      </c>
      <c r="Y11" s="929">
        <v>3869</v>
      </c>
      <c r="Z11" s="929">
        <v>4354</v>
      </c>
      <c r="AA11" s="929">
        <v>399</v>
      </c>
      <c r="AB11" s="929">
        <v>2737</v>
      </c>
      <c r="AC11" s="929">
        <v>3136</v>
      </c>
      <c r="AD11" s="929">
        <v>491</v>
      </c>
      <c r="AE11" s="929">
        <v>1822</v>
      </c>
      <c r="AF11" s="929">
        <v>2313</v>
      </c>
      <c r="AH11" s="929">
        <f t="shared" si="0"/>
        <v>1375</v>
      </c>
      <c r="AI11" s="929">
        <f t="shared" si="1"/>
        <v>5118</v>
      </c>
      <c r="AJ11" s="929">
        <f t="shared" si="2"/>
        <v>6493</v>
      </c>
      <c r="AK11" s="929">
        <f t="shared" si="3"/>
        <v>2915</v>
      </c>
      <c r="AL11" s="929">
        <f t="shared" si="4"/>
        <v>16196</v>
      </c>
      <c r="AM11" s="929">
        <f t="shared" si="5"/>
        <v>19111</v>
      </c>
      <c r="AN11" s="929">
        <f t="shared" si="6"/>
        <v>890</v>
      </c>
      <c r="AO11" s="929">
        <f t="shared" si="7"/>
        <v>4559</v>
      </c>
      <c r="AP11" s="929">
        <f t="shared" si="8"/>
        <v>5449</v>
      </c>
      <c r="AR11" s="930">
        <f t="shared" si="9"/>
        <v>0.21176651778838748</v>
      </c>
      <c r="AS11" s="930">
        <f t="shared" si="10"/>
        <v>0.15252995656951493</v>
      </c>
      <c r="AT11" s="930">
        <f t="shared" si="11"/>
        <v>0.16333272160029363</v>
      </c>
      <c r="AV11" s="931">
        <v>6688</v>
      </c>
      <c r="AW11" s="931">
        <v>19942</v>
      </c>
      <c r="AX11" s="931">
        <v>5537</v>
      </c>
      <c r="AZ11" s="931">
        <f t="shared" si="12"/>
        <v>1416.2944709687354</v>
      </c>
      <c r="BA11" s="931">
        <f t="shared" si="13"/>
        <v>3041.7523939092666</v>
      </c>
      <c r="BB11" s="931">
        <f t="shared" si="14"/>
        <v>904.3732795008259</v>
      </c>
      <c r="BC11" s="948">
        <f t="shared" si="15"/>
        <v>5362.4201443788279</v>
      </c>
    </row>
    <row r="12" spans="1:55" s="928" customFormat="1" ht="12" customHeight="1" x14ac:dyDescent="0.2">
      <c r="A12" s="928" t="s">
        <v>22</v>
      </c>
      <c r="B12" s="932" t="s">
        <v>454</v>
      </c>
      <c r="C12" s="945">
        <v>272</v>
      </c>
      <c r="D12" s="929">
        <v>542</v>
      </c>
      <c r="E12" s="929">
        <v>814</v>
      </c>
      <c r="F12" s="929">
        <v>406</v>
      </c>
      <c r="G12" s="929">
        <v>780</v>
      </c>
      <c r="H12" s="929">
        <v>1186</v>
      </c>
      <c r="I12" s="929">
        <v>300</v>
      </c>
      <c r="J12" s="929">
        <v>876</v>
      </c>
      <c r="K12" s="929">
        <v>1176</v>
      </c>
      <c r="L12" s="929">
        <v>178</v>
      </c>
      <c r="M12" s="929">
        <v>850</v>
      </c>
      <c r="N12" s="929">
        <v>1028</v>
      </c>
      <c r="O12" s="929">
        <v>556</v>
      </c>
      <c r="P12" s="929">
        <v>1209</v>
      </c>
      <c r="Q12" s="929">
        <v>1765</v>
      </c>
      <c r="R12" s="929">
        <v>224</v>
      </c>
      <c r="S12" s="929">
        <v>1563</v>
      </c>
      <c r="T12" s="929">
        <v>1787</v>
      </c>
      <c r="U12" s="929">
        <v>231</v>
      </c>
      <c r="V12" s="929">
        <v>2075</v>
      </c>
      <c r="W12" s="929">
        <v>2306</v>
      </c>
      <c r="X12" s="929">
        <v>267</v>
      </c>
      <c r="Y12" s="929">
        <v>1758</v>
      </c>
      <c r="Z12" s="929">
        <v>2025</v>
      </c>
      <c r="AA12" s="929">
        <v>230</v>
      </c>
      <c r="AB12" s="929">
        <v>1185</v>
      </c>
      <c r="AC12" s="929">
        <v>1415</v>
      </c>
      <c r="AD12" s="929">
        <v>205</v>
      </c>
      <c r="AE12" s="929">
        <v>895</v>
      </c>
      <c r="AF12" s="929">
        <v>1100</v>
      </c>
      <c r="AH12" s="929">
        <f t="shared" si="0"/>
        <v>978</v>
      </c>
      <c r="AI12" s="929">
        <f t="shared" si="1"/>
        <v>2198</v>
      </c>
      <c r="AJ12" s="929">
        <f t="shared" si="2"/>
        <v>3176</v>
      </c>
      <c r="AK12" s="929">
        <f t="shared" si="3"/>
        <v>1456</v>
      </c>
      <c r="AL12" s="929">
        <f t="shared" si="4"/>
        <v>7455</v>
      </c>
      <c r="AM12" s="929">
        <f t="shared" si="5"/>
        <v>8911</v>
      </c>
      <c r="AN12" s="929">
        <f t="shared" si="6"/>
        <v>435</v>
      </c>
      <c r="AO12" s="929">
        <f t="shared" si="7"/>
        <v>2080</v>
      </c>
      <c r="AP12" s="929">
        <f t="shared" si="8"/>
        <v>2515</v>
      </c>
      <c r="AR12" s="930">
        <f t="shared" si="9"/>
        <v>0.30793450881612089</v>
      </c>
      <c r="AS12" s="930">
        <f t="shared" si="10"/>
        <v>0.16339355852317361</v>
      </c>
      <c r="AT12" s="930">
        <f t="shared" si="11"/>
        <v>0.17296222664015903</v>
      </c>
      <c r="AV12" s="931">
        <v>3299</v>
      </c>
      <c r="AW12" s="931">
        <v>9056</v>
      </c>
      <c r="AX12" s="931">
        <v>2686</v>
      </c>
      <c r="AZ12" s="931">
        <f t="shared" si="12"/>
        <v>1015.8759445843829</v>
      </c>
      <c r="BA12" s="931">
        <f t="shared" si="13"/>
        <v>1479.6920659858602</v>
      </c>
      <c r="BB12" s="931">
        <f t="shared" si="14"/>
        <v>464.57654075546719</v>
      </c>
      <c r="BC12" s="948">
        <f t="shared" si="15"/>
        <v>2960.1445513257104</v>
      </c>
    </row>
    <row r="13" spans="1:55" s="928" customFormat="1" ht="12" customHeight="1" x14ac:dyDescent="0.2">
      <c r="A13" s="928" t="s">
        <v>24</v>
      </c>
      <c r="B13" s="932" t="s">
        <v>455</v>
      </c>
      <c r="C13" s="945">
        <v>1296</v>
      </c>
      <c r="D13" s="929">
        <v>12073</v>
      </c>
      <c r="E13" s="929">
        <v>13369</v>
      </c>
      <c r="F13" s="929">
        <v>1174</v>
      </c>
      <c r="G13" s="929">
        <v>8621</v>
      </c>
      <c r="H13" s="929">
        <v>9795</v>
      </c>
      <c r="I13" s="929">
        <v>1243</v>
      </c>
      <c r="J13" s="929">
        <v>7102</v>
      </c>
      <c r="K13" s="929">
        <v>8345</v>
      </c>
      <c r="L13" s="929">
        <v>3626</v>
      </c>
      <c r="M13" s="929">
        <v>15077</v>
      </c>
      <c r="N13" s="929">
        <v>18703</v>
      </c>
      <c r="O13" s="929">
        <v>3672</v>
      </c>
      <c r="P13" s="929">
        <v>51310</v>
      </c>
      <c r="Q13" s="929">
        <v>54982</v>
      </c>
      <c r="R13" s="929">
        <v>2092</v>
      </c>
      <c r="S13" s="929">
        <v>30150</v>
      </c>
      <c r="T13" s="929">
        <v>32242</v>
      </c>
      <c r="U13" s="929">
        <v>1453</v>
      </c>
      <c r="V13" s="929">
        <v>23764</v>
      </c>
      <c r="W13" s="929">
        <v>25217</v>
      </c>
      <c r="X13" s="929">
        <v>991</v>
      </c>
      <c r="Y13" s="929">
        <v>19273</v>
      </c>
      <c r="Z13" s="929">
        <v>20264</v>
      </c>
      <c r="AA13" s="929">
        <v>804</v>
      </c>
      <c r="AB13" s="929">
        <v>8813</v>
      </c>
      <c r="AC13" s="929">
        <v>9617</v>
      </c>
      <c r="AD13" s="929">
        <v>911</v>
      </c>
      <c r="AE13" s="929">
        <v>6659</v>
      </c>
      <c r="AF13" s="929">
        <v>7570</v>
      </c>
      <c r="AH13" s="929">
        <f t="shared" si="0"/>
        <v>3713</v>
      </c>
      <c r="AI13" s="929">
        <f t="shared" si="1"/>
        <v>27796</v>
      </c>
      <c r="AJ13" s="929">
        <f t="shared" si="2"/>
        <v>31509</v>
      </c>
      <c r="AK13" s="929">
        <f t="shared" si="3"/>
        <v>11834</v>
      </c>
      <c r="AL13" s="929">
        <f t="shared" si="4"/>
        <v>139574</v>
      </c>
      <c r="AM13" s="929">
        <f t="shared" si="5"/>
        <v>151408</v>
      </c>
      <c r="AN13" s="929">
        <f t="shared" si="6"/>
        <v>1715</v>
      </c>
      <c r="AO13" s="929">
        <f t="shared" si="7"/>
        <v>15472</v>
      </c>
      <c r="AP13" s="929">
        <f t="shared" si="8"/>
        <v>17187</v>
      </c>
      <c r="AR13" s="930">
        <f t="shared" si="9"/>
        <v>0.1178393474880193</v>
      </c>
      <c r="AS13" s="930">
        <f t="shared" si="10"/>
        <v>7.8159674521821834E-2</v>
      </c>
      <c r="AT13" s="930">
        <f t="shared" si="11"/>
        <v>9.9784721010065747E-2</v>
      </c>
      <c r="AV13" s="931">
        <v>34495</v>
      </c>
      <c r="AW13" s="931">
        <v>162774</v>
      </c>
      <c r="AX13" s="931">
        <v>18735</v>
      </c>
      <c r="AZ13" s="931">
        <f t="shared" si="12"/>
        <v>4064.8682915992258</v>
      </c>
      <c r="BA13" s="931">
        <f t="shared" si="13"/>
        <v>12722.362860615027</v>
      </c>
      <c r="BB13" s="931">
        <f t="shared" si="14"/>
        <v>1869.4667481235817</v>
      </c>
      <c r="BC13" s="948">
        <f t="shared" si="15"/>
        <v>18656.697900337833</v>
      </c>
    </row>
    <row r="14" spans="1:55" s="928" customFormat="1" ht="12" customHeight="1" x14ac:dyDescent="0.2">
      <c r="A14" s="928" t="s">
        <v>26</v>
      </c>
      <c r="B14" s="932" t="s">
        <v>750</v>
      </c>
      <c r="C14" s="945">
        <v>2102</v>
      </c>
      <c r="D14" s="929">
        <v>5811</v>
      </c>
      <c r="E14" s="929">
        <v>7913</v>
      </c>
      <c r="F14" s="929">
        <v>1941</v>
      </c>
      <c r="G14" s="929">
        <v>5907</v>
      </c>
      <c r="H14" s="929">
        <v>7848</v>
      </c>
      <c r="I14" s="929">
        <v>1921</v>
      </c>
      <c r="J14" s="929">
        <v>7146</v>
      </c>
      <c r="K14" s="929">
        <v>9067</v>
      </c>
      <c r="L14" s="929">
        <v>1702</v>
      </c>
      <c r="M14" s="929">
        <v>6491</v>
      </c>
      <c r="N14" s="929">
        <v>8193</v>
      </c>
      <c r="O14" s="929">
        <v>2319</v>
      </c>
      <c r="P14" s="929">
        <v>10534</v>
      </c>
      <c r="Q14" s="929">
        <v>12853</v>
      </c>
      <c r="R14" s="929">
        <v>2370</v>
      </c>
      <c r="S14" s="929">
        <v>12470</v>
      </c>
      <c r="T14" s="929">
        <v>14840</v>
      </c>
      <c r="U14" s="929">
        <v>1982</v>
      </c>
      <c r="V14" s="929">
        <v>15305</v>
      </c>
      <c r="W14" s="929">
        <v>17287</v>
      </c>
      <c r="X14" s="929">
        <v>1556</v>
      </c>
      <c r="Y14" s="929">
        <v>14218</v>
      </c>
      <c r="Z14" s="929">
        <v>15774</v>
      </c>
      <c r="AA14" s="929">
        <v>1520</v>
      </c>
      <c r="AB14" s="929">
        <v>9036</v>
      </c>
      <c r="AC14" s="929">
        <v>10556</v>
      </c>
      <c r="AD14" s="929">
        <v>1352</v>
      </c>
      <c r="AE14" s="929">
        <v>6963</v>
      </c>
      <c r="AF14" s="929">
        <v>8315</v>
      </c>
      <c r="AH14" s="929">
        <f t="shared" si="0"/>
        <v>5964</v>
      </c>
      <c r="AI14" s="929">
        <f t="shared" si="1"/>
        <v>18864</v>
      </c>
      <c r="AJ14" s="929">
        <f t="shared" si="2"/>
        <v>24828</v>
      </c>
      <c r="AK14" s="929">
        <f t="shared" si="3"/>
        <v>9929</v>
      </c>
      <c r="AL14" s="929">
        <f t="shared" si="4"/>
        <v>59018</v>
      </c>
      <c r="AM14" s="929">
        <f t="shared" si="5"/>
        <v>68947</v>
      </c>
      <c r="AN14" s="929">
        <f t="shared" si="6"/>
        <v>2872</v>
      </c>
      <c r="AO14" s="929">
        <f t="shared" si="7"/>
        <v>15999</v>
      </c>
      <c r="AP14" s="929">
        <f t="shared" si="8"/>
        <v>18871</v>
      </c>
      <c r="AR14" s="930">
        <f t="shared" si="9"/>
        <v>0.24021266312228129</v>
      </c>
      <c r="AS14" s="930">
        <f t="shared" si="10"/>
        <v>0.14400916646119483</v>
      </c>
      <c r="AT14" s="930">
        <f t="shared" si="11"/>
        <v>0.15219119283556781</v>
      </c>
      <c r="AV14" s="931">
        <v>15352</v>
      </c>
      <c r="AW14" s="931">
        <v>46035</v>
      </c>
      <c r="AX14" s="931">
        <v>12162</v>
      </c>
      <c r="AZ14" s="931">
        <f t="shared" si="12"/>
        <v>3687.7448042532624</v>
      </c>
      <c r="BA14" s="931">
        <f t="shared" si="13"/>
        <v>6629.461978041104</v>
      </c>
      <c r="BB14" s="931">
        <f t="shared" si="14"/>
        <v>1850.9492872661758</v>
      </c>
      <c r="BC14" s="948">
        <f t="shared" si="15"/>
        <v>12168.156069560542</v>
      </c>
    </row>
    <row r="15" spans="1:55" s="928" customFormat="1" ht="12" customHeight="1" x14ac:dyDescent="0.2">
      <c r="A15" s="928" t="s">
        <v>27</v>
      </c>
      <c r="B15" s="932" t="s">
        <v>456</v>
      </c>
      <c r="C15" s="945">
        <v>281</v>
      </c>
      <c r="D15" s="929">
        <v>81</v>
      </c>
      <c r="E15" s="929">
        <v>362</v>
      </c>
      <c r="F15" s="929">
        <v>65</v>
      </c>
      <c r="G15" s="929">
        <v>201</v>
      </c>
      <c r="H15" s="929">
        <v>266</v>
      </c>
      <c r="I15" s="929">
        <v>199</v>
      </c>
      <c r="J15" s="929">
        <v>89</v>
      </c>
      <c r="K15" s="929">
        <v>288</v>
      </c>
      <c r="L15" s="929">
        <v>87</v>
      </c>
      <c r="M15" s="929">
        <v>231</v>
      </c>
      <c r="N15" s="929">
        <v>318</v>
      </c>
      <c r="O15" s="929">
        <v>24</v>
      </c>
      <c r="P15" s="929">
        <v>331</v>
      </c>
      <c r="Q15" s="929">
        <v>355</v>
      </c>
      <c r="R15" s="929">
        <v>189</v>
      </c>
      <c r="S15" s="929">
        <v>423</v>
      </c>
      <c r="T15" s="929">
        <v>612</v>
      </c>
      <c r="U15" s="929">
        <v>103</v>
      </c>
      <c r="V15" s="929">
        <v>812</v>
      </c>
      <c r="W15" s="929">
        <v>915</v>
      </c>
      <c r="X15" s="929">
        <v>50</v>
      </c>
      <c r="Y15" s="929">
        <v>538</v>
      </c>
      <c r="Z15" s="929">
        <v>588</v>
      </c>
      <c r="AA15" s="929">
        <v>133</v>
      </c>
      <c r="AB15" s="929">
        <v>403</v>
      </c>
      <c r="AC15" s="929">
        <v>536</v>
      </c>
      <c r="AD15" s="929">
        <v>101</v>
      </c>
      <c r="AE15" s="929">
        <v>346</v>
      </c>
      <c r="AF15" s="929">
        <v>447</v>
      </c>
      <c r="AH15" s="929">
        <f t="shared" si="0"/>
        <v>545</v>
      </c>
      <c r="AI15" s="929">
        <f t="shared" si="1"/>
        <v>371</v>
      </c>
      <c r="AJ15" s="929">
        <f t="shared" si="2"/>
        <v>916</v>
      </c>
      <c r="AK15" s="929">
        <f t="shared" si="3"/>
        <v>453</v>
      </c>
      <c r="AL15" s="929">
        <f t="shared" si="4"/>
        <v>2335</v>
      </c>
      <c r="AM15" s="929">
        <f t="shared" si="5"/>
        <v>2788</v>
      </c>
      <c r="AN15" s="929">
        <f t="shared" si="6"/>
        <v>234</v>
      </c>
      <c r="AO15" s="929">
        <f t="shared" si="7"/>
        <v>749</v>
      </c>
      <c r="AP15" s="929">
        <f t="shared" si="8"/>
        <v>983</v>
      </c>
      <c r="AR15" s="930">
        <f t="shared" si="9"/>
        <v>0.59497816593886466</v>
      </c>
      <c r="AS15" s="930">
        <f t="shared" si="10"/>
        <v>0.16248206599713055</v>
      </c>
      <c r="AT15" s="930">
        <f t="shared" si="11"/>
        <v>0.2380467955239064</v>
      </c>
      <c r="AV15" s="931">
        <v>782</v>
      </c>
      <c r="AW15" s="931">
        <v>2804</v>
      </c>
      <c r="AX15" s="931">
        <v>1071</v>
      </c>
      <c r="AZ15" s="931">
        <f t="shared" si="12"/>
        <v>465.27292576419217</v>
      </c>
      <c r="BA15" s="931">
        <f t="shared" si="13"/>
        <v>455.59971305595406</v>
      </c>
      <c r="BB15" s="931">
        <f t="shared" si="14"/>
        <v>254.94811800610375</v>
      </c>
      <c r="BC15" s="948">
        <f t="shared" si="15"/>
        <v>1175.8207568262501</v>
      </c>
    </row>
    <row r="16" spans="1:55" s="928" customFormat="1" ht="12" customHeight="1" x14ac:dyDescent="0.2">
      <c r="A16" s="928" t="s">
        <v>29</v>
      </c>
      <c r="B16" s="932" t="s">
        <v>925</v>
      </c>
      <c r="C16" s="945">
        <v>1016</v>
      </c>
      <c r="D16" s="929">
        <v>3361</v>
      </c>
      <c r="E16" s="929">
        <v>4377</v>
      </c>
      <c r="F16" s="929">
        <v>1176</v>
      </c>
      <c r="G16" s="929">
        <v>4432</v>
      </c>
      <c r="H16" s="929">
        <v>5608</v>
      </c>
      <c r="I16" s="929">
        <v>756</v>
      </c>
      <c r="J16" s="929">
        <v>5825</v>
      </c>
      <c r="K16" s="929">
        <v>6581</v>
      </c>
      <c r="L16" s="929">
        <v>1109</v>
      </c>
      <c r="M16" s="929">
        <v>3839</v>
      </c>
      <c r="N16" s="929">
        <v>4948</v>
      </c>
      <c r="O16" s="929">
        <v>1117</v>
      </c>
      <c r="P16" s="929">
        <v>5591</v>
      </c>
      <c r="Q16" s="929">
        <v>6708</v>
      </c>
      <c r="R16" s="929">
        <v>1078</v>
      </c>
      <c r="S16" s="929">
        <v>9300</v>
      </c>
      <c r="T16" s="929">
        <v>10378</v>
      </c>
      <c r="U16" s="929">
        <v>1457</v>
      </c>
      <c r="V16" s="929">
        <v>11083</v>
      </c>
      <c r="W16" s="929">
        <v>12540</v>
      </c>
      <c r="X16" s="929">
        <v>1186</v>
      </c>
      <c r="Y16" s="929">
        <v>9867</v>
      </c>
      <c r="Z16" s="929">
        <v>11053</v>
      </c>
      <c r="AA16" s="929">
        <v>732</v>
      </c>
      <c r="AB16" s="929">
        <v>6331</v>
      </c>
      <c r="AC16" s="929">
        <v>7063</v>
      </c>
      <c r="AD16" s="929">
        <v>673</v>
      </c>
      <c r="AE16" s="929">
        <v>3961</v>
      </c>
      <c r="AF16" s="929">
        <v>4634</v>
      </c>
      <c r="AH16" s="929">
        <f t="shared" si="0"/>
        <v>2948</v>
      </c>
      <c r="AI16" s="929">
        <f t="shared" si="1"/>
        <v>13618</v>
      </c>
      <c r="AJ16" s="929">
        <f t="shared" si="2"/>
        <v>16566</v>
      </c>
      <c r="AK16" s="929">
        <f t="shared" si="3"/>
        <v>5947</v>
      </c>
      <c r="AL16" s="929">
        <f t="shared" si="4"/>
        <v>39680</v>
      </c>
      <c r="AM16" s="929">
        <f t="shared" si="5"/>
        <v>45627</v>
      </c>
      <c r="AN16" s="929">
        <f t="shared" si="6"/>
        <v>1405</v>
      </c>
      <c r="AO16" s="929">
        <f t="shared" si="7"/>
        <v>10292</v>
      </c>
      <c r="AP16" s="929">
        <f t="shared" si="8"/>
        <v>11697</v>
      </c>
      <c r="AR16" s="930">
        <f t="shared" si="9"/>
        <v>0.17795484727755645</v>
      </c>
      <c r="AS16" s="930">
        <f t="shared" si="10"/>
        <v>0.13033949196747541</v>
      </c>
      <c r="AT16" s="930">
        <f t="shared" si="11"/>
        <v>0.12011626912883645</v>
      </c>
      <c r="AV16" s="931">
        <v>15022</v>
      </c>
      <c r="AW16" s="931">
        <v>42606</v>
      </c>
      <c r="AX16" s="931">
        <v>11618</v>
      </c>
      <c r="AZ16" s="931">
        <f t="shared" si="12"/>
        <v>2673.2377158034528</v>
      </c>
      <c r="BA16" s="931">
        <f t="shared" si="13"/>
        <v>5553.2443947662568</v>
      </c>
      <c r="BB16" s="931">
        <f t="shared" si="14"/>
        <v>1395.5108147388219</v>
      </c>
      <c r="BC16" s="948">
        <f t="shared" si="15"/>
        <v>9621.992925308532</v>
      </c>
    </row>
    <row r="17" spans="1:55" s="928" customFormat="1" ht="12" customHeight="1" x14ac:dyDescent="0.2">
      <c r="A17" s="928" t="s">
        <v>30</v>
      </c>
      <c r="B17" s="932" t="s">
        <v>457</v>
      </c>
      <c r="C17" s="945">
        <v>10</v>
      </c>
      <c r="D17" s="929">
        <v>297</v>
      </c>
      <c r="E17" s="929">
        <v>307</v>
      </c>
      <c r="F17" s="929">
        <v>50</v>
      </c>
      <c r="G17" s="929">
        <v>262</v>
      </c>
      <c r="H17" s="929">
        <v>312</v>
      </c>
      <c r="I17" s="929">
        <v>83</v>
      </c>
      <c r="J17" s="929">
        <v>502</v>
      </c>
      <c r="K17" s="929">
        <v>585</v>
      </c>
      <c r="L17" s="929">
        <v>120</v>
      </c>
      <c r="M17" s="929">
        <v>262</v>
      </c>
      <c r="N17" s="929">
        <v>382</v>
      </c>
      <c r="O17" s="929">
        <v>32</v>
      </c>
      <c r="P17" s="929">
        <v>690</v>
      </c>
      <c r="Q17" s="929">
        <v>722</v>
      </c>
      <c r="R17" s="929">
        <v>160</v>
      </c>
      <c r="S17" s="929">
        <v>578</v>
      </c>
      <c r="T17" s="929">
        <v>738</v>
      </c>
      <c r="U17" s="929">
        <v>60</v>
      </c>
      <c r="V17" s="929">
        <v>877</v>
      </c>
      <c r="W17" s="929">
        <v>937</v>
      </c>
      <c r="X17" s="929">
        <v>97</v>
      </c>
      <c r="Y17" s="929">
        <v>904</v>
      </c>
      <c r="Z17" s="929">
        <v>1001</v>
      </c>
      <c r="AA17" s="929">
        <v>158</v>
      </c>
      <c r="AB17" s="929">
        <v>597</v>
      </c>
      <c r="AC17" s="929">
        <v>755</v>
      </c>
      <c r="AD17" s="929">
        <v>132</v>
      </c>
      <c r="AE17" s="929">
        <v>312</v>
      </c>
      <c r="AF17" s="929">
        <v>444</v>
      </c>
      <c r="AH17" s="929">
        <f t="shared" si="0"/>
        <v>143</v>
      </c>
      <c r="AI17" s="929">
        <f t="shared" si="1"/>
        <v>1061</v>
      </c>
      <c r="AJ17" s="929">
        <f t="shared" si="2"/>
        <v>1204</v>
      </c>
      <c r="AK17" s="929">
        <f t="shared" si="3"/>
        <v>469</v>
      </c>
      <c r="AL17" s="929">
        <f t="shared" si="4"/>
        <v>3311</v>
      </c>
      <c r="AM17" s="929">
        <f t="shared" si="5"/>
        <v>3780</v>
      </c>
      <c r="AN17" s="929">
        <f t="shared" si="6"/>
        <v>290</v>
      </c>
      <c r="AO17" s="929">
        <f t="shared" si="7"/>
        <v>909</v>
      </c>
      <c r="AP17" s="929">
        <f t="shared" si="8"/>
        <v>1199</v>
      </c>
      <c r="AR17" s="930">
        <f t="shared" si="9"/>
        <v>0.11877076411960133</v>
      </c>
      <c r="AS17" s="930">
        <f t="shared" si="10"/>
        <v>0.12407407407407407</v>
      </c>
      <c r="AT17" s="930">
        <f t="shared" si="11"/>
        <v>0.24186822351959966</v>
      </c>
      <c r="AV17" s="931">
        <v>1204</v>
      </c>
      <c r="AW17" s="931">
        <v>4393</v>
      </c>
      <c r="AX17" s="931">
        <v>1221</v>
      </c>
      <c r="AZ17" s="931">
        <f t="shared" si="12"/>
        <v>143</v>
      </c>
      <c r="BA17" s="931">
        <f t="shared" si="13"/>
        <v>545.05740740740737</v>
      </c>
      <c r="BB17" s="931">
        <f t="shared" si="14"/>
        <v>295.32110091743118</v>
      </c>
      <c r="BC17" s="948">
        <f t="shared" si="15"/>
        <v>983.37850832483855</v>
      </c>
    </row>
    <row r="18" spans="1:55" s="928" customFormat="1" ht="12" customHeight="1" x14ac:dyDescent="0.2">
      <c r="A18" s="928" t="s">
        <v>32</v>
      </c>
      <c r="B18" s="932" t="s">
        <v>458</v>
      </c>
      <c r="C18" s="945">
        <v>298</v>
      </c>
      <c r="D18" s="929">
        <v>1808</v>
      </c>
      <c r="E18" s="929">
        <v>2106</v>
      </c>
      <c r="F18" s="929">
        <v>152</v>
      </c>
      <c r="G18" s="929">
        <v>2119</v>
      </c>
      <c r="H18" s="929">
        <v>2271</v>
      </c>
      <c r="I18" s="929">
        <v>399</v>
      </c>
      <c r="J18" s="929">
        <v>2459</v>
      </c>
      <c r="K18" s="929">
        <v>2858</v>
      </c>
      <c r="L18" s="929">
        <v>297</v>
      </c>
      <c r="M18" s="929">
        <v>1736</v>
      </c>
      <c r="N18" s="929">
        <v>2033</v>
      </c>
      <c r="O18" s="929">
        <v>213</v>
      </c>
      <c r="P18" s="929">
        <v>2385</v>
      </c>
      <c r="Q18" s="929">
        <v>2598</v>
      </c>
      <c r="R18" s="929">
        <v>277</v>
      </c>
      <c r="S18" s="929">
        <v>4250</v>
      </c>
      <c r="T18" s="929">
        <v>4527</v>
      </c>
      <c r="U18" s="929">
        <v>431</v>
      </c>
      <c r="V18" s="929">
        <v>5217</v>
      </c>
      <c r="W18" s="929">
        <v>5648</v>
      </c>
      <c r="X18" s="929">
        <v>371</v>
      </c>
      <c r="Y18" s="929">
        <v>4779</v>
      </c>
      <c r="Z18" s="929">
        <v>5150</v>
      </c>
      <c r="AA18" s="929">
        <v>201</v>
      </c>
      <c r="AB18" s="929">
        <v>2921</v>
      </c>
      <c r="AC18" s="929">
        <v>3122</v>
      </c>
      <c r="AD18" s="929">
        <v>423</v>
      </c>
      <c r="AE18" s="929">
        <v>1760</v>
      </c>
      <c r="AF18" s="929">
        <v>2183</v>
      </c>
      <c r="AH18" s="929">
        <f t="shared" si="0"/>
        <v>849</v>
      </c>
      <c r="AI18" s="929">
        <f t="shared" si="1"/>
        <v>6386</v>
      </c>
      <c r="AJ18" s="929">
        <f t="shared" si="2"/>
        <v>7235</v>
      </c>
      <c r="AK18" s="929">
        <f t="shared" si="3"/>
        <v>1589</v>
      </c>
      <c r="AL18" s="929">
        <f t="shared" si="4"/>
        <v>18367</v>
      </c>
      <c r="AM18" s="929">
        <f t="shared" si="5"/>
        <v>19956</v>
      </c>
      <c r="AN18" s="929">
        <f t="shared" si="6"/>
        <v>624</v>
      </c>
      <c r="AO18" s="929">
        <f t="shared" si="7"/>
        <v>4681</v>
      </c>
      <c r="AP18" s="929">
        <f t="shared" si="8"/>
        <v>5305</v>
      </c>
      <c r="AR18" s="930">
        <f t="shared" si="9"/>
        <v>0.11734623358673117</v>
      </c>
      <c r="AS18" s="930">
        <f t="shared" si="10"/>
        <v>7.9625175385848873E-2</v>
      </c>
      <c r="AT18" s="930">
        <f t="shared" si="11"/>
        <v>0.1176248821866164</v>
      </c>
      <c r="AV18" s="931">
        <v>7171</v>
      </c>
      <c r="AW18" s="931">
        <v>20158</v>
      </c>
      <c r="AX18" s="931">
        <v>5599</v>
      </c>
      <c r="AZ18" s="931">
        <f t="shared" si="12"/>
        <v>841.48984105044929</v>
      </c>
      <c r="BA18" s="931">
        <f t="shared" si="13"/>
        <v>1605.0842854279415</v>
      </c>
      <c r="BB18" s="931">
        <f t="shared" si="14"/>
        <v>658.58171536286522</v>
      </c>
      <c r="BC18" s="948">
        <f t="shared" si="15"/>
        <v>3105.155841841256</v>
      </c>
    </row>
    <row r="19" spans="1:55" s="928" customFormat="1" ht="12" customHeight="1" x14ac:dyDescent="0.2">
      <c r="A19" s="928" t="s">
        <v>36</v>
      </c>
      <c r="B19" s="932" t="s">
        <v>459</v>
      </c>
      <c r="C19" s="945">
        <v>698</v>
      </c>
      <c r="D19" s="929">
        <v>319</v>
      </c>
      <c r="E19" s="929">
        <v>1017</v>
      </c>
      <c r="F19" s="929">
        <v>304</v>
      </c>
      <c r="G19" s="929">
        <v>698</v>
      </c>
      <c r="H19" s="929">
        <v>1002</v>
      </c>
      <c r="I19" s="929">
        <v>521</v>
      </c>
      <c r="J19" s="929">
        <v>761</v>
      </c>
      <c r="K19" s="929">
        <v>1282</v>
      </c>
      <c r="L19" s="929">
        <v>551</v>
      </c>
      <c r="M19" s="929">
        <v>652</v>
      </c>
      <c r="N19" s="929">
        <v>1203</v>
      </c>
      <c r="O19" s="929">
        <v>439</v>
      </c>
      <c r="P19" s="929">
        <v>1113</v>
      </c>
      <c r="Q19" s="929">
        <v>1552</v>
      </c>
      <c r="R19" s="929">
        <v>292</v>
      </c>
      <c r="S19" s="929">
        <v>1302</v>
      </c>
      <c r="T19" s="929">
        <v>1594</v>
      </c>
      <c r="U19" s="929">
        <v>489</v>
      </c>
      <c r="V19" s="929">
        <v>1915</v>
      </c>
      <c r="W19" s="929">
        <v>2404</v>
      </c>
      <c r="X19" s="929">
        <v>456</v>
      </c>
      <c r="Y19" s="929">
        <v>1776</v>
      </c>
      <c r="Z19" s="929">
        <v>2232</v>
      </c>
      <c r="AA19" s="929">
        <v>430</v>
      </c>
      <c r="AB19" s="929">
        <v>1100</v>
      </c>
      <c r="AC19" s="929">
        <v>1530</v>
      </c>
      <c r="AD19" s="929">
        <v>427</v>
      </c>
      <c r="AE19" s="929">
        <v>773</v>
      </c>
      <c r="AF19" s="929">
        <v>1200</v>
      </c>
      <c r="AH19" s="929">
        <f t="shared" si="0"/>
        <v>1523</v>
      </c>
      <c r="AI19" s="929">
        <f t="shared" si="1"/>
        <v>1778</v>
      </c>
      <c r="AJ19" s="929">
        <f t="shared" si="2"/>
        <v>3301</v>
      </c>
      <c r="AK19" s="929">
        <f t="shared" si="3"/>
        <v>2227</v>
      </c>
      <c r="AL19" s="929">
        <f t="shared" si="4"/>
        <v>6758</v>
      </c>
      <c r="AM19" s="929">
        <f t="shared" si="5"/>
        <v>8985</v>
      </c>
      <c r="AN19" s="929">
        <f t="shared" si="6"/>
        <v>857</v>
      </c>
      <c r="AO19" s="929">
        <f t="shared" si="7"/>
        <v>1873</v>
      </c>
      <c r="AP19" s="929">
        <f t="shared" si="8"/>
        <v>2730</v>
      </c>
      <c r="AR19" s="930">
        <f t="shared" si="9"/>
        <v>0.46137534080581644</v>
      </c>
      <c r="AS19" s="930">
        <f t="shared" si="10"/>
        <v>0.24785754034501947</v>
      </c>
      <c r="AT19" s="930">
        <f t="shared" si="11"/>
        <v>0.31391941391941391</v>
      </c>
      <c r="AV19" s="931">
        <v>3196</v>
      </c>
      <c r="AW19" s="931">
        <v>11045</v>
      </c>
      <c r="AX19" s="931">
        <v>2963</v>
      </c>
      <c r="AZ19" s="931">
        <f t="shared" si="12"/>
        <v>1474.5555892153893</v>
      </c>
      <c r="BA19" s="931">
        <f t="shared" si="13"/>
        <v>2737.5865331107402</v>
      </c>
      <c r="BB19" s="931">
        <f t="shared" si="14"/>
        <v>930.14322344322341</v>
      </c>
      <c r="BC19" s="948">
        <f t="shared" si="15"/>
        <v>5142.2853457693527</v>
      </c>
    </row>
    <row r="20" spans="1:55" s="928" customFormat="1" ht="12" customHeight="1" x14ac:dyDescent="0.2">
      <c r="A20" s="928" t="s">
        <v>38</v>
      </c>
      <c r="B20" s="932" t="s">
        <v>460</v>
      </c>
      <c r="C20" s="945">
        <v>716</v>
      </c>
      <c r="D20" s="929">
        <v>612</v>
      </c>
      <c r="E20" s="929">
        <v>1328</v>
      </c>
      <c r="F20" s="929">
        <v>558</v>
      </c>
      <c r="G20" s="929">
        <v>734</v>
      </c>
      <c r="H20" s="929">
        <v>1292</v>
      </c>
      <c r="I20" s="929">
        <v>743</v>
      </c>
      <c r="J20" s="929">
        <v>918</v>
      </c>
      <c r="K20" s="929">
        <v>1661</v>
      </c>
      <c r="L20" s="929">
        <v>507</v>
      </c>
      <c r="M20" s="929">
        <v>1177</v>
      </c>
      <c r="N20" s="929">
        <v>1684</v>
      </c>
      <c r="O20" s="929">
        <v>856</v>
      </c>
      <c r="P20" s="929">
        <v>1660</v>
      </c>
      <c r="Q20" s="929">
        <v>2516</v>
      </c>
      <c r="R20" s="929">
        <v>1095</v>
      </c>
      <c r="S20" s="929">
        <v>2151</v>
      </c>
      <c r="T20" s="929">
        <v>3246</v>
      </c>
      <c r="U20" s="929">
        <v>966</v>
      </c>
      <c r="V20" s="929">
        <v>3033</v>
      </c>
      <c r="W20" s="929">
        <v>3999</v>
      </c>
      <c r="X20" s="929">
        <v>755</v>
      </c>
      <c r="Y20" s="929">
        <v>2737</v>
      </c>
      <c r="Z20" s="929">
        <v>3492</v>
      </c>
      <c r="AA20" s="929">
        <v>508</v>
      </c>
      <c r="AB20" s="929">
        <v>1905</v>
      </c>
      <c r="AC20" s="929">
        <v>2413</v>
      </c>
      <c r="AD20" s="929">
        <v>373</v>
      </c>
      <c r="AE20" s="929">
        <v>1081</v>
      </c>
      <c r="AF20" s="929">
        <v>1454</v>
      </c>
      <c r="AH20" s="929">
        <f t="shared" si="0"/>
        <v>2017</v>
      </c>
      <c r="AI20" s="929">
        <f t="shared" si="1"/>
        <v>2264</v>
      </c>
      <c r="AJ20" s="929">
        <f t="shared" si="2"/>
        <v>4281</v>
      </c>
      <c r="AK20" s="929">
        <f t="shared" si="3"/>
        <v>4179</v>
      </c>
      <c r="AL20" s="929">
        <f t="shared" si="4"/>
        <v>10758</v>
      </c>
      <c r="AM20" s="929">
        <f t="shared" si="5"/>
        <v>14937</v>
      </c>
      <c r="AN20" s="929">
        <f t="shared" si="6"/>
        <v>881</v>
      </c>
      <c r="AO20" s="929">
        <f t="shared" si="7"/>
        <v>2986</v>
      </c>
      <c r="AP20" s="929">
        <f t="shared" si="8"/>
        <v>3867</v>
      </c>
      <c r="AR20" s="930">
        <f t="shared" si="9"/>
        <v>0.4711516000934361</v>
      </c>
      <c r="AS20" s="930">
        <f t="shared" si="10"/>
        <v>0.27977505523197427</v>
      </c>
      <c r="AT20" s="930">
        <f t="shared" si="11"/>
        <v>0.22782518748383759</v>
      </c>
      <c r="AV20" s="931">
        <v>4322</v>
      </c>
      <c r="AW20" s="931">
        <v>15371</v>
      </c>
      <c r="AX20" s="931">
        <v>3888</v>
      </c>
      <c r="AZ20" s="931">
        <f t="shared" si="12"/>
        <v>2036.3172156038308</v>
      </c>
      <c r="BA20" s="931">
        <f t="shared" si="13"/>
        <v>4300.4223739706767</v>
      </c>
      <c r="BB20" s="931">
        <f t="shared" si="14"/>
        <v>885.78432893716058</v>
      </c>
      <c r="BC20" s="948">
        <f t="shared" si="15"/>
        <v>7222.5239185116679</v>
      </c>
    </row>
    <row r="21" spans="1:55" s="928" customFormat="1" ht="12" customHeight="1" x14ac:dyDescent="0.2">
      <c r="A21" s="928" t="s">
        <v>40</v>
      </c>
      <c r="B21" s="932" t="s">
        <v>461</v>
      </c>
      <c r="C21" s="945">
        <v>291</v>
      </c>
      <c r="D21" s="929">
        <v>764</v>
      </c>
      <c r="E21" s="929">
        <v>1055</v>
      </c>
      <c r="F21" s="929">
        <v>182</v>
      </c>
      <c r="G21" s="929">
        <v>348</v>
      </c>
      <c r="H21" s="929">
        <v>530</v>
      </c>
      <c r="I21" s="929">
        <v>369</v>
      </c>
      <c r="J21" s="929">
        <v>582</v>
      </c>
      <c r="K21" s="929">
        <v>951</v>
      </c>
      <c r="L21" s="929">
        <v>228</v>
      </c>
      <c r="M21" s="929">
        <v>627</v>
      </c>
      <c r="N21" s="929">
        <v>855</v>
      </c>
      <c r="O21" s="929">
        <v>231</v>
      </c>
      <c r="P21" s="929">
        <v>902</v>
      </c>
      <c r="Q21" s="929">
        <v>1133</v>
      </c>
      <c r="R21" s="929">
        <v>371</v>
      </c>
      <c r="S21" s="929">
        <v>1116</v>
      </c>
      <c r="T21" s="929">
        <v>1487</v>
      </c>
      <c r="U21" s="929">
        <v>478</v>
      </c>
      <c r="V21" s="929">
        <v>1161</v>
      </c>
      <c r="W21" s="929">
        <v>1639</v>
      </c>
      <c r="X21" s="929">
        <v>373</v>
      </c>
      <c r="Y21" s="929">
        <v>1723</v>
      </c>
      <c r="Z21" s="929">
        <v>2096</v>
      </c>
      <c r="AA21" s="929">
        <v>246</v>
      </c>
      <c r="AB21" s="929">
        <v>1139</v>
      </c>
      <c r="AC21" s="929">
        <v>1385</v>
      </c>
      <c r="AD21" s="929">
        <v>246</v>
      </c>
      <c r="AE21" s="929">
        <v>641</v>
      </c>
      <c r="AF21" s="929">
        <v>887</v>
      </c>
      <c r="AH21" s="929">
        <f t="shared" si="0"/>
        <v>842</v>
      </c>
      <c r="AI21" s="929">
        <f t="shared" si="1"/>
        <v>1694</v>
      </c>
      <c r="AJ21" s="929">
        <f t="shared" si="2"/>
        <v>2536</v>
      </c>
      <c r="AK21" s="929">
        <f t="shared" si="3"/>
        <v>1681</v>
      </c>
      <c r="AL21" s="929">
        <f t="shared" si="4"/>
        <v>5529</v>
      </c>
      <c r="AM21" s="929">
        <f t="shared" si="5"/>
        <v>7210</v>
      </c>
      <c r="AN21" s="929">
        <f t="shared" si="6"/>
        <v>492</v>
      </c>
      <c r="AO21" s="929">
        <f t="shared" si="7"/>
        <v>1780</v>
      </c>
      <c r="AP21" s="929">
        <f t="shared" si="8"/>
        <v>2272</v>
      </c>
      <c r="AR21" s="930">
        <f t="shared" si="9"/>
        <v>0.33201892744479494</v>
      </c>
      <c r="AS21" s="930">
        <f t="shared" si="10"/>
        <v>0.23314840499306519</v>
      </c>
      <c r="AT21" s="930">
        <f t="shared" si="11"/>
        <v>0.21654929577464788</v>
      </c>
      <c r="AV21" s="931">
        <v>3271</v>
      </c>
      <c r="AW21" s="931">
        <v>11461</v>
      </c>
      <c r="AX21" s="931">
        <v>2546</v>
      </c>
      <c r="AZ21" s="931">
        <f t="shared" si="12"/>
        <v>1086.0339116719242</v>
      </c>
      <c r="BA21" s="931">
        <f t="shared" si="13"/>
        <v>2672.1138696255202</v>
      </c>
      <c r="BB21" s="931">
        <f t="shared" si="14"/>
        <v>551.33450704225345</v>
      </c>
      <c r="BC21" s="948">
        <f t="shared" si="15"/>
        <v>4309.4822883396982</v>
      </c>
    </row>
    <row r="22" spans="1:55" s="928" customFormat="1" ht="12" customHeight="1" x14ac:dyDescent="0.2">
      <c r="A22" s="928" t="s">
        <v>42</v>
      </c>
      <c r="B22" s="932" t="s">
        <v>462</v>
      </c>
      <c r="C22" s="945">
        <v>991</v>
      </c>
      <c r="D22" s="929">
        <v>2162</v>
      </c>
      <c r="E22" s="929">
        <v>3153</v>
      </c>
      <c r="F22" s="929">
        <v>919</v>
      </c>
      <c r="G22" s="929">
        <v>3023</v>
      </c>
      <c r="H22" s="929">
        <v>3942</v>
      </c>
      <c r="I22" s="929">
        <v>1389</v>
      </c>
      <c r="J22" s="929">
        <v>3197</v>
      </c>
      <c r="K22" s="929">
        <v>4586</v>
      </c>
      <c r="L22" s="929">
        <v>1443</v>
      </c>
      <c r="M22" s="929">
        <v>3736</v>
      </c>
      <c r="N22" s="929">
        <v>5179</v>
      </c>
      <c r="O22" s="929">
        <v>1150</v>
      </c>
      <c r="P22" s="929">
        <v>4520</v>
      </c>
      <c r="Q22" s="929">
        <v>5670</v>
      </c>
      <c r="R22" s="929">
        <v>1340</v>
      </c>
      <c r="S22" s="929">
        <v>6063</v>
      </c>
      <c r="T22" s="929">
        <v>7403</v>
      </c>
      <c r="U22" s="929">
        <v>1234</v>
      </c>
      <c r="V22" s="929">
        <v>7123</v>
      </c>
      <c r="W22" s="929">
        <v>8357</v>
      </c>
      <c r="X22" s="929">
        <v>798</v>
      </c>
      <c r="Y22" s="929">
        <v>6336</v>
      </c>
      <c r="Z22" s="929">
        <v>7134</v>
      </c>
      <c r="AA22" s="929">
        <v>564</v>
      </c>
      <c r="AB22" s="929">
        <v>4310</v>
      </c>
      <c r="AC22" s="929">
        <v>4874</v>
      </c>
      <c r="AD22" s="929">
        <v>391</v>
      </c>
      <c r="AE22" s="929">
        <v>3113</v>
      </c>
      <c r="AF22" s="929">
        <v>3504</v>
      </c>
      <c r="AH22" s="929">
        <f t="shared" si="0"/>
        <v>3299</v>
      </c>
      <c r="AI22" s="929">
        <f t="shared" si="1"/>
        <v>8382</v>
      </c>
      <c r="AJ22" s="929">
        <f t="shared" si="2"/>
        <v>11681</v>
      </c>
      <c r="AK22" s="929">
        <f t="shared" si="3"/>
        <v>5965</v>
      </c>
      <c r="AL22" s="929">
        <f t="shared" si="4"/>
        <v>27778</v>
      </c>
      <c r="AM22" s="929">
        <f t="shared" si="5"/>
        <v>33743</v>
      </c>
      <c r="AN22" s="929">
        <f t="shared" si="6"/>
        <v>955</v>
      </c>
      <c r="AO22" s="929">
        <f t="shared" si="7"/>
        <v>7423</v>
      </c>
      <c r="AP22" s="929">
        <f t="shared" si="8"/>
        <v>8378</v>
      </c>
      <c r="AR22" s="930">
        <f t="shared" si="9"/>
        <v>0.28242444996147592</v>
      </c>
      <c r="AS22" s="930">
        <f t="shared" si="10"/>
        <v>0.17677740568414191</v>
      </c>
      <c r="AT22" s="930">
        <f t="shared" si="11"/>
        <v>0.11398901885891621</v>
      </c>
      <c r="AV22" s="931">
        <v>11732</v>
      </c>
      <c r="AW22" s="931">
        <v>34424</v>
      </c>
      <c r="AX22" s="931">
        <v>8876</v>
      </c>
      <c r="AZ22" s="931">
        <f t="shared" si="12"/>
        <v>3313.4036469480357</v>
      </c>
      <c r="BA22" s="931">
        <f t="shared" si="13"/>
        <v>6085.3854132709012</v>
      </c>
      <c r="BB22" s="931">
        <f t="shared" si="14"/>
        <v>1011.7665313917403</v>
      </c>
      <c r="BC22" s="948">
        <f t="shared" si="15"/>
        <v>10410.555591610677</v>
      </c>
    </row>
    <row r="23" spans="1:55" s="928" customFormat="1" ht="12" customHeight="1" x14ac:dyDescent="0.2">
      <c r="A23" s="928" t="s">
        <v>44</v>
      </c>
      <c r="B23" s="932" t="s">
        <v>463</v>
      </c>
      <c r="C23" s="945">
        <v>164</v>
      </c>
      <c r="D23" s="929">
        <v>2049</v>
      </c>
      <c r="E23" s="929">
        <v>2213</v>
      </c>
      <c r="F23" s="929">
        <v>485</v>
      </c>
      <c r="G23" s="929">
        <v>1889</v>
      </c>
      <c r="H23" s="929">
        <v>2374</v>
      </c>
      <c r="I23" s="929">
        <v>307</v>
      </c>
      <c r="J23" s="929">
        <v>1756</v>
      </c>
      <c r="K23" s="929">
        <v>2063</v>
      </c>
      <c r="L23" s="929">
        <v>397</v>
      </c>
      <c r="M23" s="929">
        <v>1395</v>
      </c>
      <c r="N23" s="929">
        <v>1792</v>
      </c>
      <c r="O23" s="929">
        <v>367</v>
      </c>
      <c r="P23" s="929">
        <v>3098</v>
      </c>
      <c r="Q23" s="929">
        <v>3465</v>
      </c>
      <c r="R23" s="929">
        <v>440</v>
      </c>
      <c r="S23" s="929">
        <v>3530</v>
      </c>
      <c r="T23" s="929">
        <v>3970</v>
      </c>
      <c r="U23" s="929">
        <v>479</v>
      </c>
      <c r="V23" s="929">
        <v>3781</v>
      </c>
      <c r="W23" s="929">
        <v>4260</v>
      </c>
      <c r="X23" s="929">
        <v>199</v>
      </c>
      <c r="Y23" s="929">
        <v>3356</v>
      </c>
      <c r="Z23" s="929">
        <v>3555</v>
      </c>
      <c r="AA23" s="929">
        <v>331</v>
      </c>
      <c r="AB23" s="929">
        <v>1710</v>
      </c>
      <c r="AC23" s="929">
        <v>2041</v>
      </c>
      <c r="AD23" s="929">
        <v>201</v>
      </c>
      <c r="AE23" s="929">
        <v>1258</v>
      </c>
      <c r="AF23" s="929">
        <v>1459</v>
      </c>
      <c r="AH23" s="929">
        <f t="shared" si="0"/>
        <v>956</v>
      </c>
      <c r="AI23" s="929">
        <f t="shared" si="1"/>
        <v>5694</v>
      </c>
      <c r="AJ23" s="929">
        <f t="shared" si="2"/>
        <v>6650</v>
      </c>
      <c r="AK23" s="929">
        <f t="shared" si="3"/>
        <v>1882</v>
      </c>
      <c r="AL23" s="929">
        <f t="shared" si="4"/>
        <v>15160</v>
      </c>
      <c r="AM23" s="929">
        <f t="shared" si="5"/>
        <v>17042</v>
      </c>
      <c r="AN23" s="929">
        <f t="shared" si="6"/>
        <v>532</v>
      </c>
      <c r="AO23" s="929">
        <f t="shared" si="7"/>
        <v>2968</v>
      </c>
      <c r="AP23" s="929">
        <f t="shared" si="8"/>
        <v>3500</v>
      </c>
      <c r="AR23" s="930">
        <f t="shared" si="9"/>
        <v>0.14375939849624061</v>
      </c>
      <c r="AS23" s="930">
        <f t="shared" si="10"/>
        <v>0.11043304776434691</v>
      </c>
      <c r="AT23" s="930">
        <f t="shared" si="11"/>
        <v>0.152</v>
      </c>
      <c r="AV23" s="931">
        <v>6749</v>
      </c>
      <c r="AW23" s="931">
        <v>17996</v>
      </c>
      <c r="AX23" s="931">
        <v>3929</v>
      </c>
      <c r="AZ23" s="931">
        <f t="shared" si="12"/>
        <v>970.23218045112787</v>
      </c>
      <c r="BA23" s="931">
        <f t="shared" si="13"/>
        <v>1987.3531275671871</v>
      </c>
      <c r="BB23" s="931">
        <f t="shared" si="14"/>
        <v>597.20799999999997</v>
      </c>
      <c r="BC23" s="948">
        <f t="shared" si="15"/>
        <v>3554.7933080183152</v>
      </c>
    </row>
    <row r="24" spans="1:55" s="928" customFormat="1" ht="12" customHeight="1" x14ac:dyDescent="0.2">
      <c r="A24" s="928" t="s">
        <v>46</v>
      </c>
      <c r="B24" s="932" t="s">
        <v>464</v>
      </c>
      <c r="C24" s="945">
        <v>695</v>
      </c>
      <c r="D24" s="929">
        <v>886</v>
      </c>
      <c r="E24" s="929">
        <v>1581</v>
      </c>
      <c r="F24" s="929">
        <v>706</v>
      </c>
      <c r="G24" s="929">
        <v>1365</v>
      </c>
      <c r="H24" s="929">
        <v>2071</v>
      </c>
      <c r="I24" s="929">
        <v>508</v>
      </c>
      <c r="J24" s="929">
        <v>1698</v>
      </c>
      <c r="K24" s="929">
        <v>2206</v>
      </c>
      <c r="L24" s="929">
        <v>639</v>
      </c>
      <c r="M24" s="929">
        <v>1332</v>
      </c>
      <c r="N24" s="929">
        <v>1971</v>
      </c>
      <c r="O24" s="929">
        <v>715</v>
      </c>
      <c r="P24" s="929">
        <v>2365</v>
      </c>
      <c r="Q24" s="929">
        <v>3080</v>
      </c>
      <c r="R24" s="929">
        <v>978</v>
      </c>
      <c r="S24" s="929">
        <v>3094</v>
      </c>
      <c r="T24" s="929">
        <v>4072</v>
      </c>
      <c r="U24" s="929">
        <v>1046</v>
      </c>
      <c r="V24" s="929">
        <v>3504</v>
      </c>
      <c r="W24" s="929">
        <v>4550</v>
      </c>
      <c r="X24" s="929">
        <v>720</v>
      </c>
      <c r="Y24" s="929">
        <v>3814</v>
      </c>
      <c r="Z24" s="929">
        <v>4534</v>
      </c>
      <c r="AA24" s="929">
        <v>568</v>
      </c>
      <c r="AB24" s="929">
        <v>2726</v>
      </c>
      <c r="AC24" s="929">
        <v>3294</v>
      </c>
      <c r="AD24" s="929">
        <v>925</v>
      </c>
      <c r="AE24" s="929">
        <v>1548</v>
      </c>
      <c r="AF24" s="929">
        <v>2473</v>
      </c>
      <c r="AH24" s="929">
        <f t="shared" si="0"/>
        <v>1909</v>
      </c>
      <c r="AI24" s="929">
        <f t="shared" si="1"/>
        <v>3949</v>
      </c>
      <c r="AJ24" s="929">
        <f t="shared" si="2"/>
        <v>5858</v>
      </c>
      <c r="AK24" s="929">
        <f t="shared" si="3"/>
        <v>4098</v>
      </c>
      <c r="AL24" s="929">
        <f t="shared" si="4"/>
        <v>14109</v>
      </c>
      <c r="AM24" s="929">
        <f t="shared" si="5"/>
        <v>18207</v>
      </c>
      <c r="AN24" s="929">
        <f t="shared" si="6"/>
        <v>1493</v>
      </c>
      <c r="AO24" s="929">
        <f t="shared" si="7"/>
        <v>4274</v>
      </c>
      <c r="AP24" s="929">
        <f t="shared" si="8"/>
        <v>5767</v>
      </c>
      <c r="AR24" s="930">
        <f t="shared" si="9"/>
        <v>0.32587913963810172</v>
      </c>
      <c r="AS24" s="930">
        <f t="shared" si="10"/>
        <v>0.22507826660075794</v>
      </c>
      <c r="AT24" s="930">
        <f t="shared" si="11"/>
        <v>0.25888676955089301</v>
      </c>
      <c r="AV24" s="931">
        <v>6062</v>
      </c>
      <c r="AW24" s="931">
        <v>18006</v>
      </c>
      <c r="AX24" s="931">
        <v>5913</v>
      </c>
      <c r="AZ24" s="931">
        <f t="shared" si="12"/>
        <v>1975.4793444861727</v>
      </c>
      <c r="BA24" s="931">
        <f t="shared" si="13"/>
        <v>4052.7592684132474</v>
      </c>
      <c r="BB24" s="931">
        <f t="shared" si="14"/>
        <v>1530.7974683544303</v>
      </c>
      <c r="BC24" s="948">
        <f t="shared" si="15"/>
        <v>7559.0360812538511</v>
      </c>
    </row>
    <row r="25" spans="1:55" s="928" customFormat="1" ht="12" customHeight="1" x14ac:dyDescent="0.2">
      <c r="A25" s="928" t="s">
        <v>48</v>
      </c>
      <c r="B25" s="932" t="s">
        <v>465</v>
      </c>
      <c r="C25" s="945">
        <v>26</v>
      </c>
      <c r="D25" s="929">
        <v>324</v>
      </c>
      <c r="E25" s="929">
        <v>350</v>
      </c>
      <c r="F25" s="929">
        <v>85</v>
      </c>
      <c r="G25" s="929">
        <v>332</v>
      </c>
      <c r="H25" s="929">
        <v>417</v>
      </c>
      <c r="I25" s="929">
        <v>83</v>
      </c>
      <c r="J25" s="929">
        <v>489</v>
      </c>
      <c r="K25" s="929">
        <v>572</v>
      </c>
      <c r="L25" s="929">
        <v>52</v>
      </c>
      <c r="M25" s="929">
        <v>484</v>
      </c>
      <c r="N25" s="929">
        <v>536</v>
      </c>
      <c r="O25" s="929">
        <v>95</v>
      </c>
      <c r="P25" s="929">
        <v>528</v>
      </c>
      <c r="Q25" s="929">
        <v>623</v>
      </c>
      <c r="R25" s="929">
        <v>96</v>
      </c>
      <c r="S25" s="929">
        <v>844</v>
      </c>
      <c r="T25" s="929">
        <v>940</v>
      </c>
      <c r="U25" s="929">
        <v>149</v>
      </c>
      <c r="V25" s="929">
        <v>1210</v>
      </c>
      <c r="W25" s="929">
        <v>1359</v>
      </c>
      <c r="X25" s="929">
        <v>89</v>
      </c>
      <c r="Y25" s="929">
        <v>1137</v>
      </c>
      <c r="Z25" s="929">
        <v>1226</v>
      </c>
      <c r="AA25" s="929">
        <v>121</v>
      </c>
      <c r="AB25" s="929">
        <v>583</v>
      </c>
      <c r="AC25" s="929">
        <v>704</v>
      </c>
      <c r="AD25" s="929">
        <v>82</v>
      </c>
      <c r="AE25" s="929">
        <v>389</v>
      </c>
      <c r="AF25" s="929">
        <v>471</v>
      </c>
      <c r="AH25" s="929">
        <f t="shared" si="0"/>
        <v>194</v>
      </c>
      <c r="AI25" s="929">
        <f t="shared" si="1"/>
        <v>1145</v>
      </c>
      <c r="AJ25" s="929">
        <f t="shared" si="2"/>
        <v>1339</v>
      </c>
      <c r="AK25" s="929">
        <f t="shared" si="3"/>
        <v>481</v>
      </c>
      <c r="AL25" s="929">
        <f t="shared" si="4"/>
        <v>4203</v>
      </c>
      <c r="AM25" s="929">
        <f t="shared" si="5"/>
        <v>4684</v>
      </c>
      <c r="AN25" s="929">
        <f t="shared" si="6"/>
        <v>203</v>
      </c>
      <c r="AO25" s="929">
        <f t="shared" si="7"/>
        <v>972</v>
      </c>
      <c r="AP25" s="929">
        <f t="shared" si="8"/>
        <v>1175</v>
      </c>
      <c r="AR25" s="930">
        <f t="shared" si="9"/>
        <v>0.14488424197162061</v>
      </c>
      <c r="AS25" s="930">
        <f t="shared" si="10"/>
        <v>0.10269000853970965</v>
      </c>
      <c r="AT25" s="930">
        <f t="shared" si="11"/>
        <v>0.1727659574468085</v>
      </c>
      <c r="AV25" s="931">
        <v>1248</v>
      </c>
      <c r="AW25" s="931">
        <v>4724</v>
      </c>
      <c r="AX25" s="931">
        <v>1269</v>
      </c>
      <c r="AZ25" s="931">
        <f t="shared" si="12"/>
        <v>180.81553398058253</v>
      </c>
      <c r="BA25" s="931">
        <f t="shared" si="13"/>
        <v>485.10760034158841</v>
      </c>
      <c r="BB25" s="931">
        <f t="shared" si="14"/>
        <v>219.23999999999998</v>
      </c>
      <c r="BC25" s="948">
        <f t="shared" si="15"/>
        <v>885.16313432217089</v>
      </c>
    </row>
    <row r="26" spans="1:55" s="928" customFormat="1" ht="12" customHeight="1" x14ac:dyDescent="0.2">
      <c r="A26" s="928" t="s">
        <v>50</v>
      </c>
      <c r="B26" s="932" t="s">
        <v>466</v>
      </c>
      <c r="C26" s="945">
        <v>304</v>
      </c>
      <c r="D26" s="929">
        <v>571</v>
      </c>
      <c r="E26" s="929">
        <v>875</v>
      </c>
      <c r="F26" s="929">
        <v>337</v>
      </c>
      <c r="G26" s="929">
        <v>762</v>
      </c>
      <c r="H26" s="929">
        <v>1099</v>
      </c>
      <c r="I26" s="929">
        <v>241</v>
      </c>
      <c r="J26" s="929">
        <v>666</v>
      </c>
      <c r="K26" s="929">
        <v>907</v>
      </c>
      <c r="L26" s="929">
        <v>291</v>
      </c>
      <c r="M26" s="929">
        <v>670</v>
      </c>
      <c r="N26" s="929">
        <v>961</v>
      </c>
      <c r="O26" s="929">
        <v>256</v>
      </c>
      <c r="P26" s="929">
        <v>1029</v>
      </c>
      <c r="Q26" s="929">
        <v>1285</v>
      </c>
      <c r="R26" s="929">
        <v>252</v>
      </c>
      <c r="S26" s="929">
        <v>1127</v>
      </c>
      <c r="T26" s="929">
        <v>1379</v>
      </c>
      <c r="U26" s="929">
        <v>263</v>
      </c>
      <c r="V26" s="929">
        <v>1686</v>
      </c>
      <c r="W26" s="929">
        <v>1949</v>
      </c>
      <c r="X26" s="929">
        <v>317</v>
      </c>
      <c r="Y26" s="929">
        <v>1405</v>
      </c>
      <c r="Z26" s="929">
        <v>1722</v>
      </c>
      <c r="AA26" s="929">
        <v>301</v>
      </c>
      <c r="AB26" s="929">
        <v>987</v>
      </c>
      <c r="AC26" s="929">
        <v>1288</v>
      </c>
      <c r="AD26" s="929">
        <v>281</v>
      </c>
      <c r="AE26" s="929">
        <v>698</v>
      </c>
      <c r="AF26" s="929">
        <v>979</v>
      </c>
      <c r="AH26" s="929">
        <f t="shared" si="0"/>
        <v>882</v>
      </c>
      <c r="AI26" s="929">
        <f t="shared" si="1"/>
        <v>1999</v>
      </c>
      <c r="AJ26" s="929">
        <f t="shared" si="2"/>
        <v>2881</v>
      </c>
      <c r="AK26" s="929">
        <f t="shared" si="3"/>
        <v>1379</v>
      </c>
      <c r="AL26" s="929">
        <f t="shared" si="4"/>
        <v>5917</v>
      </c>
      <c r="AM26" s="929">
        <f t="shared" si="5"/>
        <v>7296</v>
      </c>
      <c r="AN26" s="929">
        <f t="shared" si="6"/>
        <v>582</v>
      </c>
      <c r="AO26" s="929">
        <f t="shared" si="7"/>
        <v>1685</v>
      </c>
      <c r="AP26" s="929">
        <f t="shared" si="8"/>
        <v>2267</v>
      </c>
      <c r="AR26" s="930">
        <f t="shared" si="9"/>
        <v>0.3061437001041305</v>
      </c>
      <c r="AS26" s="930">
        <f t="shared" si="10"/>
        <v>0.18900767543859648</v>
      </c>
      <c r="AT26" s="930">
        <f t="shared" si="11"/>
        <v>0.25672695191883549</v>
      </c>
      <c r="AV26" s="931">
        <v>2769</v>
      </c>
      <c r="AW26" s="931">
        <v>7373</v>
      </c>
      <c r="AX26" s="931">
        <v>2363</v>
      </c>
      <c r="AZ26" s="931">
        <f t="shared" si="12"/>
        <v>847.71190558833734</v>
      </c>
      <c r="BA26" s="931">
        <f t="shared" si="13"/>
        <v>1393.5535910087719</v>
      </c>
      <c r="BB26" s="931">
        <f t="shared" si="14"/>
        <v>606.64578738420823</v>
      </c>
      <c r="BC26" s="948">
        <f t="shared" si="15"/>
        <v>2847.9112839813174</v>
      </c>
    </row>
    <row r="27" spans="1:55" s="928" customFormat="1" ht="12" customHeight="1" x14ac:dyDescent="0.2">
      <c r="A27" s="928" t="s">
        <v>56</v>
      </c>
      <c r="B27" s="932" t="s">
        <v>751</v>
      </c>
      <c r="C27" s="945">
        <v>3314</v>
      </c>
      <c r="D27" s="929">
        <v>21849</v>
      </c>
      <c r="E27" s="929">
        <v>25163</v>
      </c>
      <c r="F27" s="929">
        <v>3832</v>
      </c>
      <c r="G27" s="929">
        <v>24770</v>
      </c>
      <c r="H27" s="929">
        <v>28602</v>
      </c>
      <c r="I27" s="929">
        <v>2771</v>
      </c>
      <c r="J27" s="929">
        <v>28098</v>
      </c>
      <c r="K27" s="929">
        <v>30869</v>
      </c>
      <c r="L27" s="929">
        <v>3398</v>
      </c>
      <c r="M27" s="929">
        <v>22536</v>
      </c>
      <c r="N27" s="929">
        <v>25934</v>
      </c>
      <c r="O27" s="929">
        <v>3796</v>
      </c>
      <c r="P27" s="929">
        <v>35491</v>
      </c>
      <c r="Q27" s="929">
        <v>39287</v>
      </c>
      <c r="R27" s="929">
        <v>3149</v>
      </c>
      <c r="S27" s="929">
        <v>45364</v>
      </c>
      <c r="T27" s="929">
        <v>48513</v>
      </c>
      <c r="U27" s="929">
        <v>3108</v>
      </c>
      <c r="V27" s="929">
        <v>49023</v>
      </c>
      <c r="W27" s="929">
        <v>52131</v>
      </c>
      <c r="X27" s="929">
        <v>2298</v>
      </c>
      <c r="Y27" s="929">
        <v>38362</v>
      </c>
      <c r="Z27" s="929">
        <v>40660</v>
      </c>
      <c r="AA27" s="929">
        <v>1014</v>
      </c>
      <c r="AB27" s="929">
        <v>18964</v>
      </c>
      <c r="AC27" s="929">
        <v>19978</v>
      </c>
      <c r="AD27" s="929">
        <v>1579</v>
      </c>
      <c r="AE27" s="929">
        <v>12761</v>
      </c>
      <c r="AF27" s="929">
        <v>14340</v>
      </c>
      <c r="AH27" s="929">
        <f t="shared" si="0"/>
        <v>9917</v>
      </c>
      <c r="AI27" s="929">
        <f t="shared" si="1"/>
        <v>74717</v>
      </c>
      <c r="AJ27" s="929">
        <f t="shared" si="2"/>
        <v>84634</v>
      </c>
      <c r="AK27" s="929">
        <f t="shared" si="3"/>
        <v>15749</v>
      </c>
      <c r="AL27" s="929">
        <f t="shared" si="4"/>
        <v>190776</v>
      </c>
      <c r="AM27" s="929">
        <f t="shared" si="5"/>
        <v>206525</v>
      </c>
      <c r="AN27" s="929">
        <f t="shared" si="6"/>
        <v>2593</v>
      </c>
      <c r="AO27" s="929">
        <f t="shared" si="7"/>
        <v>31725</v>
      </c>
      <c r="AP27" s="929">
        <f t="shared" si="8"/>
        <v>34318</v>
      </c>
      <c r="AR27" s="930">
        <f t="shared" si="9"/>
        <v>0.11717513056218541</v>
      </c>
      <c r="AS27" s="930">
        <f t="shared" si="10"/>
        <v>7.6257111729814794E-2</v>
      </c>
      <c r="AT27" s="930">
        <f t="shared" si="11"/>
        <v>7.5558016201410338E-2</v>
      </c>
      <c r="AV27" s="931">
        <v>81628</v>
      </c>
      <c r="AW27" s="931">
        <v>203652</v>
      </c>
      <c r="AX27" s="931">
        <v>34997</v>
      </c>
      <c r="AZ27" s="931">
        <f t="shared" si="12"/>
        <v>9564.7715575300699</v>
      </c>
      <c r="BA27" s="931">
        <f t="shared" si="13"/>
        <v>15529.913318000243</v>
      </c>
      <c r="BB27" s="931">
        <f t="shared" si="14"/>
        <v>2644.3038930007574</v>
      </c>
      <c r="BC27" s="948">
        <f t="shared" si="15"/>
        <v>27738.988768531071</v>
      </c>
    </row>
    <row r="28" spans="1:55" s="928" customFormat="1" ht="12" customHeight="1" x14ac:dyDescent="0.2">
      <c r="A28" s="928" t="s">
        <v>58</v>
      </c>
      <c r="B28" s="932" t="s">
        <v>467</v>
      </c>
      <c r="C28" s="945">
        <v>130</v>
      </c>
      <c r="D28" s="929">
        <v>683</v>
      </c>
      <c r="E28" s="929">
        <v>813</v>
      </c>
      <c r="F28" s="929">
        <v>70</v>
      </c>
      <c r="G28" s="929">
        <v>1072</v>
      </c>
      <c r="H28" s="929">
        <v>1142</v>
      </c>
      <c r="I28" s="929">
        <v>53</v>
      </c>
      <c r="J28" s="929">
        <v>1155</v>
      </c>
      <c r="K28" s="929">
        <v>1208</v>
      </c>
      <c r="L28" s="929">
        <v>143</v>
      </c>
      <c r="M28" s="929">
        <v>622</v>
      </c>
      <c r="N28" s="929">
        <v>765</v>
      </c>
      <c r="O28" s="929">
        <v>143</v>
      </c>
      <c r="P28" s="929">
        <v>1057</v>
      </c>
      <c r="Q28" s="929">
        <v>1200</v>
      </c>
      <c r="R28" s="929">
        <v>147</v>
      </c>
      <c r="S28" s="929">
        <v>1810</v>
      </c>
      <c r="T28" s="929">
        <v>1957</v>
      </c>
      <c r="U28" s="929">
        <v>167</v>
      </c>
      <c r="V28" s="929">
        <v>2288</v>
      </c>
      <c r="W28" s="929">
        <v>2455</v>
      </c>
      <c r="X28" s="929">
        <v>163</v>
      </c>
      <c r="Y28" s="929">
        <v>1919</v>
      </c>
      <c r="Z28" s="929">
        <v>2082</v>
      </c>
      <c r="AA28" s="929">
        <v>47</v>
      </c>
      <c r="AB28" s="929">
        <v>1109</v>
      </c>
      <c r="AC28" s="929">
        <v>1156</v>
      </c>
      <c r="AD28" s="929">
        <v>104</v>
      </c>
      <c r="AE28" s="929">
        <v>861</v>
      </c>
      <c r="AF28" s="929">
        <v>965</v>
      </c>
      <c r="AH28" s="929">
        <f t="shared" si="0"/>
        <v>253</v>
      </c>
      <c r="AI28" s="929">
        <f t="shared" si="1"/>
        <v>2910</v>
      </c>
      <c r="AJ28" s="929">
        <f t="shared" si="2"/>
        <v>3163</v>
      </c>
      <c r="AK28" s="929">
        <f t="shared" si="3"/>
        <v>763</v>
      </c>
      <c r="AL28" s="929">
        <f t="shared" si="4"/>
        <v>7696</v>
      </c>
      <c r="AM28" s="929">
        <f t="shared" si="5"/>
        <v>8459</v>
      </c>
      <c r="AN28" s="929">
        <f t="shared" si="6"/>
        <v>151</v>
      </c>
      <c r="AO28" s="929">
        <f t="shared" si="7"/>
        <v>1970</v>
      </c>
      <c r="AP28" s="929">
        <f t="shared" si="8"/>
        <v>2121</v>
      </c>
      <c r="AR28" s="930">
        <f t="shared" si="9"/>
        <v>7.9987353778058809E-2</v>
      </c>
      <c r="AS28" s="930">
        <f t="shared" si="10"/>
        <v>9.0199787208889937E-2</v>
      </c>
      <c r="AT28" s="930">
        <f t="shared" si="11"/>
        <v>7.119283356907119E-2</v>
      </c>
      <c r="AV28" s="931">
        <v>3169</v>
      </c>
      <c r="AW28" s="931">
        <v>8724</v>
      </c>
      <c r="AX28" s="931">
        <v>2365</v>
      </c>
      <c r="AZ28" s="931">
        <f t="shared" si="12"/>
        <v>253.47992412266836</v>
      </c>
      <c r="BA28" s="931">
        <f t="shared" si="13"/>
        <v>786.90294361035581</v>
      </c>
      <c r="BB28" s="931">
        <f t="shared" si="14"/>
        <v>168.37105139085335</v>
      </c>
      <c r="BC28" s="948">
        <f t="shared" si="15"/>
        <v>1208.7539191238775</v>
      </c>
    </row>
    <row r="29" spans="1:55" s="928" customFormat="1" ht="12" customHeight="1" x14ac:dyDescent="0.2">
      <c r="A29" s="928" t="s">
        <v>60</v>
      </c>
      <c r="B29" s="932" t="s">
        <v>468</v>
      </c>
      <c r="C29" s="945">
        <v>67</v>
      </c>
      <c r="D29" s="929">
        <v>322</v>
      </c>
      <c r="E29" s="929">
        <v>389</v>
      </c>
      <c r="F29" s="929">
        <v>52</v>
      </c>
      <c r="G29" s="929">
        <v>370</v>
      </c>
      <c r="H29" s="929">
        <v>422</v>
      </c>
      <c r="I29" s="929">
        <v>17</v>
      </c>
      <c r="J29" s="929">
        <v>311</v>
      </c>
      <c r="K29" s="929">
        <v>328</v>
      </c>
      <c r="L29" s="929">
        <v>25</v>
      </c>
      <c r="M29" s="929">
        <v>302</v>
      </c>
      <c r="N29" s="929">
        <v>327</v>
      </c>
      <c r="O29" s="929">
        <v>50</v>
      </c>
      <c r="P29" s="929">
        <v>445</v>
      </c>
      <c r="Q29" s="929">
        <v>495</v>
      </c>
      <c r="R29" s="929">
        <v>20</v>
      </c>
      <c r="S29" s="929">
        <v>759</v>
      </c>
      <c r="T29" s="929">
        <v>779</v>
      </c>
      <c r="U29" s="929">
        <v>12</v>
      </c>
      <c r="V29" s="929">
        <v>837</v>
      </c>
      <c r="W29" s="929">
        <v>849</v>
      </c>
      <c r="X29" s="929">
        <v>16</v>
      </c>
      <c r="Y29" s="929">
        <v>771</v>
      </c>
      <c r="Z29" s="929">
        <v>787</v>
      </c>
      <c r="AA29" s="929">
        <v>54</v>
      </c>
      <c r="AB29" s="929">
        <v>373</v>
      </c>
      <c r="AC29" s="929">
        <v>427</v>
      </c>
      <c r="AD29" s="929">
        <v>60</v>
      </c>
      <c r="AE29" s="929">
        <v>257</v>
      </c>
      <c r="AF29" s="929">
        <v>317</v>
      </c>
      <c r="AH29" s="929">
        <f t="shared" si="0"/>
        <v>136</v>
      </c>
      <c r="AI29" s="929">
        <f t="shared" si="1"/>
        <v>1003</v>
      </c>
      <c r="AJ29" s="929">
        <f t="shared" si="2"/>
        <v>1139</v>
      </c>
      <c r="AK29" s="929">
        <f t="shared" si="3"/>
        <v>123</v>
      </c>
      <c r="AL29" s="929">
        <f t="shared" si="4"/>
        <v>3114</v>
      </c>
      <c r="AM29" s="929">
        <f t="shared" si="5"/>
        <v>3237</v>
      </c>
      <c r="AN29" s="929">
        <f t="shared" si="6"/>
        <v>114</v>
      </c>
      <c r="AO29" s="929">
        <f t="shared" si="7"/>
        <v>630</v>
      </c>
      <c r="AP29" s="929">
        <f t="shared" si="8"/>
        <v>744</v>
      </c>
      <c r="AR29" s="930">
        <f t="shared" si="9"/>
        <v>0.11940298507462686</v>
      </c>
      <c r="AS29" s="930">
        <f t="shared" si="10"/>
        <v>3.7998146431881374E-2</v>
      </c>
      <c r="AT29" s="930">
        <f t="shared" si="11"/>
        <v>0.15322580645161291</v>
      </c>
      <c r="AV29" s="931">
        <v>1096</v>
      </c>
      <c r="AW29" s="931">
        <v>3155</v>
      </c>
      <c r="AX29" s="931">
        <v>848</v>
      </c>
      <c r="AZ29" s="931">
        <f t="shared" si="12"/>
        <v>130.86567164179104</v>
      </c>
      <c r="BA29" s="931">
        <f t="shared" si="13"/>
        <v>119.88415199258574</v>
      </c>
      <c r="BB29" s="931">
        <f t="shared" si="14"/>
        <v>129.93548387096774</v>
      </c>
      <c r="BC29" s="948">
        <f t="shared" si="15"/>
        <v>380.68530750534455</v>
      </c>
    </row>
    <row r="30" spans="1:55" s="928" customFormat="1" ht="12" customHeight="1" x14ac:dyDescent="0.2">
      <c r="A30" s="928" t="s">
        <v>62</v>
      </c>
      <c r="B30" s="932" t="s">
        <v>469</v>
      </c>
      <c r="C30" s="945">
        <v>613</v>
      </c>
      <c r="D30" s="929">
        <v>3390</v>
      </c>
      <c r="E30" s="929">
        <v>4003</v>
      </c>
      <c r="F30" s="929">
        <v>589</v>
      </c>
      <c r="G30" s="929">
        <v>3432</v>
      </c>
      <c r="H30" s="929">
        <v>4021</v>
      </c>
      <c r="I30" s="929">
        <v>353</v>
      </c>
      <c r="J30" s="929">
        <v>3181</v>
      </c>
      <c r="K30" s="929">
        <v>3534</v>
      </c>
      <c r="L30" s="929">
        <v>571</v>
      </c>
      <c r="M30" s="929">
        <v>2859</v>
      </c>
      <c r="N30" s="929">
        <v>3430</v>
      </c>
      <c r="O30" s="929">
        <v>746</v>
      </c>
      <c r="P30" s="929">
        <v>4944</v>
      </c>
      <c r="Q30" s="929">
        <v>5690</v>
      </c>
      <c r="R30" s="929">
        <v>551</v>
      </c>
      <c r="S30" s="929">
        <v>6251</v>
      </c>
      <c r="T30" s="929">
        <v>6802</v>
      </c>
      <c r="U30" s="929">
        <v>465</v>
      </c>
      <c r="V30" s="929">
        <v>6081</v>
      </c>
      <c r="W30" s="929">
        <v>6546</v>
      </c>
      <c r="X30" s="929">
        <v>436</v>
      </c>
      <c r="Y30" s="929">
        <v>4968</v>
      </c>
      <c r="Z30" s="929">
        <v>5404</v>
      </c>
      <c r="AA30" s="929">
        <v>243</v>
      </c>
      <c r="AB30" s="929">
        <v>2893</v>
      </c>
      <c r="AC30" s="929">
        <v>3136</v>
      </c>
      <c r="AD30" s="929">
        <v>294</v>
      </c>
      <c r="AE30" s="929">
        <v>1797</v>
      </c>
      <c r="AF30" s="929">
        <v>2091</v>
      </c>
      <c r="AH30" s="929">
        <f t="shared" si="0"/>
        <v>1555</v>
      </c>
      <c r="AI30" s="929">
        <f t="shared" si="1"/>
        <v>10003</v>
      </c>
      <c r="AJ30" s="929">
        <f t="shared" si="2"/>
        <v>11558</v>
      </c>
      <c r="AK30" s="929">
        <f t="shared" si="3"/>
        <v>2769</v>
      </c>
      <c r="AL30" s="929">
        <f t="shared" si="4"/>
        <v>25103</v>
      </c>
      <c r="AM30" s="929">
        <f t="shared" si="5"/>
        <v>27872</v>
      </c>
      <c r="AN30" s="929">
        <f t="shared" si="6"/>
        <v>537</v>
      </c>
      <c r="AO30" s="929">
        <f t="shared" si="7"/>
        <v>4690</v>
      </c>
      <c r="AP30" s="929">
        <f t="shared" si="8"/>
        <v>5227</v>
      </c>
      <c r="AR30" s="930">
        <f t="shared" si="9"/>
        <v>0.13453884755147949</v>
      </c>
      <c r="AS30" s="930">
        <f t="shared" si="10"/>
        <v>9.9347014925373137E-2</v>
      </c>
      <c r="AT30" s="930">
        <f t="shared" si="11"/>
        <v>0.10273579491103883</v>
      </c>
      <c r="AV30" s="931">
        <v>12053</v>
      </c>
      <c r="AW30" s="931">
        <v>29424</v>
      </c>
      <c r="AX30" s="931">
        <v>5999</v>
      </c>
      <c r="AZ30" s="931">
        <f t="shared" si="12"/>
        <v>1621.5967295379824</v>
      </c>
      <c r="BA30" s="931">
        <f t="shared" si="13"/>
        <v>2923.186567164179</v>
      </c>
      <c r="BB30" s="931">
        <f t="shared" si="14"/>
        <v>616.31203367132196</v>
      </c>
      <c r="BC30" s="948">
        <f t="shared" si="15"/>
        <v>5161.0953303734832</v>
      </c>
    </row>
    <row r="31" spans="1:55" s="928" customFormat="1" ht="12" customHeight="1" x14ac:dyDescent="0.2">
      <c r="A31" s="928" t="s">
        <v>64</v>
      </c>
      <c r="B31" s="932" t="s">
        <v>470</v>
      </c>
      <c r="C31" s="945">
        <v>311</v>
      </c>
      <c r="D31" s="929">
        <v>413</v>
      </c>
      <c r="E31" s="929">
        <v>724</v>
      </c>
      <c r="F31" s="929">
        <v>110</v>
      </c>
      <c r="G31" s="929">
        <v>612</v>
      </c>
      <c r="H31" s="929">
        <v>722</v>
      </c>
      <c r="I31" s="929">
        <v>317</v>
      </c>
      <c r="J31" s="929">
        <v>517</v>
      </c>
      <c r="K31" s="929">
        <v>834</v>
      </c>
      <c r="L31" s="929">
        <v>320</v>
      </c>
      <c r="M31" s="929">
        <v>582</v>
      </c>
      <c r="N31" s="929">
        <v>902</v>
      </c>
      <c r="O31" s="929">
        <v>177</v>
      </c>
      <c r="P31" s="929">
        <v>839</v>
      </c>
      <c r="Q31" s="929">
        <v>1016</v>
      </c>
      <c r="R31" s="929">
        <v>280</v>
      </c>
      <c r="S31" s="929">
        <v>1101</v>
      </c>
      <c r="T31" s="929">
        <v>1381</v>
      </c>
      <c r="U31" s="929">
        <v>215</v>
      </c>
      <c r="V31" s="929">
        <v>1163</v>
      </c>
      <c r="W31" s="929">
        <v>1378</v>
      </c>
      <c r="X31" s="929">
        <v>209</v>
      </c>
      <c r="Y31" s="929">
        <v>1191</v>
      </c>
      <c r="Z31" s="929">
        <v>1400</v>
      </c>
      <c r="AA31" s="929">
        <v>168</v>
      </c>
      <c r="AB31" s="929">
        <v>737</v>
      </c>
      <c r="AC31" s="929">
        <v>905</v>
      </c>
      <c r="AD31" s="929">
        <v>177</v>
      </c>
      <c r="AE31" s="929">
        <v>458</v>
      </c>
      <c r="AF31" s="929">
        <v>635</v>
      </c>
      <c r="AH31" s="929">
        <f t="shared" si="0"/>
        <v>738</v>
      </c>
      <c r="AI31" s="929">
        <f t="shared" si="1"/>
        <v>1542</v>
      </c>
      <c r="AJ31" s="929">
        <f t="shared" si="2"/>
        <v>2280</v>
      </c>
      <c r="AK31" s="929">
        <f t="shared" si="3"/>
        <v>1201</v>
      </c>
      <c r="AL31" s="929">
        <f t="shared" si="4"/>
        <v>4876</v>
      </c>
      <c r="AM31" s="929">
        <f t="shared" si="5"/>
        <v>6077</v>
      </c>
      <c r="AN31" s="929">
        <f t="shared" si="6"/>
        <v>345</v>
      </c>
      <c r="AO31" s="929">
        <f t="shared" si="7"/>
        <v>1195</v>
      </c>
      <c r="AP31" s="929">
        <f t="shared" si="8"/>
        <v>1540</v>
      </c>
      <c r="AR31" s="930">
        <f t="shared" si="9"/>
        <v>0.3236842105263158</v>
      </c>
      <c r="AS31" s="930">
        <f t="shared" si="10"/>
        <v>0.19763040974164883</v>
      </c>
      <c r="AT31" s="930">
        <f t="shared" si="11"/>
        <v>0.22402597402597402</v>
      </c>
      <c r="AV31" s="931">
        <v>2228</v>
      </c>
      <c r="AW31" s="931">
        <v>6071</v>
      </c>
      <c r="AX31" s="931">
        <v>1670</v>
      </c>
      <c r="AZ31" s="931">
        <f t="shared" si="12"/>
        <v>721.16842105263163</v>
      </c>
      <c r="BA31" s="931">
        <f t="shared" si="13"/>
        <v>1199.8142175415501</v>
      </c>
      <c r="BB31" s="931">
        <f t="shared" si="14"/>
        <v>374.1233766233766</v>
      </c>
      <c r="BC31" s="948">
        <f t="shared" si="15"/>
        <v>2295.1060152175583</v>
      </c>
    </row>
    <row r="32" spans="1:55" s="928" customFormat="1" ht="12" customHeight="1" x14ac:dyDescent="0.2">
      <c r="A32" s="928" t="s">
        <v>68</v>
      </c>
      <c r="B32" s="932" t="s">
        <v>471</v>
      </c>
      <c r="C32" s="945">
        <v>360</v>
      </c>
      <c r="D32" s="929">
        <v>693</v>
      </c>
      <c r="E32" s="929">
        <v>1053</v>
      </c>
      <c r="F32" s="929">
        <v>428</v>
      </c>
      <c r="G32" s="929">
        <v>554</v>
      </c>
      <c r="H32" s="929">
        <v>982</v>
      </c>
      <c r="I32" s="929">
        <v>514</v>
      </c>
      <c r="J32" s="929">
        <v>790</v>
      </c>
      <c r="K32" s="929">
        <v>1304</v>
      </c>
      <c r="L32" s="929">
        <v>431</v>
      </c>
      <c r="M32" s="929">
        <v>721</v>
      </c>
      <c r="N32" s="929">
        <v>1152</v>
      </c>
      <c r="O32" s="929">
        <v>408</v>
      </c>
      <c r="P32" s="929">
        <v>1440</v>
      </c>
      <c r="Q32" s="929">
        <v>1848</v>
      </c>
      <c r="R32" s="929">
        <v>809</v>
      </c>
      <c r="S32" s="929">
        <v>1222</v>
      </c>
      <c r="T32" s="929">
        <v>2031</v>
      </c>
      <c r="U32" s="929">
        <v>550</v>
      </c>
      <c r="V32" s="929">
        <v>1993</v>
      </c>
      <c r="W32" s="929">
        <v>2543</v>
      </c>
      <c r="X32" s="929">
        <v>443</v>
      </c>
      <c r="Y32" s="929">
        <v>1857</v>
      </c>
      <c r="Z32" s="929">
        <v>2300</v>
      </c>
      <c r="AA32" s="929">
        <v>379</v>
      </c>
      <c r="AB32" s="929">
        <v>1162</v>
      </c>
      <c r="AC32" s="929">
        <v>1541</v>
      </c>
      <c r="AD32" s="929">
        <v>236</v>
      </c>
      <c r="AE32" s="929">
        <v>822</v>
      </c>
      <c r="AF32" s="929">
        <v>1058</v>
      </c>
      <c r="AH32" s="929">
        <f t="shared" si="0"/>
        <v>1302</v>
      </c>
      <c r="AI32" s="929">
        <f t="shared" si="1"/>
        <v>2037</v>
      </c>
      <c r="AJ32" s="929">
        <f t="shared" si="2"/>
        <v>3339</v>
      </c>
      <c r="AK32" s="929">
        <f t="shared" si="3"/>
        <v>2641</v>
      </c>
      <c r="AL32" s="929">
        <f t="shared" si="4"/>
        <v>7233</v>
      </c>
      <c r="AM32" s="929">
        <f t="shared" si="5"/>
        <v>9874</v>
      </c>
      <c r="AN32" s="929">
        <f t="shared" si="6"/>
        <v>615</v>
      </c>
      <c r="AO32" s="929">
        <f t="shared" si="7"/>
        <v>1984</v>
      </c>
      <c r="AP32" s="929">
        <f t="shared" si="8"/>
        <v>2599</v>
      </c>
      <c r="AR32" s="930">
        <f t="shared" si="9"/>
        <v>0.38993710691823902</v>
      </c>
      <c r="AS32" s="930">
        <f t="shared" si="10"/>
        <v>0.26747012355681588</v>
      </c>
      <c r="AT32" s="930">
        <f t="shared" si="11"/>
        <v>0.23662947287418237</v>
      </c>
      <c r="AV32" s="931">
        <v>3221</v>
      </c>
      <c r="AW32" s="931">
        <v>9831</v>
      </c>
      <c r="AX32" s="931">
        <v>2689</v>
      </c>
      <c r="AZ32" s="931">
        <f t="shared" si="12"/>
        <v>1255.9874213836479</v>
      </c>
      <c r="BA32" s="931">
        <f t="shared" si="13"/>
        <v>2629.4987846870567</v>
      </c>
      <c r="BB32" s="931">
        <f t="shared" si="14"/>
        <v>636.29665255867644</v>
      </c>
      <c r="BC32" s="948">
        <f t="shared" si="15"/>
        <v>4521.7828586293808</v>
      </c>
    </row>
    <row r="33" spans="1:55" s="928" customFormat="1" ht="12" customHeight="1" x14ac:dyDescent="0.2">
      <c r="A33" s="928" t="s">
        <v>70</v>
      </c>
      <c r="B33" s="932" t="s">
        <v>472</v>
      </c>
      <c r="C33" s="945">
        <v>416</v>
      </c>
      <c r="D33" s="929">
        <v>1502</v>
      </c>
      <c r="E33" s="929">
        <v>1918</v>
      </c>
      <c r="F33" s="929">
        <v>205</v>
      </c>
      <c r="G33" s="929">
        <v>1686</v>
      </c>
      <c r="H33" s="929">
        <v>1891</v>
      </c>
      <c r="I33" s="929">
        <v>464</v>
      </c>
      <c r="J33" s="929">
        <v>1947</v>
      </c>
      <c r="K33" s="929">
        <v>2411</v>
      </c>
      <c r="L33" s="929">
        <v>367</v>
      </c>
      <c r="M33" s="929">
        <v>2150</v>
      </c>
      <c r="N33" s="929">
        <v>2517</v>
      </c>
      <c r="O33" s="929">
        <v>300</v>
      </c>
      <c r="P33" s="929">
        <v>2386</v>
      </c>
      <c r="Q33" s="929">
        <v>2686</v>
      </c>
      <c r="R33" s="929">
        <v>489</v>
      </c>
      <c r="S33" s="929">
        <v>3512</v>
      </c>
      <c r="T33" s="929">
        <v>4001</v>
      </c>
      <c r="U33" s="929">
        <v>754</v>
      </c>
      <c r="V33" s="929">
        <v>3861</v>
      </c>
      <c r="W33" s="929">
        <v>4615</v>
      </c>
      <c r="X33" s="929">
        <v>650</v>
      </c>
      <c r="Y33" s="929">
        <v>2849</v>
      </c>
      <c r="Z33" s="929">
        <v>3499</v>
      </c>
      <c r="AA33" s="929">
        <v>358</v>
      </c>
      <c r="AB33" s="929">
        <v>1902</v>
      </c>
      <c r="AC33" s="929">
        <v>2260</v>
      </c>
      <c r="AD33" s="929">
        <v>298</v>
      </c>
      <c r="AE33" s="929">
        <v>1110</v>
      </c>
      <c r="AF33" s="929">
        <v>1408</v>
      </c>
      <c r="AH33" s="929">
        <f t="shared" si="0"/>
        <v>1085</v>
      </c>
      <c r="AI33" s="929">
        <f t="shared" si="1"/>
        <v>5135</v>
      </c>
      <c r="AJ33" s="929">
        <f t="shared" si="2"/>
        <v>6220</v>
      </c>
      <c r="AK33" s="929">
        <f t="shared" si="3"/>
        <v>2560</v>
      </c>
      <c r="AL33" s="929">
        <f t="shared" si="4"/>
        <v>14758</v>
      </c>
      <c r="AM33" s="929">
        <f t="shared" si="5"/>
        <v>17318</v>
      </c>
      <c r="AN33" s="929">
        <f t="shared" si="6"/>
        <v>656</v>
      </c>
      <c r="AO33" s="929">
        <f t="shared" si="7"/>
        <v>3012</v>
      </c>
      <c r="AP33" s="929">
        <f t="shared" si="8"/>
        <v>3668</v>
      </c>
      <c r="AR33" s="930">
        <f t="shared" si="9"/>
        <v>0.17443729903536978</v>
      </c>
      <c r="AS33" s="930">
        <f t="shared" si="10"/>
        <v>0.14782307425799746</v>
      </c>
      <c r="AT33" s="930">
        <f t="shared" si="11"/>
        <v>0.17884405670665213</v>
      </c>
      <c r="AV33" s="931">
        <v>6118</v>
      </c>
      <c r="AW33" s="931">
        <v>17870</v>
      </c>
      <c r="AX33" s="931">
        <v>3930</v>
      </c>
      <c r="AZ33" s="931">
        <f t="shared" si="12"/>
        <v>1067.2073954983923</v>
      </c>
      <c r="BA33" s="931">
        <f t="shared" si="13"/>
        <v>2641.5983369904147</v>
      </c>
      <c r="BB33" s="931">
        <f t="shared" si="14"/>
        <v>702.85714285714289</v>
      </c>
      <c r="BC33" s="948">
        <f t="shared" si="15"/>
        <v>4411.6628753459499</v>
      </c>
    </row>
    <row r="34" spans="1:55" s="928" customFormat="1" ht="12" customHeight="1" x14ac:dyDescent="0.2">
      <c r="A34" s="928" t="s">
        <v>72</v>
      </c>
      <c r="B34" s="932" t="s">
        <v>473</v>
      </c>
      <c r="C34" s="945">
        <v>185</v>
      </c>
      <c r="D34" s="929">
        <v>490</v>
      </c>
      <c r="E34" s="929">
        <v>675</v>
      </c>
      <c r="F34" s="929">
        <v>203</v>
      </c>
      <c r="G34" s="929">
        <v>533</v>
      </c>
      <c r="H34" s="929">
        <v>736</v>
      </c>
      <c r="I34" s="929">
        <v>196</v>
      </c>
      <c r="J34" s="929">
        <v>710</v>
      </c>
      <c r="K34" s="929">
        <v>906</v>
      </c>
      <c r="L34" s="929">
        <v>170</v>
      </c>
      <c r="M34" s="929">
        <v>944</v>
      </c>
      <c r="N34" s="929">
        <v>1114</v>
      </c>
      <c r="O34" s="929">
        <v>92</v>
      </c>
      <c r="P34" s="929">
        <v>695</v>
      </c>
      <c r="Q34" s="929">
        <v>787</v>
      </c>
      <c r="R34" s="929">
        <v>188</v>
      </c>
      <c r="S34" s="929">
        <v>1346</v>
      </c>
      <c r="T34" s="929">
        <v>1534</v>
      </c>
      <c r="U34" s="929">
        <v>289</v>
      </c>
      <c r="V34" s="929">
        <v>1379</v>
      </c>
      <c r="W34" s="929">
        <v>1668</v>
      </c>
      <c r="X34" s="929">
        <v>138</v>
      </c>
      <c r="Y34" s="929">
        <v>1500</v>
      </c>
      <c r="Z34" s="929">
        <v>1638</v>
      </c>
      <c r="AA34" s="929">
        <v>113</v>
      </c>
      <c r="AB34" s="929">
        <v>856</v>
      </c>
      <c r="AC34" s="929">
        <v>969</v>
      </c>
      <c r="AD34" s="929">
        <v>209</v>
      </c>
      <c r="AE34" s="929">
        <v>630</v>
      </c>
      <c r="AF34" s="929">
        <v>839</v>
      </c>
      <c r="AH34" s="929">
        <f t="shared" si="0"/>
        <v>584</v>
      </c>
      <c r="AI34" s="929">
        <f t="shared" si="1"/>
        <v>1733</v>
      </c>
      <c r="AJ34" s="929">
        <f t="shared" si="2"/>
        <v>2317</v>
      </c>
      <c r="AK34" s="929">
        <f t="shared" si="3"/>
        <v>877</v>
      </c>
      <c r="AL34" s="929">
        <f t="shared" si="4"/>
        <v>5864</v>
      </c>
      <c r="AM34" s="929">
        <f t="shared" si="5"/>
        <v>6741</v>
      </c>
      <c r="AN34" s="929">
        <f t="shared" si="6"/>
        <v>322</v>
      </c>
      <c r="AO34" s="929">
        <f t="shared" si="7"/>
        <v>1486</v>
      </c>
      <c r="AP34" s="929">
        <f t="shared" si="8"/>
        <v>1808</v>
      </c>
      <c r="AR34" s="930">
        <f t="shared" si="9"/>
        <v>0.25205006473888647</v>
      </c>
      <c r="AS34" s="930">
        <f t="shared" si="10"/>
        <v>0.13009939178163477</v>
      </c>
      <c r="AT34" s="930">
        <f t="shared" si="11"/>
        <v>0.17809734513274336</v>
      </c>
      <c r="AV34" s="931">
        <v>2425</v>
      </c>
      <c r="AW34" s="931">
        <v>6788</v>
      </c>
      <c r="AX34" s="931">
        <v>1992</v>
      </c>
      <c r="AZ34" s="931">
        <f t="shared" si="12"/>
        <v>611.22140699179965</v>
      </c>
      <c r="BA34" s="931">
        <f t="shared" si="13"/>
        <v>883.1146714137368</v>
      </c>
      <c r="BB34" s="931">
        <f t="shared" si="14"/>
        <v>354.76991150442478</v>
      </c>
      <c r="BC34" s="948">
        <f t="shared" si="15"/>
        <v>1849.1059899099612</v>
      </c>
    </row>
    <row r="35" spans="1:55" s="928" customFormat="1" ht="12" customHeight="1" x14ac:dyDescent="0.2">
      <c r="A35" s="928" t="s">
        <v>74</v>
      </c>
      <c r="B35" s="932" t="s">
        <v>609</v>
      </c>
      <c r="C35" s="945">
        <v>9986</v>
      </c>
      <c r="D35" s="929">
        <v>78477</v>
      </c>
      <c r="E35" s="929">
        <v>88463</v>
      </c>
      <c r="F35" s="929">
        <v>7915</v>
      </c>
      <c r="G35" s="929">
        <v>78060</v>
      </c>
      <c r="H35" s="929">
        <v>85975</v>
      </c>
      <c r="I35" s="929">
        <v>7605</v>
      </c>
      <c r="J35" s="929">
        <v>81545</v>
      </c>
      <c r="K35" s="929">
        <v>89150</v>
      </c>
      <c r="L35" s="929">
        <v>13327</v>
      </c>
      <c r="M35" s="929">
        <v>69350</v>
      </c>
      <c r="N35" s="929">
        <v>82677</v>
      </c>
      <c r="O35" s="929">
        <v>11917</v>
      </c>
      <c r="P35" s="929">
        <v>146593</v>
      </c>
      <c r="Q35" s="929">
        <v>158510</v>
      </c>
      <c r="R35" s="929">
        <v>10812</v>
      </c>
      <c r="S35" s="929">
        <v>158721</v>
      </c>
      <c r="T35" s="929">
        <v>169533</v>
      </c>
      <c r="U35" s="929">
        <v>9306</v>
      </c>
      <c r="V35" s="929">
        <v>168097</v>
      </c>
      <c r="W35" s="929">
        <v>177403</v>
      </c>
      <c r="X35" s="929">
        <v>4785</v>
      </c>
      <c r="Y35" s="929">
        <v>127613</v>
      </c>
      <c r="Z35" s="929">
        <v>132398</v>
      </c>
      <c r="AA35" s="929">
        <v>3003</v>
      </c>
      <c r="AB35" s="929">
        <v>59049</v>
      </c>
      <c r="AC35" s="929">
        <v>62052</v>
      </c>
      <c r="AD35" s="929">
        <v>3658</v>
      </c>
      <c r="AE35" s="929">
        <v>39690</v>
      </c>
      <c r="AF35" s="929">
        <v>43348</v>
      </c>
      <c r="AH35" s="929">
        <f t="shared" si="0"/>
        <v>25506</v>
      </c>
      <c r="AI35" s="929">
        <f t="shared" si="1"/>
        <v>238082</v>
      </c>
      <c r="AJ35" s="929">
        <f t="shared" si="2"/>
        <v>263588</v>
      </c>
      <c r="AK35" s="929">
        <f t="shared" si="3"/>
        <v>50147</v>
      </c>
      <c r="AL35" s="929">
        <f t="shared" si="4"/>
        <v>670374</v>
      </c>
      <c r="AM35" s="929">
        <f t="shared" si="5"/>
        <v>720521</v>
      </c>
      <c r="AN35" s="929">
        <f t="shared" si="6"/>
        <v>6661</v>
      </c>
      <c r="AO35" s="929">
        <f t="shared" si="7"/>
        <v>98739</v>
      </c>
      <c r="AP35" s="929">
        <f t="shared" si="8"/>
        <v>105400</v>
      </c>
      <c r="AR35" s="930">
        <f t="shared" si="9"/>
        <v>9.6764647859538366E-2</v>
      </c>
      <c r="AS35" s="930">
        <f t="shared" si="10"/>
        <v>6.9598249044788424E-2</v>
      </c>
      <c r="AT35" s="930">
        <f t="shared" si="11"/>
        <v>6.3197343453510441E-2</v>
      </c>
      <c r="AV35" s="931">
        <v>265215</v>
      </c>
      <c r="AW35" s="931">
        <v>723287</v>
      </c>
      <c r="AX35" s="931">
        <v>112190</v>
      </c>
      <c r="AZ35" s="931">
        <f t="shared" si="12"/>
        <v>25663.436082067466</v>
      </c>
      <c r="BA35" s="931">
        <f t="shared" si="13"/>
        <v>50339.508756857882</v>
      </c>
      <c r="BB35" s="931">
        <f t="shared" si="14"/>
        <v>7090.109962049336</v>
      </c>
      <c r="BC35" s="948">
        <f t="shared" si="15"/>
        <v>83093.054800974685</v>
      </c>
    </row>
    <row r="36" spans="1:55" s="928" customFormat="1" ht="12" customHeight="1" x14ac:dyDescent="0.2">
      <c r="A36" s="928" t="s">
        <v>76</v>
      </c>
      <c r="B36" s="932" t="s">
        <v>474</v>
      </c>
      <c r="C36" s="945">
        <v>452</v>
      </c>
      <c r="D36" s="929">
        <v>4389</v>
      </c>
      <c r="E36" s="929">
        <v>4841</v>
      </c>
      <c r="F36" s="929">
        <v>757</v>
      </c>
      <c r="G36" s="929">
        <v>4893</v>
      </c>
      <c r="H36" s="929">
        <v>5650</v>
      </c>
      <c r="I36" s="929">
        <v>427</v>
      </c>
      <c r="J36" s="929">
        <v>5465</v>
      </c>
      <c r="K36" s="929">
        <v>5892</v>
      </c>
      <c r="L36" s="929">
        <v>468</v>
      </c>
      <c r="M36" s="929">
        <v>4163</v>
      </c>
      <c r="N36" s="929">
        <v>4631</v>
      </c>
      <c r="O36" s="929">
        <v>635</v>
      </c>
      <c r="P36" s="929">
        <v>5647</v>
      </c>
      <c r="Q36" s="929">
        <v>6282</v>
      </c>
      <c r="R36" s="929">
        <v>628</v>
      </c>
      <c r="S36" s="929">
        <v>8924</v>
      </c>
      <c r="T36" s="929">
        <v>9552</v>
      </c>
      <c r="U36" s="929">
        <v>689</v>
      </c>
      <c r="V36" s="929">
        <v>10652</v>
      </c>
      <c r="W36" s="929">
        <v>11341</v>
      </c>
      <c r="X36" s="929">
        <v>535</v>
      </c>
      <c r="Y36" s="929">
        <v>7930</v>
      </c>
      <c r="Z36" s="929">
        <v>8465</v>
      </c>
      <c r="AA36" s="929">
        <v>210</v>
      </c>
      <c r="AB36" s="929">
        <v>4539</v>
      </c>
      <c r="AC36" s="929">
        <v>4749</v>
      </c>
      <c r="AD36" s="929">
        <v>308</v>
      </c>
      <c r="AE36" s="929">
        <v>2761</v>
      </c>
      <c r="AF36" s="929">
        <v>3069</v>
      </c>
      <c r="AH36" s="929">
        <f t="shared" si="0"/>
        <v>1636</v>
      </c>
      <c r="AI36" s="929">
        <f t="shared" si="1"/>
        <v>14747</v>
      </c>
      <c r="AJ36" s="929">
        <f t="shared" si="2"/>
        <v>16383</v>
      </c>
      <c r="AK36" s="929">
        <f t="shared" si="3"/>
        <v>2955</v>
      </c>
      <c r="AL36" s="929">
        <f t="shared" si="4"/>
        <v>37316</v>
      </c>
      <c r="AM36" s="929">
        <f t="shared" si="5"/>
        <v>40271</v>
      </c>
      <c r="AN36" s="929">
        <f t="shared" si="6"/>
        <v>518</v>
      </c>
      <c r="AO36" s="929">
        <f t="shared" si="7"/>
        <v>7300</v>
      </c>
      <c r="AP36" s="929">
        <f t="shared" si="8"/>
        <v>7818</v>
      </c>
      <c r="AR36" s="930">
        <f t="shared" si="9"/>
        <v>9.9859610571934321E-2</v>
      </c>
      <c r="AS36" s="930">
        <f t="shared" si="10"/>
        <v>7.3377864964863052E-2</v>
      </c>
      <c r="AT36" s="930">
        <f t="shared" si="11"/>
        <v>6.6257354822205169E-2</v>
      </c>
      <c r="AV36" s="931">
        <v>16288</v>
      </c>
      <c r="AW36" s="931">
        <v>41075</v>
      </c>
      <c r="AX36" s="931">
        <v>8708</v>
      </c>
      <c r="AZ36" s="931">
        <f t="shared" si="12"/>
        <v>1626.5133369956661</v>
      </c>
      <c r="BA36" s="931">
        <f t="shared" si="13"/>
        <v>3013.9958034317497</v>
      </c>
      <c r="BB36" s="931">
        <f t="shared" si="14"/>
        <v>576.9690457917626</v>
      </c>
      <c r="BC36" s="948">
        <f t="shared" si="15"/>
        <v>5217.4781862191776</v>
      </c>
    </row>
    <row r="37" spans="1:55" s="928" customFormat="1" ht="12" customHeight="1" x14ac:dyDescent="0.2">
      <c r="A37" s="928" t="s">
        <v>78</v>
      </c>
      <c r="B37" s="932" t="s">
        <v>475</v>
      </c>
      <c r="C37" s="945">
        <v>181</v>
      </c>
      <c r="D37" s="929">
        <v>900</v>
      </c>
      <c r="E37" s="929">
        <v>1081</v>
      </c>
      <c r="F37" s="929">
        <v>307</v>
      </c>
      <c r="G37" s="929">
        <v>888</v>
      </c>
      <c r="H37" s="929">
        <v>1195</v>
      </c>
      <c r="I37" s="929">
        <v>238</v>
      </c>
      <c r="J37" s="929">
        <v>847</v>
      </c>
      <c r="K37" s="929">
        <v>1085</v>
      </c>
      <c r="L37" s="929">
        <v>85</v>
      </c>
      <c r="M37" s="929">
        <v>842</v>
      </c>
      <c r="N37" s="929">
        <v>927</v>
      </c>
      <c r="O37" s="929">
        <v>317</v>
      </c>
      <c r="P37" s="929">
        <v>1367</v>
      </c>
      <c r="Q37" s="929">
        <v>1684</v>
      </c>
      <c r="R37" s="929">
        <v>423</v>
      </c>
      <c r="S37" s="929">
        <v>1621</v>
      </c>
      <c r="T37" s="929">
        <v>2044</v>
      </c>
      <c r="U37" s="929">
        <v>201</v>
      </c>
      <c r="V37" s="929">
        <v>2019</v>
      </c>
      <c r="W37" s="929">
        <v>2220</v>
      </c>
      <c r="X37" s="929">
        <v>376</v>
      </c>
      <c r="Y37" s="929">
        <v>1891</v>
      </c>
      <c r="Z37" s="929">
        <v>2267</v>
      </c>
      <c r="AA37" s="929">
        <v>297</v>
      </c>
      <c r="AB37" s="929">
        <v>1215</v>
      </c>
      <c r="AC37" s="929">
        <v>1512</v>
      </c>
      <c r="AD37" s="929">
        <v>307</v>
      </c>
      <c r="AE37" s="929">
        <v>773</v>
      </c>
      <c r="AF37" s="929">
        <v>1080</v>
      </c>
      <c r="AH37" s="929">
        <f t="shared" si="0"/>
        <v>726</v>
      </c>
      <c r="AI37" s="929">
        <f t="shared" si="1"/>
        <v>2635</v>
      </c>
      <c r="AJ37" s="929">
        <f t="shared" si="2"/>
        <v>3361</v>
      </c>
      <c r="AK37" s="929">
        <f t="shared" si="3"/>
        <v>1402</v>
      </c>
      <c r="AL37" s="929">
        <f t="shared" si="4"/>
        <v>7740</v>
      </c>
      <c r="AM37" s="929">
        <f t="shared" si="5"/>
        <v>9142</v>
      </c>
      <c r="AN37" s="929">
        <f t="shared" si="6"/>
        <v>604</v>
      </c>
      <c r="AO37" s="929">
        <f t="shared" si="7"/>
        <v>1988</v>
      </c>
      <c r="AP37" s="929">
        <f t="shared" si="8"/>
        <v>2592</v>
      </c>
      <c r="AR37" s="930">
        <f t="shared" si="9"/>
        <v>0.21600714073192503</v>
      </c>
      <c r="AS37" s="930">
        <f t="shared" si="10"/>
        <v>0.15335812732443665</v>
      </c>
      <c r="AT37" s="930">
        <f t="shared" si="11"/>
        <v>0.2330246913580247</v>
      </c>
      <c r="AV37" s="931">
        <v>3303</v>
      </c>
      <c r="AW37" s="931">
        <v>9279</v>
      </c>
      <c r="AX37" s="931">
        <v>2796</v>
      </c>
      <c r="AZ37" s="931">
        <f t="shared" si="12"/>
        <v>713.47158583754845</v>
      </c>
      <c r="BA37" s="931">
        <f t="shared" si="13"/>
        <v>1423.0100634434477</v>
      </c>
      <c r="BB37" s="931">
        <f t="shared" si="14"/>
        <v>651.53703703703707</v>
      </c>
      <c r="BC37" s="948">
        <f t="shared" si="15"/>
        <v>2788.0186863180329</v>
      </c>
    </row>
    <row r="38" spans="1:55" s="928" customFormat="1" ht="12" customHeight="1" x14ac:dyDescent="0.2">
      <c r="A38" s="928" t="s">
        <v>80</v>
      </c>
      <c r="B38" s="932" t="s">
        <v>476</v>
      </c>
      <c r="C38" s="945">
        <v>150</v>
      </c>
      <c r="D38" s="929">
        <v>1821</v>
      </c>
      <c r="E38" s="929">
        <v>1971</v>
      </c>
      <c r="F38" s="929">
        <v>210</v>
      </c>
      <c r="G38" s="929">
        <v>1703</v>
      </c>
      <c r="H38" s="929">
        <v>1913</v>
      </c>
      <c r="I38" s="929">
        <v>263</v>
      </c>
      <c r="J38" s="929">
        <v>1676</v>
      </c>
      <c r="K38" s="929">
        <v>1939</v>
      </c>
      <c r="L38" s="929">
        <v>398</v>
      </c>
      <c r="M38" s="929">
        <v>1006</v>
      </c>
      <c r="N38" s="929">
        <v>1404</v>
      </c>
      <c r="O38" s="929">
        <v>113</v>
      </c>
      <c r="P38" s="929">
        <v>2720</v>
      </c>
      <c r="Q38" s="929">
        <v>2833</v>
      </c>
      <c r="R38" s="929">
        <v>208</v>
      </c>
      <c r="S38" s="929">
        <v>3202</v>
      </c>
      <c r="T38" s="929">
        <v>3410</v>
      </c>
      <c r="U38" s="929">
        <v>349</v>
      </c>
      <c r="V38" s="929">
        <v>3482</v>
      </c>
      <c r="W38" s="929">
        <v>3831</v>
      </c>
      <c r="X38" s="929">
        <v>315</v>
      </c>
      <c r="Y38" s="929">
        <v>2866</v>
      </c>
      <c r="Z38" s="929">
        <v>3181</v>
      </c>
      <c r="AA38" s="929">
        <v>232</v>
      </c>
      <c r="AB38" s="929">
        <v>2109</v>
      </c>
      <c r="AC38" s="929">
        <v>2341</v>
      </c>
      <c r="AD38" s="929">
        <v>168</v>
      </c>
      <c r="AE38" s="929">
        <v>1358</v>
      </c>
      <c r="AF38" s="929">
        <v>1526</v>
      </c>
      <c r="AH38" s="929">
        <f t="shared" ref="AH38:AH69" si="16">C38+F38+I38</f>
        <v>623</v>
      </c>
      <c r="AI38" s="929">
        <f t="shared" ref="AI38:AI69" si="17">D38+G38+J38</f>
        <v>5200</v>
      </c>
      <c r="AJ38" s="929">
        <f t="shared" ref="AJ38:AJ69" si="18">E38+H38+K38</f>
        <v>5823</v>
      </c>
      <c r="AK38" s="929">
        <f t="shared" ref="AK38:AK69" si="19">L38+O38+R38+U38+X38</f>
        <v>1383</v>
      </c>
      <c r="AL38" s="929">
        <f t="shared" ref="AL38:AL69" si="20">M38+P38+S38+V38+Y38</f>
        <v>13276</v>
      </c>
      <c r="AM38" s="929">
        <f t="shared" ref="AM38:AM69" si="21">N38+Q38+T38+W38+Z38</f>
        <v>14659</v>
      </c>
      <c r="AN38" s="929">
        <f t="shared" ref="AN38:AN69" si="22">AA38+AD38</f>
        <v>400</v>
      </c>
      <c r="AO38" s="929">
        <f t="shared" ref="AO38:AO69" si="23">AB38+AE38</f>
        <v>3467</v>
      </c>
      <c r="AP38" s="929">
        <f t="shared" ref="AP38:AP69" si="24">AC38+AF38</f>
        <v>3867</v>
      </c>
      <c r="AR38" s="930">
        <f t="shared" ref="AR38:AR69" si="25">AH38/AJ38</f>
        <v>0.1069895243001889</v>
      </c>
      <c r="AS38" s="930">
        <f t="shared" ref="AS38:AS69" si="26">AK38/AM38</f>
        <v>9.4344771130363603E-2</v>
      </c>
      <c r="AT38" s="930">
        <f t="shared" ref="AT38:AT69" si="27">AN38/AP38</f>
        <v>0.10343935867597621</v>
      </c>
      <c r="AV38" s="931">
        <v>5859</v>
      </c>
      <c r="AW38" s="931">
        <v>16009</v>
      </c>
      <c r="AX38" s="931">
        <v>4193</v>
      </c>
      <c r="AZ38" s="931">
        <f t="shared" ref="AZ38:AZ69" si="28">AR38*AV38</f>
        <v>626.85162287480682</v>
      </c>
      <c r="BA38" s="931">
        <f t="shared" ref="BA38:BA69" si="29">AS38*AW38</f>
        <v>1510.365441025991</v>
      </c>
      <c r="BB38" s="931">
        <f t="shared" ref="BB38:BB69" si="30">AT38*AX38</f>
        <v>433.72123092836824</v>
      </c>
      <c r="BC38" s="948">
        <f t="shared" si="15"/>
        <v>2570.9382948291659</v>
      </c>
    </row>
    <row r="39" spans="1:55" s="928" customFormat="1" ht="12" customHeight="1" x14ac:dyDescent="0.2">
      <c r="A39" s="928" t="s">
        <v>84</v>
      </c>
      <c r="B39" s="932" t="s">
        <v>85</v>
      </c>
      <c r="C39" s="945">
        <v>1058</v>
      </c>
      <c r="D39" s="929">
        <v>2491</v>
      </c>
      <c r="E39" s="929">
        <v>3549</v>
      </c>
      <c r="F39" s="929">
        <v>1125</v>
      </c>
      <c r="G39" s="929">
        <v>2453</v>
      </c>
      <c r="H39" s="929">
        <v>3578</v>
      </c>
      <c r="I39" s="929">
        <v>1281</v>
      </c>
      <c r="J39" s="929">
        <v>3013</v>
      </c>
      <c r="K39" s="929">
        <v>4294</v>
      </c>
      <c r="L39" s="929">
        <v>930</v>
      </c>
      <c r="M39" s="929">
        <v>2744</v>
      </c>
      <c r="N39" s="929">
        <v>3674</v>
      </c>
      <c r="O39" s="929">
        <v>1352</v>
      </c>
      <c r="P39" s="929">
        <v>4214</v>
      </c>
      <c r="Q39" s="929">
        <v>5566</v>
      </c>
      <c r="R39" s="929">
        <v>1231</v>
      </c>
      <c r="S39" s="929">
        <v>5799</v>
      </c>
      <c r="T39" s="929">
        <v>7030</v>
      </c>
      <c r="U39" s="929">
        <v>1168</v>
      </c>
      <c r="V39" s="929">
        <v>7611</v>
      </c>
      <c r="W39" s="929">
        <v>8779</v>
      </c>
      <c r="X39" s="929">
        <v>865</v>
      </c>
      <c r="Y39" s="929">
        <v>7564</v>
      </c>
      <c r="Z39" s="929">
        <v>8429</v>
      </c>
      <c r="AA39" s="929">
        <v>535</v>
      </c>
      <c r="AB39" s="929">
        <v>5220</v>
      </c>
      <c r="AC39" s="929">
        <v>5755</v>
      </c>
      <c r="AD39" s="929">
        <v>797</v>
      </c>
      <c r="AE39" s="929">
        <v>2824</v>
      </c>
      <c r="AF39" s="929">
        <v>3621</v>
      </c>
      <c r="AH39" s="929">
        <f t="shared" si="16"/>
        <v>3464</v>
      </c>
      <c r="AI39" s="929">
        <f t="shared" si="17"/>
        <v>7957</v>
      </c>
      <c r="AJ39" s="929">
        <f t="shared" si="18"/>
        <v>11421</v>
      </c>
      <c r="AK39" s="929">
        <f t="shared" si="19"/>
        <v>5546</v>
      </c>
      <c r="AL39" s="929">
        <f t="shared" si="20"/>
        <v>27932</v>
      </c>
      <c r="AM39" s="929">
        <f t="shared" si="21"/>
        <v>33478</v>
      </c>
      <c r="AN39" s="929">
        <f t="shared" si="22"/>
        <v>1332</v>
      </c>
      <c r="AO39" s="929">
        <f t="shared" si="23"/>
        <v>8044</v>
      </c>
      <c r="AP39" s="929">
        <f t="shared" si="24"/>
        <v>9376</v>
      </c>
      <c r="AR39" s="930">
        <f t="shared" si="25"/>
        <v>0.30330093687067683</v>
      </c>
      <c r="AS39" s="930">
        <f t="shared" si="26"/>
        <v>0.16566103112491787</v>
      </c>
      <c r="AT39" s="930">
        <f t="shared" si="27"/>
        <v>0.14206484641638226</v>
      </c>
      <c r="AV39" s="931">
        <v>11523</v>
      </c>
      <c r="AW39" s="931">
        <v>34581</v>
      </c>
      <c r="AX39" s="931">
        <v>10315</v>
      </c>
      <c r="AZ39" s="931">
        <f t="shared" si="28"/>
        <v>3494.9366955608093</v>
      </c>
      <c r="BA39" s="931">
        <f t="shared" si="29"/>
        <v>5728.7241173307848</v>
      </c>
      <c r="BB39" s="931">
        <f t="shared" si="30"/>
        <v>1465.398890784983</v>
      </c>
      <c r="BC39" s="948">
        <f t="shared" si="15"/>
        <v>10689.059703676578</v>
      </c>
    </row>
    <row r="40" spans="1:55" s="928" customFormat="1" ht="12" customHeight="1" x14ac:dyDescent="0.2">
      <c r="A40" s="928" t="s">
        <v>86</v>
      </c>
      <c r="B40" s="932" t="s">
        <v>477</v>
      </c>
      <c r="C40" s="945">
        <v>1067</v>
      </c>
      <c r="D40" s="929">
        <v>4824</v>
      </c>
      <c r="E40" s="929">
        <v>5891</v>
      </c>
      <c r="F40" s="929">
        <v>964</v>
      </c>
      <c r="G40" s="929">
        <v>5903</v>
      </c>
      <c r="H40" s="929">
        <v>6867</v>
      </c>
      <c r="I40" s="929">
        <v>749</v>
      </c>
      <c r="J40" s="929">
        <v>5739</v>
      </c>
      <c r="K40" s="929">
        <v>6488</v>
      </c>
      <c r="L40" s="929">
        <v>1021</v>
      </c>
      <c r="M40" s="929">
        <v>4789</v>
      </c>
      <c r="N40" s="929">
        <v>5810</v>
      </c>
      <c r="O40" s="929">
        <v>1206</v>
      </c>
      <c r="P40" s="929">
        <v>7636</v>
      </c>
      <c r="Q40" s="929">
        <v>8842</v>
      </c>
      <c r="R40" s="929">
        <v>1090</v>
      </c>
      <c r="S40" s="929">
        <v>10599</v>
      </c>
      <c r="T40" s="929">
        <v>11689</v>
      </c>
      <c r="U40" s="929">
        <v>728</v>
      </c>
      <c r="V40" s="929">
        <v>11330</v>
      </c>
      <c r="W40" s="929">
        <v>12058</v>
      </c>
      <c r="X40" s="929">
        <v>678</v>
      </c>
      <c r="Y40" s="929">
        <v>8242</v>
      </c>
      <c r="Z40" s="929">
        <v>8920</v>
      </c>
      <c r="AA40" s="929">
        <v>508</v>
      </c>
      <c r="AB40" s="929">
        <v>5148</v>
      </c>
      <c r="AC40" s="929">
        <v>5656</v>
      </c>
      <c r="AD40" s="929">
        <v>413</v>
      </c>
      <c r="AE40" s="929">
        <v>3374</v>
      </c>
      <c r="AF40" s="929">
        <v>3787</v>
      </c>
      <c r="AH40" s="929">
        <f t="shared" si="16"/>
        <v>2780</v>
      </c>
      <c r="AI40" s="929">
        <f t="shared" si="17"/>
        <v>16466</v>
      </c>
      <c r="AJ40" s="929">
        <f t="shared" si="18"/>
        <v>19246</v>
      </c>
      <c r="AK40" s="929">
        <f t="shared" si="19"/>
        <v>4723</v>
      </c>
      <c r="AL40" s="929">
        <f t="shared" si="20"/>
        <v>42596</v>
      </c>
      <c r="AM40" s="929">
        <f t="shared" si="21"/>
        <v>47319</v>
      </c>
      <c r="AN40" s="929">
        <f t="shared" si="22"/>
        <v>921</v>
      </c>
      <c r="AO40" s="929">
        <f t="shared" si="23"/>
        <v>8522</v>
      </c>
      <c r="AP40" s="929">
        <f t="shared" si="24"/>
        <v>9443</v>
      </c>
      <c r="AR40" s="930">
        <f t="shared" si="25"/>
        <v>0.14444559908552426</v>
      </c>
      <c r="AS40" s="930">
        <f t="shared" si="26"/>
        <v>9.9811914875631347E-2</v>
      </c>
      <c r="AT40" s="930">
        <f t="shared" si="27"/>
        <v>9.7532563803875885E-2</v>
      </c>
      <c r="AV40" s="931">
        <v>19667</v>
      </c>
      <c r="AW40" s="931">
        <v>49564</v>
      </c>
      <c r="AX40" s="931">
        <v>10435</v>
      </c>
      <c r="AZ40" s="931">
        <f t="shared" si="28"/>
        <v>2840.8115972150058</v>
      </c>
      <c r="BA40" s="931">
        <f t="shared" si="29"/>
        <v>4947.077748895792</v>
      </c>
      <c r="BB40" s="931">
        <f t="shared" si="30"/>
        <v>1017.7523032934448</v>
      </c>
      <c r="BC40" s="948">
        <f t="shared" si="15"/>
        <v>8805.6416494042423</v>
      </c>
    </row>
    <row r="41" spans="1:55" s="928" customFormat="1" ht="12" customHeight="1" x14ac:dyDescent="0.2">
      <c r="A41" s="928" t="s">
        <v>92</v>
      </c>
      <c r="B41" s="932" t="s">
        <v>478</v>
      </c>
      <c r="C41" s="945">
        <v>251</v>
      </c>
      <c r="D41" s="929">
        <v>743</v>
      </c>
      <c r="E41" s="929">
        <v>994</v>
      </c>
      <c r="F41" s="929">
        <v>356</v>
      </c>
      <c r="G41" s="929">
        <v>1006</v>
      </c>
      <c r="H41" s="929">
        <v>1362</v>
      </c>
      <c r="I41" s="929">
        <v>232</v>
      </c>
      <c r="J41" s="929">
        <v>1082</v>
      </c>
      <c r="K41" s="929">
        <v>1314</v>
      </c>
      <c r="L41" s="929">
        <v>269</v>
      </c>
      <c r="M41" s="929">
        <v>963</v>
      </c>
      <c r="N41" s="929">
        <v>1232</v>
      </c>
      <c r="O41" s="929">
        <v>461</v>
      </c>
      <c r="P41" s="929">
        <v>1286</v>
      </c>
      <c r="Q41" s="929">
        <v>1747</v>
      </c>
      <c r="R41" s="929">
        <v>386</v>
      </c>
      <c r="S41" s="929">
        <v>2036</v>
      </c>
      <c r="T41" s="929">
        <v>2422</v>
      </c>
      <c r="U41" s="929">
        <v>455</v>
      </c>
      <c r="V41" s="929">
        <v>2044</v>
      </c>
      <c r="W41" s="929">
        <v>2499</v>
      </c>
      <c r="X41" s="929">
        <v>468</v>
      </c>
      <c r="Y41" s="929">
        <v>2032</v>
      </c>
      <c r="Z41" s="929">
        <v>2500</v>
      </c>
      <c r="AA41" s="929">
        <v>283</v>
      </c>
      <c r="AB41" s="929">
        <v>1374</v>
      </c>
      <c r="AC41" s="929">
        <v>1657</v>
      </c>
      <c r="AD41" s="929">
        <v>294</v>
      </c>
      <c r="AE41" s="929">
        <v>984</v>
      </c>
      <c r="AF41" s="929">
        <v>1278</v>
      </c>
      <c r="AH41" s="929">
        <f t="shared" si="16"/>
        <v>839</v>
      </c>
      <c r="AI41" s="929">
        <f t="shared" si="17"/>
        <v>2831</v>
      </c>
      <c r="AJ41" s="929">
        <f t="shared" si="18"/>
        <v>3670</v>
      </c>
      <c r="AK41" s="929">
        <f t="shared" si="19"/>
        <v>2039</v>
      </c>
      <c r="AL41" s="929">
        <f t="shared" si="20"/>
        <v>8361</v>
      </c>
      <c r="AM41" s="929">
        <f t="shared" si="21"/>
        <v>10400</v>
      </c>
      <c r="AN41" s="929">
        <f t="shared" si="22"/>
        <v>577</v>
      </c>
      <c r="AO41" s="929">
        <f t="shared" si="23"/>
        <v>2358</v>
      </c>
      <c r="AP41" s="929">
        <f t="shared" si="24"/>
        <v>2935</v>
      </c>
      <c r="AR41" s="930">
        <f t="shared" si="25"/>
        <v>0.22861035422343323</v>
      </c>
      <c r="AS41" s="930">
        <f t="shared" si="26"/>
        <v>0.19605769230769229</v>
      </c>
      <c r="AT41" s="930">
        <f t="shared" si="27"/>
        <v>0.19659284497444635</v>
      </c>
      <c r="AV41" s="931">
        <v>3600</v>
      </c>
      <c r="AW41" s="931">
        <v>10356</v>
      </c>
      <c r="AX41" s="931">
        <v>3168</v>
      </c>
      <c r="AZ41" s="931">
        <f t="shared" si="28"/>
        <v>822.99727520435965</v>
      </c>
      <c r="BA41" s="931">
        <f t="shared" si="29"/>
        <v>2030.3734615384615</v>
      </c>
      <c r="BB41" s="931">
        <f t="shared" si="30"/>
        <v>622.806132879046</v>
      </c>
      <c r="BC41" s="948">
        <f t="shared" si="15"/>
        <v>3476.1768696218669</v>
      </c>
    </row>
    <row r="42" spans="1:55" s="928" customFormat="1" ht="12" customHeight="1" x14ac:dyDescent="0.2">
      <c r="A42" s="928" t="s">
        <v>94</v>
      </c>
      <c r="B42" s="932" t="s">
        <v>479</v>
      </c>
      <c r="C42" s="945">
        <v>248</v>
      </c>
      <c r="D42" s="929">
        <v>2072</v>
      </c>
      <c r="E42" s="929">
        <v>2320</v>
      </c>
      <c r="F42" s="929">
        <v>247</v>
      </c>
      <c r="G42" s="929">
        <v>2212</v>
      </c>
      <c r="H42" s="929">
        <v>2459</v>
      </c>
      <c r="I42" s="929">
        <v>466</v>
      </c>
      <c r="J42" s="929">
        <v>2931</v>
      </c>
      <c r="K42" s="929">
        <v>3397</v>
      </c>
      <c r="L42" s="929">
        <v>422</v>
      </c>
      <c r="M42" s="929">
        <v>2385</v>
      </c>
      <c r="N42" s="929">
        <v>2807</v>
      </c>
      <c r="O42" s="929">
        <v>400</v>
      </c>
      <c r="P42" s="929">
        <v>3471</v>
      </c>
      <c r="Q42" s="929">
        <v>3871</v>
      </c>
      <c r="R42" s="929">
        <v>440</v>
      </c>
      <c r="S42" s="929">
        <v>4655</v>
      </c>
      <c r="T42" s="929">
        <v>5095</v>
      </c>
      <c r="U42" s="929">
        <v>572</v>
      </c>
      <c r="V42" s="929">
        <v>5857</v>
      </c>
      <c r="W42" s="929">
        <v>6429</v>
      </c>
      <c r="X42" s="929">
        <v>238</v>
      </c>
      <c r="Y42" s="929">
        <v>4666</v>
      </c>
      <c r="Z42" s="929">
        <v>4904</v>
      </c>
      <c r="AA42" s="929">
        <v>303</v>
      </c>
      <c r="AB42" s="929">
        <v>2870</v>
      </c>
      <c r="AC42" s="929">
        <v>3173</v>
      </c>
      <c r="AD42" s="929">
        <v>264</v>
      </c>
      <c r="AE42" s="929">
        <v>1736</v>
      </c>
      <c r="AF42" s="929">
        <v>2000</v>
      </c>
      <c r="AH42" s="929">
        <f t="shared" si="16"/>
        <v>961</v>
      </c>
      <c r="AI42" s="929">
        <f t="shared" si="17"/>
        <v>7215</v>
      </c>
      <c r="AJ42" s="929">
        <f t="shared" si="18"/>
        <v>8176</v>
      </c>
      <c r="AK42" s="929">
        <f t="shared" si="19"/>
        <v>2072</v>
      </c>
      <c r="AL42" s="929">
        <f t="shared" si="20"/>
        <v>21034</v>
      </c>
      <c r="AM42" s="929">
        <f t="shared" si="21"/>
        <v>23106</v>
      </c>
      <c r="AN42" s="929">
        <f t="shared" si="22"/>
        <v>567</v>
      </c>
      <c r="AO42" s="929">
        <f t="shared" si="23"/>
        <v>4606</v>
      </c>
      <c r="AP42" s="929">
        <f t="shared" si="24"/>
        <v>5173</v>
      </c>
      <c r="AR42" s="930">
        <f t="shared" si="25"/>
        <v>0.11753913894324854</v>
      </c>
      <c r="AS42" s="930">
        <f t="shared" si="26"/>
        <v>8.9673677832597595E-2</v>
      </c>
      <c r="AT42" s="930">
        <f t="shared" si="27"/>
        <v>0.10960757780784844</v>
      </c>
      <c r="AV42" s="931">
        <v>7889</v>
      </c>
      <c r="AW42" s="931">
        <v>23382</v>
      </c>
      <c r="AX42" s="931">
        <v>5630</v>
      </c>
      <c r="AZ42" s="931">
        <f t="shared" si="28"/>
        <v>927.26626712328766</v>
      </c>
      <c r="BA42" s="931">
        <f t="shared" si="29"/>
        <v>2096.749935081797</v>
      </c>
      <c r="BB42" s="931">
        <f t="shared" si="30"/>
        <v>617.09066305818669</v>
      </c>
      <c r="BC42" s="948">
        <f t="shared" si="15"/>
        <v>3641.1068652632712</v>
      </c>
    </row>
    <row r="43" spans="1:55" s="928" customFormat="1" ht="12" customHeight="1" x14ac:dyDescent="0.2">
      <c r="A43" s="928" t="s">
        <v>96</v>
      </c>
      <c r="B43" s="932" t="s">
        <v>480</v>
      </c>
      <c r="C43" s="945">
        <v>138</v>
      </c>
      <c r="D43" s="929">
        <v>1055</v>
      </c>
      <c r="E43" s="929">
        <v>1193</v>
      </c>
      <c r="F43" s="929">
        <v>79</v>
      </c>
      <c r="G43" s="929">
        <v>1359</v>
      </c>
      <c r="H43" s="929">
        <v>1438</v>
      </c>
      <c r="I43" s="929">
        <v>165</v>
      </c>
      <c r="J43" s="929">
        <v>1327</v>
      </c>
      <c r="K43" s="929">
        <v>1492</v>
      </c>
      <c r="L43" s="929">
        <v>110</v>
      </c>
      <c r="M43" s="929">
        <v>678</v>
      </c>
      <c r="N43" s="929">
        <v>788</v>
      </c>
      <c r="O43" s="929">
        <v>75</v>
      </c>
      <c r="P43" s="929">
        <v>1140</v>
      </c>
      <c r="Q43" s="929">
        <v>1215</v>
      </c>
      <c r="R43" s="929">
        <v>182</v>
      </c>
      <c r="S43" s="929">
        <v>2240</v>
      </c>
      <c r="T43" s="929">
        <v>2422</v>
      </c>
      <c r="U43" s="929">
        <v>183</v>
      </c>
      <c r="V43" s="929">
        <v>3291</v>
      </c>
      <c r="W43" s="929">
        <v>3474</v>
      </c>
      <c r="X43" s="929">
        <v>85</v>
      </c>
      <c r="Y43" s="929">
        <v>3360</v>
      </c>
      <c r="Z43" s="929">
        <v>3445</v>
      </c>
      <c r="AA43" s="929">
        <v>84</v>
      </c>
      <c r="AB43" s="929">
        <v>1831</v>
      </c>
      <c r="AC43" s="929">
        <v>1915</v>
      </c>
      <c r="AD43" s="929">
        <v>221</v>
      </c>
      <c r="AE43" s="929">
        <v>945</v>
      </c>
      <c r="AF43" s="929">
        <v>1166</v>
      </c>
      <c r="AH43" s="929">
        <f t="shared" si="16"/>
        <v>382</v>
      </c>
      <c r="AI43" s="929">
        <f t="shared" si="17"/>
        <v>3741</v>
      </c>
      <c r="AJ43" s="929">
        <f t="shared" si="18"/>
        <v>4123</v>
      </c>
      <c r="AK43" s="929">
        <f t="shared" si="19"/>
        <v>635</v>
      </c>
      <c r="AL43" s="929">
        <f t="shared" si="20"/>
        <v>10709</v>
      </c>
      <c r="AM43" s="929">
        <f t="shared" si="21"/>
        <v>11344</v>
      </c>
      <c r="AN43" s="929">
        <f t="shared" si="22"/>
        <v>305</v>
      </c>
      <c r="AO43" s="929">
        <f t="shared" si="23"/>
        <v>2776</v>
      </c>
      <c r="AP43" s="929">
        <f t="shared" si="24"/>
        <v>3081</v>
      </c>
      <c r="AR43" s="930">
        <f t="shared" si="25"/>
        <v>9.2650982294445794E-2</v>
      </c>
      <c r="AS43" s="930">
        <f t="shared" si="26"/>
        <v>5.5976727785613543E-2</v>
      </c>
      <c r="AT43" s="930">
        <f t="shared" si="27"/>
        <v>9.8993833171048359E-2</v>
      </c>
      <c r="AV43" s="931">
        <v>4256</v>
      </c>
      <c r="AW43" s="931">
        <v>14156</v>
      </c>
      <c r="AX43" s="931">
        <v>3471</v>
      </c>
      <c r="AZ43" s="931">
        <f t="shared" si="28"/>
        <v>394.32258064516128</v>
      </c>
      <c r="BA43" s="931">
        <f t="shared" si="29"/>
        <v>792.40655853314536</v>
      </c>
      <c r="BB43" s="931">
        <f t="shared" si="30"/>
        <v>343.60759493670884</v>
      </c>
      <c r="BC43" s="948">
        <f t="shared" si="15"/>
        <v>1530.3367341150156</v>
      </c>
    </row>
    <row r="44" spans="1:55" s="928" customFormat="1" ht="12" customHeight="1" x14ac:dyDescent="0.2">
      <c r="A44" s="928" t="s">
        <v>98</v>
      </c>
      <c r="B44" s="932" t="s">
        <v>481</v>
      </c>
      <c r="C44" s="945">
        <v>360</v>
      </c>
      <c r="D44" s="929">
        <v>670</v>
      </c>
      <c r="E44" s="929">
        <v>1030</v>
      </c>
      <c r="F44" s="929">
        <v>314</v>
      </c>
      <c r="G44" s="929">
        <v>475</v>
      </c>
      <c r="H44" s="929">
        <v>789</v>
      </c>
      <c r="I44" s="929">
        <v>465</v>
      </c>
      <c r="J44" s="929">
        <v>713</v>
      </c>
      <c r="K44" s="929">
        <v>1178</v>
      </c>
      <c r="L44" s="929">
        <v>236</v>
      </c>
      <c r="M44" s="929">
        <v>766</v>
      </c>
      <c r="N44" s="929">
        <v>1002</v>
      </c>
      <c r="O44" s="929">
        <v>436</v>
      </c>
      <c r="P44" s="929">
        <v>1078</v>
      </c>
      <c r="Q44" s="929">
        <v>1514</v>
      </c>
      <c r="R44" s="929">
        <v>586</v>
      </c>
      <c r="S44" s="929">
        <v>1386</v>
      </c>
      <c r="T44" s="929">
        <v>1972</v>
      </c>
      <c r="U44" s="929">
        <v>522</v>
      </c>
      <c r="V44" s="929">
        <v>1930</v>
      </c>
      <c r="W44" s="929">
        <v>2452</v>
      </c>
      <c r="X44" s="929">
        <v>482</v>
      </c>
      <c r="Y44" s="929">
        <v>1998</v>
      </c>
      <c r="Z44" s="929">
        <v>2480</v>
      </c>
      <c r="AA44" s="929">
        <v>443</v>
      </c>
      <c r="AB44" s="929">
        <v>1303</v>
      </c>
      <c r="AC44" s="929">
        <v>1746</v>
      </c>
      <c r="AD44" s="929">
        <v>420</v>
      </c>
      <c r="AE44" s="929">
        <v>980</v>
      </c>
      <c r="AF44" s="929">
        <v>1400</v>
      </c>
      <c r="AH44" s="929">
        <f t="shared" si="16"/>
        <v>1139</v>
      </c>
      <c r="AI44" s="929">
        <f t="shared" si="17"/>
        <v>1858</v>
      </c>
      <c r="AJ44" s="929">
        <f t="shared" si="18"/>
        <v>2997</v>
      </c>
      <c r="AK44" s="929">
        <f t="shared" si="19"/>
        <v>2262</v>
      </c>
      <c r="AL44" s="929">
        <f t="shared" si="20"/>
        <v>7158</v>
      </c>
      <c r="AM44" s="929">
        <f t="shared" si="21"/>
        <v>9420</v>
      </c>
      <c r="AN44" s="929">
        <f t="shared" si="22"/>
        <v>863</v>
      </c>
      <c r="AO44" s="929">
        <f t="shared" si="23"/>
        <v>2283</v>
      </c>
      <c r="AP44" s="929">
        <f t="shared" si="24"/>
        <v>3146</v>
      </c>
      <c r="AR44" s="930">
        <f t="shared" si="25"/>
        <v>0.3800467133800467</v>
      </c>
      <c r="AS44" s="930">
        <f t="shared" si="26"/>
        <v>0.24012738853503185</v>
      </c>
      <c r="AT44" s="930">
        <f t="shared" si="27"/>
        <v>0.27431659249841067</v>
      </c>
      <c r="AV44" s="931">
        <v>2849</v>
      </c>
      <c r="AW44" s="931">
        <v>9209</v>
      </c>
      <c r="AX44" s="931">
        <v>3270</v>
      </c>
      <c r="AZ44" s="931">
        <f t="shared" si="28"/>
        <v>1082.7530864197531</v>
      </c>
      <c r="BA44" s="931">
        <f t="shared" si="29"/>
        <v>2211.3331210191081</v>
      </c>
      <c r="BB44" s="931">
        <f t="shared" si="30"/>
        <v>897.01525746980292</v>
      </c>
      <c r="BC44" s="948">
        <f t="shared" si="15"/>
        <v>4191.1014649086646</v>
      </c>
    </row>
    <row r="45" spans="1:55" s="928" customFormat="1" ht="12" customHeight="1" x14ac:dyDescent="0.2">
      <c r="A45" s="928" t="s">
        <v>100</v>
      </c>
      <c r="B45" s="932" t="s">
        <v>482</v>
      </c>
      <c r="C45" s="945">
        <v>324</v>
      </c>
      <c r="D45" s="929">
        <v>1214</v>
      </c>
      <c r="E45" s="929">
        <v>1538</v>
      </c>
      <c r="F45" s="929">
        <v>265</v>
      </c>
      <c r="G45" s="929">
        <v>1428</v>
      </c>
      <c r="H45" s="929">
        <v>1693</v>
      </c>
      <c r="I45" s="929">
        <v>301</v>
      </c>
      <c r="J45" s="929">
        <v>1018</v>
      </c>
      <c r="K45" s="929">
        <v>1319</v>
      </c>
      <c r="L45" s="929">
        <v>262</v>
      </c>
      <c r="M45" s="929">
        <v>1099</v>
      </c>
      <c r="N45" s="929">
        <v>1361</v>
      </c>
      <c r="O45" s="929">
        <v>268</v>
      </c>
      <c r="P45" s="929">
        <v>2115</v>
      </c>
      <c r="Q45" s="929">
        <v>2383</v>
      </c>
      <c r="R45" s="929">
        <v>250</v>
      </c>
      <c r="S45" s="929">
        <v>2384</v>
      </c>
      <c r="T45" s="929">
        <v>2634</v>
      </c>
      <c r="U45" s="929">
        <v>138</v>
      </c>
      <c r="V45" s="929">
        <v>2600</v>
      </c>
      <c r="W45" s="929">
        <v>2738</v>
      </c>
      <c r="X45" s="929">
        <v>166</v>
      </c>
      <c r="Y45" s="929">
        <v>2036</v>
      </c>
      <c r="Z45" s="929">
        <v>2202</v>
      </c>
      <c r="AA45" s="929">
        <v>185</v>
      </c>
      <c r="AB45" s="929">
        <v>1229</v>
      </c>
      <c r="AC45" s="929">
        <v>1414</v>
      </c>
      <c r="AD45" s="929">
        <v>167</v>
      </c>
      <c r="AE45" s="929">
        <v>702</v>
      </c>
      <c r="AF45" s="929">
        <v>869</v>
      </c>
      <c r="AH45" s="929">
        <f t="shared" si="16"/>
        <v>890</v>
      </c>
      <c r="AI45" s="929">
        <f t="shared" si="17"/>
        <v>3660</v>
      </c>
      <c r="AJ45" s="929">
        <f t="shared" si="18"/>
        <v>4550</v>
      </c>
      <c r="AK45" s="929">
        <f t="shared" si="19"/>
        <v>1084</v>
      </c>
      <c r="AL45" s="929">
        <f t="shared" si="20"/>
        <v>10234</v>
      </c>
      <c r="AM45" s="929">
        <f t="shared" si="21"/>
        <v>11318</v>
      </c>
      <c r="AN45" s="929">
        <f t="shared" si="22"/>
        <v>352</v>
      </c>
      <c r="AO45" s="929">
        <f t="shared" si="23"/>
        <v>1931</v>
      </c>
      <c r="AP45" s="929">
        <f t="shared" si="24"/>
        <v>2283</v>
      </c>
      <c r="AR45" s="930">
        <f t="shared" si="25"/>
        <v>0.1956043956043956</v>
      </c>
      <c r="AS45" s="930">
        <f t="shared" si="26"/>
        <v>9.5776638982152329E-2</v>
      </c>
      <c r="AT45" s="930">
        <f t="shared" si="27"/>
        <v>0.15418309242225142</v>
      </c>
      <c r="AV45" s="931">
        <v>4630</v>
      </c>
      <c r="AW45" s="931">
        <v>11549</v>
      </c>
      <c r="AX45" s="931">
        <v>2481</v>
      </c>
      <c r="AZ45" s="931">
        <f t="shared" si="28"/>
        <v>905.64835164835165</v>
      </c>
      <c r="BA45" s="931">
        <f t="shared" si="29"/>
        <v>1106.1244036048772</v>
      </c>
      <c r="BB45" s="931">
        <f t="shared" si="30"/>
        <v>382.52825229960575</v>
      </c>
      <c r="BC45" s="948">
        <f t="shared" si="15"/>
        <v>2394.3010075528346</v>
      </c>
    </row>
    <row r="46" spans="1:55" s="928" customFormat="1" ht="12" customHeight="1" x14ac:dyDescent="0.2">
      <c r="A46" s="928" t="s">
        <v>102</v>
      </c>
      <c r="B46" s="932" t="s">
        <v>752</v>
      </c>
      <c r="C46" s="945">
        <v>752</v>
      </c>
      <c r="D46" s="929">
        <v>439</v>
      </c>
      <c r="E46" s="929">
        <v>1191</v>
      </c>
      <c r="F46" s="929">
        <v>372</v>
      </c>
      <c r="G46" s="929">
        <v>586</v>
      </c>
      <c r="H46" s="929">
        <v>958</v>
      </c>
      <c r="I46" s="929">
        <v>380</v>
      </c>
      <c r="J46" s="929">
        <v>774</v>
      </c>
      <c r="K46" s="929">
        <v>1154</v>
      </c>
      <c r="L46" s="929">
        <v>459</v>
      </c>
      <c r="M46" s="929">
        <v>726</v>
      </c>
      <c r="N46" s="929">
        <v>1185</v>
      </c>
      <c r="O46" s="929">
        <v>714</v>
      </c>
      <c r="P46" s="929">
        <v>1004</v>
      </c>
      <c r="Q46" s="929">
        <v>1718</v>
      </c>
      <c r="R46" s="929">
        <v>320</v>
      </c>
      <c r="S46" s="929">
        <v>1498</v>
      </c>
      <c r="T46" s="929">
        <v>1818</v>
      </c>
      <c r="U46" s="929">
        <v>314</v>
      </c>
      <c r="V46" s="929">
        <v>1610</v>
      </c>
      <c r="W46" s="929">
        <v>1924</v>
      </c>
      <c r="X46" s="929">
        <v>534</v>
      </c>
      <c r="Y46" s="929">
        <v>1576</v>
      </c>
      <c r="Z46" s="929">
        <v>2110</v>
      </c>
      <c r="AA46" s="929">
        <v>234</v>
      </c>
      <c r="AB46" s="929">
        <v>1028</v>
      </c>
      <c r="AC46" s="929">
        <v>1262</v>
      </c>
      <c r="AD46" s="929">
        <v>283</v>
      </c>
      <c r="AE46" s="929">
        <v>723</v>
      </c>
      <c r="AF46" s="929">
        <v>1006</v>
      </c>
      <c r="AH46" s="929">
        <f t="shared" si="16"/>
        <v>1504</v>
      </c>
      <c r="AI46" s="929">
        <f t="shared" si="17"/>
        <v>1799</v>
      </c>
      <c r="AJ46" s="929">
        <f t="shared" si="18"/>
        <v>3303</v>
      </c>
      <c r="AK46" s="929">
        <f t="shared" si="19"/>
        <v>2341</v>
      </c>
      <c r="AL46" s="929">
        <f t="shared" si="20"/>
        <v>6414</v>
      </c>
      <c r="AM46" s="929">
        <f t="shared" si="21"/>
        <v>8755</v>
      </c>
      <c r="AN46" s="929">
        <f t="shared" si="22"/>
        <v>517</v>
      </c>
      <c r="AO46" s="929">
        <f t="shared" si="23"/>
        <v>1751</v>
      </c>
      <c r="AP46" s="929">
        <f t="shared" si="24"/>
        <v>2268</v>
      </c>
      <c r="AR46" s="930">
        <f t="shared" si="25"/>
        <v>0.45534362700575237</v>
      </c>
      <c r="AS46" s="930">
        <f t="shared" si="26"/>
        <v>0.267390062821245</v>
      </c>
      <c r="AT46" s="930">
        <f t="shared" si="27"/>
        <v>0.22795414462081129</v>
      </c>
      <c r="AV46" s="931">
        <v>1979</v>
      </c>
      <c r="AW46" s="931">
        <v>8577</v>
      </c>
      <c r="AX46" s="931">
        <v>1556</v>
      </c>
      <c r="AZ46" s="931">
        <f t="shared" si="28"/>
        <v>901.125037844384</v>
      </c>
      <c r="BA46" s="931">
        <f t="shared" si="29"/>
        <v>2293.4045688178185</v>
      </c>
      <c r="BB46" s="931">
        <f t="shared" si="30"/>
        <v>354.69664902998238</v>
      </c>
      <c r="BC46" s="948">
        <f t="shared" si="15"/>
        <v>3549.2262556921846</v>
      </c>
    </row>
    <row r="47" spans="1:55" s="928" customFormat="1" ht="12" customHeight="1" x14ac:dyDescent="0.2">
      <c r="A47" s="928" t="s">
        <v>104</v>
      </c>
      <c r="B47" s="932" t="s">
        <v>753</v>
      </c>
      <c r="C47" s="945">
        <v>667</v>
      </c>
      <c r="D47" s="929">
        <v>1700</v>
      </c>
      <c r="E47" s="929">
        <v>2367</v>
      </c>
      <c r="F47" s="929">
        <v>894</v>
      </c>
      <c r="G47" s="929">
        <v>1482</v>
      </c>
      <c r="H47" s="929">
        <v>2376</v>
      </c>
      <c r="I47" s="929">
        <v>980</v>
      </c>
      <c r="J47" s="929">
        <v>2181</v>
      </c>
      <c r="K47" s="929">
        <v>3161</v>
      </c>
      <c r="L47" s="929">
        <v>801</v>
      </c>
      <c r="M47" s="929">
        <v>1895</v>
      </c>
      <c r="N47" s="929">
        <v>2696</v>
      </c>
      <c r="O47" s="929">
        <v>820</v>
      </c>
      <c r="P47" s="929">
        <v>2326</v>
      </c>
      <c r="Q47" s="929">
        <v>3146</v>
      </c>
      <c r="R47" s="929">
        <v>1009</v>
      </c>
      <c r="S47" s="929">
        <v>3255</v>
      </c>
      <c r="T47" s="929">
        <v>4264</v>
      </c>
      <c r="U47" s="929">
        <v>1030</v>
      </c>
      <c r="V47" s="929">
        <v>4316</v>
      </c>
      <c r="W47" s="929">
        <v>5346</v>
      </c>
      <c r="X47" s="929">
        <v>1162</v>
      </c>
      <c r="Y47" s="929">
        <v>4229</v>
      </c>
      <c r="Z47" s="929">
        <v>5391</v>
      </c>
      <c r="AA47" s="929">
        <v>953</v>
      </c>
      <c r="AB47" s="929">
        <v>2746</v>
      </c>
      <c r="AC47" s="929">
        <v>3699</v>
      </c>
      <c r="AD47" s="929">
        <v>981</v>
      </c>
      <c r="AE47" s="929">
        <v>1889</v>
      </c>
      <c r="AF47" s="929">
        <v>2870</v>
      </c>
      <c r="AH47" s="929">
        <f t="shared" si="16"/>
        <v>2541</v>
      </c>
      <c r="AI47" s="929">
        <f t="shared" si="17"/>
        <v>5363</v>
      </c>
      <c r="AJ47" s="929">
        <f t="shared" si="18"/>
        <v>7904</v>
      </c>
      <c r="AK47" s="929">
        <f t="shared" si="19"/>
        <v>4822</v>
      </c>
      <c r="AL47" s="929">
        <f t="shared" si="20"/>
        <v>16021</v>
      </c>
      <c r="AM47" s="929">
        <f t="shared" si="21"/>
        <v>20843</v>
      </c>
      <c r="AN47" s="929">
        <f t="shared" si="22"/>
        <v>1934</v>
      </c>
      <c r="AO47" s="929">
        <f t="shared" si="23"/>
        <v>4635</v>
      </c>
      <c r="AP47" s="929">
        <f t="shared" si="24"/>
        <v>6569</v>
      </c>
      <c r="AR47" s="930">
        <f t="shared" si="25"/>
        <v>0.32148279352226722</v>
      </c>
      <c r="AS47" s="930">
        <f t="shared" si="26"/>
        <v>0.23134865422443987</v>
      </c>
      <c r="AT47" s="930">
        <f t="shared" si="27"/>
        <v>0.29441315268686252</v>
      </c>
      <c r="AV47" s="931">
        <v>7828</v>
      </c>
      <c r="AW47" s="931">
        <v>21081</v>
      </c>
      <c r="AX47" s="931">
        <v>7147</v>
      </c>
      <c r="AZ47" s="931">
        <f t="shared" si="28"/>
        <v>2516.5673076923076</v>
      </c>
      <c r="BA47" s="931">
        <f t="shared" si="29"/>
        <v>4877.0609797054167</v>
      </c>
      <c r="BB47" s="931">
        <f t="shared" si="30"/>
        <v>2104.1708022530065</v>
      </c>
      <c r="BC47" s="948">
        <f t="shared" si="15"/>
        <v>9497.7990896507308</v>
      </c>
    </row>
    <row r="48" spans="1:55" s="928" customFormat="1" ht="12" customHeight="1" x14ac:dyDescent="0.2">
      <c r="A48" s="928" t="s">
        <v>108</v>
      </c>
      <c r="B48" s="932" t="s">
        <v>483</v>
      </c>
      <c r="C48" s="945">
        <v>595</v>
      </c>
      <c r="D48" s="929">
        <v>6044</v>
      </c>
      <c r="E48" s="929">
        <v>6639</v>
      </c>
      <c r="F48" s="929">
        <v>537</v>
      </c>
      <c r="G48" s="929">
        <v>7977</v>
      </c>
      <c r="H48" s="929">
        <v>8514</v>
      </c>
      <c r="I48" s="929">
        <v>576</v>
      </c>
      <c r="J48" s="929">
        <v>9188</v>
      </c>
      <c r="K48" s="929">
        <v>9764</v>
      </c>
      <c r="L48" s="929">
        <v>700</v>
      </c>
      <c r="M48" s="929">
        <v>5668</v>
      </c>
      <c r="N48" s="929">
        <v>6368</v>
      </c>
      <c r="O48" s="929">
        <v>634</v>
      </c>
      <c r="P48" s="929">
        <v>8031</v>
      </c>
      <c r="Q48" s="929">
        <v>8665</v>
      </c>
      <c r="R48" s="929">
        <v>685</v>
      </c>
      <c r="S48" s="929">
        <v>13996</v>
      </c>
      <c r="T48" s="929">
        <v>14681</v>
      </c>
      <c r="U48" s="929">
        <v>827</v>
      </c>
      <c r="V48" s="929">
        <v>16536</v>
      </c>
      <c r="W48" s="929">
        <v>17363</v>
      </c>
      <c r="X48" s="929">
        <v>626</v>
      </c>
      <c r="Y48" s="929">
        <v>12050</v>
      </c>
      <c r="Z48" s="929">
        <v>12676</v>
      </c>
      <c r="AA48" s="929">
        <v>552</v>
      </c>
      <c r="AB48" s="929">
        <v>6436</v>
      </c>
      <c r="AC48" s="929">
        <v>6988</v>
      </c>
      <c r="AD48" s="929">
        <v>615</v>
      </c>
      <c r="AE48" s="929">
        <v>4804</v>
      </c>
      <c r="AF48" s="929">
        <v>5419</v>
      </c>
      <c r="AH48" s="929">
        <f t="shared" si="16"/>
        <v>1708</v>
      </c>
      <c r="AI48" s="929">
        <f t="shared" si="17"/>
        <v>23209</v>
      </c>
      <c r="AJ48" s="929">
        <f t="shared" si="18"/>
        <v>24917</v>
      </c>
      <c r="AK48" s="929">
        <f t="shared" si="19"/>
        <v>3472</v>
      </c>
      <c r="AL48" s="929">
        <f t="shared" si="20"/>
        <v>56281</v>
      </c>
      <c r="AM48" s="929">
        <f t="shared" si="21"/>
        <v>59753</v>
      </c>
      <c r="AN48" s="929">
        <f t="shared" si="22"/>
        <v>1167</v>
      </c>
      <c r="AO48" s="929">
        <f t="shared" si="23"/>
        <v>11240</v>
      </c>
      <c r="AP48" s="929">
        <f t="shared" si="24"/>
        <v>12407</v>
      </c>
      <c r="AR48" s="930">
        <f t="shared" si="25"/>
        <v>6.8547577958823297E-2</v>
      </c>
      <c r="AS48" s="930">
        <f t="shared" si="26"/>
        <v>5.8105869161381017E-2</v>
      </c>
      <c r="AT48" s="930">
        <f t="shared" si="27"/>
        <v>9.4059804948819214E-2</v>
      </c>
      <c r="AV48" s="931">
        <v>24344</v>
      </c>
      <c r="AW48" s="931">
        <v>62242</v>
      </c>
      <c r="AX48" s="931">
        <v>13756</v>
      </c>
      <c r="AZ48" s="931">
        <f t="shared" si="28"/>
        <v>1668.7222378295944</v>
      </c>
      <c r="BA48" s="931">
        <f t="shared" si="29"/>
        <v>3616.6255083426772</v>
      </c>
      <c r="BB48" s="931">
        <f t="shared" si="30"/>
        <v>1293.8866768759572</v>
      </c>
      <c r="BC48" s="948">
        <f t="shared" si="15"/>
        <v>6579.2344230482286</v>
      </c>
    </row>
    <row r="49" spans="1:55" s="928" customFormat="1" ht="12" customHeight="1" x14ac:dyDescent="0.2">
      <c r="A49" s="928" t="s">
        <v>110</v>
      </c>
      <c r="B49" s="932" t="s">
        <v>484</v>
      </c>
      <c r="C49" s="945">
        <v>5472</v>
      </c>
      <c r="D49" s="929">
        <v>19017</v>
      </c>
      <c r="E49" s="929">
        <v>24489</v>
      </c>
      <c r="F49" s="929">
        <v>4855</v>
      </c>
      <c r="G49" s="929">
        <v>18484</v>
      </c>
      <c r="H49" s="929">
        <v>23339</v>
      </c>
      <c r="I49" s="929">
        <v>4382</v>
      </c>
      <c r="J49" s="929">
        <v>20800</v>
      </c>
      <c r="K49" s="929">
        <v>25182</v>
      </c>
      <c r="L49" s="929">
        <v>5775</v>
      </c>
      <c r="M49" s="929">
        <v>18601</v>
      </c>
      <c r="N49" s="929">
        <v>24376</v>
      </c>
      <c r="O49" s="929">
        <v>5962</v>
      </c>
      <c r="P49" s="929">
        <v>37317</v>
      </c>
      <c r="Q49" s="929">
        <v>43279</v>
      </c>
      <c r="R49" s="929">
        <v>4215</v>
      </c>
      <c r="S49" s="929">
        <v>40052</v>
      </c>
      <c r="T49" s="929">
        <v>44267</v>
      </c>
      <c r="U49" s="929">
        <v>3973</v>
      </c>
      <c r="V49" s="929">
        <v>41508</v>
      </c>
      <c r="W49" s="929">
        <v>45481</v>
      </c>
      <c r="X49" s="929">
        <v>2618</v>
      </c>
      <c r="Y49" s="929">
        <v>31667</v>
      </c>
      <c r="Z49" s="929">
        <v>34285</v>
      </c>
      <c r="AA49" s="929">
        <v>1812</v>
      </c>
      <c r="AB49" s="929">
        <v>16352</v>
      </c>
      <c r="AC49" s="929">
        <v>18164</v>
      </c>
      <c r="AD49" s="929">
        <v>1583</v>
      </c>
      <c r="AE49" s="929">
        <v>15236</v>
      </c>
      <c r="AF49" s="929">
        <v>16819</v>
      </c>
      <c r="AH49" s="929">
        <f t="shared" si="16"/>
        <v>14709</v>
      </c>
      <c r="AI49" s="929">
        <f t="shared" si="17"/>
        <v>58301</v>
      </c>
      <c r="AJ49" s="929">
        <f t="shared" si="18"/>
        <v>73010</v>
      </c>
      <c r="AK49" s="929">
        <f t="shared" si="19"/>
        <v>22543</v>
      </c>
      <c r="AL49" s="929">
        <f t="shared" si="20"/>
        <v>169145</v>
      </c>
      <c r="AM49" s="929">
        <f t="shared" si="21"/>
        <v>191688</v>
      </c>
      <c r="AN49" s="929">
        <f t="shared" si="22"/>
        <v>3395</v>
      </c>
      <c r="AO49" s="929">
        <f t="shared" si="23"/>
        <v>31588</v>
      </c>
      <c r="AP49" s="929">
        <f t="shared" si="24"/>
        <v>34983</v>
      </c>
      <c r="AR49" s="930">
        <f t="shared" si="25"/>
        <v>0.20146555266401864</v>
      </c>
      <c r="AS49" s="930">
        <f t="shared" si="26"/>
        <v>0.11760256249739159</v>
      </c>
      <c r="AT49" s="930">
        <f t="shared" si="27"/>
        <v>9.704713718091644E-2</v>
      </c>
      <c r="AV49" s="931">
        <v>74013</v>
      </c>
      <c r="AW49" s="931">
        <v>197231</v>
      </c>
      <c r="AX49" s="931">
        <v>39201</v>
      </c>
      <c r="AZ49" s="931">
        <f t="shared" si="28"/>
        <v>14911.069949322011</v>
      </c>
      <c r="BA49" s="931">
        <f t="shared" si="29"/>
        <v>23194.871003923043</v>
      </c>
      <c r="BB49" s="931">
        <f t="shared" si="30"/>
        <v>3804.3448246291055</v>
      </c>
      <c r="BC49" s="948">
        <f t="shared" si="15"/>
        <v>41910.28577787416</v>
      </c>
    </row>
    <row r="50" spans="1:55" s="928" customFormat="1" ht="12" customHeight="1" x14ac:dyDescent="0.2">
      <c r="A50" s="928" t="s">
        <v>112</v>
      </c>
      <c r="B50" s="932" t="s">
        <v>754</v>
      </c>
      <c r="C50" s="945">
        <v>2351</v>
      </c>
      <c r="D50" s="929">
        <v>2243</v>
      </c>
      <c r="E50" s="929">
        <v>4594</v>
      </c>
      <c r="F50" s="929">
        <v>1817</v>
      </c>
      <c r="G50" s="929">
        <v>2683</v>
      </c>
      <c r="H50" s="929">
        <v>4500</v>
      </c>
      <c r="I50" s="929">
        <v>1966</v>
      </c>
      <c r="J50" s="929">
        <v>3054</v>
      </c>
      <c r="K50" s="929">
        <v>5020</v>
      </c>
      <c r="L50" s="929">
        <v>1596</v>
      </c>
      <c r="M50" s="929">
        <v>3319</v>
      </c>
      <c r="N50" s="929">
        <v>4915</v>
      </c>
      <c r="O50" s="929">
        <v>2083</v>
      </c>
      <c r="P50" s="929">
        <v>4680</v>
      </c>
      <c r="Q50" s="929">
        <v>6763</v>
      </c>
      <c r="R50" s="929">
        <v>2350</v>
      </c>
      <c r="S50" s="929">
        <v>6545</v>
      </c>
      <c r="T50" s="929">
        <v>8895</v>
      </c>
      <c r="U50" s="929">
        <v>2188</v>
      </c>
      <c r="V50" s="929">
        <v>8425</v>
      </c>
      <c r="W50" s="929">
        <v>10613</v>
      </c>
      <c r="X50" s="929">
        <v>1648</v>
      </c>
      <c r="Y50" s="929">
        <v>7626</v>
      </c>
      <c r="Z50" s="929">
        <v>9274</v>
      </c>
      <c r="AA50" s="929">
        <v>1059</v>
      </c>
      <c r="AB50" s="929">
        <v>6049</v>
      </c>
      <c r="AC50" s="929">
        <v>7108</v>
      </c>
      <c r="AD50" s="929">
        <v>1443</v>
      </c>
      <c r="AE50" s="929">
        <v>4187</v>
      </c>
      <c r="AF50" s="929">
        <v>5630</v>
      </c>
      <c r="AH50" s="929">
        <f t="shared" si="16"/>
        <v>6134</v>
      </c>
      <c r="AI50" s="929">
        <f t="shared" si="17"/>
        <v>7980</v>
      </c>
      <c r="AJ50" s="929">
        <f t="shared" si="18"/>
        <v>14114</v>
      </c>
      <c r="AK50" s="929">
        <f t="shared" si="19"/>
        <v>9865</v>
      </c>
      <c r="AL50" s="929">
        <f t="shared" si="20"/>
        <v>30595</v>
      </c>
      <c r="AM50" s="929">
        <f t="shared" si="21"/>
        <v>40460</v>
      </c>
      <c r="AN50" s="929">
        <f t="shared" si="22"/>
        <v>2502</v>
      </c>
      <c r="AO50" s="929">
        <f t="shared" si="23"/>
        <v>10236</v>
      </c>
      <c r="AP50" s="929">
        <f t="shared" si="24"/>
        <v>12738</v>
      </c>
      <c r="AR50" s="930">
        <f t="shared" si="25"/>
        <v>0.434603939350999</v>
      </c>
      <c r="AS50" s="930">
        <f t="shared" si="26"/>
        <v>0.24382105783489866</v>
      </c>
      <c r="AT50" s="930">
        <f t="shared" si="27"/>
        <v>0.19642016015073011</v>
      </c>
      <c r="AV50" s="931">
        <v>10889</v>
      </c>
      <c r="AW50" s="931">
        <v>31886</v>
      </c>
      <c r="AX50" s="931">
        <v>10966</v>
      </c>
      <c r="AZ50" s="931">
        <f t="shared" si="28"/>
        <v>4732.4022955930277</v>
      </c>
      <c r="BA50" s="931">
        <f t="shared" si="29"/>
        <v>7774.4782501235786</v>
      </c>
      <c r="BB50" s="931">
        <f t="shared" si="30"/>
        <v>2153.9434762129063</v>
      </c>
      <c r="BC50" s="948">
        <f t="shared" si="15"/>
        <v>14660.824021929511</v>
      </c>
    </row>
    <row r="51" spans="1:55" s="928" customFormat="1" ht="12" customHeight="1" x14ac:dyDescent="0.2">
      <c r="A51" s="928" t="s">
        <v>114</v>
      </c>
      <c r="B51" s="932" t="s">
        <v>485</v>
      </c>
      <c r="C51" s="945">
        <v>6</v>
      </c>
      <c r="D51" s="929">
        <v>70</v>
      </c>
      <c r="E51" s="929">
        <v>76</v>
      </c>
      <c r="F51" s="929">
        <v>10</v>
      </c>
      <c r="G51" s="929">
        <v>90</v>
      </c>
      <c r="H51" s="929">
        <v>100</v>
      </c>
      <c r="I51" s="929">
        <v>15</v>
      </c>
      <c r="J51" s="929">
        <v>130</v>
      </c>
      <c r="K51" s="929">
        <v>145</v>
      </c>
      <c r="L51" s="929">
        <v>9</v>
      </c>
      <c r="M51" s="929">
        <v>50</v>
      </c>
      <c r="N51" s="929">
        <v>59</v>
      </c>
      <c r="O51" s="929">
        <v>10</v>
      </c>
      <c r="P51" s="929">
        <v>84</v>
      </c>
      <c r="Q51" s="929">
        <v>94</v>
      </c>
      <c r="R51" s="929">
        <v>32</v>
      </c>
      <c r="S51" s="929">
        <v>291</v>
      </c>
      <c r="T51" s="929">
        <v>323</v>
      </c>
      <c r="U51" s="929">
        <v>86</v>
      </c>
      <c r="V51" s="929">
        <v>292</v>
      </c>
      <c r="W51" s="929">
        <v>378</v>
      </c>
      <c r="X51" s="929">
        <v>26</v>
      </c>
      <c r="Y51" s="929">
        <v>504</v>
      </c>
      <c r="Z51" s="929">
        <v>530</v>
      </c>
      <c r="AA51" s="929">
        <v>45</v>
      </c>
      <c r="AB51" s="929">
        <v>387</v>
      </c>
      <c r="AC51" s="929">
        <v>432</v>
      </c>
      <c r="AD51" s="929">
        <v>45</v>
      </c>
      <c r="AE51" s="929">
        <v>168</v>
      </c>
      <c r="AF51" s="929">
        <v>213</v>
      </c>
      <c r="AH51" s="929">
        <f t="shared" si="16"/>
        <v>31</v>
      </c>
      <c r="AI51" s="929">
        <f t="shared" si="17"/>
        <v>290</v>
      </c>
      <c r="AJ51" s="929">
        <f t="shared" si="18"/>
        <v>321</v>
      </c>
      <c r="AK51" s="929">
        <f t="shared" si="19"/>
        <v>163</v>
      </c>
      <c r="AL51" s="929">
        <f t="shared" si="20"/>
        <v>1221</v>
      </c>
      <c r="AM51" s="929">
        <f t="shared" si="21"/>
        <v>1384</v>
      </c>
      <c r="AN51" s="929">
        <f t="shared" si="22"/>
        <v>90</v>
      </c>
      <c r="AO51" s="929">
        <f t="shared" si="23"/>
        <v>555</v>
      </c>
      <c r="AP51" s="929">
        <f t="shared" si="24"/>
        <v>645</v>
      </c>
      <c r="AR51" s="930">
        <f t="shared" si="25"/>
        <v>9.657320872274143E-2</v>
      </c>
      <c r="AS51" s="930">
        <f t="shared" si="26"/>
        <v>0.11777456647398844</v>
      </c>
      <c r="AT51" s="930">
        <f t="shared" si="27"/>
        <v>0.13953488372093023</v>
      </c>
      <c r="AV51" s="931">
        <v>321</v>
      </c>
      <c r="AW51" s="931">
        <v>1344</v>
      </c>
      <c r="AX51" s="931">
        <v>602</v>
      </c>
      <c r="AZ51" s="931">
        <f t="shared" si="28"/>
        <v>31</v>
      </c>
      <c r="BA51" s="931">
        <f t="shared" si="29"/>
        <v>158.28901734104048</v>
      </c>
      <c r="BB51" s="931">
        <f t="shared" si="30"/>
        <v>84</v>
      </c>
      <c r="BC51" s="948">
        <f t="shared" si="15"/>
        <v>273.28901734104045</v>
      </c>
    </row>
    <row r="52" spans="1:55" s="928" customFormat="1" ht="12" customHeight="1" x14ac:dyDescent="0.2">
      <c r="A52" s="928" t="s">
        <v>118</v>
      </c>
      <c r="B52" s="932" t="s">
        <v>755</v>
      </c>
      <c r="C52" s="945">
        <v>593</v>
      </c>
      <c r="D52" s="929">
        <v>1768</v>
      </c>
      <c r="E52" s="929">
        <v>2361</v>
      </c>
      <c r="F52" s="929">
        <v>341</v>
      </c>
      <c r="G52" s="929">
        <v>2572</v>
      </c>
      <c r="H52" s="929">
        <v>2913</v>
      </c>
      <c r="I52" s="929">
        <v>354</v>
      </c>
      <c r="J52" s="929">
        <v>2329</v>
      </c>
      <c r="K52" s="929">
        <v>2683</v>
      </c>
      <c r="L52" s="929">
        <v>336</v>
      </c>
      <c r="M52" s="929">
        <v>2115</v>
      </c>
      <c r="N52" s="929">
        <v>2451</v>
      </c>
      <c r="O52" s="929">
        <v>322</v>
      </c>
      <c r="P52" s="929">
        <v>2856</v>
      </c>
      <c r="Q52" s="929">
        <v>3178</v>
      </c>
      <c r="R52" s="929">
        <v>508</v>
      </c>
      <c r="S52" s="929">
        <v>4327</v>
      </c>
      <c r="T52" s="929">
        <v>4835</v>
      </c>
      <c r="U52" s="929">
        <v>511</v>
      </c>
      <c r="V52" s="929">
        <v>6018</v>
      </c>
      <c r="W52" s="929">
        <v>6529</v>
      </c>
      <c r="X52" s="929">
        <v>630</v>
      </c>
      <c r="Y52" s="929">
        <v>4453</v>
      </c>
      <c r="Z52" s="929">
        <v>5083</v>
      </c>
      <c r="AA52" s="929">
        <v>208</v>
      </c>
      <c r="AB52" s="929">
        <v>2740</v>
      </c>
      <c r="AC52" s="929">
        <v>2948</v>
      </c>
      <c r="AD52" s="929">
        <v>342</v>
      </c>
      <c r="AE52" s="929">
        <v>1616</v>
      </c>
      <c r="AF52" s="929">
        <v>1958</v>
      </c>
      <c r="AH52" s="929">
        <f t="shared" si="16"/>
        <v>1288</v>
      </c>
      <c r="AI52" s="929">
        <f t="shared" si="17"/>
        <v>6669</v>
      </c>
      <c r="AJ52" s="929">
        <f t="shared" si="18"/>
        <v>7957</v>
      </c>
      <c r="AK52" s="929">
        <f t="shared" si="19"/>
        <v>2307</v>
      </c>
      <c r="AL52" s="929">
        <f t="shared" si="20"/>
        <v>19769</v>
      </c>
      <c r="AM52" s="929">
        <f t="shared" si="21"/>
        <v>22076</v>
      </c>
      <c r="AN52" s="929">
        <f t="shared" si="22"/>
        <v>550</v>
      </c>
      <c r="AO52" s="929">
        <f t="shared" si="23"/>
        <v>4356</v>
      </c>
      <c r="AP52" s="929">
        <f t="shared" si="24"/>
        <v>4906</v>
      </c>
      <c r="AR52" s="930">
        <f t="shared" si="25"/>
        <v>0.16187005152695741</v>
      </c>
      <c r="AS52" s="930">
        <f t="shared" si="26"/>
        <v>0.10450262728755209</v>
      </c>
      <c r="AT52" s="930">
        <f t="shared" si="27"/>
        <v>0.11210762331838565</v>
      </c>
      <c r="AV52" s="931">
        <v>7808</v>
      </c>
      <c r="AW52" s="931">
        <v>22111</v>
      </c>
      <c r="AX52" s="931">
        <v>5437</v>
      </c>
      <c r="AZ52" s="931">
        <f t="shared" si="28"/>
        <v>1263.8813623224835</v>
      </c>
      <c r="BA52" s="931">
        <f t="shared" si="29"/>
        <v>2310.6575919550642</v>
      </c>
      <c r="BB52" s="931">
        <f t="shared" si="30"/>
        <v>609.5291479820628</v>
      </c>
      <c r="BC52" s="948">
        <f t="shared" si="15"/>
        <v>4184.06810225961</v>
      </c>
    </row>
    <row r="53" spans="1:55" s="928" customFormat="1" ht="12" customHeight="1" x14ac:dyDescent="0.2">
      <c r="A53" s="928" t="s">
        <v>120</v>
      </c>
      <c r="B53" s="932" t="s">
        <v>285</v>
      </c>
      <c r="C53" s="945">
        <v>802</v>
      </c>
      <c r="D53" s="929">
        <v>3257</v>
      </c>
      <c r="E53" s="929">
        <v>4059</v>
      </c>
      <c r="F53" s="929">
        <v>707</v>
      </c>
      <c r="G53" s="929">
        <v>4065</v>
      </c>
      <c r="H53" s="929">
        <v>4772</v>
      </c>
      <c r="I53" s="929">
        <v>525</v>
      </c>
      <c r="J53" s="929">
        <v>4851</v>
      </c>
      <c r="K53" s="929">
        <v>5376</v>
      </c>
      <c r="L53" s="929">
        <v>843</v>
      </c>
      <c r="M53" s="929">
        <v>3679</v>
      </c>
      <c r="N53" s="929">
        <v>4522</v>
      </c>
      <c r="O53" s="929">
        <v>636</v>
      </c>
      <c r="P53" s="929">
        <v>5556</v>
      </c>
      <c r="Q53" s="929">
        <v>6192</v>
      </c>
      <c r="R53" s="929">
        <v>611</v>
      </c>
      <c r="S53" s="929">
        <v>7290</v>
      </c>
      <c r="T53" s="929">
        <v>7901</v>
      </c>
      <c r="U53" s="929">
        <v>459</v>
      </c>
      <c r="V53" s="929">
        <v>9228</v>
      </c>
      <c r="W53" s="929">
        <v>9687</v>
      </c>
      <c r="X53" s="929">
        <v>435</v>
      </c>
      <c r="Y53" s="929">
        <v>9043</v>
      </c>
      <c r="Z53" s="929">
        <v>9478</v>
      </c>
      <c r="AA53" s="929">
        <v>157</v>
      </c>
      <c r="AB53" s="929">
        <v>7084</v>
      </c>
      <c r="AC53" s="929">
        <v>7241</v>
      </c>
      <c r="AD53" s="929">
        <v>241</v>
      </c>
      <c r="AE53" s="929">
        <v>5543</v>
      </c>
      <c r="AF53" s="929">
        <v>5784</v>
      </c>
      <c r="AH53" s="929">
        <f t="shared" si="16"/>
        <v>2034</v>
      </c>
      <c r="AI53" s="929">
        <f t="shared" si="17"/>
        <v>12173</v>
      </c>
      <c r="AJ53" s="929">
        <f t="shared" si="18"/>
        <v>14207</v>
      </c>
      <c r="AK53" s="929">
        <f t="shared" si="19"/>
        <v>2984</v>
      </c>
      <c r="AL53" s="929">
        <f t="shared" si="20"/>
        <v>34796</v>
      </c>
      <c r="AM53" s="929">
        <f t="shared" si="21"/>
        <v>37780</v>
      </c>
      <c r="AN53" s="929">
        <f t="shared" si="22"/>
        <v>398</v>
      </c>
      <c r="AO53" s="929">
        <f t="shared" si="23"/>
        <v>12627</v>
      </c>
      <c r="AP53" s="929">
        <f t="shared" si="24"/>
        <v>13025</v>
      </c>
      <c r="AR53" s="930">
        <f t="shared" si="25"/>
        <v>0.14316886042091925</v>
      </c>
      <c r="AS53" s="930">
        <f t="shared" si="26"/>
        <v>7.8983589200635251E-2</v>
      </c>
      <c r="AT53" s="930">
        <f t="shared" si="27"/>
        <v>3.0556621880998079E-2</v>
      </c>
      <c r="AV53" s="931">
        <v>14335</v>
      </c>
      <c r="AW53" s="931">
        <v>39213</v>
      </c>
      <c r="AX53" s="931">
        <v>14652</v>
      </c>
      <c r="AZ53" s="931">
        <f t="shared" si="28"/>
        <v>2052.3256141338775</v>
      </c>
      <c r="BA53" s="931">
        <f t="shared" si="29"/>
        <v>3097.1834833245102</v>
      </c>
      <c r="BB53" s="931">
        <f t="shared" si="30"/>
        <v>447.71562380038387</v>
      </c>
      <c r="BC53" s="948">
        <f t="shared" si="15"/>
        <v>5597.2247212587708</v>
      </c>
    </row>
    <row r="54" spans="1:55" s="928" customFormat="1" ht="12" customHeight="1" x14ac:dyDescent="0.2">
      <c r="A54" s="928" t="s">
        <v>122</v>
      </c>
      <c r="B54" s="932" t="s">
        <v>756</v>
      </c>
      <c r="C54" s="945">
        <v>184</v>
      </c>
      <c r="D54" s="929">
        <v>280</v>
      </c>
      <c r="E54" s="929">
        <v>464</v>
      </c>
      <c r="F54" s="929">
        <v>121</v>
      </c>
      <c r="G54" s="929">
        <v>263</v>
      </c>
      <c r="H54" s="929">
        <v>384</v>
      </c>
      <c r="I54" s="929">
        <v>50</v>
      </c>
      <c r="J54" s="929">
        <v>537</v>
      </c>
      <c r="K54" s="929">
        <v>587</v>
      </c>
      <c r="L54" s="929">
        <v>73</v>
      </c>
      <c r="M54" s="929">
        <v>491</v>
      </c>
      <c r="N54" s="929">
        <v>564</v>
      </c>
      <c r="O54" s="929">
        <v>57</v>
      </c>
      <c r="P54" s="929">
        <v>434</v>
      </c>
      <c r="Q54" s="929">
        <v>491</v>
      </c>
      <c r="R54" s="929">
        <v>96</v>
      </c>
      <c r="S54" s="929">
        <v>864</v>
      </c>
      <c r="T54" s="929">
        <v>960</v>
      </c>
      <c r="U54" s="929">
        <v>106</v>
      </c>
      <c r="V54" s="929">
        <v>1136</v>
      </c>
      <c r="W54" s="929">
        <v>1242</v>
      </c>
      <c r="X54" s="929">
        <v>138</v>
      </c>
      <c r="Y54" s="929">
        <v>929</v>
      </c>
      <c r="Z54" s="929">
        <v>1067</v>
      </c>
      <c r="AA54" s="929">
        <v>67</v>
      </c>
      <c r="AB54" s="929">
        <v>598</v>
      </c>
      <c r="AC54" s="929">
        <v>665</v>
      </c>
      <c r="AD54" s="929">
        <v>125</v>
      </c>
      <c r="AE54" s="929">
        <v>397</v>
      </c>
      <c r="AF54" s="929">
        <v>522</v>
      </c>
      <c r="AH54" s="929">
        <f t="shared" si="16"/>
        <v>355</v>
      </c>
      <c r="AI54" s="929">
        <f t="shared" si="17"/>
        <v>1080</v>
      </c>
      <c r="AJ54" s="929">
        <f t="shared" si="18"/>
        <v>1435</v>
      </c>
      <c r="AK54" s="929">
        <f t="shared" si="19"/>
        <v>470</v>
      </c>
      <c r="AL54" s="929">
        <f t="shared" si="20"/>
        <v>3854</v>
      </c>
      <c r="AM54" s="929">
        <f t="shared" si="21"/>
        <v>4324</v>
      </c>
      <c r="AN54" s="929">
        <f t="shared" si="22"/>
        <v>192</v>
      </c>
      <c r="AO54" s="929">
        <f t="shared" si="23"/>
        <v>995</v>
      </c>
      <c r="AP54" s="929">
        <f t="shared" si="24"/>
        <v>1187</v>
      </c>
      <c r="AR54" s="930">
        <f t="shared" si="25"/>
        <v>0.24738675958188153</v>
      </c>
      <c r="AS54" s="930">
        <f t="shared" si="26"/>
        <v>0.10869565217391304</v>
      </c>
      <c r="AT54" s="930">
        <f t="shared" si="27"/>
        <v>0.16175231676495366</v>
      </c>
      <c r="AV54" s="931">
        <v>1382</v>
      </c>
      <c r="AW54" s="931">
        <v>4333</v>
      </c>
      <c r="AX54" s="931">
        <v>1282</v>
      </c>
      <c r="AZ54" s="931">
        <f t="shared" si="28"/>
        <v>341.88850174216026</v>
      </c>
      <c r="BA54" s="931">
        <f t="shared" si="29"/>
        <v>470.97826086956519</v>
      </c>
      <c r="BB54" s="931">
        <f t="shared" si="30"/>
        <v>207.3664700926706</v>
      </c>
      <c r="BC54" s="948">
        <f t="shared" si="15"/>
        <v>1020.2332327043961</v>
      </c>
    </row>
    <row r="55" spans="1:55" s="928" customFormat="1" ht="12" customHeight="1" x14ac:dyDescent="0.2">
      <c r="A55" s="928" t="s">
        <v>124</v>
      </c>
      <c r="B55" s="932" t="s">
        <v>488</v>
      </c>
      <c r="C55" s="945">
        <v>418</v>
      </c>
      <c r="D55" s="929">
        <v>1623</v>
      </c>
      <c r="E55" s="929">
        <v>2041</v>
      </c>
      <c r="F55" s="929">
        <v>266</v>
      </c>
      <c r="G55" s="929">
        <v>1933</v>
      </c>
      <c r="H55" s="929">
        <v>2199</v>
      </c>
      <c r="I55" s="929">
        <v>204</v>
      </c>
      <c r="J55" s="929">
        <v>2018</v>
      </c>
      <c r="K55" s="929">
        <v>2222</v>
      </c>
      <c r="L55" s="929">
        <v>332</v>
      </c>
      <c r="M55" s="929">
        <v>1271</v>
      </c>
      <c r="N55" s="929">
        <v>1603</v>
      </c>
      <c r="O55" s="929">
        <v>241</v>
      </c>
      <c r="P55" s="929">
        <v>2558</v>
      </c>
      <c r="Q55" s="929">
        <v>2799</v>
      </c>
      <c r="R55" s="929">
        <v>210</v>
      </c>
      <c r="S55" s="929">
        <v>3370</v>
      </c>
      <c r="T55" s="929">
        <v>3580</v>
      </c>
      <c r="U55" s="929">
        <v>127</v>
      </c>
      <c r="V55" s="929">
        <v>3653</v>
      </c>
      <c r="W55" s="929">
        <v>3780</v>
      </c>
      <c r="X55" s="929">
        <v>151</v>
      </c>
      <c r="Y55" s="929">
        <v>2288</v>
      </c>
      <c r="Z55" s="929">
        <v>2439</v>
      </c>
      <c r="AA55" s="929">
        <v>100</v>
      </c>
      <c r="AB55" s="929">
        <v>1369</v>
      </c>
      <c r="AC55" s="929">
        <v>1469</v>
      </c>
      <c r="AD55" s="929">
        <v>61</v>
      </c>
      <c r="AE55" s="929">
        <v>668</v>
      </c>
      <c r="AF55" s="929">
        <v>729</v>
      </c>
      <c r="AH55" s="929">
        <f t="shared" si="16"/>
        <v>888</v>
      </c>
      <c r="AI55" s="929">
        <f t="shared" si="17"/>
        <v>5574</v>
      </c>
      <c r="AJ55" s="929">
        <f t="shared" si="18"/>
        <v>6462</v>
      </c>
      <c r="AK55" s="929">
        <f t="shared" si="19"/>
        <v>1061</v>
      </c>
      <c r="AL55" s="929">
        <f t="shared" si="20"/>
        <v>13140</v>
      </c>
      <c r="AM55" s="929">
        <f t="shared" si="21"/>
        <v>14201</v>
      </c>
      <c r="AN55" s="929">
        <f t="shared" si="22"/>
        <v>161</v>
      </c>
      <c r="AO55" s="929">
        <f t="shared" si="23"/>
        <v>2037</v>
      </c>
      <c r="AP55" s="929">
        <f t="shared" si="24"/>
        <v>2198</v>
      </c>
      <c r="AR55" s="930">
        <f t="shared" si="25"/>
        <v>0.13741875580315691</v>
      </c>
      <c r="AS55" s="930">
        <f t="shared" si="26"/>
        <v>7.4713048376874869E-2</v>
      </c>
      <c r="AT55" s="930">
        <f t="shared" si="27"/>
        <v>7.32484076433121E-2</v>
      </c>
      <c r="AV55" s="931">
        <v>6530</v>
      </c>
      <c r="AW55" s="931">
        <v>15111</v>
      </c>
      <c r="AX55" s="931">
        <v>2520</v>
      </c>
      <c r="AZ55" s="931">
        <f t="shared" si="28"/>
        <v>897.34447539461462</v>
      </c>
      <c r="BA55" s="931">
        <f t="shared" si="29"/>
        <v>1128.9888740229562</v>
      </c>
      <c r="BB55" s="931">
        <f t="shared" si="30"/>
        <v>184.5859872611465</v>
      </c>
      <c r="BC55" s="948">
        <f t="shared" si="15"/>
        <v>2210.9193366787172</v>
      </c>
    </row>
    <row r="56" spans="1:55" s="928" customFormat="1" ht="12" customHeight="1" x14ac:dyDescent="0.2">
      <c r="A56" s="928" t="s">
        <v>126</v>
      </c>
      <c r="B56" s="932" t="s">
        <v>489</v>
      </c>
      <c r="C56" s="945">
        <v>24</v>
      </c>
      <c r="D56" s="929">
        <v>1107</v>
      </c>
      <c r="E56" s="929">
        <v>1131</v>
      </c>
      <c r="F56" s="929">
        <v>227</v>
      </c>
      <c r="G56" s="929">
        <v>1333</v>
      </c>
      <c r="H56" s="929">
        <v>1560</v>
      </c>
      <c r="I56" s="929">
        <v>192</v>
      </c>
      <c r="J56" s="929">
        <v>972</v>
      </c>
      <c r="K56" s="929">
        <v>1164</v>
      </c>
      <c r="L56" s="929">
        <v>183</v>
      </c>
      <c r="M56" s="929">
        <v>1053</v>
      </c>
      <c r="N56" s="929">
        <v>1236</v>
      </c>
      <c r="O56" s="929">
        <v>70</v>
      </c>
      <c r="P56" s="929">
        <v>1790</v>
      </c>
      <c r="Q56" s="929">
        <v>1860</v>
      </c>
      <c r="R56" s="929">
        <v>211</v>
      </c>
      <c r="S56" s="929">
        <v>2126</v>
      </c>
      <c r="T56" s="929">
        <v>2337</v>
      </c>
      <c r="U56" s="929">
        <v>175</v>
      </c>
      <c r="V56" s="929">
        <v>2319</v>
      </c>
      <c r="W56" s="929">
        <v>2494</v>
      </c>
      <c r="X56" s="929">
        <v>93</v>
      </c>
      <c r="Y56" s="929">
        <v>1921</v>
      </c>
      <c r="Z56" s="929">
        <v>2014</v>
      </c>
      <c r="AA56" s="929">
        <v>99</v>
      </c>
      <c r="AB56" s="929">
        <v>1002</v>
      </c>
      <c r="AC56" s="929">
        <v>1101</v>
      </c>
      <c r="AD56" s="929">
        <v>149</v>
      </c>
      <c r="AE56" s="929">
        <v>591</v>
      </c>
      <c r="AF56" s="929">
        <v>740</v>
      </c>
      <c r="AH56" s="929">
        <f t="shared" si="16"/>
        <v>443</v>
      </c>
      <c r="AI56" s="929">
        <f t="shared" si="17"/>
        <v>3412</v>
      </c>
      <c r="AJ56" s="929">
        <f t="shared" si="18"/>
        <v>3855</v>
      </c>
      <c r="AK56" s="929">
        <f t="shared" si="19"/>
        <v>732</v>
      </c>
      <c r="AL56" s="929">
        <f t="shared" si="20"/>
        <v>9209</v>
      </c>
      <c r="AM56" s="929">
        <f t="shared" si="21"/>
        <v>9941</v>
      </c>
      <c r="AN56" s="929">
        <f t="shared" si="22"/>
        <v>248</v>
      </c>
      <c r="AO56" s="929">
        <f t="shared" si="23"/>
        <v>1593</v>
      </c>
      <c r="AP56" s="929">
        <f t="shared" si="24"/>
        <v>1841</v>
      </c>
      <c r="AR56" s="930">
        <f t="shared" si="25"/>
        <v>0.11491569390402075</v>
      </c>
      <c r="AS56" s="930">
        <f t="shared" si="26"/>
        <v>7.3634443214968315E-2</v>
      </c>
      <c r="AT56" s="930">
        <f t="shared" si="27"/>
        <v>0.13470939706681151</v>
      </c>
      <c r="AV56" s="931">
        <v>3887</v>
      </c>
      <c r="AW56" s="931">
        <v>10093</v>
      </c>
      <c r="AX56" s="931">
        <v>2001</v>
      </c>
      <c r="AZ56" s="931">
        <f t="shared" si="28"/>
        <v>446.67730220492865</v>
      </c>
      <c r="BA56" s="931">
        <f t="shared" si="29"/>
        <v>743.19243536867521</v>
      </c>
      <c r="BB56" s="931">
        <f t="shared" si="30"/>
        <v>269.55350353068985</v>
      </c>
      <c r="BC56" s="948">
        <f t="shared" si="15"/>
        <v>1459.4232411042935</v>
      </c>
    </row>
    <row r="57" spans="1:55" s="928" customFormat="1" ht="12" customHeight="1" x14ac:dyDescent="0.2">
      <c r="A57" s="928" t="s">
        <v>128</v>
      </c>
      <c r="B57" s="932" t="s">
        <v>490</v>
      </c>
      <c r="C57" s="945">
        <v>174</v>
      </c>
      <c r="D57" s="929">
        <v>340</v>
      </c>
      <c r="E57" s="929">
        <v>514</v>
      </c>
      <c r="F57" s="929">
        <v>103</v>
      </c>
      <c r="G57" s="929">
        <v>366</v>
      </c>
      <c r="H57" s="929">
        <v>469</v>
      </c>
      <c r="I57" s="929">
        <v>189</v>
      </c>
      <c r="J57" s="929">
        <v>520</v>
      </c>
      <c r="K57" s="929">
        <v>709</v>
      </c>
      <c r="L57" s="929">
        <v>98</v>
      </c>
      <c r="M57" s="929">
        <v>447</v>
      </c>
      <c r="N57" s="929">
        <v>545</v>
      </c>
      <c r="O57" s="929">
        <v>145</v>
      </c>
      <c r="P57" s="929">
        <v>632</v>
      </c>
      <c r="Q57" s="929">
        <v>777</v>
      </c>
      <c r="R57" s="929">
        <v>197</v>
      </c>
      <c r="S57" s="929">
        <v>787</v>
      </c>
      <c r="T57" s="929">
        <v>984</v>
      </c>
      <c r="U57" s="929">
        <v>127</v>
      </c>
      <c r="V57" s="929">
        <v>1617</v>
      </c>
      <c r="W57" s="929">
        <v>1744</v>
      </c>
      <c r="X57" s="929">
        <v>73</v>
      </c>
      <c r="Y57" s="929">
        <v>1891</v>
      </c>
      <c r="Z57" s="929">
        <v>1964</v>
      </c>
      <c r="AA57" s="929">
        <v>251</v>
      </c>
      <c r="AB57" s="929">
        <v>1517</v>
      </c>
      <c r="AC57" s="929">
        <v>1768</v>
      </c>
      <c r="AD57" s="929">
        <v>232</v>
      </c>
      <c r="AE57" s="929">
        <v>1278</v>
      </c>
      <c r="AF57" s="929">
        <v>1510</v>
      </c>
      <c r="AH57" s="929">
        <f t="shared" si="16"/>
        <v>466</v>
      </c>
      <c r="AI57" s="929">
        <f t="shared" si="17"/>
        <v>1226</v>
      </c>
      <c r="AJ57" s="929">
        <f t="shared" si="18"/>
        <v>1692</v>
      </c>
      <c r="AK57" s="929">
        <f t="shared" si="19"/>
        <v>640</v>
      </c>
      <c r="AL57" s="929">
        <f t="shared" si="20"/>
        <v>5374</v>
      </c>
      <c r="AM57" s="929">
        <f t="shared" si="21"/>
        <v>6014</v>
      </c>
      <c r="AN57" s="929">
        <f t="shared" si="22"/>
        <v>483</v>
      </c>
      <c r="AO57" s="929">
        <f t="shared" si="23"/>
        <v>2795</v>
      </c>
      <c r="AP57" s="929">
        <f t="shared" si="24"/>
        <v>3278</v>
      </c>
      <c r="AR57" s="930">
        <f t="shared" si="25"/>
        <v>0.27541371158392436</v>
      </c>
      <c r="AS57" s="930">
        <f t="shared" si="26"/>
        <v>0.10641835716661124</v>
      </c>
      <c r="AT57" s="930">
        <f t="shared" si="27"/>
        <v>0.14734594264795606</v>
      </c>
      <c r="AV57" s="931">
        <v>1781</v>
      </c>
      <c r="AW57" s="931">
        <v>5954</v>
      </c>
      <c r="AX57" s="931">
        <v>3547</v>
      </c>
      <c r="AZ57" s="931">
        <f t="shared" si="28"/>
        <v>490.51182033096927</v>
      </c>
      <c r="BA57" s="931">
        <f t="shared" si="29"/>
        <v>633.61489857000333</v>
      </c>
      <c r="BB57" s="931">
        <f t="shared" si="30"/>
        <v>522.63605857230016</v>
      </c>
      <c r="BC57" s="948">
        <f t="shared" si="15"/>
        <v>1646.7627774732728</v>
      </c>
    </row>
    <row r="58" spans="1:55" s="928" customFormat="1" ht="12" customHeight="1" x14ac:dyDescent="0.2">
      <c r="A58" s="928" t="s">
        <v>130</v>
      </c>
      <c r="B58" s="932" t="s">
        <v>491</v>
      </c>
      <c r="C58" s="945">
        <v>682</v>
      </c>
      <c r="D58" s="929">
        <v>820</v>
      </c>
      <c r="E58" s="929">
        <v>1502</v>
      </c>
      <c r="F58" s="929">
        <v>552</v>
      </c>
      <c r="G58" s="929">
        <v>1148</v>
      </c>
      <c r="H58" s="929">
        <v>1700</v>
      </c>
      <c r="I58" s="929">
        <v>627</v>
      </c>
      <c r="J58" s="929">
        <v>1182</v>
      </c>
      <c r="K58" s="929">
        <v>1809</v>
      </c>
      <c r="L58" s="929">
        <v>608</v>
      </c>
      <c r="M58" s="929">
        <v>1244</v>
      </c>
      <c r="N58" s="929">
        <v>1852</v>
      </c>
      <c r="O58" s="929">
        <v>839</v>
      </c>
      <c r="P58" s="929">
        <v>1813</v>
      </c>
      <c r="Q58" s="929">
        <v>2652</v>
      </c>
      <c r="R58" s="929">
        <v>717</v>
      </c>
      <c r="S58" s="929">
        <v>2454</v>
      </c>
      <c r="T58" s="929">
        <v>3171</v>
      </c>
      <c r="U58" s="929">
        <v>965</v>
      </c>
      <c r="V58" s="929">
        <v>2844</v>
      </c>
      <c r="W58" s="929">
        <v>3809</v>
      </c>
      <c r="X58" s="929">
        <v>574</v>
      </c>
      <c r="Y58" s="929">
        <v>2831</v>
      </c>
      <c r="Z58" s="929">
        <v>3405</v>
      </c>
      <c r="AA58" s="929">
        <v>497</v>
      </c>
      <c r="AB58" s="929">
        <v>1821</v>
      </c>
      <c r="AC58" s="929">
        <v>2318</v>
      </c>
      <c r="AD58" s="929">
        <v>516</v>
      </c>
      <c r="AE58" s="929">
        <v>1084</v>
      </c>
      <c r="AF58" s="929">
        <v>1600</v>
      </c>
      <c r="AH58" s="929">
        <f t="shared" si="16"/>
        <v>1861</v>
      </c>
      <c r="AI58" s="929">
        <f t="shared" si="17"/>
        <v>3150</v>
      </c>
      <c r="AJ58" s="929">
        <f t="shared" si="18"/>
        <v>5011</v>
      </c>
      <c r="AK58" s="929">
        <f t="shared" si="19"/>
        <v>3703</v>
      </c>
      <c r="AL58" s="929">
        <f t="shared" si="20"/>
        <v>11186</v>
      </c>
      <c r="AM58" s="929">
        <f t="shared" si="21"/>
        <v>14889</v>
      </c>
      <c r="AN58" s="929">
        <f t="shared" si="22"/>
        <v>1013</v>
      </c>
      <c r="AO58" s="929">
        <f t="shared" si="23"/>
        <v>2905</v>
      </c>
      <c r="AP58" s="929">
        <f t="shared" si="24"/>
        <v>3918</v>
      </c>
      <c r="AR58" s="930">
        <f t="shared" si="25"/>
        <v>0.37138295749351424</v>
      </c>
      <c r="AS58" s="930">
        <f t="shared" si="26"/>
        <v>0.24870709920075224</v>
      </c>
      <c r="AT58" s="930">
        <f t="shared" si="27"/>
        <v>0.25855028075548747</v>
      </c>
      <c r="AV58" s="931">
        <v>5089</v>
      </c>
      <c r="AW58" s="931">
        <v>16175</v>
      </c>
      <c r="AX58" s="931">
        <v>3882</v>
      </c>
      <c r="AZ58" s="931">
        <f t="shared" si="28"/>
        <v>1889.9678706844941</v>
      </c>
      <c r="BA58" s="931">
        <f t="shared" si="29"/>
        <v>4022.8373295721676</v>
      </c>
      <c r="BB58" s="931">
        <f t="shared" si="30"/>
        <v>1003.6921898928024</v>
      </c>
      <c r="BC58" s="948">
        <f t="shared" si="15"/>
        <v>6916.4973901494641</v>
      </c>
    </row>
    <row r="59" spans="1:55" s="928" customFormat="1" ht="12" customHeight="1" x14ac:dyDescent="0.2">
      <c r="A59" s="928" t="s">
        <v>132</v>
      </c>
      <c r="B59" s="932" t="s">
        <v>492</v>
      </c>
      <c r="C59" s="945">
        <v>1493</v>
      </c>
      <c r="D59" s="929">
        <v>30744</v>
      </c>
      <c r="E59" s="929">
        <v>32237</v>
      </c>
      <c r="F59" s="929">
        <v>1381</v>
      </c>
      <c r="G59" s="929">
        <v>30755</v>
      </c>
      <c r="H59" s="929">
        <v>32136</v>
      </c>
      <c r="I59" s="929">
        <v>1358</v>
      </c>
      <c r="J59" s="929">
        <v>25571</v>
      </c>
      <c r="K59" s="929">
        <v>26929</v>
      </c>
      <c r="L59" s="929">
        <v>1355</v>
      </c>
      <c r="M59" s="929">
        <v>16631</v>
      </c>
      <c r="N59" s="929">
        <v>17986</v>
      </c>
      <c r="O59" s="929">
        <v>2541</v>
      </c>
      <c r="P59" s="929">
        <v>40781</v>
      </c>
      <c r="Q59" s="929">
        <v>43322</v>
      </c>
      <c r="R59" s="929">
        <v>1860</v>
      </c>
      <c r="S59" s="929">
        <v>56506</v>
      </c>
      <c r="T59" s="929">
        <v>58366</v>
      </c>
      <c r="U59" s="929">
        <v>1517</v>
      </c>
      <c r="V59" s="929">
        <v>44657</v>
      </c>
      <c r="W59" s="929">
        <v>46174</v>
      </c>
      <c r="X59" s="929">
        <v>824</v>
      </c>
      <c r="Y59" s="929">
        <v>24653</v>
      </c>
      <c r="Z59" s="929">
        <v>25477</v>
      </c>
      <c r="AA59" s="929">
        <v>331</v>
      </c>
      <c r="AB59" s="929">
        <v>11188</v>
      </c>
      <c r="AC59" s="929">
        <v>11519</v>
      </c>
      <c r="AD59" s="929">
        <v>651</v>
      </c>
      <c r="AE59" s="929">
        <v>6910</v>
      </c>
      <c r="AF59" s="929">
        <v>7561</v>
      </c>
      <c r="AH59" s="929">
        <f t="shared" si="16"/>
        <v>4232</v>
      </c>
      <c r="AI59" s="929">
        <f t="shared" si="17"/>
        <v>87070</v>
      </c>
      <c r="AJ59" s="929">
        <f t="shared" si="18"/>
        <v>91302</v>
      </c>
      <c r="AK59" s="929">
        <f t="shared" si="19"/>
        <v>8097</v>
      </c>
      <c r="AL59" s="929">
        <f t="shared" si="20"/>
        <v>183228</v>
      </c>
      <c r="AM59" s="929">
        <f t="shared" si="21"/>
        <v>191325</v>
      </c>
      <c r="AN59" s="929">
        <f t="shared" si="22"/>
        <v>982</v>
      </c>
      <c r="AO59" s="929">
        <f t="shared" si="23"/>
        <v>18098</v>
      </c>
      <c r="AP59" s="929">
        <f t="shared" si="24"/>
        <v>19080</v>
      </c>
      <c r="AR59" s="930">
        <f t="shared" si="25"/>
        <v>4.6351668090512804E-2</v>
      </c>
      <c r="AS59" s="930">
        <f t="shared" si="26"/>
        <v>4.2320658565268524E-2</v>
      </c>
      <c r="AT59" s="930">
        <f t="shared" si="27"/>
        <v>5.1467505241090145E-2</v>
      </c>
      <c r="AV59" s="931">
        <v>98249</v>
      </c>
      <c r="AW59" s="931">
        <v>204736</v>
      </c>
      <c r="AX59" s="931">
        <v>22420</v>
      </c>
      <c r="AZ59" s="931">
        <f t="shared" si="28"/>
        <v>4554.0050382247928</v>
      </c>
      <c r="BA59" s="931">
        <f t="shared" si="29"/>
        <v>8664.5623520188165</v>
      </c>
      <c r="BB59" s="931">
        <f t="shared" si="30"/>
        <v>1153.901467505241</v>
      </c>
      <c r="BC59" s="948">
        <f t="shared" si="15"/>
        <v>14372.46885774885</v>
      </c>
    </row>
    <row r="60" spans="1:55" s="928" customFormat="1" ht="12" customHeight="1" x14ac:dyDescent="0.2">
      <c r="A60" s="928" t="s">
        <v>134</v>
      </c>
      <c r="B60" s="932" t="s">
        <v>493</v>
      </c>
      <c r="C60" s="945">
        <v>317</v>
      </c>
      <c r="D60" s="929">
        <v>1976</v>
      </c>
      <c r="E60" s="929">
        <v>2293</v>
      </c>
      <c r="F60" s="929">
        <v>496</v>
      </c>
      <c r="G60" s="929">
        <v>2063</v>
      </c>
      <c r="H60" s="929">
        <v>2559</v>
      </c>
      <c r="I60" s="929">
        <v>348</v>
      </c>
      <c r="J60" s="929">
        <v>1980</v>
      </c>
      <c r="K60" s="929">
        <v>2328</v>
      </c>
      <c r="L60" s="929">
        <v>471</v>
      </c>
      <c r="M60" s="929">
        <v>1746</v>
      </c>
      <c r="N60" s="929">
        <v>2217</v>
      </c>
      <c r="O60" s="929">
        <v>386</v>
      </c>
      <c r="P60" s="929">
        <v>3340</v>
      </c>
      <c r="Q60" s="929">
        <v>3726</v>
      </c>
      <c r="R60" s="929">
        <v>696</v>
      </c>
      <c r="S60" s="929">
        <v>3746</v>
      </c>
      <c r="T60" s="929">
        <v>4442</v>
      </c>
      <c r="U60" s="929">
        <v>763</v>
      </c>
      <c r="V60" s="929">
        <v>4710</v>
      </c>
      <c r="W60" s="929">
        <v>5473</v>
      </c>
      <c r="X60" s="929">
        <v>620</v>
      </c>
      <c r="Y60" s="929">
        <v>4244</v>
      </c>
      <c r="Z60" s="929">
        <v>4864</v>
      </c>
      <c r="AA60" s="929">
        <v>264</v>
      </c>
      <c r="AB60" s="929">
        <v>2699</v>
      </c>
      <c r="AC60" s="929">
        <v>2963</v>
      </c>
      <c r="AD60" s="929">
        <v>427</v>
      </c>
      <c r="AE60" s="929">
        <v>1243</v>
      </c>
      <c r="AF60" s="929">
        <v>1670</v>
      </c>
      <c r="AH60" s="929">
        <f t="shared" si="16"/>
        <v>1161</v>
      </c>
      <c r="AI60" s="929">
        <f t="shared" si="17"/>
        <v>6019</v>
      </c>
      <c r="AJ60" s="929">
        <f t="shared" si="18"/>
        <v>7180</v>
      </c>
      <c r="AK60" s="929">
        <f t="shared" si="19"/>
        <v>2936</v>
      </c>
      <c r="AL60" s="929">
        <f t="shared" si="20"/>
        <v>17786</v>
      </c>
      <c r="AM60" s="929">
        <f t="shared" si="21"/>
        <v>20722</v>
      </c>
      <c r="AN60" s="929">
        <f t="shared" si="22"/>
        <v>691</v>
      </c>
      <c r="AO60" s="929">
        <f t="shared" si="23"/>
        <v>3942</v>
      </c>
      <c r="AP60" s="929">
        <f t="shared" si="24"/>
        <v>4633</v>
      </c>
      <c r="AR60" s="930">
        <f t="shared" si="25"/>
        <v>0.16169916434540391</v>
      </c>
      <c r="AS60" s="930">
        <f t="shared" si="26"/>
        <v>0.14168516552456326</v>
      </c>
      <c r="AT60" s="930">
        <f t="shared" si="27"/>
        <v>0.14914742067774661</v>
      </c>
      <c r="AV60" s="931">
        <v>7237</v>
      </c>
      <c r="AW60" s="931">
        <v>21128</v>
      </c>
      <c r="AX60" s="931">
        <v>5030</v>
      </c>
      <c r="AZ60" s="931">
        <f t="shared" si="28"/>
        <v>1170.216852367688</v>
      </c>
      <c r="BA60" s="931">
        <f t="shared" si="29"/>
        <v>2993.5241772029726</v>
      </c>
      <c r="BB60" s="931">
        <f t="shared" si="30"/>
        <v>750.21152600906544</v>
      </c>
      <c r="BC60" s="948">
        <f t="shared" si="15"/>
        <v>4913.9525555797263</v>
      </c>
    </row>
    <row r="61" spans="1:55" s="928" customFormat="1" ht="12" customHeight="1" x14ac:dyDescent="0.2">
      <c r="A61" s="928" t="s">
        <v>136</v>
      </c>
      <c r="B61" s="932" t="s">
        <v>494</v>
      </c>
      <c r="C61" s="945">
        <v>326</v>
      </c>
      <c r="D61" s="929">
        <v>388</v>
      </c>
      <c r="E61" s="929">
        <v>714</v>
      </c>
      <c r="F61" s="929">
        <v>213</v>
      </c>
      <c r="G61" s="929">
        <v>647</v>
      </c>
      <c r="H61" s="929">
        <v>860</v>
      </c>
      <c r="I61" s="929">
        <v>206</v>
      </c>
      <c r="J61" s="929">
        <v>643</v>
      </c>
      <c r="K61" s="929">
        <v>849</v>
      </c>
      <c r="L61" s="929">
        <v>306</v>
      </c>
      <c r="M61" s="929">
        <v>722</v>
      </c>
      <c r="N61" s="929">
        <v>1028</v>
      </c>
      <c r="O61" s="929">
        <v>352</v>
      </c>
      <c r="P61" s="929">
        <v>718</v>
      </c>
      <c r="Q61" s="929">
        <v>1070</v>
      </c>
      <c r="R61" s="929">
        <v>199</v>
      </c>
      <c r="S61" s="929">
        <v>845</v>
      </c>
      <c r="T61" s="929">
        <v>1044</v>
      </c>
      <c r="U61" s="929">
        <v>168</v>
      </c>
      <c r="V61" s="929">
        <v>1671</v>
      </c>
      <c r="W61" s="929">
        <v>1839</v>
      </c>
      <c r="X61" s="929">
        <v>581</v>
      </c>
      <c r="Y61" s="929">
        <v>1289</v>
      </c>
      <c r="Z61" s="929">
        <v>1870</v>
      </c>
      <c r="AA61" s="929">
        <v>233</v>
      </c>
      <c r="AB61" s="929">
        <v>929</v>
      </c>
      <c r="AC61" s="929">
        <v>1162</v>
      </c>
      <c r="AD61" s="929">
        <v>295</v>
      </c>
      <c r="AE61" s="929">
        <v>687</v>
      </c>
      <c r="AF61" s="929">
        <v>982</v>
      </c>
      <c r="AH61" s="929">
        <f t="shared" si="16"/>
        <v>745</v>
      </c>
      <c r="AI61" s="929">
        <f t="shared" si="17"/>
        <v>1678</v>
      </c>
      <c r="AJ61" s="929">
        <f t="shared" si="18"/>
        <v>2423</v>
      </c>
      <c r="AK61" s="929">
        <f t="shared" si="19"/>
        <v>1606</v>
      </c>
      <c r="AL61" s="929">
        <f t="shared" si="20"/>
        <v>5245</v>
      </c>
      <c r="AM61" s="929">
        <f t="shared" si="21"/>
        <v>6851</v>
      </c>
      <c r="AN61" s="929">
        <f t="shared" si="22"/>
        <v>528</v>
      </c>
      <c r="AO61" s="929">
        <f t="shared" si="23"/>
        <v>1616</v>
      </c>
      <c r="AP61" s="929">
        <f t="shared" si="24"/>
        <v>2144</v>
      </c>
      <c r="AR61" s="930">
        <f t="shared" si="25"/>
        <v>0.30747007841518781</v>
      </c>
      <c r="AS61" s="930">
        <f t="shared" si="26"/>
        <v>0.23441833309005985</v>
      </c>
      <c r="AT61" s="930">
        <f t="shared" si="27"/>
        <v>0.2462686567164179</v>
      </c>
      <c r="AV61" s="931">
        <v>2471</v>
      </c>
      <c r="AW61" s="931">
        <v>8158</v>
      </c>
      <c r="AX61" s="931">
        <v>2245</v>
      </c>
      <c r="AZ61" s="931">
        <f t="shared" si="28"/>
        <v>759.75856376392903</v>
      </c>
      <c r="BA61" s="931">
        <f t="shared" si="29"/>
        <v>1912.3847613487083</v>
      </c>
      <c r="BB61" s="931">
        <f t="shared" si="30"/>
        <v>552.87313432835822</v>
      </c>
      <c r="BC61" s="948">
        <f t="shared" si="15"/>
        <v>3225.0164594409953</v>
      </c>
    </row>
    <row r="62" spans="1:55" s="928" customFormat="1" ht="12" customHeight="1" x14ac:dyDescent="0.2">
      <c r="A62" s="928" t="s">
        <v>140</v>
      </c>
      <c r="B62" s="932" t="s">
        <v>495</v>
      </c>
      <c r="C62" s="945">
        <v>297</v>
      </c>
      <c r="D62" s="929">
        <v>645</v>
      </c>
      <c r="E62" s="929">
        <v>942</v>
      </c>
      <c r="F62" s="929">
        <v>186</v>
      </c>
      <c r="G62" s="929">
        <v>800</v>
      </c>
      <c r="H62" s="929">
        <v>986</v>
      </c>
      <c r="I62" s="929">
        <v>92</v>
      </c>
      <c r="J62" s="929">
        <v>919</v>
      </c>
      <c r="K62" s="929">
        <v>1011</v>
      </c>
      <c r="L62" s="929">
        <v>119</v>
      </c>
      <c r="M62" s="929">
        <v>708</v>
      </c>
      <c r="N62" s="929">
        <v>827</v>
      </c>
      <c r="O62" s="929">
        <v>325</v>
      </c>
      <c r="P62" s="929">
        <v>973</v>
      </c>
      <c r="Q62" s="929">
        <v>1298</v>
      </c>
      <c r="R62" s="929">
        <v>147</v>
      </c>
      <c r="S62" s="929">
        <v>1473</v>
      </c>
      <c r="T62" s="929">
        <v>1620</v>
      </c>
      <c r="U62" s="929">
        <v>129</v>
      </c>
      <c r="V62" s="929">
        <v>2158</v>
      </c>
      <c r="W62" s="929">
        <v>2287</v>
      </c>
      <c r="X62" s="929">
        <v>256</v>
      </c>
      <c r="Y62" s="929">
        <v>1658</v>
      </c>
      <c r="Z62" s="929">
        <v>1914</v>
      </c>
      <c r="AA62" s="929">
        <v>128</v>
      </c>
      <c r="AB62" s="929">
        <v>1175</v>
      </c>
      <c r="AC62" s="929">
        <v>1303</v>
      </c>
      <c r="AD62" s="929">
        <v>144</v>
      </c>
      <c r="AE62" s="929">
        <v>760</v>
      </c>
      <c r="AF62" s="929">
        <v>904</v>
      </c>
      <c r="AH62" s="929">
        <f t="shared" si="16"/>
        <v>575</v>
      </c>
      <c r="AI62" s="929">
        <f t="shared" si="17"/>
        <v>2364</v>
      </c>
      <c r="AJ62" s="929">
        <f t="shared" si="18"/>
        <v>2939</v>
      </c>
      <c r="AK62" s="929">
        <f t="shared" si="19"/>
        <v>976</v>
      </c>
      <c r="AL62" s="929">
        <f t="shared" si="20"/>
        <v>6970</v>
      </c>
      <c r="AM62" s="929">
        <f t="shared" si="21"/>
        <v>7946</v>
      </c>
      <c r="AN62" s="929">
        <f t="shared" si="22"/>
        <v>272</v>
      </c>
      <c r="AO62" s="929">
        <f t="shared" si="23"/>
        <v>1935</v>
      </c>
      <c r="AP62" s="929">
        <f t="shared" si="24"/>
        <v>2207</v>
      </c>
      <c r="AR62" s="930">
        <f t="shared" si="25"/>
        <v>0.19564477713507997</v>
      </c>
      <c r="AS62" s="930">
        <f t="shared" si="26"/>
        <v>0.12282909640070476</v>
      </c>
      <c r="AT62" s="930">
        <f t="shared" si="27"/>
        <v>0.1232442229270503</v>
      </c>
      <c r="AV62" s="931">
        <v>2839</v>
      </c>
      <c r="AW62" s="931">
        <v>7909</v>
      </c>
      <c r="AX62" s="931">
        <v>2421</v>
      </c>
      <c r="AZ62" s="931">
        <f t="shared" si="28"/>
        <v>555.43552228649207</v>
      </c>
      <c r="BA62" s="931">
        <f t="shared" si="29"/>
        <v>971.45532343317393</v>
      </c>
      <c r="BB62" s="931">
        <f t="shared" si="30"/>
        <v>298.37426370638877</v>
      </c>
      <c r="BC62" s="948">
        <f t="shared" si="15"/>
        <v>1825.2651094260548</v>
      </c>
    </row>
    <row r="63" spans="1:55" s="928" customFormat="1" ht="12" customHeight="1" x14ac:dyDescent="0.2">
      <c r="A63" s="928" t="s">
        <v>146</v>
      </c>
      <c r="B63" s="932" t="s">
        <v>496</v>
      </c>
      <c r="C63" s="945">
        <v>207</v>
      </c>
      <c r="D63" s="929">
        <v>306</v>
      </c>
      <c r="E63" s="929">
        <v>513</v>
      </c>
      <c r="F63" s="929">
        <v>58</v>
      </c>
      <c r="G63" s="929">
        <v>315</v>
      </c>
      <c r="H63" s="929">
        <v>373</v>
      </c>
      <c r="I63" s="929">
        <v>38</v>
      </c>
      <c r="J63" s="929">
        <v>752</v>
      </c>
      <c r="K63" s="929">
        <v>790</v>
      </c>
      <c r="L63" s="929">
        <v>90</v>
      </c>
      <c r="M63" s="929">
        <v>434</v>
      </c>
      <c r="N63" s="929">
        <v>524</v>
      </c>
      <c r="O63" s="929">
        <v>94</v>
      </c>
      <c r="P63" s="929">
        <v>418</v>
      </c>
      <c r="Q63" s="929">
        <v>512</v>
      </c>
      <c r="R63" s="929">
        <v>78</v>
      </c>
      <c r="S63" s="929">
        <v>928</v>
      </c>
      <c r="T63" s="929">
        <v>1006</v>
      </c>
      <c r="U63" s="929">
        <v>217</v>
      </c>
      <c r="V63" s="929">
        <v>1227</v>
      </c>
      <c r="W63" s="929">
        <v>1444</v>
      </c>
      <c r="X63" s="929">
        <v>137</v>
      </c>
      <c r="Y63" s="929">
        <v>1393</v>
      </c>
      <c r="Z63" s="929">
        <v>1530</v>
      </c>
      <c r="AA63" s="929">
        <v>50</v>
      </c>
      <c r="AB63" s="929">
        <v>1213</v>
      </c>
      <c r="AC63" s="929">
        <v>1263</v>
      </c>
      <c r="AD63" s="929">
        <v>178</v>
      </c>
      <c r="AE63" s="929">
        <v>753</v>
      </c>
      <c r="AF63" s="929">
        <v>931</v>
      </c>
      <c r="AH63" s="929">
        <f t="shared" si="16"/>
        <v>303</v>
      </c>
      <c r="AI63" s="929">
        <f t="shared" si="17"/>
        <v>1373</v>
      </c>
      <c r="AJ63" s="929">
        <f t="shared" si="18"/>
        <v>1676</v>
      </c>
      <c r="AK63" s="929">
        <f t="shared" si="19"/>
        <v>616</v>
      </c>
      <c r="AL63" s="929">
        <f t="shared" si="20"/>
        <v>4400</v>
      </c>
      <c r="AM63" s="929">
        <f t="shared" si="21"/>
        <v>5016</v>
      </c>
      <c r="AN63" s="929">
        <f t="shared" si="22"/>
        <v>228</v>
      </c>
      <c r="AO63" s="929">
        <f t="shared" si="23"/>
        <v>1966</v>
      </c>
      <c r="AP63" s="929">
        <f t="shared" si="24"/>
        <v>2194</v>
      </c>
      <c r="AR63" s="930">
        <f t="shared" si="25"/>
        <v>0.18078758949880669</v>
      </c>
      <c r="AS63" s="930">
        <f t="shared" si="26"/>
        <v>0.12280701754385964</v>
      </c>
      <c r="AT63" s="930">
        <f t="shared" si="27"/>
        <v>0.10391978122151321</v>
      </c>
      <c r="AV63" s="931">
        <v>1608</v>
      </c>
      <c r="AW63" s="931">
        <v>5014</v>
      </c>
      <c r="AX63" s="931">
        <v>2340</v>
      </c>
      <c r="AZ63" s="931">
        <f t="shared" si="28"/>
        <v>290.70644391408115</v>
      </c>
      <c r="BA63" s="931">
        <f t="shared" si="29"/>
        <v>615.75438596491222</v>
      </c>
      <c r="BB63" s="931">
        <f t="shared" si="30"/>
        <v>243.17228805834091</v>
      </c>
      <c r="BC63" s="948">
        <f t="shared" si="15"/>
        <v>1149.6331179373342</v>
      </c>
    </row>
    <row r="64" spans="1:55" s="928" customFormat="1" ht="12" customHeight="1" x14ac:dyDescent="0.2">
      <c r="A64" s="928" t="s">
        <v>148</v>
      </c>
      <c r="B64" s="932" t="s">
        <v>497</v>
      </c>
      <c r="C64" s="945">
        <v>711</v>
      </c>
      <c r="D64" s="929">
        <v>1203</v>
      </c>
      <c r="E64" s="929">
        <v>1914</v>
      </c>
      <c r="F64" s="929">
        <v>771</v>
      </c>
      <c r="G64" s="929">
        <v>1414</v>
      </c>
      <c r="H64" s="929">
        <v>2185</v>
      </c>
      <c r="I64" s="929">
        <v>537</v>
      </c>
      <c r="J64" s="929">
        <v>1665</v>
      </c>
      <c r="K64" s="929">
        <v>2202</v>
      </c>
      <c r="L64" s="929">
        <v>591</v>
      </c>
      <c r="M64" s="929">
        <v>1363</v>
      </c>
      <c r="N64" s="929">
        <v>1954</v>
      </c>
      <c r="O64" s="929">
        <v>1090</v>
      </c>
      <c r="P64" s="929">
        <v>2016</v>
      </c>
      <c r="Q64" s="929">
        <v>3106</v>
      </c>
      <c r="R64" s="929">
        <v>636</v>
      </c>
      <c r="S64" s="929">
        <v>2996</v>
      </c>
      <c r="T64" s="929">
        <v>3632</v>
      </c>
      <c r="U64" s="929">
        <v>1324</v>
      </c>
      <c r="V64" s="929">
        <v>3699</v>
      </c>
      <c r="W64" s="929">
        <v>5023</v>
      </c>
      <c r="X64" s="929">
        <v>774</v>
      </c>
      <c r="Y64" s="929">
        <v>3997</v>
      </c>
      <c r="Z64" s="929">
        <v>4771</v>
      </c>
      <c r="AA64" s="929">
        <v>578</v>
      </c>
      <c r="AB64" s="929">
        <v>3052</v>
      </c>
      <c r="AC64" s="929">
        <v>3630</v>
      </c>
      <c r="AD64" s="929">
        <v>1020</v>
      </c>
      <c r="AE64" s="929">
        <v>1826</v>
      </c>
      <c r="AF64" s="929">
        <v>2846</v>
      </c>
      <c r="AH64" s="929">
        <f t="shared" si="16"/>
        <v>2019</v>
      </c>
      <c r="AI64" s="929">
        <f t="shared" si="17"/>
        <v>4282</v>
      </c>
      <c r="AJ64" s="929">
        <f t="shared" si="18"/>
        <v>6301</v>
      </c>
      <c r="AK64" s="929">
        <f t="shared" si="19"/>
        <v>4415</v>
      </c>
      <c r="AL64" s="929">
        <f t="shared" si="20"/>
        <v>14071</v>
      </c>
      <c r="AM64" s="929">
        <f t="shared" si="21"/>
        <v>18486</v>
      </c>
      <c r="AN64" s="929">
        <f t="shared" si="22"/>
        <v>1598</v>
      </c>
      <c r="AO64" s="929">
        <f t="shared" si="23"/>
        <v>4878</v>
      </c>
      <c r="AP64" s="929">
        <f t="shared" si="24"/>
        <v>6476</v>
      </c>
      <c r="AR64" s="930">
        <f t="shared" si="25"/>
        <v>0.32042532931280748</v>
      </c>
      <c r="AS64" s="930">
        <f t="shared" si="26"/>
        <v>0.23882938439900464</v>
      </c>
      <c r="AT64" s="930">
        <f t="shared" si="27"/>
        <v>0.24675725756639902</v>
      </c>
      <c r="AV64" s="931">
        <v>6263</v>
      </c>
      <c r="AW64" s="931">
        <v>19437</v>
      </c>
      <c r="AX64" s="931">
        <v>6922</v>
      </c>
      <c r="AZ64" s="931">
        <f t="shared" si="28"/>
        <v>2006.8238374861132</v>
      </c>
      <c r="BA64" s="931">
        <f t="shared" si="29"/>
        <v>4642.126744563453</v>
      </c>
      <c r="BB64" s="931">
        <f t="shared" si="30"/>
        <v>1708.0537368746141</v>
      </c>
      <c r="BC64" s="948">
        <f t="shared" si="15"/>
        <v>8357.0043189241806</v>
      </c>
    </row>
    <row r="65" spans="1:55" s="928" customFormat="1" ht="12" customHeight="1" x14ac:dyDescent="0.2">
      <c r="A65" s="928" t="s">
        <v>150</v>
      </c>
      <c r="B65" s="932" t="s">
        <v>498</v>
      </c>
      <c r="C65" s="945">
        <v>38</v>
      </c>
      <c r="D65" s="929">
        <v>415</v>
      </c>
      <c r="E65" s="929">
        <v>453</v>
      </c>
      <c r="F65" s="929">
        <v>155</v>
      </c>
      <c r="G65" s="929">
        <v>511</v>
      </c>
      <c r="H65" s="929">
        <v>666</v>
      </c>
      <c r="I65" s="929">
        <v>83</v>
      </c>
      <c r="J65" s="929">
        <v>558</v>
      </c>
      <c r="K65" s="929">
        <v>641</v>
      </c>
      <c r="L65" s="929">
        <v>124</v>
      </c>
      <c r="M65" s="929">
        <v>500</v>
      </c>
      <c r="N65" s="929">
        <v>624</v>
      </c>
      <c r="O65" s="929">
        <v>107</v>
      </c>
      <c r="P65" s="929">
        <v>561</v>
      </c>
      <c r="Q65" s="929">
        <v>668</v>
      </c>
      <c r="R65" s="929">
        <v>154</v>
      </c>
      <c r="S65" s="929">
        <v>1057</v>
      </c>
      <c r="T65" s="929">
        <v>1211</v>
      </c>
      <c r="U65" s="929">
        <v>231</v>
      </c>
      <c r="V65" s="929">
        <v>1512</v>
      </c>
      <c r="W65" s="929">
        <v>1743</v>
      </c>
      <c r="X65" s="929">
        <v>134</v>
      </c>
      <c r="Y65" s="929">
        <v>1666</v>
      </c>
      <c r="Z65" s="929">
        <v>1800</v>
      </c>
      <c r="AA65" s="929">
        <v>105</v>
      </c>
      <c r="AB65" s="929">
        <v>1583</v>
      </c>
      <c r="AC65" s="929">
        <v>1688</v>
      </c>
      <c r="AD65" s="929">
        <v>173</v>
      </c>
      <c r="AE65" s="929">
        <v>867</v>
      </c>
      <c r="AF65" s="929">
        <v>1040</v>
      </c>
      <c r="AH65" s="929">
        <f t="shared" si="16"/>
        <v>276</v>
      </c>
      <c r="AI65" s="929">
        <f t="shared" si="17"/>
        <v>1484</v>
      </c>
      <c r="AJ65" s="929">
        <f t="shared" si="18"/>
        <v>1760</v>
      </c>
      <c r="AK65" s="929">
        <f t="shared" si="19"/>
        <v>750</v>
      </c>
      <c r="AL65" s="929">
        <f t="shared" si="20"/>
        <v>5296</v>
      </c>
      <c r="AM65" s="929">
        <f t="shared" si="21"/>
        <v>6046</v>
      </c>
      <c r="AN65" s="929">
        <f t="shared" si="22"/>
        <v>278</v>
      </c>
      <c r="AO65" s="929">
        <f t="shared" si="23"/>
        <v>2450</v>
      </c>
      <c r="AP65" s="929">
        <f t="shared" si="24"/>
        <v>2728</v>
      </c>
      <c r="AR65" s="930">
        <f t="shared" si="25"/>
        <v>0.15681818181818183</v>
      </c>
      <c r="AS65" s="930">
        <f t="shared" si="26"/>
        <v>0.1240489579887529</v>
      </c>
      <c r="AT65" s="930">
        <f t="shared" si="27"/>
        <v>0.10190615835777127</v>
      </c>
      <c r="AV65" s="931">
        <v>1689</v>
      </c>
      <c r="AW65" s="931">
        <v>6302</v>
      </c>
      <c r="AX65" s="931">
        <v>2863</v>
      </c>
      <c r="AZ65" s="931">
        <f t="shared" si="28"/>
        <v>264.8659090909091</v>
      </c>
      <c r="BA65" s="931">
        <f t="shared" si="29"/>
        <v>781.75653324512075</v>
      </c>
      <c r="BB65" s="931">
        <f t="shared" si="30"/>
        <v>291.75733137829911</v>
      </c>
      <c r="BC65" s="948">
        <f t="shared" si="15"/>
        <v>1338.3797737143291</v>
      </c>
    </row>
    <row r="66" spans="1:55" s="928" customFormat="1" ht="12" customHeight="1" x14ac:dyDescent="0.2">
      <c r="A66" s="928" t="s">
        <v>152</v>
      </c>
      <c r="B66" s="932" t="s">
        <v>499</v>
      </c>
      <c r="C66" s="945">
        <v>966</v>
      </c>
      <c r="D66" s="929">
        <v>3873</v>
      </c>
      <c r="E66" s="929">
        <v>4839</v>
      </c>
      <c r="F66" s="929">
        <v>893</v>
      </c>
      <c r="G66" s="929">
        <v>4056</v>
      </c>
      <c r="H66" s="929">
        <v>4949</v>
      </c>
      <c r="I66" s="929">
        <v>868</v>
      </c>
      <c r="J66" s="929">
        <v>3785</v>
      </c>
      <c r="K66" s="929">
        <v>4653</v>
      </c>
      <c r="L66" s="929">
        <v>13977</v>
      </c>
      <c r="M66" s="929">
        <v>5818</v>
      </c>
      <c r="N66" s="929">
        <v>19795</v>
      </c>
      <c r="O66" s="929">
        <v>2206</v>
      </c>
      <c r="P66" s="929">
        <v>9546</v>
      </c>
      <c r="Q66" s="929">
        <v>11752</v>
      </c>
      <c r="R66" s="929">
        <v>1301</v>
      </c>
      <c r="S66" s="929">
        <v>8347</v>
      </c>
      <c r="T66" s="929">
        <v>9648</v>
      </c>
      <c r="U66" s="929">
        <v>778</v>
      </c>
      <c r="V66" s="929">
        <v>8821</v>
      </c>
      <c r="W66" s="929">
        <v>9599</v>
      </c>
      <c r="X66" s="929">
        <v>703</v>
      </c>
      <c r="Y66" s="929">
        <v>7625</v>
      </c>
      <c r="Z66" s="929">
        <v>8328</v>
      </c>
      <c r="AA66" s="929">
        <v>398</v>
      </c>
      <c r="AB66" s="929">
        <v>4439</v>
      </c>
      <c r="AC66" s="929">
        <v>4837</v>
      </c>
      <c r="AD66" s="929">
        <v>550</v>
      </c>
      <c r="AE66" s="929">
        <v>3357</v>
      </c>
      <c r="AF66" s="929">
        <v>3907</v>
      </c>
      <c r="AH66" s="929">
        <f t="shared" si="16"/>
        <v>2727</v>
      </c>
      <c r="AI66" s="929">
        <f t="shared" si="17"/>
        <v>11714</v>
      </c>
      <c r="AJ66" s="929">
        <f t="shared" si="18"/>
        <v>14441</v>
      </c>
      <c r="AK66" s="929">
        <f t="shared" si="19"/>
        <v>18965</v>
      </c>
      <c r="AL66" s="929">
        <f t="shared" si="20"/>
        <v>40157</v>
      </c>
      <c r="AM66" s="929">
        <f t="shared" si="21"/>
        <v>59122</v>
      </c>
      <c r="AN66" s="929">
        <f t="shared" si="22"/>
        <v>948</v>
      </c>
      <c r="AO66" s="929">
        <f t="shared" si="23"/>
        <v>7796</v>
      </c>
      <c r="AP66" s="929">
        <f t="shared" si="24"/>
        <v>8744</v>
      </c>
      <c r="AR66" s="930">
        <f t="shared" si="25"/>
        <v>0.18883733813447823</v>
      </c>
      <c r="AS66" s="930">
        <f t="shared" si="26"/>
        <v>0.32077737559622477</v>
      </c>
      <c r="AT66" s="930">
        <f t="shared" si="27"/>
        <v>0.10841720036596524</v>
      </c>
      <c r="AV66" s="931">
        <v>14420</v>
      </c>
      <c r="AW66" s="931">
        <v>70390</v>
      </c>
      <c r="AX66" s="931">
        <v>9532</v>
      </c>
      <c r="AZ66" s="931">
        <f t="shared" si="28"/>
        <v>2723.0344158991761</v>
      </c>
      <c r="BA66" s="931">
        <f t="shared" si="29"/>
        <v>22579.519468218263</v>
      </c>
      <c r="BB66" s="931">
        <f t="shared" si="30"/>
        <v>1033.4327538883806</v>
      </c>
      <c r="BC66" s="948">
        <f t="shared" si="15"/>
        <v>26335.986638005819</v>
      </c>
    </row>
    <row r="67" spans="1:55" s="928" customFormat="1" ht="12" customHeight="1" x14ac:dyDescent="0.2">
      <c r="A67" s="928" t="s">
        <v>154</v>
      </c>
      <c r="B67" s="932" t="s">
        <v>500</v>
      </c>
      <c r="C67" s="945">
        <v>112</v>
      </c>
      <c r="D67" s="929">
        <v>655</v>
      </c>
      <c r="E67" s="929">
        <v>767</v>
      </c>
      <c r="F67" s="929">
        <v>96</v>
      </c>
      <c r="G67" s="929">
        <v>749</v>
      </c>
      <c r="H67" s="929">
        <v>845</v>
      </c>
      <c r="I67" s="929">
        <v>214</v>
      </c>
      <c r="J67" s="929">
        <v>1069</v>
      </c>
      <c r="K67" s="929">
        <v>1283</v>
      </c>
      <c r="L67" s="929">
        <v>333</v>
      </c>
      <c r="M67" s="929">
        <v>601</v>
      </c>
      <c r="N67" s="929">
        <v>934</v>
      </c>
      <c r="O67" s="929">
        <v>308</v>
      </c>
      <c r="P67" s="929">
        <v>1170</v>
      </c>
      <c r="Q67" s="929">
        <v>1478</v>
      </c>
      <c r="R67" s="929">
        <v>324</v>
      </c>
      <c r="S67" s="929">
        <v>1494</v>
      </c>
      <c r="T67" s="929">
        <v>1818</v>
      </c>
      <c r="U67" s="929">
        <v>325</v>
      </c>
      <c r="V67" s="929">
        <v>1917</v>
      </c>
      <c r="W67" s="929">
        <v>2242</v>
      </c>
      <c r="X67" s="929">
        <v>331</v>
      </c>
      <c r="Y67" s="929">
        <v>2456</v>
      </c>
      <c r="Z67" s="929">
        <v>2787</v>
      </c>
      <c r="AA67" s="929">
        <v>265</v>
      </c>
      <c r="AB67" s="929">
        <v>1420</v>
      </c>
      <c r="AC67" s="929">
        <v>1685</v>
      </c>
      <c r="AD67" s="929">
        <v>189</v>
      </c>
      <c r="AE67" s="929">
        <v>917</v>
      </c>
      <c r="AF67" s="929">
        <v>1106</v>
      </c>
      <c r="AH67" s="929">
        <f t="shared" si="16"/>
        <v>422</v>
      </c>
      <c r="AI67" s="929">
        <f t="shared" si="17"/>
        <v>2473</v>
      </c>
      <c r="AJ67" s="929">
        <f t="shared" si="18"/>
        <v>2895</v>
      </c>
      <c r="AK67" s="929">
        <f t="shared" si="19"/>
        <v>1621</v>
      </c>
      <c r="AL67" s="929">
        <f t="shared" si="20"/>
        <v>7638</v>
      </c>
      <c r="AM67" s="929">
        <f t="shared" si="21"/>
        <v>9259</v>
      </c>
      <c r="AN67" s="929">
        <f t="shared" si="22"/>
        <v>454</v>
      </c>
      <c r="AO67" s="929">
        <f t="shared" si="23"/>
        <v>2337</v>
      </c>
      <c r="AP67" s="929">
        <f t="shared" si="24"/>
        <v>2791</v>
      </c>
      <c r="AR67" s="930">
        <f t="shared" si="25"/>
        <v>0.14576856649395509</v>
      </c>
      <c r="AS67" s="930">
        <f t="shared" si="26"/>
        <v>0.17507290204125717</v>
      </c>
      <c r="AT67" s="930">
        <f t="shared" si="27"/>
        <v>0.16266571121461842</v>
      </c>
      <c r="AV67" s="931">
        <v>2882</v>
      </c>
      <c r="AW67" s="931">
        <v>9126</v>
      </c>
      <c r="AX67" s="931">
        <v>3089</v>
      </c>
      <c r="AZ67" s="931">
        <f t="shared" si="28"/>
        <v>420.10500863557854</v>
      </c>
      <c r="BA67" s="931">
        <f t="shared" si="29"/>
        <v>1597.7153040285129</v>
      </c>
      <c r="BB67" s="931">
        <f t="shared" si="30"/>
        <v>502.47438194195632</v>
      </c>
      <c r="BC67" s="948">
        <f t="shared" si="15"/>
        <v>2520.2946946060479</v>
      </c>
    </row>
    <row r="68" spans="1:55" s="928" customFormat="1" ht="12" customHeight="1" x14ac:dyDescent="0.2">
      <c r="A68" s="928" t="s">
        <v>156</v>
      </c>
      <c r="B68" s="932" t="s">
        <v>501</v>
      </c>
      <c r="C68" s="945">
        <v>131</v>
      </c>
      <c r="D68" s="929">
        <v>1067</v>
      </c>
      <c r="E68" s="929">
        <v>1198</v>
      </c>
      <c r="F68" s="929">
        <v>183</v>
      </c>
      <c r="G68" s="929">
        <v>1112</v>
      </c>
      <c r="H68" s="929">
        <v>1295</v>
      </c>
      <c r="I68" s="929">
        <v>227</v>
      </c>
      <c r="J68" s="929">
        <v>1328</v>
      </c>
      <c r="K68" s="929">
        <v>1555</v>
      </c>
      <c r="L68" s="929">
        <v>165</v>
      </c>
      <c r="M68" s="929">
        <v>899</v>
      </c>
      <c r="N68" s="929">
        <v>1064</v>
      </c>
      <c r="O68" s="929">
        <v>148</v>
      </c>
      <c r="P68" s="929">
        <v>1571</v>
      </c>
      <c r="Q68" s="929">
        <v>1719</v>
      </c>
      <c r="R68" s="929">
        <v>134</v>
      </c>
      <c r="S68" s="929">
        <v>2425</v>
      </c>
      <c r="T68" s="929">
        <v>2559</v>
      </c>
      <c r="U68" s="929">
        <v>252</v>
      </c>
      <c r="V68" s="929">
        <v>3009</v>
      </c>
      <c r="W68" s="929">
        <v>3261</v>
      </c>
      <c r="X68" s="929">
        <v>112</v>
      </c>
      <c r="Y68" s="929">
        <v>2766</v>
      </c>
      <c r="Z68" s="929">
        <v>2878</v>
      </c>
      <c r="AA68" s="929">
        <v>60</v>
      </c>
      <c r="AB68" s="929">
        <v>1252</v>
      </c>
      <c r="AC68" s="929">
        <v>1312</v>
      </c>
      <c r="AD68" s="929">
        <v>101</v>
      </c>
      <c r="AE68" s="929">
        <v>609</v>
      </c>
      <c r="AF68" s="929">
        <v>710</v>
      </c>
      <c r="AH68" s="929">
        <f t="shared" si="16"/>
        <v>541</v>
      </c>
      <c r="AI68" s="929">
        <f t="shared" si="17"/>
        <v>3507</v>
      </c>
      <c r="AJ68" s="929">
        <f t="shared" si="18"/>
        <v>4048</v>
      </c>
      <c r="AK68" s="929">
        <f t="shared" si="19"/>
        <v>811</v>
      </c>
      <c r="AL68" s="929">
        <f t="shared" si="20"/>
        <v>10670</v>
      </c>
      <c r="AM68" s="929">
        <f t="shared" si="21"/>
        <v>11481</v>
      </c>
      <c r="AN68" s="929">
        <f t="shared" si="22"/>
        <v>161</v>
      </c>
      <c r="AO68" s="929">
        <f t="shared" si="23"/>
        <v>1861</v>
      </c>
      <c r="AP68" s="929">
        <f t="shared" si="24"/>
        <v>2022</v>
      </c>
      <c r="AR68" s="930">
        <f t="shared" si="25"/>
        <v>0.13364624505928854</v>
      </c>
      <c r="AS68" s="930">
        <f t="shared" si="26"/>
        <v>7.0638446128386032E-2</v>
      </c>
      <c r="AT68" s="930">
        <f t="shared" si="27"/>
        <v>7.962413452027696E-2</v>
      </c>
      <c r="AV68" s="931">
        <v>4096</v>
      </c>
      <c r="AW68" s="931">
        <v>12302</v>
      </c>
      <c r="AX68" s="931">
        <v>2424</v>
      </c>
      <c r="AZ68" s="931">
        <f t="shared" si="28"/>
        <v>547.41501976284587</v>
      </c>
      <c r="BA68" s="931">
        <f t="shared" si="29"/>
        <v>868.994164271405</v>
      </c>
      <c r="BB68" s="931">
        <f t="shared" si="30"/>
        <v>193.00890207715136</v>
      </c>
      <c r="BC68" s="948">
        <f t="shared" si="15"/>
        <v>1609.4180861114021</v>
      </c>
    </row>
    <row r="69" spans="1:55" s="928" customFormat="1" ht="12" customHeight="1" x14ac:dyDescent="0.2">
      <c r="A69" s="928" t="s">
        <v>162</v>
      </c>
      <c r="B69" s="932" t="s">
        <v>502</v>
      </c>
      <c r="C69" s="945">
        <v>434</v>
      </c>
      <c r="D69" s="929">
        <v>491</v>
      </c>
      <c r="E69" s="929">
        <v>925</v>
      </c>
      <c r="F69" s="929">
        <v>398</v>
      </c>
      <c r="G69" s="929">
        <v>532</v>
      </c>
      <c r="H69" s="929">
        <v>930</v>
      </c>
      <c r="I69" s="929">
        <v>136</v>
      </c>
      <c r="J69" s="929">
        <v>529</v>
      </c>
      <c r="K69" s="929">
        <v>665</v>
      </c>
      <c r="L69" s="929">
        <v>299</v>
      </c>
      <c r="M69" s="929">
        <v>512</v>
      </c>
      <c r="N69" s="929">
        <v>811</v>
      </c>
      <c r="O69" s="929">
        <v>323</v>
      </c>
      <c r="P69" s="929">
        <v>902</v>
      </c>
      <c r="Q69" s="929">
        <v>1225</v>
      </c>
      <c r="R69" s="929">
        <v>246</v>
      </c>
      <c r="S69" s="929">
        <v>1033</v>
      </c>
      <c r="T69" s="929">
        <v>1279</v>
      </c>
      <c r="U69" s="929">
        <v>344</v>
      </c>
      <c r="V69" s="929">
        <v>1501</v>
      </c>
      <c r="W69" s="929">
        <v>1845</v>
      </c>
      <c r="X69" s="929">
        <v>449</v>
      </c>
      <c r="Y69" s="929">
        <v>1458</v>
      </c>
      <c r="Z69" s="929">
        <v>1907</v>
      </c>
      <c r="AA69" s="929">
        <v>231</v>
      </c>
      <c r="AB69" s="929">
        <v>1182</v>
      </c>
      <c r="AC69" s="929">
        <v>1413</v>
      </c>
      <c r="AD69" s="929">
        <v>503</v>
      </c>
      <c r="AE69" s="929">
        <v>722</v>
      </c>
      <c r="AF69" s="929">
        <v>1225</v>
      </c>
      <c r="AH69" s="929">
        <f t="shared" si="16"/>
        <v>968</v>
      </c>
      <c r="AI69" s="929">
        <f t="shared" si="17"/>
        <v>1552</v>
      </c>
      <c r="AJ69" s="929">
        <f t="shared" si="18"/>
        <v>2520</v>
      </c>
      <c r="AK69" s="929">
        <f t="shared" si="19"/>
        <v>1661</v>
      </c>
      <c r="AL69" s="929">
        <f t="shared" si="20"/>
        <v>5406</v>
      </c>
      <c r="AM69" s="929">
        <f t="shared" si="21"/>
        <v>7067</v>
      </c>
      <c r="AN69" s="929">
        <f t="shared" si="22"/>
        <v>734</v>
      </c>
      <c r="AO69" s="929">
        <f t="shared" si="23"/>
        <v>1904</v>
      </c>
      <c r="AP69" s="929">
        <f t="shared" si="24"/>
        <v>2638</v>
      </c>
      <c r="AR69" s="930">
        <f t="shared" si="25"/>
        <v>0.38412698412698415</v>
      </c>
      <c r="AS69" s="930">
        <f t="shared" si="26"/>
        <v>0.23503608320362246</v>
      </c>
      <c r="AT69" s="930">
        <f t="shared" si="27"/>
        <v>0.27824109173616374</v>
      </c>
      <c r="AV69" s="931">
        <v>2421</v>
      </c>
      <c r="AW69" s="931">
        <v>7204</v>
      </c>
      <c r="AX69" s="931">
        <v>2752</v>
      </c>
      <c r="AZ69" s="931">
        <f t="shared" si="28"/>
        <v>929.97142857142865</v>
      </c>
      <c r="BA69" s="931">
        <f t="shared" si="29"/>
        <v>1693.1999433988963</v>
      </c>
      <c r="BB69" s="931">
        <f t="shared" si="30"/>
        <v>765.71948445792259</v>
      </c>
      <c r="BC69" s="948">
        <f t="shared" si="15"/>
        <v>3388.8908564282474</v>
      </c>
    </row>
    <row r="70" spans="1:55" s="928" customFormat="1" ht="12" customHeight="1" x14ac:dyDescent="0.2">
      <c r="A70" s="928" t="s">
        <v>164</v>
      </c>
      <c r="B70" s="932" t="s">
        <v>503</v>
      </c>
      <c r="C70" s="945">
        <v>138</v>
      </c>
      <c r="D70" s="929">
        <v>531</v>
      </c>
      <c r="E70" s="929">
        <v>669</v>
      </c>
      <c r="F70" s="929">
        <v>97</v>
      </c>
      <c r="G70" s="929">
        <v>692</v>
      </c>
      <c r="H70" s="929">
        <v>789</v>
      </c>
      <c r="I70" s="929">
        <v>151</v>
      </c>
      <c r="J70" s="929">
        <v>461</v>
      </c>
      <c r="K70" s="929">
        <v>612</v>
      </c>
      <c r="L70" s="929">
        <v>127</v>
      </c>
      <c r="M70" s="929">
        <v>530</v>
      </c>
      <c r="N70" s="929">
        <v>657</v>
      </c>
      <c r="O70" s="929">
        <v>62</v>
      </c>
      <c r="P70" s="929">
        <v>840</v>
      </c>
      <c r="Q70" s="929">
        <v>902</v>
      </c>
      <c r="R70" s="929">
        <v>168</v>
      </c>
      <c r="S70" s="929">
        <v>989</v>
      </c>
      <c r="T70" s="929">
        <v>1157</v>
      </c>
      <c r="U70" s="929">
        <v>247</v>
      </c>
      <c r="V70" s="929">
        <v>1498</v>
      </c>
      <c r="W70" s="929">
        <v>1745</v>
      </c>
      <c r="X70" s="929">
        <v>286</v>
      </c>
      <c r="Y70" s="929">
        <v>1927</v>
      </c>
      <c r="Z70" s="929">
        <v>2213</v>
      </c>
      <c r="AA70" s="929">
        <v>188</v>
      </c>
      <c r="AB70" s="929">
        <v>1913</v>
      </c>
      <c r="AC70" s="929">
        <v>2101</v>
      </c>
      <c r="AD70" s="929">
        <v>207</v>
      </c>
      <c r="AE70" s="929">
        <v>1343</v>
      </c>
      <c r="AF70" s="929">
        <v>1550</v>
      </c>
      <c r="AH70" s="929">
        <f t="shared" ref="AH70:AH101" si="31">C70+F70+I70</f>
        <v>386</v>
      </c>
      <c r="AI70" s="929">
        <f t="shared" ref="AI70:AI101" si="32">D70+G70+J70</f>
        <v>1684</v>
      </c>
      <c r="AJ70" s="929">
        <f t="shared" ref="AJ70:AJ101" si="33">E70+H70+K70</f>
        <v>2070</v>
      </c>
      <c r="AK70" s="929">
        <f t="shared" ref="AK70:AK101" si="34">L70+O70+R70+U70+X70</f>
        <v>890</v>
      </c>
      <c r="AL70" s="929">
        <f t="shared" ref="AL70:AL101" si="35">M70+P70+S70+V70+Y70</f>
        <v>5784</v>
      </c>
      <c r="AM70" s="929">
        <f t="shared" ref="AM70:AM101" si="36">N70+Q70+T70+W70+Z70</f>
        <v>6674</v>
      </c>
      <c r="AN70" s="929">
        <f t="shared" ref="AN70:AN101" si="37">AA70+AD70</f>
        <v>395</v>
      </c>
      <c r="AO70" s="929">
        <f t="shared" ref="AO70:AO101" si="38">AB70+AE70</f>
        <v>3256</v>
      </c>
      <c r="AP70" s="929">
        <f t="shared" ref="AP70:AP101" si="39">AC70+AF70</f>
        <v>3651</v>
      </c>
      <c r="AR70" s="930">
        <f t="shared" ref="AR70:AR101" si="40">AH70/AJ70</f>
        <v>0.18647342995169083</v>
      </c>
      <c r="AS70" s="930">
        <f t="shared" ref="AS70:AS101" si="41">AK70/AM70</f>
        <v>0.13335331135750675</v>
      </c>
      <c r="AT70" s="930">
        <f t="shared" ref="AT70:AT101" si="42">AN70/AP70</f>
        <v>0.1081895371131197</v>
      </c>
      <c r="AV70" s="931">
        <v>2007</v>
      </c>
      <c r="AW70" s="931">
        <v>6588</v>
      </c>
      <c r="AX70" s="931">
        <v>3866</v>
      </c>
      <c r="AZ70" s="931">
        <f t="shared" ref="AZ70:AZ101" si="43">AR70*AV70</f>
        <v>374.25217391304352</v>
      </c>
      <c r="BA70" s="931">
        <f t="shared" ref="BA70:BA101" si="44">AS70*AW70</f>
        <v>878.53161522325445</v>
      </c>
      <c r="BB70" s="931">
        <f t="shared" ref="BB70:BB101" si="45">AT70*AX70</f>
        <v>418.26075047932073</v>
      </c>
      <c r="BC70" s="948">
        <f t="shared" si="15"/>
        <v>1671.0445396156185</v>
      </c>
    </row>
    <row r="71" spans="1:55" s="928" customFormat="1" ht="12" customHeight="1" x14ac:dyDescent="0.2">
      <c r="A71" s="928" t="s">
        <v>168</v>
      </c>
      <c r="B71" s="932" t="s">
        <v>504</v>
      </c>
      <c r="C71" s="945">
        <v>315</v>
      </c>
      <c r="D71" s="929">
        <v>522</v>
      </c>
      <c r="E71" s="929">
        <v>837</v>
      </c>
      <c r="F71" s="929">
        <v>228</v>
      </c>
      <c r="G71" s="929">
        <v>732</v>
      </c>
      <c r="H71" s="929">
        <v>960</v>
      </c>
      <c r="I71" s="929">
        <v>342</v>
      </c>
      <c r="J71" s="929">
        <v>871</v>
      </c>
      <c r="K71" s="929">
        <v>1213</v>
      </c>
      <c r="L71" s="929">
        <v>439</v>
      </c>
      <c r="M71" s="929">
        <v>964</v>
      </c>
      <c r="N71" s="929">
        <v>1403</v>
      </c>
      <c r="O71" s="929">
        <v>437</v>
      </c>
      <c r="P71" s="929">
        <v>1325</v>
      </c>
      <c r="Q71" s="929">
        <v>1762</v>
      </c>
      <c r="R71" s="929">
        <v>364</v>
      </c>
      <c r="S71" s="929">
        <v>1628</v>
      </c>
      <c r="T71" s="929">
        <v>1992</v>
      </c>
      <c r="U71" s="929">
        <v>336</v>
      </c>
      <c r="V71" s="929">
        <v>2000</v>
      </c>
      <c r="W71" s="929">
        <v>2336</v>
      </c>
      <c r="X71" s="929">
        <v>284</v>
      </c>
      <c r="Y71" s="929">
        <v>1574</v>
      </c>
      <c r="Z71" s="929">
        <v>1858</v>
      </c>
      <c r="AA71" s="929">
        <v>378</v>
      </c>
      <c r="AB71" s="929">
        <v>993</v>
      </c>
      <c r="AC71" s="929">
        <v>1371</v>
      </c>
      <c r="AD71" s="929">
        <v>228</v>
      </c>
      <c r="AE71" s="929">
        <v>919</v>
      </c>
      <c r="AF71" s="929">
        <v>1147</v>
      </c>
      <c r="AH71" s="929">
        <f t="shared" si="31"/>
        <v>885</v>
      </c>
      <c r="AI71" s="929">
        <f t="shared" si="32"/>
        <v>2125</v>
      </c>
      <c r="AJ71" s="929">
        <f t="shared" si="33"/>
        <v>3010</v>
      </c>
      <c r="AK71" s="929">
        <f t="shared" si="34"/>
        <v>1860</v>
      </c>
      <c r="AL71" s="929">
        <f t="shared" si="35"/>
        <v>7491</v>
      </c>
      <c r="AM71" s="929">
        <f t="shared" si="36"/>
        <v>9351</v>
      </c>
      <c r="AN71" s="929">
        <f t="shared" si="37"/>
        <v>606</v>
      </c>
      <c r="AO71" s="929">
        <f t="shared" si="38"/>
        <v>1912</v>
      </c>
      <c r="AP71" s="929">
        <f t="shared" si="39"/>
        <v>2518</v>
      </c>
      <c r="AR71" s="930">
        <f t="shared" si="40"/>
        <v>0.29401993355481726</v>
      </c>
      <c r="AS71" s="930">
        <f t="shared" si="41"/>
        <v>0.19890920757138275</v>
      </c>
      <c r="AT71" s="930">
        <f t="shared" si="42"/>
        <v>0.24066719618745036</v>
      </c>
      <c r="AV71" s="931">
        <v>3265</v>
      </c>
      <c r="AW71" s="931">
        <v>9884</v>
      </c>
      <c r="AX71" s="931">
        <v>2691</v>
      </c>
      <c r="AZ71" s="931">
        <f t="shared" si="43"/>
        <v>959.9750830564783</v>
      </c>
      <c r="BA71" s="931">
        <f t="shared" si="44"/>
        <v>1966.0186076355471</v>
      </c>
      <c r="BB71" s="931">
        <f t="shared" si="45"/>
        <v>647.63542494042895</v>
      </c>
      <c r="BC71" s="948">
        <f t="shared" ref="BC71:BC126" si="46">SUM(AZ71:BB71)</f>
        <v>3573.6291156324546</v>
      </c>
    </row>
    <row r="72" spans="1:55" s="928" customFormat="1" ht="12" customHeight="1" x14ac:dyDescent="0.2">
      <c r="A72" s="928" t="s">
        <v>170</v>
      </c>
      <c r="B72" s="932" t="s">
        <v>505</v>
      </c>
      <c r="C72" s="945">
        <v>501</v>
      </c>
      <c r="D72" s="929">
        <v>1748</v>
      </c>
      <c r="E72" s="929">
        <v>2249</v>
      </c>
      <c r="F72" s="929">
        <v>511</v>
      </c>
      <c r="G72" s="929">
        <v>2165</v>
      </c>
      <c r="H72" s="929">
        <v>2676</v>
      </c>
      <c r="I72" s="929">
        <v>691</v>
      </c>
      <c r="J72" s="929">
        <v>1911</v>
      </c>
      <c r="K72" s="929">
        <v>2602</v>
      </c>
      <c r="L72" s="929">
        <v>476</v>
      </c>
      <c r="M72" s="929">
        <v>1661</v>
      </c>
      <c r="N72" s="929">
        <v>2137</v>
      </c>
      <c r="O72" s="929">
        <v>426</v>
      </c>
      <c r="P72" s="929">
        <v>3181</v>
      </c>
      <c r="Q72" s="929">
        <v>3607</v>
      </c>
      <c r="R72" s="929">
        <v>662</v>
      </c>
      <c r="S72" s="929">
        <v>3579</v>
      </c>
      <c r="T72" s="929">
        <v>4241</v>
      </c>
      <c r="U72" s="929">
        <v>699</v>
      </c>
      <c r="V72" s="929">
        <v>4437</v>
      </c>
      <c r="W72" s="929">
        <v>5136</v>
      </c>
      <c r="X72" s="929">
        <v>568</v>
      </c>
      <c r="Y72" s="929">
        <v>3703</v>
      </c>
      <c r="Z72" s="929">
        <v>4271</v>
      </c>
      <c r="AA72" s="929">
        <v>343</v>
      </c>
      <c r="AB72" s="929">
        <v>3053</v>
      </c>
      <c r="AC72" s="929">
        <v>3396</v>
      </c>
      <c r="AD72" s="929">
        <v>316</v>
      </c>
      <c r="AE72" s="929">
        <v>1983</v>
      </c>
      <c r="AF72" s="929">
        <v>2299</v>
      </c>
      <c r="AH72" s="929">
        <f t="shared" si="31"/>
        <v>1703</v>
      </c>
      <c r="AI72" s="929">
        <f t="shared" si="32"/>
        <v>5824</v>
      </c>
      <c r="AJ72" s="929">
        <f t="shared" si="33"/>
        <v>7527</v>
      </c>
      <c r="AK72" s="929">
        <f t="shared" si="34"/>
        <v>2831</v>
      </c>
      <c r="AL72" s="929">
        <f t="shared" si="35"/>
        <v>16561</v>
      </c>
      <c r="AM72" s="929">
        <f t="shared" si="36"/>
        <v>19392</v>
      </c>
      <c r="AN72" s="929">
        <f t="shared" si="37"/>
        <v>659</v>
      </c>
      <c r="AO72" s="929">
        <f t="shared" si="38"/>
        <v>5036</v>
      </c>
      <c r="AP72" s="929">
        <f t="shared" si="39"/>
        <v>5695</v>
      </c>
      <c r="AR72" s="930">
        <f t="shared" si="40"/>
        <v>0.22625215889464595</v>
      </c>
      <c r="AS72" s="930">
        <f t="shared" si="41"/>
        <v>0.14598803630363036</v>
      </c>
      <c r="AT72" s="930">
        <f t="shared" si="42"/>
        <v>0.11571553994732221</v>
      </c>
      <c r="AV72" s="931">
        <v>7620</v>
      </c>
      <c r="AW72" s="931">
        <v>20089</v>
      </c>
      <c r="AX72" s="931">
        <v>6229</v>
      </c>
      <c r="AZ72" s="931">
        <f t="shared" si="43"/>
        <v>1724.041450777202</v>
      </c>
      <c r="BA72" s="931">
        <f t="shared" si="44"/>
        <v>2932.7536613036305</v>
      </c>
      <c r="BB72" s="931">
        <f t="shared" si="45"/>
        <v>720.79209833187008</v>
      </c>
      <c r="BC72" s="948">
        <f t="shared" si="46"/>
        <v>5377.587210412702</v>
      </c>
    </row>
    <row r="73" spans="1:55" s="928" customFormat="1" ht="12" customHeight="1" x14ac:dyDescent="0.2">
      <c r="A73" s="928" t="s">
        <v>172</v>
      </c>
      <c r="B73" s="932" t="s">
        <v>506</v>
      </c>
      <c r="C73" s="945">
        <v>775</v>
      </c>
      <c r="D73" s="929">
        <v>901</v>
      </c>
      <c r="E73" s="929">
        <v>1676</v>
      </c>
      <c r="F73" s="929">
        <v>432</v>
      </c>
      <c r="G73" s="929">
        <v>1029</v>
      </c>
      <c r="H73" s="929">
        <v>1461</v>
      </c>
      <c r="I73" s="929">
        <v>418</v>
      </c>
      <c r="J73" s="929">
        <v>1565</v>
      </c>
      <c r="K73" s="929">
        <v>1983</v>
      </c>
      <c r="L73" s="929">
        <v>323</v>
      </c>
      <c r="M73" s="929">
        <v>1466</v>
      </c>
      <c r="N73" s="929">
        <v>1789</v>
      </c>
      <c r="O73" s="929">
        <v>723</v>
      </c>
      <c r="P73" s="929">
        <v>1909</v>
      </c>
      <c r="Q73" s="929">
        <v>2632</v>
      </c>
      <c r="R73" s="929">
        <v>616</v>
      </c>
      <c r="S73" s="929">
        <v>2640</v>
      </c>
      <c r="T73" s="929">
        <v>3256</v>
      </c>
      <c r="U73" s="929">
        <v>419</v>
      </c>
      <c r="V73" s="929">
        <v>3194</v>
      </c>
      <c r="W73" s="929">
        <v>3613</v>
      </c>
      <c r="X73" s="929">
        <v>392</v>
      </c>
      <c r="Y73" s="929">
        <v>2877</v>
      </c>
      <c r="Z73" s="929">
        <v>3269</v>
      </c>
      <c r="AA73" s="929">
        <v>339</v>
      </c>
      <c r="AB73" s="929">
        <v>2115</v>
      </c>
      <c r="AC73" s="929">
        <v>2454</v>
      </c>
      <c r="AD73" s="929">
        <v>401</v>
      </c>
      <c r="AE73" s="929">
        <v>1263</v>
      </c>
      <c r="AF73" s="929">
        <v>1664</v>
      </c>
      <c r="AH73" s="929">
        <f t="shared" si="31"/>
        <v>1625</v>
      </c>
      <c r="AI73" s="929">
        <f t="shared" si="32"/>
        <v>3495</v>
      </c>
      <c r="AJ73" s="929">
        <f t="shared" si="33"/>
        <v>5120</v>
      </c>
      <c r="AK73" s="929">
        <f t="shared" si="34"/>
        <v>2473</v>
      </c>
      <c r="AL73" s="929">
        <f t="shared" si="35"/>
        <v>12086</v>
      </c>
      <c r="AM73" s="929">
        <f t="shared" si="36"/>
        <v>14559</v>
      </c>
      <c r="AN73" s="929">
        <f t="shared" si="37"/>
        <v>740</v>
      </c>
      <c r="AO73" s="929">
        <f t="shared" si="38"/>
        <v>3378</v>
      </c>
      <c r="AP73" s="929">
        <f t="shared" si="39"/>
        <v>4118</v>
      </c>
      <c r="AR73" s="930">
        <f t="shared" si="40"/>
        <v>0.3173828125</v>
      </c>
      <c r="AS73" s="930">
        <f t="shared" si="41"/>
        <v>0.16986056734665841</v>
      </c>
      <c r="AT73" s="930">
        <f t="shared" si="42"/>
        <v>0.17969888295288974</v>
      </c>
      <c r="AV73" s="931">
        <v>5045</v>
      </c>
      <c r="AW73" s="931">
        <v>14610</v>
      </c>
      <c r="AX73" s="931">
        <v>4303</v>
      </c>
      <c r="AZ73" s="931">
        <f t="shared" si="43"/>
        <v>1601.1962890625</v>
      </c>
      <c r="BA73" s="931">
        <f t="shared" si="44"/>
        <v>2481.6628889346794</v>
      </c>
      <c r="BB73" s="931">
        <f t="shared" si="45"/>
        <v>773.24429334628462</v>
      </c>
      <c r="BC73" s="948">
        <f t="shared" si="46"/>
        <v>4856.1034713434638</v>
      </c>
    </row>
    <row r="74" spans="1:55" s="928" customFormat="1" ht="12" customHeight="1" x14ac:dyDescent="0.2">
      <c r="A74" s="928" t="s">
        <v>174</v>
      </c>
      <c r="B74" s="932" t="s">
        <v>507</v>
      </c>
      <c r="C74" s="945">
        <v>229</v>
      </c>
      <c r="D74" s="929">
        <v>714</v>
      </c>
      <c r="E74" s="929">
        <v>943</v>
      </c>
      <c r="F74" s="929">
        <v>471</v>
      </c>
      <c r="G74" s="929">
        <v>634</v>
      </c>
      <c r="H74" s="929">
        <v>1105</v>
      </c>
      <c r="I74" s="929">
        <v>242</v>
      </c>
      <c r="J74" s="929">
        <v>1264</v>
      </c>
      <c r="K74" s="929">
        <v>1506</v>
      </c>
      <c r="L74" s="929">
        <v>136</v>
      </c>
      <c r="M74" s="929">
        <v>1097</v>
      </c>
      <c r="N74" s="929">
        <v>1233</v>
      </c>
      <c r="O74" s="929">
        <v>412</v>
      </c>
      <c r="P74" s="929">
        <v>1241</v>
      </c>
      <c r="Q74" s="929">
        <v>1653</v>
      </c>
      <c r="R74" s="929">
        <v>640</v>
      </c>
      <c r="S74" s="929">
        <v>1884</v>
      </c>
      <c r="T74" s="929">
        <v>2524</v>
      </c>
      <c r="U74" s="929">
        <v>523</v>
      </c>
      <c r="V74" s="929">
        <v>2324</v>
      </c>
      <c r="W74" s="929">
        <v>2847</v>
      </c>
      <c r="X74" s="929">
        <v>422</v>
      </c>
      <c r="Y74" s="929">
        <v>2348</v>
      </c>
      <c r="Z74" s="929">
        <v>2770</v>
      </c>
      <c r="AA74" s="929">
        <v>329</v>
      </c>
      <c r="AB74" s="929">
        <v>1918</v>
      </c>
      <c r="AC74" s="929">
        <v>2247</v>
      </c>
      <c r="AD74" s="929">
        <v>337</v>
      </c>
      <c r="AE74" s="929">
        <v>1199</v>
      </c>
      <c r="AF74" s="929">
        <v>1536</v>
      </c>
      <c r="AH74" s="929">
        <f t="shared" si="31"/>
        <v>942</v>
      </c>
      <c r="AI74" s="929">
        <f t="shared" si="32"/>
        <v>2612</v>
      </c>
      <c r="AJ74" s="929">
        <f t="shared" si="33"/>
        <v>3554</v>
      </c>
      <c r="AK74" s="929">
        <f t="shared" si="34"/>
        <v>2133</v>
      </c>
      <c r="AL74" s="929">
        <f t="shared" si="35"/>
        <v>8894</v>
      </c>
      <c r="AM74" s="929">
        <f t="shared" si="36"/>
        <v>11027</v>
      </c>
      <c r="AN74" s="929">
        <f t="shared" si="37"/>
        <v>666</v>
      </c>
      <c r="AO74" s="929">
        <f t="shared" si="38"/>
        <v>3117</v>
      </c>
      <c r="AP74" s="929">
        <f t="shared" si="39"/>
        <v>3783</v>
      </c>
      <c r="AR74" s="930">
        <f t="shared" si="40"/>
        <v>0.265053460889139</v>
      </c>
      <c r="AS74" s="930">
        <f t="shared" si="41"/>
        <v>0.19343429763308242</v>
      </c>
      <c r="AT74" s="930">
        <f t="shared" si="42"/>
        <v>0.17605075337034101</v>
      </c>
      <c r="AV74" s="931">
        <v>3460</v>
      </c>
      <c r="AW74" s="931">
        <v>10852</v>
      </c>
      <c r="AX74" s="931">
        <v>4078</v>
      </c>
      <c r="AZ74" s="931">
        <f t="shared" si="43"/>
        <v>917.08497467642098</v>
      </c>
      <c r="BA74" s="931">
        <f t="shared" si="44"/>
        <v>2099.1489979142107</v>
      </c>
      <c r="BB74" s="931">
        <f t="shared" si="45"/>
        <v>717.93497224425062</v>
      </c>
      <c r="BC74" s="948">
        <f t="shared" si="46"/>
        <v>3734.1689448348825</v>
      </c>
    </row>
    <row r="75" spans="1:55" s="928" customFormat="1" ht="12" customHeight="1" x14ac:dyDescent="0.2">
      <c r="A75" s="928" t="s">
        <v>178</v>
      </c>
      <c r="B75" s="932" t="s">
        <v>179</v>
      </c>
      <c r="C75" s="945">
        <v>1130</v>
      </c>
      <c r="D75" s="929">
        <v>2580</v>
      </c>
      <c r="E75" s="929">
        <v>3710</v>
      </c>
      <c r="F75" s="929">
        <v>1125</v>
      </c>
      <c r="G75" s="929">
        <v>3520</v>
      </c>
      <c r="H75" s="929">
        <v>4645</v>
      </c>
      <c r="I75" s="929">
        <v>1269</v>
      </c>
      <c r="J75" s="929">
        <v>3665</v>
      </c>
      <c r="K75" s="929">
        <v>4934</v>
      </c>
      <c r="L75" s="929">
        <v>1053</v>
      </c>
      <c r="M75" s="929">
        <v>3316</v>
      </c>
      <c r="N75" s="929">
        <v>4369</v>
      </c>
      <c r="O75" s="929">
        <v>1200</v>
      </c>
      <c r="P75" s="929">
        <v>4766</v>
      </c>
      <c r="Q75" s="929">
        <v>5966</v>
      </c>
      <c r="R75" s="929">
        <v>1363</v>
      </c>
      <c r="S75" s="929">
        <v>6905</v>
      </c>
      <c r="T75" s="929">
        <v>8268</v>
      </c>
      <c r="U75" s="929">
        <v>1692</v>
      </c>
      <c r="V75" s="929">
        <v>8657</v>
      </c>
      <c r="W75" s="929">
        <v>10349</v>
      </c>
      <c r="X75" s="929">
        <v>1173</v>
      </c>
      <c r="Y75" s="929">
        <v>8086</v>
      </c>
      <c r="Z75" s="929">
        <v>9259</v>
      </c>
      <c r="AA75" s="929">
        <v>872</v>
      </c>
      <c r="AB75" s="929">
        <v>5309</v>
      </c>
      <c r="AC75" s="929">
        <v>6181</v>
      </c>
      <c r="AD75" s="929">
        <v>1413</v>
      </c>
      <c r="AE75" s="929">
        <v>2995</v>
      </c>
      <c r="AF75" s="929">
        <v>4408</v>
      </c>
      <c r="AH75" s="929">
        <f t="shared" si="31"/>
        <v>3524</v>
      </c>
      <c r="AI75" s="929">
        <f t="shared" si="32"/>
        <v>9765</v>
      </c>
      <c r="AJ75" s="929">
        <f t="shared" si="33"/>
        <v>13289</v>
      </c>
      <c r="AK75" s="929">
        <f t="shared" si="34"/>
        <v>6481</v>
      </c>
      <c r="AL75" s="929">
        <f t="shared" si="35"/>
        <v>31730</v>
      </c>
      <c r="AM75" s="929">
        <f t="shared" si="36"/>
        <v>38211</v>
      </c>
      <c r="AN75" s="929">
        <f t="shared" si="37"/>
        <v>2285</v>
      </c>
      <c r="AO75" s="929">
        <f t="shared" si="38"/>
        <v>8304</v>
      </c>
      <c r="AP75" s="929">
        <f t="shared" si="39"/>
        <v>10589</v>
      </c>
      <c r="AR75" s="930">
        <f t="shared" si="40"/>
        <v>0.26518172924975542</v>
      </c>
      <c r="AS75" s="930">
        <f t="shared" si="41"/>
        <v>0.16961084504462065</v>
      </c>
      <c r="AT75" s="930">
        <f t="shared" si="42"/>
        <v>0.21578997072433659</v>
      </c>
      <c r="AV75" s="931">
        <v>13078</v>
      </c>
      <c r="AW75" s="931">
        <v>38645</v>
      </c>
      <c r="AX75" s="931">
        <v>11121</v>
      </c>
      <c r="AZ75" s="931">
        <f t="shared" si="43"/>
        <v>3468.0466551283012</v>
      </c>
      <c r="BA75" s="931">
        <f t="shared" si="44"/>
        <v>6554.6111067493648</v>
      </c>
      <c r="BB75" s="931">
        <f t="shared" si="45"/>
        <v>2399.800264425347</v>
      </c>
      <c r="BC75" s="948">
        <f t="shared" si="46"/>
        <v>12422.458026303013</v>
      </c>
    </row>
    <row r="76" spans="1:55" s="928" customFormat="1" ht="12" customHeight="1" x14ac:dyDescent="0.2">
      <c r="A76" s="928" t="s">
        <v>182</v>
      </c>
      <c r="B76" s="932" t="s">
        <v>509</v>
      </c>
      <c r="C76" s="945">
        <v>116</v>
      </c>
      <c r="D76" s="929">
        <v>1720</v>
      </c>
      <c r="E76" s="929">
        <v>1836</v>
      </c>
      <c r="F76" s="929">
        <v>99</v>
      </c>
      <c r="G76" s="929">
        <v>1781</v>
      </c>
      <c r="H76" s="929">
        <v>1880</v>
      </c>
      <c r="I76" s="929">
        <v>85</v>
      </c>
      <c r="J76" s="929">
        <v>1899</v>
      </c>
      <c r="K76" s="929">
        <v>1984</v>
      </c>
      <c r="L76" s="929">
        <v>71</v>
      </c>
      <c r="M76" s="929">
        <v>1268</v>
      </c>
      <c r="N76" s="929">
        <v>1339</v>
      </c>
      <c r="O76" s="929">
        <v>256</v>
      </c>
      <c r="P76" s="929">
        <v>1787</v>
      </c>
      <c r="Q76" s="929">
        <v>2043</v>
      </c>
      <c r="R76" s="929">
        <v>106</v>
      </c>
      <c r="S76" s="929">
        <v>3616</v>
      </c>
      <c r="T76" s="929">
        <v>3722</v>
      </c>
      <c r="U76" s="929">
        <v>244</v>
      </c>
      <c r="V76" s="929">
        <v>3896</v>
      </c>
      <c r="W76" s="929">
        <v>4140</v>
      </c>
      <c r="X76" s="929">
        <v>311</v>
      </c>
      <c r="Y76" s="929">
        <v>3353</v>
      </c>
      <c r="Z76" s="929">
        <v>3664</v>
      </c>
      <c r="AA76" s="929">
        <v>119</v>
      </c>
      <c r="AB76" s="929">
        <v>1966</v>
      </c>
      <c r="AC76" s="929">
        <v>2085</v>
      </c>
      <c r="AD76" s="929">
        <v>119</v>
      </c>
      <c r="AE76" s="929">
        <v>949</v>
      </c>
      <c r="AF76" s="929">
        <v>1068</v>
      </c>
      <c r="AH76" s="929">
        <f t="shared" si="31"/>
        <v>300</v>
      </c>
      <c r="AI76" s="929">
        <f t="shared" si="32"/>
        <v>5400</v>
      </c>
      <c r="AJ76" s="929">
        <f t="shared" si="33"/>
        <v>5700</v>
      </c>
      <c r="AK76" s="929">
        <f t="shared" si="34"/>
        <v>988</v>
      </c>
      <c r="AL76" s="929">
        <f t="shared" si="35"/>
        <v>13920</v>
      </c>
      <c r="AM76" s="929">
        <f t="shared" si="36"/>
        <v>14908</v>
      </c>
      <c r="AN76" s="929">
        <f t="shared" si="37"/>
        <v>238</v>
      </c>
      <c r="AO76" s="929">
        <f t="shared" si="38"/>
        <v>2915</v>
      </c>
      <c r="AP76" s="929">
        <f t="shared" si="39"/>
        <v>3153</v>
      </c>
      <c r="AR76" s="930">
        <f t="shared" si="40"/>
        <v>5.2631578947368418E-2</v>
      </c>
      <c r="AS76" s="930">
        <f t="shared" si="41"/>
        <v>6.6273141937214924E-2</v>
      </c>
      <c r="AT76" s="930">
        <f t="shared" si="42"/>
        <v>7.5483666349508399E-2</v>
      </c>
      <c r="AV76" s="931">
        <v>6162</v>
      </c>
      <c r="AW76" s="931">
        <v>18285</v>
      </c>
      <c r="AX76" s="931">
        <v>3663</v>
      </c>
      <c r="AZ76" s="931">
        <f t="shared" si="43"/>
        <v>324.31578947368422</v>
      </c>
      <c r="BA76" s="931">
        <f t="shared" si="44"/>
        <v>1211.804400321975</v>
      </c>
      <c r="BB76" s="931">
        <f t="shared" si="45"/>
        <v>276.49666983824926</v>
      </c>
      <c r="BC76" s="948">
        <f t="shared" si="46"/>
        <v>1812.6168596339085</v>
      </c>
    </row>
    <row r="77" spans="1:55" s="928" customFormat="1" ht="12" customHeight="1" x14ac:dyDescent="0.2">
      <c r="A77" s="928" t="s">
        <v>184</v>
      </c>
      <c r="B77" s="932" t="s">
        <v>510</v>
      </c>
      <c r="C77" s="945">
        <v>398</v>
      </c>
      <c r="D77" s="929">
        <v>825</v>
      </c>
      <c r="E77" s="929">
        <v>1223</v>
      </c>
      <c r="F77" s="929">
        <v>365</v>
      </c>
      <c r="G77" s="929">
        <v>1027</v>
      </c>
      <c r="H77" s="929">
        <v>1392</v>
      </c>
      <c r="I77" s="929">
        <v>393</v>
      </c>
      <c r="J77" s="929">
        <v>914</v>
      </c>
      <c r="K77" s="929">
        <v>1307</v>
      </c>
      <c r="L77" s="929">
        <v>1021</v>
      </c>
      <c r="M77" s="929">
        <v>1066</v>
      </c>
      <c r="N77" s="929">
        <v>2087</v>
      </c>
      <c r="O77" s="929">
        <v>317</v>
      </c>
      <c r="P77" s="929">
        <v>1303</v>
      </c>
      <c r="Q77" s="929">
        <v>1620</v>
      </c>
      <c r="R77" s="929">
        <v>505</v>
      </c>
      <c r="S77" s="929">
        <v>2007</v>
      </c>
      <c r="T77" s="929">
        <v>2512</v>
      </c>
      <c r="U77" s="929">
        <v>425</v>
      </c>
      <c r="V77" s="929">
        <v>2272</v>
      </c>
      <c r="W77" s="929">
        <v>2697</v>
      </c>
      <c r="X77" s="929">
        <v>322</v>
      </c>
      <c r="Y77" s="929">
        <v>2083</v>
      </c>
      <c r="Z77" s="929">
        <v>2405</v>
      </c>
      <c r="AA77" s="929">
        <v>176</v>
      </c>
      <c r="AB77" s="929">
        <v>1430</v>
      </c>
      <c r="AC77" s="929">
        <v>1606</v>
      </c>
      <c r="AD77" s="929">
        <v>272</v>
      </c>
      <c r="AE77" s="929">
        <v>1167</v>
      </c>
      <c r="AF77" s="929">
        <v>1439</v>
      </c>
      <c r="AH77" s="929">
        <f t="shared" si="31"/>
        <v>1156</v>
      </c>
      <c r="AI77" s="929">
        <f t="shared" si="32"/>
        <v>2766</v>
      </c>
      <c r="AJ77" s="929">
        <f t="shared" si="33"/>
        <v>3922</v>
      </c>
      <c r="AK77" s="929">
        <f t="shared" si="34"/>
        <v>2590</v>
      </c>
      <c r="AL77" s="929">
        <f t="shared" si="35"/>
        <v>8731</v>
      </c>
      <c r="AM77" s="929">
        <f t="shared" si="36"/>
        <v>11321</v>
      </c>
      <c r="AN77" s="929">
        <f t="shared" si="37"/>
        <v>448</v>
      </c>
      <c r="AO77" s="929">
        <f t="shared" si="38"/>
        <v>2597</v>
      </c>
      <c r="AP77" s="929">
        <f t="shared" si="39"/>
        <v>3045</v>
      </c>
      <c r="AR77" s="930">
        <f t="shared" si="40"/>
        <v>0.29474757776644567</v>
      </c>
      <c r="AS77" s="930">
        <f t="shared" si="41"/>
        <v>0.22877837646850985</v>
      </c>
      <c r="AT77" s="930">
        <f t="shared" si="42"/>
        <v>0.14712643678160919</v>
      </c>
      <c r="AV77" s="931">
        <v>3992</v>
      </c>
      <c r="AW77" s="931">
        <v>16036</v>
      </c>
      <c r="AX77" s="931">
        <v>3315</v>
      </c>
      <c r="AZ77" s="931">
        <f t="shared" si="43"/>
        <v>1176.6323304436512</v>
      </c>
      <c r="BA77" s="931">
        <f t="shared" si="44"/>
        <v>3668.6900450490239</v>
      </c>
      <c r="BB77" s="931">
        <f t="shared" si="45"/>
        <v>487.72413793103448</v>
      </c>
      <c r="BC77" s="948">
        <f t="shared" si="46"/>
        <v>5333.0465134237093</v>
      </c>
    </row>
    <row r="78" spans="1:55" s="928" customFormat="1" ht="12" customHeight="1" x14ac:dyDescent="0.2">
      <c r="A78" s="928" t="s">
        <v>186</v>
      </c>
      <c r="B78" s="932" t="s">
        <v>511</v>
      </c>
      <c r="C78" s="945">
        <v>355</v>
      </c>
      <c r="D78" s="929">
        <v>2036</v>
      </c>
      <c r="E78" s="929">
        <v>2391</v>
      </c>
      <c r="F78" s="929">
        <v>307</v>
      </c>
      <c r="G78" s="929">
        <v>2366</v>
      </c>
      <c r="H78" s="929">
        <v>2673</v>
      </c>
      <c r="I78" s="929">
        <v>391</v>
      </c>
      <c r="J78" s="929">
        <v>2543</v>
      </c>
      <c r="K78" s="929">
        <v>2934</v>
      </c>
      <c r="L78" s="929">
        <v>246</v>
      </c>
      <c r="M78" s="929">
        <v>1687</v>
      </c>
      <c r="N78" s="929">
        <v>1933</v>
      </c>
      <c r="O78" s="929">
        <v>345</v>
      </c>
      <c r="P78" s="929">
        <v>2990</v>
      </c>
      <c r="Q78" s="929">
        <v>3335</v>
      </c>
      <c r="R78" s="929">
        <v>310</v>
      </c>
      <c r="S78" s="929">
        <v>4073</v>
      </c>
      <c r="T78" s="929">
        <v>4383</v>
      </c>
      <c r="U78" s="929">
        <v>296</v>
      </c>
      <c r="V78" s="929">
        <v>4718</v>
      </c>
      <c r="W78" s="929">
        <v>5014</v>
      </c>
      <c r="X78" s="929">
        <v>228</v>
      </c>
      <c r="Y78" s="929">
        <v>3673</v>
      </c>
      <c r="Z78" s="929">
        <v>3901</v>
      </c>
      <c r="AA78" s="929">
        <v>65</v>
      </c>
      <c r="AB78" s="929">
        <v>2222</v>
      </c>
      <c r="AC78" s="929">
        <v>2287</v>
      </c>
      <c r="AD78" s="929">
        <v>195</v>
      </c>
      <c r="AE78" s="929">
        <v>1059</v>
      </c>
      <c r="AF78" s="929">
        <v>1254</v>
      </c>
      <c r="AH78" s="929">
        <f t="shared" si="31"/>
        <v>1053</v>
      </c>
      <c r="AI78" s="929">
        <f t="shared" si="32"/>
        <v>6945</v>
      </c>
      <c r="AJ78" s="929">
        <f t="shared" si="33"/>
        <v>7998</v>
      </c>
      <c r="AK78" s="929">
        <f t="shared" si="34"/>
        <v>1425</v>
      </c>
      <c r="AL78" s="929">
        <f t="shared" si="35"/>
        <v>17141</v>
      </c>
      <c r="AM78" s="929">
        <f t="shared" si="36"/>
        <v>18566</v>
      </c>
      <c r="AN78" s="929">
        <f t="shared" si="37"/>
        <v>260</v>
      </c>
      <c r="AO78" s="929">
        <f t="shared" si="38"/>
        <v>3281</v>
      </c>
      <c r="AP78" s="929">
        <f t="shared" si="39"/>
        <v>3541</v>
      </c>
      <c r="AR78" s="930">
        <f t="shared" si="40"/>
        <v>0.13165791447861966</v>
      </c>
      <c r="AS78" s="930">
        <f t="shared" si="41"/>
        <v>7.6753204782936554E-2</v>
      </c>
      <c r="AT78" s="930">
        <f t="shared" si="42"/>
        <v>7.3425585992657444E-2</v>
      </c>
      <c r="AV78" s="931">
        <v>8221</v>
      </c>
      <c r="AW78" s="931">
        <v>24450</v>
      </c>
      <c r="AX78" s="931">
        <v>3884</v>
      </c>
      <c r="AZ78" s="931">
        <f t="shared" si="43"/>
        <v>1082.3597149287323</v>
      </c>
      <c r="BA78" s="931">
        <f t="shared" si="44"/>
        <v>1876.6158569427987</v>
      </c>
      <c r="BB78" s="931">
        <f t="shared" si="45"/>
        <v>285.18497599548152</v>
      </c>
      <c r="BC78" s="948">
        <f t="shared" si="46"/>
        <v>3244.1605478670126</v>
      </c>
    </row>
    <row r="79" spans="1:55" s="928" customFormat="1" ht="12" customHeight="1" x14ac:dyDescent="0.2">
      <c r="A79" s="928" t="s">
        <v>188</v>
      </c>
      <c r="B79" s="932" t="s">
        <v>512</v>
      </c>
      <c r="C79" s="945">
        <v>4288</v>
      </c>
      <c r="D79" s="929">
        <v>34816</v>
      </c>
      <c r="E79" s="929">
        <v>39104</v>
      </c>
      <c r="F79" s="929">
        <v>4217</v>
      </c>
      <c r="G79" s="929">
        <v>33737</v>
      </c>
      <c r="H79" s="929">
        <v>37954</v>
      </c>
      <c r="I79" s="929">
        <v>3542</v>
      </c>
      <c r="J79" s="929">
        <v>31336</v>
      </c>
      <c r="K79" s="929">
        <v>34878</v>
      </c>
      <c r="L79" s="929">
        <v>3608</v>
      </c>
      <c r="M79" s="929">
        <v>28048</v>
      </c>
      <c r="N79" s="929">
        <v>31656</v>
      </c>
      <c r="O79" s="929">
        <v>4539</v>
      </c>
      <c r="P79" s="929">
        <v>52536</v>
      </c>
      <c r="Q79" s="929">
        <v>57075</v>
      </c>
      <c r="R79" s="929">
        <v>4562</v>
      </c>
      <c r="S79" s="929">
        <v>59713</v>
      </c>
      <c r="T79" s="929">
        <v>64275</v>
      </c>
      <c r="U79" s="929">
        <v>2812</v>
      </c>
      <c r="V79" s="929">
        <v>55760</v>
      </c>
      <c r="W79" s="929">
        <v>58572</v>
      </c>
      <c r="X79" s="929">
        <v>1527</v>
      </c>
      <c r="Y79" s="929">
        <v>35219</v>
      </c>
      <c r="Z79" s="929">
        <v>36746</v>
      </c>
      <c r="AA79" s="929">
        <v>758</v>
      </c>
      <c r="AB79" s="929">
        <v>16123</v>
      </c>
      <c r="AC79" s="929">
        <v>16881</v>
      </c>
      <c r="AD79" s="929">
        <v>794</v>
      </c>
      <c r="AE79" s="929">
        <v>7985</v>
      </c>
      <c r="AF79" s="929">
        <v>8779</v>
      </c>
      <c r="AH79" s="929">
        <f t="shared" si="31"/>
        <v>12047</v>
      </c>
      <c r="AI79" s="929">
        <f t="shared" si="32"/>
        <v>99889</v>
      </c>
      <c r="AJ79" s="929">
        <f t="shared" si="33"/>
        <v>111936</v>
      </c>
      <c r="AK79" s="929">
        <f t="shared" si="34"/>
        <v>17048</v>
      </c>
      <c r="AL79" s="929">
        <f t="shared" si="35"/>
        <v>231276</v>
      </c>
      <c r="AM79" s="929">
        <f t="shared" si="36"/>
        <v>248324</v>
      </c>
      <c r="AN79" s="929">
        <f t="shared" si="37"/>
        <v>1552</v>
      </c>
      <c r="AO79" s="929">
        <f t="shared" si="38"/>
        <v>24108</v>
      </c>
      <c r="AP79" s="929">
        <f t="shared" si="39"/>
        <v>25660</v>
      </c>
      <c r="AR79" s="930">
        <f t="shared" si="40"/>
        <v>0.10762399942824472</v>
      </c>
      <c r="AS79" s="930">
        <f t="shared" si="41"/>
        <v>6.8652244648121002E-2</v>
      </c>
      <c r="AT79" s="930">
        <f t="shared" si="42"/>
        <v>6.0483242400623541E-2</v>
      </c>
      <c r="AV79" s="931">
        <v>119405</v>
      </c>
      <c r="AW79" s="931">
        <v>269765</v>
      </c>
      <c r="AX79" s="931">
        <v>29836</v>
      </c>
      <c r="AZ79" s="931">
        <f t="shared" si="43"/>
        <v>12850.843651729559</v>
      </c>
      <c r="BA79" s="931">
        <f t="shared" si="44"/>
        <v>18519.972777500363</v>
      </c>
      <c r="BB79" s="931">
        <f t="shared" si="45"/>
        <v>1804.5780202650039</v>
      </c>
      <c r="BC79" s="948">
        <f t="shared" si="46"/>
        <v>33175.394449494925</v>
      </c>
    </row>
    <row r="80" spans="1:55" s="928" customFormat="1" ht="12" customHeight="1" x14ac:dyDescent="0.2">
      <c r="A80" s="928" t="s">
        <v>190</v>
      </c>
      <c r="B80" s="932" t="s">
        <v>513</v>
      </c>
      <c r="C80" s="945">
        <v>699</v>
      </c>
      <c r="D80" s="929">
        <v>1352</v>
      </c>
      <c r="E80" s="929">
        <v>2051</v>
      </c>
      <c r="F80" s="929">
        <v>710</v>
      </c>
      <c r="G80" s="929">
        <v>1520</v>
      </c>
      <c r="H80" s="929">
        <v>2230</v>
      </c>
      <c r="I80" s="929">
        <v>573</v>
      </c>
      <c r="J80" s="929">
        <v>1860</v>
      </c>
      <c r="K80" s="929">
        <v>2433</v>
      </c>
      <c r="L80" s="929">
        <v>637</v>
      </c>
      <c r="M80" s="929">
        <v>1775</v>
      </c>
      <c r="N80" s="929">
        <v>2412</v>
      </c>
      <c r="O80" s="929">
        <v>905</v>
      </c>
      <c r="P80" s="929">
        <v>2595</v>
      </c>
      <c r="Q80" s="929">
        <v>3500</v>
      </c>
      <c r="R80" s="929">
        <v>991</v>
      </c>
      <c r="S80" s="929">
        <v>3860</v>
      </c>
      <c r="T80" s="929">
        <v>4851</v>
      </c>
      <c r="U80" s="929">
        <v>723</v>
      </c>
      <c r="V80" s="929">
        <v>4460</v>
      </c>
      <c r="W80" s="929">
        <v>5183</v>
      </c>
      <c r="X80" s="929">
        <v>845</v>
      </c>
      <c r="Y80" s="929">
        <v>4439</v>
      </c>
      <c r="Z80" s="929">
        <v>5284</v>
      </c>
      <c r="AA80" s="929">
        <v>542</v>
      </c>
      <c r="AB80" s="929">
        <v>3030</v>
      </c>
      <c r="AC80" s="929">
        <v>3572</v>
      </c>
      <c r="AD80" s="929">
        <v>577</v>
      </c>
      <c r="AE80" s="929">
        <v>1746</v>
      </c>
      <c r="AF80" s="929">
        <v>2323</v>
      </c>
      <c r="AH80" s="929">
        <f t="shared" si="31"/>
        <v>1982</v>
      </c>
      <c r="AI80" s="929">
        <f t="shared" si="32"/>
        <v>4732</v>
      </c>
      <c r="AJ80" s="929">
        <f t="shared" si="33"/>
        <v>6714</v>
      </c>
      <c r="AK80" s="929">
        <f t="shared" si="34"/>
        <v>4101</v>
      </c>
      <c r="AL80" s="929">
        <f t="shared" si="35"/>
        <v>17129</v>
      </c>
      <c r="AM80" s="929">
        <f t="shared" si="36"/>
        <v>21230</v>
      </c>
      <c r="AN80" s="929">
        <f t="shared" si="37"/>
        <v>1119</v>
      </c>
      <c r="AO80" s="929">
        <f t="shared" si="38"/>
        <v>4776</v>
      </c>
      <c r="AP80" s="929">
        <f t="shared" si="39"/>
        <v>5895</v>
      </c>
      <c r="AR80" s="930">
        <f t="shared" si="40"/>
        <v>0.29520405123622284</v>
      </c>
      <c r="AS80" s="930">
        <f t="shared" si="41"/>
        <v>0.19317004239284033</v>
      </c>
      <c r="AT80" s="930">
        <f t="shared" si="42"/>
        <v>0.18982188295165395</v>
      </c>
      <c r="AV80" s="931">
        <v>6655</v>
      </c>
      <c r="AW80" s="931">
        <v>21596</v>
      </c>
      <c r="AX80" s="931">
        <v>6356</v>
      </c>
      <c r="AZ80" s="931">
        <f t="shared" si="43"/>
        <v>1964.5829609770631</v>
      </c>
      <c r="BA80" s="931">
        <f t="shared" si="44"/>
        <v>4171.7002355157802</v>
      </c>
      <c r="BB80" s="931">
        <f t="shared" si="45"/>
        <v>1206.5078880407125</v>
      </c>
      <c r="BC80" s="948">
        <f t="shared" si="46"/>
        <v>7342.7910845335555</v>
      </c>
    </row>
    <row r="81" spans="1:55" s="928" customFormat="1" ht="12" customHeight="1" x14ac:dyDescent="0.2">
      <c r="A81" s="928" t="s">
        <v>194</v>
      </c>
      <c r="B81" s="932" t="s">
        <v>195</v>
      </c>
      <c r="C81" s="945">
        <v>102</v>
      </c>
      <c r="D81" s="929">
        <v>335</v>
      </c>
      <c r="E81" s="929">
        <v>437</v>
      </c>
      <c r="F81" s="929">
        <v>64</v>
      </c>
      <c r="G81" s="929">
        <v>391</v>
      </c>
      <c r="H81" s="929">
        <v>455</v>
      </c>
      <c r="I81" s="929">
        <v>117</v>
      </c>
      <c r="J81" s="929">
        <v>447</v>
      </c>
      <c r="K81" s="929">
        <v>564</v>
      </c>
      <c r="L81" s="929">
        <v>53</v>
      </c>
      <c r="M81" s="929">
        <v>412</v>
      </c>
      <c r="N81" s="929">
        <v>465</v>
      </c>
      <c r="O81" s="929">
        <v>114</v>
      </c>
      <c r="P81" s="929">
        <v>466</v>
      </c>
      <c r="Q81" s="929">
        <v>580</v>
      </c>
      <c r="R81" s="929">
        <v>123</v>
      </c>
      <c r="S81" s="929">
        <v>749</v>
      </c>
      <c r="T81" s="929">
        <v>872</v>
      </c>
      <c r="U81" s="929">
        <v>95</v>
      </c>
      <c r="V81" s="929">
        <v>1198</v>
      </c>
      <c r="W81" s="929">
        <v>1293</v>
      </c>
      <c r="X81" s="929">
        <v>111</v>
      </c>
      <c r="Y81" s="929">
        <v>1160</v>
      </c>
      <c r="Z81" s="929">
        <v>1271</v>
      </c>
      <c r="AA81" s="929">
        <v>46</v>
      </c>
      <c r="AB81" s="929">
        <v>822</v>
      </c>
      <c r="AC81" s="929">
        <v>868</v>
      </c>
      <c r="AD81" s="929">
        <v>111</v>
      </c>
      <c r="AE81" s="929">
        <v>424</v>
      </c>
      <c r="AF81" s="929">
        <v>535</v>
      </c>
      <c r="AH81" s="929">
        <f t="shared" si="31"/>
        <v>283</v>
      </c>
      <c r="AI81" s="929">
        <f t="shared" si="32"/>
        <v>1173</v>
      </c>
      <c r="AJ81" s="929">
        <f t="shared" si="33"/>
        <v>1456</v>
      </c>
      <c r="AK81" s="929">
        <f t="shared" si="34"/>
        <v>496</v>
      </c>
      <c r="AL81" s="929">
        <f t="shared" si="35"/>
        <v>3985</v>
      </c>
      <c r="AM81" s="929">
        <f t="shared" si="36"/>
        <v>4481</v>
      </c>
      <c r="AN81" s="929">
        <f t="shared" si="37"/>
        <v>157</v>
      </c>
      <c r="AO81" s="929">
        <f t="shared" si="38"/>
        <v>1246</v>
      </c>
      <c r="AP81" s="929">
        <f t="shared" si="39"/>
        <v>1403</v>
      </c>
      <c r="AR81" s="930">
        <f t="shared" si="40"/>
        <v>0.19436813186813187</v>
      </c>
      <c r="AS81" s="930">
        <f t="shared" si="41"/>
        <v>0.11068957821914752</v>
      </c>
      <c r="AT81" s="930">
        <f t="shared" si="42"/>
        <v>0.11190306486101212</v>
      </c>
      <c r="AV81" s="931">
        <v>1444</v>
      </c>
      <c r="AW81" s="931">
        <v>4547</v>
      </c>
      <c r="AX81" s="931">
        <v>1453</v>
      </c>
      <c r="AZ81" s="931">
        <f t="shared" si="43"/>
        <v>280.66758241758242</v>
      </c>
      <c r="BA81" s="931">
        <f t="shared" si="44"/>
        <v>503.30551216246374</v>
      </c>
      <c r="BB81" s="931">
        <f t="shared" si="45"/>
        <v>162.59515324305062</v>
      </c>
      <c r="BC81" s="948">
        <f t="shared" si="46"/>
        <v>946.56824782309673</v>
      </c>
    </row>
    <row r="82" spans="1:55" s="928" customFormat="1" ht="12" customHeight="1" x14ac:dyDescent="0.2">
      <c r="A82" s="928" t="s">
        <v>198</v>
      </c>
      <c r="B82" s="932" t="s">
        <v>272</v>
      </c>
      <c r="C82" s="945">
        <v>53</v>
      </c>
      <c r="D82" s="929">
        <v>427</v>
      </c>
      <c r="E82" s="929">
        <v>480</v>
      </c>
      <c r="F82" s="929">
        <v>75</v>
      </c>
      <c r="G82" s="929">
        <v>418</v>
      </c>
      <c r="H82" s="929">
        <v>493</v>
      </c>
      <c r="I82" s="929">
        <v>105</v>
      </c>
      <c r="J82" s="929">
        <v>533</v>
      </c>
      <c r="K82" s="929">
        <v>638</v>
      </c>
      <c r="L82" s="929">
        <v>35</v>
      </c>
      <c r="M82" s="929">
        <v>665</v>
      </c>
      <c r="N82" s="929">
        <v>700</v>
      </c>
      <c r="O82" s="929">
        <v>85</v>
      </c>
      <c r="P82" s="929">
        <v>408</v>
      </c>
      <c r="Q82" s="929">
        <v>493</v>
      </c>
      <c r="R82" s="929">
        <v>142</v>
      </c>
      <c r="S82" s="929">
        <v>1050</v>
      </c>
      <c r="T82" s="929">
        <v>1192</v>
      </c>
      <c r="U82" s="929">
        <v>57</v>
      </c>
      <c r="V82" s="929">
        <v>1217</v>
      </c>
      <c r="W82" s="929">
        <v>1274</v>
      </c>
      <c r="X82" s="929">
        <v>130</v>
      </c>
      <c r="Y82" s="929">
        <v>765</v>
      </c>
      <c r="Z82" s="929">
        <v>895</v>
      </c>
      <c r="AA82" s="929">
        <v>160</v>
      </c>
      <c r="AB82" s="929">
        <v>650</v>
      </c>
      <c r="AC82" s="929">
        <v>810</v>
      </c>
      <c r="AD82" s="929">
        <v>258</v>
      </c>
      <c r="AE82" s="929">
        <v>472</v>
      </c>
      <c r="AF82" s="929">
        <v>730</v>
      </c>
      <c r="AH82" s="929">
        <f t="shared" si="31"/>
        <v>233</v>
      </c>
      <c r="AI82" s="929">
        <f t="shared" si="32"/>
        <v>1378</v>
      </c>
      <c r="AJ82" s="929">
        <f t="shared" si="33"/>
        <v>1611</v>
      </c>
      <c r="AK82" s="929">
        <f t="shared" si="34"/>
        <v>449</v>
      </c>
      <c r="AL82" s="929">
        <f t="shared" si="35"/>
        <v>4105</v>
      </c>
      <c r="AM82" s="929">
        <f t="shared" si="36"/>
        <v>4554</v>
      </c>
      <c r="AN82" s="929">
        <f t="shared" si="37"/>
        <v>418</v>
      </c>
      <c r="AO82" s="929">
        <f t="shared" si="38"/>
        <v>1122</v>
      </c>
      <c r="AP82" s="929">
        <f t="shared" si="39"/>
        <v>1540</v>
      </c>
      <c r="AR82" s="930">
        <f t="shared" si="40"/>
        <v>0.1446306641837368</v>
      </c>
      <c r="AS82" s="930">
        <f t="shared" si="41"/>
        <v>9.8594642072902944E-2</v>
      </c>
      <c r="AT82" s="930">
        <f t="shared" si="42"/>
        <v>0.27142857142857141</v>
      </c>
      <c r="AV82" s="931">
        <v>1554</v>
      </c>
      <c r="AW82" s="931">
        <v>5954</v>
      </c>
      <c r="AX82" s="931">
        <v>1712</v>
      </c>
      <c r="AZ82" s="931">
        <f t="shared" si="43"/>
        <v>224.75605214152699</v>
      </c>
      <c r="BA82" s="931">
        <f t="shared" si="44"/>
        <v>587.03249890206416</v>
      </c>
      <c r="BB82" s="931">
        <f t="shared" si="45"/>
        <v>464.68571428571425</v>
      </c>
      <c r="BC82" s="948">
        <f t="shared" si="46"/>
        <v>1276.4742653293054</v>
      </c>
    </row>
    <row r="83" spans="1:55" s="928" customFormat="1" ht="12" customHeight="1" x14ac:dyDescent="0.2">
      <c r="A83" s="928" t="s">
        <v>202</v>
      </c>
      <c r="B83" s="932" t="s">
        <v>611</v>
      </c>
      <c r="C83" s="945">
        <v>1240</v>
      </c>
      <c r="D83" s="929">
        <v>5996</v>
      </c>
      <c r="E83" s="929">
        <v>7236</v>
      </c>
      <c r="F83" s="929">
        <v>943</v>
      </c>
      <c r="G83" s="929">
        <v>6908</v>
      </c>
      <c r="H83" s="929">
        <v>7851</v>
      </c>
      <c r="I83" s="929">
        <v>889</v>
      </c>
      <c r="J83" s="929">
        <v>8841</v>
      </c>
      <c r="K83" s="929">
        <v>9730</v>
      </c>
      <c r="L83" s="929">
        <v>1557</v>
      </c>
      <c r="M83" s="929">
        <v>6696</v>
      </c>
      <c r="N83" s="929">
        <v>8253</v>
      </c>
      <c r="O83" s="929">
        <v>1238</v>
      </c>
      <c r="P83" s="929">
        <v>10373</v>
      </c>
      <c r="Q83" s="929">
        <v>11611</v>
      </c>
      <c r="R83" s="929">
        <v>982</v>
      </c>
      <c r="S83" s="929">
        <v>14774</v>
      </c>
      <c r="T83" s="929">
        <v>15756</v>
      </c>
      <c r="U83" s="929">
        <v>1219</v>
      </c>
      <c r="V83" s="929">
        <v>16718</v>
      </c>
      <c r="W83" s="929">
        <v>17937</v>
      </c>
      <c r="X83" s="929">
        <v>1140</v>
      </c>
      <c r="Y83" s="929">
        <v>14977</v>
      </c>
      <c r="Z83" s="929">
        <v>16117</v>
      </c>
      <c r="AA83" s="929">
        <v>646</v>
      </c>
      <c r="AB83" s="929">
        <v>9280</v>
      </c>
      <c r="AC83" s="929">
        <v>9926</v>
      </c>
      <c r="AD83" s="929">
        <v>1360</v>
      </c>
      <c r="AE83" s="929">
        <v>7223</v>
      </c>
      <c r="AF83" s="929">
        <v>8583</v>
      </c>
      <c r="AH83" s="929">
        <f t="shared" si="31"/>
        <v>3072</v>
      </c>
      <c r="AI83" s="929">
        <f t="shared" si="32"/>
        <v>21745</v>
      </c>
      <c r="AJ83" s="929">
        <f t="shared" si="33"/>
        <v>24817</v>
      </c>
      <c r="AK83" s="929">
        <f t="shared" si="34"/>
        <v>6136</v>
      </c>
      <c r="AL83" s="929">
        <f t="shared" si="35"/>
        <v>63538</v>
      </c>
      <c r="AM83" s="929">
        <f t="shared" si="36"/>
        <v>69674</v>
      </c>
      <c r="AN83" s="929">
        <f t="shared" si="37"/>
        <v>2006</v>
      </c>
      <c r="AO83" s="929">
        <f t="shared" si="38"/>
        <v>16503</v>
      </c>
      <c r="AP83" s="929">
        <f t="shared" si="39"/>
        <v>18509</v>
      </c>
      <c r="AR83" s="930">
        <f t="shared" si="40"/>
        <v>0.12378611435709393</v>
      </c>
      <c r="AS83" s="930">
        <f t="shared" si="41"/>
        <v>8.8067284783419922E-2</v>
      </c>
      <c r="AT83" s="930">
        <f t="shared" si="42"/>
        <v>0.10837970716948511</v>
      </c>
      <c r="AV83" s="931">
        <v>19743</v>
      </c>
      <c r="AW83" s="931">
        <v>56675</v>
      </c>
      <c r="AX83" s="931">
        <v>16322</v>
      </c>
      <c r="AZ83" s="931">
        <f t="shared" si="43"/>
        <v>2443.9092557521053</v>
      </c>
      <c r="BA83" s="931">
        <f t="shared" si="44"/>
        <v>4991.2133651003242</v>
      </c>
      <c r="BB83" s="931">
        <f t="shared" si="45"/>
        <v>1768.973580420336</v>
      </c>
      <c r="BC83" s="948">
        <f t="shared" si="46"/>
        <v>9204.096201272765</v>
      </c>
    </row>
    <row r="84" spans="1:55" s="928" customFormat="1" ht="12" customHeight="1" x14ac:dyDescent="0.2">
      <c r="A84" s="928" t="s">
        <v>204</v>
      </c>
      <c r="B84" s="932" t="s">
        <v>757</v>
      </c>
      <c r="C84" s="945">
        <v>723</v>
      </c>
      <c r="D84" s="929">
        <v>1551</v>
      </c>
      <c r="E84" s="929">
        <v>2274</v>
      </c>
      <c r="F84" s="929">
        <v>676</v>
      </c>
      <c r="G84" s="929">
        <v>1659</v>
      </c>
      <c r="H84" s="929">
        <v>2335</v>
      </c>
      <c r="I84" s="929">
        <v>414</v>
      </c>
      <c r="J84" s="929">
        <v>1470</v>
      </c>
      <c r="K84" s="929">
        <v>1884</v>
      </c>
      <c r="L84" s="929">
        <v>1105</v>
      </c>
      <c r="M84" s="929">
        <v>1673</v>
      </c>
      <c r="N84" s="929">
        <v>2778</v>
      </c>
      <c r="O84" s="929">
        <v>639</v>
      </c>
      <c r="P84" s="929">
        <v>2323</v>
      </c>
      <c r="Q84" s="929">
        <v>2962</v>
      </c>
      <c r="R84" s="929">
        <v>754</v>
      </c>
      <c r="S84" s="929">
        <v>3288</v>
      </c>
      <c r="T84" s="929">
        <v>4042</v>
      </c>
      <c r="U84" s="929">
        <v>685</v>
      </c>
      <c r="V84" s="929">
        <v>3909</v>
      </c>
      <c r="W84" s="929">
        <v>4594</v>
      </c>
      <c r="X84" s="929">
        <v>540</v>
      </c>
      <c r="Y84" s="929">
        <v>4148</v>
      </c>
      <c r="Z84" s="929">
        <v>4688</v>
      </c>
      <c r="AA84" s="929">
        <v>601</v>
      </c>
      <c r="AB84" s="929">
        <v>3012</v>
      </c>
      <c r="AC84" s="929">
        <v>3613</v>
      </c>
      <c r="AD84" s="929">
        <v>687</v>
      </c>
      <c r="AE84" s="929">
        <v>2024</v>
      </c>
      <c r="AF84" s="929">
        <v>2711</v>
      </c>
      <c r="AH84" s="929">
        <f t="shared" si="31"/>
        <v>1813</v>
      </c>
      <c r="AI84" s="929">
        <f t="shared" si="32"/>
        <v>4680</v>
      </c>
      <c r="AJ84" s="929">
        <f t="shared" si="33"/>
        <v>6493</v>
      </c>
      <c r="AK84" s="929">
        <f t="shared" si="34"/>
        <v>3723</v>
      </c>
      <c r="AL84" s="929">
        <f t="shared" si="35"/>
        <v>15341</v>
      </c>
      <c r="AM84" s="929">
        <f t="shared" si="36"/>
        <v>19064</v>
      </c>
      <c r="AN84" s="929">
        <f t="shared" si="37"/>
        <v>1288</v>
      </c>
      <c r="AO84" s="929">
        <f t="shared" si="38"/>
        <v>5036</v>
      </c>
      <c r="AP84" s="929">
        <f t="shared" si="39"/>
        <v>6324</v>
      </c>
      <c r="AR84" s="930">
        <f t="shared" si="40"/>
        <v>0.27922377945479748</v>
      </c>
      <c r="AS84" s="930">
        <f t="shared" si="41"/>
        <v>0.19528955098615192</v>
      </c>
      <c r="AT84" s="930">
        <f t="shared" si="42"/>
        <v>0.2036685641998735</v>
      </c>
      <c r="AV84" s="931">
        <v>4201</v>
      </c>
      <c r="AW84" s="931">
        <v>13443</v>
      </c>
      <c r="AX84" s="931">
        <v>4731</v>
      </c>
      <c r="AZ84" s="931">
        <f t="shared" si="43"/>
        <v>1173.0190974896043</v>
      </c>
      <c r="BA84" s="931">
        <f t="shared" si="44"/>
        <v>2625.2774339068401</v>
      </c>
      <c r="BB84" s="931">
        <f t="shared" si="45"/>
        <v>963.55597722960158</v>
      </c>
      <c r="BC84" s="948">
        <f t="shared" si="46"/>
        <v>4761.8525086260461</v>
      </c>
    </row>
    <row r="85" spans="1:55" s="928" customFormat="1" ht="12" customHeight="1" x14ac:dyDescent="0.2">
      <c r="A85" s="928" t="s">
        <v>206</v>
      </c>
      <c r="B85" s="932" t="s">
        <v>758</v>
      </c>
      <c r="C85" s="945">
        <v>2191</v>
      </c>
      <c r="D85" s="929">
        <v>6084</v>
      </c>
      <c r="E85" s="929">
        <v>8275</v>
      </c>
      <c r="F85" s="929">
        <v>1432</v>
      </c>
      <c r="G85" s="929">
        <v>6692</v>
      </c>
      <c r="H85" s="929">
        <v>8124</v>
      </c>
      <c r="I85" s="929">
        <v>1700</v>
      </c>
      <c r="J85" s="929">
        <v>6706</v>
      </c>
      <c r="K85" s="929">
        <v>8406</v>
      </c>
      <c r="L85" s="929">
        <v>10196</v>
      </c>
      <c r="M85" s="929">
        <v>8392</v>
      </c>
      <c r="N85" s="929">
        <v>18588</v>
      </c>
      <c r="O85" s="929">
        <v>2537</v>
      </c>
      <c r="P85" s="929">
        <v>11602</v>
      </c>
      <c r="Q85" s="929">
        <v>14139</v>
      </c>
      <c r="R85" s="929">
        <v>1881</v>
      </c>
      <c r="S85" s="929">
        <v>11766</v>
      </c>
      <c r="T85" s="929">
        <v>13647</v>
      </c>
      <c r="U85" s="929">
        <v>1509</v>
      </c>
      <c r="V85" s="929">
        <v>14016</v>
      </c>
      <c r="W85" s="929">
        <v>15525</v>
      </c>
      <c r="X85" s="929">
        <v>1219</v>
      </c>
      <c r="Y85" s="929">
        <v>11219</v>
      </c>
      <c r="Z85" s="929">
        <v>12438</v>
      </c>
      <c r="AA85" s="929">
        <v>811</v>
      </c>
      <c r="AB85" s="929">
        <v>7069</v>
      </c>
      <c r="AC85" s="929">
        <v>7880</v>
      </c>
      <c r="AD85" s="929">
        <v>1508</v>
      </c>
      <c r="AE85" s="929">
        <v>5632</v>
      </c>
      <c r="AF85" s="929">
        <v>7140</v>
      </c>
      <c r="AH85" s="929">
        <f t="shared" si="31"/>
        <v>5323</v>
      </c>
      <c r="AI85" s="929">
        <f t="shared" si="32"/>
        <v>19482</v>
      </c>
      <c r="AJ85" s="929">
        <f t="shared" si="33"/>
        <v>24805</v>
      </c>
      <c r="AK85" s="929">
        <f t="shared" si="34"/>
        <v>17342</v>
      </c>
      <c r="AL85" s="929">
        <f t="shared" si="35"/>
        <v>56995</v>
      </c>
      <c r="AM85" s="929">
        <f t="shared" si="36"/>
        <v>74337</v>
      </c>
      <c r="AN85" s="929">
        <f t="shared" si="37"/>
        <v>2319</v>
      </c>
      <c r="AO85" s="929">
        <f t="shared" si="38"/>
        <v>12701</v>
      </c>
      <c r="AP85" s="929">
        <f t="shared" si="39"/>
        <v>15020</v>
      </c>
      <c r="AR85" s="930">
        <f t="shared" si="40"/>
        <v>0.2145938318887321</v>
      </c>
      <c r="AS85" s="930">
        <f t="shared" si="41"/>
        <v>0.23328894090426033</v>
      </c>
      <c r="AT85" s="930">
        <f t="shared" si="42"/>
        <v>0.1543941411451398</v>
      </c>
      <c r="AV85" s="931">
        <v>17860</v>
      </c>
      <c r="AW85" s="931">
        <v>46626</v>
      </c>
      <c r="AX85" s="931">
        <v>12103</v>
      </c>
      <c r="AZ85" s="931">
        <f t="shared" si="43"/>
        <v>3832.6458375327552</v>
      </c>
      <c r="BA85" s="931">
        <f t="shared" si="44"/>
        <v>10877.330158602043</v>
      </c>
      <c r="BB85" s="931">
        <f t="shared" si="45"/>
        <v>1868.6322902796271</v>
      </c>
      <c r="BC85" s="948">
        <f t="shared" si="46"/>
        <v>16578.608286414423</v>
      </c>
    </row>
    <row r="86" spans="1:55" s="928" customFormat="1" ht="12" customHeight="1" x14ac:dyDescent="0.2">
      <c r="A86" s="928" t="s">
        <v>208</v>
      </c>
      <c r="B86" s="932" t="s">
        <v>515</v>
      </c>
      <c r="C86" s="945">
        <v>613</v>
      </c>
      <c r="D86" s="929">
        <v>1232</v>
      </c>
      <c r="E86" s="929">
        <v>1845</v>
      </c>
      <c r="F86" s="929">
        <v>644</v>
      </c>
      <c r="G86" s="929">
        <v>1403</v>
      </c>
      <c r="H86" s="929">
        <v>2047</v>
      </c>
      <c r="I86" s="929">
        <v>557</v>
      </c>
      <c r="J86" s="929">
        <v>1357</v>
      </c>
      <c r="K86" s="929">
        <v>1914</v>
      </c>
      <c r="L86" s="929">
        <v>722</v>
      </c>
      <c r="M86" s="929">
        <v>1437</v>
      </c>
      <c r="N86" s="929">
        <v>2159</v>
      </c>
      <c r="O86" s="929">
        <v>698</v>
      </c>
      <c r="P86" s="929">
        <v>2611</v>
      </c>
      <c r="Q86" s="929">
        <v>3309</v>
      </c>
      <c r="R86" s="929">
        <v>1019</v>
      </c>
      <c r="S86" s="929">
        <v>2806</v>
      </c>
      <c r="T86" s="929">
        <v>3825</v>
      </c>
      <c r="U86" s="929">
        <v>1186</v>
      </c>
      <c r="V86" s="929">
        <v>3528</v>
      </c>
      <c r="W86" s="929">
        <v>4714</v>
      </c>
      <c r="X86" s="929">
        <v>937</v>
      </c>
      <c r="Y86" s="929">
        <v>3200</v>
      </c>
      <c r="Z86" s="929">
        <v>4137</v>
      </c>
      <c r="AA86" s="929">
        <v>674</v>
      </c>
      <c r="AB86" s="929">
        <v>2029</v>
      </c>
      <c r="AC86" s="929">
        <v>2703</v>
      </c>
      <c r="AD86" s="929">
        <v>542</v>
      </c>
      <c r="AE86" s="929">
        <v>1357</v>
      </c>
      <c r="AF86" s="929">
        <v>1899</v>
      </c>
      <c r="AH86" s="929">
        <f t="shared" si="31"/>
        <v>1814</v>
      </c>
      <c r="AI86" s="929">
        <f t="shared" si="32"/>
        <v>3992</v>
      </c>
      <c r="AJ86" s="929">
        <f t="shared" si="33"/>
        <v>5806</v>
      </c>
      <c r="AK86" s="929">
        <f t="shared" si="34"/>
        <v>4562</v>
      </c>
      <c r="AL86" s="929">
        <f t="shared" si="35"/>
        <v>13582</v>
      </c>
      <c r="AM86" s="929">
        <f t="shared" si="36"/>
        <v>18144</v>
      </c>
      <c r="AN86" s="929">
        <f t="shared" si="37"/>
        <v>1216</v>
      </c>
      <c r="AO86" s="929">
        <f t="shared" si="38"/>
        <v>3386</v>
      </c>
      <c r="AP86" s="929">
        <f t="shared" si="39"/>
        <v>4602</v>
      </c>
      <c r="AR86" s="930">
        <f t="shared" si="40"/>
        <v>0.31243541164312782</v>
      </c>
      <c r="AS86" s="930">
        <f t="shared" si="41"/>
        <v>0.25143298059964725</v>
      </c>
      <c r="AT86" s="930">
        <f t="shared" si="42"/>
        <v>0.26423294219904392</v>
      </c>
      <c r="AV86" s="931">
        <v>5752</v>
      </c>
      <c r="AW86" s="931">
        <v>18169</v>
      </c>
      <c r="AX86" s="931">
        <v>4828</v>
      </c>
      <c r="AZ86" s="931">
        <f t="shared" si="43"/>
        <v>1797.1284877712712</v>
      </c>
      <c r="BA86" s="931">
        <f t="shared" si="44"/>
        <v>4568.285824514991</v>
      </c>
      <c r="BB86" s="931">
        <f t="shared" si="45"/>
        <v>1275.716644936984</v>
      </c>
      <c r="BC86" s="948">
        <f t="shared" si="46"/>
        <v>7641.1309572232467</v>
      </c>
    </row>
    <row r="87" spans="1:55" s="928" customFormat="1" ht="12" customHeight="1" x14ac:dyDescent="0.2">
      <c r="A87" s="928" t="s">
        <v>210</v>
      </c>
      <c r="B87" s="932" t="s">
        <v>516</v>
      </c>
      <c r="C87" s="945">
        <v>347</v>
      </c>
      <c r="D87" s="929">
        <v>1008</v>
      </c>
      <c r="E87" s="929">
        <v>1355</v>
      </c>
      <c r="F87" s="929">
        <v>328</v>
      </c>
      <c r="G87" s="929">
        <v>1108</v>
      </c>
      <c r="H87" s="929">
        <v>1436</v>
      </c>
      <c r="I87" s="929">
        <v>343</v>
      </c>
      <c r="J87" s="929">
        <v>1284</v>
      </c>
      <c r="K87" s="929">
        <v>1627</v>
      </c>
      <c r="L87" s="929">
        <v>458</v>
      </c>
      <c r="M87" s="929">
        <v>1160</v>
      </c>
      <c r="N87" s="929">
        <v>1618</v>
      </c>
      <c r="O87" s="929">
        <v>605</v>
      </c>
      <c r="P87" s="929">
        <v>1841</v>
      </c>
      <c r="Q87" s="929">
        <v>2446</v>
      </c>
      <c r="R87" s="929">
        <v>612</v>
      </c>
      <c r="S87" s="929">
        <v>2486</v>
      </c>
      <c r="T87" s="929">
        <v>3098</v>
      </c>
      <c r="U87" s="929">
        <v>604</v>
      </c>
      <c r="V87" s="929">
        <v>2869</v>
      </c>
      <c r="W87" s="929">
        <v>3473</v>
      </c>
      <c r="X87" s="929">
        <v>746</v>
      </c>
      <c r="Y87" s="929">
        <v>2601</v>
      </c>
      <c r="Z87" s="929">
        <v>3347</v>
      </c>
      <c r="AA87" s="929">
        <v>596</v>
      </c>
      <c r="AB87" s="929">
        <v>1913</v>
      </c>
      <c r="AC87" s="929">
        <v>2509</v>
      </c>
      <c r="AD87" s="929">
        <v>662</v>
      </c>
      <c r="AE87" s="929">
        <v>1247</v>
      </c>
      <c r="AF87" s="929">
        <v>1909</v>
      </c>
      <c r="AH87" s="929">
        <f t="shared" si="31"/>
        <v>1018</v>
      </c>
      <c r="AI87" s="929">
        <f t="shared" si="32"/>
        <v>3400</v>
      </c>
      <c r="AJ87" s="929">
        <f t="shared" si="33"/>
        <v>4418</v>
      </c>
      <c r="AK87" s="929">
        <f t="shared" si="34"/>
        <v>3025</v>
      </c>
      <c r="AL87" s="929">
        <f t="shared" si="35"/>
        <v>10957</v>
      </c>
      <c r="AM87" s="929">
        <f t="shared" si="36"/>
        <v>13982</v>
      </c>
      <c r="AN87" s="929">
        <f t="shared" si="37"/>
        <v>1258</v>
      </c>
      <c r="AO87" s="929">
        <f t="shared" si="38"/>
        <v>3160</v>
      </c>
      <c r="AP87" s="929">
        <f t="shared" si="39"/>
        <v>4418</v>
      </c>
      <c r="AR87" s="930">
        <f t="shared" si="40"/>
        <v>0.23042100497962878</v>
      </c>
      <c r="AS87" s="930">
        <f t="shared" si="41"/>
        <v>0.21634959233299958</v>
      </c>
      <c r="AT87" s="930">
        <f t="shared" si="42"/>
        <v>0.28474422815753736</v>
      </c>
      <c r="AV87" s="931">
        <v>4391</v>
      </c>
      <c r="AW87" s="931">
        <v>13918</v>
      </c>
      <c r="AX87" s="931">
        <v>4817</v>
      </c>
      <c r="AZ87" s="931">
        <f t="shared" si="43"/>
        <v>1011.77863286555</v>
      </c>
      <c r="BA87" s="931">
        <f t="shared" si="44"/>
        <v>3011.1536260906882</v>
      </c>
      <c r="BB87" s="931">
        <f t="shared" si="45"/>
        <v>1371.6129470348574</v>
      </c>
      <c r="BC87" s="948">
        <f t="shared" si="46"/>
        <v>5394.5452059910949</v>
      </c>
    </row>
    <row r="88" spans="1:55" s="928" customFormat="1" ht="12" customHeight="1" x14ac:dyDescent="0.2">
      <c r="A88" s="928" t="s">
        <v>212</v>
      </c>
      <c r="B88" s="932" t="s">
        <v>517</v>
      </c>
      <c r="C88" s="945">
        <v>587</v>
      </c>
      <c r="D88" s="929">
        <v>2303</v>
      </c>
      <c r="E88" s="929">
        <v>2890</v>
      </c>
      <c r="F88" s="929">
        <v>602</v>
      </c>
      <c r="G88" s="929">
        <v>2346</v>
      </c>
      <c r="H88" s="929">
        <v>2948</v>
      </c>
      <c r="I88" s="929">
        <v>913</v>
      </c>
      <c r="J88" s="929">
        <v>2337</v>
      </c>
      <c r="K88" s="929">
        <v>3250</v>
      </c>
      <c r="L88" s="929">
        <v>616</v>
      </c>
      <c r="M88" s="929">
        <v>2407</v>
      </c>
      <c r="N88" s="929">
        <v>3023</v>
      </c>
      <c r="O88" s="929">
        <v>682</v>
      </c>
      <c r="P88" s="929">
        <v>3755</v>
      </c>
      <c r="Q88" s="929">
        <v>4437</v>
      </c>
      <c r="R88" s="929">
        <v>762</v>
      </c>
      <c r="S88" s="929">
        <v>4732</v>
      </c>
      <c r="T88" s="929">
        <v>5494</v>
      </c>
      <c r="U88" s="929">
        <v>853</v>
      </c>
      <c r="V88" s="929">
        <v>5309</v>
      </c>
      <c r="W88" s="929">
        <v>6162</v>
      </c>
      <c r="X88" s="929">
        <v>672</v>
      </c>
      <c r="Y88" s="929">
        <v>4995</v>
      </c>
      <c r="Z88" s="929">
        <v>5667</v>
      </c>
      <c r="AA88" s="929">
        <v>454</v>
      </c>
      <c r="AB88" s="929">
        <v>3704</v>
      </c>
      <c r="AC88" s="929">
        <v>4158</v>
      </c>
      <c r="AD88" s="929">
        <v>610</v>
      </c>
      <c r="AE88" s="929">
        <v>2687</v>
      </c>
      <c r="AF88" s="929">
        <v>3297</v>
      </c>
      <c r="AH88" s="929">
        <f t="shared" si="31"/>
        <v>2102</v>
      </c>
      <c r="AI88" s="929">
        <f t="shared" si="32"/>
        <v>6986</v>
      </c>
      <c r="AJ88" s="929">
        <f t="shared" si="33"/>
        <v>9088</v>
      </c>
      <c r="AK88" s="929">
        <f t="shared" si="34"/>
        <v>3585</v>
      </c>
      <c r="AL88" s="929">
        <f t="shared" si="35"/>
        <v>21198</v>
      </c>
      <c r="AM88" s="929">
        <f t="shared" si="36"/>
        <v>24783</v>
      </c>
      <c r="AN88" s="929">
        <f t="shared" si="37"/>
        <v>1064</v>
      </c>
      <c r="AO88" s="929">
        <f t="shared" si="38"/>
        <v>6391</v>
      </c>
      <c r="AP88" s="929">
        <f t="shared" si="39"/>
        <v>7455</v>
      </c>
      <c r="AR88" s="930">
        <f t="shared" si="40"/>
        <v>0.23129401408450703</v>
      </c>
      <c r="AS88" s="930">
        <f t="shared" si="41"/>
        <v>0.14465561070088367</v>
      </c>
      <c r="AT88" s="930">
        <f t="shared" si="42"/>
        <v>0.14272300469483568</v>
      </c>
      <c r="AV88" s="931">
        <v>9208</v>
      </c>
      <c r="AW88" s="931">
        <v>25035</v>
      </c>
      <c r="AX88" s="931">
        <v>8046</v>
      </c>
      <c r="AZ88" s="931">
        <f t="shared" si="43"/>
        <v>2129.7552816901407</v>
      </c>
      <c r="BA88" s="931">
        <f t="shared" si="44"/>
        <v>3621.4532138966229</v>
      </c>
      <c r="BB88" s="931">
        <f t="shared" si="45"/>
        <v>1148.3492957746478</v>
      </c>
      <c r="BC88" s="948">
        <f t="shared" si="46"/>
        <v>6899.5577913614106</v>
      </c>
    </row>
    <row r="89" spans="1:55" s="928" customFormat="1" ht="12" customHeight="1" x14ac:dyDescent="0.2">
      <c r="A89" s="928" t="s">
        <v>214</v>
      </c>
      <c r="B89" s="932" t="s">
        <v>518</v>
      </c>
      <c r="C89" s="945">
        <v>1131</v>
      </c>
      <c r="D89" s="929">
        <v>993</v>
      </c>
      <c r="E89" s="929">
        <v>2124</v>
      </c>
      <c r="F89" s="929">
        <v>773</v>
      </c>
      <c r="G89" s="929">
        <v>1458</v>
      </c>
      <c r="H89" s="929">
        <v>2231</v>
      </c>
      <c r="I89" s="929">
        <v>610</v>
      </c>
      <c r="J89" s="929">
        <v>1678</v>
      </c>
      <c r="K89" s="929">
        <v>2288</v>
      </c>
      <c r="L89" s="929">
        <v>680</v>
      </c>
      <c r="M89" s="929">
        <v>1793</v>
      </c>
      <c r="N89" s="929">
        <v>2473</v>
      </c>
      <c r="O89" s="929">
        <v>1005</v>
      </c>
      <c r="P89" s="929">
        <v>2390</v>
      </c>
      <c r="Q89" s="929">
        <v>3395</v>
      </c>
      <c r="R89" s="929">
        <v>1083</v>
      </c>
      <c r="S89" s="929">
        <v>3213</v>
      </c>
      <c r="T89" s="929">
        <v>4296</v>
      </c>
      <c r="U89" s="929">
        <v>813</v>
      </c>
      <c r="V89" s="929">
        <v>3880</v>
      </c>
      <c r="W89" s="929">
        <v>4693</v>
      </c>
      <c r="X89" s="929">
        <v>709</v>
      </c>
      <c r="Y89" s="929">
        <v>3775</v>
      </c>
      <c r="Z89" s="929">
        <v>4484</v>
      </c>
      <c r="AA89" s="929">
        <v>480</v>
      </c>
      <c r="AB89" s="929">
        <v>2660</v>
      </c>
      <c r="AC89" s="929">
        <v>3140</v>
      </c>
      <c r="AD89" s="929">
        <v>655</v>
      </c>
      <c r="AE89" s="929">
        <v>1789</v>
      </c>
      <c r="AF89" s="929">
        <v>2444</v>
      </c>
      <c r="AH89" s="929">
        <f t="shared" si="31"/>
        <v>2514</v>
      </c>
      <c r="AI89" s="929">
        <f t="shared" si="32"/>
        <v>4129</v>
      </c>
      <c r="AJ89" s="929">
        <f t="shared" si="33"/>
        <v>6643</v>
      </c>
      <c r="AK89" s="929">
        <f t="shared" si="34"/>
        <v>4290</v>
      </c>
      <c r="AL89" s="929">
        <f t="shared" si="35"/>
        <v>15051</v>
      </c>
      <c r="AM89" s="929">
        <f t="shared" si="36"/>
        <v>19341</v>
      </c>
      <c r="AN89" s="929">
        <f t="shared" si="37"/>
        <v>1135</v>
      </c>
      <c r="AO89" s="929">
        <f t="shared" si="38"/>
        <v>4449</v>
      </c>
      <c r="AP89" s="929">
        <f t="shared" si="39"/>
        <v>5584</v>
      </c>
      <c r="AR89" s="930">
        <f t="shared" si="40"/>
        <v>0.37844347433388531</v>
      </c>
      <c r="AS89" s="930">
        <f t="shared" si="41"/>
        <v>0.22180859314409804</v>
      </c>
      <c r="AT89" s="930">
        <f t="shared" si="42"/>
        <v>0.2032593123209169</v>
      </c>
      <c r="AV89" s="931">
        <v>6500</v>
      </c>
      <c r="AW89" s="931">
        <v>19584</v>
      </c>
      <c r="AX89" s="931">
        <v>5945</v>
      </c>
      <c r="AZ89" s="931">
        <f t="shared" si="43"/>
        <v>2459.8825831702543</v>
      </c>
      <c r="BA89" s="931">
        <f t="shared" si="44"/>
        <v>4343.8994881340159</v>
      </c>
      <c r="BB89" s="931">
        <f t="shared" si="45"/>
        <v>1208.376611747851</v>
      </c>
      <c r="BC89" s="948">
        <f t="shared" si="46"/>
        <v>8012.158683052121</v>
      </c>
    </row>
    <row r="90" spans="1:55" s="928" customFormat="1" ht="12" customHeight="1" x14ac:dyDescent="0.2">
      <c r="A90" s="928" t="s">
        <v>216</v>
      </c>
      <c r="B90" s="932" t="s">
        <v>519</v>
      </c>
      <c r="C90" s="945">
        <v>338</v>
      </c>
      <c r="D90" s="929">
        <v>807</v>
      </c>
      <c r="E90" s="929">
        <v>1145</v>
      </c>
      <c r="F90" s="929">
        <v>349</v>
      </c>
      <c r="G90" s="929">
        <v>901</v>
      </c>
      <c r="H90" s="929">
        <v>1250</v>
      </c>
      <c r="I90" s="929">
        <v>318</v>
      </c>
      <c r="J90" s="929">
        <v>1150</v>
      </c>
      <c r="K90" s="929">
        <v>1468</v>
      </c>
      <c r="L90" s="929">
        <v>377</v>
      </c>
      <c r="M90" s="929">
        <v>1008</v>
      </c>
      <c r="N90" s="929">
        <v>1385</v>
      </c>
      <c r="O90" s="929">
        <v>325</v>
      </c>
      <c r="P90" s="929">
        <v>1367</v>
      </c>
      <c r="Q90" s="929">
        <v>1692</v>
      </c>
      <c r="R90" s="929">
        <v>279</v>
      </c>
      <c r="S90" s="929">
        <v>1964</v>
      </c>
      <c r="T90" s="929">
        <v>2243</v>
      </c>
      <c r="U90" s="929">
        <v>511</v>
      </c>
      <c r="V90" s="929">
        <v>2503</v>
      </c>
      <c r="W90" s="929">
        <v>3014</v>
      </c>
      <c r="X90" s="929">
        <v>445</v>
      </c>
      <c r="Y90" s="929">
        <v>1950</v>
      </c>
      <c r="Z90" s="929">
        <v>2395</v>
      </c>
      <c r="AA90" s="929">
        <v>264</v>
      </c>
      <c r="AB90" s="929">
        <v>1204</v>
      </c>
      <c r="AC90" s="929">
        <v>1468</v>
      </c>
      <c r="AD90" s="929">
        <v>241</v>
      </c>
      <c r="AE90" s="929">
        <v>817</v>
      </c>
      <c r="AF90" s="929">
        <v>1058</v>
      </c>
      <c r="AH90" s="929">
        <f t="shared" si="31"/>
        <v>1005</v>
      </c>
      <c r="AI90" s="929">
        <f t="shared" si="32"/>
        <v>2858</v>
      </c>
      <c r="AJ90" s="929">
        <f t="shared" si="33"/>
        <v>3863</v>
      </c>
      <c r="AK90" s="929">
        <f t="shared" si="34"/>
        <v>1937</v>
      </c>
      <c r="AL90" s="929">
        <f t="shared" si="35"/>
        <v>8792</v>
      </c>
      <c r="AM90" s="929">
        <f t="shared" si="36"/>
        <v>10729</v>
      </c>
      <c r="AN90" s="929">
        <f t="shared" si="37"/>
        <v>505</v>
      </c>
      <c r="AO90" s="929">
        <f t="shared" si="38"/>
        <v>2021</v>
      </c>
      <c r="AP90" s="929">
        <f t="shared" si="39"/>
        <v>2526</v>
      </c>
      <c r="AR90" s="930">
        <f t="shared" si="40"/>
        <v>0.26016049702303906</v>
      </c>
      <c r="AS90" s="930">
        <f t="shared" si="41"/>
        <v>0.18053872681517383</v>
      </c>
      <c r="AT90" s="930">
        <f t="shared" si="42"/>
        <v>0.19992082343626286</v>
      </c>
      <c r="AV90" s="931">
        <v>3801</v>
      </c>
      <c r="AW90" s="931">
        <v>11695</v>
      </c>
      <c r="AX90" s="931">
        <v>2912</v>
      </c>
      <c r="AZ90" s="931">
        <f t="shared" si="43"/>
        <v>988.87004918457149</v>
      </c>
      <c r="BA90" s="931">
        <f t="shared" si="44"/>
        <v>2111.4004101034579</v>
      </c>
      <c r="BB90" s="931">
        <f t="shared" si="45"/>
        <v>582.16943784639739</v>
      </c>
      <c r="BC90" s="948">
        <f t="shared" si="46"/>
        <v>3682.4398971344272</v>
      </c>
    </row>
    <row r="91" spans="1:55" s="928" customFormat="1" ht="12" customHeight="1" x14ac:dyDescent="0.2">
      <c r="A91" s="928" t="s">
        <v>218</v>
      </c>
      <c r="B91" s="932" t="s">
        <v>520</v>
      </c>
      <c r="C91" s="945">
        <v>1668</v>
      </c>
      <c r="D91" s="929">
        <v>8338</v>
      </c>
      <c r="E91" s="929">
        <v>10006</v>
      </c>
      <c r="F91" s="929">
        <v>1762</v>
      </c>
      <c r="G91" s="929">
        <v>10110</v>
      </c>
      <c r="H91" s="929">
        <v>11872</v>
      </c>
      <c r="I91" s="929">
        <v>1161</v>
      </c>
      <c r="J91" s="929">
        <v>10827</v>
      </c>
      <c r="K91" s="929">
        <v>11988</v>
      </c>
      <c r="L91" s="929">
        <v>1369</v>
      </c>
      <c r="M91" s="929">
        <v>8638</v>
      </c>
      <c r="N91" s="929">
        <v>10007</v>
      </c>
      <c r="O91" s="929">
        <v>1558</v>
      </c>
      <c r="P91" s="929">
        <v>13330</v>
      </c>
      <c r="Q91" s="929">
        <v>14888</v>
      </c>
      <c r="R91" s="929">
        <v>1836</v>
      </c>
      <c r="S91" s="929">
        <v>16893</v>
      </c>
      <c r="T91" s="929">
        <v>18729</v>
      </c>
      <c r="U91" s="929">
        <v>1024</v>
      </c>
      <c r="V91" s="929">
        <v>17992</v>
      </c>
      <c r="W91" s="929">
        <v>19016</v>
      </c>
      <c r="X91" s="929">
        <v>673</v>
      </c>
      <c r="Y91" s="929">
        <v>12419</v>
      </c>
      <c r="Z91" s="929">
        <v>13092</v>
      </c>
      <c r="AA91" s="929">
        <v>651</v>
      </c>
      <c r="AB91" s="929">
        <v>6102</v>
      </c>
      <c r="AC91" s="929">
        <v>6753</v>
      </c>
      <c r="AD91" s="929">
        <v>626</v>
      </c>
      <c r="AE91" s="929">
        <v>3906</v>
      </c>
      <c r="AF91" s="929">
        <v>4532</v>
      </c>
      <c r="AH91" s="929">
        <f t="shared" si="31"/>
        <v>4591</v>
      </c>
      <c r="AI91" s="929">
        <f t="shared" si="32"/>
        <v>29275</v>
      </c>
      <c r="AJ91" s="929">
        <f t="shared" si="33"/>
        <v>33866</v>
      </c>
      <c r="AK91" s="929">
        <f t="shared" si="34"/>
        <v>6460</v>
      </c>
      <c r="AL91" s="929">
        <f t="shared" si="35"/>
        <v>69272</v>
      </c>
      <c r="AM91" s="929">
        <f t="shared" si="36"/>
        <v>75732</v>
      </c>
      <c r="AN91" s="929">
        <f t="shared" si="37"/>
        <v>1277</v>
      </c>
      <c r="AO91" s="929">
        <f t="shared" si="38"/>
        <v>10008</v>
      </c>
      <c r="AP91" s="929">
        <f t="shared" si="39"/>
        <v>11285</v>
      </c>
      <c r="AR91" s="930">
        <f t="shared" si="40"/>
        <v>0.13556369219866532</v>
      </c>
      <c r="AS91" s="930">
        <f t="shared" si="41"/>
        <v>8.5300797549252627E-2</v>
      </c>
      <c r="AT91" s="930">
        <f t="shared" si="42"/>
        <v>0.11315906070004431</v>
      </c>
      <c r="AV91" s="931">
        <v>33455</v>
      </c>
      <c r="AW91" s="931">
        <v>78126</v>
      </c>
      <c r="AX91" s="931">
        <v>12746</v>
      </c>
      <c r="AZ91" s="931">
        <f t="shared" si="43"/>
        <v>4535.2833225063487</v>
      </c>
      <c r="BA91" s="931">
        <f t="shared" si="44"/>
        <v>6664.2101093329111</v>
      </c>
      <c r="BB91" s="931">
        <f t="shared" si="45"/>
        <v>1442.3253876827648</v>
      </c>
      <c r="BC91" s="948">
        <f t="shared" si="46"/>
        <v>12641.818819522025</v>
      </c>
    </row>
    <row r="92" spans="1:55" s="928" customFormat="1" ht="12" customHeight="1" x14ac:dyDescent="0.2">
      <c r="A92" s="928" t="s">
        <v>220</v>
      </c>
      <c r="B92" s="932" t="s">
        <v>521</v>
      </c>
      <c r="C92" s="945">
        <v>907</v>
      </c>
      <c r="D92" s="929">
        <v>9626</v>
      </c>
      <c r="E92" s="929">
        <v>10533</v>
      </c>
      <c r="F92" s="929">
        <v>894</v>
      </c>
      <c r="G92" s="929">
        <v>10972</v>
      </c>
      <c r="H92" s="929">
        <v>11866</v>
      </c>
      <c r="I92" s="929">
        <v>870</v>
      </c>
      <c r="J92" s="929">
        <v>13416</v>
      </c>
      <c r="K92" s="929">
        <v>14286</v>
      </c>
      <c r="L92" s="929">
        <v>970</v>
      </c>
      <c r="M92" s="929">
        <v>9634</v>
      </c>
      <c r="N92" s="929">
        <v>10604</v>
      </c>
      <c r="O92" s="929">
        <v>781</v>
      </c>
      <c r="P92" s="929">
        <v>13828</v>
      </c>
      <c r="Q92" s="929">
        <v>14609</v>
      </c>
      <c r="R92" s="929">
        <v>888</v>
      </c>
      <c r="S92" s="929">
        <v>19251</v>
      </c>
      <c r="T92" s="929">
        <v>20139</v>
      </c>
      <c r="U92" s="929">
        <v>662</v>
      </c>
      <c r="V92" s="929">
        <v>20157</v>
      </c>
      <c r="W92" s="929">
        <v>20819</v>
      </c>
      <c r="X92" s="929">
        <v>491</v>
      </c>
      <c r="Y92" s="929">
        <v>11560</v>
      </c>
      <c r="Z92" s="929">
        <v>12051</v>
      </c>
      <c r="AA92" s="929">
        <v>312</v>
      </c>
      <c r="AB92" s="929">
        <v>5380</v>
      </c>
      <c r="AC92" s="929">
        <v>5692</v>
      </c>
      <c r="AD92" s="929">
        <v>326</v>
      </c>
      <c r="AE92" s="929">
        <v>2891</v>
      </c>
      <c r="AF92" s="929">
        <v>3217</v>
      </c>
      <c r="AH92" s="929">
        <f t="shared" si="31"/>
        <v>2671</v>
      </c>
      <c r="AI92" s="929">
        <f t="shared" si="32"/>
        <v>34014</v>
      </c>
      <c r="AJ92" s="929">
        <f t="shared" si="33"/>
        <v>36685</v>
      </c>
      <c r="AK92" s="929">
        <f t="shared" si="34"/>
        <v>3792</v>
      </c>
      <c r="AL92" s="929">
        <f t="shared" si="35"/>
        <v>74430</v>
      </c>
      <c r="AM92" s="929">
        <f t="shared" si="36"/>
        <v>78222</v>
      </c>
      <c r="AN92" s="929">
        <f t="shared" si="37"/>
        <v>638</v>
      </c>
      <c r="AO92" s="929">
        <f t="shared" si="38"/>
        <v>8271</v>
      </c>
      <c r="AP92" s="929">
        <f t="shared" si="39"/>
        <v>8909</v>
      </c>
      <c r="AR92" s="930">
        <f t="shared" si="40"/>
        <v>7.2809050020444327E-2</v>
      </c>
      <c r="AS92" s="930">
        <f t="shared" si="41"/>
        <v>4.8477410447188771E-2</v>
      </c>
      <c r="AT92" s="930">
        <f t="shared" si="42"/>
        <v>7.1612975642608601E-2</v>
      </c>
      <c r="AV92" s="931">
        <v>37214</v>
      </c>
      <c r="AW92" s="931">
        <v>84846</v>
      </c>
      <c r="AX92" s="931">
        <v>10073</v>
      </c>
      <c r="AZ92" s="931">
        <f t="shared" si="43"/>
        <v>2709.5159874608153</v>
      </c>
      <c r="BA92" s="931">
        <f t="shared" si="44"/>
        <v>4113.1143668021787</v>
      </c>
      <c r="BB92" s="931">
        <f t="shared" si="45"/>
        <v>721.3575036479964</v>
      </c>
      <c r="BC92" s="948">
        <f t="shared" si="46"/>
        <v>7543.98785791099</v>
      </c>
    </row>
    <row r="93" spans="1:55" s="928" customFormat="1" ht="12" customHeight="1" x14ac:dyDescent="0.2">
      <c r="A93" s="928" t="s">
        <v>224</v>
      </c>
      <c r="B93" s="932" t="s">
        <v>522</v>
      </c>
      <c r="C93" s="945">
        <v>174</v>
      </c>
      <c r="D93" s="929">
        <v>277</v>
      </c>
      <c r="E93" s="929">
        <v>451</v>
      </c>
      <c r="F93" s="929">
        <v>166</v>
      </c>
      <c r="G93" s="929">
        <v>316</v>
      </c>
      <c r="H93" s="929">
        <v>482</v>
      </c>
      <c r="I93" s="929">
        <v>118</v>
      </c>
      <c r="J93" s="929">
        <v>483</v>
      </c>
      <c r="K93" s="929">
        <v>601</v>
      </c>
      <c r="L93" s="929">
        <v>208</v>
      </c>
      <c r="M93" s="929">
        <v>437</v>
      </c>
      <c r="N93" s="929">
        <v>645</v>
      </c>
      <c r="O93" s="929">
        <v>59</v>
      </c>
      <c r="P93" s="929">
        <v>492</v>
      </c>
      <c r="Q93" s="929">
        <v>551</v>
      </c>
      <c r="R93" s="929">
        <v>106</v>
      </c>
      <c r="S93" s="929">
        <v>714</v>
      </c>
      <c r="T93" s="929">
        <v>820</v>
      </c>
      <c r="U93" s="929">
        <v>124</v>
      </c>
      <c r="V93" s="929">
        <v>1241</v>
      </c>
      <c r="W93" s="929">
        <v>1365</v>
      </c>
      <c r="X93" s="929">
        <v>83</v>
      </c>
      <c r="Y93" s="929">
        <v>924</v>
      </c>
      <c r="Z93" s="929">
        <v>1007</v>
      </c>
      <c r="AA93" s="929">
        <v>95</v>
      </c>
      <c r="AB93" s="929">
        <v>542</v>
      </c>
      <c r="AC93" s="929">
        <v>637</v>
      </c>
      <c r="AD93" s="929">
        <v>72</v>
      </c>
      <c r="AE93" s="929">
        <v>395</v>
      </c>
      <c r="AF93" s="929">
        <v>467</v>
      </c>
      <c r="AH93" s="929">
        <f t="shared" si="31"/>
        <v>458</v>
      </c>
      <c r="AI93" s="929">
        <f t="shared" si="32"/>
        <v>1076</v>
      </c>
      <c r="AJ93" s="929">
        <f t="shared" si="33"/>
        <v>1534</v>
      </c>
      <c r="AK93" s="929">
        <f t="shared" si="34"/>
        <v>580</v>
      </c>
      <c r="AL93" s="929">
        <f t="shared" si="35"/>
        <v>3808</v>
      </c>
      <c r="AM93" s="929">
        <f t="shared" si="36"/>
        <v>4388</v>
      </c>
      <c r="AN93" s="929">
        <f t="shared" si="37"/>
        <v>167</v>
      </c>
      <c r="AO93" s="929">
        <f t="shared" si="38"/>
        <v>937</v>
      </c>
      <c r="AP93" s="929">
        <f t="shared" si="39"/>
        <v>1104</v>
      </c>
      <c r="AR93" s="930">
        <f t="shared" si="40"/>
        <v>0.29856584093872229</v>
      </c>
      <c r="AS93" s="930">
        <f t="shared" si="41"/>
        <v>0.13217866909753875</v>
      </c>
      <c r="AT93" s="930">
        <f t="shared" si="42"/>
        <v>0.15126811594202899</v>
      </c>
      <c r="AV93" s="931">
        <v>1394</v>
      </c>
      <c r="AW93" s="931">
        <v>4416</v>
      </c>
      <c r="AX93" s="931">
        <v>1121</v>
      </c>
      <c r="AZ93" s="931">
        <f t="shared" si="43"/>
        <v>416.20078226857891</v>
      </c>
      <c r="BA93" s="931">
        <f t="shared" si="44"/>
        <v>583.70100273473111</v>
      </c>
      <c r="BB93" s="931">
        <f t="shared" si="45"/>
        <v>169.5715579710145</v>
      </c>
      <c r="BC93" s="948">
        <f t="shared" si="46"/>
        <v>1169.4733429743246</v>
      </c>
    </row>
    <row r="94" spans="1:55" s="928" customFormat="1" ht="12" customHeight="1" x14ac:dyDescent="0.2">
      <c r="A94" s="928" t="s">
        <v>226</v>
      </c>
      <c r="B94" s="932" t="s">
        <v>523</v>
      </c>
      <c r="C94" s="945">
        <v>77</v>
      </c>
      <c r="D94" s="929">
        <v>577</v>
      </c>
      <c r="E94" s="929">
        <v>654</v>
      </c>
      <c r="F94" s="929">
        <v>194</v>
      </c>
      <c r="G94" s="929">
        <v>518</v>
      </c>
      <c r="H94" s="929">
        <v>712</v>
      </c>
      <c r="I94" s="929">
        <v>160</v>
      </c>
      <c r="J94" s="929">
        <v>545</v>
      </c>
      <c r="K94" s="929">
        <v>705</v>
      </c>
      <c r="L94" s="929">
        <v>174</v>
      </c>
      <c r="M94" s="929">
        <v>884</v>
      </c>
      <c r="N94" s="929">
        <v>1058</v>
      </c>
      <c r="O94" s="929">
        <v>315</v>
      </c>
      <c r="P94" s="929">
        <v>709</v>
      </c>
      <c r="Q94" s="929">
        <v>1024</v>
      </c>
      <c r="R94" s="929">
        <v>323</v>
      </c>
      <c r="S94" s="929">
        <v>1193</v>
      </c>
      <c r="T94" s="929">
        <v>1516</v>
      </c>
      <c r="U94" s="929">
        <v>405</v>
      </c>
      <c r="V94" s="929">
        <v>1167</v>
      </c>
      <c r="W94" s="929">
        <v>1572</v>
      </c>
      <c r="X94" s="929">
        <v>294</v>
      </c>
      <c r="Y94" s="929">
        <v>1186</v>
      </c>
      <c r="Z94" s="929">
        <v>1480</v>
      </c>
      <c r="AA94" s="929">
        <v>108</v>
      </c>
      <c r="AB94" s="929">
        <v>799</v>
      </c>
      <c r="AC94" s="929">
        <v>907</v>
      </c>
      <c r="AD94" s="929">
        <v>223</v>
      </c>
      <c r="AE94" s="929">
        <v>510</v>
      </c>
      <c r="AF94" s="929">
        <v>733</v>
      </c>
      <c r="AH94" s="929">
        <f t="shared" si="31"/>
        <v>431</v>
      </c>
      <c r="AI94" s="929">
        <f t="shared" si="32"/>
        <v>1640</v>
      </c>
      <c r="AJ94" s="929">
        <f t="shared" si="33"/>
        <v>2071</v>
      </c>
      <c r="AK94" s="929">
        <f t="shared" si="34"/>
        <v>1511</v>
      </c>
      <c r="AL94" s="929">
        <f t="shared" si="35"/>
        <v>5139</v>
      </c>
      <c r="AM94" s="929">
        <f t="shared" si="36"/>
        <v>6650</v>
      </c>
      <c r="AN94" s="929">
        <f t="shared" si="37"/>
        <v>331</v>
      </c>
      <c r="AO94" s="929">
        <f t="shared" si="38"/>
        <v>1309</v>
      </c>
      <c r="AP94" s="929">
        <f t="shared" si="39"/>
        <v>1640</v>
      </c>
      <c r="AR94" s="930">
        <f t="shared" si="40"/>
        <v>0.20811202317720909</v>
      </c>
      <c r="AS94" s="930">
        <f t="shared" si="41"/>
        <v>0.22721804511278196</v>
      </c>
      <c r="AT94" s="930">
        <f t="shared" si="42"/>
        <v>0.20182926829268294</v>
      </c>
      <c r="AV94" s="931">
        <v>2027</v>
      </c>
      <c r="AW94" s="931">
        <v>8301</v>
      </c>
      <c r="AX94" s="931">
        <v>1759</v>
      </c>
      <c r="AZ94" s="931">
        <f t="shared" si="43"/>
        <v>421.84307098020281</v>
      </c>
      <c r="BA94" s="931">
        <f t="shared" si="44"/>
        <v>1886.1369924812029</v>
      </c>
      <c r="BB94" s="931">
        <f t="shared" si="45"/>
        <v>355.01768292682931</v>
      </c>
      <c r="BC94" s="948">
        <f t="shared" si="46"/>
        <v>2662.9977463882351</v>
      </c>
    </row>
    <row r="95" spans="1:55" s="928" customFormat="1" ht="12" customHeight="1" x14ac:dyDescent="0.2">
      <c r="A95" s="928" t="s">
        <v>228</v>
      </c>
      <c r="B95" s="932" t="s">
        <v>524</v>
      </c>
      <c r="C95" s="945">
        <v>935</v>
      </c>
      <c r="D95" s="929">
        <v>1952</v>
      </c>
      <c r="E95" s="929">
        <v>2887</v>
      </c>
      <c r="F95" s="929">
        <v>1015</v>
      </c>
      <c r="G95" s="929">
        <v>1885</v>
      </c>
      <c r="H95" s="929">
        <v>2900</v>
      </c>
      <c r="I95" s="929">
        <v>862</v>
      </c>
      <c r="J95" s="929">
        <v>2308</v>
      </c>
      <c r="K95" s="929">
        <v>3170</v>
      </c>
      <c r="L95" s="929">
        <v>841</v>
      </c>
      <c r="M95" s="929">
        <v>2236</v>
      </c>
      <c r="N95" s="929">
        <v>3077</v>
      </c>
      <c r="O95" s="929">
        <v>1300</v>
      </c>
      <c r="P95" s="929">
        <v>3659</v>
      </c>
      <c r="Q95" s="929">
        <v>4959</v>
      </c>
      <c r="R95" s="929">
        <v>1457</v>
      </c>
      <c r="S95" s="929">
        <v>4224</v>
      </c>
      <c r="T95" s="929">
        <v>5681</v>
      </c>
      <c r="U95" s="929">
        <v>1373</v>
      </c>
      <c r="V95" s="929">
        <v>5486</v>
      </c>
      <c r="W95" s="929">
        <v>6859</v>
      </c>
      <c r="X95" s="929">
        <v>1163</v>
      </c>
      <c r="Y95" s="929">
        <v>5601</v>
      </c>
      <c r="Z95" s="929">
        <v>6764</v>
      </c>
      <c r="AA95" s="929">
        <v>702</v>
      </c>
      <c r="AB95" s="929">
        <v>3512</v>
      </c>
      <c r="AC95" s="929">
        <v>4214</v>
      </c>
      <c r="AD95" s="929">
        <v>636</v>
      </c>
      <c r="AE95" s="929">
        <v>2647</v>
      </c>
      <c r="AF95" s="929">
        <v>3283</v>
      </c>
      <c r="AH95" s="929">
        <f t="shared" si="31"/>
        <v>2812</v>
      </c>
      <c r="AI95" s="929">
        <f t="shared" si="32"/>
        <v>6145</v>
      </c>
      <c r="AJ95" s="929">
        <f t="shared" si="33"/>
        <v>8957</v>
      </c>
      <c r="AK95" s="929">
        <f t="shared" si="34"/>
        <v>6134</v>
      </c>
      <c r="AL95" s="929">
        <f t="shared" si="35"/>
        <v>21206</v>
      </c>
      <c r="AM95" s="929">
        <f t="shared" si="36"/>
        <v>27340</v>
      </c>
      <c r="AN95" s="929">
        <f t="shared" si="37"/>
        <v>1338</v>
      </c>
      <c r="AO95" s="929">
        <f t="shared" si="38"/>
        <v>6159</v>
      </c>
      <c r="AP95" s="929">
        <f t="shared" si="39"/>
        <v>7497</v>
      </c>
      <c r="AR95" s="930">
        <f t="shared" si="40"/>
        <v>0.31394440102712962</v>
      </c>
      <c r="AS95" s="930">
        <f t="shared" si="41"/>
        <v>0.22435991221653256</v>
      </c>
      <c r="AT95" s="930">
        <f t="shared" si="42"/>
        <v>0.17847138855542216</v>
      </c>
      <c r="AV95" s="931">
        <v>8909</v>
      </c>
      <c r="AW95" s="931">
        <v>27903</v>
      </c>
      <c r="AX95" s="931">
        <v>7903</v>
      </c>
      <c r="AZ95" s="931">
        <f t="shared" si="43"/>
        <v>2796.9306687506978</v>
      </c>
      <c r="BA95" s="931">
        <f t="shared" si="44"/>
        <v>6260.3146305779082</v>
      </c>
      <c r="BB95" s="931">
        <f t="shared" si="45"/>
        <v>1410.4593837535012</v>
      </c>
      <c r="BC95" s="948">
        <f t="shared" si="46"/>
        <v>10467.704683082107</v>
      </c>
    </row>
    <row r="96" spans="1:55" s="928" customFormat="1" ht="12" customHeight="1" x14ac:dyDescent="0.2">
      <c r="A96" s="928" t="s">
        <v>232</v>
      </c>
      <c r="B96" s="932" t="s">
        <v>525</v>
      </c>
      <c r="C96" s="945">
        <v>503</v>
      </c>
      <c r="D96" s="929">
        <v>2470</v>
      </c>
      <c r="E96" s="929">
        <v>2973</v>
      </c>
      <c r="F96" s="929">
        <v>257</v>
      </c>
      <c r="G96" s="929">
        <v>2525</v>
      </c>
      <c r="H96" s="929">
        <v>2782</v>
      </c>
      <c r="I96" s="929">
        <v>275</v>
      </c>
      <c r="J96" s="929">
        <v>2912</v>
      </c>
      <c r="K96" s="929">
        <v>3187</v>
      </c>
      <c r="L96" s="929">
        <v>490</v>
      </c>
      <c r="M96" s="929">
        <v>2241</v>
      </c>
      <c r="N96" s="929">
        <v>2731</v>
      </c>
      <c r="O96" s="929">
        <v>512</v>
      </c>
      <c r="P96" s="929">
        <v>3703</v>
      </c>
      <c r="Q96" s="929">
        <v>4215</v>
      </c>
      <c r="R96" s="929">
        <v>548</v>
      </c>
      <c r="S96" s="929">
        <v>4942</v>
      </c>
      <c r="T96" s="929">
        <v>5490</v>
      </c>
      <c r="U96" s="929">
        <v>566</v>
      </c>
      <c r="V96" s="929">
        <v>5568</v>
      </c>
      <c r="W96" s="929">
        <v>6134</v>
      </c>
      <c r="X96" s="929">
        <v>426</v>
      </c>
      <c r="Y96" s="929">
        <v>4093</v>
      </c>
      <c r="Z96" s="929">
        <v>4519</v>
      </c>
      <c r="AA96" s="929">
        <v>282</v>
      </c>
      <c r="AB96" s="929">
        <v>2467</v>
      </c>
      <c r="AC96" s="929">
        <v>2749</v>
      </c>
      <c r="AD96" s="929">
        <v>310</v>
      </c>
      <c r="AE96" s="929">
        <v>1514</v>
      </c>
      <c r="AF96" s="929">
        <v>1824</v>
      </c>
      <c r="AH96" s="929">
        <f t="shared" si="31"/>
        <v>1035</v>
      </c>
      <c r="AI96" s="929">
        <f t="shared" si="32"/>
        <v>7907</v>
      </c>
      <c r="AJ96" s="929">
        <f t="shared" si="33"/>
        <v>8942</v>
      </c>
      <c r="AK96" s="929">
        <f t="shared" si="34"/>
        <v>2542</v>
      </c>
      <c r="AL96" s="929">
        <f t="shared" si="35"/>
        <v>20547</v>
      </c>
      <c r="AM96" s="929">
        <f t="shared" si="36"/>
        <v>23089</v>
      </c>
      <c r="AN96" s="929">
        <f t="shared" si="37"/>
        <v>592</v>
      </c>
      <c r="AO96" s="929">
        <f t="shared" si="38"/>
        <v>3981</v>
      </c>
      <c r="AP96" s="929">
        <f t="shared" si="39"/>
        <v>4573</v>
      </c>
      <c r="AR96" s="930">
        <f t="shared" si="40"/>
        <v>0.11574591813911876</v>
      </c>
      <c r="AS96" s="930">
        <f t="shared" si="41"/>
        <v>0.11009571657499242</v>
      </c>
      <c r="AT96" s="930">
        <f t="shared" si="42"/>
        <v>0.12945549967198774</v>
      </c>
      <c r="AV96" s="931">
        <v>8908</v>
      </c>
      <c r="AW96" s="931">
        <v>23871</v>
      </c>
      <c r="AX96" s="931">
        <v>4970</v>
      </c>
      <c r="AZ96" s="931">
        <f t="shared" si="43"/>
        <v>1031.0646387832699</v>
      </c>
      <c r="BA96" s="931">
        <f t="shared" si="44"/>
        <v>2628.0948503616441</v>
      </c>
      <c r="BB96" s="931">
        <f t="shared" si="45"/>
        <v>643.39383336977914</v>
      </c>
      <c r="BC96" s="948">
        <f t="shared" si="46"/>
        <v>4302.5533225146928</v>
      </c>
    </row>
    <row r="97" spans="1:55" s="928" customFormat="1" ht="12" customHeight="1" x14ac:dyDescent="0.2">
      <c r="A97" s="928" t="s">
        <v>234</v>
      </c>
      <c r="B97" s="932" t="s">
        <v>526</v>
      </c>
      <c r="C97" s="945">
        <v>993</v>
      </c>
      <c r="D97" s="929">
        <v>2391</v>
      </c>
      <c r="E97" s="929">
        <v>3384</v>
      </c>
      <c r="F97" s="929">
        <v>871</v>
      </c>
      <c r="G97" s="929">
        <v>2498</v>
      </c>
      <c r="H97" s="929">
        <v>3369</v>
      </c>
      <c r="I97" s="929">
        <v>891</v>
      </c>
      <c r="J97" s="929">
        <v>2816</v>
      </c>
      <c r="K97" s="929">
        <v>3707</v>
      </c>
      <c r="L97" s="929">
        <v>1119</v>
      </c>
      <c r="M97" s="929">
        <v>2473</v>
      </c>
      <c r="N97" s="929">
        <v>3592</v>
      </c>
      <c r="O97" s="929">
        <v>1299</v>
      </c>
      <c r="P97" s="929">
        <v>4668</v>
      </c>
      <c r="Q97" s="929">
        <v>5967</v>
      </c>
      <c r="R97" s="929">
        <v>1347</v>
      </c>
      <c r="S97" s="929">
        <v>5955</v>
      </c>
      <c r="T97" s="929">
        <v>7302</v>
      </c>
      <c r="U97" s="929">
        <v>1452</v>
      </c>
      <c r="V97" s="929">
        <v>7040</v>
      </c>
      <c r="W97" s="929">
        <v>8492</v>
      </c>
      <c r="X97" s="929">
        <v>1238</v>
      </c>
      <c r="Y97" s="929">
        <v>6651</v>
      </c>
      <c r="Z97" s="929">
        <v>7889</v>
      </c>
      <c r="AA97" s="929">
        <v>829</v>
      </c>
      <c r="AB97" s="929">
        <v>4702</v>
      </c>
      <c r="AC97" s="929">
        <v>5531</v>
      </c>
      <c r="AD97" s="929">
        <v>781</v>
      </c>
      <c r="AE97" s="929">
        <v>3206</v>
      </c>
      <c r="AF97" s="929">
        <v>3987</v>
      </c>
      <c r="AH97" s="929">
        <f t="shared" si="31"/>
        <v>2755</v>
      </c>
      <c r="AI97" s="929">
        <f t="shared" si="32"/>
        <v>7705</v>
      </c>
      <c r="AJ97" s="929">
        <f t="shared" si="33"/>
        <v>10460</v>
      </c>
      <c r="AK97" s="929">
        <f t="shared" si="34"/>
        <v>6455</v>
      </c>
      <c r="AL97" s="929">
        <f t="shared" si="35"/>
        <v>26787</v>
      </c>
      <c r="AM97" s="929">
        <f t="shared" si="36"/>
        <v>33242</v>
      </c>
      <c r="AN97" s="929">
        <f t="shared" si="37"/>
        <v>1610</v>
      </c>
      <c r="AO97" s="929">
        <f t="shared" si="38"/>
        <v>7908</v>
      </c>
      <c r="AP97" s="929">
        <f t="shared" si="39"/>
        <v>9518</v>
      </c>
      <c r="AR97" s="930">
        <f t="shared" si="40"/>
        <v>0.26338432122370936</v>
      </c>
      <c r="AS97" s="930">
        <f t="shared" si="41"/>
        <v>0.19418205884122497</v>
      </c>
      <c r="AT97" s="930">
        <f t="shared" si="42"/>
        <v>0.16915318344189956</v>
      </c>
      <c r="AV97" s="931">
        <v>10580</v>
      </c>
      <c r="AW97" s="931">
        <v>34303</v>
      </c>
      <c r="AX97" s="931">
        <v>9944</v>
      </c>
      <c r="AZ97" s="931">
        <f t="shared" si="43"/>
        <v>2786.6061185468452</v>
      </c>
      <c r="BA97" s="931">
        <f t="shared" si="44"/>
        <v>6661.0271644305403</v>
      </c>
      <c r="BB97" s="931">
        <f t="shared" si="45"/>
        <v>1682.0592561462493</v>
      </c>
      <c r="BC97" s="948">
        <f t="shared" si="46"/>
        <v>11129.692539123635</v>
      </c>
    </row>
    <row r="98" spans="1:55" s="928" customFormat="1" ht="12" customHeight="1" x14ac:dyDescent="0.2">
      <c r="A98" s="928" t="s">
        <v>236</v>
      </c>
      <c r="B98" s="932" t="s">
        <v>527</v>
      </c>
      <c r="C98" s="945">
        <v>294</v>
      </c>
      <c r="D98" s="929">
        <v>680</v>
      </c>
      <c r="E98" s="929">
        <v>974</v>
      </c>
      <c r="F98" s="929">
        <v>157</v>
      </c>
      <c r="G98" s="929">
        <v>928</v>
      </c>
      <c r="H98" s="929">
        <v>1085</v>
      </c>
      <c r="I98" s="929">
        <v>213</v>
      </c>
      <c r="J98" s="929">
        <v>1149</v>
      </c>
      <c r="K98" s="929">
        <v>1362</v>
      </c>
      <c r="L98" s="929">
        <v>186</v>
      </c>
      <c r="M98" s="929">
        <v>1086</v>
      </c>
      <c r="N98" s="929">
        <v>1272</v>
      </c>
      <c r="O98" s="929">
        <v>335</v>
      </c>
      <c r="P98" s="929">
        <v>1459</v>
      </c>
      <c r="Q98" s="929">
        <v>1794</v>
      </c>
      <c r="R98" s="929">
        <v>218</v>
      </c>
      <c r="S98" s="929">
        <v>1649</v>
      </c>
      <c r="T98" s="929">
        <v>1867</v>
      </c>
      <c r="U98" s="929">
        <v>427</v>
      </c>
      <c r="V98" s="929">
        <v>2198</v>
      </c>
      <c r="W98" s="929">
        <v>2625</v>
      </c>
      <c r="X98" s="929">
        <v>382</v>
      </c>
      <c r="Y98" s="929">
        <v>2345</v>
      </c>
      <c r="Z98" s="929">
        <v>2727</v>
      </c>
      <c r="AA98" s="929">
        <v>259</v>
      </c>
      <c r="AB98" s="929">
        <v>1851</v>
      </c>
      <c r="AC98" s="929">
        <v>2110</v>
      </c>
      <c r="AD98" s="929">
        <v>357</v>
      </c>
      <c r="AE98" s="929">
        <v>1089</v>
      </c>
      <c r="AF98" s="929">
        <v>1446</v>
      </c>
      <c r="AH98" s="929">
        <f t="shared" si="31"/>
        <v>664</v>
      </c>
      <c r="AI98" s="929">
        <f t="shared" si="32"/>
        <v>2757</v>
      </c>
      <c r="AJ98" s="929">
        <f t="shared" si="33"/>
        <v>3421</v>
      </c>
      <c r="AK98" s="929">
        <f t="shared" si="34"/>
        <v>1548</v>
      </c>
      <c r="AL98" s="929">
        <f t="shared" si="35"/>
        <v>8737</v>
      </c>
      <c r="AM98" s="929">
        <f t="shared" si="36"/>
        <v>10285</v>
      </c>
      <c r="AN98" s="929">
        <f t="shared" si="37"/>
        <v>616</v>
      </c>
      <c r="AO98" s="929">
        <f t="shared" si="38"/>
        <v>2940</v>
      </c>
      <c r="AP98" s="929">
        <f t="shared" si="39"/>
        <v>3556</v>
      </c>
      <c r="AR98" s="930">
        <f t="shared" si="40"/>
        <v>0.19409529377375037</v>
      </c>
      <c r="AS98" s="930">
        <f t="shared" si="41"/>
        <v>0.15051045211473019</v>
      </c>
      <c r="AT98" s="930">
        <f t="shared" si="42"/>
        <v>0.17322834645669291</v>
      </c>
      <c r="AV98" s="931">
        <v>3481</v>
      </c>
      <c r="AW98" s="931">
        <v>10403</v>
      </c>
      <c r="AX98" s="931">
        <v>3711</v>
      </c>
      <c r="AZ98" s="931">
        <f t="shared" si="43"/>
        <v>675.64571762642504</v>
      </c>
      <c r="BA98" s="931">
        <f t="shared" si="44"/>
        <v>1565.7602333495381</v>
      </c>
      <c r="BB98" s="931">
        <f t="shared" si="45"/>
        <v>642.85039370078744</v>
      </c>
      <c r="BC98" s="948">
        <f t="shared" si="46"/>
        <v>2884.2563446767508</v>
      </c>
    </row>
    <row r="99" spans="1:55" s="928" customFormat="1" ht="12" customHeight="1" x14ac:dyDescent="0.2">
      <c r="A99" s="928" t="s">
        <v>242</v>
      </c>
      <c r="B99" s="932" t="s">
        <v>528</v>
      </c>
      <c r="C99" s="945">
        <v>1156</v>
      </c>
      <c r="D99" s="929">
        <v>1403</v>
      </c>
      <c r="E99" s="929">
        <v>2559</v>
      </c>
      <c r="F99" s="929">
        <v>1100</v>
      </c>
      <c r="G99" s="929">
        <v>1603</v>
      </c>
      <c r="H99" s="929">
        <v>2703</v>
      </c>
      <c r="I99" s="929">
        <v>1050</v>
      </c>
      <c r="J99" s="929">
        <v>2031</v>
      </c>
      <c r="K99" s="929">
        <v>3081</v>
      </c>
      <c r="L99" s="929">
        <v>1307</v>
      </c>
      <c r="M99" s="929">
        <v>2125</v>
      </c>
      <c r="N99" s="929">
        <v>3432</v>
      </c>
      <c r="O99" s="929">
        <v>1438</v>
      </c>
      <c r="P99" s="929">
        <v>3317</v>
      </c>
      <c r="Q99" s="929">
        <v>4755</v>
      </c>
      <c r="R99" s="929">
        <v>1663</v>
      </c>
      <c r="S99" s="929">
        <v>3561</v>
      </c>
      <c r="T99" s="929">
        <v>5224</v>
      </c>
      <c r="U99" s="929">
        <v>1368</v>
      </c>
      <c r="V99" s="929">
        <v>4546</v>
      </c>
      <c r="W99" s="929">
        <v>5914</v>
      </c>
      <c r="X99" s="929">
        <v>995</v>
      </c>
      <c r="Y99" s="929">
        <v>4291</v>
      </c>
      <c r="Z99" s="929">
        <v>5286</v>
      </c>
      <c r="AA99" s="929">
        <v>603</v>
      </c>
      <c r="AB99" s="929">
        <v>2650</v>
      </c>
      <c r="AC99" s="929">
        <v>3253</v>
      </c>
      <c r="AD99" s="929">
        <v>530</v>
      </c>
      <c r="AE99" s="929">
        <v>1917</v>
      </c>
      <c r="AF99" s="929">
        <v>2447</v>
      </c>
      <c r="AH99" s="929">
        <f t="shared" si="31"/>
        <v>3306</v>
      </c>
      <c r="AI99" s="929">
        <f t="shared" si="32"/>
        <v>5037</v>
      </c>
      <c r="AJ99" s="929">
        <f t="shared" si="33"/>
        <v>8343</v>
      </c>
      <c r="AK99" s="929">
        <f t="shared" si="34"/>
        <v>6771</v>
      </c>
      <c r="AL99" s="929">
        <f t="shared" si="35"/>
        <v>17840</v>
      </c>
      <c r="AM99" s="929">
        <f t="shared" si="36"/>
        <v>24611</v>
      </c>
      <c r="AN99" s="929">
        <f t="shared" si="37"/>
        <v>1133</v>
      </c>
      <c r="AO99" s="929">
        <f t="shared" si="38"/>
        <v>4567</v>
      </c>
      <c r="AP99" s="929">
        <f t="shared" si="39"/>
        <v>5700</v>
      </c>
      <c r="AR99" s="930">
        <f t="shared" si="40"/>
        <v>0.39626033800791083</v>
      </c>
      <c r="AS99" s="930">
        <f t="shared" si="41"/>
        <v>0.27512088090691156</v>
      </c>
      <c r="AT99" s="930">
        <f t="shared" si="42"/>
        <v>0.19877192982456141</v>
      </c>
      <c r="AV99" s="931">
        <v>8585</v>
      </c>
      <c r="AW99" s="931">
        <v>26974</v>
      </c>
      <c r="AX99" s="931">
        <v>6006</v>
      </c>
      <c r="AZ99" s="931">
        <f t="shared" si="43"/>
        <v>3401.8950017979146</v>
      </c>
      <c r="BA99" s="931">
        <f t="shared" si="44"/>
        <v>7421.1106415830327</v>
      </c>
      <c r="BB99" s="931">
        <f t="shared" si="45"/>
        <v>1193.8242105263157</v>
      </c>
      <c r="BC99" s="948">
        <f t="shared" si="46"/>
        <v>12016.829853907264</v>
      </c>
    </row>
    <row r="100" spans="1:55" s="928" customFormat="1" ht="12" customHeight="1" x14ac:dyDescent="0.2">
      <c r="A100" s="928" t="s">
        <v>244</v>
      </c>
      <c r="B100" s="932" t="s">
        <v>529</v>
      </c>
      <c r="C100" s="945">
        <v>632</v>
      </c>
      <c r="D100" s="929">
        <v>1005</v>
      </c>
      <c r="E100" s="929">
        <v>1637</v>
      </c>
      <c r="F100" s="929">
        <v>523</v>
      </c>
      <c r="G100" s="929">
        <v>1621</v>
      </c>
      <c r="H100" s="929">
        <v>2144</v>
      </c>
      <c r="I100" s="929">
        <v>616</v>
      </c>
      <c r="J100" s="929">
        <v>1295</v>
      </c>
      <c r="K100" s="929">
        <v>1911</v>
      </c>
      <c r="L100" s="929">
        <v>536</v>
      </c>
      <c r="M100" s="929">
        <v>1614</v>
      </c>
      <c r="N100" s="929">
        <v>2150</v>
      </c>
      <c r="O100" s="929">
        <v>597</v>
      </c>
      <c r="P100" s="929">
        <v>2599</v>
      </c>
      <c r="Q100" s="929">
        <v>3196</v>
      </c>
      <c r="R100" s="929">
        <v>665</v>
      </c>
      <c r="S100" s="929">
        <v>3361</v>
      </c>
      <c r="T100" s="929">
        <v>4026</v>
      </c>
      <c r="U100" s="929">
        <v>710</v>
      </c>
      <c r="V100" s="929">
        <v>3663</v>
      </c>
      <c r="W100" s="929">
        <v>4373</v>
      </c>
      <c r="X100" s="929">
        <v>597</v>
      </c>
      <c r="Y100" s="929">
        <v>3618</v>
      </c>
      <c r="Z100" s="929">
        <v>4215</v>
      </c>
      <c r="AA100" s="929">
        <v>353</v>
      </c>
      <c r="AB100" s="929">
        <v>2435</v>
      </c>
      <c r="AC100" s="929">
        <v>2788</v>
      </c>
      <c r="AD100" s="929">
        <v>531</v>
      </c>
      <c r="AE100" s="929">
        <v>1430</v>
      </c>
      <c r="AF100" s="929">
        <v>1961</v>
      </c>
      <c r="AH100" s="929">
        <f t="shared" si="31"/>
        <v>1771</v>
      </c>
      <c r="AI100" s="929">
        <f t="shared" si="32"/>
        <v>3921</v>
      </c>
      <c r="AJ100" s="929">
        <f t="shared" si="33"/>
        <v>5692</v>
      </c>
      <c r="AK100" s="929">
        <f t="shared" si="34"/>
        <v>3105</v>
      </c>
      <c r="AL100" s="929">
        <f t="shared" si="35"/>
        <v>14855</v>
      </c>
      <c r="AM100" s="929">
        <f t="shared" si="36"/>
        <v>17960</v>
      </c>
      <c r="AN100" s="929">
        <f t="shared" si="37"/>
        <v>884</v>
      </c>
      <c r="AO100" s="929">
        <f t="shared" si="38"/>
        <v>3865</v>
      </c>
      <c r="AP100" s="929">
        <f t="shared" si="39"/>
        <v>4749</v>
      </c>
      <c r="AR100" s="930">
        <f t="shared" si="40"/>
        <v>0.31113843991567114</v>
      </c>
      <c r="AS100" s="930">
        <f t="shared" si="41"/>
        <v>0.17288418708240536</v>
      </c>
      <c r="AT100" s="930">
        <f t="shared" si="42"/>
        <v>0.186144451463466</v>
      </c>
      <c r="AV100" s="931">
        <v>5977</v>
      </c>
      <c r="AW100" s="931">
        <v>17894</v>
      </c>
      <c r="AX100" s="931">
        <v>5333</v>
      </c>
      <c r="AZ100" s="931">
        <f t="shared" si="43"/>
        <v>1859.6744553759663</v>
      </c>
      <c r="BA100" s="931">
        <f t="shared" si="44"/>
        <v>3093.5896436525613</v>
      </c>
      <c r="BB100" s="931">
        <f t="shared" si="45"/>
        <v>992.70835965466415</v>
      </c>
      <c r="BC100" s="948">
        <f t="shared" si="46"/>
        <v>5945.9724586831917</v>
      </c>
    </row>
    <row r="101" spans="1:55" s="928" customFormat="1" ht="12" customHeight="1" x14ac:dyDescent="0.2">
      <c r="A101" s="928" t="s">
        <v>246</v>
      </c>
      <c r="B101" s="932" t="s">
        <v>759</v>
      </c>
      <c r="C101" s="945">
        <v>439</v>
      </c>
      <c r="D101" s="929">
        <v>4699</v>
      </c>
      <c r="E101" s="929">
        <v>5138</v>
      </c>
      <c r="F101" s="929">
        <v>508</v>
      </c>
      <c r="G101" s="929">
        <v>5940</v>
      </c>
      <c r="H101" s="929">
        <v>6448</v>
      </c>
      <c r="I101" s="929">
        <v>636</v>
      </c>
      <c r="J101" s="929">
        <v>7616</v>
      </c>
      <c r="K101" s="929">
        <v>8252</v>
      </c>
      <c r="L101" s="929">
        <v>609</v>
      </c>
      <c r="M101" s="929">
        <v>4897</v>
      </c>
      <c r="N101" s="929">
        <v>5506</v>
      </c>
      <c r="O101" s="929">
        <v>489</v>
      </c>
      <c r="P101" s="929">
        <v>6783</v>
      </c>
      <c r="Q101" s="929">
        <v>7272</v>
      </c>
      <c r="R101" s="929">
        <v>512</v>
      </c>
      <c r="S101" s="929">
        <v>10508</v>
      </c>
      <c r="T101" s="929">
        <v>11020</v>
      </c>
      <c r="U101" s="929">
        <v>379</v>
      </c>
      <c r="V101" s="929">
        <v>13000</v>
      </c>
      <c r="W101" s="929">
        <v>13379</v>
      </c>
      <c r="X101" s="929">
        <v>225</v>
      </c>
      <c r="Y101" s="929">
        <v>9332</v>
      </c>
      <c r="Z101" s="929">
        <v>9557</v>
      </c>
      <c r="AA101" s="929">
        <v>217</v>
      </c>
      <c r="AB101" s="929">
        <v>5302</v>
      </c>
      <c r="AC101" s="929">
        <v>5519</v>
      </c>
      <c r="AD101" s="929">
        <v>512</v>
      </c>
      <c r="AE101" s="929">
        <v>3308</v>
      </c>
      <c r="AF101" s="929">
        <v>3820</v>
      </c>
      <c r="AH101" s="929">
        <f t="shared" si="31"/>
        <v>1583</v>
      </c>
      <c r="AI101" s="929">
        <f t="shared" si="32"/>
        <v>18255</v>
      </c>
      <c r="AJ101" s="929">
        <f t="shared" si="33"/>
        <v>19838</v>
      </c>
      <c r="AK101" s="929">
        <f t="shared" si="34"/>
        <v>2214</v>
      </c>
      <c r="AL101" s="929">
        <f t="shared" si="35"/>
        <v>44520</v>
      </c>
      <c r="AM101" s="929">
        <f t="shared" si="36"/>
        <v>46734</v>
      </c>
      <c r="AN101" s="929">
        <f t="shared" si="37"/>
        <v>729</v>
      </c>
      <c r="AO101" s="929">
        <f t="shared" si="38"/>
        <v>8610</v>
      </c>
      <c r="AP101" s="929">
        <f t="shared" si="39"/>
        <v>9339</v>
      </c>
      <c r="AR101" s="930">
        <f t="shared" si="40"/>
        <v>7.979635043855228E-2</v>
      </c>
      <c r="AS101" s="930">
        <f t="shared" si="41"/>
        <v>4.7374502503530619E-2</v>
      </c>
      <c r="AT101" s="930">
        <f t="shared" si="42"/>
        <v>7.8059749437841316E-2</v>
      </c>
      <c r="AV101" s="931">
        <v>16758</v>
      </c>
      <c r="AW101" s="931">
        <v>41153</v>
      </c>
      <c r="AX101" s="931">
        <v>8223</v>
      </c>
      <c r="AZ101" s="931">
        <f t="shared" si="43"/>
        <v>1337.2272406492591</v>
      </c>
      <c r="BA101" s="931">
        <f t="shared" si="44"/>
        <v>1949.6029015277957</v>
      </c>
      <c r="BB101" s="931">
        <f t="shared" si="45"/>
        <v>641.8853196273692</v>
      </c>
      <c r="BC101" s="948">
        <f t="shared" si="46"/>
        <v>3928.7154618044242</v>
      </c>
    </row>
    <row r="102" spans="1:55" s="928" customFormat="1" ht="12" customHeight="1" x14ac:dyDescent="0.2">
      <c r="A102" s="928" t="s">
        <v>14</v>
      </c>
      <c r="B102" s="932" t="s">
        <v>15</v>
      </c>
      <c r="C102" s="945">
        <v>1767</v>
      </c>
      <c r="D102" s="929">
        <v>9613</v>
      </c>
      <c r="E102" s="929">
        <v>11380</v>
      </c>
      <c r="F102" s="929">
        <v>1663</v>
      </c>
      <c r="G102" s="929">
        <v>4934</v>
      </c>
      <c r="H102" s="929">
        <v>6597</v>
      </c>
      <c r="I102" s="929">
        <v>1080</v>
      </c>
      <c r="J102" s="929">
        <v>4150</v>
      </c>
      <c r="K102" s="929">
        <v>5230</v>
      </c>
      <c r="L102" s="929">
        <v>1489</v>
      </c>
      <c r="M102" s="929">
        <v>8262</v>
      </c>
      <c r="N102" s="929">
        <v>9751</v>
      </c>
      <c r="O102" s="929">
        <v>3190</v>
      </c>
      <c r="P102" s="929">
        <v>29865</v>
      </c>
      <c r="Q102" s="929">
        <v>33055</v>
      </c>
      <c r="R102" s="929">
        <v>1750</v>
      </c>
      <c r="S102" s="929">
        <v>22236</v>
      </c>
      <c r="T102" s="929">
        <v>23986</v>
      </c>
      <c r="U102" s="929">
        <v>1281</v>
      </c>
      <c r="V102" s="929">
        <v>16846</v>
      </c>
      <c r="W102" s="929">
        <v>18127</v>
      </c>
      <c r="X102" s="929">
        <v>1300</v>
      </c>
      <c r="Y102" s="929">
        <v>13969</v>
      </c>
      <c r="Z102" s="929">
        <v>15269</v>
      </c>
      <c r="AA102" s="929">
        <v>661</v>
      </c>
      <c r="AB102" s="929">
        <v>6220</v>
      </c>
      <c r="AC102" s="929">
        <v>6881</v>
      </c>
      <c r="AD102" s="929">
        <v>704</v>
      </c>
      <c r="AE102" s="929">
        <v>4395</v>
      </c>
      <c r="AF102" s="929">
        <v>5099</v>
      </c>
      <c r="AH102" s="929">
        <f t="shared" ref="AH102:AH126" si="47">C102+F102+I102</f>
        <v>4510</v>
      </c>
      <c r="AI102" s="929">
        <f t="shared" ref="AI102:AI126" si="48">D102+G102+J102</f>
        <v>18697</v>
      </c>
      <c r="AJ102" s="929">
        <f t="shared" ref="AJ102:AJ126" si="49">E102+H102+K102</f>
        <v>23207</v>
      </c>
      <c r="AK102" s="929">
        <f t="shared" ref="AK102:AK126" si="50">L102+O102+R102+U102+X102</f>
        <v>9010</v>
      </c>
      <c r="AL102" s="929">
        <f t="shared" ref="AL102:AL126" si="51">M102+P102+S102+V102+Y102</f>
        <v>91178</v>
      </c>
      <c r="AM102" s="929">
        <f t="shared" ref="AM102:AM126" si="52">N102+Q102+T102+W102+Z102</f>
        <v>100188</v>
      </c>
      <c r="AN102" s="929">
        <f t="shared" ref="AN102:AN126" si="53">AA102+AD102</f>
        <v>1365</v>
      </c>
      <c r="AO102" s="929">
        <f t="shared" ref="AO102:AO126" si="54">AB102+AE102</f>
        <v>10615</v>
      </c>
      <c r="AP102" s="929">
        <f t="shared" ref="AP102:AP126" si="55">AC102+AF102</f>
        <v>11980</v>
      </c>
      <c r="AR102" s="930">
        <f t="shared" ref="AR102:AR126" si="56">AH102/AJ102</f>
        <v>0.19433791528418148</v>
      </c>
      <c r="AS102" s="930">
        <f t="shared" ref="AS102:AS126" si="57">AK102/AM102</f>
        <v>8.9930929851878463E-2</v>
      </c>
      <c r="AT102" s="930">
        <f t="shared" ref="AT102:AT126" si="58">AN102/AP102</f>
        <v>0.11393989983305509</v>
      </c>
      <c r="AV102" s="931">
        <v>25229</v>
      </c>
      <c r="AW102" s="931">
        <v>105641</v>
      </c>
      <c r="AX102" s="931">
        <v>13431</v>
      </c>
      <c r="AZ102" s="931">
        <f t="shared" ref="AZ102:AZ126" si="59">AR102*AV102</f>
        <v>4902.9512647046149</v>
      </c>
      <c r="BA102" s="931">
        <f t="shared" ref="BA102:BA126" si="60">AS102*AW102</f>
        <v>9500.3933604822923</v>
      </c>
      <c r="BB102" s="931">
        <f t="shared" ref="BB102:BB126" si="61">AT102*AX102</f>
        <v>1530.326794657763</v>
      </c>
      <c r="BC102" s="948">
        <f t="shared" si="46"/>
        <v>15933.67141984467</v>
      </c>
    </row>
    <row r="103" spans="1:55" s="928" customFormat="1" ht="12" customHeight="1" x14ac:dyDescent="0.2">
      <c r="A103" s="928" t="s">
        <v>34</v>
      </c>
      <c r="B103" s="932" t="s">
        <v>35</v>
      </c>
      <c r="C103" s="945">
        <v>570</v>
      </c>
      <c r="D103" s="929">
        <v>704</v>
      </c>
      <c r="E103" s="929">
        <v>1274</v>
      </c>
      <c r="F103" s="929">
        <v>376</v>
      </c>
      <c r="G103" s="929">
        <v>760</v>
      </c>
      <c r="H103" s="929">
        <v>1136</v>
      </c>
      <c r="I103" s="929">
        <v>515</v>
      </c>
      <c r="J103" s="929">
        <v>704</v>
      </c>
      <c r="K103" s="929">
        <v>1219</v>
      </c>
      <c r="L103" s="929">
        <v>446</v>
      </c>
      <c r="M103" s="929">
        <v>784</v>
      </c>
      <c r="N103" s="929">
        <v>1230</v>
      </c>
      <c r="O103" s="929">
        <v>679</v>
      </c>
      <c r="P103" s="929">
        <v>1483</v>
      </c>
      <c r="Q103" s="929">
        <v>2162</v>
      </c>
      <c r="R103" s="929">
        <v>539</v>
      </c>
      <c r="S103" s="929">
        <v>1677</v>
      </c>
      <c r="T103" s="929">
        <v>2216</v>
      </c>
      <c r="U103" s="929">
        <v>529</v>
      </c>
      <c r="V103" s="929">
        <v>1892</v>
      </c>
      <c r="W103" s="929">
        <v>2421</v>
      </c>
      <c r="X103" s="929">
        <v>444</v>
      </c>
      <c r="Y103" s="929">
        <v>1722</v>
      </c>
      <c r="Z103" s="929">
        <v>2166</v>
      </c>
      <c r="AA103" s="929">
        <v>390</v>
      </c>
      <c r="AB103" s="929">
        <v>1359</v>
      </c>
      <c r="AC103" s="929">
        <v>1749</v>
      </c>
      <c r="AD103" s="929">
        <v>383</v>
      </c>
      <c r="AE103" s="929">
        <v>1224</v>
      </c>
      <c r="AF103" s="929">
        <v>1607</v>
      </c>
      <c r="AH103" s="929">
        <f t="shared" si="47"/>
        <v>1461</v>
      </c>
      <c r="AI103" s="929">
        <f t="shared" si="48"/>
        <v>2168</v>
      </c>
      <c r="AJ103" s="929">
        <f t="shared" si="49"/>
        <v>3629</v>
      </c>
      <c r="AK103" s="929">
        <f t="shared" si="50"/>
        <v>2637</v>
      </c>
      <c r="AL103" s="929">
        <f t="shared" si="51"/>
        <v>7558</v>
      </c>
      <c r="AM103" s="929">
        <f t="shared" si="52"/>
        <v>10195</v>
      </c>
      <c r="AN103" s="929">
        <f t="shared" si="53"/>
        <v>773</v>
      </c>
      <c r="AO103" s="929">
        <f t="shared" si="54"/>
        <v>2583</v>
      </c>
      <c r="AP103" s="929">
        <f t="shared" si="55"/>
        <v>3356</v>
      </c>
      <c r="AR103" s="930">
        <f t="shared" si="56"/>
        <v>0.4025902452466244</v>
      </c>
      <c r="AS103" s="930">
        <f t="shared" si="57"/>
        <v>0.25865620402157918</v>
      </c>
      <c r="AT103" s="930">
        <f t="shared" si="58"/>
        <v>0.2303337306317044</v>
      </c>
      <c r="AV103" s="931">
        <v>3592</v>
      </c>
      <c r="AW103" s="931">
        <v>10818</v>
      </c>
      <c r="AX103" s="931">
        <v>3340</v>
      </c>
      <c r="AZ103" s="931">
        <f t="shared" si="59"/>
        <v>1446.1041609258748</v>
      </c>
      <c r="BA103" s="931">
        <f t="shared" si="60"/>
        <v>2798.1428151054438</v>
      </c>
      <c r="BB103" s="931">
        <f t="shared" si="61"/>
        <v>769.3146603098927</v>
      </c>
      <c r="BC103" s="948">
        <f t="shared" si="46"/>
        <v>5013.5616363412119</v>
      </c>
    </row>
    <row r="104" spans="1:55" s="928" customFormat="1" ht="12" customHeight="1" x14ac:dyDescent="0.2">
      <c r="A104" s="928" t="s">
        <v>52</v>
      </c>
      <c r="B104" s="932" t="s">
        <v>53</v>
      </c>
      <c r="C104" s="945">
        <v>575</v>
      </c>
      <c r="D104" s="929">
        <v>1894</v>
      </c>
      <c r="E104" s="929">
        <v>2469</v>
      </c>
      <c r="F104" s="929">
        <v>391</v>
      </c>
      <c r="G104" s="929">
        <v>1540</v>
      </c>
      <c r="H104" s="929">
        <v>1931</v>
      </c>
      <c r="I104" s="929">
        <v>404</v>
      </c>
      <c r="J104" s="929">
        <v>1525</v>
      </c>
      <c r="K104" s="929">
        <v>1929</v>
      </c>
      <c r="L104" s="929">
        <v>6401</v>
      </c>
      <c r="M104" s="929">
        <v>3220</v>
      </c>
      <c r="N104" s="929">
        <v>9621</v>
      </c>
      <c r="O104" s="929">
        <v>1686</v>
      </c>
      <c r="P104" s="929">
        <v>5616</v>
      </c>
      <c r="Q104" s="929">
        <v>7302</v>
      </c>
      <c r="R104" s="929">
        <v>624</v>
      </c>
      <c r="S104" s="929">
        <v>3666</v>
      </c>
      <c r="T104" s="929">
        <v>4290</v>
      </c>
      <c r="U104" s="929">
        <v>946</v>
      </c>
      <c r="V104" s="929">
        <v>3365</v>
      </c>
      <c r="W104" s="929">
        <v>4311</v>
      </c>
      <c r="X104" s="929">
        <v>579</v>
      </c>
      <c r="Y104" s="929">
        <v>3154</v>
      </c>
      <c r="Z104" s="929">
        <v>3733</v>
      </c>
      <c r="AA104" s="929">
        <v>189</v>
      </c>
      <c r="AB104" s="929">
        <v>1878</v>
      </c>
      <c r="AC104" s="929">
        <v>2067</v>
      </c>
      <c r="AD104" s="929">
        <v>247</v>
      </c>
      <c r="AE104" s="929">
        <v>1577</v>
      </c>
      <c r="AF104" s="929">
        <v>1824</v>
      </c>
      <c r="AH104" s="929">
        <f t="shared" si="47"/>
        <v>1370</v>
      </c>
      <c r="AI104" s="929">
        <f t="shared" si="48"/>
        <v>4959</v>
      </c>
      <c r="AJ104" s="929">
        <f t="shared" si="49"/>
        <v>6329</v>
      </c>
      <c r="AK104" s="929">
        <f t="shared" si="50"/>
        <v>10236</v>
      </c>
      <c r="AL104" s="929">
        <f t="shared" si="51"/>
        <v>19021</v>
      </c>
      <c r="AM104" s="929">
        <f t="shared" si="52"/>
        <v>29257</v>
      </c>
      <c r="AN104" s="929">
        <f t="shared" si="53"/>
        <v>436</v>
      </c>
      <c r="AO104" s="929">
        <f t="shared" si="54"/>
        <v>3455</v>
      </c>
      <c r="AP104" s="929">
        <f t="shared" si="55"/>
        <v>3891</v>
      </c>
      <c r="AR104" s="930">
        <f t="shared" si="56"/>
        <v>0.2164638963501343</v>
      </c>
      <c r="AS104" s="930">
        <f t="shared" si="57"/>
        <v>0.34986498957514439</v>
      </c>
      <c r="AT104" s="930">
        <f t="shared" si="58"/>
        <v>0.11205345669493703</v>
      </c>
      <c r="AV104" s="931">
        <v>6368</v>
      </c>
      <c r="AW104" s="931">
        <v>33048</v>
      </c>
      <c r="AX104" s="931">
        <v>4095</v>
      </c>
      <c r="AZ104" s="931">
        <f t="shared" si="59"/>
        <v>1378.4420919576553</v>
      </c>
      <c r="BA104" s="931">
        <f t="shared" si="60"/>
        <v>11562.338175479372</v>
      </c>
      <c r="BB104" s="931">
        <f t="shared" si="61"/>
        <v>458.85890516576717</v>
      </c>
      <c r="BC104" s="948">
        <f t="shared" si="46"/>
        <v>13399.639172602794</v>
      </c>
    </row>
    <row r="105" spans="1:55" s="928" customFormat="1" ht="12" customHeight="1" x14ac:dyDescent="0.2">
      <c r="A105" s="928" t="s">
        <v>54</v>
      </c>
      <c r="B105" s="932" t="s">
        <v>55</v>
      </c>
      <c r="C105" s="945">
        <v>3084</v>
      </c>
      <c r="D105" s="929">
        <v>13772</v>
      </c>
      <c r="E105" s="929">
        <v>16856</v>
      </c>
      <c r="F105" s="929">
        <v>2692</v>
      </c>
      <c r="G105" s="929">
        <v>16302</v>
      </c>
      <c r="H105" s="929">
        <v>18994</v>
      </c>
      <c r="I105" s="929">
        <v>2296</v>
      </c>
      <c r="J105" s="929">
        <v>18621</v>
      </c>
      <c r="K105" s="929">
        <v>20917</v>
      </c>
      <c r="L105" s="929">
        <v>2402</v>
      </c>
      <c r="M105" s="929">
        <v>16644</v>
      </c>
      <c r="N105" s="929">
        <v>19046</v>
      </c>
      <c r="O105" s="929">
        <v>2964</v>
      </c>
      <c r="P105" s="929">
        <v>23493</v>
      </c>
      <c r="Q105" s="929">
        <v>26457</v>
      </c>
      <c r="R105" s="929">
        <v>2304</v>
      </c>
      <c r="S105" s="929">
        <v>28925</v>
      </c>
      <c r="T105" s="929">
        <v>31229</v>
      </c>
      <c r="U105" s="929">
        <v>2031</v>
      </c>
      <c r="V105" s="929">
        <v>33944</v>
      </c>
      <c r="W105" s="929">
        <v>35975</v>
      </c>
      <c r="X105" s="929">
        <v>1686</v>
      </c>
      <c r="Y105" s="929">
        <v>22430</v>
      </c>
      <c r="Z105" s="929">
        <v>24116</v>
      </c>
      <c r="AA105" s="929">
        <v>1218</v>
      </c>
      <c r="AB105" s="929">
        <v>11753</v>
      </c>
      <c r="AC105" s="929">
        <v>12971</v>
      </c>
      <c r="AD105" s="929">
        <v>1162</v>
      </c>
      <c r="AE105" s="929">
        <v>8133</v>
      </c>
      <c r="AF105" s="929">
        <v>9295</v>
      </c>
      <c r="AH105" s="929">
        <f t="shared" si="47"/>
        <v>8072</v>
      </c>
      <c r="AI105" s="929">
        <f t="shared" si="48"/>
        <v>48695</v>
      </c>
      <c r="AJ105" s="929">
        <f t="shared" si="49"/>
        <v>56767</v>
      </c>
      <c r="AK105" s="929">
        <f t="shared" si="50"/>
        <v>11387</v>
      </c>
      <c r="AL105" s="929">
        <f t="shared" si="51"/>
        <v>125436</v>
      </c>
      <c r="AM105" s="929">
        <f t="shared" si="52"/>
        <v>136823</v>
      </c>
      <c r="AN105" s="929">
        <f t="shared" si="53"/>
        <v>2380</v>
      </c>
      <c r="AO105" s="929">
        <f t="shared" si="54"/>
        <v>19886</v>
      </c>
      <c r="AP105" s="929">
        <f t="shared" si="55"/>
        <v>22266</v>
      </c>
      <c r="AR105" s="930">
        <f t="shared" si="56"/>
        <v>0.14219528951679672</v>
      </c>
      <c r="AS105" s="930">
        <f t="shared" si="57"/>
        <v>8.3224311701979928E-2</v>
      </c>
      <c r="AT105" s="930">
        <f t="shared" si="58"/>
        <v>0.10688942782718046</v>
      </c>
      <c r="AV105" s="931">
        <v>57117</v>
      </c>
      <c r="AW105" s="931">
        <v>143811</v>
      </c>
      <c r="AX105" s="931">
        <v>24122</v>
      </c>
      <c r="AZ105" s="931">
        <f t="shared" si="59"/>
        <v>8121.7683513308784</v>
      </c>
      <c r="BA105" s="931">
        <f t="shared" si="60"/>
        <v>11968.571490173435</v>
      </c>
      <c r="BB105" s="931">
        <f t="shared" si="61"/>
        <v>2578.3867780472469</v>
      </c>
      <c r="BC105" s="948">
        <f t="shared" si="46"/>
        <v>22668.726619551559</v>
      </c>
    </row>
    <row r="106" spans="1:55" s="928" customFormat="1" ht="12" customHeight="1" x14ac:dyDescent="0.2">
      <c r="A106" s="928" t="s">
        <v>66</v>
      </c>
      <c r="B106" s="932" t="s">
        <v>67</v>
      </c>
      <c r="C106" s="945">
        <v>1769</v>
      </c>
      <c r="D106" s="929">
        <v>1377</v>
      </c>
      <c r="E106" s="929">
        <v>3146</v>
      </c>
      <c r="F106" s="929">
        <v>1427</v>
      </c>
      <c r="G106" s="929">
        <v>1658</v>
      </c>
      <c r="H106" s="929">
        <v>3085</v>
      </c>
      <c r="I106" s="929">
        <v>1211</v>
      </c>
      <c r="J106" s="929">
        <v>1757</v>
      </c>
      <c r="K106" s="929">
        <v>2968</v>
      </c>
      <c r="L106" s="929">
        <v>1620</v>
      </c>
      <c r="M106" s="929">
        <v>2218</v>
      </c>
      <c r="N106" s="929">
        <v>3838</v>
      </c>
      <c r="O106" s="929">
        <v>1676</v>
      </c>
      <c r="P106" s="929">
        <v>2837</v>
      </c>
      <c r="Q106" s="929">
        <v>4513</v>
      </c>
      <c r="R106" s="929">
        <v>1314</v>
      </c>
      <c r="S106" s="929">
        <v>3376</v>
      </c>
      <c r="T106" s="929">
        <v>4690</v>
      </c>
      <c r="U106" s="929">
        <v>1527</v>
      </c>
      <c r="V106" s="929">
        <v>4702</v>
      </c>
      <c r="W106" s="929">
        <v>6229</v>
      </c>
      <c r="X106" s="929">
        <v>1121</v>
      </c>
      <c r="Y106" s="929">
        <v>4698</v>
      </c>
      <c r="Z106" s="929">
        <v>5819</v>
      </c>
      <c r="AA106" s="929">
        <v>753</v>
      </c>
      <c r="AB106" s="929">
        <v>3059</v>
      </c>
      <c r="AC106" s="929">
        <v>3812</v>
      </c>
      <c r="AD106" s="929">
        <v>1225</v>
      </c>
      <c r="AE106" s="929">
        <v>2640</v>
      </c>
      <c r="AF106" s="929">
        <v>3865</v>
      </c>
      <c r="AH106" s="929">
        <f t="shared" si="47"/>
        <v>4407</v>
      </c>
      <c r="AI106" s="929">
        <f t="shared" si="48"/>
        <v>4792</v>
      </c>
      <c r="AJ106" s="929">
        <f t="shared" si="49"/>
        <v>9199</v>
      </c>
      <c r="AK106" s="929">
        <f t="shared" si="50"/>
        <v>7258</v>
      </c>
      <c r="AL106" s="929">
        <f t="shared" si="51"/>
        <v>17831</v>
      </c>
      <c r="AM106" s="929">
        <f t="shared" si="52"/>
        <v>25089</v>
      </c>
      <c r="AN106" s="929">
        <f t="shared" si="53"/>
        <v>1978</v>
      </c>
      <c r="AO106" s="929">
        <f t="shared" si="54"/>
        <v>5699</v>
      </c>
      <c r="AP106" s="929">
        <f t="shared" si="55"/>
        <v>7677</v>
      </c>
      <c r="AR106" s="930">
        <f t="shared" si="56"/>
        <v>0.4790738123709099</v>
      </c>
      <c r="AS106" s="930">
        <f t="shared" si="57"/>
        <v>0.28929012714735541</v>
      </c>
      <c r="AT106" s="930">
        <f t="shared" si="58"/>
        <v>0.25765272893057184</v>
      </c>
      <c r="AV106" s="931">
        <v>9284</v>
      </c>
      <c r="AW106" s="931">
        <v>25358</v>
      </c>
      <c r="AX106" s="931">
        <v>8210</v>
      </c>
      <c r="AZ106" s="931">
        <f t="shared" si="59"/>
        <v>4447.7212740515279</v>
      </c>
      <c r="BA106" s="931">
        <f t="shared" si="60"/>
        <v>7335.8190442026389</v>
      </c>
      <c r="BB106" s="931">
        <f t="shared" si="61"/>
        <v>2115.3289045199949</v>
      </c>
      <c r="BC106" s="948">
        <f t="shared" si="46"/>
        <v>13898.869222774161</v>
      </c>
    </row>
    <row r="107" spans="1:55" s="928" customFormat="1" ht="12" customHeight="1" x14ac:dyDescent="0.2">
      <c r="A107" s="928" t="s">
        <v>82</v>
      </c>
      <c r="B107" s="932" t="s">
        <v>83</v>
      </c>
      <c r="C107" s="945">
        <v>344</v>
      </c>
      <c r="D107" s="929">
        <v>350</v>
      </c>
      <c r="E107" s="929">
        <v>694</v>
      </c>
      <c r="F107" s="929">
        <v>223</v>
      </c>
      <c r="G107" s="929">
        <v>450</v>
      </c>
      <c r="H107" s="929">
        <v>673</v>
      </c>
      <c r="I107" s="929">
        <v>265</v>
      </c>
      <c r="J107" s="929">
        <v>394</v>
      </c>
      <c r="K107" s="929">
        <v>659</v>
      </c>
      <c r="L107" s="929">
        <v>286</v>
      </c>
      <c r="M107" s="929">
        <v>550</v>
      </c>
      <c r="N107" s="929">
        <v>836</v>
      </c>
      <c r="O107" s="929">
        <v>220</v>
      </c>
      <c r="P107" s="929">
        <v>621</v>
      </c>
      <c r="Q107" s="929">
        <v>841</v>
      </c>
      <c r="R107" s="929">
        <v>116</v>
      </c>
      <c r="S107" s="929">
        <v>936</v>
      </c>
      <c r="T107" s="929">
        <v>1052</v>
      </c>
      <c r="U107" s="929">
        <v>281</v>
      </c>
      <c r="V107" s="929">
        <v>959</v>
      </c>
      <c r="W107" s="929">
        <v>1240</v>
      </c>
      <c r="X107" s="929">
        <v>211</v>
      </c>
      <c r="Y107" s="929">
        <v>872</v>
      </c>
      <c r="Z107" s="929">
        <v>1083</v>
      </c>
      <c r="AA107" s="929">
        <v>94</v>
      </c>
      <c r="AB107" s="929">
        <v>483</v>
      </c>
      <c r="AC107" s="929">
        <v>577</v>
      </c>
      <c r="AD107" s="929">
        <v>138</v>
      </c>
      <c r="AE107" s="929">
        <v>631</v>
      </c>
      <c r="AF107" s="929">
        <v>769</v>
      </c>
      <c r="AH107" s="929">
        <f t="shared" si="47"/>
        <v>832</v>
      </c>
      <c r="AI107" s="929">
        <f t="shared" si="48"/>
        <v>1194</v>
      </c>
      <c r="AJ107" s="929">
        <f t="shared" si="49"/>
        <v>2026</v>
      </c>
      <c r="AK107" s="929">
        <f t="shared" si="50"/>
        <v>1114</v>
      </c>
      <c r="AL107" s="929">
        <f t="shared" si="51"/>
        <v>3938</v>
      </c>
      <c r="AM107" s="929">
        <f t="shared" si="52"/>
        <v>5052</v>
      </c>
      <c r="AN107" s="929">
        <f t="shared" si="53"/>
        <v>232</v>
      </c>
      <c r="AO107" s="929">
        <f t="shared" si="54"/>
        <v>1114</v>
      </c>
      <c r="AP107" s="929">
        <f t="shared" si="55"/>
        <v>1346</v>
      </c>
      <c r="AR107" s="930">
        <f t="shared" si="56"/>
        <v>0.4106614017769003</v>
      </c>
      <c r="AS107" s="930">
        <f t="shared" si="57"/>
        <v>0.22050673000791765</v>
      </c>
      <c r="AT107" s="930">
        <f t="shared" si="58"/>
        <v>0.17236255572065379</v>
      </c>
      <c r="AV107" s="931">
        <v>2050</v>
      </c>
      <c r="AW107" s="931">
        <v>5023</v>
      </c>
      <c r="AX107" s="931">
        <v>1515</v>
      </c>
      <c r="AZ107" s="931">
        <f t="shared" si="59"/>
        <v>841.85587364264563</v>
      </c>
      <c r="BA107" s="931">
        <f t="shared" si="60"/>
        <v>1107.6053048297704</v>
      </c>
      <c r="BB107" s="931">
        <f t="shared" si="61"/>
        <v>261.12927191679051</v>
      </c>
      <c r="BC107" s="948">
        <f t="shared" si="46"/>
        <v>2210.5904503892066</v>
      </c>
    </row>
    <row r="108" spans="1:55" s="928" customFormat="1" ht="12" customHeight="1" x14ac:dyDescent="0.2">
      <c r="A108" s="928" t="s">
        <v>88</v>
      </c>
      <c r="B108" s="932" t="s">
        <v>89</v>
      </c>
      <c r="C108" s="945">
        <v>471</v>
      </c>
      <c r="D108" s="929">
        <v>1259</v>
      </c>
      <c r="E108" s="929">
        <v>1730</v>
      </c>
      <c r="F108" s="929">
        <v>243</v>
      </c>
      <c r="G108" s="929">
        <v>1358</v>
      </c>
      <c r="H108" s="929">
        <v>1601</v>
      </c>
      <c r="I108" s="929">
        <v>288</v>
      </c>
      <c r="J108" s="929">
        <v>1008</v>
      </c>
      <c r="K108" s="929">
        <v>1296</v>
      </c>
      <c r="L108" s="929">
        <v>1505</v>
      </c>
      <c r="M108" s="929">
        <v>1638</v>
      </c>
      <c r="N108" s="929">
        <v>3143</v>
      </c>
      <c r="O108" s="929">
        <v>351</v>
      </c>
      <c r="P108" s="929">
        <v>3063</v>
      </c>
      <c r="Q108" s="929">
        <v>3414</v>
      </c>
      <c r="R108" s="929">
        <v>314</v>
      </c>
      <c r="S108" s="929">
        <v>2643</v>
      </c>
      <c r="T108" s="929">
        <v>2957</v>
      </c>
      <c r="U108" s="929">
        <v>382</v>
      </c>
      <c r="V108" s="929">
        <v>2371</v>
      </c>
      <c r="W108" s="929">
        <v>2753</v>
      </c>
      <c r="X108" s="929">
        <v>371</v>
      </c>
      <c r="Y108" s="929">
        <v>1772</v>
      </c>
      <c r="Z108" s="929">
        <v>2143</v>
      </c>
      <c r="AA108" s="929">
        <v>74</v>
      </c>
      <c r="AB108" s="929">
        <v>1174</v>
      </c>
      <c r="AC108" s="929">
        <v>1248</v>
      </c>
      <c r="AD108" s="929">
        <v>189</v>
      </c>
      <c r="AE108" s="929">
        <v>1041</v>
      </c>
      <c r="AF108" s="929">
        <v>1230</v>
      </c>
      <c r="AH108" s="929">
        <f t="shared" si="47"/>
        <v>1002</v>
      </c>
      <c r="AI108" s="929">
        <f t="shared" si="48"/>
        <v>3625</v>
      </c>
      <c r="AJ108" s="929">
        <f t="shared" si="49"/>
        <v>4627</v>
      </c>
      <c r="AK108" s="929">
        <f t="shared" si="50"/>
        <v>2923</v>
      </c>
      <c r="AL108" s="929">
        <f t="shared" si="51"/>
        <v>11487</v>
      </c>
      <c r="AM108" s="929">
        <f t="shared" si="52"/>
        <v>14410</v>
      </c>
      <c r="AN108" s="929">
        <f t="shared" si="53"/>
        <v>263</v>
      </c>
      <c r="AO108" s="929">
        <f t="shared" si="54"/>
        <v>2215</v>
      </c>
      <c r="AP108" s="929">
        <f t="shared" si="55"/>
        <v>2478</v>
      </c>
      <c r="AR108" s="930">
        <f t="shared" si="56"/>
        <v>0.21655500324184138</v>
      </c>
      <c r="AS108" s="930">
        <f t="shared" si="57"/>
        <v>0.20284524635669673</v>
      </c>
      <c r="AT108" s="930">
        <f t="shared" si="58"/>
        <v>0.10613397901533494</v>
      </c>
      <c r="AV108" s="931">
        <v>5320</v>
      </c>
      <c r="AW108" s="931">
        <v>17912</v>
      </c>
      <c r="AX108" s="931">
        <v>2459</v>
      </c>
      <c r="AZ108" s="931">
        <f t="shared" si="59"/>
        <v>1152.0726172465961</v>
      </c>
      <c r="BA108" s="931">
        <f t="shared" si="60"/>
        <v>3633.3640527411521</v>
      </c>
      <c r="BB108" s="931">
        <f t="shared" si="61"/>
        <v>260.9834543987086</v>
      </c>
      <c r="BC108" s="948">
        <f t="shared" si="46"/>
        <v>5046.4201243864572</v>
      </c>
    </row>
    <row r="109" spans="1:55" s="928" customFormat="1" ht="12" customHeight="1" x14ac:dyDescent="0.2">
      <c r="A109" s="928" t="s">
        <v>90</v>
      </c>
      <c r="B109" s="932" t="s">
        <v>91</v>
      </c>
      <c r="C109" s="945">
        <v>145</v>
      </c>
      <c r="D109" s="929">
        <v>63</v>
      </c>
      <c r="E109" s="929">
        <v>208</v>
      </c>
      <c r="F109" s="929">
        <v>321</v>
      </c>
      <c r="G109" s="929">
        <v>223</v>
      </c>
      <c r="H109" s="929">
        <v>544</v>
      </c>
      <c r="I109" s="929">
        <v>142</v>
      </c>
      <c r="J109" s="929">
        <v>220</v>
      </c>
      <c r="K109" s="929">
        <v>362</v>
      </c>
      <c r="L109" s="929">
        <v>172</v>
      </c>
      <c r="M109" s="929">
        <v>196</v>
      </c>
      <c r="N109" s="929">
        <v>368</v>
      </c>
      <c r="O109" s="929">
        <v>500</v>
      </c>
      <c r="P109" s="929">
        <v>703</v>
      </c>
      <c r="Q109" s="929">
        <v>1203</v>
      </c>
      <c r="R109" s="929">
        <v>132</v>
      </c>
      <c r="S109" s="929">
        <v>534</v>
      </c>
      <c r="T109" s="929">
        <v>666</v>
      </c>
      <c r="U109" s="929">
        <v>236</v>
      </c>
      <c r="V109" s="929">
        <v>604</v>
      </c>
      <c r="W109" s="929">
        <v>840</v>
      </c>
      <c r="X109" s="929">
        <v>257</v>
      </c>
      <c r="Y109" s="929">
        <v>534</v>
      </c>
      <c r="Z109" s="929">
        <v>791</v>
      </c>
      <c r="AA109" s="929">
        <v>96</v>
      </c>
      <c r="AB109" s="929">
        <v>622</v>
      </c>
      <c r="AC109" s="929">
        <v>718</v>
      </c>
      <c r="AD109" s="929">
        <v>365</v>
      </c>
      <c r="AE109" s="929">
        <v>597</v>
      </c>
      <c r="AF109" s="929">
        <v>962</v>
      </c>
      <c r="AH109" s="929">
        <f t="shared" si="47"/>
        <v>608</v>
      </c>
      <c r="AI109" s="929">
        <f t="shared" si="48"/>
        <v>506</v>
      </c>
      <c r="AJ109" s="929">
        <f t="shared" si="49"/>
        <v>1114</v>
      </c>
      <c r="AK109" s="929">
        <f t="shared" si="50"/>
        <v>1297</v>
      </c>
      <c r="AL109" s="929">
        <f t="shared" si="51"/>
        <v>2571</v>
      </c>
      <c r="AM109" s="929">
        <f t="shared" si="52"/>
        <v>3868</v>
      </c>
      <c r="AN109" s="929">
        <f t="shared" si="53"/>
        <v>461</v>
      </c>
      <c r="AO109" s="929">
        <f t="shared" si="54"/>
        <v>1219</v>
      </c>
      <c r="AP109" s="929">
        <f t="shared" si="55"/>
        <v>1680</v>
      </c>
      <c r="AR109" s="930">
        <f t="shared" si="56"/>
        <v>0.54578096947935373</v>
      </c>
      <c r="AS109" s="930">
        <f t="shared" si="57"/>
        <v>0.33531540847983454</v>
      </c>
      <c r="AT109" s="930">
        <f t="shared" si="58"/>
        <v>0.27440476190476193</v>
      </c>
      <c r="AV109" s="931">
        <v>1537</v>
      </c>
      <c r="AW109" s="931">
        <v>3979</v>
      </c>
      <c r="AX109" s="931">
        <v>1467</v>
      </c>
      <c r="AZ109" s="931">
        <f t="shared" si="59"/>
        <v>838.86535008976671</v>
      </c>
      <c r="BA109" s="931">
        <f t="shared" si="60"/>
        <v>1334.2200103412617</v>
      </c>
      <c r="BB109" s="931">
        <f t="shared" si="61"/>
        <v>402.55178571428576</v>
      </c>
      <c r="BC109" s="948">
        <f t="shared" si="46"/>
        <v>2575.6371461453145</v>
      </c>
    </row>
    <row r="110" spans="1:55" s="928" customFormat="1" ht="12" customHeight="1" x14ac:dyDescent="0.2">
      <c r="A110" s="928" t="s">
        <v>106</v>
      </c>
      <c r="B110" s="932" t="s">
        <v>107</v>
      </c>
      <c r="C110" s="945">
        <v>2854</v>
      </c>
      <c r="D110" s="929">
        <v>7786</v>
      </c>
      <c r="E110" s="929">
        <v>10640</v>
      </c>
      <c r="F110" s="929">
        <v>3046</v>
      </c>
      <c r="G110" s="929">
        <v>6677</v>
      </c>
      <c r="H110" s="929">
        <v>9723</v>
      </c>
      <c r="I110" s="929">
        <v>3051</v>
      </c>
      <c r="J110" s="929">
        <v>7726</v>
      </c>
      <c r="K110" s="929">
        <v>10777</v>
      </c>
      <c r="L110" s="929">
        <v>3179</v>
      </c>
      <c r="M110" s="929">
        <v>11000</v>
      </c>
      <c r="N110" s="929">
        <v>14179</v>
      </c>
      <c r="O110" s="929">
        <v>2360</v>
      </c>
      <c r="P110" s="929">
        <v>16304</v>
      </c>
      <c r="Q110" s="929">
        <v>18664</v>
      </c>
      <c r="R110" s="929">
        <v>2567</v>
      </c>
      <c r="S110" s="929">
        <v>14294</v>
      </c>
      <c r="T110" s="929">
        <v>16861</v>
      </c>
      <c r="U110" s="929">
        <v>2069</v>
      </c>
      <c r="V110" s="929">
        <v>18621</v>
      </c>
      <c r="W110" s="929">
        <v>20690</v>
      </c>
      <c r="X110" s="929">
        <v>1807</v>
      </c>
      <c r="Y110" s="929">
        <v>13558</v>
      </c>
      <c r="Z110" s="929">
        <v>15365</v>
      </c>
      <c r="AA110" s="929">
        <v>818</v>
      </c>
      <c r="AB110" s="929">
        <v>8415</v>
      </c>
      <c r="AC110" s="929">
        <v>9233</v>
      </c>
      <c r="AD110" s="929">
        <v>1147</v>
      </c>
      <c r="AE110" s="929">
        <v>5758</v>
      </c>
      <c r="AF110" s="929">
        <v>6905</v>
      </c>
      <c r="AH110" s="929">
        <f t="shared" si="47"/>
        <v>8951</v>
      </c>
      <c r="AI110" s="929">
        <f t="shared" si="48"/>
        <v>22189</v>
      </c>
      <c r="AJ110" s="929">
        <f t="shared" si="49"/>
        <v>31140</v>
      </c>
      <c r="AK110" s="929">
        <f t="shared" si="50"/>
        <v>11982</v>
      </c>
      <c r="AL110" s="929">
        <f t="shared" si="51"/>
        <v>73777</v>
      </c>
      <c r="AM110" s="929">
        <f t="shared" si="52"/>
        <v>85759</v>
      </c>
      <c r="AN110" s="929">
        <f t="shared" si="53"/>
        <v>1965</v>
      </c>
      <c r="AO110" s="929">
        <f t="shared" si="54"/>
        <v>14173</v>
      </c>
      <c r="AP110" s="929">
        <f t="shared" si="55"/>
        <v>16138</v>
      </c>
      <c r="AR110" s="930">
        <f t="shared" si="56"/>
        <v>0.28744380218368659</v>
      </c>
      <c r="AS110" s="930">
        <f t="shared" si="57"/>
        <v>0.13971711423873878</v>
      </c>
      <c r="AT110" s="930">
        <f t="shared" si="58"/>
        <v>0.12176230016111042</v>
      </c>
      <c r="AV110" s="931">
        <v>30712</v>
      </c>
      <c r="AW110" s="931">
        <v>88489</v>
      </c>
      <c r="AX110" s="931">
        <v>17200</v>
      </c>
      <c r="AZ110" s="931">
        <f t="shared" si="59"/>
        <v>8827.9740526653823</v>
      </c>
      <c r="BA110" s="931">
        <f t="shared" si="60"/>
        <v>12363.427721871756</v>
      </c>
      <c r="BB110" s="931">
        <f t="shared" si="61"/>
        <v>2094.311562771099</v>
      </c>
      <c r="BC110" s="948">
        <f t="shared" si="46"/>
        <v>23285.713337308236</v>
      </c>
    </row>
    <row r="111" spans="1:55" s="928" customFormat="1" ht="12" customHeight="1" x14ac:dyDescent="0.2">
      <c r="A111" s="928" t="s">
        <v>116</v>
      </c>
      <c r="B111" s="932" t="s">
        <v>117</v>
      </c>
      <c r="C111" s="945">
        <v>757</v>
      </c>
      <c r="D111" s="929">
        <v>1260</v>
      </c>
      <c r="E111" s="929">
        <v>2017</v>
      </c>
      <c r="F111" s="929">
        <v>505</v>
      </c>
      <c r="G111" s="929">
        <v>874</v>
      </c>
      <c r="H111" s="929">
        <v>1379</v>
      </c>
      <c r="I111" s="929">
        <v>822</v>
      </c>
      <c r="J111" s="929">
        <v>1117</v>
      </c>
      <c r="K111" s="929">
        <v>1939</v>
      </c>
      <c r="L111" s="929">
        <v>434</v>
      </c>
      <c r="M111" s="929">
        <v>1597</v>
      </c>
      <c r="N111" s="929">
        <v>2031</v>
      </c>
      <c r="O111" s="929">
        <v>777</v>
      </c>
      <c r="P111" s="929">
        <v>2370</v>
      </c>
      <c r="Q111" s="929">
        <v>3147</v>
      </c>
      <c r="R111" s="929">
        <v>505</v>
      </c>
      <c r="S111" s="929">
        <v>2491</v>
      </c>
      <c r="T111" s="929">
        <v>2996</v>
      </c>
      <c r="U111" s="929">
        <v>610</v>
      </c>
      <c r="V111" s="929">
        <v>2329</v>
      </c>
      <c r="W111" s="929">
        <v>2939</v>
      </c>
      <c r="X111" s="929">
        <v>516</v>
      </c>
      <c r="Y111" s="929">
        <v>1878</v>
      </c>
      <c r="Z111" s="929">
        <v>2394</v>
      </c>
      <c r="AA111" s="929">
        <v>210</v>
      </c>
      <c r="AB111" s="929">
        <v>1386</v>
      </c>
      <c r="AC111" s="929">
        <v>1596</v>
      </c>
      <c r="AD111" s="929">
        <v>286</v>
      </c>
      <c r="AE111" s="929">
        <v>1298</v>
      </c>
      <c r="AF111" s="929">
        <v>1584</v>
      </c>
      <c r="AH111" s="929">
        <f t="shared" si="47"/>
        <v>2084</v>
      </c>
      <c r="AI111" s="929">
        <f t="shared" si="48"/>
        <v>3251</v>
      </c>
      <c r="AJ111" s="929">
        <f t="shared" si="49"/>
        <v>5335</v>
      </c>
      <c r="AK111" s="929">
        <f t="shared" si="50"/>
        <v>2842</v>
      </c>
      <c r="AL111" s="929">
        <f t="shared" si="51"/>
        <v>10665</v>
      </c>
      <c r="AM111" s="929">
        <f t="shared" si="52"/>
        <v>13507</v>
      </c>
      <c r="AN111" s="929">
        <f t="shared" si="53"/>
        <v>496</v>
      </c>
      <c r="AO111" s="929">
        <f t="shared" si="54"/>
        <v>2684</v>
      </c>
      <c r="AP111" s="929">
        <f t="shared" si="55"/>
        <v>3180</v>
      </c>
      <c r="AR111" s="930">
        <f t="shared" si="56"/>
        <v>0.39062792877225866</v>
      </c>
      <c r="AS111" s="930">
        <f t="shared" si="57"/>
        <v>0.21040941733915747</v>
      </c>
      <c r="AT111" s="930">
        <f t="shared" si="58"/>
        <v>0.15597484276729559</v>
      </c>
      <c r="AV111" s="931">
        <v>5605</v>
      </c>
      <c r="AW111" s="931">
        <v>13635</v>
      </c>
      <c r="AX111" s="931">
        <v>3340</v>
      </c>
      <c r="AZ111" s="931">
        <f t="shared" si="59"/>
        <v>2189.4695407685099</v>
      </c>
      <c r="BA111" s="931">
        <f t="shared" si="60"/>
        <v>2868.9324054194121</v>
      </c>
      <c r="BB111" s="931">
        <f t="shared" si="61"/>
        <v>520.95597484276732</v>
      </c>
      <c r="BC111" s="948">
        <f t="shared" si="46"/>
        <v>5579.3579210306889</v>
      </c>
    </row>
    <row r="112" spans="1:55" s="928" customFormat="1" ht="12" customHeight="1" x14ac:dyDescent="0.2">
      <c r="A112" s="928" t="s">
        <v>138</v>
      </c>
      <c r="B112" s="932" t="s">
        <v>139</v>
      </c>
      <c r="C112" s="945">
        <v>2402</v>
      </c>
      <c r="D112" s="929">
        <v>2700</v>
      </c>
      <c r="E112" s="929">
        <v>5102</v>
      </c>
      <c r="F112" s="929">
        <v>1577</v>
      </c>
      <c r="G112" s="929">
        <v>3199</v>
      </c>
      <c r="H112" s="929">
        <v>4776</v>
      </c>
      <c r="I112" s="929">
        <v>1248</v>
      </c>
      <c r="J112" s="929">
        <v>3311</v>
      </c>
      <c r="K112" s="929">
        <v>4559</v>
      </c>
      <c r="L112" s="929">
        <v>5359</v>
      </c>
      <c r="M112" s="929">
        <v>5038</v>
      </c>
      <c r="N112" s="929">
        <v>10397</v>
      </c>
      <c r="O112" s="929">
        <v>2181</v>
      </c>
      <c r="P112" s="929">
        <v>6576</v>
      </c>
      <c r="Q112" s="929">
        <v>8757</v>
      </c>
      <c r="R112" s="929">
        <v>1705</v>
      </c>
      <c r="S112" s="929">
        <v>5745</v>
      </c>
      <c r="T112" s="929">
        <v>7450</v>
      </c>
      <c r="U112" s="929">
        <v>1491</v>
      </c>
      <c r="V112" s="929">
        <v>7005</v>
      </c>
      <c r="W112" s="929">
        <v>8496</v>
      </c>
      <c r="X112" s="929">
        <v>1334</v>
      </c>
      <c r="Y112" s="929">
        <v>6129</v>
      </c>
      <c r="Z112" s="929">
        <v>7463</v>
      </c>
      <c r="AA112" s="929">
        <v>530</v>
      </c>
      <c r="AB112" s="929">
        <v>4082</v>
      </c>
      <c r="AC112" s="929">
        <v>4612</v>
      </c>
      <c r="AD112" s="929">
        <v>783</v>
      </c>
      <c r="AE112" s="929">
        <v>4343</v>
      </c>
      <c r="AF112" s="929">
        <v>5126</v>
      </c>
      <c r="AH112" s="929">
        <f t="shared" si="47"/>
        <v>5227</v>
      </c>
      <c r="AI112" s="929">
        <f t="shared" si="48"/>
        <v>9210</v>
      </c>
      <c r="AJ112" s="929">
        <f t="shared" si="49"/>
        <v>14437</v>
      </c>
      <c r="AK112" s="929">
        <f t="shared" si="50"/>
        <v>12070</v>
      </c>
      <c r="AL112" s="929">
        <f t="shared" si="51"/>
        <v>30493</v>
      </c>
      <c r="AM112" s="929">
        <f t="shared" si="52"/>
        <v>42563</v>
      </c>
      <c r="AN112" s="929">
        <f t="shared" si="53"/>
        <v>1313</v>
      </c>
      <c r="AO112" s="929">
        <f t="shared" si="54"/>
        <v>8425</v>
      </c>
      <c r="AP112" s="929">
        <f t="shared" si="55"/>
        <v>9738</v>
      </c>
      <c r="AR112" s="930">
        <f t="shared" si="56"/>
        <v>0.36205582877329084</v>
      </c>
      <c r="AS112" s="930">
        <f t="shared" si="57"/>
        <v>0.28357963489415688</v>
      </c>
      <c r="AT112" s="930">
        <f t="shared" si="58"/>
        <v>0.13483261449989731</v>
      </c>
      <c r="AV112" s="931">
        <v>14947</v>
      </c>
      <c r="AW112" s="931">
        <v>50797</v>
      </c>
      <c r="AX112" s="931">
        <v>10760</v>
      </c>
      <c r="AZ112" s="931">
        <f t="shared" si="59"/>
        <v>5411.6484726743784</v>
      </c>
      <c r="BA112" s="931">
        <f t="shared" si="60"/>
        <v>14404.994713718488</v>
      </c>
      <c r="BB112" s="931">
        <f t="shared" si="61"/>
        <v>1450.7989320188951</v>
      </c>
      <c r="BC112" s="948">
        <f t="shared" si="46"/>
        <v>21267.44211841176</v>
      </c>
    </row>
    <row r="113" spans="1:55" s="928" customFormat="1" ht="12" customHeight="1" x14ac:dyDescent="0.2">
      <c r="A113" s="928" t="s">
        <v>142</v>
      </c>
      <c r="B113" s="932" t="s">
        <v>143</v>
      </c>
      <c r="C113" s="945">
        <v>916</v>
      </c>
      <c r="D113" s="929">
        <v>2782</v>
      </c>
      <c r="E113" s="929">
        <v>3698</v>
      </c>
      <c r="F113" s="929">
        <v>1200</v>
      </c>
      <c r="G113" s="929">
        <v>2083</v>
      </c>
      <c r="H113" s="929">
        <v>3283</v>
      </c>
      <c r="I113" s="929">
        <v>531</v>
      </c>
      <c r="J113" s="929">
        <v>2908</v>
      </c>
      <c r="K113" s="929">
        <v>3439</v>
      </c>
      <c r="L113" s="929">
        <v>547</v>
      </c>
      <c r="M113" s="929">
        <v>3150</v>
      </c>
      <c r="N113" s="929">
        <v>3697</v>
      </c>
      <c r="O113" s="929">
        <v>881</v>
      </c>
      <c r="P113" s="929">
        <v>4642</v>
      </c>
      <c r="Q113" s="929">
        <v>5523</v>
      </c>
      <c r="R113" s="929">
        <v>1003</v>
      </c>
      <c r="S113" s="929">
        <v>4676</v>
      </c>
      <c r="T113" s="929">
        <v>5679</v>
      </c>
      <c r="U113" s="929">
        <v>406</v>
      </c>
      <c r="V113" s="929">
        <v>4895</v>
      </c>
      <c r="W113" s="929">
        <v>5301</v>
      </c>
      <c r="X113" s="929">
        <v>306</v>
      </c>
      <c r="Y113" s="929">
        <v>3097</v>
      </c>
      <c r="Z113" s="929">
        <v>3403</v>
      </c>
      <c r="AA113" s="929">
        <v>162</v>
      </c>
      <c r="AB113" s="929">
        <v>1357</v>
      </c>
      <c r="AC113" s="929">
        <v>1519</v>
      </c>
      <c r="AD113" s="929">
        <v>80</v>
      </c>
      <c r="AE113" s="929">
        <v>938</v>
      </c>
      <c r="AF113" s="929">
        <v>1018</v>
      </c>
      <c r="AH113" s="929">
        <f t="shared" si="47"/>
        <v>2647</v>
      </c>
      <c r="AI113" s="929">
        <f t="shared" si="48"/>
        <v>7773</v>
      </c>
      <c r="AJ113" s="929">
        <f t="shared" si="49"/>
        <v>10420</v>
      </c>
      <c r="AK113" s="929">
        <f t="shared" si="50"/>
        <v>3143</v>
      </c>
      <c r="AL113" s="929">
        <f t="shared" si="51"/>
        <v>20460</v>
      </c>
      <c r="AM113" s="929">
        <f t="shared" si="52"/>
        <v>23603</v>
      </c>
      <c r="AN113" s="929">
        <f t="shared" si="53"/>
        <v>242</v>
      </c>
      <c r="AO113" s="929">
        <f t="shared" si="54"/>
        <v>2295</v>
      </c>
      <c r="AP113" s="929">
        <f t="shared" si="55"/>
        <v>2537</v>
      </c>
      <c r="AR113" s="930">
        <f t="shared" si="56"/>
        <v>0.2540307101727447</v>
      </c>
      <c r="AS113" s="930">
        <f t="shared" si="57"/>
        <v>0.13316103885099351</v>
      </c>
      <c r="AT113" s="930">
        <f t="shared" si="58"/>
        <v>9.5388253843121801E-2</v>
      </c>
      <c r="AV113" s="931">
        <v>11024</v>
      </c>
      <c r="AW113" s="931">
        <v>25519</v>
      </c>
      <c r="AX113" s="931">
        <v>2757</v>
      </c>
      <c r="AZ113" s="931">
        <f t="shared" si="59"/>
        <v>2800.4345489443376</v>
      </c>
      <c r="BA113" s="931">
        <f t="shared" si="60"/>
        <v>3398.1365504385035</v>
      </c>
      <c r="BB113" s="931">
        <f t="shared" si="61"/>
        <v>262.98541584548678</v>
      </c>
      <c r="BC113" s="948">
        <f t="shared" si="46"/>
        <v>6461.556515228328</v>
      </c>
    </row>
    <row r="114" spans="1:55" s="928" customFormat="1" ht="12" customHeight="1" x14ac:dyDescent="0.2">
      <c r="A114" s="928" t="s">
        <v>144</v>
      </c>
      <c r="B114" s="932" t="s">
        <v>145</v>
      </c>
      <c r="C114" s="945">
        <v>183</v>
      </c>
      <c r="D114" s="929">
        <v>1365</v>
      </c>
      <c r="E114" s="929">
        <v>1548</v>
      </c>
      <c r="F114" s="929">
        <v>227</v>
      </c>
      <c r="G114" s="929">
        <v>1167</v>
      </c>
      <c r="H114" s="929">
        <v>1394</v>
      </c>
      <c r="I114" s="929">
        <v>39</v>
      </c>
      <c r="J114" s="929">
        <v>999</v>
      </c>
      <c r="K114" s="929">
        <v>1038</v>
      </c>
      <c r="L114" s="929">
        <v>139</v>
      </c>
      <c r="M114" s="929">
        <v>1254</v>
      </c>
      <c r="N114" s="929">
        <v>1393</v>
      </c>
      <c r="O114" s="929">
        <v>133</v>
      </c>
      <c r="P114" s="929">
        <v>2317</v>
      </c>
      <c r="Q114" s="929">
        <v>2450</v>
      </c>
      <c r="R114" s="929">
        <v>81</v>
      </c>
      <c r="S114" s="929">
        <v>2354</v>
      </c>
      <c r="T114" s="929">
        <v>2435</v>
      </c>
      <c r="U114" s="929">
        <v>18</v>
      </c>
      <c r="V114" s="929">
        <v>1693</v>
      </c>
      <c r="W114" s="929">
        <v>1711</v>
      </c>
      <c r="X114" s="929">
        <v>110</v>
      </c>
      <c r="Y114" s="929">
        <v>845</v>
      </c>
      <c r="Z114" s="929">
        <v>955</v>
      </c>
      <c r="AA114" s="929">
        <v>42</v>
      </c>
      <c r="AB114" s="929">
        <v>443</v>
      </c>
      <c r="AC114" s="929">
        <v>485</v>
      </c>
      <c r="AD114" s="929">
        <v>74</v>
      </c>
      <c r="AE114" s="929">
        <v>260</v>
      </c>
      <c r="AF114" s="929">
        <v>334</v>
      </c>
      <c r="AH114" s="929">
        <f t="shared" si="47"/>
        <v>449</v>
      </c>
      <c r="AI114" s="929">
        <f t="shared" si="48"/>
        <v>3531</v>
      </c>
      <c r="AJ114" s="929">
        <f t="shared" si="49"/>
        <v>3980</v>
      </c>
      <c r="AK114" s="929">
        <f t="shared" si="50"/>
        <v>481</v>
      </c>
      <c r="AL114" s="929">
        <f t="shared" si="51"/>
        <v>8463</v>
      </c>
      <c r="AM114" s="929">
        <f t="shared" si="52"/>
        <v>8944</v>
      </c>
      <c r="AN114" s="929">
        <f t="shared" si="53"/>
        <v>116</v>
      </c>
      <c r="AO114" s="929">
        <f t="shared" si="54"/>
        <v>703</v>
      </c>
      <c r="AP114" s="929">
        <f t="shared" si="55"/>
        <v>819</v>
      </c>
      <c r="AR114" s="930">
        <f t="shared" si="56"/>
        <v>0.11281407035175879</v>
      </c>
      <c r="AS114" s="930">
        <f t="shared" si="57"/>
        <v>5.3779069767441859E-2</v>
      </c>
      <c r="AT114" s="930">
        <f t="shared" si="58"/>
        <v>0.14163614163614163</v>
      </c>
      <c r="AV114" s="931">
        <v>4426</v>
      </c>
      <c r="AW114" s="931">
        <v>10119</v>
      </c>
      <c r="AX114" s="931">
        <v>787</v>
      </c>
      <c r="AZ114" s="931">
        <f t="shared" si="59"/>
        <v>499.31507537688441</v>
      </c>
      <c r="BA114" s="931">
        <f t="shared" si="60"/>
        <v>544.19040697674416</v>
      </c>
      <c r="BB114" s="931">
        <f t="shared" si="61"/>
        <v>111.46764346764347</v>
      </c>
      <c r="BC114" s="948">
        <f t="shared" si="46"/>
        <v>1154.9731258212721</v>
      </c>
    </row>
    <row r="115" spans="1:55" s="928" customFormat="1" ht="12" customHeight="1" x14ac:dyDescent="0.2">
      <c r="A115" s="928" t="s">
        <v>158</v>
      </c>
      <c r="B115" s="932" t="s">
        <v>159</v>
      </c>
      <c r="C115" s="945">
        <v>5139</v>
      </c>
      <c r="D115" s="929">
        <v>10578</v>
      </c>
      <c r="E115" s="929">
        <v>15717</v>
      </c>
      <c r="F115" s="929">
        <v>3631</v>
      </c>
      <c r="G115" s="929">
        <v>10278</v>
      </c>
      <c r="H115" s="929">
        <v>13909</v>
      </c>
      <c r="I115" s="929">
        <v>3008</v>
      </c>
      <c r="J115" s="929">
        <v>11217</v>
      </c>
      <c r="K115" s="929">
        <v>14225</v>
      </c>
      <c r="L115" s="929">
        <v>5567</v>
      </c>
      <c r="M115" s="929">
        <v>14387</v>
      </c>
      <c r="N115" s="929">
        <v>19954</v>
      </c>
      <c r="O115" s="929">
        <v>4292</v>
      </c>
      <c r="P115" s="929">
        <v>22506</v>
      </c>
      <c r="Q115" s="929">
        <v>26798</v>
      </c>
      <c r="R115" s="929">
        <v>2780</v>
      </c>
      <c r="S115" s="929">
        <v>19632</v>
      </c>
      <c r="T115" s="929">
        <v>22412</v>
      </c>
      <c r="U115" s="929">
        <v>2723</v>
      </c>
      <c r="V115" s="929">
        <v>22035</v>
      </c>
      <c r="W115" s="929">
        <v>24758</v>
      </c>
      <c r="X115" s="929">
        <v>2475</v>
      </c>
      <c r="Y115" s="929">
        <v>15195</v>
      </c>
      <c r="Z115" s="929">
        <v>17670</v>
      </c>
      <c r="AA115" s="929">
        <v>1014</v>
      </c>
      <c r="AB115" s="929">
        <v>9053</v>
      </c>
      <c r="AC115" s="929">
        <v>10067</v>
      </c>
      <c r="AD115" s="929">
        <v>1019</v>
      </c>
      <c r="AE115" s="929">
        <v>7091</v>
      </c>
      <c r="AF115" s="929">
        <v>8110</v>
      </c>
      <c r="AH115" s="929">
        <f t="shared" si="47"/>
        <v>11778</v>
      </c>
      <c r="AI115" s="929">
        <f t="shared" si="48"/>
        <v>32073</v>
      </c>
      <c r="AJ115" s="929">
        <f t="shared" si="49"/>
        <v>43851</v>
      </c>
      <c r="AK115" s="929">
        <f t="shared" si="50"/>
        <v>17837</v>
      </c>
      <c r="AL115" s="929">
        <f t="shared" si="51"/>
        <v>93755</v>
      </c>
      <c r="AM115" s="929">
        <f t="shared" si="52"/>
        <v>111592</v>
      </c>
      <c r="AN115" s="929">
        <f t="shared" si="53"/>
        <v>2033</v>
      </c>
      <c r="AO115" s="929">
        <f t="shared" si="54"/>
        <v>16144</v>
      </c>
      <c r="AP115" s="929">
        <f t="shared" si="55"/>
        <v>18177</v>
      </c>
      <c r="AR115" s="930">
        <f t="shared" si="56"/>
        <v>0.26859136621741808</v>
      </c>
      <c r="AS115" s="930">
        <f t="shared" si="57"/>
        <v>0.15984120725500037</v>
      </c>
      <c r="AT115" s="930">
        <f t="shared" si="58"/>
        <v>0.11184463882928976</v>
      </c>
      <c r="AV115" s="931">
        <v>43481</v>
      </c>
      <c r="AW115" s="931">
        <v>116671</v>
      </c>
      <c r="AX115" s="931">
        <v>19459</v>
      </c>
      <c r="AZ115" s="931">
        <f t="shared" si="59"/>
        <v>11678.621194499556</v>
      </c>
      <c r="BA115" s="931">
        <f t="shared" si="60"/>
        <v>18648.833491648147</v>
      </c>
      <c r="BB115" s="931">
        <f t="shared" si="61"/>
        <v>2176.3848269791492</v>
      </c>
      <c r="BC115" s="948">
        <f t="shared" si="46"/>
        <v>32503.839513126852</v>
      </c>
    </row>
    <row r="116" spans="1:55" s="928" customFormat="1" ht="12" customHeight="1" x14ac:dyDescent="0.2">
      <c r="A116" s="928" t="s">
        <v>160</v>
      </c>
      <c r="B116" s="932" t="s">
        <v>161</v>
      </c>
      <c r="C116" s="945">
        <v>7226</v>
      </c>
      <c r="D116" s="929">
        <v>12364</v>
      </c>
      <c r="E116" s="929">
        <v>19590</v>
      </c>
      <c r="F116" s="929">
        <v>5898</v>
      </c>
      <c r="G116" s="929">
        <v>10637</v>
      </c>
      <c r="H116" s="929">
        <v>16535</v>
      </c>
      <c r="I116" s="929">
        <v>4687</v>
      </c>
      <c r="J116" s="929">
        <v>10320</v>
      </c>
      <c r="K116" s="929">
        <v>15007</v>
      </c>
      <c r="L116" s="929">
        <v>8956</v>
      </c>
      <c r="M116" s="929">
        <v>22633</v>
      </c>
      <c r="N116" s="929">
        <v>31589</v>
      </c>
      <c r="O116" s="929">
        <v>7339</v>
      </c>
      <c r="P116" s="929">
        <v>30554</v>
      </c>
      <c r="Q116" s="929">
        <v>37893</v>
      </c>
      <c r="R116" s="929">
        <v>4172</v>
      </c>
      <c r="S116" s="929">
        <v>23184</v>
      </c>
      <c r="T116" s="929">
        <v>27356</v>
      </c>
      <c r="U116" s="929">
        <v>4981</v>
      </c>
      <c r="V116" s="929">
        <v>24197</v>
      </c>
      <c r="W116" s="929">
        <v>29178</v>
      </c>
      <c r="X116" s="929">
        <v>3225</v>
      </c>
      <c r="Y116" s="929">
        <v>18164</v>
      </c>
      <c r="Z116" s="929">
        <v>21389</v>
      </c>
      <c r="AA116" s="929">
        <v>1747</v>
      </c>
      <c r="AB116" s="929">
        <v>9446</v>
      </c>
      <c r="AC116" s="929">
        <v>11193</v>
      </c>
      <c r="AD116" s="929">
        <v>1811</v>
      </c>
      <c r="AE116" s="929">
        <v>9124</v>
      </c>
      <c r="AF116" s="929">
        <v>10935</v>
      </c>
      <c r="AH116" s="929">
        <f t="shared" si="47"/>
        <v>17811</v>
      </c>
      <c r="AI116" s="929">
        <f t="shared" si="48"/>
        <v>33321</v>
      </c>
      <c r="AJ116" s="929">
        <f t="shared" si="49"/>
        <v>51132</v>
      </c>
      <c r="AK116" s="929">
        <f t="shared" si="50"/>
        <v>28673</v>
      </c>
      <c r="AL116" s="929">
        <f t="shared" si="51"/>
        <v>118732</v>
      </c>
      <c r="AM116" s="929">
        <f t="shared" si="52"/>
        <v>147405</v>
      </c>
      <c r="AN116" s="929">
        <f t="shared" si="53"/>
        <v>3558</v>
      </c>
      <c r="AO116" s="929">
        <f t="shared" si="54"/>
        <v>18570</v>
      </c>
      <c r="AP116" s="929">
        <f t="shared" si="55"/>
        <v>22128</v>
      </c>
      <c r="AR116" s="930">
        <f t="shared" si="56"/>
        <v>0.34833372447782213</v>
      </c>
      <c r="AS116" s="930">
        <f t="shared" si="57"/>
        <v>0.19451850344289542</v>
      </c>
      <c r="AT116" s="930">
        <f t="shared" si="58"/>
        <v>0.16079175704989154</v>
      </c>
      <c r="AV116" s="931">
        <v>50672</v>
      </c>
      <c r="AW116" s="931">
        <v>169118</v>
      </c>
      <c r="AX116" s="931">
        <v>22838</v>
      </c>
      <c r="AZ116" s="931">
        <f t="shared" si="59"/>
        <v>17650.766486740202</v>
      </c>
      <c r="BA116" s="931">
        <f t="shared" si="60"/>
        <v>32896.580265255587</v>
      </c>
      <c r="BB116" s="931">
        <f t="shared" si="61"/>
        <v>3672.162147505423</v>
      </c>
      <c r="BC116" s="948">
        <f t="shared" si="46"/>
        <v>54219.508899501212</v>
      </c>
    </row>
    <row r="117" spans="1:55" s="928" customFormat="1" ht="12" customHeight="1" x14ac:dyDescent="0.2">
      <c r="A117" s="928" t="s">
        <v>166</v>
      </c>
      <c r="B117" s="932" t="s">
        <v>167</v>
      </c>
      <c r="C117" s="945">
        <v>102</v>
      </c>
      <c r="D117" s="929">
        <v>75</v>
      </c>
      <c r="E117" s="929">
        <v>177</v>
      </c>
      <c r="F117" s="929">
        <v>49</v>
      </c>
      <c r="G117" s="929">
        <v>268</v>
      </c>
      <c r="H117" s="929">
        <v>317</v>
      </c>
      <c r="I117" s="929">
        <v>117</v>
      </c>
      <c r="J117" s="929">
        <v>335</v>
      </c>
      <c r="K117" s="929">
        <v>452</v>
      </c>
      <c r="L117" s="929">
        <v>181</v>
      </c>
      <c r="M117" s="929">
        <v>187</v>
      </c>
      <c r="N117" s="929">
        <v>368</v>
      </c>
      <c r="O117" s="929">
        <v>79</v>
      </c>
      <c r="P117" s="929">
        <v>334</v>
      </c>
      <c r="Q117" s="929">
        <v>413</v>
      </c>
      <c r="R117" s="929">
        <v>127</v>
      </c>
      <c r="S117" s="929">
        <v>422</v>
      </c>
      <c r="T117" s="929">
        <v>549</v>
      </c>
      <c r="U117" s="929">
        <v>135</v>
      </c>
      <c r="V117" s="929">
        <v>475</v>
      </c>
      <c r="W117" s="929">
        <v>610</v>
      </c>
      <c r="X117" s="929">
        <v>40</v>
      </c>
      <c r="Y117" s="929">
        <v>488</v>
      </c>
      <c r="Z117" s="929">
        <v>528</v>
      </c>
      <c r="AA117" s="929">
        <v>77</v>
      </c>
      <c r="AB117" s="929">
        <v>191</v>
      </c>
      <c r="AC117" s="929">
        <v>268</v>
      </c>
      <c r="AD117" s="929">
        <v>35</v>
      </c>
      <c r="AE117" s="929">
        <v>174</v>
      </c>
      <c r="AF117" s="929">
        <v>209</v>
      </c>
      <c r="AH117" s="929">
        <f t="shared" si="47"/>
        <v>268</v>
      </c>
      <c r="AI117" s="929">
        <f t="shared" si="48"/>
        <v>678</v>
      </c>
      <c r="AJ117" s="929">
        <f t="shared" si="49"/>
        <v>946</v>
      </c>
      <c r="AK117" s="929">
        <f t="shared" si="50"/>
        <v>562</v>
      </c>
      <c r="AL117" s="929">
        <f t="shared" si="51"/>
        <v>1906</v>
      </c>
      <c r="AM117" s="929">
        <f t="shared" si="52"/>
        <v>2468</v>
      </c>
      <c r="AN117" s="929">
        <f t="shared" si="53"/>
        <v>112</v>
      </c>
      <c r="AO117" s="929">
        <f t="shared" si="54"/>
        <v>365</v>
      </c>
      <c r="AP117" s="929">
        <f t="shared" si="55"/>
        <v>477</v>
      </c>
      <c r="AR117" s="930">
        <f t="shared" si="56"/>
        <v>0.28329809725158561</v>
      </c>
      <c r="AS117" s="930">
        <f t="shared" si="57"/>
        <v>0.22771474878444084</v>
      </c>
      <c r="AT117" s="930">
        <f t="shared" si="58"/>
        <v>0.23480083857442349</v>
      </c>
      <c r="AV117" s="931">
        <v>891</v>
      </c>
      <c r="AW117" s="931">
        <v>2588</v>
      </c>
      <c r="AX117" s="931">
        <v>575</v>
      </c>
      <c r="AZ117" s="931">
        <f t="shared" si="59"/>
        <v>252.41860465116278</v>
      </c>
      <c r="BA117" s="931">
        <f t="shared" si="60"/>
        <v>589.32576985413289</v>
      </c>
      <c r="BB117" s="931">
        <f t="shared" si="61"/>
        <v>135.01048218029351</v>
      </c>
      <c r="BC117" s="948">
        <f t="shared" si="46"/>
        <v>976.75485668558917</v>
      </c>
    </row>
    <row r="118" spans="1:55" s="928" customFormat="1" ht="12" customHeight="1" x14ac:dyDescent="0.2">
      <c r="A118" s="928" t="s">
        <v>176</v>
      </c>
      <c r="B118" s="932" t="s">
        <v>177</v>
      </c>
      <c r="C118" s="945">
        <v>1152</v>
      </c>
      <c r="D118" s="929">
        <v>1316</v>
      </c>
      <c r="E118" s="929">
        <v>2468</v>
      </c>
      <c r="F118" s="929">
        <v>1062</v>
      </c>
      <c r="G118" s="929">
        <v>670</v>
      </c>
      <c r="H118" s="929">
        <v>1732</v>
      </c>
      <c r="I118" s="929">
        <v>965</v>
      </c>
      <c r="J118" s="929">
        <v>1542</v>
      </c>
      <c r="K118" s="929">
        <v>2507</v>
      </c>
      <c r="L118" s="929">
        <v>989</v>
      </c>
      <c r="M118" s="929">
        <v>2756</v>
      </c>
      <c r="N118" s="929">
        <v>3745</v>
      </c>
      <c r="O118" s="929">
        <v>1201</v>
      </c>
      <c r="P118" s="929">
        <v>2775</v>
      </c>
      <c r="Q118" s="929">
        <v>3976</v>
      </c>
      <c r="R118" s="929">
        <v>842</v>
      </c>
      <c r="S118" s="929">
        <v>2919</v>
      </c>
      <c r="T118" s="929">
        <v>3761</v>
      </c>
      <c r="U118" s="929">
        <v>1286</v>
      </c>
      <c r="V118" s="929">
        <v>3598</v>
      </c>
      <c r="W118" s="929">
        <v>4884</v>
      </c>
      <c r="X118" s="929">
        <v>588</v>
      </c>
      <c r="Y118" s="929">
        <v>3455</v>
      </c>
      <c r="Z118" s="929">
        <v>4043</v>
      </c>
      <c r="AA118" s="929">
        <v>447</v>
      </c>
      <c r="AB118" s="929">
        <v>2046</v>
      </c>
      <c r="AC118" s="929">
        <v>2493</v>
      </c>
      <c r="AD118" s="929">
        <v>476</v>
      </c>
      <c r="AE118" s="929">
        <v>1497</v>
      </c>
      <c r="AF118" s="929">
        <v>1973</v>
      </c>
      <c r="AH118" s="929">
        <f t="shared" si="47"/>
        <v>3179</v>
      </c>
      <c r="AI118" s="929">
        <f t="shared" si="48"/>
        <v>3528</v>
      </c>
      <c r="AJ118" s="929">
        <f t="shared" si="49"/>
        <v>6707</v>
      </c>
      <c r="AK118" s="929">
        <f t="shared" si="50"/>
        <v>4906</v>
      </c>
      <c r="AL118" s="929">
        <f t="shared" si="51"/>
        <v>15503</v>
      </c>
      <c r="AM118" s="929">
        <f t="shared" si="52"/>
        <v>20409</v>
      </c>
      <c r="AN118" s="929">
        <f t="shared" si="53"/>
        <v>923</v>
      </c>
      <c r="AO118" s="929">
        <f t="shared" si="54"/>
        <v>3543</v>
      </c>
      <c r="AP118" s="929">
        <f t="shared" si="55"/>
        <v>4466</v>
      </c>
      <c r="AR118" s="930">
        <f t="shared" si="56"/>
        <v>0.47398240644103173</v>
      </c>
      <c r="AS118" s="930">
        <f t="shared" si="57"/>
        <v>0.24038414425008575</v>
      </c>
      <c r="AT118" s="930">
        <f t="shared" si="58"/>
        <v>0.20667263770712047</v>
      </c>
      <c r="AV118" s="931">
        <v>6938</v>
      </c>
      <c r="AW118" s="931">
        <v>20387</v>
      </c>
      <c r="AX118" s="931">
        <v>5001</v>
      </c>
      <c r="AZ118" s="931">
        <f t="shared" si="59"/>
        <v>3288.4899358878783</v>
      </c>
      <c r="BA118" s="931">
        <f t="shared" si="60"/>
        <v>4900.7115488264981</v>
      </c>
      <c r="BB118" s="931">
        <f t="shared" si="61"/>
        <v>1033.5698611733094</v>
      </c>
      <c r="BC118" s="948">
        <f t="shared" si="46"/>
        <v>9222.771345887686</v>
      </c>
    </row>
    <row r="119" spans="1:55" s="928" customFormat="1" ht="12" customHeight="1" x14ac:dyDescent="0.2">
      <c r="A119" s="928" t="s">
        <v>180</v>
      </c>
      <c r="B119" s="932" t="s">
        <v>181</v>
      </c>
      <c r="C119" s="945">
        <v>3133</v>
      </c>
      <c r="D119" s="929">
        <v>5078</v>
      </c>
      <c r="E119" s="929">
        <v>8211</v>
      </c>
      <c r="F119" s="929">
        <v>2271</v>
      </c>
      <c r="G119" s="929">
        <v>4879</v>
      </c>
      <c r="H119" s="929">
        <v>7150</v>
      </c>
      <c r="I119" s="929">
        <v>1911</v>
      </c>
      <c r="J119" s="929">
        <v>5299</v>
      </c>
      <c r="K119" s="929">
        <v>7210</v>
      </c>
      <c r="L119" s="929">
        <v>2366</v>
      </c>
      <c r="M119" s="929">
        <v>5868</v>
      </c>
      <c r="N119" s="929">
        <v>8234</v>
      </c>
      <c r="O119" s="929">
        <v>2738</v>
      </c>
      <c r="P119" s="929">
        <v>10410</v>
      </c>
      <c r="Q119" s="929">
        <v>13148</v>
      </c>
      <c r="R119" s="929">
        <v>1461</v>
      </c>
      <c r="S119" s="929">
        <v>9460</v>
      </c>
      <c r="T119" s="929">
        <v>10921</v>
      </c>
      <c r="U119" s="929">
        <v>1867</v>
      </c>
      <c r="V119" s="929">
        <v>11354</v>
      </c>
      <c r="W119" s="929">
        <v>13221</v>
      </c>
      <c r="X119" s="929">
        <v>1433</v>
      </c>
      <c r="Y119" s="929">
        <v>9125</v>
      </c>
      <c r="Z119" s="929">
        <v>10558</v>
      </c>
      <c r="AA119" s="929">
        <v>757</v>
      </c>
      <c r="AB119" s="929">
        <v>5501</v>
      </c>
      <c r="AC119" s="929">
        <v>6258</v>
      </c>
      <c r="AD119" s="929">
        <v>1102</v>
      </c>
      <c r="AE119" s="929">
        <v>4910</v>
      </c>
      <c r="AF119" s="929">
        <v>6012</v>
      </c>
      <c r="AH119" s="929">
        <f t="shared" si="47"/>
        <v>7315</v>
      </c>
      <c r="AI119" s="929">
        <f t="shared" si="48"/>
        <v>15256</v>
      </c>
      <c r="AJ119" s="929">
        <f t="shared" si="49"/>
        <v>22571</v>
      </c>
      <c r="AK119" s="929">
        <f t="shared" si="50"/>
        <v>9865</v>
      </c>
      <c r="AL119" s="929">
        <f t="shared" si="51"/>
        <v>46217</v>
      </c>
      <c r="AM119" s="929">
        <f t="shared" si="52"/>
        <v>56082</v>
      </c>
      <c r="AN119" s="929">
        <f t="shared" si="53"/>
        <v>1859</v>
      </c>
      <c r="AO119" s="929">
        <f t="shared" si="54"/>
        <v>10411</v>
      </c>
      <c r="AP119" s="929">
        <f t="shared" si="55"/>
        <v>12270</v>
      </c>
      <c r="AR119" s="930">
        <f t="shared" si="56"/>
        <v>0.32408843205883658</v>
      </c>
      <c r="AS119" s="930">
        <f t="shared" si="57"/>
        <v>0.17590314182803751</v>
      </c>
      <c r="AT119" s="930">
        <f t="shared" si="58"/>
        <v>0.1515077424612877</v>
      </c>
      <c r="AV119" s="931">
        <v>22755</v>
      </c>
      <c r="AW119" s="931">
        <v>60387</v>
      </c>
      <c r="AX119" s="931">
        <v>12542</v>
      </c>
      <c r="AZ119" s="931">
        <f t="shared" si="59"/>
        <v>7374.6322714988264</v>
      </c>
      <c r="BA119" s="931">
        <f t="shared" si="60"/>
        <v>10622.2630255697</v>
      </c>
      <c r="BB119" s="931">
        <f t="shared" si="61"/>
        <v>1900.2101059494703</v>
      </c>
      <c r="BC119" s="948">
        <f t="shared" si="46"/>
        <v>19897.105403017998</v>
      </c>
    </row>
    <row r="120" spans="1:55" s="928" customFormat="1" ht="12" customHeight="1" x14ac:dyDescent="0.2">
      <c r="A120" s="928" t="s">
        <v>192</v>
      </c>
      <c r="B120" s="932" t="s">
        <v>193</v>
      </c>
      <c r="C120" s="945">
        <v>112</v>
      </c>
      <c r="D120" s="929">
        <v>500</v>
      </c>
      <c r="E120" s="929">
        <v>612</v>
      </c>
      <c r="F120" s="929">
        <v>159</v>
      </c>
      <c r="G120" s="929">
        <v>545</v>
      </c>
      <c r="H120" s="929">
        <v>704</v>
      </c>
      <c r="I120" s="929">
        <v>178</v>
      </c>
      <c r="J120" s="929">
        <v>534</v>
      </c>
      <c r="K120" s="929">
        <v>712</v>
      </c>
      <c r="L120" s="929">
        <v>3762</v>
      </c>
      <c r="M120" s="929">
        <v>827</v>
      </c>
      <c r="N120" s="929">
        <v>4589</v>
      </c>
      <c r="O120" s="929">
        <v>354</v>
      </c>
      <c r="P120" s="929">
        <v>1045</v>
      </c>
      <c r="Q120" s="929">
        <v>1399</v>
      </c>
      <c r="R120" s="929">
        <v>133</v>
      </c>
      <c r="S120" s="929">
        <v>1087</v>
      </c>
      <c r="T120" s="929">
        <v>1220</v>
      </c>
      <c r="U120" s="929">
        <v>298</v>
      </c>
      <c r="V120" s="929">
        <v>1150</v>
      </c>
      <c r="W120" s="929">
        <v>1448</v>
      </c>
      <c r="X120" s="929">
        <v>53</v>
      </c>
      <c r="Y120" s="929">
        <v>888</v>
      </c>
      <c r="Z120" s="929">
        <v>941</v>
      </c>
      <c r="AA120" s="929">
        <v>123</v>
      </c>
      <c r="AB120" s="929">
        <v>648</v>
      </c>
      <c r="AC120" s="929">
        <v>771</v>
      </c>
      <c r="AD120" s="929">
        <v>151</v>
      </c>
      <c r="AE120" s="929">
        <v>505</v>
      </c>
      <c r="AF120" s="929">
        <v>656</v>
      </c>
      <c r="AH120" s="929">
        <f t="shared" si="47"/>
        <v>449</v>
      </c>
      <c r="AI120" s="929">
        <f t="shared" si="48"/>
        <v>1579</v>
      </c>
      <c r="AJ120" s="929">
        <f t="shared" si="49"/>
        <v>2028</v>
      </c>
      <c r="AK120" s="929">
        <f t="shared" si="50"/>
        <v>4600</v>
      </c>
      <c r="AL120" s="929">
        <f t="shared" si="51"/>
        <v>4997</v>
      </c>
      <c r="AM120" s="929">
        <f t="shared" si="52"/>
        <v>9597</v>
      </c>
      <c r="AN120" s="929">
        <f t="shared" si="53"/>
        <v>274</v>
      </c>
      <c r="AO120" s="929">
        <f t="shared" si="54"/>
        <v>1153</v>
      </c>
      <c r="AP120" s="929">
        <f t="shared" si="55"/>
        <v>1427</v>
      </c>
      <c r="AR120" s="930">
        <f t="shared" si="56"/>
        <v>0.22140039447731755</v>
      </c>
      <c r="AS120" s="930">
        <f t="shared" si="57"/>
        <v>0.47931645305824738</v>
      </c>
      <c r="AT120" s="930">
        <f t="shared" si="58"/>
        <v>0.19201121233356691</v>
      </c>
      <c r="AV120" s="931">
        <v>2050</v>
      </c>
      <c r="AW120" s="931">
        <v>12937</v>
      </c>
      <c r="AX120" s="931">
        <v>1427</v>
      </c>
      <c r="AZ120" s="931">
        <f t="shared" si="59"/>
        <v>453.87080867850096</v>
      </c>
      <c r="BA120" s="931">
        <f t="shared" si="60"/>
        <v>6200.9169532145461</v>
      </c>
      <c r="BB120" s="931">
        <f t="shared" si="61"/>
        <v>274</v>
      </c>
      <c r="BC120" s="948">
        <f t="shared" si="46"/>
        <v>6928.787761893047</v>
      </c>
    </row>
    <row r="121" spans="1:55" s="928" customFormat="1" ht="12" customHeight="1" x14ac:dyDescent="0.2">
      <c r="A121" s="928" t="s">
        <v>196</v>
      </c>
      <c r="B121" s="932" t="s">
        <v>197</v>
      </c>
      <c r="C121" s="945">
        <v>6893</v>
      </c>
      <c r="D121" s="929">
        <v>8237</v>
      </c>
      <c r="E121" s="929">
        <v>15130</v>
      </c>
      <c r="F121" s="929">
        <v>6052</v>
      </c>
      <c r="G121" s="929">
        <v>6112</v>
      </c>
      <c r="H121" s="929">
        <v>12164</v>
      </c>
      <c r="I121" s="929">
        <v>4866</v>
      </c>
      <c r="J121" s="929">
        <v>6164</v>
      </c>
      <c r="K121" s="929">
        <v>11030</v>
      </c>
      <c r="L121" s="929">
        <v>15048</v>
      </c>
      <c r="M121" s="929">
        <v>13192</v>
      </c>
      <c r="N121" s="929">
        <v>28240</v>
      </c>
      <c r="O121" s="929">
        <v>8672</v>
      </c>
      <c r="P121" s="929">
        <v>25296</v>
      </c>
      <c r="Q121" s="929">
        <v>33968</v>
      </c>
      <c r="R121" s="929">
        <v>4789</v>
      </c>
      <c r="S121" s="929">
        <v>19247</v>
      </c>
      <c r="T121" s="929">
        <v>24036</v>
      </c>
      <c r="U121" s="929">
        <v>5552</v>
      </c>
      <c r="V121" s="929">
        <v>20057</v>
      </c>
      <c r="W121" s="929">
        <v>25609</v>
      </c>
      <c r="X121" s="929">
        <v>4607</v>
      </c>
      <c r="Y121" s="929">
        <v>16784</v>
      </c>
      <c r="Z121" s="929">
        <v>21391</v>
      </c>
      <c r="AA121" s="929">
        <v>2531</v>
      </c>
      <c r="AB121" s="929">
        <v>8702</v>
      </c>
      <c r="AC121" s="929">
        <v>11233</v>
      </c>
      <c r="AD121" s="929">
        <v>2177</v>
      </c>
      <c r="AE121" s="929">
        <v>8420</v>
      </c>
      <c r="AF121" s="929">
        <v>10597</v>
      </c>
      <c r="AH121" s="929">
        <f t="shared" si="47"/>
        <v>17811</v>
      </c>
      <c r="AI121" s="929">
        <f t="shared" si="48"/>
        <v>20513</v>
      </c>
      <c r="AJ121" s="929">
        <f t="shared" si="49"/>
        <v>38324</v>
      </c>
      <c r="AK121" s="929">
        <f t="shared" si="50"/>
        <v>38668</v>
      </c>
      <c r="AL121" s="929">
        <f t="shared" si="51"/>
        <v>94576</v>
      </c>
      <c r="AM121" s="929">
        <f t="shared" si="52"/>
        <v>133244</v>
      </c>
      <c r="AN121" s="929">
        <f t="shared" si="53"/>
        <v>4708</v>
      </c>
      <c r="AO121" s="929">
        <f t="shared" si="54"/>
        <v>17122</v>
      </c>
      <c r="AP121" s="929">
        <f t="shared" si="55"/>
        <v>21830</v>
      </c>
      <c r="AR121" s="930">
        <f t="shared" si="56"/>
        <v>0.46474793862853564</v>
      </c>
      <c r="AS121" s="930">
        <f t="shared" si="57"/>
        <v>0.29020443697277176</v>
      </c>
      <c r="AT121" s="930">
        <f t="shared" si="58"/>
        <v>0.21566651397159872</v>
      </c>
      <c r="AV121" s="931">
        <v>39396</v>
      </c>
      <c r="AW121" s="931">
        <v>143661</v>
      </c>
      <c r="AX121" s="931">
        <v>22476</v>
      </c>
      <c r="AZ121" s="931">
        <f t="shared" si="59"/>
        <v>18309.209790209788</v>
      </c>
      <c r="BA121" s="931">
        <f t="shared" si="60"/>
        <v>41691.059619945365</v>
      </c>
      <c r="BB121" s="931">
        <f t="shared" si="61"/>
        <v>4847.3205680256533</v>
      </c>
      <c r="BC121" s="948">
        <f t="shared" si="46"/>
        <v>64847.589978180804</v>
      </c>
    </row>
    <row r="122" spans="1:55" s="928" customFormat="1" ht="12" customHeight="1" x14ac:dyDescent="0.2">
      <c r="A122" s="928" t="s">
        <v>200</v>
      </c>
      <c r="B122" s="932" t="s">
        <v>201</v>
      </c>
      <c r="C122" s="945">
        <v>3167</v>
      </c>
      <c r="D122" s="929">
        <v>4574</v>
      </c>
      <c r="E122" s="929">
        <v>7741</v>
      </c>
      <c r="F122" s="929">
        <v>2806</v>
      </c>
      <c r="G122" s="929">
        <v>3698</v>
      </c>
      <c r="H122" s="929">
        <v>6504</v>
      </c>
      <c r="I122" s="929">
        <v>2386</v>
      </c>
      <c r="J122" s="929">
        <v>3845</v>
      </c>
      <c r="K122" s="929">
        <v>6231</v>
      </c>
      <c r="L122" s="929">
        <v>3011</v>
      </c>
      <c r="M122" s="929">
        <v>5271</v>
      </c>
      <c r="N122" s="929">
        <v>8282</v>
      </c>
      <c r="O122" s="929">
        <v>3420</v>
      </c>
      <c r="P122" s="929">
        <v>10524</v>
      </c>
      <c r="Q122" s="929">
        <v>13944</v>
      </c>
      <c r="R122" s="929">
        <v>2650</v>
      </c>
      <c r="S122" s="929">
        <v>10011</v>
      </c>
      <c r="T122" s="929">
        <v>12661</v>
      </c>
      <c r="U122" s="929">
        <v>2980</v>
      </c>
      <c r="V122" s="929">
        <v>10777</v>
      </c>
      <c r="W122" s="929">
        <v>13757</v>
      </c>
      <c r="X122" s="929">
        <v>2014</v>
      </c>
      <c r="Y122" s="929">
        <v>10035</v>
      </c>
      <c r="Z122" s="929">
        <v>12049</v>
      </c>
      <c r="AA122" s="929">
        <v>1202</v>
      </c>
      <c r="AB122" s="929">
        <v>5294</v>
      </c>
      <c r="AC122" s="929">
        <v>6496</v>
      </c>
      <c r="AD122" s="929">
        <v>1236</v>
      </c>
      <c r="AE122" s="929">
        <v>5378</v>
      </c>
      <c r="AF122" s="929">
        <v>6614</v>
      </c>
      <c r="AH122" s="929">
        <f t="shared" si="47"/>
        <v>8359</v>
      </c>
      <c r="AI122" s="929">
        <f t="shared" si="48"/>
        <v>12117</v>
      </c>
      <c r="AJ122" s="929">
        <f t="shared" si="49"/>
        <v>20476</v>
      </c>
      <c r="AK122" s="929">
        <f t="shared" si="50"/>
        <v>14075</v>
      </c>
      <c r="AL122" s="929">
        <f t="shared" si="51"/>
        <v>46618</v>
      </c>
      <c r="AM122" s="929">
        <f t="shared" si="52"/>
        <v>60693</v>
      </c>
      <c r="AN122" s="929">
        <f t="shared" si="53"/>
        <v>2438</v>
      </c>
      <c r="AO122" s="929">
        <f t="shared" si="54"/>
        <v>10672</v>
      </c>
      <c r="AP122" s="929">
        <f t="shared" si="55"/>
        <v>13110</v>
      </c>
      <c r="AR122" s="930">
        <f t="shared" si="56"/>
        <v>0.40823403008400078</v>
      </c>
      <c r="AS122" s="930">
        <f t="shared" si="57"/>
        <v>0.23190483251775329</v>
      </c>
      <c r="AT122" s="930">
        <f t="shared" si="58"/>
        <v>0.18596491228070175</v>
      </c>
      <c r="AV122" s="931">
        <v>21053</v>
      </c>
      <c r="AW122" s="931">
        <v>61790</v>
      </c>
      <c r="AX122" s="931">
        <v>13871</v>
      </c>
      <c r="AZ122" s="931">
        <f t="shared" si="59"/>
        <v>8594.5510353584687</v>
      </c>
      <c r="BA122" s="931">
        <f t="shared" si="60"/>
        <v>14329.399601271976</v>
      </c>
      <c r="BB122" s="931">
        <f t="shared" si="61"/>
        <v>2579.5192982456138</v>
      </c>
      <c r="BC122" s="948">
        <f t="shared" si="46"/>
        <v>25503.469934876059</v>
      </c>
    </row>
    <row r="123" spans="1:55" s="928" customFormat="1" ht="12" customHeight="1" x14ac:dyDescent="0.2">
      <c r="A123" s="928" t="s">
        <v>222</v>
      </c>
      <c r="B123" s="932" t="s">
        <v>223</v>
      </c>
      <c r="C123" s="945">
        <v>1792</v>
      </c>
      <c r="D123" s="929">
        <v>5748</v>
      </c>
      <c r="E123" s="929">
        <v>7540</v>
      </c>
      <c r="F123" s="929">
        <v>1628</v>
      </c>
      <c r="G123" s="929">
        <v>5507</v>
      </c>
      <c r="H123" s="929">
        <v>7135</v>
      </c>
      <c r="I123" s="929">
        <v>1378</v>
      </c>
      <c r="J123" s="929">
        <v>5698</v>
      </c>
      <c r="K123" s="929">
        <v>7076</v>
      </c>
      <c r="L123" s="929">
        <v>1362</v>
      </c>
      <c r="M123" s="929">
        <v>5179</v>
      </c>
      <c r="N123" s="929">
        <v>6541</v>
      </c>
      <c r="O123" s="929">
        <v>1570</v>
      </c>
      <c r="P123" s="929">
        <v>7943</v>
      </c>
      <c r="Q123" s="929">
        <v>9513</v>
      </c>
      <c r="R123" s="929">
        <v>1290</v>
      </c>
      <c r="S123" s="929">
        <v>11473</v>
      </c>
      <c r="T123" s="929">
        <v>12763</v>
      </c>
      <c r="U123" s="929">
        <v>1158</v>
      </c>
      <c r="V123" s="929">
        <v>12154</v>
      </c>
      <c r="W123" s="929">
        <v>13312</v>
      </c>
      <c r="X123" s="929">
        <v>797</v>
      </c>
      <c r="Y123" s="929">
        <v>8499</v>
      </c>
      <c r="Z123" s="929">
        <v>9296</v>
      </c>
      <c r="AA123" s="929">
        <v>511</v>
      </c>
      <c r="AB123" s="929">
        <v>4866</v>
      </c>
      <c r="AC123" s="929">
        <v>5377</v>
      </c>
      <c r="AD123" s="929">
        <v>676</v>
      </c>
      <c r="AE123" s="929">
        <v>3132</v>
      </c>
      <c r="AF123" s="929">
        <v>3808</v>
      </c>
      <c r="AH123" s="929">
        <f t="shared" si="47"/>
        <v>4798</v>
      </c>
      <c r="AI123" s="929">
        <f t="shared" si="48"/>
        <v>16953</v>
      </c>
      <c r="AJ123" s="929">
        <f t="shared" si="49"/>
        <v>21751</v>
      </c>
      <c r="AK123" s="929">
        <f t="shared" si="50"/>
        <v>6177</v>
      </c>
      <c r="AL123" s="929">
        <f t="shared" si="51"/>
        <v>45248</v>
      </c>
      <c r="AM123" s="929">
        <f t="shared" si="52"/>
        <v>51425</v>
      </c>
      <c r="AN123" s="929">
        <f t="shared" si="53"/>
        <v>1187</v>
      </c>
      <c r="AO123" s="929">
        <f t="shared" si="54"/>
        <v>7998</v>
      </c>
      <c r="AP123" s="929">
        <f t="shared" si="55"/>
        <v>9185</v>
      </c>
      <c r="AR123" s="930">
        <f t="shared" si="56"/>
        <v>0.2205875591926808</v>
      </c>
      <c r="AS123" s="930">
        <f t="shared" si="57"/>
        <v>0.12011667476908118</v>
      </c>
      <c r="AT123" s="930">
        <f t="shared" si="58"/>
        <v>0.12923244420250407</v>
      </c>
      <c r="AV123" s="931">
        <v>21786</v>
      </c>
      <c r="AW123" s="931">
        <v>53101</v>
      </c>
      <c r="AX123" s="931">
        <v>10043</v>
      </c>
      <c r="AZ123" s="931">
        <f t="shared" si="59"/>
        <v>4805.720564571744</v>
      </c>
      <c r="BA123" s="931">
        <f t="shared" si="60"/>
        <v>6378.3155469129797</v>
      </c>
      <c r="BB123" s="931">
        <f t="shared" si="61"/>
        <v>1297.8814371257483</v>
      </c>
      <c r="BC123" s="948">
        <f t="shared" si="46"/>
        <v>12481.917548610472</v>
      </c>
    </row>
    <row r="124" spans="1:55" s="928" customFormat="1" ht="12" customHeight="1" x14ac:dyDescent="0.2">
      <c r="A124" s="928" t="s">
        <v>230</v>
      </c>
      <c r="B124" s="932" t="s">
        <v>231</v>
      </c>
      <c r="C124" s="945">
        <v>5661</v>
      </c>
      <c r="D124" s="929">
        <v>27970</v>
      </c>
      <c r="E124" s="929">
        <v>33631</v>
      </c>
      <c r="F124" s="929">
        <v>4858</v>
      </c>
      <c r="G124" s="929">
        <v>29701</v>
      </c>
      <c r="H124" s="929">
        <v>34559</v>
      </c>
      <c r="I124" s="929">
        <v>4188</v>
      </c>
      <c r="J124" s="929">
        <v>32452</v>
      </c>
      <c r="K124" s="929">
        <v>36640</v>
      </c>
      <c r="L124" s="929">
        <v>5825</v>
      </c>
      <c r="M124" s="929">
        <v>36166</v>
      </c>
      <c r="N124" s="929">
        <v>41991</v>
      </c>
      <c r="O124" s="929">
        <v>5896</v>
      </c>
      <c r="P124" s="929">
        <v>58846</v>
      </c>
      <c r="Q124" s="929">
        <v>64742</v>
      </c>
      <c r="R124" s="929">
        <v>4241</v>
      </c>
      <c r="S124" s="929">
        <v>55844</v>
      </c>
      <c r="T124" s="929">
        <v>60085</v>
      </c>
      <c r="U124" s="929">
        <v>4287</v>
      </c>
      <c r="V124" s="929">
        <v>59707</v>
      </c>
      <c r="W124" s="929">
        <v>63994</v>
      </c>
      <c r="X124" s="929">
        <v>2815</v>
      </c>
      <c r="Y124" s="929">
        <v>43187</v>
      </c>
      <c r="Z124" s="929">
        <v>46002</v>
      </c>
      <c r="AA124" s="929">
        <v>1824</v>
      </c>
      <c r="AB124" s="929">
        <v>23101</v>
      </c>
      <c r="AC124" s="929">
        <v>24925</v>
      </c>
      <c r="AD124" s="929">
        <v>1774</v>
      </c>
      <c r="AE124" s="929">
        <v>17775</v>
      </c>
      <c r="AF124" s="929">
        <v>19549</v>
      </c>
      <c r="AH124" s="929">
        <f t="shared" si="47"/>
        <v>14707</v>
      </c>
      <c r="AI124" s="929">
        <f t="shared" si="48"/>
        <v>90123</v>
      </c>
      <c r="AJ124" s="929">
        <f t="shared" si="49"/>
        <v>104830</v>
      </c>
      <c r="AK124" s="929">
        <f t="shared" si="50"/>
        <v>23064</v>
      </c>
      <c r="AL124" s="929">
        <f t="shared" si="51"/>
        <v>253750</v>
      </c>
      <c r="AM124" s="929">
        <f t="shared" si="52"/>
        <v>276814</v>
      </c>
      <c r="AN124" s="929">
        <f t="shared" si="53"/>
        <v>3598</v>
      </c>
      <c r="AO124" s="929">
        <f t="shared" si="54"/>
        <v>40876</v>
      </c>
      <c r="AP124" s="929">
        <f t="shared" si="55"/>
        <v>44474</v>
      </c>
      <c r="AR124" s="930">
        <f t="shared" si="56"/>
        <v>0.14029380902413432</v>
      </c>
      <c r="AS124" s="930">
        <f t="shared" si="57"/>
        <v>8.3319485286148826E-2</v>
      </c>
      <c r="AT124" s="930">
        <f t="shared" si="58"/>
        <v>8.0901200701533477E-2</v>
      </c>
      <c r="AV124" s="931">
        <v>104515</v>
      </c>
      <c r="AW124" s="931">
        <v>290072</v>
      </c>
      <c r="AX124" s="931">
        <v>48120</v>
      </c>
      <c r="AZ124" s="931">
        <f t="shared" si="59"/>
        <v>14662.807450157399</v>
      </c>
      <c r="BA124" s="931">
        <f t="shared" si="60"/>
        <v>24168.649735923762</v>
      </c>
      <c r="BB124" s="931">
        <f t="shared" si="61"/>
        <v>3892.9657777577909</v>
      </c>
      <c r="BC124" s="948">
        <f t="shared" si="46"/>
        <v>42724.422963838952</v>
      </c>
    </row>
    <row r="125" spans="1:55" s="928" customFormat="1" ht="12" customHeight="1" x14ac:dyDescent="0.2">
      <c r="A125" s="928" t="s">
        <v>238</v>
      </c>
      <c r="B125" s="932" t="s">
        <v>239</v>
      </c>
      <c r="C125" s="945">
        <v>109</v>
      </c>
      <c r="D125" s="929">
        <v>410</v>
      </c>
      <c r="E125" s="929">
        <v>519</v>
      </c>
      <c r="F125" s="929">
        <v>90</v>
      </c>
      <c r="G125" s="929">
        <v>368</v>
      </c>
      <c r="H125" s="929">
        <v>458</v>
      </c>
      <c r="I125" s="929">
        <v>43</v>
      </c>
      <c r="J125" s="929">
        <v>322</v>
      </c>
      <c r="K125" s="929">
        <v>365</v>
      </c>
      <c r="L125" s="929">
        <v>780</v>
      </c>
      <c r="M125" s="929">
        <v>723</v>
      </c>
      <c r="N125" s="929">
        <v>1503</v>
      </c>
      <c r="O125" s="929">
        <v>224</v>
      </c>
      <c r="P125" s="929">
        <v>954</v>
      </c>
      <c r="Q125" s="929">
        <v>1178</v>
      </c>
      <c r="R125" s="929">
        <v>90</v>
      </c>
      <c r="S125" s="929">
        <v>705</v>
      </c>
      <c r="T125" s="929">
        <v>795</v>
      </c>
      <c r="U125" s="929">
        <v>110</v>
      </c>
      <c r="V125" s="929">
        <v>824</v>
      </c>
      <c r="W125" s="929">
        <v>934</v>
      </c>
      <c r="X125" s="929">
        <v>64</v>
      </c>
      <c r="Y125" s="929">
        <v>1103</v>
      </c>
      <c r="Z125" s="929">
        <v>1167</v>
      </c>
      <c r="AA125" s="929">
        <v>104</v>
      </c>
      <c r="AB125" s="929">
        <v>964</v>
      </c>
      <c r="AC125" s="929">
        <v>1068</v>
      </c>
      <c r="AD125" s="929">
        <v>31</v>
      </c>
      <c r="AE125" s="929">
        <v>627</v>
      </c>
      <c r="AF125" s="929">
        <v>658</v>
      </c>
      <c r="AH125" s="929">
        <f t="shared" si="47"/>
        <v>242</v>
      </c>
      <c r="AI125" s="929">
        <f t="shared" si="48"/>
        <v>1100</v>
      </c>
      <c r="AJ125" s="929">
        <f t="shared" si="49"/>
        <v>1342</v>
      </c>
      <c r="AK125" s="929">
        <f t="shared" si="50"/>
        <v>1268</v>
      </c>
      <c r="AL125" s="929">
        <f t="shared" si="51"/>
        <v>4309</v>
      </c>
      <c r="AM125" s="929">
        <f t="shared" si="52"/>
        <v>5577</v>
      </c>
      <c r="AN125" s="929">
        <f t="shared" si="53"/>
        <v>135</v>
      </c>
      <c r="AO125" s="929">
        <f t="shared" si="54"/>
        <v>1591</v>
      </c>
      <c r="AP125" s="929">
        <f t="shared" si="55"/>
        <v>1726</v>
      </c>
      <c r="AR125" s="930">
        <f t="shared" si="56"/>
        <v>0.18032786885245902</v>
      </c>
      <c r="AS125" s="930">
        <f t="shared" si="57"/>
        <v>0.22736238120853505</v>
      </c>
      <c r="AT125" s="930">
        <f t="shared" si="58"/>
        <v>7.8215527230590956E-2</v>
      </c>
      <c r="AV125" s="931">
        <v>1518</v>
      </c>
      <c r="AW125" s="931">
        <v>11055</v>
      </c>
      <c r="AX125" s="931">
        <v>1871</v>
      </c>
      <c r="AZ125" s="931">
        <f t="shared" si="59"/>
        <v>273.73770491803282</v>
      </c>
      <c r="BA125" s="931">
        <f t="shared" si="60"/>
        <v>2513.4911242603548</v>
      </c>
      <c r="BB125" s="931">
        <f t="shared" si="61"/>
        <v>146.34125144843568</v>
      </c>
      <c r="BC125" s="948">
        <f t="shared" si="46"/>
        <v>2933.5700806268233</v>
      </c>
    </row>
    <row r="126" spans="1:55" s="928" customFormat="1" ht="12" customHeight="1" x14ac:dyDescent="0.2">
      <c r="A126" s="928" t="s">
        <v>240</v>
      </c>
      <c r="B126" s="932" t="s">
        <v>241</v>
      </c>
      <c r="C126" s="945">
        <v>678</v>
      </c>
      <c r="D126" s="929">
        <v>1340</v>
      </c>
      <c r="E126" s="929">
        <v>2018</v>
      </c>
      <c r="F126" s="929">
        <v>554</v>
      </c>
      <c r="G126" s="929">
        <v>1068</v>
      </c>
      <c r="H126" s="929">
        <v>1622</v>
      </c>
      <c r="I126" s="929">
        <v>334</v>
      </c>
      <c r="J126" s="929">
        <v>1551</v>
      </c>
      <c r="K126" s="929">
        <v>1885</v>
      </c>
      <c r="L126" s="929">
        <v>1112</v>
      </c>
      <c r="M126" s="929">
        <v>1628</v>
      </c>
      <c r="N126" s="929">
        <v>2740</v>
      </c>
      <c r="O126" s="929">
        <v>756</v>
      </c>
      <c r="P126" s="929">
        <v>3033</v>
      </c>
      <c r="Q126" s="929">
        <v>3789</v>
      </c>
      <c r="R126" s="929">
        <v>624</v>
      </c>
      <c r="S126" s="929">
        <v>2603</v>
      </c>
      <c r="T126" s="929">
        <v>3227</v>
      </c>
      <c r="U126" s="929">
        <v>685</v>
      </c>
      <c r="V126" s="929">
        <v>2840</v>
      </c>
      <c r="W126" s="929">
        <v>3525</v>
      </c>
      <c r="X126" s="929">
        <v>360</v>
      </c>
      <c r="Y126" s="929">
        <v>2471</v>
      </c>
      <c r="Z126" s="929">
        <v>2831</v>
      </c>
      <c r="AA126" s="929">
        <v>253</v>
      </c>
      <c r="AB126" s="929">
        <v>1433</v>
      </c>
      <c r="AC126" s="929">
        <v>1686</v>
      </c>
      <c r="AD126" s="929">
        <v>204</v>
      </c>
      <c r="AE126" s="929">
        <v>1608</v>
      </c>
      <c r="AF126" s="929">
        <v>1812</v>
      </c>
      <c r="AH126" s="929">
        <f t="shared" si="47"/>
        <v>1566</v>
      </c>
      <c r="AI126" s="929">
        <f t="shared" si="48"/>
        <v>3959</v>
      </c>
      <c r="AJ126" s="929">
        <f t="shared" si="49"/>
        <v>5525</v>
      </c>
      <c r="AK126" s="929">
        <f t="shared" si="50"/>
        <v>3537</v>
      </c>
      <c r="AL126" s="929">
        <f t="shared" si="51"/>
        <v>12575</v>
      </c>
      <c r="AM126" s="929">
        <f t="shared" si="52"/>
        <v>16112</v>
      </c>
      <c r="AN126" s="929">
        <f t="shared" si="53"/>
        <v>457</v>
      </c>
      <c r="AO126" s="929">
        <f t="shared" si="54"/>
        <v>3041</v>
      </c>
      <c r="AP126" s="929">
        <f t="shared" si="55"/>
        <v>3498</v>
      </c>
      <c r="AR126" s="930">
        <f t="shared" si="56"/>
        <v>0.28343891402714932</v>
      </c>
      <c r="AS126" s="930">
        <f t="shared" si="57"/>
        <v>0.219525819265144</v>
      </c>
      <c r="AT126" s="930">
        <f t="shared" si="58"/>
        <v>0.13064608347627216</v>
      </c>
      <c r="AV126" s="931">
        <v>6017</v>
      </c>
      <c r="AW126" s="931">
        <v>16837</v>
      </c>
      <c r="AX126" s="931">
        <v>3733</v>
      </c>
      <c r="AZ126" s="931">
        <f t="shared" si="59"/>
        <v>1705.4519457013575</v>
      </c>
      <c r="BA126" s="931">
        <f t="shared" si="60"/>
        <v>3696.1562189672295</v>
      </c>
      <c r="BB126" s="931">
        <f t="shared" si="61"/>
        <v>487.70182961692399</v>
      </c>
      <c r="BC126" s="948">
        <f t="shared" si="46"/>
        <v>5889.3099942855115</v>
      </c>
    </row>
  </sheetData>
  <mergeCells count="14">
    <mergeCell ref="C4:E4"/>
    <mergeCell ref="F4:H4"/>
    <mergeCell ref="AZ3:BB3"/>
    <mergeCell ref="I4:K4"/>
    <mergeCell ref="L4:N4"/>
    <mergeCell ref="O4:Q4"/>
    <mergeCell ref="R4:T4"/>
    <mergeCell ref="U4:W4"/>
    <mergeCell ref="AA4:AC4"/>
    <mergeCell ref="AD4:AF4"/>
    <mergeCell ref="AH4:AJ4"/>
    <mergeCell ref="AK4:AM4"/>
    <mergeCell ref="AN4:AP4"/>
    <mergeCell ref="X4: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Z137"/>
  <sheetViews>
    <sheetView workbookViewId="0">
      <pane xSplit="3" ySplit="4" topLeftCell="D106" activePane="bottomRight" state="frozen"/>
      <selection pane="topRight" activeCell="D1" sqref="D1"/>
      <selection pane="bottomLeft" activeCell="A5" sqref="A5"/>
      <selection pane="bottomRight" activeCell="Z126" sqref="Z126"/>
    </sheetView>
  </sheetViews>
  <sheetFormatPr defaultRowHeight="15.75" x14ac:dyDescent="0.25"/>
  <cols>
    <col min="1" max="1" width="9.875" style="412" customWidth="1"/>
    <col min="2" max="2" width="32.5" style="412" customWidth="1"/>
    <col min="3" max="3" width="12.5" style="412" customWidth="1"/>
    <col min="4" max="15" width="7.375" style="412" customWidth="1"/>
    <col min="16" max="19" width="7.625" style="412" customWidth="1"/>
    <col min="20" max="20" width="3.25" style="412" customWidth="1"/>
    <col min="21" max="44" width="15" style="412" customWidth="1"/>
    <col min="45" max="45" width="14.125" style="412" customWidth="1"/>
    <col min="46" max="46" width="13.875" style="412" customWidth="1"/>
    <col min="47" max="48" width="14" style="412" customWidth="1"/>
    <col min="49" max="49" width="10.875" style="412" customWidth="1"/>
    <col min="50" max="52" width="12.625" style="412" customWidth="1"/>
    <col min="53" max="16384" width="9" style="412"/>
  </cols>
  <sheetData>
    <row r="1" spans="1:52" x14ac:dyDescent="0.25">
      <c r="A1" s="184" t="s">
        <v>1225</v>
      </c>
    </row>
    <row r="3" spans="1:52" ht="33.75" customHeight="1" x14ac:dyDescent="0.25">
      <c r="A3" s="415" t="s">
        <v>4</v>
      </c>
      <c r="B3" s="525" t="s">
        <v>5</v>
      </c>
      <c r="C3" s="604" t="s">
        <v>251</v>
      </c>
      <c r="D3" s="416">
        <v>2000</v>
      </c>
      <c r="E3" s="417">
        <v>2001</v>
      </c>
      <c r="F3" s="418">
        <v>2002</v>
      </c>
      <c r="G3" s="418">
        <v>2003</v>
      </c>
      <c r="H3" s="418">
        <v>2004</v>
      </c>
      <c r="I3" s="418">
        <v>2005</v>
      </c>
      <c r="J3" s="418">
        <v>2006</v>
      </c>
      <c r="K3" s="418">
        <v>2007</v>
      </c>
      <c r="L3" s="418">
        <v>2008</v>
      </c>
      <c r="M3" s="418">
        <v>2009</v>
      </c>
      <c r="N3" s="418">
        <v>2010</v>
      </c>
      <c r="O3" s="419" t="s">
        <v>587</v>
      </c>
      <c r="P3" s="420" t="s">
        <v>829</v>
      </c>
      <c r="Q3" s="1527">
        <v>2013</v>
      </c>
      <c r="R3" s="1530">
        <v>2014</v>
      </c>
      <c r="S3" s="1786">
        <v>2015</v>
      </c>
      <c r="T3" s="186"/>
      <c r="U3" s="416" t="s">
        <v>736</v>
      </c>
      <c r="V3" s="421" t="s">
        <v>735</v>
      </c>
      <c r="W3" s="416" t="s">
        <v>438</v>
      </c>
      <c r="X3" s="421" t="s">
        <v>439</v>
      </c>
      <c r="Y3" s="422" t="s">
        <v>440</v>
      </c>
      <c r="Z3" s="418" t="s">
        <v>441</v>
      </c>
      <c r="AA3" s="422" t="s">
        <v>442</v>
      </c>
      <c r="AB3" s="418" t="s">
        <v>443</v>
      </c>
      <c r="AC3" s="422" t="s">
        <v>252</v>
      </c>
      <c r="AD3" s="418" t="s">
        <v>253</v>
      </c>
      <c r="AE3" s="422" t="s">
        <v>254</v>
      </c>
      <c r="AF3" s="418" t="s">
        <v>255</v>
      </c>
      <c r="AG3" s="422" t="s">
        <v>256</v>
      </c>
      <c r="AH3" s="418" t="s">
        <v>257</v>
      </c>
      <c r="AI3" s="422" t="s">
        <v>258</v>
      </c>
      <c r="AJ3" s="418" t="s">
        <v>259</v>
      </c>
      <c r="AK3" s="422" t="s">
        <v>260</v>
      </c>
      <c r="AL3" s="418" t="s">
        <v>261</v>
      </c>
      <c r="AM3" s="423" t="s">
        <v>262</v>
      </c>
      <c r="AN3" s="418" t="s">
        <v>263</v>
      </c>
      <c r="AO3" s="416" t="s">
        <v>589</v>
      </c>
      <c r="AP3" s="418" t="s">
        <v>590</v>
      </c>
      <c r="AQ3" s="424" t="s">
        <v>591</v>
      </c>
      <c r="AR3" s="425" t="s">
        <v>592</v>
      </c>
      <c r="AS3" s="416" t="s">
        <v>830</v>
      </c>
      <c r="AT3" s="421" t="s">
        <v>831</v>
      </c>
      <c r="AU3" s="994" t="s">
        <v>843</v>
      </c>
      <c r="AV3" s="1536" t="s">
        <v>844</v>
      </c>
      <c r="AW3" s="1539" t="s">
        <v>1099</v>
      </c>
      <c r="AX3" s="1540" t="s">
        <v>1100</v>
      </c>
      <c r="AY3" s="1792" t="s">
        <v>1226</v>
      </c>
      <c r="AZ3" s="1793" t="s">
        <v>1227</v>
      </c>
    </row>
    <row r="4" spans="1:52" x14ac:dyDescent="0.25">
      <c r="A4" s="1162" t="s">
        <v>8</v>
      </c>
      <c r="B4" s="1163" t="s">
        <v>9</v>
      </c>
      <c r="C4" s="1164"/>
      <c r="D4" s="1165">
        <f t="shared" ref="D4" si="0">V4/U4</f>
        <v>2.2744400394302866E-2</v>
      </c>
      <c r="E4" s="1166">
        <f t="shared" ref="E4" si="1">X4/W4</f>
        <v>3.2187783912701044E-2</v>
      </c>
      <c r="F4" s="1167">
        <f>Z4/Y4</f>
        <v>4.1810282554885593E-2</v>
      </c>
      <c r="G4" s="1167">
        <f t="shared" ref="G4" si="2">AB4/AA4</f>
        <v>4.0951027325666245E-2</v>
      </c>
      <c r="H4" s="1167">
        <f t="shared" ref="H4" si="3">AD4/AC4</f>
        <v>3.6983564098822252E-2</v>
      </c>
      <c r="I4" s="1167">
        <f t="shared" ref="I4" si="4">AF4/AE4</f>
        <v>3.5184099138150848E-2</v>
      </c>
      <c r="J4" s="1167">
        <f t="shared" ref="J4" si="5">AH4/AG4</f>
        <v>3.042605361214783E-2</v>
      </c>
      <c r="K4" s="1167">
        <f t="shared" ref="K4" si="6">AJ4/AI4</f>
        <v>3.0637117624127935E-2</v>
      </c>
      <c r="L4" s="1167">
        <f t="shared" ref="L4" si="7">AL4/AK4</f>
        <v>3.9533104507533175E-2</v>
      </c>
      <c r="M4" s="1167">
        <f t="shared" ref="M4" si="8">AN4/AM4</f>
        <v>6.9500899241383113E-2</v>
      </c>
      <c r="N4" s="1167">
        <f t="shared" ref="N4" si="9">AP4/AO4</f>
        <v>7.0996273411972191E-2</v>
      </c>
      <c r="O4" s="1168">
        <f t="shared" ref="O4" si="10">AR4/AQ4</f>
        <v>6.4437374190308969E-2</v>
      </c>
      <c r="P4" s="1169">
        <f t="shared" ref="P4" si="11">AT4/AS4</f>
        <v>5.8774345474193433E-2</v>
      </c>
      <c r="Q4" s="1528">
        <f t="shared" ref="Q4" si="12">AV4/AU4</f>
        <v>5.5454654156622714E-2</v>
      </c>
      <c r="R4" s="1531">
        <f t="shared" ref="R4" si="13">AX4/AW4</f>
        <v>5.1645529339042547E-2</v>
      </c>
      <c r="S4" s="1787">
        <f t="shared" ref="S4:S35" si="14">AZ4/AY4</f>
        <v>4.4467413563948954E-2</v>
      </c>
      <c r="T4" s="187"/>
      <c r="U4" s="1155">
        <v>3584047</v>
      </c>
      <c r="V4" s="1156">
        <v>81517</v>
      </c>
      <c r="W4" s="1157">
        <v>3655393</v>
      </c>
      <c r="X4" s="1158">
        <v>117659</v>
      </c>
      <c r="Y4" s="1157">
        <v>3744653</v>
      </c>
      <c r="Z4" s="1158">
        <v>156565</v>
      </c>
      <c r="AA4" s="1157">
        <v>3802835</v>
      </c>
      <c r="AB4" s="1158">
        <v>155730</v>
      </c>
      <c r="AC4" s="1157">
        <v>3857957</v>
      </c>
      <c r="AD4" s="1158">
        <v>142681</v>
      </c>
      <c r="AE4" s="1157">
        <v>3921800</v>
      </c>
      <c r="AF4" s="1158">
        <v>137985</v>
      </c>
      <c r="AG4" s="1157">
        <v>3983724</v>
      </c>
      <c r="AH4" s="1158">
        <v>121209</v>
      </c>
      <c r="AI4" s="1157">
        <v>4017186</v>
      </c>
      <c r="AJ4" s="1158">
        <v>123075</v>
      </c>
      <c r="AK4" s="1157">
        <v>4138228</v>
      </c>
      <c r="AL4" s="1158">
        <v>163597</v>
      </c>
      <c r="AM4" s="1159">
        <v>4130148</v>
      </c>
      <c r="AN4" s="1158">
        <v>287049</v>
      </c>
      <c r="AO4" s="1157">
        <v>4139175</v>
      </c>
      <c r="AP4" s="1158">
        <v>293866</v>
      </c>
      <c r="AQ4" s="1157">
        <v>4208241</v>
      </c>
      <c r="AR4" s="1158">
        <v>271168</v>
      </c>
      <c r="AS4" s="1160">
        <v>4220651</v>
      </c>
      <c r="AT4" s="1161">
        <v>248066</v>
      </c>
      <c r="AU4" s="1317">
        <v>4240113</v>
      </c>
      <c r="AV4" s="1537">
        <v>235134</v>
      </c>
      <c r="AW4" s="1544">
        <v>4261182</v>
      </c>
      <c r="AX4" s="1545">
        <v>220071</v>
      </c>
      <c r="AY4" s="1544">
        <f>SUM(AY5:AY124)</f>
        <v>4240476</v>
      </c>
      <c r="AZ4" s="1791">
        <f>SUM(AZ5:AZ124)</f>
        <v>188563</v>
      </c>
    </row>
    <row r="5" spans="1:52" ht="15" customHeight="1" x14ac:dyDescent="0.25">
      <c r="A5" s="426" t="s">
        <v>10</v>
      </c>
      <c r="B5" s="427" t="s">
        <v>11</v>
      </c>
      <c r="C5" s="190" t="s">
        <v>264</v>
      </c>
      <c r="D5" s="428">
        <f t="shared" ref="D5:D36" si="15">V5/U5</f>
        <v>2.9532585766625957E-2</v>
      </c>
      <c r="E5" s="429">
        <f t="shared" ref="E5:E36" si="16">X5/W5</f>
        <v>3.3548598949211909E-2</v>
      </c>
      <c r="F5" s="430">
        <f t="shared" ref="F5:F68" si="17">Z5/Y5</f>
        <v>4.1398440362170934E-2</v>
      </c>
      <c r="G5" s="430">
        <f t="shared" ref="G5:G36" si="18">AB5/AA5</f>
        <v>4.3487190018996764E-2</v>
      </c>
      <c r="H5" s="430">
        <f t="shared" ref="H5:H36" si="19">AD5/AC5</f>
        <v>4.57900986010015E-2</v>
      </c>
      <c r="I5" s="430">
        <f t="shared" ref="I5:I36" si="20">AF5/AE5</f>
        <v>4.6296296296296294E-2</v>
      </c>
      <c r="J5" s="430">
        <f t="shared" ref="J5:J36" si="21">AH5/AG5</f>
        <v>4.2121684867394697E-2</v>
      </c>
      <c r="K5" s="430">
        <f t="shared" ref="K5:K36" si="22">AJ5/AI5</f>
        <v>4.1361228530151423E-2</v>
      </c>
      <c r="L5" s="430">
        <f t="shared" ref="L5:L36" si="23">AL5/AK5</f>
        <v>4.9915842625710076E-2</v>
      </c>
      <c r="M5" s="430">
        <f t="shared" ref="M5:M36" si="24">AN5/AM5</f>
        <v>6.7361708588491317E-2</v>
      </c>
      <c r="N5" s="430">
        <f t="shared" ref="N5:N36" si="25">AP5/AO5</f>
        <v>7.0492496300993454E-2</v>
      </c>
      <c r="O5" s="431">
        <f t="shared" ref="O5:O36" si="26">AR5/AQ5</f>
        <v>7.280433499651269E-2</v>
      </c>
      <c r="P5" s="432">
        <f t="shared" ref="P5:P36" si="27">AT5/AS5</f>
        <v>6.8050561185572622E-2</v>
      </c>
      <c r="Q5" s="1529">
        <f t="shared" ref="Q5:Q36" si="28">AV5/AU5</f>
        <v>6.469613259668508E-2</v>
      </c>
      <c r="R5" s="1532">
        <f t="shared" ref="R5:R36" si="29">AX5/AW5</f>
        <v>6.4902646030953567E-2</v>
      </c>
      <c r="S5" s="1788">
        <f t="shared" si="14"/>
        <v>5.4219884798397198E-2</v>
      </c>
      <c r="T5" s="219"/>
      <c r="U5" s="433">
        <v>18014</v>
      </c>
      <c r="V5" s="434">
        <v>532</v>
      </c>
      <c r="W5" s="435">
        <v>18272</v>
      </c>
      <c r="X5" s="436">
        <v>613</v>
      </c>
      <c r="Y5" s="435">
        <v>19107</v>
      </c>
      <c r="Z5" s="436">
        <v>791</v>
      </c>
      <c r="AA5" s="435">
        <v>19477</v>
      </c>
      <c r="AB5" s="436">
        <v>847</v>
      </c>
      <c r="AC5" s="435">
        <v>19371</v>
      </c>
      <c r="AD5" s="436">
        <v>887</v>
      </c>
      <c r="AE5" s="435">
        <v>18900</v>
      </c>
      <c r="AF5" s="436">
        <v>875</v>
      </c>
      <c r="AG5" s="435">
        <v>18589</v>
      </c>
      <c r="AH5" s="436">
        <v>783</v>
      </c>
      <c r="AI5" s="435">
        <v>18689</v>
      </c>
      <c r="AJ5" s="436">
        <v>773</v>
      </c>
      <c r="AK5" s="435">
        <v>19012</v>
      </c>
      <c r="AL5" s="436">
        <v>949</v>
      </c>
      <c r="AM5" s="437">
        <v>19759</v>
      </c>
      <c r="AN5" s="436">
        <v>1331</v>
      </c>
      <c r="AO5" s="435">
        <v>18924</v>
      </c>
      <c r="AP5" s="436">
        <v>1334</v>
      </c>
      <c r="AQ5" s="438">
        <v>18639</v>
      </c>
      <c r="AR5" s="439">
        <v>1357</v>
      </c>
      <c r="AS5" s="440">
        <v>18354</v>
      </c>
      <c r="AT5" s="441">
        <v>1249</v>
      </c>
      <c r="AU5" s="440">
        <v>18100</v>
      </c>
      <c r="AV5" s="1538">
        <v>1171</v>
      </c>
      <c r="AW5" s="1541">
        <v>16024</v>
      </c>
      <c r="AX5" s="1542">
        <v>1040</v>
      </c>
      <c r="AY5" s="1767">
        <v>15972</v>
      </c>
      <c r="AZ5" s="1794">
        <v>866</v>
      </c>
    </row>
    <row r="6" spans="1:52" ht="15" customHeight="1" x14ac:dyDescent="0.25">
      <c r="A6" s="426" t="s">
        <v>12</v>
      </c>
      <c r="B6" s="442" t="s">
        <v>13</v>
      </c>
      <c r="C6" s="190" t="s">
        <v>265</v>
      </c>
      <c r="D6" s="428">
        <f t="shared" si="15"/>
        <v>1.7134675780528359E-2</v>
      </c>
      <c r="E6" s="429">
        <f t="shared" si="16"/>
        <v>2.1573084791998182E-2</v>
      </c>
      <c r="F6" s="430">
        <f t="shared" si="17"/>
        <v>3.1228952449373626E-2</v>
      </c>
      <c r="G6" s="430">
        <f t="shared" si="18"/>
        <v>3.391626921038686E-2</v>
      </c>
      <c r="H6" s="430">
        <f t="shared" si="19"/>
        <v>3.0472824447222102E-2</v>
      </c>
      <c r="I6" s="430">
        <f t="shared" si="20"/>
        <v>2.8059513830678961E-2</v>
      </c>
      <c r="J6" s="430">
        <f t="shared" si="21"/>
        <v>2.4123422159887799E-2</v>
      </c>
      <c r="K6" s="430">
        <f t="shared" si="22"/>
        <v>2.2556390977443608E-2</v>
      </c>
      <c r="L6" s="430">
        <f t="shared" si="23"/>
        <v>2.9824128706672486E-2</v>
      </c>
      <c r="M6" s="430">
        <f t="shared" si="24"/>
        <v>5.3294908741594621E-2</v>
      </c>
      <c r="N6" s="430">
        <f t="shared" si="25"/>
        <v>5.7299975601058539E-2</v>
      </c>
      <c r="O6" s="431">
        <f t="shared" si="26"/>
        <v>5.2466318595056412E-2</v>
      </c>
      <c r="P6" s="432">
        <f t="shared" si="27"/>
        <v>4.8710188788009798E-2</v>
      </c>
      <c r="Q6" s="1529">
        <f t="shared" si="28"/>
        <v>4.5550468559982835E-2</v>
      </c>
      <c r="R6" s="1532">
        <f t="shared" si="29"/>
        <v>4.3976595193126689E-2</v>
      </c>
      <c r="S6" s="1788">
        <f t="shared" si="14"/>
        <v>3.8520262688324348E-2</v>
      </c>
      <c r="T6" s="219"/>
      <c r="U6" s="433">
        <v>43304</v>
      </c>
      <c r="V6" s="434">
        <v>742</v>
      </c>
      <c r="W6" s="435">
        <v>43990</v>
      </c>
      <c r="X6" s="436">
        <v>949</v>
      </c>
      <c r="Y6" s="435">
        <v>44542</v>
      </c>
      <c r="Z6" s="436">
        <v>1391</v>
      </c>
      <c r="AA6" s="435">
        <v>45288</v>
      </c>
      <c r="AB6" s="436">
        <v>1536</v>
      </c>
      <c r="AC6" s="435">
        <v>46402</v>
      </c>
      <c r="AD6" s="436">
        <v>1414</v>
      </c>
      <c r="AE6" s="435">
        <v>47720</v>
      </c>
      <c r="AF6" s="436">
        <v>1339</v>
      </c>
      <c r="AG6" s="435">
        <v>49910</v>
      </c>
      <c r="AH6" s="436">
        <v>1204</v>
      </c>
      <c r="AI6" s="435">
        <v>51072</v>
      </c>
      <c r="AJ6" s="436">
        <v>1152</v>
      </c>
      <c r="AK6" s="435">
        <v>52709</v>
      </c>
      <c r="AL6" s="436">
        <v>1572</v>
      </c>
      <c r="AM6" s="437">
        <v>52050</v>
      </c>
      <c r="AN6" s="436">
        <v>2774</v>
      </c>
      <c r="AO6" s="435">
        <v>53281</v>
      </c>
      <c r="AP6" s="436">
        <v>3053</v>
      </c>
      <c r="AQ6" s="438">
        <v>54778</v>
      </c>
      <c r="AR6" s="439">
        <v>2874</v>
      </c>
      <c r="AS6" s="440">
        <v>55512</v>
      </c>
      <c r="AT6" s="441">
        <v>2704</v>
      </c>
      <c r="AU6" s="440">
        <v>55916</v>
      </c>
      <c r="AV6" s="1538">
        <v>2547</v>
      </c>
      <c r="AW6" s="1541">
        <v>54006</v>
      </c>
      <c r="AX6" s="1542">
        <v>2375</v>
      </c>
      <c r="AY6" s="1767">
        <v>54361</v>
      </c>
      <c r="AZ6" s="1794">
        <v>2094</v>
      </c>
    </row>
    <row r="7" spans="1:52" ht="15" customHeight="1" x14ac:dyDescent="0.25">
      <c r="A7" s="426" t="s">
        <v>16</v>
      </c>
      <c r="B7" s="442" t="s">
        <v>17</v>
      </c>
      <c r="C7" s="190" t="s">
        <v>265</v>
      </c>
      <c r="D7" s="428">
        <f t="shared" si="15"/>
        <v>3.2557259133068332E-2</v>
      </c>
      <c r="E7" s="429">
        <f t="shared" si="16"/>
        <v>4.3324326842448524E-2</v>
      </c>
      <c r="F7" s="430">
        <f t="shared" si="17"/>
        <v>5.5366116295764538E-2</v>
      </c>
      <c r="G7" s="430">
        <f t="shared" si="18"/>
        <v>4.8516797712651896E-2</v>
      </c>
      <c r="H7" s="430">
        <f t="shared" si="19"/>
        <v>4.8531655225019073E-2</v>
      </c>
      <c r="I7" s="430">
        <f t="shared" si="20"/>
        <v>4.9295774647887321E-2</v>
      </c>
      <c r="J7" s="430">
        <f t="shared" si="21"/>
        <v>5.4240631163708086E-2</v>
      </c>
      <c r="K7" s="430">
        <f t="shared" si="22"/>
        <v>4.8147763826917093E-2</v>
      </c>
      <c r="L7" s="430">
        <f t="shared" si="23"/>
        <v>5.8110367892976592E-2</v>
      </c>
      <c r="M7" s="430">
        <f t="shared" si="24"/>
        <v>9.7239139261063742E-2</v>
      </c>
      <c r="N7" s="430">
        <f t="shared" si="25"/>
        <v>9.9793601651186795E-2</v>
      </c>
      <c r="O7" s="431">
        <f t="shared" si="26"/>
        <v>8.9150894611645465E-2</v>
      </c>
      <c r="P7" s="432">
        <f t="shared" si="27"/>
        <v>8.5031391122370306E-2</v>
      </c>
      <c r="Q7" s="1529">
        <f t="shared" si="28"/>
        <v>7.8494504274453203E-2</v>
      </c>
      <c r="R7" s="1532">
        <f t="shared" si="29"/>
        <v>6.5392868090323894E-2</v>
      </c>
      <c r="S7" s="1788">
        <f t="shared" si="14"/>
        <v>5.3347280334728034E-2</v>
      </c>
      <c r="T7" s="219"/>
      <c r="U7" s="443">
        <v>10566</v>
      </c>
      <c r="V7" s="444">
        <v>344</v>
      </c>
      <c r="W7" s="1475">
        <v>10733</v>
      </c>
      <c r="X7" s="1476">
        <v>465</v>
      </c>
      <c r="Y7" s="1475">
        <v>11144</v>
      </c>
      <c r="Z7" s="1476">
        <v>617</v>
      </c>
      <c r="AA7" s="1475">
        <v>11192</v>
      </c>
      <c r="AB7" s="1476">
        <v>543</v>
      </c>
      <c r="AC7" s="1475">
        <v>10488</v>
      </c>
      <c r="AD7" s="1476">
        <v>509</v>
      </c>
      <c r="AE7" s="1475">
        <v>10366</v>
      </c>
      <c r="AF7" s="1476">
        <v>511</v>
      </c>
      <c r="AG7" s="1475">
        <v>10140</v>
      </c>
      <c r="AH7" s="1476">
        <v>550</v>
      </c>
      <c r="AI7" s="1475">
        <v>9637</v>
      </c>
      <c r="AJ7" s="1476">
        <v>464</v>
      </c>
      <c r="AK7" s="1475">
        <v>9568</v>
      </c>
      <c r="AL7" s="1476">
        <v>556</v>
      </c>
      <c r="AM7" s="1477">
        <v>9852</v>
      </c>
      <c r="AN7" s="1476">
        <v>958</v>
      </c>
      <c r="AO7" s="1475">
        <v>9690</v>
      </c>
      <c r="AP7" s="1476">
        <v>967</v>
      </c>
      <c r="AQ7" s="438">
        <v>9669</v>
      </c>
      <c r="AR7" s="439">
        <v>862</v>
      </c>
      <c r="AS7" s="440">
        <v>9079</v>
      </c>
      <c r="AT7" s="441">
        <v>772</v>
      </c>
      <c r="AU7" s="440">
        <v>9007</v>
      </c>
      <c r="AV7" s="1538">
        <v>707</v>
      </c>
      <c r="AW7" s="1541">
        <v>9787</v>
      </c>
      <c r="AX7" s="1542">
        <v>640</v>
      </c>
      <c r="AY7" s="1767">
        <v>9560</v>
      </c>
      <c r="AZ7" s="1794">
        <v>510</v>
      </c>
    </row>
    <row r="8" spans="1:52" ht="15" customHeight="1" x14ac:dyDescent="0.25">
      <c r="A8" s="426" t="s">
        <v>18</v>
      </c>
      <c r="B8" s="442" t="s">
        <v>19</v>
      </c>
      <c r="C8" s="190" t="s">
        <v>266</v>
      </c>
      <c r="D8" s="428">
        <f t="shared" si="15"/>
        <v>1.9893671754416052E-2</v>
      </c>
      <c r="E8" s="429">
        <f t="shared" si="16"/>
        <v>2.5436662709852467E-2</v>
      </c>
      <c r="F8" s="430">
        <f t="shared" si="17"/>
        <v>3.8499834052439431E-2</v>
      </c>
      <c r="G8" s="430">
        <f t="shared" si="18"/>
        <v>3.9124668435013263E-2</v>
      </c>
      <c r="H8" s="430">
        <f t="shared" si="19"/>
        <v>3.5229476405946994E-2</v>
      </c>
      <c r="I8" s="430">
        <f t="shared" si="20"/>
        <v>3.4135598552776467E-2</v>
      </c>
      <c r="J8" s="430">
        <f t="shared" si="21"/>
        <v>2.9896748343350286E-2</v>
      </c>
      <c r="K8" s="430">
        <f t="shared" si="22"/>
        <v>2.7713979482468228E-2</v>
      </c>
      <c r="L8" s="430">
        <f t="shared" si="23"/>
        <v>4.4903988183161006E-2</v>
      </c>
      <c r="M8" s="430">
        <f t="shared" si="24"/>
        <v>8.0485611510791366E-2</v>
      </c>
      <c r="N8" s="430">
        <f t="shared" si="25"/>
        <v>7.9832584095489073E-2</v>
      </c>
      <c r="O8" s="431">
        <f t="shared" si="26"/>
        <v>7.094903875495881E-2</v>
      </c>
      <c r="P8" s="432">
        <f t="shared" si="27"/>
        <v>5.9086013232805046E-2</v>
      </c>
      <c r="Q8" s="1529">
        <f t="shared" si="28"/>
        <v>5.4936670227376777E-2</v>
      </c>
      <c r="R8" s="1532">
        <f t="shared" si="29"/>
        <v>5.2547260493431593E-2</v>
      </c>
      <c r="S8" s="1788">
        <f t="shared" si="14"/>
        <v>4.4483418367346941E-2</v>
      </c>
      <c r="T8" s="219"/>
      <c r="U8" s="433">
        <v>5831</v>
      </c>
      <c r="V8" s="434">
        <v>116</v>
      </c>
      <c r="W8" s="435">
        <v>5897</v>
      </c>
      <c r="X8" s="436">
        <v>150</v>
      </c>
      <c r="Y8" s="435">
        <v>6026</v>
      </c>
      <c r="Z8" s="436">
        <v>232</v>
      </c>
      <c r="AA8" s="435">
        <v>6032</v>
      </c>
      <c r="AB8" s="436">
        <v>236</v>
      </c>
      <c r="AC8" s="435">
        <v>6188</v>
      </c>
      <c r="AD8" s="436">
        <v>218</v>
      </c>
      <c r="AE8" s="435">
        <v>6357</v>
      </c>
      <c r="AF8" s="436">
        <v>217</v>
      </c>
      <c r="AG8" s="435">
        <v>6489</v>
      </c>
      <c r="AH8" s="436">
        <v>194</v>
      </c>
      <c r="AI8" s="435">
        <v>6531</v>
      </c>
      <c r="AJ8" s="436">
        <v>181</v>
      </c>
      <c r="AK8" s="435">
        <v>6770</v>
      </c>
      <c r="AL8" s="436">
        <v>304</v>
      </c>
      <c r="AM8" s="437">
        <v>6672</v>
      </c>
      <c r="AN8" s="436">
        <v>537</v>
      </c>
      <c r="AO8" s="435">
        <v>6451</v>
      </c>
      <c r="AP8" s="436">
        <v>515</v>
      </c>
      <c r="AQ8" s="438">
        <v>6554</v>
      </c>
      <c r="AR8" s="439">
        <v>465</v>
      </c>
      <c r="AS8" s="440">
        <v>6499</v>
      </c>
      <c r="AT8" s="441">
        <v>384</v>
      </c>
      <c r="AU8" s="440">
        <v>6553</v>
      </c>
      <c r="AV8" s="1538">
        <v>360</v>
      </c>
      <c r="AW8" s="1541">
        <v>6242</v>
      </c>
      <c r="AX8" s="1542">
        <v>328</v>
      </c>
      <c r="AY8" s="1767">
        <v>6272</v>
      </c>
      <c r="AZ8" s="1794">
        <v>279</v>
      </c>
    </row>
    <row r="9" spans="1:52" ht="15" customHeight="1" x14ac:dyDescent="0.25">
      <c r="A9" s="426" t="s">
        <v>20</v>
      </c>
      <c r="B9" s="442" t="s">
        <v>21</v>
      </c>
      <c r="C9" s="190" t="s">
        <v>265</v>
      </c>
      <c r="D9" s="428">
        <f t="shared" si="15"/>
        <v>2.114882506527415E-2</v>
      </c>
      <c r="E9" s="429">
        <f t="shared" si="16"/>
        <v>3.6382880201098103E-2</v>
      </c>
      <c r="F9" s="430">
        <f t="shared" si="17"/>
        <v>5.460259264108943E-2</v>
      </c>
      <c r="G9" s="430">
        <f t="shared" si="18"/>
        <v>4.9579777184181377E-2</v>
      </c>
      <c r="H9" s="430">
        <f t="shared" si="19"/>
        <v>4.4838646331085946E-2</v>
      </c>
      <c r="I9" s="430">
        <f t="shared" si="20"/>
        <v>4.0736896730669436E-2</v>
      </c>
      <c r="J9" s="430">
        <f t="shared" si="21"/>
        <v>3.2092095954723773E-2</v>
      </c>
      <c r="K9" s="430">
        <f t="shared" si="22"/>
        <v>3.5009383291270305E-2</v>
      </c>
      <c r="L9" s="430">
        <f t="shared" si="23"/>
        <v>4.132643520538553E-2</v>
      </c>
      <c r="M9" s="430">
        <f t="shared" si="24"/>
        <v>8.0362268001785822E-2</v>
      </c>
      <c r="N9" s="430">
        <f t="shared" si="25"/>
        <v>8.6634797983105236E-2</v>
      </c>
      <c r="O9" s="431">
        <f t="shared" si="26"/>
        <v>7.6019488753921116E-2</v>
      </c>
      <c r="P9" s="432">
        <f t="shared" si="27"/>
        <v>6.9684536221160956E-2</v>
      </c>
      <c r="Q9" s="1529">
        <f t="shared" si="28"/>
        <v>6.3376483279395907E-2</v>
      </c>
      <c r="R9" s="1532">
        <f t="shared" si="29"/>
        <v>5.4191842900302115E-2</v>
      </c>
      <c r="S9" s="1788">
        <f t="shared" si="14"/>
        <v>4.7671127123005662E-2</v>
      </c>
      <c r="T9" s="219"/>
      <c r="U9" s="433">
        <v>15320</v>
      </c>
      <c r="V9" s="434">
        <v>324</v>
      </c>
      <c r="W9" s="435">
        <v>15117</v>
      </c>
      <c r="X9" s="436">
        <v>550</v>
      </c>
      <c r="Y9" s="435">
        <v>15274</v>
      </c>
      <c r="Z9" s="436">
        <v>834</v>
      </c>
      <c r="AA9" s="435">
        <v>15349</v>
      </c>
      <c r="AB9" s="436">
        <v>761</v>
      </c>
      <c r="AC9" s="435">
        <v>15277</v>
      </c>
      <c r="AD9" s="436">
        <v>685</v>
      </c>
      <c r="AE9" s="435">
        <v>15416</v>
      </c>
      <c r="AF9" s="436">
        <v>628</v>
      </c>
      <c r="AG9" s="435">
        <v>15549</v>
      </c>
      <c r="AH9" s="436">
        <v>499</v>
      </c>
      <c r="AI9" s="435">
        <v>15453</v>
      </c>
      <c r="AJ9" s="436">
        <v>541</v>
      </c>
      <c r="AK9" s="435">
        <v>16043</v>
      </c>
      <c r="AL9" s="436">
        <v>663</v>
      </c>
      <c r="AM9" s="437">
        <v>15679</v>
      </c>
      <c r="AN9" s="436">
        <v>1260</v>
      </c>
      <c r="AO9" s="435">
        <v>15271</v>
      </c>
      <c r="AP9" s="436">
        <v>1323</v>
      </c>
      <c r="AQ9" s="438">
        <v>14983</v>
      </c>
      <c r="AR9" s="439">
        <v>1139</v>
      </c>
      <c r="AS9" s="440">
        <v>14867</v>
      </c>
      <c r="AT9" s="441">
        <v>1036</v>
      </c>
      <c r="AU9" s="440">
        <v>14832</v>
      </c>
      <c r="AV9" s="1538">
        <v>940</v>
      </c>
      <c r="AW9" s="1541">
        <v>15888</v>
      </c>
      <c r="AX9" s="1542">
        <v>861</v>
      </c>
      <c r="AY9" s="1767">
        <v>15544</v>
      </c>
      <c r="AZ9" s="1794">
        <v>741</v>
      </c>
    </row>
    <row r="10" spans="1:52" ht="15" customHeight="1" x14ac:dyDescent="0.25">
      <c r="A10" s="426" t="s">
        <v>22</v>
      </c>
      <c r="B10" s="442" t="s">
        <v>23</v>
      </c>
      <c r="C10" s="190" t="s">
        <v>265</v>
      </c>
      <c r="D10" s="428">
        <f t="shared" si="15"/>
        <v>2.4676676081462762E-2</v>
      </c>
      <c r="E10" s="429">
        <f t="shared" si="16"/>
        <v>4.311502312397434E-2</v>
      </c>
      <c r="F10" s="430">
        <f t="shared" si="17"/>
        <v>5.6684968096156703E-2</v>
      </c>
      <c r="G10" s="430">
        <f t="shared" si="18"/>
        <v>5.5621127176158157E-2</v>
      </c>
      <c r="H10" s="430">
        <f t="shared" si="19"/>
        <v>4.4738778513612951E-2</v>
      </c>
      <c r="I10" s="430">
        <f t="shared" si="20"/>
        <v>4.6752111855519952E-2</v>
      </c>
      <c r="J10" s="430">
        <f t="shared" si="21"/>
        <v>3.6303630363036306E-2</v>
      </c>
      <c r="K10" s="430">
        <f t="shared" si="22"/>
        <v>3.9201608271108558E-2</v>
      </c>
      <c r="L10" s="430">
        <f t="shared" si="23"/>
        <v>4.4626967830253252E-2</v>
      </c>
      <c r="M10" s="430">
        <f t="shared" si="24"/>
        <v>8.1797878280290337E-2</v>
      </c>
      <c r="N10" s="430">
        <f t="shared" si="25"/>
        <v>8.7819089900110989E-2</v>
      </c>
      <c r="O10" s="431">
        <f t="shared" si="26"/>
        <v>7.6858462830743379E-2</v>
      </c>
      <c r="P10" s="432">
        <f t="shared" si="27"/>
        <v>7.1136203246294993E-2</v>
      </c>
      <c r="Q10" s="1529">
        <f t="shared" si="28"/>
        <v>6.1745919091554295E-2</v>
      </c>
      <c r="R10" s="1532">
        <f t="shared" si="29"/>
        <v>5.6622148024485251E-2</v>
      </c>
      <c r="S10" s="1788">
        <f t="shared" si="14"/>
        <v>4.8535446441205603E-2</v>
      </c>
      <c r="T10" s="219"/>
      <c r="U10" s="433">
        <v>6727</v>
      </c>
      <c r="V10" s="434">
        <v>166</v>
      </c>
      <c r="W10" s="435">
        <v>6703</v>
      </c>
      <c r="X10" s="436">
        <v>289</v>
      </c>
      <c r="Y10" s="435">
        <v>6739</v>
      </c>
      <c r="Z10" s="436">
        <v>382</v>
      </c>
      <c r="AA10" s="435">
        <v>6778</v>
      </c>
      <c r="AB10" s="436">
        <v>377</v>
      </c>
      <c r="AC10" s="435">
        <v>6795</v>
      </c>
      <c r="AD10" s="436">
        <v>304</v>
      </c>
      <c r="AE10" s="435">
        <v>6866</v>
      </c>
      <c r="AF10" s="436">
        <v>321</v>
      </c>
      <c r="AG10" s="435">
        <v>6969</v>
      </c>
      <c r="AH10" s="436">
        <v>253</v>
      </c>
      <c r="AI10" s="435">
        <v>6964</v>
      </c>
      <c r="AJ10" s="436">
        <v>273</v>
      </c>
      <c r="AK10" s="435">
        <v>7305</v>
      </c>
      <c r="AL10" s="436">
        <v>326</v>
      </c>
      <c r="AM10" s="437">
        <v>7164</v>
      </c>
      <c r="AN10" s="436">
        <v>586</v>
      </c>
      <c r="AO10" s="435">
        <v>7208</v>
      </c>
      <c r="AP10" s="436">
        <v>633</v>
      </c>
      <c r="AQ10" s="438">
        <v>7143</v>
      </c>
      <c r="AR10" s="439">
        <v>549</v>
      </c>
      <c r="AS10" s="440">
        <v>7085</v>
      </c>
      <c r="AT10" s="441">
        <v>504</v>
      </c>
      <c r="AU10" s="440">
        <v>7045</v>
      </c>
      <c r="AV10" s="1538">
        <v>435</v>
      </c>
      <c r="AW10" s="1541">
        <v>7188</v>
      </c>
      <c r="AX10" s="1542">
        <v>407</v>
      </c>
      <c r="AY10" s="1767">
        <v>7067</v>
      </c>
      <c r="AZ10" s="1794">
        <v>343</v>
      </c>
    </row>
    <row r="11" spans="1:52" ht="15" customHeight="1" x14ac:dyDescent="0.25">
      <c r="A11" s="426" t="s">
        <v>24</v>
      </c>
      <c r="B11" s="442" t="s">
        <v>25</v>
      </c>
      <c r="C11" s="190" t="s">
        <v>267</v>
      </c>
      <c r="D11" s="428">
        <f t="shared" si="15"/>
        <v>1.5587853445514171E-2</v>
      </c>
      <c r="E11" s="429">
        <f t="shared" si="16"/>
        <v>2.4040972421112927E-2</v>
      </c>
      <c r="F11" s="430">
        <f t="shared" si="17"/>
        <v>2.9707281405837942E-2</v>
      </c>
      <c r="G11" s="430">
        <f t="shared" si="18"/>
        <v>2.6742175270659006E-2</v>
      </c>
      <c r="H11" s="430">
        <f t="shared" si="19"/>
        <v>2.4003933485406609E-2</v>
      </c>
      <c r="I11" s="430">
        <f t="shared" si="20"/>
        <v>2.2998783601988124E-2</v>
      </c>
      <c r="J11" s="430">
        <f t="shared" si="21"/>
        <v>1.9534497090606815E-2</v>
      </c>
      <c r="K11" s="430">
        <f t="shared" si="22"/>
        <v>1.9385538113161356E-2</v>
      </c>
      <c r="L11" s="430">
        <f t="shared" si="23"/>
        <v>2.4609629028840323E-2</v>
      </c>
      <c r="M11" s="430">
        <f t="shared" si="24"/>
        <v>4.4287636853017134E-2</v>
      </c>
      <c r="N11" s="430">
        <f t="shared" si="25"/>
        <v>4.4648289778722552E-2</v>
      </c>
      <c r="O11" s="431">
        <f t="shared" si="26"/>
        <v>3.991020758938494E-2</v>
      </c>
      <c r="P11" s="432">
        <f t="shared" si="27"/>
        <v>3.6574578365219428E-2</v>
      </c>
      <c r="Q11" s="1529">
        <f t="shared" si="28"/>
        <v>3.6364821979741772E-2</v>
      </c>
      <c r="R11" s="1532">
        <f t="shared" si="29"/>
        <v>3.2063139721297325E-2</v>
      </c>
      <c r="S11" s="1788">
        <f t="shared" si="14"/>
        <v>2.8161149333370099E-2</v>
      </c>
      <c r="T11" s="219"/>
      <c r="U11" s="433">
        <v>118618</v>
      </c>
      <c r="V11" s="434">
        <v>1849</v>
      </c>
      <c r="W11" s="435">
        <v>118714</v>
      </c>
      <c r="X11" s="436">
        <v>2854</v>
      </c>
      <c r="Y11" s="435">
        <v>121721</v>
      </c>
      <c r="Z11" s="436">
        <v>3616</v>
      </c>
      <c r="AA11" s="435">
        <v>122017</v>
      </c>
      <c r="AB11" s="436">
        <v>3263</v>
      </c>
      <c r="AC11" s="435">
        <v>124063</v>
      </c>
      <c r="AD11" s="436">
        <v>2978</v>
      </c>
      <c r="AE11" s="435">
        <v>124137</v>
      </c>
      <c r="AF11" s="436">
        <v>2855</v>
      </c>
      <c r="AG11" s="435">
        <v>127518</v>
      </c>
      <c r="AH11" s="436">
        <v>2491</v>
      </c>
      <c r="AI11" s="435">
        <v>130716</v>
      </c>
      <c r="AJ11" s="436">
        <v>2534</v>
      </c>
      <c r="AK11" s="435">
        <v>136857</v>
      </c>
      <c r="AL11" s="436">
        <v>3368</v>
      </c>
      <c r="AM11" s="437">
        <v>137465</v>
      </c>
      <c r="AN11" s="436">
        <v>6088</v>
      </c>
      <c r="AO11" s="435">
        <v>129837</v>
      </c>
      <c r="AP11" s="436">
        <v>5797</v>
      </c>
      <c r="AQ11" s="438">
        <v>134978</v>
      </c>
      <c r="AR11" s="439">
        <v>5387</v>
      </c>
      <c r="AS11" s="440">
        <v>136789</v>
      </c>
      <c r="AT11" s="441">
        <v>5003</v>
      </c>
      <c r="AU11" s="440">
        <v>138018</v>
      </c>
      <c r="AV11" s="1538">
        <v>5019</v>
      </c>
      <c r="AW11" s="1541">
        <v>145962</v>
      </c>
      <c r="AX11" s="1542">
        <v>4680</v>
      </c>
      <c r="AY11" s="1767">
        <v>145058</v>
      </c>
      <c r="AZ11" s="1794">
        <v>4085</v>
      </c>
    </row>
    <row r="12" spans="1:52" x14ac:dyDescent="0.25">
      <c r="A12" s="426" t="s">
        <v>26</v>
      </c>
      <c r="B12" s="1474" t="s">
        <v>686</v>
      </c>
      <c r="C12" s="190" t="s">
        <v>265</v>
      </c>
      <c r="D12" s="428">
        <f t="shared" si="15"/>
        <v>2.0796628948180976E-2</v>
      </c>
      <c r="E12" s="429">
        <f t="shared" si="16"/>
        <v>2.9483809830320586E-2</v>
      </c>
      <c r="F12" s="430">
        <f t="shared" si="17"/>
        <v>3.7718668464461452E-2</v>
      </c>
      <c r="G12" s="430">
        <f t="shared" si="18"/>
        <v>3.691635758605151E-2</v>
      </c>
      <c r="H12" s="430">
        <f t="shared" si="19"/>
        <v>3.2337650894351928E-2</v>
      </c>
      <c r="I12" s="430">
        <f t="shared" si="20"/>
        <v>3.1978507669642081E-2</v>
      </c>
      <c r="J12" s="430">
        <f t="shared" si="21"/>
        <v>2.789840088227185E-2</v>
      </c>
      <c r="K12" s="430">
        <f t="shared" si="22"/>
        <v>2.8824985066985238E-2</v>
      </c>
      <c r="L12" s="430">
        <f t="shared" si="23"/>
        <v>3.9859942583096865E-2</v>
      </c>
      <c r="M12" s="430">
        <f t="shared" si="24"/>
        <v>7.2243097533082834E-2</v>
      </c>
      <c r="N12" s="430">
        <f t="shared" si="25"/>
        <v>7.5877901538984785E-2</v>
      </c>
      <c r="O12" s="431">
        <f t="shared" si="26"/>
        <v>6.6654335726656688E-2</v>
      </c>
      <c r="P12" s="432">
        <f t="shared" si="27"/>
        <v>5.8930812348364427E-2</v>
      </c>
      <c r="Q12" s="1529">
        <f t="shared" si="28"/>
        <v>5.2848318462594371E-2</v>
      </c>
      <c r="R12" s="1532">
        <f t="shared" si="29"/>
        <v>4.8929767017211648E-2</v>
      </c>
      <c r="S12" s="1788">
        <f t="shared" si="14"/>
        <v>4.273257296323367E-2</v>
      </c>
      <c r="T12" s="219"/>
      <c r="U12" s="443">
        <v>55057</v>
      </c>
      <c r="V12" s="444">
        <v>1145</v>
      </c>
      <c r="W12" s="1475">
        <v>55929</v>
      </c>
      <c r="X12" s="1476">
        <v>1649</v>
      </c>
      <c r="Y12" s="1475">
        <v>57107</v>
      </c>
      <c r="Z12" s="1476">
        <v>2154</v>
      </c>
      <c r="AA12" s="1475">
        <v>57698</v>
      </c>
      <c r="AB12" s="1476">
        <v>2130</v>
      </c>
      <c r="AC12" s="1475">
        <v>56745</v>
      </c>
      <c r="AD12" s="1476">
        <v>1835</v>
      </c>
      <c r="AE12" s="1475">
        <v>57695</v>
      </c>
      <c r="AF12" s="1476">
        <v>1845</v>
      </c>
      <c r="AG12" s="1475">
        <v>58032</v>
      </c>
      <c r="AH12" s="1476">
        <v>1619</v>
      </c>
      <c r="AI12" s="1475">
        <v>58595</v>
      </c>
      <c r="AJ12" s="1476">
        <v>1689</v>
      </c>
      <c r="AK12" s="1475">
        <v>60261</v>
      </c>
      <c r="AL12" s="1476">
        <v>2402</v>
      </c>
      <c r="AM12" s="1477">
        <v>61210</v>
      </c>
      <c r="AN12" s="1476">
        <v>4422</v>
      </c>
      <c r="AO12" s="1475">
        <v>58805</v>
      </c>
      <c r="AP12" s="1476">
        <v>4462</v>
      </c>
      <c r="AQ12" s="438">
        <v>59471</v>
      </c>
      <c r="AR12" s="439">
        <v>3964</v>
      </c>
      <c r="AS12" s="440">
        <v>59765</v>
      </c>
      <c r="AT12" s="441">
        <v>3522</v>
      </c>
      <c r="AU12" s="440">
        <v>59737</v>
      </c>
      <c r="AV12" s="1538">
        <v>3157</v>
      </c>
      <c r="AW12" s="1541">
        <v>59146</v>
      </c>
      <c r="AX12" s="1542">
        <v>2894</v>
      </c>
      <c r="AY12" s="1767">
        <v>58831</v>
      </c>
      <c r="AZ12" s="1794">
        <v>2514</v>
      </c>
    </row>
    <row r="13" spans="1:52" ht="15" customHeight="1" x14ac:dyDescent="0.25">
      <c r="A13" s="426" t="s">
        <v>27</v>
      </c>
      <c r="B13" s="442" t="s">
        <v>28</v>
      </c>
      <c r="C13" s="190" t="s">
        <v>265</v>
      </c>
      <c r="D13" s="428">
        <f t="shared" si="15"/>
        <v>2.6460859977949284E-2</v>
      </c>
      <c r="E13" s="429">
        <f t="shared" si="16"/>
        <v>3.6982248520710061E-2</v>
      </c>
      <c r="F13" s="430">
        <f t="shared" si="17"/>
        <v>4.4018459353922609E-2</v>
      </c>
      <c r="G13" s="430">
        <f t="shared" si="18"/>
        <v>4.5735900962861072E-2</v>
      </c>
      <c r="H13" s="430">
        <f t="shared" si="19"/>
        <v>3.5864978902953586E-2</v>
      </c>
      <c r="I13" s="430">
        <f t="shared" si="20"/>
        <v>3.5302104548540394E-2</v>
      </c>
      <c r="J13" s="430">
        <f t="shared" si="21"/>
        <v>3.2447359337245428E-2</v>
      </c>
      <c r="K13" s="430">
        <f t="shared" si="22"/>
        <v>3.1903945111492284E-2</v>
      </c>
      <c r="L13" s="430">
        <f t="shared" si="23"/>
        <v>4.1042112776588154E-2</v>
      </c>
      <c r="M13" s="430">
        <f t="shared" si="24"/>
        <v>6.4492216456634541E-2</v>
      </c>
      <c r="N13" s="430">
        <f t="shared" si="25"/>
        <v>7.0459683496608888E-2</v>
      </c>
      <c r="O13" s="431">
        <f t="shared" si="26"/>
        <v>5.7727438801607599E-2</v>
      </c>
      <c r="P13" s="432">
        <f t="shared" si="27"/>
        <v>5.3479853479853477E-2</v>
      </c>
      <c r="Q13" s="1529">
        <f t="shared" si="28"/>
        <v>5.0018254837531945E-2</v>
      </c>
      <c r="R13" s="1532">
        <f t="shared" si="29"/>
        <v>4.441913439635535E-2</v>
      </c>
      <c r="S13" s="1788">
        <f t="shared" si="14"/>
        <v>4.0640875341930442E-2</v>
      </c>
      <c r="T13" s="219"/>
      <c r="U13" s="433">
        <v>2721</v>
      </c>
      <c r="V13" s="434">
        <v>72</v>
      </c>
      <c r="W13" s="435">
        <v>2704</v>
      </c>
      <c r="X13" s="436">
        <v>100</v>
      </c>
      <c r="Y13" s="435">
        <v>2817</v>
      </c>
      <c r="Z13" s="436">
        <v>124</v>
      </c>
      <c r="AA13" s="435">
        <v>2908</v>
      </c>
      <c r="AB13" s="436">
        <v>133</v>
      </c>
      <c r="AC13" s="435">
        <v>2844</v>
      </c>
      <c r="AD13" s="436">
        <v>102</v>
      </c>
      <c r="AE13" s="435">
        <v>2946</v>
      </c>
      <c r="AF13" s="436">
        <v>104</v>
      </c>
      <c r="AG13" s="435">
        <v>2897</v>
      </c>
      <c r="AH13" s="436">
        <v>94</v>
      </c>
      <c r="AI13" s="435">
        <v>2915</v>
      </c>
      <c r="AJ13" s="436">
        <v>93</v>
      </c>
      <c r="AK13" s="435">
        <v>2802</v>
      </c>
      <c r="AL13" s="436">
        <v>115</v>
      </c>
      <c r="AM13" s="437">
        <v>2698</v>
      </c>
      <c r="AN13" s="436">
        <v>174</v>
      </c>
      <c r="AO13" s="435">
        <v>2654</v>
      </c>
      <c r="AP13" s="436">
        <v>187</v>
      </c>
      <c r="AQ13" s="438">
        <v>2737</v>
      </c>
      <c r="AR13" s="439">
        <v>158</v>
      </c>
      <c r="AS13" s="440">
        <v>2730</v>
      </c>
      <c r="AT13" s="441">
        <v>146</v>
      </c>
      <c r="AU13" s="440">
        <v>2739</v>
      </c>
      <c r="AV13" s="1538">
        <v>137</v>
      </c>
      <c r="AW13" s="1541">
        <v>2634</v>
      </c>
      <c r="AX13" s="1542">
        <v>117</v>
      </c>
      <c r="AY13" s="1767">
        <v>2559</v>
      </c>
      <c r="AZ13" s="1794">
        <v>104</v>
      </c>
    </row>
    <row r="14" spans="1:52" ht="15" customHeight="1" x14ac:dyDescent="0.25">
      <c r="A14" s="426" t="s">
        <v>29</v>
      </c>
      <c r="B14" s="442" t="s">
        <v>924</v>
      </c>
      <c r="C14" s="190" t="s">
        <v>265</v>
      </c>
      <c r="D14" s="428">
        <f t="shared" si="15"/>
        <v>1.9583985167159163E-2</v>
      </c>
      <c r="E14" s="429">
        <f t="shared" si="16"/>
        <v>3.3024944372877389E-2</v>
      </c>
      <c r="F14" s="430">
        <f t="shared" si="17"/>
        <v>4.6328395839899152E-2</v>
      </c>
      <c r="G14" s="430">
        <f t="shared" si="18"/>
        <v>4.1594943138527525E-2</v>
      </c>
      <c r="H14" s="430">
        <f t="shared" si="19"/>
        <v>3.7889340836908675E-2</v>
      </c>
      <c r="I14" s="430">
        <f t="shared" si="20"/>
        <v>3.4545702220405941E-2</v>
      </c>
      <c r="J14" s="430">
        <f t="shared" si="21"/>
        <v>2.9520980319346454E-2</v>
      </c>
      <c r="K14" s="430">
        <f t="shared" si="22"/>
        <v>2.9997868712702474E-2</v>
      </c>
      <c r="L14" s="430">
        <f t="shared" si="23"/>
        <v>3.6713151018084915E-2</v>
      </c>
      <c r="M14" s="430">
        <f t="shared" si="24"/>
        <v>7.0708940423619013E-2</v>
      </c>
      <c r="N14" s="430">
        <f t="shared" si="25"/>
        <v>7.3098636557307195E-2</v>
      </c>
      <c r="O14" s="431">
        <f t="shared" si="26"/>
        <v>6.6261203585147241E-2</v>
      </c>
      <c r="P14" s="432">
        <f t="shared" si="27"/>
        <v>6.17806409876277E-2</v>
      </c>
      <c r="Q14" s="1529">
        <f t="shared" si="28"/>
        <v>5.775346305179755E-2</v>
      </c>
      <c r="R14" s="1532">
        <f t="shared" si="29"/>
        <v>5.0913058160376133E-2</v>
      </c>
      <c r="S14" s="1788">
        <f t="shared" si="14"/>
        <v>4.4429308673669871E-2</v>
      </c>
      <c r="T14" s="219"/>
      <c r="U14" s="443">
        <v>34518</v>
      </c>
      <c r="V14" s="444">
        <v>676</v>
      </c>
      <c r="W14" s="1475">
        <v>34156</v>
      </c>
      <c r="X14" s="1476">
        <v>1128</v>
      </c>
      <c r="Y14" s="1475">
        <v>34903</v>
      </c>
      <c r="Z14" s="1476">
        <v>1617</v>
      </c>
      <c r="AA14" s="1475">
        <v>35437</v>
      </c>
      <c r="AB14" s="1476">
        <v>1474</v>
      </c>
      <c r="AC14" s="1475">
        <v>35894</v>
      </c>
      <c r="AD14" s="1476">
        <v>1360</v>
      </c>
      <c r="AE14" s="1475">
        <v>36705</v>
      </c>
      <c r="AF14" s="1476">
        <v>1268</v>
      </c>
      <c r="AG14" s="1475">
        <v>37702</v>
      </c>
      <c r="AH14" s="1476">
        <v>1113</v>
      </c>
      <c r="AI14" s="1475">
        <v>37536</v>
      </c>
      <c r="AJ14" s="1476">
        <v>1126</v>
      </c>
      <c r="AK14" s="1475">
        <v>38651</v>
      </c>
      <c r="AL14" s="1476">
        <v>1419</v>
      </c>
      <c r="AM14" s="1477">
        <v>37817</v>
      </c>
      <c r="AN14" s="1476">
        <v>2674</v>
      </c>
      <c r="AO14" s="1475">
        <v>37552</v>
      </c>
      <c r="AP14" s="1476">
        <v>2745</v>
      </c>
      <c r="AQ14" s="438">
        <v>37488</v>
      </c>
      <c r="AR14" s="439">
        <v>2484</v>
      </c>
      <c r="AS14" s="440">
        <v>37099</v>
      </c>
      <c r="AT14" s="441">
        <v>2292</v>
      </c>
      <c r="AU14" s="440">
        <v>37106</v>
      </c>
      <c r="AV14" s="1538">
        <v>2143</v>
      </c>
      <c r="AW14" s="1541">
        <v>38497</v>
      </c>
      <c r="AX14" s="1542">
        <v>1960</v>
      </c>
      <c r="AY14" s="1767">
        <v>38173</v>
      </c>
      <c r="AZ14" s="1794">
        <v>1696</v>
      </c>
    </row>
    <row r="15" spans="1:52" ht="15" customHeight="1" x14ac:dyDescent="0.25">
      <c r="A15" s="426" t="s">
        <v>30</v>
      </c>
      <c r="B15" s="442" t="s">
        <v>31</v>
      </c>
      <c r="C15" s="190" t="s">
        <v>268</v>
      </c>
      <c r="D15" s="428">
        <f t="shared" si="15"/>
        <v>5.1818805765271106E-2</v>
      </c>
      <c r="E15" s="429">
        <f t="shared" si="16"/>
        <v>5.6653491436100128E-2</v>
      </c>
      <c r="F15" s="430">
        <f t="shared" si="17"/>
        <v>5.2787858792477729E-2</v>
      </c>
      <c r="G15" s="430">
        <f t="shared" si="18"/>
        <v>0.05</v>
      </c>
      <c r="H15" s="430">
        <f t="shared" si="19"/>
        <v>4.5015005001667226E-2</v>
      </c>
      <c r="I15" s="430">
        <f t="shared" si="20"/>
        <v>3.9311241065627028E-2</v>
      </c>
      <c r="J15" s="430">
        <f t="shared" si="21"/>
        <v>3.7197768133911964E-2</v>
      </c>
      <c r="K15" s="430">
        <f t="shared" si="22"/>
        <v>3.7993469872365689E-2</v>
      </c>
      <c r="L15" s="430">
        <f t="shared" si="23"/>
        <v>4.7714285714285716E-2</v>
      </c>
      <c r="M15" s="430">
        <f t="shared" si="24"/>
        <v>7.7072359301358473E-2</v>
      </c>
      <c r="N15" s="430">
        <f t="shared" si="25"/>
        <v>7.5116009280742455E-2</v>
      </c>
      <c r="O15" s="431">
        <f t="shared" si="26"/>
        <v>6.3779988297249859E-2</v>
      </c>
      <c r="P15" s="432">
        <f t="shared" si="27"/>
        <v>6.0134936931651513E-2</v>
      </c>
      <c r="Q15" s="1529">
        <f t="shared" si="28"/>
        <v>5.9224163458691144E-2</v>
      </c>
      <c r="R15" s="1532">
        <f t="shared" si="29"/>
        <v>5.9937995177402684E-2</v>
      </c>
      <c r="S15" s="1788">
        <f t="shared" si="14"/>
        <v>5.7836486968939664E-2</v>
      </c>
      <c r="T15" s="219"/>
      <c r="U15" s="433">
        <v>2914</v>
      </c>
      <c r="V15" s="434">
        <v>151</v>
      </c>
      <c r="W15" s="435">
        <v>3036</v>
      </c>
      <c r="X15" s="436">
        <v>172</v>
      </c>
      <c r="Y15" s="435">
        <v>3031</v>
      </c>
      <c r="Z15" s="436">
        <v>160</v>
      </c>
      <c r="AA15" s="435">
        <v>3060</v>
      </c>
      <c r="AB15" s="436">
        <v>153</v>
      </c>
      <c r="AC15" s="435">
        <v>2999</v>
      </c>
      <c r="AD15" s="436">
        <v>135</v>
      </c>
      <c r="AE15" s="435">
        <v>3078</v>
      </c>
      <c r="AF15" s="436">
        <v>121</v>
      </c>
      <c r="AG15" s="435">
        <v>3226</v>
      </c>
      <c r="AH15" s="436">
        <v>120</v>
      </c>
      <c r="AI15" s="435">
        <v>3369</v>
      </c>
      <c r="AJ15" s="436">
        <v>128</v>
      </c>
      <c r="AK15" s="435">
        <v>3500</v>
      </c>
      <c r="AL15" s="436">
        <v>167</v>
      </c>
      <c r="AM15" s="437">
        <v>3607</v>
      </c>
      <c r="AN15" s="436">
        <v>278</v>
      </c>
      <c r="AO15" s="435">
        <v>3448</v>
      </c>
      <c r="AP15" s="436">
        <v>259</v>
      </c>
      <c r="AQ15" s="438">
        <v>3418</v>
      </c>
      <c r="AR15" s="439">
        <v>218</v>
      </c>
      <c r="AS15" s="440">
        <v>3409</v>
      </c>
      <c r="AT15" s="441">
        <v>205</v>
      </c>
      <c r="AU15" s="440">
        <v>3377</v>
      </c>
      <c r="AV15" s="1538">
        <v>200</v>
      </c>
      <c r="AW15" s="1541">
        <v>2903</v>
      </c>
      <c r="AX15" s="1542">
        <v>174</v>
      </c>
      <c r="AY15" s="1767">
        <v>2801</v>
      </c>
      <c r="AZ15" s="1794">
        <v>162</v>
      </c>
    </row>
    <row r="16" spans="1:52" ht="15" customHeight="1" x14ac:dyDescent="0.25">
      <c r="A16" s="426" t="s">
        <v>32</v>
      </c>
      <c r="B16" s="442" t="s">
        <v>33</v>
      </c>
      <c r="C16" s="190" t="s">
        <v>265</v>
      </c>
      <c r="D16" s="428">
        <f t="shared" si="15"/>
        <v>1.7711005252229142E-2</v>
      </c>
      <c r="E16" s="429">
        <f t="shared" si="16"/>
        <v>2.6597665182332409E-2</v>
      </c>
      <c r="F16" s="430">
        <f t="shared" si="17"/>
        <v>3.6391117311940474E-2</v>
      </c>
      <c r="G16" s="430">
        <f t="shared" si="18"/>
        <v>3.5630291627469425E-2</v>
      </c>
      <c r="H16" s="430">
        <f t="shared" si="19"/>
        <v>3.2599066910765959E-2</v>
      </c>
      <c r="I16" s="430">
        <f t="shared" si="20"/>
        <v>2.9896064463389001E-2</v>
      </c>
      <c r="J16" s="430">
        <f t="shared" si="21"/>
        <v>2.5611642697530509E-2</v>
      </c>
      <c r="K16" s="430">
        <f t="shared" si="22"/>
        <v>2.6592062759575451E-2</v>
      </c>
      <c r="L16" s="430">
        <f t="shared" si="23"/>
        <v>3.2679003318521853E-2</v>
      </c>
      <c r="M16" s="430">
        <f t="shared" si="24"/>
        <v>6.5336374002280498E-2</v>
      </c>
      <c r="N16" s="430">
        <f t="shared" si="25"/>
        <v>6.691919191919192E-2</v>
      </c>
      <c r="O16" s="431">
        <f t="shared" si="26"/>
        <v>6.0882974470272432E-2</v>
      </c>
      <c r="P16" s="432">
        <f t="shared" si="27"/>
        <v>5.6118383608423451E-2</v>
      </c>
      <c r="Q16" s="1529">
        <f t="shared" si="28"/>
        <v>5.2125966348340158E-2</v>
      </c>
      <c r="R16" s="1532">
        <f t="shared" si="29"/>
        <v>4.8348196758090753E-2</v>
      </c>
      <c r="S16" s="1788">
        <f t="shared" si="14"/>
        <v>4.1775903339792544E-2</v>
      </c>
      <c r="T16" s="219"/>
      <c r="U16" s="433">
        <v>16374</v>
      </c>
      <c r="V16" s="434">
        <v>290</v>
      </c>
      <c r="W16" s="435">
        <v>16618</v>
      </c>
      <c r="X16" s="436">
        <v>442</v>
      </c>
      <c r="Y16" s="435">
        <v>17202</v>
      </c>
      <c r="Z16" s="436">
        <v>626</v>
      </c>
      <c r="AA16" s="435">
        <v>17008</v>
      </c>
      <c r="AB16" s="436">
        <v>606</v>
      </c>
      <c r="AC16" s="435">
        <v>16933</v>
      </c>
      <c r="AD16" s="436">
        <v>552</v>
      </c>
      <c r="AE16" s="435">
        <v>17126</v>
      </c>
      <c r="AF16" s="436">
        <v>512</v>
      </c>
      <c r="AG16" s="435">
        <v>17453</v>
      </c>
      <c r="AH16" s="436">
        <v>447</v>
      </c>
      <c r="AI16" s="435">
        <v>17336</v>
      </c>
      <c r="AJ16" s="436">
        <v>461</v>
      </c>
      <c r="AK16" s="435">
        <v>17779</v>
      </c>
      <c r="AL16" s="436">
        <v>581</v>
      </c>
      <c r="AM16" s="437">
        <v>17540</v>
      </c>
      <c r="AN16" s="436">
        <v>1146</v>
      </c>
      <c r="AO16" s="435">
        <v>17424</v>
      </c>
      <c r="AP16" s="436">
        <v>1166</v>
      </c>
      <c r="AQ16" s="438">
        <v>17509</v>
      </c>
      <c r="AR16" s="439">
        <v>1066</v>
      </c>
      <c r="AS16" s="440">
        <v>17570</v>
      </c>
      <c r="AT16" s="441">
        <v>986</v>
      </c>
      <c r="AU16" s="440">
        <v>17592</v>
      </c>
      <c r="AV16" s="1538">
        <v>917</v>
      </c>
      <c r="AW16" s="1541">
        <v>17829</v>
      </c>
      <c r="AX16" s="1542">
        <v>862</v>
      </c>
      <c r="AY16" s="1767">
        <v>17546</v>
      </c>
      <c r="AZ16" s="1794">
        <v>733</v>
      </c>
    </row>
    <row r="17" spans="1:52" ht="15" customHeight="1" x14ac:dyDescent="0.25">
      <c r="A17" s="426" t="s">
        <v>36</v>
      </c>
      <c r="B17" s="442" t="s">
        <v>37</v>
      </c>
      <c r="C17" s="190" t="s">
        <v>264</v>
      </c>
      <c r="D17" s="428">
        <f t="shared" si="15"/>
        <v>3.4811985898942424E-2</v>
      </c>
      <c r="E17" s="429">
        <f t="shared" si="16"/>
        <v>5.4026354319180091E-2</v>
      </c>
      <c r="F17" s="430">
        <f t="shared" si="17"/>
        <v>6.3566117509841091E-2</v>
      </c>
      <c r="G17" s="430">
        <f t="shared" si="18"/>
        <v>6.9684420962444663E-2</v>
      </c>
      <c r="H17" s="430">
        <f t="shared" si="19"/>
        <v>6.4218841427735512E-2</v>
      </c>
      <c r="I17" s="430">
        <f t="shared" si="20"/>
        <v>5.101440752719788E-2</v>
      </c>
      <c r="J17" s="430">
        <f t="shared" si="21"/>
        <v>4.7967241883591694E-2</v>
      </c>
      <c r="K17" s="430">
        <f t="shared" si="22"/>
        <v>4.8384739073234907E-2</v>
      </c>
      <c r="L17" s="430">
        <f t="shared" si="23"/>
        <v>6.6222348269994333E-2</v>
      </c>
      <c r="M17" s="430">
        <f t="shared" si="24"/>
        <v>0.11619864434914925</v>
      </c>
      <c r="N17" s="430">
        <f t="shared" si="25"/>
        <v>0.11972348874834535</v>
      </c>
      <c r="O17" s="431">
        <f t="shared" si="26"/>
        <v>0.10966212211025489</v>
      </c>
      <c r="P17" s="432">
        <f t="shared" si="27"/>
        <v>0.10413223140495868</v>
      </c>
      <c r="Q17" s="1529">
        <f t="shared" si="28"/>
        <v>9.965220021170422E-2</v>
      </c>
      <c r="R17" s="1532">
        <f t="shared" si="29"/>
        <v>8.2259054634745241E-2</v>
      </c>
      <c r="S17" s="1788">
        <f t="shared" si="14"/>
        <v>6.8163846275502135E-2</v>
      </c>
      <c r="T17" s="219"/>
      <c r="U17" s="433">
        <v>6808</v>
      </c>
      <c r="V17" s="434">
        <v>237</v>
      </c>
      <c r="W17" s="435">
        <v>6830</v>
      </c>
      <c r="X17" s="436">
        <v>369</v>
      </c>
      <c r="Y17" s="435">
        <v>6859</v>
      </c>
      <c r="Z17" s="436">
        <v>436</v>
      </c>
      <c r="AA17" s="435">
        <v>7003</v>
      </c>
      <c r="AB17" s="436">
        <v>488</v>
      </c>
      <c r="AC17" s="435">
        <v>6836</v>
      </c>
      <c r="AD17" s="436">
        <v>439</v>
      </c>
      <c r="AE17" s="435">
        <v>6802</v>
      </c>
      <c r="AF17" s="436">
        <v>347</v>
      </c>
      <c r="AG17" s="435">
        <v>6838</v>
      </c>
      <c r="AH17" s="436">
        <v>328</v>
      </c>
      <c r="AI17" s="435">
        <v>6841</v>
      </c>
      <c r="AJ17" s="436">
        <v>331</v>
      </c>
      <c r="AK17" s="435">
        <v>7052</v>
      </c>
      <c r="AL17" s="436">
        <v>467</v>
      </c>
      <c r="AM17" s="437">
        <v>7229</v>
      </c>
      <c r="AN17" s="436">
        <v>840</v>
      </c>
      <c r="AO17" s="435">
        <v>6799</v>
      </c>
      <c r="AP17" s="436">
        <v>814</v>
      </c>
      <c r="AQ17" s="438">
        <v>6748</v>
      </c>
      <c r="AR17" s="439">
        <v>740</v>
      </c>
      <c r="AS17" s="440">
        <v>6655</v>
      </c>
      <c r="AT17" s="441">
        <v>693</v>
      </c>
      <c r="AU17" s="440">
        <v>6613</v>
      </c>
      <c r="AV17" s="1538">
        <v>659</v>
      </c>
      <c r="AW17" s="1541">
        <v>6516</v>
      </c>
      <c r="AX17" s="1542">
        <v>536</v>
      </c>
      <c r="AY17" s="1767">
        <v>6323</v>
      </c>
      <c r="AZ17" s="1794">
        <v>431</v>
      </c>
    </row>
    <row r="18" spans="1:52" ht="15" customHeight="1" x14ac:dyDescent="0.25">
      <c r="A18" s="426" t="s">
        <v>38</v>
      </c>
      <c r="B18" s="442" t="s">
        <v>39</v>
      </c>
      <c r="C18" s="190" t="s">
        <v>268</v>
      </c>
      <c r="D18" s="428">
        <f t="shared" si="15"/>
        <v>5.8179723502304145E-2</v>
      </c>
      <c r="E18" s="429">
        <f t="shared" si="16"/>
        <v>6.0146975692481626E-2</v>
      </c>
      <c r="F18" s="430">
        <f t="shared" si="17"/>
        <v>7.0692520775623269E-2</v>
      </c>
      <c r="G18" s="430">
        <f t="shared" si="18"/>
        <v>6.9593386952636282E-2</v>
      </c>
      <c r="H18" s="430">
        <f t="shared" si="19"/>
        <v>5.622632575757576E-2</v>
      </c>
      <c r="I18" s="430">
        <f t="shared" si="20"/>
        <v>5.3129807123417347E-2</v>
      </c>
      <c r="J18" s="430">
        <f t="shared" si="21"/>
        <v>4.9252314265369093E-2</v>
      </c>
      <c r="K18" s="430">
        <f t="shared" si="22"/>
        <v>4.9094707520891366E-2</v>
      </c>
      <c r="L18" s="430">
        <f t="shared" si="23"/>
        <v>5.0011163206072781E-2</v>
      </c>
      <c r="M18" s="430">
        <f t="shared" si="24"/>
        <v>8.8565264293419627E-2</v>
      </c>
      <c r="N18" s="430">
        <f t="shared" si="25"/>
        <v>9.2319375135604259E-2</v>
      </c>
      <c r="O18" s="431">
        <f t="shared" si="26"/>
        <v>7.6824720298348428E-2</v>
      </c>
      <c r="P18" s="432">
        <f t="shared" si="27"/>
        <v>8.142812402129658E-2</v>
      </c>
      <c r="Q18" s="1529">
        <f t="shared" si="28"/>
        <v>9.7566323174742384E-2</v>
      </c>
      <c r="R18" s="1532">
        <f t="shared" si="29"/>
        <v>0.10363220726441452</v>
      </c>
      <c r="S18" s="1788">
        <f t="shared" si="14"/>
        <v>0.10772138228941684</v>
      </c>
      <c r="T18" s="219"/>
      <c r="U18" s="433">
        <v>8680</v>
      </c>
      <c r="V18" s="434">
        <v>505</v>
      </c>
      <c r="W18" s="435">
        <v>8845</v>
      </c>
      <c r="X18" s="436">
        <v>532</v>
      </c>
      <c r="Y18" s="435">
        <v>9025</v>
      </c>
      <c r="Z18" s="436">
        <v>638</v>
      </c>
      <c r="AA18" s="435">
        <v>8952</v>
      </c>
      <c r="AB18" s="436">
        <v>623</v>
      </c>
      <c r="AC18" s="435">
        <v>8448</v>
      </c>
      <c r="AD18" s="436">
        <v>475</v>
      </c>
      <c r="AE18" s="435">
        <v>8451</v>
      </c>
      <c r="AF18" s="436">
        <v>449</v>
      </c>
      <c r="AG18" s="435">
        <v>8426</v>
      </c>
      <c r="AH18" s="436">
        <v>415</v>
      </c>
      <c r="AI18" s="435">
        <v>8616</v>
      </c>
      <c r="AJ18" s="436">
        <v>423</v>
      </c>
      <c r="AK18" s="435">
        <v>8958</v>
      </c>
      <c r="AL18" s="436">
        <v>448</v>
      </c>
      <c r="AM18" s="437">
        <v>9270</v>
      </c>
      <c r="AN18" s="436">
        <v>821</v>
      </c>
      <c r="AO18" s="435">
        <v>9218</v>
      </c>
      <c r="AP18" s="436">
        <v>851</v>
      </c>
      <c r="AQ18" s="438">
        <v>9385</v>
      </c>
      <c r="AR18" s="439">
        <v>721</v>
      </c>
      <c r="AS18" s="440">
        <v>9579</v>
      </c>
      <c r="AT18" s="441">
        <v>780</v>
      </c>
      <c r="AU18" s="440">
        <v>9122</v>
      </c>
      <c r="AV18" s="1538">
        <v>890</v>
      </c>
      <c r="AW18" s="1541">
        <v>7874</v>
      </c>
      <c r="AX18" s="1542">
        <v>816</v>
      </c>
      <c r="AY18" s="1767">
        <v>7408</v>
      </c>
      <c r="AZ18" s="1794">
        <v>798</v>
      </c>
    </row>
    <row r="19" spans="1:52" ht="15" customHeight="1" x14ac:dyDescent="0.25">
      <c r="A19" s="426" t="s">
        <v>40</v>
      </c>
      <c r="B19" s="442" t="s">
        <v>41</v>
      </c>
      <c r="C19" s="190" t="s">
        <v>266</v>
      </c>
      <c r="D19" s="428">
        <f t="shared" si="15"/>
        <v>3.1766824954969707E-2</v>
      </c>
      <c r="E19" s="429">
        <f t="shared" si="16"/>
        <v>3.4309758860657062E-2</v>
      </c>
      <c r="F19" s="430">
        <f t="shared" si="17"/>
        <v>3.8498402555910541E-2</v>
      </c>
      <c r="G19" s="430">
        <f t="shared" si="18"/>
        <v>4.3625192012288788E-2</v>
      </c>
      <c r="H19" s="430">
        <f t="shared" si="19"/>
        <v>4.2060212514757972E-2</v>
      </c>
      <c r="I19" s="430">
        <f t="shared" si="20"/>
        <v>4.3070612364488718E-2</v>
      </c>
      <c r="J19" s="430">
        <f t="shared" si="21"/>
        <v>3.5510740903112667E-2</v>
      </c>
      <c r="K19" s="430">
        <f t="shared" si="22"/>
        <v>3.4893739230327396E-2</v>
      </c>
      <c r="L19" s="430">
        <f t="shared" si="23"/>
        <v>4.9202858713578893E-2</v>
      </c>
      <c r="M19" s="430">
        <f t="shared" si="24"/>
        <v>8.4076777507434447E-2</v>
      </c>
      <c r="N19" s="430">
        <f t="shared" si="25"/>
        <v>0.10057236304170074</v>
      </c>
      <c r="O19" s="431">
        <f t="shared" si="26"/>
        <v>8.9039242219215151E-2</v>
      </c>
      <c r="P19" s="432">
        <f t="shared" si="27"/>
        <v>7.6725304465493915E-2</v>
      </c>
      <c r="Q19" s="1529">
        <f t="shared" si="28"/>
        <v>7.1759890859481576E-2</v>
      </c>
      <c r="R19" s="1532">
        <f t="shared" si="29"/>
        <v>6.5837937384898709E-2</v>
      </c>
      <c r="S19" s="1788">
        <f t="shared" si="14"/>
        <v>5.8389577774289748E-2</v>
      </c>
      <c r="T19" s="219"/>
      <c r="U19" s="433">
        <v>6107</v>
      </c>
      <c r="V19" s="434">
        <v>194</v>
      </c>
      <c r="W19" s="435">
        <v>6179</v>
      </c>
      <c r="X19" s="436">
        <v>212</v>
      </c>
      <c r="Y19" s="435">
        <v>6260</v>
      </c>
      <c r="Z19" s="436">
        <v>241</v>
      </c>
      <c r="AA19" s="435">
        <v>6510</v>
      </c>
      <c r="AB19" s="436">
        <v>284</v>
      </c>
      <c r="AC19" s="435">
        <v>6776</v>
      </c>
      <c r="AD19" s="436">
        <v>285</v>
      </c>
      <c r="AE19" s="435">
        <v>6826</v>
      </c>
      <c r="AF19" s="436">
        <v>294</v>
      </c>
      <c r="AG19" s="435">
        <v>6843</v>
      </c>
      <c r="AH19" s="436">
        <v>243</v>
      </c>
      <c r="AI19" s="435">
        <v>6964</v>
      </c>
      <c r="AJ19" s="436">
        <v>243</v>
      </c>
      <c r="AK19" s="435">
        <v>7276</v>
      </c>
      <c r="AL19" s="436">
        <v>358</v>
      </c>
      <c r="AM19" s="437">
        <v>7398</v>
      </c>
      <c r="AN19" s="436">
        <v>622</v>
      </c>
      <c r="AO19" s="435">
        <v>7338</v>
      </c>
      <c r="AP19" s="436">
        <v>738</v>
      </c>
      <c r="AQ19" s="438">
        <v>7390</v>
      </c>
      <c r="AR19" s="439">
        <v>658</v>
      </c>
      <c r="AS19" s="440">
        <v>7390</v>
      </c>
      <c r="AT19" s="441">
        <v>567</v>
      </c>
      <c r="AU19" s="440">
        <v>7330</v>
      </c>
      <c r="AV19" s="1538">
        <v>526</v>
      </c>
      <c r="AW19" s="1541">
        <v>6516</v>
      </c>
      <c r="AX19" s="1542">
        <v>429</v>
      </c>
      <c r="AY19" s="1767">
        <v>6371</v>
      </c>
      <c r="AZ19" s="1794">
        <v>372</v>
      </c>
    </row>
    <row r="20" spans="1:52" ht="15" customHeight="1" x14ac:dyDescent="0.25">
      <c r="A20" s="426" t="s">
        <v>42</v>
      </c>
      <c r="B20" s="442" t="s">
        <v>43</v>
      </c>
      <c r="C20" s="190" t="s">
        <v>265</v>
      </c>
      <c r="D20" s="428">
        <f t="shared" si="15"/>
        <v>2.3074003795066415E-2</v>
      </c>
      <c r="E20" s="429">
        <f t="shared" si="16"/>
        <v>4.2419119342196263E-2</v>
      </c>
      <c r="F20" s="430">
        <f t="shared" si="17"/>
        <v>5.7055584885737989E-2</v>
      </c>
      <c r="G20" s="430">
        <f t="shared" si="18"/>
        <v>4.9788774894387447E-2</v>
      </c>
      <c r="H20" s="430">
        <f t="shared" si="19"/>
        <v>4.304698443948056E-2</v>
      </c>
      <c r="I20" s="430">
        <f t="shared" si="20"/>
        <v>3.9225181598062951E-2</v>
      </c>
      <c r="J20" s="430">
        <f t="shared" si="21"/>
        <v>3.2129990441879273E-2</v>
      </c>
      <c r="K20" s="430">
        <f t="shared" si="22"/>
        <v>3.4512001769846243E-2</v>
      </c>
      <c r="L20" s="430">
        <f t="shared" si="23"/>
        <v>3.9788178044940607E-2</v>
      </c>
      <c r="M20" s="430">
        <f t="shared" si="24"/>
        <v>7.5120302685229401E-2</v>
      </c>
      <c r="N20" s="430">
        <f t="shared" si="25"/>
        <v>7.8146611341632088E-2</v>
      </c>
      <c r="O20" s="431">
        <f t="shared" si="26"/>
        <v>7.1841392932913889E-2</v>
      </c>
      <c r="P20" s="432">
        <f t="shared" si="27"/>
        <v>6.2729805013927581E-2</v>
      </c>
      <c r="Q20" s="1529">
        <f t="shared" si="28"/>
        <v>5.9094283593170011E-2</v>
      </c>
      <c r="R20" s="1532">
        <f t="shared" si="29"/>
        <v>5.2928592505163768E-2</v>
      </c>
      <c r="S20" s="1788">
        <f t="shared" si="14"/>
        <v>4.7541726455705764E-2</v>
      </c>
      <c r="T20" s="219"/>
      <c r="U20" s="433">
        <v>26350</v>
      </c>
      <c r="V20" s="434">
        <v>608</v>
      </c>
      <c r="W20" s="435">
        <v>26026</v>
      </c>
      <c r="X20" s="436">
        <v>1104</v>
      </c>
      <c r="Y20" s="435">
        <v>26518</v>
      </c>
      <c r="Z20" s="436">
        <v>1513</v>
      </c>
      <c r="AA20" s="435">
        <v>26512</v>
      </c>
      <c r="AB20" s="436">
        <v>1320</v>
      </c>
      <c r="AC20" s="435">
        <v>26413</v>
      </c>
      <c r="AD20" s="436">
        <v>1137</v>
      </c>
      <c r="AE20" s="435">
        <v>26845</v>
      </c>
      <c r="AF20" s="436">
        <v>1053</v>
      </c>
      <c r="AG20" s="435">
        <v>27202</v>
      </c>
      <c r="AH20" s="436">
        <v>874</v>
      </c>
      <c r="AI20" s="435">
        <v>27121</v>
      </c>
      <c r="AJ20" s="436">
        <v>936</v>
      </c>
      <c r="AK20" s="435">
        <v>27948</v>
      </c>
      <c r="AL20" s="436">
        <v>1112</v>
      </c>
      <c r="AM20" s="437">
        <v>27223</v>
      </c>
      <c r="AN20" s="436">
        <v>2045</v>
      </c>
      <c r="AO20" s="435">
        <v>27474</v>
      </c>
      <c r="AP20" s="436">
        <v>2147</v>
      </c>
      <c r="AQ20" s="438">
        <v>27338</v>
      </c>
      <c r="AR20" s="439">
        <v>1964</v>
      </c>
      <c r="AS20" s="440">
        <v>26925</v>
      </c>
      <c r="AT20" s="441">
        <v>1689</v>
      </c>
      <c r="AU20" s="440">
        <v>26940</v>
      </c>
      <c r="AV20" s="1538">
        <v>1592</v>
      </c>
      <c r="AW20" s="1541">
        <v>27112</v>
      </c>
      <c r="AX20" s="1542">
        <v>1435</v>
      </c>
      <c r="AY20" s="1767">
        <v>26482</v>
      </c>
      <c r="AZ20" s="1794">
        <v>1259</v>
      </c>
    </row>
    <row r="21" spans="1:52" ht="15" customHeight="1" x14ac:dyDescent="0.25">
      <c r="A21" s="426" t="s">
        <v>44</v>
      </c>
      <c r="B21" s="442" t="s">
        <v>45</v>
      </c>
      <c r="C21" s="190" t="s">
        <v>266</v>
      </c>
      <c r="D21" s="428">
        <f t="shared" si="15"/>
        <v>2.1677490167383153E-2</v>
      </c>
      <c r="E21" s="429">
        <f t="shared" si="16"/>
        <v>3.0198603427949579E-2</v>
      </c>
      <c r="F21" s="430">
        <f t="shared" si="17"/>
        <v>4.2680776014109349E-2</v>
      </c>
      <c r="G21" s="430">
        <f t="shared" si="18"/>
        <v>4.252577319587629E-2</v>
      </c>
      <c r="H21" s="430">
        <f t="shared" si="19"/>
        <v>3.9278656126482216E-2</v>
      </c>
      <c r="I21" s="430">
        <f t="shared" si="20"/>
        <v>3.7629423582135682E-2</v>
      </c>
      <c r="J21" s="430">
        <f t="shared" si="21"/>
        <v>3.3736004714201531E-2</v>
      </c>
      <c r="K21" s="430">
        <f t="shared" si="22"/>
        <v>3.7513552584026021E-2</v>
      </c>
      <c r="L21" s="430">
        <f t="shared" si="23"/>
        <v>4.8008957939673878E-2</v>
      </c>
      <c r="M21" s="430">
        <f t="shared" si="24"/>
        <v>8.6913580246913577E-2</v>
      </c>
      <c r="N21" s="430">
        <f t="shared" si="25"/>
        <v>9.4811419045634504E-2</v>
      </c>
      <c r="O21" s="431">
        <f t="shared" si="26"/>
        <v>8.4720121028744322E-2</v>
      </c>
      <c r="P21" s="432">
        <f t="shared" si="27"/>
        <v>7.2523262178434592E-2</v>
      </c>
      <c r="Q21" s="1529">
        <f t="shared" si="28"/>
        <v>6.700645599728168E-2</v>
      </c>
      <c r="R21" s="1532">
        <f t="shared" si="29"/>
        <v>6.1231416740207725E-2</v>
      </c>
      <c r="S21" s="1788">
        <f t="shared" si="14"/>
        <v>5.059803789813197E-2</v>
      </c>
      <c r="T21" s="219"/>
      <c r="U21" s="433">
        <v>10933</v>
      </c>
      <c r="V21" s="434">
        <v>237</v>
      </c>
      <c r="W21" s="435">
        <v>11027</v>
      </c>
      <c r="X21" s="436">
        <v>333</v>
      </c>
      <c r="Y21" s="435">
        <v>11340</v>
      </c>
      <c r="Z21" s="436">
        <v>484</v>
      </c>
      <c r="AA21" s="435">
        <v>11640</v>
      </c>
      <c r="AB21" s="436">
        <v>495</v>
      </c>
      <c r="AC21" s="435">
        <v>12144</v>
      </c>
      <c r="AD21" s="436">
        <v>477</v>
      </c>
      <c r="AE21" s="435">
        <v>12942</v>
      </c>
      <c r="AF21" s="436">
        <v>487</v>
      </c>
      <c r="AG21" s="435">
        <v>13576</v>
      </c>
      <c r="AH21" s="436">
        <v>458</v>
      </c>
      <c r="AI21" s="435">
        <v>13835</v>
      </c>
      <c r="AJ21" s="436">
        <v>519</v>
      </c>
      <c r="AK21" s="435">
        <v>14289</v>
      </c>
      <c r="AL21" s="436">
        <v>686</v>
      </c>
      <c r="AM21" s="437">
        <v>14175</v>
      </c>
      <c r="AN21" s="436">
        <v>1232</v>
      </c>
      <c r="AO21" s="435">
        <v>14397</v>
      </c>
      <c r="AP21" s="436">
        <v>1365</v>
      </c>
      <c r="AQ21" s="438">
        <v>14542</v>
      </c>
      <c r="AR21" s="439">
        <v>1232</v>
      </c>
      <c r="AS21" s="440">
        <v>14616</v>
      </c>
      <c r="AT21" s="441">
        <v>1060</v>
      </c>
      <c r="AU21" s="440">
        <v>14715</v>
      </c>
      <c r="AV21" s="1538">
        <v>986</v>
      </c>
      <c r="AW21" s="1541">
        <v>14731</v>
      </c>
      <c r="AX21" s="1542">
        <v>902</v>
      </c>
      <c r="AY21" s="1767">
        <v>14882</v>
      </c>
      <c r="AZ21" s="1794">
        <v>753</v>
      </c>
    </row>
    <row r="22" spans="1:52" ht="15" customHeight="1" x14ac:dyDescent="0.25">
      <c r="A22" s="426" t="s">
        <v>46</v>
      </c>
      <c r="B22" s="442" t="s">
        <v>47</v>
      </c>
      <c r="C22" s="190" t="s">
        <v>268</v>
      </c>
      <c r="D22" s="428">
        <f t="shared" si="15"/>
        <v>4.0266177768724112E-2</v>
      </c>
      <c r="E22" s="429">
        <f t="shared" si="16"/>
        <v>6.8937495767589896E-2</v>
      </c>
      <c r="F22" s="430">
        <f t="shared" si="17"/>
        <v>6.5912610247088124E-2</v>
      </c>
      <c r="G22" s="430">
        <f t="shared" si="18"/>
        <v>5.5688463583200426E-2</v>
      </c>
      <c r="H22" s="430">
        <f t="shared" si="19"/>
        <v>4.9054293101102188E-2</v>
      </c>
      <c r="I22" s="430">
        <f t="shared" si="20"/>
        <v>5.5567074434998961E-2</v>
      </c>
      <c r="J22" s="430">
        <f t="shared" si="21"/>
        <v>5.1886110709640124E-2</v>
      </c>
      <c r="K22" s="430">
        <f t="shared" si="22"/>
        <v>5.6880601329864125E-2</v>
      </c>
      <c r="L22" s="430">
        <f t="shared" si="23"/>
        <v>6.6704553527029906E-2</v>
      </c>
      <c r="M22" s="430">
        <f t="shared" si="24"/>
        <v>0.1121398466109307</v>
      </c>
      <c r="N22" s="430">
        <f t="shared" si="25"/>
        <v>0.11297335203366059</v>
      </c>
      <c r="O22" s="431">
        <f t="shared" si="26"/>
        <v>9.5360091090236271E-2</v>
      </c>
      <c r="P22" s="432">
        <f t="shared" si="27"/>
        <v>8.5284031608766964E-2</v>
      </c>
      <c r="Q22" s="1529">
        <f t="shared" si="28"/>
        <v>8.0836547018688823E-2</v>
      </c>
      <c r="R22" s="1532">
        <f t="shared" si="29"/>
        <v>6.7508315693982468E-2</v>
      </c>
      <c r="S22" s="1788">
        <f t="shared" si="14"/>
        <v>5.3362852126116495E-2</v>
      </c>
      <c r="T22" s="219"/>
      <c r="U22" s="433">
        <v>14727</v>
      </c>
      <c r="V22" s="434">
        <v>593</v>
      </c>
      <c r="W22" s="435">
        <v>14767</v>
      </c>
      <c r="X22" s="436">
        <v>1018</v>
      </c>
      <c r="Y22" s="435">
        <v>14853</v>
      </c>
      <c r="Z22" s="436">
        <v>979</v>
      </c>
      <c r="AA22" s="435">
        <v>15048</v>
      </c>
      <c r="AB22" s="436">
        <v>838</v>
      </c>
      <c r="AC22" s="435">
        <v>14698</v>
      </c>
      <c r="AD22" s="436">
        <v>721</v>
      </c>
      <c r="AE22" s="435">
        <v>14469</v>
      </c>
      <c r="AF22" s="436">
        <v>804</v>
      </c>
      <c r="AG22" s="435">
        <v>13838</v>
      </c>
      <c r="AH22" s="436">
        <v>718</v>
      </c>
      <c r="AI22" s="435">
        <v>13836</v>
      </c>
      <c r="AJ22" s="436">
        <v>787</v>
      </c>
      <c r="AK22" s="435">
        <v>14077</v>
      </c>
      <c r="AL22" s="436">
        <v>939</v>
      </c>
      <c r="AM22" s="437">
        <v>14473</v>
      </c>
      <c r="AN22" s="436">
        <v>1623</v>
      </c>
      <c r="AO22" s="435">
        <v>14260</v>
      </c>
      <c r="AP22" s="436">
        <v>1611</v>
      </c>
      <c r="AQ22" s="438">
        <v>14052</v>
      </c>
      <c r="AR22" s="439">
        <v>1340</v>
      </c>
      <c r="AS22" s="440">
        <v>13414</v>
      </c>
      <c r="AT22" s="441">
        <v>1144</v>
      </c>
      <c r="AU22" s="440">
        <v>13484</v>
      </c>
      <c r="AV22" s="1538">
        <v>1090</v>
      </c>
      <c r="AW22" s="1541">
        <v>13228</v>
      </c>
      <c r="AX22" s="1542">
        <v>893</v>
      </c>
      <c r="AY22" s="1767">
        <v>13099</v>
      </c>
      <c r="AZ22" s="1794">
        <v>699</v>
      </c>
    </row>
    <row r="23" spans="1:52" ht="15" customHeight="1" x14ac:dyDescent="0.25">
      <c r="A23" s="426" t="s">
        <v>48</v>
      </c>
      <c r="B23" s="442" t="s">
        <v>269</v>
      </c>
      <c r="C23" s="190" t="s">
        <v>266</v>
      </c>
      <c r="D23" s="428">
        <f t="shared" si="15"/>
        <v>2.4492067909824659E-2</v>
      </c>
      <c r="E23" s="429">
        <f t="shared" si="16"/>
        <v>4.8873201194678251E-2</v>
      </c>
      <c r="F23" s="430">
        <f t="shared" si="17"/>
        <v>5.2097248196633715E-2</v>
      </c>
      <c r="G23" s="430">
        <f t="shared" si="18"/>
        <v>5.0317796610169489E-2</v>
      </c>
      <c r="H23" s="430">
        <f t="shared" si="19"/>
        <v>4.9697607152248226E-2</v>
      </c>
      <c r="I23" s="430">
        <f t="shared" si="20"/>
        <v>4.3374768579740812E-2</v>
      </c>
      <c r="J23" s="430">
        <f t="shared" si="21"/>
        <v>3.9302446642373763E-2</v>
      </c>
      <c r="K23" s="430">
        <f t="shared" si="22"/>
        <v>3.9313984168865439E-2</v>
      </c>
      <c r="L23" s="430">
        <f t="shared" si="23"/>
        <v>5.0115651503469548E-2</v>
      </c>
      <c r="M23" s="430">
        <f t="shared" si="24"/>
        <v>9.3319469716662329E-2</v>
      </c>
      <c r="N23" s="430">
        <f t="shared" si="25"/>
        <v>9.5063025210084029E-2</v>
      </c>
      <c r="O23" s="431">
        <f t="shared" si="26"/>
        <v>8.7467362924281991E-2</v>
      </c>
      <c r="P23" s="432">
        <f t="shared" si="27"/>
        <v>7.4920297555791715E-2</v>
      </c>
      <c r="Q23" s="1529">
        <f t="shared" si="28"/>
        <v>6.0719041278295603E-2</v>
      </c>
      <c r="R23" s="1532">
        <f t="shared" si="29"/>
        <v>5.7868551976957318E-2</v>
      </c>
      <c r="S23" s="1788">
        <f t="shared" si="14"/>
        <v>5.2268506235075618E-2</v>
      </c>
      <c r="T23" s="219"/>
      <c r="U23" s="433">
        <v>3593</v>
      </c>
      <c r="V23" s="434">
        <v>88</v>
      </c>
      <c r="W23" s="435">
        <v>3683</v>
      </c>
      <c r="X23" s="436">
        <v>180</v>
      </c>
      <c r="Y23" s="435">
        <v>3743</v>
      </c>
      <c r="Z23" s="436">
        <v>195</v>
      </c>
      <c r="AA23" s="435">
        <v>3776</v>
      </c>
      <c r="AB23" s="436">
        <v>190</v>
      </c>
      <c r="AC23" s="435">
        <v>3803</v>
      </c>
      <c r="AD23" s="436">
        <v>189</v>
      </c>
      <c r="AE23" s="435">
        <v>3781</v>
      </c>
      <c r="AF23" s="436">
        <v>164</v>
      </c>
      <c r="AG23" s="435">
        <v>3842</v>
      </c>
      <c r="AH23" s="436">
        <v>151</v>
      </c>
      <c r="AI23" s="435">
        <v>3790</v>
      </c>
      <c r="AJ23" s="436">
        <v>149</v>
      </c>
      <c r="AK23" s="435">
        <v>3891</v>
      </c>
      <c r="AL23" s="436">
        <v>195</v>
      </c>
      <c r="AM23" s="437">
        <v>3847</v>
      </c>
      <c r="AN23" s="436">
        <v>359</v>
      </c>
      <c r="AO23" s="435">
        <v>3808</v>
      </c>
      <c r="AP23" s="436">
        <v>362</v>
      </c>
      <c r="AQ23" s="438">
        <v>3830</v>
      </c>
      <c r="AR23" s="439">
        <v>335</v>
      </c>
      <c r="AS23" s="440">
        <v>3764</v>
      </c>
      <c r="AT23" s="441">
        <v>282</v>
      </c>
      <c r="AU23" s="440">
        <v>3755</v>
      </c>
      <c r="AV23" s="1538">
        <v>228</v>
      </c>
      <c r="AW23" s="1541">
        <v>3819</v>
      </c>
      <c r="AX23" s="1542">
        <v>221</v>
      </c>
      <c r="AY23" s="1767">
        <v>3769</v>
      </c>
      <c r="AZ23" s="1794">
        <v>197</v>
      </c>
    </row>
    <row r="24" spans="1:52" ht="15" customHeight="1" x14ac:dyDescent="0.25">
      <c r="A24" s="426" t="s">
        <v>50</v>
      </c>
      <c r="B24" s="442" t="s">
        <v>51</v>
      </c>
      <c r="C24" s="190" t="s">
        <v>265</v>
      </c>
      <c r="D24" s="428">
        <f t="shared" si="15"/>
        <v>3.1358249772105745E-2</v>
      </c>
      <c r="E24" s="429">
        <f t="shared" si="16"/>
        <v>4.2880703683342493E-2</v>
      </c>
      <c r="F24" s="430">
        <f t="shared" si="17"/>
        <v>7.4353448275862072E-2</v>
      </c>
      <c r="G24" s="430">
        <f t="shared" si="18"/>
        <v>6.4985111227885792E-2</v>
      </c>
      <c r="H24" s="430">
        <f t="shared" si="19"/>
        <v>5.9128260092890315E-2</v>
      </c>
      <c r="I24" s="430">
        <f t="shared" si="20"/>
        <v>8.1224789145581219E-2</v>
      </c>
      <c r="J24" s="430">
        <f t="shared" si="21"/>
        <v>6.5969581749049433E-2</v>
      </c>
      <c r="K24" s="430">
        <f t="shared" si="22"/>
        <v>5.34147272033575E-2</v>
      </c>
      <c r="L24" s="430">
        <f t="shared" si="23"/>
        <v>5.9353178978316795E-2</v>
      </c>
      <c r="M24" s="430">
        <f t="shared" si="24"/>
        <v>9.5528820254982938E-2</v>
      </c>
      <c r="N24" s="430">
        <f t="shared" si="25"/>
        <v>0.10061832490163013</v>
      </c>
      <c r="O24" s="431">
        <f t="shared" si="26"/>
        <v>9.7165236851920925E-2</v>
      </c>
      <c r="P24" s="432">
        <f t="shared" si="27"/>
        <v>8.8521400778210121E-2</v>
      </c>
      <c r="Q24" s="1529">
        <f t="shared" si="28"/>
        <v>7.9009433962264147E-2</v>
      </c>
      <c r="R24" s="1532">
        <f t="shared" si="29"/>
        <v>6.7341962108422429E-2</v>
      </c>
      <c r="S24" s="1788">
        <f t="shared" si="14"/>
        <v>5.7420831743609312E-2</v>
      </c>
      <c r="T24" s="219"/>
      <c r="U24" s="433">
        <v>5485</v>
      </c>
      <c r="V24" s="434">
        <v>172</v>
      </c>
      <c r="W24" s="435">
        <v>5457</v>
      </c>
      <c r="X24" s="436">
        <v>234</v>
      </c>
      <c r="Y24" s="435">
        <v>5568</v>
      </c>
      <c r="Z24" s="436">
        <v>414</v>
      </c>
      <c r="AA24" s="435">
        <v>5709</v>
      </c>
      <c r="AB24" s="436">
        <v>371</v>
      </c>
      <c r="AC24" s="435">
        <v>5598</v>
      </c>
      <c r="AD24" s="436">
        <v>331</v>
      </c>
      <c r="AE24" s="435">
        <v>5454</v>
      </c>
      <c r="AF24" s="436">
        <v>443</v>
      </c>
      <c r="AG24" s="435">
        <v>5260</v>
      </c>
      <c r="AH24" s="436">
        <v>347</v>
      </c>
      <c r="AI24" s="435">
        <v>5242</v>
      </c>
      <c r="AJ24" s="436">
        <v>280</v>
      </c>
      <c r="AK24" s="435">
        <v>5442</v>
      </c>
      <c r="AL24" s="436">
        <v>323</v>
      </c>
      <c r="AM24" s="437">
        <v>5569</v>
      </c>
      <c r="AN24" s="436">
        <v>532</v>
      </c>
      <c r="AO24" s="435">
        <v>5337</v>
      </c>
      <c r="AP24" s="436">
        <v>537</v>
      </c>
      <c r="AQ24" s="438">
        <v>5362</v>
      </c>
      <c r="AR24" s="439">
        <v>521</v>
      </c>
      <c r="AS24" s="440">
        <v>5140</v>
      </c>
      <c r="AT24" s="441">
        <v>455</v>
      </c>
      <c r="AU24" s="440">
        <v>5088</v>
      </c>
      <c r="AV24" s="1538">
        <v>402</v>
      </c>
      <c r="AW24" s="1541">
        <v>5331</v>
      </c>
      <c r="AX24" s="1542">
        <v>359</v>
      </c>
      <c r="AY24" s="1767">
        <v>5242</v>
      </c>
      <c r="AZ24" s="1794">
        <v>301</v>
      </c>
    </row>
    <row r="25" spans="1:52" x14ac:dyDescent="0.25">
      <c r="A25" s="426" t="s">
        <v>56</v>
      </c>
      <c r="B25" s="442" t="s">
        <v>57</v>
      </c>
      <c r="C25" s="190" t="s">
        <v>266</v>
      </c>
      <c r="D25" s="428">
        <f t="shared" si="15"/>
        <v>1.8083773262944594E-2</v>
      </c>
      <c r="E25" s="429">
        <f t="shared" si="16"/>
        <v>2.6142125346296587E-2</v>
      </c>
      <c r="F25" s="430">
        <f t="shared" si="17"/>
        <v>3.4532823056692925E-2</v>
      </c>
      <c r="G25" s="430">
        <f t="shared" si="18"/>
        <v>3.5656008270948295E-2</v>
      </c>
      <c r="H25" s="430">
        <f t="shared" si="19"/>
        <v>3.3082360916089674E-2</v>
      </c>
      <c r="I25" s="430">
        <f t="shared" si="20"/>
        <v>3.1828336760514137E-2</v>
      </c>
      <c r="J25" s="430">
        <f t="shared" si="21"/>
        <v>2.7787702414568086E-2</v>
      </c>
      <c r="K25" s="430">
        <f t="shared" si="22"/>
        <v>2.6788330814624981E-2</v>
      </c>
      <c r="L25" s="430">
        <f t="shared" si="23"/>
        <v>3.7053340093942753E-2</v>
      </c>
      <c r="M25" s="430">
        <f t="shared" si="24"/>
        <v>6.9645389269593419E-2</v>
      </c>
      <c r="N25" s="430">
        <f t="shared" si="25"/>
        <v>7.3687374080299198E-2</v>
      </c>
      <c r="O25" s="431">
        <f t="shared" si="26"/>
        <v>6.6593648510211642E-2</v>
      </c>
      <c r="P25" s="432">
        <f t="shared" si="27"/>
        <v>5.9556465737921373E-2</v>
      </c>
      <c r="Q25" s="1529">
        <f t="shared" si="28"/>
        <v>5.5725337664558047E-2</v>
      </c>
      <c r="R25" s="1532">
        <f t="shared" si="29"/>
        <v>5.1289353630555451E-2</v>
      </c>
      <c r="S25" s="1788">
        <f t="shared" si="14"/>
        <v>4.3124850482443314E-2</v>
      </c>
      <c r="T25" s="219"/>
      <c r="U25" s="443">
        <v>150024</v>
      </c>
      <c r="V25" s="444">
        <v>2713</v>
      </c>
      <c r="W25" s="1475">
        <v>153048</v>
      </c>
      <c r="X25" s="1476">
        <v>4001</v>
      </c>
      <c r="Y25" s="1475">
        <v>157039</v>
      </c>
      <c r="Z25" s="1476">
        <v>5423</v>
      </c>
      <c r="AA25" s="1475">
        <v>160562</v>
      </c>
      <c r="AB25" s="1476">
        <v>5725</v>
      </c>
      <c r="AC25" s="1475">
        <v>165224</v>
      </c>
      <c r="AD25" s="1476">
        <v>5466</v>
      </c>
      <c r="AE25" s="1475">
        <v>168749</v>
      </c>
      <c r="AF25" s="1476">
        <v>5371</v>
      </c>
      <c r="AG25" s="1475">
        <v>173530</v>
      </c>
      <c r="AH25" s="1476">
        <v>4822</v>
      </c>
      <c r="AI25" s="1475">
        <v>174031</v>
      </c>
      <c r="AJ25" s="1476">
        <v>4662</v>
      </c>
      <c r="AK25" s="1475">
        <v>179471</v>
      </c>
      <c r="AL25" s="1476">
        <v>6650</v>
      </c>
      <c r="AM25" s="1477">
        <v>177011</v>
      </c>
      <c r="AN25" s="1476">
        <v>12328</v>
      </c>
      <c r="AO25" s="1475">
        <v>179678</v>
      </c>
      <c r="AP25" s="1476">
        <v>13240</v>
      </c>
      <c r="AQ25" s="438">
        <v>183516</v>
      </c>
      <c r="AR25" s="439">
        <v>12221</v>
      </c>
      <c r="AS25" s="440">
        <v>185555</v>
      </c>
      <c r="AT25" s="441">
        <v>11051</v>
      </c>
      <c r="AU25" s="440">
        <v>187168</v>
      </c>
      <c r="AV25" s="1538">
        <v>10430</v>
      </c>
      <c r="AW25" s="1541">
        <v>186101</v>
      </c>
      <c r="AX25" s="1542">
        <v>9545</v>
      </c>
      <c r="AY25" s="1767">
        <v>188105</v>
      </c>
      <c r="AZ25" s="1794">
        <v>8112</v>
      </c>
    </row>
    <row r="26" spans="1:52" ht="15" customHeight="1" x14ac:dyDescent="0.25">
      <c r="A26" s="426" t="s">
        <v>58</v>
      </c>
      <c r="B26" s="442" t="s">
        <v>59</v>
      </c>
      <c r="C26" s="190" t="s">
        <v>267</v>
      </c>
      <c r="D26" s="428">
        <f t="shared" si="15"/>
        <v>1.5729682493445966E-2</v>
      </c>
      <c r="E26" s="429">
        <f t="shared" si="16"/>
        <v>2.2301136363636363E-2</v>
      </c>
      <c r="F26" s="430">
        <f t="shared" si="17"/>
        <v>3.0128114881036182E-2</v>
      </c>
      <c r="G26" s="430">
        <f t="shared" si="18"/>
        <v>3.0972222222222224E-2</v>
      </c>
      <c r="H26" s="430">
        <f t="shared" si="19"/>
        <v>2.7955271565495207E-2</v>
      </c>
      <c r="I26" s="430">
        <f t="shared" si="20"/>
        <v>2.5552131484334873E-2</v>
      </c>
      <c r="J26" s="430">
        <f t="shared" si="21"/>
        <v>2.4302541847489152E-2</v>
      </c>
      <c r="K26" s="430">
        <f t="shared" si="22"/>
        <v>2.707445475056405E-2</v>
      </c>
      <c r="L26" s="430">
        <f t="shared" si="23"/>
        <v>3.4247410115783056E-2</v>
      </c>
      <c r="M26" s="430">
        <f t="shared" si="24"/>
        <v>6.5484982767109803E-2</v>
      </c>
      <c r="N26" s="430">
        <f t="shared" si="25"/>
        <v>5.9979182930002602E-2</v>
      </c>
      <c r="O26" s="431">
        <f t="shared" si="26"/>
        <v>5.3084832904884319E-2</v>
      </c>
      <c r="P26" s="432">
        <f t="shared" si="27"/>
        <v>5.0135676443985012E-2</v>
      </c>
      <c r="Q26" s="1529">
        <f t="shared" si="28"/>
        <v>4.5056642636457263E-2</v>
      </c>
      <c r="R26" s="1532">
        <f t="shared" si="29"/>
        <v>4.3182412980895056E-2</v>
      </c>
      <c r="S26" s="1788">
        <f t="shared" si="14"/>
        <v>3.9609189331925004E-2</v>
      </c>
      <c r="T26" s="219"/>
      <c r="U26" s="433">
        <v>6866</v>
      </c>
      <c r="V26" s="434">
        <v>108</v>
      </c>
      <c r="W26" s="435">
        <v>7040</v>
      </c>
      <c r="X26" s="436">
        <v>157</v>
      </c>
      <c r="Y26" s="435">
        <v>7103</v>
      </c>
      <c r="Z26" s="436">
        <v>214</v>
      </c>
      <c r="AA26" s="435">
        <v>7200</v>
      </c>
      <c r="AB26" s="436">
        <v>223</v>
      </c>
      <c r="AC26" s="435">
        <v>7512</v>
      </c>
      <c r="AD26" s="436">
        <v>210</v>
      </c>
      <c r="AE26" s="435">
        <v>7788</v>
      </c>
      <c r="AF26" s="436">
        <v>199</v>
      </c>
      <c r="AG26" s="435">
        <v>8065</v>
      </c>
      <c r="AH26" s="436">
        <v>196</v>
      </c>
      <c r="AI26" s="435">
        <v>7978</v>
      </c>
      <c r="AJ26" s="436">
        <v>216</v>
      </c>
      <c r="AK26" s="435">
        <v>8205</v>
      </c>
      <c r="AL26" s="436">
        <v>281</v>
      </c>
      <c r="AM26" s="437">
        <v>8124</v>
      </c>
      <c r="AN26" s="436">
        <v>532</v>
      </c>
      <c r="AO26" s="435">
        <v>7686</v>
      </c>
      <c r="AP26" s="436">
        <v>461</v>
      </c>
      <c r="AQ26" s="438">
        <v>7780</v>
      </c>
      <c r="AR26" s="439">
        <v>413</v>
      </c>
      <c r="AS26" s="440">
        <v>7739</v>
      </c>
      <c r="AT26" s="441">
        <v>388</v>
      </c>
      <c r="AU26" s="440">
        <v>7768</v>
      </c>
      <c r="AV26" s="1538">
        <v>350</v>
      </c>
      <c r="AW26" s="1541">
        <v>7642</v>
      </c>
      <c r="AX26" s="1542">
        <v>330</v>
      </c>
      <c r="AY26" s="1767">
        <v>7574</v>
      </c>
      <c r="AZ26" s="1794">
        <v>300</v>
      </c>
    </row>
    <row r="27" spans="1:52" ht="15" customHeight="1" x14ac:dyDescent="0.25">
      <c r="A27" s="426" t="s">
        <v>60</v>
      </c>
      <c r="B27" s="442" t="s">
        <v>61</v>
      </c>
      <c r="C27" s="190" t="s">
        <v>265</v>
      </c>
      <c r="D27" s="428">
        <f t="shared" si="15"/>
        <v>2.4115755627009645E-2</v>
      </c>
      <c r="E27" s="429">
        <f t="shared" si="16"/>
        <v>2.9246794871794872E-2</v>
      </c>
      <c r="F27" s="430">
        <f t="shared" si="17"/>
        <v>4.0078585461689589E-2</v>
      </c>
      <c r="G27" s="430">
        <f t="shared" si="18"/>
        <v>4.0873015873015874E-2</v>
      </c>
      <c r="H27" s="430">
        <f t="shared" si="19"/>
        <v>3.8630027877339705E-2</v>
      </c>
      <c r="I27" s="430">
        <f t="shared" si="20"/>
        <v>3.8553259141494434E-2</v>
      </c>
      <c r="J27" s="430">
        <f t="shared" si="21"/>
        <v>3.399765533411489E-2</v>
      </c>
      <c r="K27" s="430">
        <f t="shared" si="22"/>
        <v>3.7676609105180531E-2</v>
      </c>
      <c r="L27" s="430">
        <f t="shared" si="23"/>
        <v>3.9921722113502936E-2</v>
      </c>
      <c r="M27" s="430">
        <f t="shared" si="24"/>
        <v>7.6703386372909022E-2</v>
      </c>
      <c r="N27" s="430">
        <f t="shared" si="25"/>
        <v>7.9968012794882054E-2</v>
      </c>
      <c r="O27" s="431">
        <f t="shared" si="26"/>
        <v>7.6583801122694473E-2</v>
      </c>
      <c r="P27" s="432">
        <f t="shared" si="27"/>
        <v>6.7246835443037972E-2</v>
      </c>
      <c r="Q27" s="1529">
        <f t="shared" si="28"/>
        <v>6.6535433070866137E-2</v>
      </c>
      <c r="R27" s="1532">
        <f t="shared" si="29"/>
        <v>6.2676910634856448E-2</v>
      </c>
      <c r="S27" s="1788">
        <f t="shared" si="14"/>
        <v>5.5121349238996295E-2</v>
      </c>
      <c r="T27" s="219"/>
      <c r="U27" s="433">
        <v>2488</v>
      </c>
      <c r="V27" s="434">
        <v>60</v>
      </c>
      <c r="W27" s="435">
        <v>2496</v>
      </c>
      <c r="X27" s="436">
        <v>73</v>
      </c>
      <c r="Y27" s="435">
        <v>2545</v>
      </c>
      <c r="Z27" s="436">
        <v>102</v>
      </c>
      <c r="AA27" s="435">
        <v>2520</v>
      </c>
      <c r="AB27" s="436">
        <v>103</v>
      </c>
      <c r="AC27" s="435">
        <v>2511</v>
      </c>
      <c r="AD27" s="436">
        <v>97</v>
      </c>
      <c r="AE27" s="435">
        <v>2516</v>
      </c>
      <c r="AF27" s="436">
        <v>97</v>
      </c>
      <c r="AG27" s="435">
        <v>2559</v>
      </c>
      <c r="AH27" s="436">
        <v>87</v>
      </c>
      <c r="AI27" s="435">
        <v>2548</v>
      </c>
      <c r="AJ27" s="436">
        <v>96</v>
      </c>
      <c r="AK27" s="435">
        <v>2555</v>
      </c>
      <c r="AL27" s="436">
        <v>102</v>
      </c>
      <c r="AM27" s="437">
        <v>2451</v>
      </c>
      <c r="AN27" s="436">
        <v>188</v>
      </c>
      <c r="AO27" s="435">
        <v>2501</v>
      </c>
      <c r="AP27" s="436">
        <v>200</v>
      </c>
      <c r="AQ27" s="438">
        <v>2494</v>
      </c>
      <c r="AR27" s="439">
        <v>191</v>
      </c>
      <c r="AS27" s="440">
        <v>2528</v>
      </c>
      <c r="AT27" s="441">
        <v>170</v>
      </c>
      <c r="AU27" s="440">
        <v>2540</v>
      </c>
      <c r="AV27" s="1538">
        <v>169</v>
      </c>
      <c r="AW27" s="1541">
        <v>2473</v>
      </c>
      <c r="AX27" s="1542">
        <v>155</v>
      </c>
      <c r="AY27" s="1767">
        <v>2431</v>
      </c>
      <c r="AZ27" s="1794">
        <v>134</v>
      </c>
    </row>
    <row r="28" spans="1:52" ht="15" customHeight="1" x14ac:dyDescent="0.25">
      <c r="A28" s="426" t="s">
        <v>62</v>
      </c>
      <c r="B28" s="442" t="s">
        <v>63</v>
      </c>
      <c r="C28" s="190" t="s">
        <v>267</v>
      </c>
      <c r="D28" s="428">
        <f t="shared" si="15"/>
        <v>1.9015925837889233E-2</v>
      </c>
      <c r="E28" s="429">
        <f t="shared" si="16"/>
        <v>2.5980789260502256E-2</v>
      </c>
      <c r="F28" s="430">
        <f t="shared" si="17"/>
        <v>3.7692002493906931E-2</v>
      </c>
      <c r="G28" s="430">
        <f t="shared" si="18"/>
        <v>4.0235579040070454E-2</v>
      </c>
      <c r="H28" s="430">
        <f t="shared" si="19"/>
        <v>3.4819323353621756E-2</v>
      </c>
      <c r="I28" s="430">
        <f t="shared" si="20"/>
        <v>3.2595068951107399E-2</v>
      </c>
      <c r="J28" s="430">
        <f t="shared" si="21"/>
        <v>3.2203474192424468E-2</v>
      </c>
      <c r="K28" s="430">
        <f t="shared" si="22"/>
        <v>3.6269687484473595E-2</v>
      </c>
      <c r="L28" s="430">
        <f t="shared" si="23"/>
        <v>4.8125029780340209E-2</v>
      </c>
      <c r="M28" s="430">
        <f t="shared" si="24"/>
        <v>8.2175763528366308E-2</v>
      </c>
      <c r="N28" s="430">
        <f t="shared" si="25"/>
        <v>8.1104359060242118E-2</v>
      </c>
      <c r="O28" s="431">
        <f t="shared" si="26"/>
        <v>7.13878868426049E-2</v>
      </c>
      <c r="P28" s="432">
        <f t="shared" si="27"/>
        <v>6.3088248998229429E-2</v>
      </c>
      <c r="Q28" s="1529">
        <f t="shared" si="28"/>
        <v>5.893254262416605E-2</v>
      </c>
      <c r="R28" s="1532">
        <f t="shared" si="29"/>
        <v>4.9567403997783747E-2</v>
      </c>
      <c r="S28" s="1788">
        <f t="shared" si="14"/>
        <v>4.3295610425240057E-2</v>
      </c>
      <c r="T28" s="219"/>
      <c r="U28" s="433">
        <v>16828</v>
      </c>
      <c r="V28" s="434">
        <v>320</v>
      </c>
      <c r="W28" s="435">
        <v>17282</v>
      </c>
      <c r="X28" s="436">
        <v>449</v>
      </c>
      <c r="Y28" s="435">
        <v>17643</v>
      </c>
      <c r="Z28" s="436">
        <v>665</v>
      </c>
      <c r="AA28" s="435">
        <v>18168</v>
      </c>
      <c r="AB28" s="436">
        <v>731</v>
      </c>
      <c r="AC28" s="435">
        <v>18237</v>
      </c>
      <c r="AD28" s="436">
        <v>635</v>
      </c>
      <c r="AE28" s="435">
        <v>19144</v>
      </c>
      <c r="AF28" s="436">
        <v>624</v>
      </c>
      <c r="AG28" s="435">
        <v>20091</v>
      </c>
      <c r="AH28" s="436">
        <v>647</v>
      </c>
      <c r="AI28" s="435">
        <v>20127</v>
      </c>
      <c r="AJ28" s="436">
        <v>730</v>
      </c>
      <c r="AK28" s="435">
        <v>20987</v>
      </c>
      <c r="AL28" s="436">
        <v>1010</v>
      </c>
      <c r="AM28" s="437">
        <v>21381</v>
      </c>
      <c r="AN28" s="436">
        <v>1757</v>
      </c>
      <c r="AO28" s="435">
        <v>20899</v>
      </c>
      <c r="AP28" s="436">
        <v>1695</v>
      </c>
      <c r="AQ28" s="438">
        <v>21068</v>
      </c>
      <c r="AR28" s="439">
        <v>1504</v>
      </c>
      <c r="AS28" s="440">
        <v>21462</v>
      </c>
      <c r="AT28" s="441">
        <v>1354</v>
      </c>
      <c r="AU28" s="440">
        <v>21584</v>
      </c>
      <c r="AV28" s="1538">
        <v>1272</v>
      </c>
      <c r="AW28" s="1541">
        <v>23463</v>
      </c>
      <c r="AX28" s="1542">
        <v>1163</v>
      </c>
      <c r="AY28" s="1767">
        <v>23328</v>
      </c>
      <c r="AZ28" s="1794">
        <v>1010</v>
      </c>
    </row>
    <row r="29" spans="1:52" ht="15" customHeight="1" x14ac:dyDescent="0.25">
      <c r="A29" s="426" t="s">
        <v>64</v>
      </c>
      <c r="B29" s="442" t="s">
        <v>65</v>
      </c>
      <c r="C29" s="190" t="s">
        <v>266</v>
      </c>
      <c r="D29" s="428">
        <f t="shared" si="15"/>
        <v>2.2317188983855651E-2</v>
      </c>
      <c r="E29" s="429">
        <f t="shared" si="16"/>
        <v>2.7877055039313797E-2</v>
      </c>
      <c r="F29" s="430">
        <f t="shared" si="17"/>
        <v>3.6636918741193049E-2</v>
      </c>
      <c r="G29" s="430">
        <f t="shared" si="18"/>
        <v>4.0387722132471729E-2</v>
      </c>
      <c r="H29" s="430">
        <f t="shared" si="19"/>
        <v>3.9041095890410958E-2</v>
      </c>
      <c r="I29" s="430">
        <f t="shared" si="20"/>
        <v>3.861607142857143E-2</v>
      </c>
      <c r="J29" s="430">
        <f t="shared" si="21"/>
        <v>3.422389048355045E-2</v>
      </c>
      <c r="K29" s="430">
        <f t="shared" si="22"/>
        <v>3.2378035440822579E-2</v>
      </c>
      <c r="L29" s="430">
        <f t="shared" si="23"/>
        <v>4.7831632653061222E-2</v>
      </c>
      <c r="M29" s="430">
        <f t="shared" si="24"/>
        <v>7.5672159583694706E-2</v>
      </c>
      <c r="N29" s="430">
        <f t="shared" si="25"/>
        <v>8.2872928176795577E-2</v>
      </c>
      <c r="O29" s="431">
        <f t="shared" si="26"/>
        <v>7.2083599914693958E-2</v>
      </c>
      <c r="P29" s="432">
        <f t="shared" si="27"/>
        <v>6.8987749838813672E-2</v>
      </c>
      <c r="Q29" s="1529">
        <f t="shared" si="28"/>
        <v>6.3193851409052093E-2</v>
      </c>
      <c r="R29" s="1532">
        <f t="shared" si="29"/>
        <v>6.0693003751931138E-2</v>
      </c>
      <c r="S29" s="1788">
        <f t="shared" si="14"/>
        <v>5.272407732864675E-2</v>
      </c>
      <c r="T29" s="219"/>
      <c r="U29" s="433">
        <v>4212</v>
      </c>
      <c r="V29" s="434">
        <v>94</v>
      </c>
      <c r="W29" s="435">
        <v>4197</v>
      </c>
      <c r="X29" s="436">
        <v>117</v>
      </c>
      <c r="Y29" s="435">
        <v>4258</v>
      </c>
      <c r="Z29" s="436">
        <v>156</v>
      </c>
      <c r="AA29" s="435">
        <v>4333</v>
      </c>
      <c r="AB29" s="436">
        <v>175</v>
      </c>
      <c r="AC29" s="435">
        <v>4380</v>
      </c>
      <c r="AD29" s="436">
        <v>171</v>
      </c>
      <c r="AE29" s="435">
        <v>4480</v>
      </c>
      <c r="AF29" s="436">
        <v>173</v>
      </c>
      <c r="AG29" s="435">
        <v>4529</v>
      </c>
      <c r="AH29" s="436">
        <v>155</v>
      </c>
      <c r="AI29" s="435">
        <v>4571</v>
      </c>
      <c r="AJ29" s="436">
        <v>148</v>
      </c>
      <c r="AK29" s="435">
        <v>4704</v>
      </c>
      <c r="AL29" s="436">
        <v>225</v>
      </c>
      <c r="AM29" s="437">
        <v>4612</v>
      </c>
      <c r="AN29" s="436">
        <v>349</v>
      </c>
      <c r="AO29" s="435">
        <v>4706</v>
      </c>
      <c r="AP29" s="436">
        <v>390</v>
      </c>
      <c r="AQ29" s="438">
        <v>4689</v>
      </c>
      <c r="AR29" s="439">
        <v>338</v>
      </c>
      <c r="AS29" s="440">
        <v>4653</v>
      </c>
      <c r="AT29" s="441">
        <v>321</v>
      </c>
      <c r="AU29" s="440">
        <v>4684</v>
      </c>
      <c r="AV29" s="1538">
        <v>296</v>
      </c>
      <c r="AW29" s="1541">
        <v>4531</v>
      </c>
      <c r="AX29" s="1542">
        <v>275</v>
      </c>
      <c r="AY29" s="1767">
        <v>4552</v>
      </c>
      <c r="AZ29" s="1794">
        <v>240</v>
      </c>
    </row>
    <row r="30" spans="1:52" ht="15" customHeight="1" x14ac:dyDescent="0.25">
      <c r="A30" s="426" t="s">
        <v>68</v>
      </c>
      <c r="B30" s="442" t="s">
        <v>69</v>
      </c>
      <c r="C30" s="190" t="s">
        <v>268</v>
      </c>
      <c r="D30" s="428">
        <f t="shared" si="15"/>
        <v>5.7598499061913694E-2</v>
      </c>
      <c r="E30" s="429">
        <f t="shared" si="16"/>
        <v>6.987378818364734E-2</v>
      </c>
      <c r="F30" s="430">
        <f t="shared" si="17"/>
        <v>7.804792107117689E-2</v>
      </c>
      <c r="G30" s="430">
        <f t="shared" si="18"/>
        <v>8.4341455103083995E-2</v>
      </c>
      <c r="H30" s="430">
        <f t="shared" si="19"/>
        <v>6.1293179805137286E-2</v>
      </c>
      <c r="I30" s="430">
        <f t="shared" si="20"/>
        <v>6.3456189151599438E-2</v>
      </c>
      <c r="J30" s="430">
        <f t="shared" si="21"/>
        <v>5.0661959399823479E-2</v>
      </c>
      <c r="K30" s="430">
        <f t="shared" si="22"/>
        <v>5.2777777777777778E-2</v>
      </c>
      <c r="L30" s="430">
        <f t="shared" si="23"/>
        <v>5.7227429699062651E-2</v>
      </c>
      <c r="M30" s="430">
        <f t="shared" si="24"/>
        <v>8.9995361063862689E-2</v>
      </c>
      <c r="N30" s="430">
        <f t="shared" si="25"/>
        <v>8.7580874230708539E-2</v>
      </c>
      <c r="O30" s="431">
        <f t="shared" si="26"/>
        <v>8.0728757656667191E-2</v>
      </c>
      <c r="P30" s="432">
        <f t="shared" si="27"/>
        <v>8.8809645101035825E-2</v>
      </c>
      <c r="Q30" s="1529">
        <f t="shared" si="28"/>
        <v>9.9549080818591748E-2</v>
      </c>
      <c r="R30" s="1532">
        <f t="shared" si="29"/>
        <v>9.9064707005153657E-2</v>
      </c>
      <c r="S30" s="1788">
        <f t="shared" si="14"/>
        <v>0.10068190934616927</v>
      </c>
      <c r="T30" s="219"/>
      <c r="U30" s="433">
        <v>5330</v>
      </c>
      <c r="V30" s="434">
        <v>307</v>
      </c>
      <c r="W30" s="435">
        <v>5467</v>
      </c>
      <c r="X30" s="436">
        <v>382</v>
      </c>
      <c r="Y30" s="435">
        <v>5676</v>
      </c>
      <c r="Z30" s="436">
        <v>443</v>
      </c>
      <c r="AA30" s="435">
        <v>5869</v>
      </c>
      <c r="AB30" s="436">
        <v>495</v>
      </c>
      <c r="AC30" s="435">
        <v>5645</v>
      </c>
      <c r="AD30" s="436">
        <v>346</v>
      </c>
      <c r="AE30" s="435">
        <v>5752</v>
      </c>
      <c r="AF30" s="436">
        <v>365</v>
      </c>
      <c r="AG30" s="435">
        <v>5665</v>
      </c>
      <c r="AH30" s="436">
        <v>287</v>
      </c>
      <c r="AI30" s="435">
        <v>5760</v>
      </c>
      <c r="AJ30" s="436">
        <v>304</v>
      </c>
      <c r="AK30" s="435">
        <v>6081</v>
      </c>
      <c r="AL30" s="436">
        <v>348</v>
      </c>
      <c r="AM30" s="437">
        <v>6467</v>
      </c>
      <c r="AN30" s="436">
        <v>582</v>
      </c>
      <c r="AO30" s="435">
        <v>6337</v>
      </c>
      <c r="AP30" s="436">
        <v>555</v>
      </c>
      <c r="AQ30" s="438">
        <v>6367</v>
      </c>
      <c r="AR30" s="439">
        <v>514</v>
      </c>
      <c r="AS30" s="440">
        <v>5889</v>
      </c>
      <c r="AT30" s="441">
        <v>523</v>
      </c>
      <c r="AU30" s="440">
        <v>5766</v>
      </c>
      <c r="AV30" s="1538">
        <v>574</v>
      </c>
      <c r="AW30" s="1541">
        <v>5239</v>
      </c>
      <c r="AX30" s="1542">
        <v>519</v>
      </c>
      <c r="AY30" s="1767">
        <v>4986</v>
      </c>
      <c r="AZ30" s="1794">
        <v>502</v>
      </c>
    </row>
    <row r="31" spans="1:52" ht="15" customHeight="1" x14ac:dyDescent="0.25">
      <c r="A31" s="426" t="s">
        <v>70</v>
      </c>
      <c r="B31" s="442" t="s">
        <v>71</v>
      </c>
      <c r="C31" s="190" t="s">
        <v>264</v>
      </c>
      <c r="D31" s="428">
        <f t="shared" si="15"/>
        <v>2.0810697868783954E-2</v>
      </c>
      <c r="E31" s="429">
        <f t="shared" si="16"/>
        <v>3.0168440459230703E-2</v>
      </c>
      <c r="F31" s="430">
        <f t="shared" si="17"/>
        <v>3.9805505192022417E-2</v>
      </c>
      <c r="G31" s="430">
        <f t="shared" si="18"/>
        <v>4.0508598907816447E-2</v>
      </c>
      <c r="H31" s="430">
        <f t="shared" si="19"/>
        <v>3.8051750380517502E-2</v>
      </c>
      <c r="I31" s="430">
        <f t="shared" si="20"/>
        <v>4.0795391777795315E-2</v>
      </c>
      <c r="J31" s="430">
        <f t="shared" si="21"/>
        <v>3.1440638198029093E-2</v>
      </c>
      <c r="K31" s="430">
        <f t="shared" si="22"/>
        <v>3.4668962278916887E-2</v>
      </c>
      <c r="L31" s="430">
        <f t="shared" si="23"/>
        <v>4.5361605452480122E-2</v>
      </c>
      <c r="M31" s="430">
        <f t="shared" si="24"/>
        <v>8.3333333333333329E-2</v>
      </c>
      <c r="N31" s="430">
        <f t="shared" si="25"/>
        <v>8.4443473829802718E-2</v>
      </c>
      <c r="O31" s="431">
        <f t="shared" si="26"/>
        <v>7.6705780095610604E-2</v>
      </c>
      <c r="P31" s="432">
        <f t="shared" si="27"/>
        <v>7.2369842298552603E-2</v>
      </c>
      <c r="Q31" s="1529">
        <f t="shared" si="28"/>
        <v>6.8537159991432853E-2</v>
      </c>
      <c r="R31" s="1532">
        <f t="shared" si="29"/>
        <v>6.3621055714181127E-2</v>
      </c>
      <c r="S31" s="1788">
        <f t="shared" si="14"/>
        <v>5.3413120567375884E-2</v>
      </c>
      <c r="T31" s="219"/>
      <c r="U31" s="433">
        <v>11965</v>
      </c>
      <c r="V31" s="434">
        <v>249</v>
      </c>
      <c r="W31" s="435">
        <v>11933</v>
      </c>
      <c r="X31" s="436">
        <v>360</v>
      </c>
      <c r="Y31" s="435">
        <v>12134</v>
      </c>
      <c r="Z31" s="436">
        <v>483</v>
      </c>
      <c r="AA31" s="435">
        <v>12269</v>
      </c>
      <c r="AB31" s="436">
        <v>497</v>
      </c>
      <c r="AC31" s="435">
        <v>12483</v>
      </c>
      <c r="AD31" s="436">
        <v>475</v>
      </c>
      <c r="AE31" s="435">
        <v>12673</v>
      </c>
      <c r="AF31" s="436">
        <v>517</v>
      </c>
      <c r="AG31" s="435">
        <v>12786</v>
      </c>
      <c r="AH31" s="436">
        <v>402</v>
      </c>
      <c r="AI31" s="435">
        <v>12778</v>
      </c>
      <c r="AJ31" s="436">
        <v>443</v>
      </c>
      <c r="AK31" s="435">
        <v>13205</v>
      </c>
      <c r="AL31" s="436">
        <v>599</v>
      </c>
      <c r="AM31" s="437">
        <v>13104</v>
      </c>
      <c r="AN31" s="436">
        <v>1092</v>
      </c>
      <c r="AO31" s="435">
        <v>13737</v>
      </c>
      <c r="AP31" s="436">
        <v>1160</v>
      </c>
      <c r="AQ31" s="438">
        <v>13806</v>
      </c>
      <c r="AR31" s="439">
        <v>1059</v>
      </c>
      <c r="AS31" s="440">
        <v>13887</v>
      </c>
      <c r="AT31" s="441">
        <v>1005</v>
      </c>
      <c r="AU31" s="440">
        <v>14007</v>
      </c>
      <c r="AV31" s="1538">
        <v>960</v>
      </c>
      <c r="AW31" s="1541">
        <v>13659</v>
      </c>
      <c r="AX31" s="1542">
        <v>869</v>
      </c>
      <c r="AY31" s="1767">
        <v>13536</v>
      </c>
      <c r="AZ31" s="1794">
        <v>723</v>
      </c>
    </row>
    <row r="32" spans="1:52" ht="15" customHeight="1" x14ac:dyDescent="0.25">
      <c r="A32" s="426" t="s">
        <v>72</v>
      </c>
      <c r="B32" s="442" t="s">
        <v>73</v>
      </c>
      <c r="C32" s="190" t="s">
        <v>266</v>
      </c>
      <c r="D32" s="428">
        <f t="shared" si="15"/>
        <v>2.6562499999999999E-2</v>
      </c>
      <c r="E32" s="429">
        <f t="shared" si="16"/>
        <v>3.2276546982429336E-2</v>
      </c>
      <c r="F32" s="430">
        <f t="shared" si="17"/>
        <v>4.4029850746268653E-2</v>
      </c>
      <c r="G32" s="430">
        <f t="shared" si="18"/>
        <v>5.3873304848597439E-2</v>
      </c>
      <c r="H32" s="430">
        <f t="shared" si="19"/>
        <v>4.200442151805453E-2</v>
      </c>
      <c r="I32" s="430">
        <f t="shared" si="20"/>
        <v>4.6116952591772738E-2</v>
      </c>
      <c r="J32" s="430">
        <f t="shared" si="21"/>
        <v>3.8984920926811328E-2</v>
      </c>
      <c r="K32" s="430">
        <f t="shared" si="22"/>
        <v>3.6962488563586457E-2</v>
      </c>
      <c r="L32" s="430">
        <f t="shared" si="23"/>
        <v>5.197100936892346E-2</v>
      </c>
      <c r="M32" s="430">
        <f t="shared" si="24"/>
        <v>8.3732876712328763E-2</v>
      </c>
      <c r="N32" s="430">
        <f t="shared" si="25"/>
        <v>9.065453272663633E-2</v>
      </c>
      <c r="O32" s="431">
        <f t="shared" si="26"/>
        <v>8.2218309859154931E-2</v>
      </c>
      <c r="P32" s="432">
        <f t="shared" si="27"/>
        <v>7.3110285006195791E-2</v>
      </c>
      <c r="Q32" s="1529">
        <f t="shared" si="28"/>
        <v>6.7917783735478104E-2</v>
      </c>
      <c r="R32" s="1532">
        <f t="shared" si="29"/>
        <v>6.3571799757491776E-2</v>
      </c>
      <c r="S32" s="1788">
        <f t="shared" si="14"/>
        <v>5.4200542005420058E-2</v>
      </c>
      <c r="T32" s="219"/>
      <c r="U32" s="433">
        <v>5120</v>
      </c>
      <c r="V32" s="434">
        <v>136</v>
      </c>
      <c r="W32" s="435">
        <v>5236</v>
      </c>
      <c r="X32" s="436">
        <v>169</v>
      </c>
      <c r="Y32" s="435">
        <v>5360</v>
      </c>
      <c r="Z32" s="436">
        <v>236</v>
      </c>
      <c r="AA32" s="435">
        <v>5383</v>
      </c>
      <c r="AB32" s="436">
        <v>290</v>
      </c>
      <c r="AC32" s="435">
        <v>5428</v>
      </c>
      <c r="AD32" s="436">
        <v>228</v>
      </c>
      <c r="AE32" s="435">
        <v>5421</v>
      </c>
      <c r="AF32" s="436">
        <v>250</v>
      </c>
      <c r="AG32" s="435">
        <v>5438</v>
      </c>
      <c r="AH32" s="436">
        <v>212</v>
      </c>
      <c r="AI32" s="435">
        <v>5465</v>
      </c>
      <c r="AJ32" s="436">
        <v>202</v>
      </c>
      <c r="AK32" s="435">
        <v>5657</v>
      </c>
      <c r="AL32" s="436">
        <v>294</v>
      </c>
      <c r="AM32" s="437">
        <v>5840</v>
      </c>
      <c r="AN32" s="436">
        <v>489</v>
      </c>
      <c r="AO32" s="435">
        <v>5714</v>
      </c>
      <c r="AP32" s="436">
        <v>518</v>
      </c>
      <c r="AQ32" s="438">
        <v>5680</v>
      </c>
      <c r="AR32" s="439">
        <v>467</v>
      </c>
      <c r="AS32" s="440">
        <v>5649</v>
      </c>
      <c r="AT32" s="441">
        <v>413</v>
      </c>
      <c r="AU32" s="440">
        <v>5595</v>
      </c>
      <c r="AV32" s="1538">
        <v>380</v>
      </c>
      <c r="AW32" s="1541">
        <v>5773</v>
      </c>
      <c r="AX32" s="1542">
        <v>367</v>
      </c>
      <c r="AY32" s="1767">
        <v>5535</v>
      </c>
      <c r="AZ32" s="1794">
        <v>300</v>
      </c>
    </row>
    <row r="33" spans="1:52" x14ac:dyDescent="0.25">
      <c r="A33" s="426" t="s">
        <v>74</v>
      </c>
      <c r="B33" s="442" t="s">
        <v>649</v>
      </c>
      <c r="C33" s="190" t="s">
        <v>267</v>
      </c>
      <c r="D33" s="428">
        <f t="shared" si="15"/>
        <v>1.6152713998724321E-2</v>
      </c>
      <c r="E33" s="429">
        <f t="shared" si="16"/>
        <v>2.5071257911724022E-2</v>
      </c>
      <c r="F33" s="430">
        <f t="shared" si="17"/>
        <v>3.3457909420529626E-2</v>
      </c>
      <c r="G33" s="430">
        <f t="shared" si="18"/>
        <v>3.0671264015172645E-2</v>
      </c>
      <c r="H33" s="430">
        <f t="shared" si="19"/>
        <v>2.6978136364962577E-2</v>
      </c>
      <c r="I33" s="430">
        <f t="shared" si="20"/>
        <v>2.5467677006867157E-2</v>
      </c>
      <c r="J33" s="430">
        <f t="shared" si="21"/>
        <v>2.210276389051449E-2</v>
      </c>
      <c r="K33" s="430">
        <f t="shared" si="22"/>
        <v>2.2099567424800199E-2</v>
      </c>
      <c r="L33" s="430">
        <f t="shared" si="23"/>
        <v>2.8680573286215403E-2</v>
      </c>
      <c r="M33" s="430">
        <f t="shared" si="24"/>
        <v>4.9874891102857852E-2</v>
      </c>
      <c r="N33" s="430">
        <f t="shared" si="25"/>
        <v>5.0458416702292161E-2</v>
      </c>
      <c r="O33" s="431">
        <f t="shared" si="26"/>
        <v>4.6651153268518791E-2</v>
      </c>
      <c r="P33" s="432">
        <f t="shared" si="27"/>
        <v>4.3947231679605403E-2</v>
      </c>
      <c r="Q33" s="1529">
        <f t="shared" si="28"/>
        <v>4.2505310470092046E-2</v>
      </c>
      <c r="R33" s="1532">
        <f t="shared" si="29"/>
        <v>4.0753124272595961E-2</v>
      </c>
      <c r="S33" s="1788">
        <f t="shared" si="14"/>
        <v>3.5472922938294203E-2</v>
      </c>
      <c r="T33" s="219"/>
      <c r="U33" s="443">
        <v>565973</v>
      </c>
      <c r="V33" s="444">
        <v>9142</v>
      </c>
      <c r="W33" s="1475">
        <v>572568</v>
      </c>
      <c r="X33" s="1476">
        <v>14355</v>
      </c>
      <c r="Y33" s="1475">
        <v>574214</v>
      </c>
      <c r="Z33" s="1476">
        <v>19212</v>
      </c>
      <c r="AA33" s="1475">
        <v>573664</v>
      </c>
      <c r="AB33" s="1476">
        <v>17595</v>
      </c>
      <c r="AC33" s="1475">
        <v>582657</v>
      </c>
      <c r="AD33" s="1476">
        <v>15719</v>
      </c>
      <c r="AE33" s="1475">
        <v>591220</v>
      </c>
      <c r="AF33" s="1476">
        <v>15057</v>
      </c>
      <c r="AG33" s="1475">
        <v>598070</v>
      </c>
      <c r="AH33" s="1476">
        <v>13219</v>
      </c>
      <c r="AI33" s="1475">
        <v>598971</v>
      </c>
      <c r="AJ33" s="1476">
        <v>13237</v>
      </c>
      <c r="AK33" s="1475">
        <v>614911</v>
      </c>
      <c r="AL33" s="1476">
        <v>17636</v>
      </c>
      <c r="AM33" s="1477">
        <v>610668</v>
      </c>
      <c r="AN33" s="1476">
        <v>30457</v>
      </c>
      <c r="AO33" s="1475">
        <v>629231</v>
      </c>
      <c r="AP33" s="1476">
        <v>31750</v>
      </c>
      <c r="AQ33" s="438">
        <v>639877</v>
      </c>
      <c r="AR33" s="439">
        <v>29851</v>
      </c>
      <c r="AS33" s="440">
        <v>644705</v>
      </c>
      <c r="AT33" s="441">
        <v>28333</v>
      </c>
      <c r="AU33" s="440">
        <v>649660</v>
      </c>
      <c r="AV33" s="1538">
        <v>27614</v>
      </c>
      <c r="AW33" s="1541">
        <v>648711</v>
      </c>
      <c r="AX33" s="1542">
        <v>26437</v>
      </c>
      <c r="AY33" s="1767">
        <v>641447</v>
      </c>
      <c r="AZ33" s="1794">
        <v>22754</v>
      </c>
    </row>
    <row r="34" spans="1:52" ht="15" customHeight="1" x14ac:dyDescent="0.25">
      <c r="A34" s="426" t="s">
        <v>76</v>
      </c>
      <c r="B34" s="442" t="s">
        <v>77</v>
      </c>
      <c r="C34" s="190" t="s">
        <v>267</v>
      </c>
      <c r="D34" s="428">
        <f t="shared" si="15"/>
        <v>1.5381030062922395E-2</v>
      </c>
      <c r="E34" s="429">
        <f t="shared" si="16"/>
        <v>2.1385882732999517E-2</v>
      </c>
      <c r="F34" s="430">
        <f t="shared" si="17"/>
        <v>3.0731234564041643E-2</v>
      </c>
      <c r="G34" s="430">
        <f t="shared" si="18"/>
        <v>3.1034693006523992E-2</v>
      </c>
      <c r="H34" s="430">
        <f t="shared" si="19"/>
        <v>2.7431713166052522E-2</v>
      </c>
      <c r="I34" s="430">
        <f t="shared" si="20"/>
        <v>2.6372639789018881E-2</v>
      </c>
      <c r="J34" s="430">
        <f t="shared" si="21"/>
        <v>2.4234310537963443E-2</v>
      </c>
      <c r="K34" s="430">
        <f t="shared" si="22"/>
        <v>2.522586263197997E-2</v>
      </c>
      <c r="L34" s="430">
        <f t="shared" si="23"/>
        <v>3.3481199831009716E-2</v>
      </c>
      <c r="M34" s="430">
        <f t="shared" si="24"/>
        <v>5.6859398335822486E-2</v>
      </c>
      <c r="N34" s="430">
        <f t="shared" si="25"/>
        <v>5.949945349065329E-2</v>
      </c>
      <c r="O34" s="431">
        <f t="shared" si="26"/>
        <v>5.1669029155896495E-2</v>
      </c>
      <c r="P34" s="432">
        <f t="shared" si="27"/>
        <v>4.8507150623065987E-2</v>
      </c>
      <c r="Q34" s="1529">
        <f t="shared" si="28"/>
        <v>4.6214764357312955E-2</v>
      </c>
      <c r="R34" s="1532">
        <f t="shared" si="29"/>
        <v>4.5116330723527123E-2</v>
      </c>
      <c r="S34" s="1788">
        <f t="shared" si="14"/>
        <v>3.9294150340419616E-2</v>
      </c>
      <c r="T34" s="219"/>
      <c r="U34" s="433">
        <v>30037</v>
      </c>
      <c r="V34" s="434">
        <v>462</v>
      </c>
      <c r="W34" s="435">
        <v>30955</v>
      </c>
      <c r="X34" s="436">
        <v>662</v>
      </c>
      <c r="Y34" s="435">
        <v>31987</v>
      </c>
      <c r="Z34" s="436">
        <v>983</v>
      </c>
      <c r="AA34" s="435">
        <v>32802</v>
      </c>
      <c r="AB34" s="436">
        <v>1018</v>
      </c>
      <c r="AC34" s="435">
        <v>34194</v>
      </c>
      <c r="AD34" s="436">
        <v>938</v>
      </c>
      <c r="AE34" s="435">
        <v>35643</v>
      </c>
      <c r="AF34" s="436">
        <v>940</v>
      </c>
      <c r="AG34" s="435">
        <v>36601</v>
      </c>
      <c r="AH34" s="436">
        <v>887</v>
      </c>
      <c r="AI34" s="435">
        <v>36748</v>
      </c>
      <c r="AJ34" s="436">
        <v>927</v>
      </c>
      <c r="AK34" s="435">
        <v>37872</v>
      </c>
      <c r="AL34" s="436">
        <v>1268</v>
      </c>
      <c r="AM34" s="437">
        <v>37496</v>
      </c>
      <c r="AN34" s="436">
        <v>2132</v>
      </c>
      <c r="AO34" s="435">
        <v>35681</v>
      </c>
      <c r="AP34" s="436">
        <v>2123</v>
      </c>
      <c r="AQ34" s="438">
        <v>35979</v>
      </c>
      <c r="AR34" s="439">
        <v>1859</v>
      </c>
      <c r="AS34" s="440">
        <v>35871</v>
      </c>
      <c r="AT34" s="441">
        <v>1740</v>
      </c>
      <c r="AU34" s="440">
        <v>36114</v>
      </c>
      <c r="AV34" s="1538">
        <v>1669</v>
      </c>
      <c r="AW34" s="1541">
        <v>36018</v>
      </c>
      <c r="AX34" s="1542">
        <v>1625</v>
      </c>
      <c r="AY34" s="1767">
        <v>35985</v>
      </c>
      <c r="AZ34" s="1794">
        <v>1414</v>
      </c>
    </row>
    <row r="35" spans="1:52" ht="15" customHeight="1" x14ac:dyDescent="0.25">
      <c r="A35" s="426" t="s">
        <v>78</v>
      </c>
      <c r="B35" s="442" t="s">
        <v>79</v>
      </c>
      <c r="C35" s="190" t="s">
        <v>268</v>
      </c>
      <c r="D35" s="428">
        <f t="shared" si="15"/>
        <v>3.6919526968560712E-2</v>
      </c>
      <c r="E35" s="429">
        <f t="shared" si="16"/>
        <v>4.2771349055221911E-2</v>
      </c>
      <c r="F35" s="430">
        <f t="shared" si="17"/>
        <v>4.3695748124172429E-2</v>
      </c>
      <c r="G35" s="430">
        <f t="shared" si="18"/>
        <v>4.0195545898967955E-2</v>
      </c>
      <c r="H35" s="430">
        <f t="shared" si="19"/>
        <v>4.0022870211549454E-2</v>
      </c>
      <c r="I35" s="430">
        <f t="shared" si="20"/>
        <v>3.6564864107593166E-2</v>
      </c>
      <c r="J35" s="430">
        <f t="shared" si="21"/>
        <v>3.2396175253318109E-2</v>
      </c>
      <c r="K35" s="430">
        <f t="shared" si="22"/>
        <v>3.5067873303167421E-2</v>
      </c>
      <c r="L35" s="430">
        <f t="shared" si="23"/>
        <v>4.4211994421199441E-2</v>
      </c>
      <c r="M35" s="430">
        <f t="shared" si="24"/>
        <v>7.9337046596929764E-2</v>
      </c>
      <c r="N35" s="430">
        <f t="shared" si="25"/>
        <v>7.6712328767123292E-2</v>
      </c>
      <c r="O35" s="431">
        <f t="shared" si="26"/>
        <v>7.0659488559892333E-2</v>
      </c>
      <c r="P35" s="432">
        <f t="shared" si="27"/>
        <v>6.3496352337206158E-2</v>
      </c>
      <c r="Q35" s="1529">
        <f t="shared" si="28"/>
        <v>6.1246612466124659E-2</v>
      </c>
      <c r="R35" s="1532">
        <f t="shared" si="29"/>
        <v>4.5891141942369262E-2</v>
      </c>
      <c r="S35" s="1788">
        <f t="shared" si="14"/>
        <v>3.9808153477218222E-2</v>
      </c>
      <c r="T35" s="219"/>
      <c r="U35" s="433">
        <v>6934</v>
      </c>
      <c r="V35" s="434">
        <v>256</v>
      </c>
      <c r="W35" s="435">
        <v>6827</v>
      </c>
      <c r="X35" s="436">
        <v>292</v>
      </c>
      <c r="Y35" s="435">
        <v>6797</v>
      </c>
      <c r="Z35" s="436">
        <v>297</v>
      </c>
      <c r="AA35" s="435">
        <v>7364</v>
      </c>
      <c r="AB35" s="436">
        <v>296</v>
      </c>
      <c r="AC35" s="435">
        <v>6996</v>
      </c>
      <c r="AD35" s="436">
        <v>280</v>
      </c>
      <c r="AE35" s="435">
        <v>7138</v>
      </c>
      <c r="AF35" s="436">
        <v>261</v>
      </c>
      <c r="AG35" s="435">
        <v>7007</v>
      </c>
      <c r="AH35" s="436">
        <v>227</v>
      </c>
      <c r="AI35" s="435">
        <v>7072</v>
      </c>
      <c r="AJ35" s="436">
        <v>248</v>
      </c>
      <c r="AK35" s="435">
        <v>7170</v>
      </c>
      <c r="AL35" s="436">
        <v>317</v>
      </c>
      <c r="AM35" s="437">
        <v>7361</v>
      </c>
      <c r="AN35" s="436">
        <v>584</v>
      </c>
      <c r="AO35" s="435">
        <v>7300</v>
      </c>
      <c r="AP35" s="436">
        <v>560</v>
      </c>
      <c r="AQ35" s="438">
        <v>7430</v>
      </c>
      <c r="AR35" s="439">
        <v>525</v>
      </c>
      <c r="AS35" s="440">
        <v>7402</v>
      </c>
      <c r="AT35" s="441">
        <v>470</v>
      </c>
      <c r="AU35" s="440">
        <v>7380</v>
      </c>
      <c r="AV35" s="1538">
        <v>452</v>
      </c>
      <c r="AW35" s="1541">
        <v>8433</v>
      </c>
      <c r="AX35" s="1542">
        <v>387</v>
      </c>
      <c r="AY35" s="1767">
        <v>8340</v>
      </c>
      <c r="AZ35" s="1794">
        <v>332</v>
      </c>
    </row>
    <row r="36" spans="1:52" ht="15" customHeight="1" x14ac:dyDescent="0.25">
      <c r="A36" s="426" t="s">
        <v>80</v>
      </c>
      <c r="B36" s="442" t="s">
        <v>81</v>
      </c>
      <c r="C36" s="190" t="s">
        <v>266</v>
      </c>
      <c r="D36" s="428">
        <f t="shared" si="15"/>
        <v>1.9673421207948062E-2</v>
      </c>
      <c r="E36" s="429">
        <f t="shared" si="16"/>
        <v>2.481834481457016E-2</v>
      </c>
      <c r="F36" s="430">
        <f t="shared" si="17"/>
        <v>3.1975199291408324E-2</v>
      </c>
      <c r="G36" s="430">
        <f t="shared" si="18"/>
        <v>3.4188034188034191E-2</v>
      </c>
      <c r="H36" s="430">
        <f t="shared" si="19"/>
        <v>3.0305505636333933E-2</v>
      </c>
      <c r="I36" s="430">
        <f t="shared" si="20"/>
        <v>3.021359223300971E-2</v>
      </c>
      <c r="J36" s="430">
        <f t="shared" si="21"/>
        <v>2.3502200999776169E-2</v>
      </c>
      <c r="K36" s="430">
        <f t="shared" si="22"/>
        <v>2.3814725802927681E-2</v>
      </c>
      <c r="L36" s="430">
        <f t="shared" si="23"/>
        <v>3.3077085831158759E-2</v>
      </c>
      <c r="M36" s="430">
        <f t="shared" si="24"/>
        <v>5.9528053040564625E-2</v>
      </c>
      <c r="N36" s="430">
        <f t="shared" si="25"/>
        <v>5.9369744827081961E-2</v>
      </c>
      <c r="O36" s="431">
        <f t="shared" si="26"/>
        <v>5.4138766206012254E-2</v>
      </c>
      <c r="P36" s="432">
        <f t="shared" si="27"/>
        <v>4.7989063961436075E-2</v>
      </c>
      <c r="Q36" s="1529">
        <f t="shared" si="28"/>
        <v>4.3897905197683565E-2</v>
      </c>
      <c r="R36" s="1532">
        <f t="shared" si="29"/>
        <v>4.2680196985524547E-2</v>
      </c>
      <c r="S36" s="1788">
        <f t="shared" ref="S36:S67" si="30">AZ36/AY36</f>
        <v>3.7294989889912381E-2</v>
      </c>
      <c r="T36" s="219"/>
      <c r="U36" s="433">
        <v>10166</v>
      </c>
      <c r="V36" s="434">
        <v>200</v>
      </c>
      <c r="W36" s="435">
        <v>10597</v>
      </c>
      <c r="X36" s="436">
        <v>263</v>
      </c>
      <c r="Y36" s="435">
        <v>11290</v>
      </c>
      <c r="Z36" s="436">
        <v>361</v>
      </c>
      <c r="AA36" s="435">
        <v>11817</v>
      </c>
      <c r="AB36" s="436">
        <v>404</v>
      </c>
      <c r="AC36" s="435">
        <v>12242</v>
      </c>
      <c r="AD36" s="436">
        <v>371</v>
      </c>
      <c r="AE36" s="435">
        <v>12875</v>
      </c>
      <c r="AF36" s="436">
        <v>389</v>
      </c>
      <c r="AG36" s="435">
        <v>13403</v>
      </c>
      <c r="AH36" s="436">
        <v>315</v>
      </c>
      <c r="AI36" s="435">
        <v>13731</v>
      </c>
      <c r="AJ36" s="436">
        <v>327</v>
      </c>
      <c r="AK36" s="435">
        <v>14179</v>
      </c>
      <c r="AL36" s="436">
        <v>469</v>
      </c>
      <c r="AM36" s="437">
        <v>14027</v>
      </c>
      <c r="AN36" s="436">
        <v>835</v>
      </c>
      <c r="AO36" s="435">
        <v>13677</v>
      </c>
      <c r="AP36" s="436">
        <v>812</v>
      </c>
      <c r="AQ36" s="438">
        <v>14038</v>
      </c>
      <c r="AR36" s="439">
        <v>760</v>
      </c>
      <c r="AS36" s="440">
        <v>13899</v>
      </c>
      <c r="AT36" s="441">
        <v>667</v>
      </c>
      <c r="AU36" s="440">
        <v>13987</v>
      </c>
      <c r="AV36" s="1538">
        <v>614</v>
      </c>
      <c r="AW36" s="1541">
        <v>13402</v>
      </c>
      <c r="AX36" s="1542">
        <v>572</v>
      </c>
      <c r="AY36" s="1767">
        <v>13353</v>
      </c>
      <c r="AZ36" s="1794">
        <v>498</v>
      </c>
    </row>
    <row r="37" spans="1:52" ht="15" customHeight="1" x14ac:dyDescent="0.25">
      <c r="A37" s="426" t="s">
        <v>84</v>
      </c>
      <c r="B37" s="442" t="s">
        <v>308</v>
      </c>
      <c r="C37" s="190" t="s">
        <v>265</v>
      </c>
      <c r="D37" s="428">
        <f t="shared" ref="D37:D68" si="31">V37/U37</f>
        <v>2.9677632393610435E-2</v>
      </c>
      <c r="E37" s="429">
        <f t="shared" ref="E37:E68" si="32">X37/W37</f>
        <v>4.0230347938144333E-2</v>
      </c>
      <c r="F37" s="430">
        <f t="shared" si="17"/>
        <v>5.1865438651264438E-2</v>
      </c>
      <c r="G37" s="430">
        <f t="shared" ref="G37:G68" si="33">AB37/AA37</f>
        <v>4.438880941026864E-2</v>
      </c>
      <c r="H37" s="430">
        <f t="shared" ref="H37:H68" si="34">AD37/AC37</f>
        <v>3.8464604591836732E-2</v>
      </c>
      <c r="I37" s="430">
        <f t="shared" ref="I37:I68" si="35">AF37/AE37</f>
        <v>3.6002823750882422E-2</v>
      </c>
      <c r="J37" s="430">
        <f t="shared" ref="J37:J68" si="36">AH37/AG37</f>
        <v>3.1560760222691497E-2</v>
      </c>
      <c r="K37" s="430">
        <f t="shared" ref="K37:K68" si="37">AJ37/AI37</f>
        <v>3.3549124143183548E-2</v>
      </c>
      <c r="L37" s="430">
        <f t="shared" ref="L37:L68" si="38">AL37/AK37</f>
        <v>4.7812142883474032E-2</v>
      </c>
      <c r="M37" s="430">
        <f t="shared" ref="M37:M68" si="39">AN37/AM37</f>
        <v>8.5049438703442129E-2</v>
      </c>
      <c r="N37" s="430">
        <f t="shared" ref="N37:N68" si="40">AP37/AO37</f>
        <v>8.0061012379837537E-2</v>
      </c>
      <c r="O37" s="431">
        <f t="shared" ref="O37:O68" si="41">AR37/AQ37</f>
        <v>6.8013349727735817E-2</v>
      </c>
      <c r="P37" s="432">
        <f t="shared" ref="P37:P68" si="42">AT37/AS37</f>
        <v>6.0171919770773637E-2</v>
      </c>
      <c r="Q37" s="1529">
        <f t="shared" ref="Q37:Q68" si="43">AV37/AU37</f>
        <v>5.4773193687637112E-2</v>
      </c>
      <c r="R37" s="1532">
        <f t="shared" ref="R37:R68" si="44">AX37/AW37</f>
        <v>5.297675435400423E-2</v>
      </c>
      <c r="S37" s="1788">
        <f t="shared" si="30"/>
        <v>4.6391561118746052E-2</v>
      </c>
      <c r="T37" s="219"/>
      <c r="U37" s="433">
        <v>24227</v>
      </c>
      <c r="V37" s="434">
        <v>719</v>
      </c>
      <c r="W37" s="435">
        <v>24832</v>
      </c>
      <c r="X37" s="436">
        <v>999</v>
      </c>
      <c r="Y37" s="435">
        <v>25624</v>
      </c>
      <c r="Z37" s="436">
        <v>1329</v>
      </c>
      <c r="AA37" s="435">
        <v>25164</v>
      </c>
      <c r="AB37" s="436">
        <v>1117</v>
      </c>
      <c r="AC37" s="435">
        <v>25088</v>
      </c>
      <c r="AD37" s="436">
        <v>965</v>
      </c>
      <c r="AE37" s="435">
        <v>25498</v>
      </c>
      <c r="AF37" s="436">
        <v>918</v>
      </c>
      <c r="AG37" s="435">
        <v>26045</v>
      </c>
      <c r="AH37" s="436">
        <v>822</v>
      </c>
      <c r="AI37" s="435">
        <v>26260</v>
      </c>
      <c r="AJ37" s="436">
        <v>881</v>
      </c>
      <c r="AK37" s="435">
        <v>27127</v>
      </c>
      <c r="AL37" s="436">
        <v>1297</v>
      </c>
      <c r="AM37" s="437">
        <v>26902</v>
      </c>
      <c r="AN37" s="436">
        <v>2288</v>
      </c>
      <c r="AO37" s="435">
        <v>28191</v>
      </c>
      <c r="AP37" s="436">
        <v>2257</v>
      </c>
      <c r="AQ37" s="438">
        <v>28465</v>
      </c>
      <c r="AR37" s="439">
        <v>1936</v>
      </c>
      <c r="AS37" s="440">
        <v>28269</v>
      </c>
      <c r="AT37" s="441">
        <v>1701</v>
      </c>
      <c r="AU37" s="440">
        <v>28262</v>
      </c>
      <c r="AV37" s="1538">
        <v>1548</v>
      </c>
      <c r="AW37" s="1541">
        <v>27446</v>
      </c>
      <c r="AX37" s="1542">
        <v>1454</v>
      </c>
      <c r="AY37" s="1767">
        <v>26923</v>
      </c>
      <c r="AZ37" s="1794">
        <v>1249</v>
      </c>
    </row>
    <row r="38" spans="1:52" ht="15" customHeight="1" x14ac:dyDescent="0.25">
      <c r="A38" s="426" t="s">
        <v>86</v>
      </c>
      <c r="B38" s="442" t="s">
        <v>87</v>
      </c>
      <c r="C38" s="190" t="s">
        <v>267</v>
      </c>
      <c r="D38" s="428">
        <f t="shared" si="31"/>
        <v>2.0230418971365707E-2</v>
      </c>
      <c r="E38" s="429">
        <f t="shared" si="32"/>
        <v>2.7932126426480252E-2</v>
      </c>
      <c r="F38" s="430">
        <f t="shared" si="17"/>
        <v>3.4510548887545692E-2</v>
      </c>
      <c r="G38" s="430">
        <f t="shared" si="33"/>
        <v>3.6193764041865306E-2</v>
      </c>
      <c r="H38" s="430">
        <f t="shared" si="34"/>
        <v>2.9792332268370608E-2</v>
      </c>
      <c r="I38" s="430">
        <f t="shared" si="35"/>
        <v>2.787293677981937E-2</v>
      </c>
      <c r="J38" s="430">
        <f t="shared" si="36"/>
        <v>2.6269788512199327E-2</v>
      </c>
      <c r="K38" s="430">
        <f t="shared" si="37"/>
        <v>2.9813543168544267E-2</v>
      </c>
      <c r="L38" s="430">
        <f t="shared" si="38"/>
        <v>4.1969835686406783E-2</v>
      </c>
      <c r="M38" s="430">
        <f t="shared" si="39"/>
        <v>7.8297104980992294E-2</v>
      </c>
      <c r="N38" s="430">
        <f t="shared" si="40"/>
        <v>7.2260960932276241E-2</v>
      </c>
      <c r="O38" s="431">
        <f t="shared" si="41"/>
        <v>6.3382556529764655E-2</v>
      </c>
      <c r="P38" s="432">
        <f t="shared" si="42"/>
        <v>5.5965024720747117E-2</v>
      </c>
      <c r="Q38" s="1529">
        <f t="shared" si="43"/>
        <v>5.0163306678680034E-2</v>
      </c>
      <c r="R38" s="1532">
        <f t="shared" si="44"/>
        <v>4.6521515361722124E-2</v>
      </c>
      <c r="S38" s="1788">
        <f t="shared" si="30"/>
        <v>3.961303007283614E-2</v>
      </c>
      <c r="T38" s="219"/>
      <c r="U38" s="433">
        <v>32723</v>
      </c>
      <c r="V38" s="434">
        <v>662</v>
      </c>
      <c r="W38" s="435">
        <v>33474</v>
      </c>
      <c r="X38" s="436">
        <v>935</v>
      </c>
      <c r="Y38" s="435">
        <v>34743</v>
      </c>
      <c r="Z38" s="436">
        <v>1199</v>
      </c>
      <c r="AA38" s="435">
        <v>36498</v>
      </c>
      <c r="AB38" s="436">
        <v>1321</v>
      </c>
      <c r="AC38" s="435">
        <v>37560</v>
      </c>
      <c r="AD38" s="436">
        <v>1119</v>
      </c>
      <c r="AE38" s="435">
        <v>38532</v>
      </c>
      <c r="AF38" s="436">
        <v>1074</v>
      </c>
      <c r="AG38" s="435">
        <v>40617</v>
      </c>
      <c r="AH38" s="436">
        <v>1067</v>
      </c>
      <c r="AI38" s="435">
        <v>40921</v>
      </c>
      <c r="AJ38" s="436">
        <v>1220</v>
      </c>
      <c r="AK38" s="435">
        <v>41506</v>
      </c>
      <c r="AL38" s="436">
        <v>1742</v>
      </c>
      <c r="AM38" s="437">
        <v>41036</v>
      </c>
      <c r="AN38" s="436">
        <v>3213</v>
      </c>
      <c r="AO38" s="435">
        <v>41876</v>
      </c>
      <c r="AP38" s="436">
        <v>3026</v>
      </c>
      <c r="AQ38" s="438">
        <v>43340</v>
      </c>
      <c r="AR38" s="439">
        <v>2747</v>
      </c>
      <c r="AS38" s="440">
        <v>43688</v>
      </c>
      <c r="AT38" s="441">
        <v>2445</v>
      </c>
      <c r="AU38" s="440">
        <v>44395</v>
      </c>
      <c r="AV38" s="1538">
        <v>2227</v>
      </c>
      <c r="AW38" s="1541">
        <v>44689</v>
      </c>
      <c r="AX38" s="1542">
        <v>2079</v>
      </c>
      <c r="AY38" s="1767">
        <v>44758</v>
      </c>
      <c r="AZ38" s="1794">
        <v>1773</v>
      </c>
    </row>
    <row r="39" spans="1:52" ht="15" customHeight="1" x14ac:dyDescent="0.25">
      <c r="A39" s="426" t="s">
        <v>92</v>
      </c>
      <c r="B39" s="442" t="s">
        <v>93</v>
      </c>
      <c r="C39" s="190" t="s">
        <v>268</v>
      </c>
      <c r="D39" s="428">
        <f t="shared" si="31"/>
        <v>4.206451612903226E-2</v>
      </c>
      <c r="E39" s="429">
        <f t="shared" si="32"/>
        <v>5.6577445135100851E-2</v>
      </c>
      <c r="F39" s="430">
        <f t="shared" si="17"/>
        <v>5.9977648081460326E-2</v>
      </c>
      <c r="G39" s="430">
        <f t="shared" si="33"/>
        <v>5.3773812394502046E-2</v>
      </c>
      <c r="H39" s="430">
        <f t="shared" si="34"/>
        <v>4.9849124924562463E-2</v>
      </c>
      <c r="I39" s="430">
        <f t="shared" si="35"/>
        <v>5.0702213758628899E-2</v>
      </c>
      <c r="J39" s="430">
        <f t="shared" si="36"/>
        <v>3.6984687868080096E-2</v>
      </c>
      <c r="K39" s="430">
        <f t="shared" si="37"/>
        <v>4.5280690931523752E-2</v>
      </c>
      <c r="L39" s="430">
        <f t="shared" si="38"/>
        <v>5.3912213740458015E-2</v>
      </c>
      <c r="M39" s="430">
        <f t="shared" si="39"/>
        <v>9.4788429356920875E-2</v>
      </c>
      <c r="N39" s="430">
        <f t="shared" si="40"/>
        <v>9.7684158659768414E-2</v>
      </c>
      <c r="O39" s="431">
        <f t="shared" si="41"/>
        <v>7.7622205846229433E-2</v>
      </c>
      <c r="P39" s="432">
        <f t="shared" si="42"/>
        <v>7.052709725315516E-2</v>
      </c>
      <c r="Q39" s="1529">
        <f t="shared" si="43"/>
        <v>6.6845245342749299E-2</v>
      </c>
      <c r="R39" s="1532">
        <f t="shared" si="44"/>
        <v>6.0316692856279462E-2</v>
      </c>
      <c r="S39" s="1788">
        <f t="shared" si="30"/>
        <v>5.1183541950675426E-2</v>
      </c>
      <c r="T39" s="219"/>
      <c r="U39" s="433">
        <v>7750</v>
      </c>
      <c r="V39" s="434">
        <v>326</v>
      </c>
      <c r="W39" s="435">
        <v>7883</v>
      </c>
      <c r="X39" s="436">
        <v>446</v>
      </c>
      <c r="Y39" s="435">
        <v>8053</v>
      </c>
      <c r="Z39" s="436">
        <v>483</v>
      </c>
      <c r="AA39" s="435">
        <v>8294</v>
      </c>
      <c r="AB39" s="436">
        <v>446</v>
      </c>
      <c r="AC39" s="435">
        <v>8285</v>
      </c>
      <c r="AD39" s="436">
        <v>413</v>
      </c>
      <c r="AE39" s="435">
        <v>8402</v>
      </c>
      <c r="AF39" s="436">
        <v>426</v>
      </c>
      <c r="AG39" s="435">
        <v>8490</v>
      </c>
      <c r="AH39" s="436">
        <v>314</v>
      </c>
      <c r="AI39" s="435">
        <v>8105</v>
      </c>
      <c r="AJ39" s="436">
        <v>367</v>
      </c>
      <c r="AK39" s="435">
        <v>8384</v>
      </c>
      <c r="AL39" s="436">
        <v>452</v>
      </c>
      <c r="AM39" s="437">
        <v>8366</v>
      </c>
      <c r="AN39" s="436">
        <v>793</v>
      </c>
      <c r="AO39" s="435">
        <v>8118</v>
      </c>
      <c r="AP39" s="436">
        <v>793</v>
      </c>
      <c r="AQ39" s="438">
        <v>8142</v>
      </c>
      <c r="AR39" s="439">
        <v>632</v>
      </c>
      <c r="AS39" s="440">
        <v>8082</v>
      </c>
      <c r="AT39" s="441">
        <v>570</v>
      </c>
      <c r="AU39" s="440">
        <v>8213</v>
      </c>
      <c r="AV39" s="1538">
        <v>549</v>
      </c>
      <c r="AW39" s="1541">
        <v>8273</v>
      </c>
      <c r="AX39" s="1542">
        <v>499</v>
      </c>
      <c r="AY39" s="1767">
        <v>8069</v>
      </c>
      <c r="AZ39" s="1794">
        <v>413</v>
      </c>
    </row>
    <row r="40" spans="1:52" ht="15" customHeight="1" x14ac:dyDescent="0.25">
      <c r="A40" s="426" t="s">
        <v>94</v>
      </c>
      <c r="B40" s="442" t="s">
        <v>95</v>
      </c>
      <c r="C40" s="190" t="s">
        <v>264</v>
      </c>
      <c r="D40" s="428">
        <f t="shared" si="31"/>
        <v>1.9212076162159072E-2</v>
      </c>
      <c r="E40" s="429">
        <f t="shared" si="32"/>
        <v>2.4434840425531915E-2</v>
      </c>
      <c r="F40" s="430">
        <f t="shared" si="17"/>
        <v>3.1527673696606362E-2</v>
      </c>
      <c r="G40" s="430">
        <f t="shared" si="33"/>
        <v>3.1682027649769587E-2</v>
      </c>
      <c r="H40" s="430">
        <f t="shared" si="34"/>
        <v>3.0356130495284236E-2</v>
      </c>
      <c r="I40" s="430">
        <f t="shared" si="35"/>
        <v>3.0563083408611864E-2</v>
      </c>
      <c r="J40" s="430">
        <f t="shared" si="36"/>
        <v>2.6159509202453989E-2</v>
      </c>
      <c r="K40" s="430">
        <f t="shared" si="37"/>
        <v>2.4990219092331768E-2</v>
      </c>
      <c r="L40" s="430">
        <f t="shared" si="38"/>
        <v>3.4801574131145985E-2</v>
      </c>
      <c r="M40" s="430">
        <f t="shared" si="39"/>
        <v>6.2437155853483362E-2</v>
      </c>
      <c r="N40" s="430">
        <f t="shared" si="40"/>
        <v>6.8224441177961379E-2</v>
      </c>
      <c r="O40" s="431">
        <f t="shared" si="41"/>
        <v>6.0557043926603653E-2</v>
      </c>
      <c r="P40" s="432">
        <f t="shared" si="42"/>
        <v>5.5116504359353488E-2</v>
      </c>
      <c r="Q40" s="1529">
        <f t="shared" si="43"/>
        <v>5.1436679673643133E-2</v>
      </c>
      <c r="R40" s="1532">
        <f t="shared" si="44"/>
        <v>4.847359735973597E-2</v>
      </c>
      <c r="S40" s="1788">
        <f t="shared" si="30"/>
        <v>4.0712731793224904E-2</v>
      </c>
      <c r="T40" s="219"/>
      <c r="U40" s="433">
        <v>17489</v>
      </c>
      <c r="V40" s="434">
        <v>336</v>
      </c>
      <c r="W40" s="435">
        <v>18048</v>
      </c>
      <c r="X40" s="436">
        <v>441</v>
      </c>
      <c r="Y40" s="435">
        <v>18682</v>
      </c>
      <c r="Z40" s="436">
        <v>589</v>
      </c>
      <c r="AA40" s="435">
        <v>19096</v>
      </c>
      <c r="AB40" s="436">
        <v>605</v>
      </c>
      <c r="AC40" s="435">
        <v>19403</v>
      </c>
      <c r="AD40" s="436">
        <v>589</v>
      </c>
      <c r="AE40" s="435">
        <v>19926</v>
      </c>
      <c r="AF40" s="436">
        <v>609</v>
      </c>
      <c r="AG40" s="435">
        <v>20375</v>
      </c>
      <c r="AH40" s="436">
        <v>533</v>
      </c>
      <c r="AI40" s="435">
        <v>20448</v>
      </c>
      <c r="AJ40" s="436">
        <v>511</v>
      </c>
      <c r="AK40" s="435">
        <v>21091</v>
      </c>
      <c r="AL40" s="436">
        <v>734</v>
      </c>
      <c r="AM40" s="437">
        <v>20885</v>
      </c>
      <c r="AN40" s="436">
        <v>1304</v>
      </c>
      <c r="AO40" s="435">
        <v>19729</v>
      </c>
      <c r="AP40" s="436">
        <v>1346</v>
      </c>
      <c r="AQ40" s="438">
        <v>19783</v>
      </c>
      <c r="AR40" s="439">
        <v>1198</v>
      </c>
      <c r="AS40" s="440">
        <v>19613</v>
      </c>
      <c r="AT40" s="441">
        <v>1081</v>
      </c>
      <c r="AU40" s="440">
        <v>19733</v>
      </c>
      <c r="AV40" s="1538">
        <v>1015</v>
      </c>
      <c r="AW40" s="1541">
        <v>19392</v>
      </c>
      <c r="AX40" s="1542">
        <v>940</v>
      </c>
      <c r="AY40" s="1767">
        <v>19306</v>
      </c>
      <c r="AZ40" s="1794">
        <v>786</v>
      </c>
    </row>
    <row r="41" spans="1:52" ht="15" customHeight="1" x14ac:dyDescent="0.25">
      <c r="A41" s="426" t="s">
        <v>96</v>
      </c>
      <c r="B41" s="442" t="s">
        <v>97</v>
      </c>
      <c r="C41" s="190" t="s">
        <v>266</v>
      </c>
      <c r="D41" s="428">
        <f t="shared" si="31"/>
        <v>1.7375606453796683E-2</v>
      </c>
      <c r="E41" s="429">
        <f t="shared" si="32"/>
        <v>2.4967003959524857E-2</v>
      </c>
      <c r="F41" s="430">
        <f t="shared" si="17"/>
        <v>3.3479048939119307E-2</v>
      </c>
      <c r="G41" s="430">
        <f t="shared" si="33"/>
        <v>3.33782523064165E-2</v>
      </c>
      <c r="H41" s="430">
        <f t="shared" si="34"/>
        <v>3.2762397928699463E-2</v>
      </c>
      <c r="I41" s="430">
        <f t="shared" si="35"/>
        <v>2.9586935638808837E-2</v>
      </c>
      <c r="J41" s="430">
        <f t="shared" si="36"/>
        <v>2.4365482233502538E-2</v>
      </c>
      <c r="K41" s="430">
        <f t="shared" si="37"/>
        <v>2.4028906955736225E-2</v>
      </c>
      <c r="L41" s="430">
        <f t="shared" si="38"/>
        <v>3.3225778320397664E-2</v>
      </c>
      <c r="M41" s="430">
        <f t="shared" si="39"/>
        <v>6.7530875010948579E-2</v>
      </c>
      <c r="N41" s="430">
        <f t="shared" si="40"/>
        <v>6.4931650893796003E-2</v>
      </c>
      <c r="O41" s="431">
        <f t="shared" si="41"/>
        <v>5.7241379310344828E-2</v>
      </c>
      <c r="P41" s="432">
        <f t="shared" si="42"/>
        <v>4.9663597733711047E-2</v>
      </c>
      <c r="Q41" s="1529">
        <f t="shared" si="43"/>
        <v>4.6483073145062268E-2</v>
      </c>
      <c r="R41" s="1532">
        <f t="shared" si="44"/>
        <v>4.7469856641032947E-2</v>
      </c>
      <c r="S41" s="1788">
        <f t="shared" si="30"/>
        <v>4.1165413533834586E-2</v>
      </c>
      <c r="T41" s="219"/>
      <c r="U41" s="433">
        <v>8863</v>
      </c>
      <c r="V41" s="434">
        <v>154</v>
      </c>
      <c r="W41" s="435">
        <v>9092</v>
      </c>
      <c r="X41" s="436">
        <v>227</v>
      </c>
      <c r="Y41" s="435">
        <v>9379</v>
      </c>
      <c r="Z41" s="436">
        <v>314</v>
      </c>
      <c r="AA41" s="435">
        <v>9647</v>
      </c>
      <c r="AB41" s="436">
        <v>322</v>
      </c>
      <c r="AC41" s="435">
        <v>10042</v>
      </c>
      <c r="AD41" s="436">
        <v>329</v>
      </c>
      <c r="AE41" s="435">
        <v>10410</v>
      </c>
      <c r="AF41" s="436">
        <v>308</v>
      </c>
      <c r="AG41" s="435">
        <v>10835</v>
      </c>
      <c r="AH41" s="436">
        <v>264</v>
      </c>
      <c r="AI41" s="435">
        <v>11070</v>
      </c>
      <c r="AJ41" s="436">
        <v>266</v>
      </c>
      <c r="AK41" s="435">
        <v>11467</v>
      </c>
      <c r="AL41" s="436">
        <v>381</v>
      </c>
      <c r="AM41" s="437">
        <v>11417</v>
      </c>
      <c r="AN41" s="436">
        <v>771</v>
      </c>
      <c r="AO41" s="435">
        <v>11412</v>
      </c>
      <c r="AP41" s="436">
        <v>741</v>
      </c>
      <c r="AQ41" s="438">
        <v>11600</v>
      </c>
      <c r="AR41" s="439">
        <v>664</v>
      </c>
      <c r="AS41" s="440">
        <v>11296</v>
      </c>
      <c r="AT41" s="441">
        <v>561</v>
      </c>
      <c r="AU41" s="440">
        <v>11402</v>
      </c>
      <c r="AV41" s="1538">
        <v>530</v>
      </c>
      <c r="AW41" s="1541">
        <v>10533</v>
      </c>
      <c r="AX41" s="1542">
        <v>500</v>
      </c>
      <c r="AY41" s="1767">
        <v>10640</v>
      </c>
      <c r="AZ41" s="1794">
        <v>438</v>
      </c>
    </row>
    <row r="42" spans="1:52" ht="15" customHeight="1" x14ac:dyDescent="0.25">
      <c r="A42" s="426" t="s">
        <v>98</v>
      </c>
      <c r="B42" s="442" t="s">
        <v>99</v>
      </c>
      <c r="C42" s="190" t="s">
        <v>268</v>
      </c>
      <c r="D42" s="428">
        <f t="shared" si="31"/>
        <v>5.0851672261593935E-2</v>
      </c>
      <c r="E42" s="429">
        <f t="shared" si="32"/>
        <v>7.5638755375664057E-2</v>
      </c>
      <c r="F42" s="430">
        <f t="shared" si="17"/>
        <v>7.9582193484207905E-2</v>
      </c>
      <c r="G42" s="430">
        <f t="shared" si="33"/>
        <v>6.2772993884936984E-2</v>
      </c>
      <c r="H42" s="430">
        <f t="shared" si="34"/>
        <v>4.7662575084878561E-2</v>
      </c>
      <c r="I42" s="430">
        <f t="shared" si="35"/>
        <v>4.6333601933924252E-2</v>
      </c>
      <c r="J42" s="430">
        <f t="shared" si="36"/>
        <v>5.4438036292024192E-2</v>
      </c>
      <c r="K42" s="430">
        <f t="shared" si="37"/>
        <v>5.1495485327313767E-2</v>
      </c>
      <c r="L42" s="430">
        <f t="shared" si="38"/>
        <v>6.4772252402841624E-2</v>
      </c>
      <c r="M42" s="430">
        <f t="shared" si="39"/>
        <v>0.11080786026200873</v>
      </c>
      <c r="N42" s="430">
        <f t="shared" si="40"/>
        <v>0.1251616611582124</v>
      </c>
      <c r="O42" s="431">
        <f t="shared" si="41"/>
        <v>0.10685781850428613</v>
      </c>
      <c r="P42" s="432">
        <f t="shared" si="42"/>
        <v>9.6603303209722657E-2</v>
      </c>
      <c r="Q42" s="1529">
        <f t="shared" si="43"/>
        <v>9.7256473489519116E-2</v>
      </c>
      <c r="R42" s="1532">
        <f t="shared" si="44"/>
        <v>7.7387640449438203E-2</v>
      </c>
      <c r="S42" s="1788">
        <f t="shared" si="30"/>
        <v>5.8284404983531435E-2</v>
      </c>
      <c r="T42" s="219"/>
      <c r="U42" s="433">
        <v>8043</v>
      </c>
      <c r="V42" s="434">
        <v>409</v>
      </c>
      <c r="W42" s="435">
        <v>7906</v>
      </c>
      <c r="X42" s="436">
        <v>598</v>
      </c>
      <c r="Y42" s="435">
        <v>8042</v>
      </c>
      <c r="Z42" s="436">
        <v>640</v>
      </c>
      <c r="AA42" s="435">
        <v>8013</v>
      </c>
      <c r="AB42" s="436">
        <v>503</v>
      </c>
      <c r="AC42" s="435">
        <v>7658</v>
      </c>
      <c r="AD42" s="436">
        <v>365</v>
      </c>
      <c r="AE42" s="435">
        <v>7446</v>
      </c>
      <c r="AF42" s="436">
        <v>345</v>
      </c>
      <c r="AG42" s="435">
        <v>7109</v>
      </c>
      <c r="AH42" s="436">
        <v>387</v>
      </c>
      <c r="AI42" s="435">
        <v>7088</v>
      </c>
      <c r="AJ42" s="436">
        <v>365</v>
      </c>
      <c r="AK42" s="435">
        <v>7179</v>
      </c>
      <c r="AL42" s="436">
        <v>465</v>
      </c>
      <c r="AM42" s="437">
        <v>7328</v>
      </c>
      <c r="AN42" s="436">
        <v>812</v>
      </c>
      <c r="AO42" s="435">
        <v>6959</v>
      </c>
      <c r="AP42" s="436">
        <v>871</v>
      </c>
      <c r="AQ42" s="438">
        <v>6766</v>
      </c>
      <c r="AR42" s="439">
        <v>723</v>
      </c>
      <c r="AS42" s="440">
        <v>6418</v>
      </c>
      <c r="AT42" s="441">
        <v>620</v>
      </c>
      <c r="AU42" s="440">
        <v>6488</v>
      </c>
      <c r="AV42" s="1538">
        <v>631</v>
      </c>
      <c r="AW42" s="1541">
        <v>7120</v>
      </c>
      <c r="AX42" s="1542">
        <v>551</v>
      </c>
      <c r="AY42" s="1767">
        <v>6983</v>
      </c>
      <c r="AZ42" s="1794">
        <v>407</v>
      </c>
    </row>
    <row r="43" spans="1:52" ht="15" customHeight="1" x14ac:dyDescent="0.25">
      <c r="A43" s="426" t="s">
        <v>100</v>
      </c>
      <c r="B43" s="442" t="s">
        <v>101</v>
      </c>
      <c r="C43" s="190" t="s">
        <v>267</v>
      </c>
      <c r="D43" s="428">
        <f t="shared" si="31"/>
        <v>1.8323353293413173E-2</v>
      </c>
      <c r="E43" s="429">
        <f t="shared" si="32"/>
        <v>2.2833178005591797E-2</v>
      </c>
      <c r="F43" s="430">
        <f t="shared" si="17"/>
        <v>3.5230958505759982E-2</v>
      </c>
      <c r="G43" s="430">
        <f t="shared" si="33"/>
        <v>4.0628385698808236E-2</v>
      </c>
      <c r="H43" s="430">
        <f t="shared" si="34"/>
        <v>3.0635038825656845E-2</v>
      </c>
      <c r="I43" s="430">
        <f t="shared" si="35"/>
        <v>2.8909465020576133E-2</v>
      </c>
      <c r="J43" s="430">
        <f t="shared" si="36"/>
        <v>2.301563883151372E-2</v>
      </c>
      <c r="K43" s="430">
        <f t="shared" si="37"/>
        <v>2.1506413347478059E-2</v>
      </c>
      <c r="L43" s="430">
        <f t="shared" si="38"/>
        <v>3.2809871003925968E-2</v>
      </c>
      <c r="M43" s="430">
        <f t="shared" si="39"/>
        <v>6.0100166944908183E-2</v>
      </c>
      <c r="N43" s="430">
        <f t="shared" si="40"/>
        <v>6.1052031902772502E-2</v>
      </c>
      <c r="O43" s="431">
        <f t="shared" si="41"/>
        <v>5.4081632653061228E-2</v>
      </c>
      <c r="P43" s="432">
        <f t="shared" si="42"/>
        <v>4.9291207263967386E-2</v>
      </c>
      <c r="Q43" s="1529">
        <f t="shared" si="43"/>
        <v>4.1235207100591718E-2</v>
      </c>
      <c r="R43" s="1532">
        <f t="shared" si="44"/>
        <v>4.3500100462125782E-2</v>
      </c>
      <c r="S43" s="1788">
        <f t="shared" si="30"/>
        <v>3.6595147383196309E-2</v>
      </c>
      <c r="T43" s="219"/>
      <c r="U43" s="433">
        <v>8350</v>
      </c>
      <c r="V43" s="434">
        <v>153</v>
      </c>
      <c r="W43" s="435">
        <v>8584</v>
      </c>
      <c r="X43" s="436">
        <v>196</v>
      </c>
      <c r="Y43" s="435">
        <v>8941</v>
      </c>
      <c r="Z43" s="436">
        <v>315</v>
      </c>
      <c r="AA43" s="435">
        <v>9230</v>
      </c>
      <c r="AB43" s="436">
        <v>375</v>
      </c>
      <c r="AC43" s="435">
        <v>9401</v>
      </c>
      <c r="AD43" s="436">
        <v>288</v>
      </c>
      <c r="AE43" s="435">
        <v>9720</v>
      </c>
      <c r="AF43" s="436">
        <v>281</v>
      </c>
      <c r="AG43" s="435">
        <v>10167</v>
      </c>
      <c r="AH43" s="436">
        <v>234</v>
      </c>
      <c r="AI43" s="435">
        <v>10369</v>
      </c>
      <c r="AJ43" s="436">
        <v>223</v>
      </c>
      <c r="AK43" s="435">
        <v>10698</v>
      </c>
      <c r="AL43" s="436">
        <v>351</v>
      </c>
      <c r="AM43" s="437">
        <v>10782</v>
      </c>
      <c r="AN43" s="436">
        <v>648</v>
      </c>
      <c r="AO43" s="435">
        <v>10532</v>
      </c>
      <c r="AP43" s="436">
        <v>643</v>
      </c>
      <c r="AQ43" s="438">
        <v>10780</v>
      </c>
      <c r="AR43" s="439">
        <v>583</v>
      </c>
      <c r="AS43" s="440">
        <v>10793</v>
      </c>
      <c r="AT43" s="441">
        <v>532</v>
      </c>
      <c r="AU43" s="440">
        <v>10816</v>
      </c>
      <c r="AV43" s="1538">
        <v>446</v>
      </c>
      <c r="AW43" s="1541">
        <v>9954</v>
      </c>
      <c r="AX43" s="1542">
        <v>433</v>
      </c>
      <c r="AY43" s="1767">
        <v>9974</v>
      </c>
      <c r="AZ43" s="1794">
        <v>365</v>
      </c>
    </row>
    <row r="44" spans="1:52" ht="15" customHeight="1" x14ac:dyDescent="0.25">
      <c r="A44" s="426" t="s">
        <v>102</v>
      </c>
      <c r="B44" s="442" t="s">
        <v>103</v>
      </c>
      <c r="C44" s="190" t="s">
        <v>264</v>
      </c>
      <c r="D44" s="428">
        <f t="shared" si="31"/>
        <v>3.2649842271293375E-2</v>
      </c>
      <c r="E44" s="429">
        <f t="shared" si="32"/>
        <v>4.4612534732942265E-2</v>
      </c>
      <c r="F44" s="430">
        <f t="shared" si="17"/>
        <v>4.794414274631497E-2</v>
      </c>
      <c r="G44" s="430">
        <f t="shared" si="33"/>
        <v>5.8686809994189425E-2</v>
      </c>
      <c r="H44" s="430">
        <f t="shared" si="34"/>
        <v>6.6204772902232492E-2</v>
      </c>
      <c r="I44" s="430">
        <f t="shared" si="35"/>
        <v>5.451421430802874E-2</v>
      </c>
      <c r="J44" s="430">
        <f t="shared" si="36"/>
        <v>4.7027782089088935E-2</v>
      </c>
      <c r="K44" s="430">
        <f t="shared" si="37"/>
        <v>5.15417845970505E-2</v>
      </c>
      <c r="L44" s="430">
        <f t="shared" si="38"/>
        <v>6.2165678762469277E-2</v>
      </c>
      <c r="M44" s="430">
        <f t="shared" si="39"/>
        <v>0.1046812176909822</v>
      </c>
      <c r="N44" s="430">
        <f t="shared" si="40"/>
        <v>0.1126946811636791</v>
      </c>
      <c r="O44" s="431">
        <f t="shared" si="41"/>
        <v>0.10076157000585823</v>
      </c>
      <c r="P44" s="432">
        <f t="shared" si="42"/>
        <v>9.8780487804878053E-2</v>
      </c>
      <c r="Q44" s="1529">
        <f t="shared" si="43"/>
        <v>9.4935704080012701E-2</v>
      </c>
      <c r="R44" s="1532">
        <f t="shared" si="44"/>
        <v>7.2433086345077877E-2</v>
      </c>
      <c r="S44" s="1788">
        <f t="shared" si="30"/>
        <v>5.9694513715710724E-2</v>
      </c>
      <c r="T44" s="219"/>
      <c r="U44" s="443">
        <v>6340</v>
      </c>
      <c r="V44" s="444">
        <v>207</v>
      </c>
      <c r="W44" s="1475">
        <v>6478</v>
      </c>
      <c r="X44" s="1476">
        <v>289</v>
      </c>
      <c r="Y44" s="1475">
        <v>6445</v>
      </c>
      <c r="Z44" s="1476">
        <v>309</v>
      </c>
      <c r="AA44" s="1475">
        <v>6884</v>
      </c>
      <c r="AB44" s="1476">
        <v>404</v>
      </c>
      <c r="AC44" s="1475">
        <v>6495</v>
      </c>
      <c r="AD44" s="1476">
        <v>430</v>
      </c>
      <c r="AE44" s="1475">
        <v>6402</v>
      </c>
      <c r="AF44" s="1476">
        <v>349</v>
      </c>
      <c r="AG44" s="1475">
        <v>6443</v>
      </c>
      <c r="AH44" s="1476">
        <v>303</v>
      </c>
      <c r="AI44" s="1475">
        <v>6713</v>
      </c>
      <c r="AJ44" s="1476">
        <v>346</v>
      </c>
      <c r="AK44" s="1475">
        <v>6917</v>
      </c>
      <c r="AL44" s="1476">
        <v>430</v>
      </c>
      <c r="AM44" s="1477">
        <v>6964</v>
      </c>
      <c r="AN44" s="1476">
        <v>729</v>
      </c>
      <c r="AO44" s="1475">
        <v>6806</v>
      </c>
      <c r="AP44" s="1476">
        <v>767</v>
      </c>
      <c r="AQ44" s="438">
        <v>6828</v>
      </c>
      <c r="AR44" s="439">
        <v>688</v>
      </c>
      <c r="AS44" s="440">
        <v>6560</v>
      </c>
      <c r="AT44" s="441">
        <v>648</v>
      </c>
      <c r="AU44" s="440">
        <v>6299</v>
      </c>
      <c r="AV44" s="1538">
        <v>598</v>
      </c>
      <c r="AW44" s="1541">
        <v>6613</v>
      </c>
      <c r="AX44" s="1542">
        <v>479</v>
      </c>
      <c r="AY44" s="1767">
        <v>6416</v>
      </c>
      <c r="AZ44" s="1794">
        <v>383</v>
      </c>
    </row>
    <row r="45" spans="1:52" ht="15" customHeight="1" x14ac:dyDescent="0.25">
      <c r="A45" s="426" t="s">
        <v>104</v>
      </c>
      <c r="B45" s="442" t="s">
        <v>650</v>
      </c>
      <c r="C45" s="190" t="s">
        <v>265</v>
      </c>
      <c r="D45" s="428">
        <f t="shared" si="31"/>
        <v>4.9624246941183781E-2</v>
      </c>
      <c r="E45" s="429">
        <f t="shared" si="32"/>
        <v>7.2848477568914785E-2</v>
      </c>
      <c r="F45" s="430">
        <f t="shared" si="17"/>
        <v>0.10212690114068441</v>
      </c>
      <c r="G45" s="430">
        <f t="shared" si="33"/>
        <v>0.10154444849811504</v>
      </c>
      <c r="H45" s="430">
        <f t="shared" si="34"/>
        <v>7.5813421453990851E-2</v>
      </c>
      <c r="I45" s="430">
        <f t="shared" si="35"/>
        <v>6.0686181932640859E-2</v>
      </c>
      <c r="J45" s="430">
        <f t="shared" si="36"/>
        <v>5.8118899733806566E-2</v>
      </c>
      <c r="K45" s="430">
        <f t="shared" si="37"/>
        <v>6.4114270806157059E-2</v>
      </c>
      <c r="L45" s="430">
        <f t="shared" si="38"/>
        <v>6.8633047890897553E-2</v>
      </c>
      <c r="M45" s="430">
        <f t="shared" si="39"/>
        <v>0.11679711017459361</v>
      </c>
      <c r="N45" s="430">
        <f t="shared" si="40"/>
        <v>0.12400684512895734</v>
      </c>
      <c r="O45" s="431">
        <f t="shared" si="41"/>
        <v>0.11027397260273973</v>
      </c>
      <c r="P45" s="432">
        <f t="shared" si="42"/>
        <v>9.4667770911639165E-2</v>
      </c>
      <c r="Q45" s="1529">
        <f t="shared" si="43"/>
        <v>9.2465972266598501E-2</v>
      </c>
      <c r="R45" s="1532">
        <f t="shared" si="44"/>
        <v>7.808612440191387E-2</v>
      </c>
      <c r="S45" s="1788">
        <f t="shared" si="30"/>
        <v>6.3821456538762728E-2</v>
      </c>
      <c r="T45" s="219"/>
      <c r="U45" s="433">
        <v>16101</v>
      </c>
      <c r="V45" s="434">
        <v>799</v>
      </c>
      <c r="W45" s="435">
        <v>16651</v>
      </c>
      <c r="X45" s="436">
        <v>1213</v>
      </c>
      <c r="Y45" s="435">
        <v>16832</v>
      </c>
      <c r="Z45" s="436">
        <v>1719</v>
      </c>
      <c r="AA45" s="435">
        <v>16446</v>
      </c>
      <c r="AB45" s="436">
        <v>1670</v>
      </c>
      <c r="AC45" s="435">
        <v>15736</v>
      </c>
      <c r="AD45" s="436">
        <v>1193</v>
      </c>
      <c r="AE45" s="435">
        <v>15885</v>
      </c>
      <c r="AF45" s="436">
        <v>964</v>
      </c>
      <c r="AG45" s="435">
        <v>15778</v>
      </c>
      <c r="AH45" s="436">
        <v>917</v>
      </c>
      <c r="AI45" s="435">
        <v>15332</v>
      </c>
      <c r="AJ45" s="436">
        <v>983</v>
      </c>
      <c r="AK45" s="435">
        <v>15765</v>
      </c>
      <c r="AL45" s="436">
        <v>1082</v>
      </c>
      <c r="AM45" s="437">
        <v>16610</v>
      </c>
      <c r="AN45" s="436">
        <v>1940</v>
      </c>
      <c r="AO45" s="435">
        <v>16362</v>
      </c>
      <c r="AP45" s="436">
        <v>2029</v>
      </c>
      <c r="AQ45" s="438">
        <v>16060</v>
      </c>
      <c r="AR45" s="439">
        <v>1771</v>
      </c>
      <c r="AS45" s="440">
        <v>15697</v>
      </c>
      <c r="AT45" s="441">
        <v>1486</v>
      </c>
      <c r="AU45" s="440">
        <v>15649</v>
      </c>
      <c r="AV45" s="1538">
        <v>1447</v>
      </c>
      <c r="AW45" s="1541">
        <v>15675</v>
      </c>
      <c r="AX45" s="1542">
        <v>1224</v>
      </c>
      <c r="AY45" s="1767">
        <v>15324</v>
      </c>
      <c r="AZ45" s="1794">
        <v>978</v>
      </c>
    </row>
    <row r="46" spans="1:52" ht="15" customHeight="1" x14ac:dyDescent="0.25">
      <c r="A46" s="426" t="s">
        <v>108</v>
      </c>
      <c r="B46" s="442" t="s">
        <v>109</v>
      </c>
      <c r="C46" s="190" t="s">
        <v>266</v>
      </c>
      <c r="D46" s="428">
        <f t="shared" si="31"/>
        <v>1.6439981356722172E-2</v>
      </c>
      <c r="E46" s="429">
        <f t="shared" si="32"/>
        <v>2.5038155343810584E-2</v>
      </c>
      <c r="F46" s="430">
        <f t="shared" si="17"/>
        <v>3.271297197449699E-2</v>
      </c>
      <c r="G46" s="430">
        <f t="shared" si="33"/>
        <v>3.2354424486945726E-2</v>
      </c>
      <c r="H46" s="430">
        <f t="shared" si="34"/>
        <v>3.0360674263113289E-2</v>
      </c>
      <c r="I46" s="430">
        <f t="shared" si="35"/>
        <v>2.9299812466346064E-2</v>
      </c>
      <c r="J46" s="430">
        <f t="shared" si="36"/>
        <v>2.507888449121783E-2</v>
      </c>
      <c r="K46" s="430">
        <f t="shared" si="37"/>
        <v>2.4858632591613423E-2</v>
      </c>
      <c r="L46" s="430">
        <f t="shared" si="38"/>
        <v>3.441922037961323E-2</v>
      </c>
      <c r="M46" s="430">
        <f t="shared" si="39"/>
        <v>6.7749538652683128E-2</v>
      </c>
      <c r="N46" s="430">
        <f t="shared" si="40"/>
        <v>6.6994468346650279E-2</v>
      </c>
      <c r="O46" s="431">
        <f t="shared" si="41"/>
        <v>6.0957483898196232E-2</v>
      </c>
      <c r="P46" s="432">
        <f t="shared" si="42"/>
        <v>5.6196990424076609E-2</v>
      </c>
      <c r="Q46" s="1529">
        <f t="shared" si="43"/>
        <v>5.0495533853930755E-2</v>
      </c>
      <c r="R46" s="1532">
        <f t="shared" si="44"/>
        <v>4.5303415536155613E-2</v>
      </c>
      <c r="S46" s="1788">
        <f t="shared" si="30"/>
        <v>3.8510570487623498E-2</v>
      </c>
      <c r="T46" s="219"/>
      <c r="U46" s="433">
        <v>47202</v>
      </c>
      <c r="V46" s="434">
        <v>776</v>
      </c>
      <c r="W46" s="435">
        <v>48486</v>
      </c>
      <c r="X46" s="436">
        <v>1214</v>
      </c>
      <c r="Y46" s="435">
        <v>50347</v>
      </c>
      <c r="Z46" s="436">
        <v>1647</v>
      </c>
      <c r="AA46" s="435">
        <v>51554</v>
      </c>
      <c r="AB46" s="436">
        <v>1668</v>
      </c>
      <c r="AC46" s="435">
        <v>53095</v>
      </c>
      <c r="AD46" s="436">
        <v>1612</v>
      </c>
      <c r="AE46" s="435">
        <v>53857</v>
      </c>
      <c r="AF46" s="436">
        <v>1578</v>
      </c>
      <c r="AG46" s="435">
        <v>54827</v>
      </c>
      <c r="AH46" s="436">
        <v>1375</v>
      </c>
      <c r="AI46" s="435">
        <v>54468</v>
      </c>
      <c r="AJ46" s="436">
        <v>1354</v>
      </c>
      <c r="AK46" s="435">
        <v>55899</v>
      </c>
      <c r="AL46" s="436">
        <v>1924</v>
      </c>
      <c r="AM46" s="437">
        <v>54731</v>
      </c>
      <c r="AN46" s="436">
        <v>3708</v>
      </c>
      <c r="AO46" s="435">
        <v>53691</v>
      </c>
      <c r="AP46" s="436">
        <v>3597</v>
      </c>
      <c r="AQ46" s="438">
        <v>54497</v>
      </c>
      <c r="AR46" s="439">
        <v>3322</v>
      </c>
      <c r="AS46" s="440">
        <v>54825</v>
      </c>
      <c r="AT46" s="441">
        <v>3081</v>
      </c>
      <c r="AU46" s="440">
        <v>55193</v>
      </c>
      <c r="AV46" s="1538">
        <v>2787</v>
      </c>
      <c r="AW46" s="1541">
        <v>56243</v>
      </c>
      <c r="AX46" s="1542">
        <v>2548</v>
      </c>
      <c r="AY46" s="1767">
        <v>56478</v>
      </c>
      <c r="AZ46" s="1794">
        <v>2175</v>
      </c>
    </row>
    <row r="47" spans="1:52" ht="15" customHeight="1" x14ac:dyDescent="0.25">
      <c r="A47" s="426" t="s">
        <v>110</v>
      </c>
      <c r="B47" s="442" t="s">
        <v>111</v>
      </c>
      <c r="C47" s="190" t="s">
        <v>266</v>
      </c>
      <c r="D47" s="428">
        <f t="shared" si="31"/>
        <v>1.8059299191374664E-2</v>
      </c>
      <c r="E47" s="429">
        <f t="shared" si="32"/>
        <v>2.9352983562873032E-2</v>
      </c>
      <c r="F47" s="430">
        <f t="shared" si="17"/>
        <v>3.6631019630469497E-2</v>
      </c>
      <c r="G47" s="430">
        <f t="shared" si="33"/>
        <v>3.7052470054434454E-2</v>
      </c>
      <c r="H47" s="430">
        <f t="shared" si="34"/>
        <v>3.4427774621701185E-2</v>
      </c>
      <c r="I47" s="430">
        <f t="shared" si="35"/>
        <v>3.3550484462900175E-2</v>
      </c>
      <c r="J47" s="430">
        <f t="shared" si="36"/>
        <v>2.8531741562488267E-2</v>
      </c>
      <c r="K47" s="430">
        <f t="shared" si="37"/>
        <v>2.7845066244809175E-2</v>
      </c>
      <c r="L47" s="430">
        <f t="shared" si="38"/>
        <v>3.6416689227807358E-2</v>
      </c>
      <c r="M47" s="430">
        <f t="shared" si="39"/>
        <v>7.1342765616657769E-2</v>
      </c>
      <c r="N47" s="430">
        <f t="shared" si="40"/>
        <v>7.3396023291639162E-2</v>
      </c>
      <c r="O47" s="431">
        <f t="shared" si="41"/>
        <v>6.6215940550779548E-2</v>
      </c>
      <c r="P47" s="432">
        <f t="shared" si="42"/>
        <v>5.9157970906292531E-2</v>
      </c>
      <c r="Q47" s="1529">
        <f t="shared" si="43"/>
        <v>5.4472823423485028E-2</v>
      </c>
      <c r="R47" s="1532">
        <f t="shared" si="44"/>
        <v>5.0677719785346326E-2</v>
      </c>
      <c r="S47" s="1788">
        <f t="shared" si="30"/>
        <v>4.2766554433221103E-2</v>
      </c>
      <c r="T47" s="219"/>
      <c r="U47" s="433">
        <v>144690</v>
      </c>
      <c r="V47" s="434">
        <v>2613</v>
      </c>
      <c r="W47" s="435">
        <v>147106</v>
      </c>
      <c r="X47" s="436">
        <v>4318</v>
      </c>
      <c r="Y47" s="435">
        <v>149054</v>
      </c>
      <c r="Z47" s="436">
        <v>5460</v>
      </c>
      <c r="AA47" s="435">
        <v>151191</v>
      </c>
      <c r="AB47" s="436">
        <v>5602</v>
      </c>
      <c r="AC47" s="435">
        <v>154904</v>
      </c>
      <c r="AD47" s="436">
        <v>5333</v>
      </c>
      <c r="AE47" s="435">
        <v>157494</v>
      </c>
      <c r="AF47" s="436">
        <v>5284</v>
      </c>
      <c r="AG47" s="435">
        <v>159822</v>
      </c>
      <c r="AH47" s="436">
        <v>4560</v>
      </c>
      <c r="AI47" s="435">
        <v>161824</v>
      </c>
      <c r="AJ47" s="436">
        <v>4506</v>
      </c>
      <c r="AK47" s="435">
        <v>166215</v>
      </c>
      <c r="AL47" s="436">
        <v>6053</v>
      </c>
      <c r="AM47" s="437">
        <v>164824</v>
      </c>
      <c r="AN47" s="436">
        <v>11759</v>
      </c>
      <c r="AO47" s="435">
        <v>168129</v>
      </c>
      <c r="AP47" s="436">
        <v>12340</v>
      </c>
      <c r="AQ47" s="438">
        <v>171575</v>
      </c>
      <c r="AR47" s="439">
        <v>11361</v>
      </c>
      <c r="AS47" s="440">
        <v>174127</v>
      </c>
      <c r="AT47" s="441">
        <v>10301</v>
      </c>
      <c r="AU47" s="440">
        <v>175482</v>
      </c>
      <c r="AV47" s="1538">
        <v>9559</v>
      </c>
      <c r="AW47" s="1541">
        <v>176843</v>
      </c>
      <c r="AX47" s="1542">
        <v>8962</v>
      </c>
      <c r="AY47" s="1767">
        <v>178200</v>
      </c>
      <c r="AZ47" s="1794">
        <v>7621</v>
      </c>
    </row>
    <row r="48" spans="1:52" ht="15" customHeight="1" x14ac:dyDescent="0.25">
      <c r="A48" s="426" t="s">
        <v>112</v>
      </c>
      <c r="B48" s="442" t="s">
        <v>113</v>
      </c>
      <c r="C48" s="190" t="s">
        <v>265</v>
      </c>
      <c r="D48" s="428">
        <f t="shared" si="31"/>
        <v>5.4047942107643597E-2</v>
      </c>
      <c r="E48" s="429">
        <f t="shared" si="32"/>
        <v>6.2667809197372179E-2</v>
      </c>
      <c r="F48" s="430">
        <f t="shared" si="17"/>
        <v>0.10528577567683713</v>
      </c>
      <c r="G48" s="430">
        <f t="shared" si="33"/>
        <v>0.10082872928176796</v>
      </c>
      <c r="H48" s="430">
        <f t="shared" si="34"/>
        <v>9.7198381559588029E-2</v>
      </c>
      <c r="I48" s="430">
        <f t="shared" si="35"/>
        <v>7.2034434738574502E-2</v>
      </c>
      <c r="J48" s="430">
        <f t="shared" si="36"/>
        <v>5.1916185064410938E-2</v>
      </c>
      <c r="K48" s="430">
        <f t="shared" si="37"/>
        <v>6.0584914039205733E-2</v>
      </c>
      <c r="L48" s="430">
        <f t="shared" si="38"/>
        <v>8.7894921414225141E-2</v>
      </c>
      <c r="M48" s="430">
        <f t="shared" si="39"/>
        <v>0.15290147182900535</v>
      </c>
      <c r="N48" s="430">
        <f t="shared" si="40"/>
        <v>0.14967170059093893</v>
      </c>
      <c r="O48" s="431">
        <f t="shared" si="41"/>
        <v>0.12581699346405228</v>
      </c>
      <c r="P48" s="432">
        <f t="shared" si="42"/>
        <v>0.1077602969771964</v>
      </c>
      <c r="Q48" s="1529">
        <f t="shared" si="43"/>
        <v>9.6939486893474619E-2</v>
      </c>
      <c r="R48" s="1532">
        <f t="shared" si="44"/>
        <v>8.1516587677725114E-2</v>
      </c>
      <c r="S48" s="1788">
        <f t="shared" si="30"/>
        <v>6.9413846653905889E-2</v>
      </c>
      <c r="T48" s="219"/>
      <c r="U48" s="443">
        <v>35376</v>
      </c>
      <c r="V48" s="444">
        <v>1912</v>
      </c>
      <c r="W48" s="1475">
        <v>35010</v>
      </c>
      <c r="X48" s="1476">
        <v>2194</v>
      </c>
      <c r="Y48" s="1475">
        <v>34905</v>
      </c>
      <c r="Z48" s="1476">
        <v>3675</v>
      </c>
      <c r="AA48" s="1475">
        <v>34752</v>
      </c>
      <c r="AB48" s="1476">
        <v>3504</v>
      </c>
      <c r="AC48" s="1475">
        <v>32624</v>
      </c>
      <c r="AD48" s="1476">
        <v>3171</v>
      </c>
      <c r="AE48" s="1475">
        <v>31596</v>
      </c>
      <c r="AF48" s="1476">
        <v>2276</v>
      </c>
      <c r="AG48" s="1475">
        <v>30973</v>
      </c>
      <c r="AH48" s="1476">
        <v>1608</v>
      </c>
      <c r="AI48" s="1475">
        <v>31526</v>
      </c>
      <c r="AJ48" s="1476">
        <v>1910</v>
      </c>
      <c r="AK48" s="1475">
        <v>31367</v>
      </c>
      <c r="AL48" s="1476">
        <v>2757</v>
      </c>
      <c r="AM48" s="1477">
        <v>32001</v>
      </c>
      <c r="AN48" s="1476">
        <v>4893</v>
      </c>
      <c r="AO48" s="1475">
        <v>30460</v>
      </c>
      <c r="AP48" s="1476">
        <v>4559</v>
      </c>
      <c r="AQ48" s="438">
        <v>29376</v>
      </c>
      <c r="AR48" s="439">
        <v>3696</v>
      </c>
      <c r="AS48" s="440">
        <v>28285</v>
      </c>
      <c r="AT48" s="441">
        <v>3048</v>
      </c>
      <c r="AU48" s="440">
        <v>28688</v>
      </c>
      <c r="AV48" s="1538">
        <v>2781</v>
      </c>
      <c r="AW48" s="1541">
        <v>28485</v>
      </c>
      <c r="AX48" s="1542">
        <v>2322</v>
      </c>
      <c r="AY48" s="1767">
        <v>27689</v>
      </c>
      <c r="AZ48" s="1794">
        <v>1922</v>
      </c>
    </row>
    <row r="49" spans="1:52" ht="15" customHeight="1" x14ac:dyDescent="0.25">
      <c r="A49" s="426" t="s">
        <v>114</v>
      </c>
      <c r="B49" s="442" t="s">
        <v>115</v>
      </c>
      <c r="C49" s="190" t="s">
        <v>265</v>
      </c>
      <c r="D49" s="428">
        <f t="shared" si="31"/>
        <v>2.8350515463917526E-2</v>
      </c>
      <c r="E49" s="429">
        <f t="shared" si="32"/>
        <v>3.1774051191526917E-2</v>
      </c>
      <c r="F49" s="430">
        <f t="shared" si="17"/>
        <v>3.9007092198581561E-2</v>
      </c>
      <c r="G49" s="430">
        <f t="shared" si="33"/>
        <v>4.1771094402673348E-2</v>
      </c>
      <c r="H49" s="430">
        <f t="shared" si="34"/>
        <v>3.3940397350993377E-2</v>
      </c>
      <c r="I49" s="430">
        <f t="shared" si="35"/>
        <v>3.4424853064651553E-2</v>
      </c>
      <c r="J49" s="430">
        <f t="shared" si="36"/>
        <v>3.1802120141342753E-2</v>
      </c>
      <c r="K49" s="430">
        <f t="shared" si="37"/>
        <v>3.3898305084745763E-2</v>
      </c>
      <c r="L49" s="430">
        <f t="shared" si="38"/>
        <v>5.0699300699300696E-2</v>
      </c>
      <c r="M49" s="430">
        <f t="shared" si="39"/>
        <v>7.8111587982832617E-2</v>
      </c>
      <c r="N49" s="430">
        <f t="shared" si="40"/>
        <v>7.9252003561887802E-2</v>
      </c>
      <c r="O49" s="431">
        <f t="shared" si="41"/>
        <v>7.1808510638297879E-2</v>
      </c>
      <c r="P49" s="432">
        <f t="shared" si="42"/>
        <v>6.2444246208742192E-2</v>
      </c>
      <c r="Q49" s="1529">
        <f t="shared" si="43"/>
        <v>5.6066176470588237E-2</v>
      </c>
      <c r="R49" s="1532">
        <f t="shared" si="44"/>
        <v>3.8354253835425386E-2</v>
      </c>
      <c r="S49" s="1788">
        <f t="shared" si="30"/>
        <v>3.5398230088495575E-2</v>
      </c>
      <c r="T49" s="219"/>
      <c r="U49" s="433">
        <v>1164</v>
      </c>
      <c r="V49" s="434">
        <v>33</v>
      </c>
      <c r="W49" s="435">
        <v>1133</v>
      </c>
      <c r="X49" s="436">
        <v>36</v>
      </c>
      <c r="Y49" s="435">
        <v>1128</v>
      </c>
      <c r="Z49" s="436">
        <v>44</v>
      </c>
      <c r="AA49" s="435">
        <v>1197</v>
      </c>
      <c r="AB49" s="436">
        <v>50</v>
      </c>
      <c r="AC49" s="435">
        <v>1208</v>
      </c>
      <c r="AD49" s="436">
        <v>41</v>
      </c>
      <c r="AE49" s="435">
        <v>1191</v>
      </c>
      <c r="AF49" s="436">
        <v>41</v>
      </c>
      <c r="AG49" s="435">
        <v>1132</v>
      </c>
      <c r="AH49" s="436">
        <v>36</v>
      </c>
      <c r="AI49" s="435">
        <v>1121</v>
      </c>
      <c r="AJ49" s="436">
        <v>38</v>
      </c>
      <c r="AK49" s="435">
        <v>1144</v>
      </c>
      <c r="AL49" s="436">
        <v>58</v>
      </c>
      <c r="AM49" s="437">
        <v>1165</v>
      </c>
      <c r="AN49" s="436">
        <v>91</v>
      </c>
      <c r="AO49" s="435">
        <v>1123</v>
      </c>
      <c r="AP49" s="436">
        <v>89</v>
      </c>
      <c r="AQ49" s="438">
        <v>1128</v>
      </c>
      <c r="AR49" s="439">
        <v>81</v>
      </c>
      <c r="AS49" s="440">
        <v>1121</v>
      </c>
      <c r="AT49" s="441">
        <v>70</v>
      </c>
      <c r="AU49" s="440">
        <v>1088</v>
      </c>
      <c r="AV49" s="1538">
        <v>61</v>
      </c>
      <c r="AW49" s="1541">
        <v>1434</v>
      </c>
      <c r="AX49" s="1542">
        <v>55</v>
      </c>
      <c r="AY49" s="1767">
        <v>1356</v>
      </c>
      <c r="AZ49" s="1794">
        <v>48</v>
      </c>
    </row>
    <row r="50" spans="1:52" ht="15" customHeight="1" x14ac:dyDescent="0.25">
      <c r="A50" s="426" t="s">
        <v>118</v>
      </c>
      <c r="B50" s="442" t="s">
        <v>119</v>
      </c>
      <c r="C50" s="190" t="s">
        <v>264</v>
      </c>
      <c r="D50" s="428">
        <f t="shared" si="31"/>
        <v>2.1593899723328161E-2</v>
      </c>
      <c r="E50" s="429">
        <f t="shared" si="32"/>
        <v>2.6667536023994264E-2</v>
      </c>
      <c r="F50" s="430">
        <f t="shared" si="17"/>
        <v>3.4725274725274723E-2</v>
      </c>
      <c r="G50" s="430">
        <f t="shared" si="33"/>
        <v>3.565571281054486E-2</v>
      </c>
      <c r="H50" s="430">
        <f t="shared" si="34"/>
        <v>3.3994669825288718E-2</v>
      </c>
      <c r="I50" s="430">
        <f t="shared" si="35"/>
        <v>3.6443732478974769E-2</v>
      </c>
      <c r="J50" s="430">
        <f t="shared" si="36"/>
        <v>3.0549786861952127E-2</v>
      </c>
      <c r="K50" s="430">
        <f t="shared" si="37"/>
        <v>2.886642521217363E-2</v>
      </c>
      <c r="L50" s="430">
        <f t="shared" si="38"/>
        <v>3.6818158046127293E-2</v>
      </c>
      <c r="M50" s="430">
        <f t="shared" si="39"/>
        <v>6.442562202223398E-2</v>
      </c>
      <c r="N50" s="430">
        <f t="shared" si="40"/>
        <v>7.4087902709622358E-2</v>
      </c>
      <c r="O50" s="431">
        <f t="shared" si="41"/>
        <v>6.8190253990137339E-2</v>
      </c>
      <c r="P50" s="432">
        <f t="shared" si="42"/>
        <v>6.0338365992076239E-2</v>
      </c>
      <c r="Q50" s="1529">
        <f t="shared" si="43"/>
        <v>5.6271294718909709E-2</v>
      </c>
      <c r="R50" s="1532">
        <f t="shared" si="44"/>
        <v>5.2690049198539916E-2</v>
      </c>
      <c r="S50" s="1788">
        <f t="shared" si="30"/>
        <v>4.5763071375543536E-2</v>
      </c>
      <c r="T50" s="219"/>
      <c r="U50" s="433">
        <v>14819</v>
      </c>
      <c r="V50" s="434">
        <v>320</v>
      </c>
      <c r="W50" s="435">
        <v>15337</v>
      </c>
      <c r="X50" s="436">
        <v>409</v>
      </c>
      <c r="Y50" s="435">
        <v>15925</v>
      </c>
      <c r="Z50" s="436">
        <v>553</v>
      </c>
      <c r="AA50" s="435">
        <v>16463</v>
      </c>
      <c r="AB50" s="436">
        <v>587</v>
      </c>
      <c r="AC50" s="435">
        <v>16885</v>
      </c>
      <c r="AD50" s="436">
        <v>574</v>
      </c>
      <c r="AE50" s="435">
        <v>17479</v>
      </c>
      <c r="AF50" s="436">
        <v>637</v>
      </c>
      <c r="AG50" s="435">
        <v>18298</v>
      </c>
      <c r="AH50" s="436">
        <v>559</v>
      </c>
      <c r="AI50" s="435">
        <v>18499</v>
      </c>
      <c r="AJ50" s="436">
        <v>534</v>
      </c>
      <c r="AK50" s="435">
        <v>19121</v>
      </c>
      <c r="AL50" s="436">
        <v>704</v>
      </c>
      <c r="AM50" s="437">
        <v>18890</v>
      </c>
      <c r="AN50" s="436">
        <v>1217</v>
      </c>
      <c r="AO50" s="435">
        <v>18748</v>
      </c>
      <c r="AP50" s="436">
        <v>1389</v>
      </c>
      <c r="AQ50" s="438">
        <v>18859</v>
      </c>
      <c r="AR50" s="439">
        <v>1286</v>
      </c>
      <c r="AS50" s="440">
        <v>18678</v>
      </c>
      <c r="AT50" s="441">
        <v>1127</v>
      </c>
      <c r="AU50" s="440">
        <v>18784</v>
      </c>
      <c r="AV50" s="1538">
        <v>1057</v>
      </c>
      <c r="AW50" s="1541">
        <v>18903</v>
      </c>
      <c r="AX50" s="1542">
        <v>996</v>
      </c>
      <c r="AY50" s="1767">
        <v>18858</v>
      </c>
      <c r="AZ50" s="1794">
        <v>863</v>
      </c>
    </row>
    <row r="51" spans="1:52" ht="15" customHeight="1" x14ac:dyDescent="0.25">
      <c r="A51" s="426" t="s">
        <v>120</v>
      </c>
      <c r="B51" s="442" t="s">
        <v>121</v>
      </c>
      <c r="C51" s="190" t="s">
        <v>264</v>
      </c>
      <c r="D51" s="428">
        <f t="shared" si="31"/>
        <v>1.9565499071394637E-2</v>
      </c>
      <c r="E51" s="429">
        <f t="shared" si="32"/>
        <v>2.5278225973273758E-2</v>
      </c>
      <c r="F51" s="430">
        <f t="shared" si="17"/>
        <v>3.2810662485299881E-2</v>
      </c>
      <c r="G51" s="430">
        <f t="shared" si="33"/>
        <v>3.3176248821866164E-2</v>
      </c>
      <c r="H51" s="430">
        <f t="shared" si="34"/>
        <v>3.3103994812866973E-2</v>
      </c>
      <c r="I51" s="430">
        <f t="shared" si="35"/>
        <v>3.1131359149582385E-2</v>
      </c>
      <c r="J51" s="430">
        <f t="shared" si="36"/>
        <v>2.6343519494204427E-2</v>
      </c>
      <c r="K51" s="430">
        <f t="shared" si="37"/>
        <v>2.4816441694187053E-2</v>
      </c>
      <c r="L51" s="430">
        <f t="shared" si="38"/>
        <v>3.1770977781886534E-2</v>
      </c>
      <c r="M51" s="430">
        <f t="shared" si="39"/>
        <v>5.5722658066916807E-2</v>
      </c>
      <c r="N51" s="430">
        <f t="shared" si="40"/>
        <v>6.2990052662375659E-2</v>
      </c>
      <c r="O51" s="431">
        <f t="shared" si="41"/>
        <v>6.0007422421422249E-2</v>
      </c>
      <c r="P51" s="432">
        <f t="shared" si="42"/>
        <v>5.5816068434364964E-2</v>
      </c>
      <c r="Q51" s="1529">
        <f t="shared" si="43"/>
        <v>5.2170719995480612E-2</v>
      </c>
      <c r="R51" s="1532">
        <f t="shared" si="44"/>
        <v>4.9621704693226153E-2</v>
      </c>
      <c r="S51" s="1788">
        <f t="shared" si="30"/>
        <v>4.3073882462361213E-2</v>
      </c>
      <c r="T51" s="219"/>
      <c r="U51" s="433">
        <v>23153</v>
      </c>
      <c r="V51" s="434">
        <v>453</v>
      </c>
      <c r="W51" s="435">
        <v>24171</v>
      </c>
      <c r="X51" s="436">
        <v>611</v>
      </c>
      <c r="Y51" s="435">
        <v>25510</v>
      </c>
      <c r="Z51" s="436">
        <v>837</v>
      </c>
      <c r="AA51" s="435">
        <v>26525</v>
      </c>
      <c r="AB51" s="436">
        <v>880</v>
      </c>
      <c r="AC51" s="435">
        <v>27761</v>
      </c>
      <c r="AD51" s="436">
        <v>919</v>
      </c>
      <c r="AE51" s="435">
        <v>28974</v>
      </c>
      <c r="AF51" s="436">
        <v>902</v>
      </c>
      <c r="AG51" s="435">
        <v>30368</v>
      </c>
      <c r="AH51" s="436">
        <v>800</v>
      </c>
      <c r="AI51" s="435">
        <v>31189</v>
      </c>
      <c r="AJ51" s="436">
        <v>774</v>
      </c>
      <c r="AK51" s="435">
        <v>32451</v>
      </c>
      <c r="AL51" s="436">
        <v>1031</v>
      </c>
      <c r="AM51" s="437">
        <v>32249</v>
      </c>
      <c r="AN51" s="436">
        <v>1797</v>
      </c>
      <c r="AO51" s="435">
        <v>34180</v>
      </c>
      <c r="AP51" s="436">
        <v>2153</v>
      </c>
      <c r="AQ51" s="438">
        <v>35029</v>
      </c>
      <c r="AR51" s="439">
        <v>2102</v>
      </c>
      <c r="AS51" s="440">
        <v>35187</v>
      </c>
      <c r="AT51" s="441">
        <v>1964</v>
      </c>
      <c r="AU51" s="440">
        <v>35403</v>
      </c>
      <c r="AV51" s="1538">
        <v>1847</v>
      </c>
      <c r="AW51" s="1541">
        <v>33836</v>
      </c>
      <c r="AX51" s="1542">
        <v>1679</v>
      </c>
      <c r="AY51" s="1767">
        <v>34406</v>
      </c>
      <c r="AZ51" s="1794">
        <v>1482</v>
      </c>
    </row>
    <row r="52" spans="1:52" ht="15" customHeight="1" x14ac:dyDescent="0.25">
      <c r="A52" s="426" t="s">
        <v>122</v>
      </c>
      <c r="B52" s="442" t="s">
        <v>271</v>
      </c>
      <c r="C52" s="190" t="s">
        <v>266</v>
      </c>
      <c r="D52" s="428">
        <f t="shared" si="31"/>
        <v>2.5461489497135583E-2</v>
      </c>
      <c r="E52" s="429">
        <f t="shared" si="32"/>
        <v>3.2760814249363869E-2</v>
      </c>
      <c r="F52" s="430">
        <f t="shared" si="17"/>
        <v>4.3698543381887271E-2</v>
      </c>
      <c r="G52" s="430">
        <f t="shared" si="33"/>
        <v>4.5167403663929247E-2</v>
      </c>
      <c r="H52" s="430">
        <f t="shared" si="34"/>
        <v>3.7434795949677815E-2</v>
      </c>
      <c r="I52" s="430">
        <f t="shared" si="35"/>
        <v>3.8976857490864797E-2</v>
      </c>
      <c r="J52" s="430">
        <f t="shared" si="36"/>
        <v>3.3263410248726401E-2</v>
      </c>
      <c r="K52" s="430">
        <f t="shared" si="37"/>
        <v>3.5294117647058823E-2</v>
      </c>
      <c r="L52" s="430">
        <f t="shared" si="38"/>
        <v>4.5915324985092425E-2</v>
      </c>
      <c r="M52" s="430">
        <f t="shared" si="39"/>
        <v>8.3078802687843623E-2</v>
      </c>
      <c r="N52" s="430">
        <f t="shared" si="40"/>
        <v>8.6086692937253712E-2</v>
      </c>
      <c r="O52" s="431">
        <f t="shared" si="41"/>
        <v>7.8208955223880591E-2</v>
      </c>
      <c r="P52" s="432">
        <f t="shared" si="42"/>
        <v>7.0581257413997622E-2</v>
      </c>
      <c r="Q52" s="1529">
        <f t="shared" si="43"/>
        <v>6.3164108618654069E-2</v>
      </c>
      <c r="R52" s="1532">
        <f t="shared" si="44"/>
        <v>5.7760744593484806E-2</v>
      </c>
      <c r="S52" s="1788">
        <f t="shared" si="30"/>
        <v>4.8453326033397207E-2</v>
      </c>
      <c r="T52" s="219"/>
      <c r="U52" s="433">
        <v>3142</v>
      </c>
      <c r="V52" s="434">
        <v>80</v>
      </c>
      <c r="W52" s="435">
        <v>3144</v>
      </c>
      <c r="X52" s="436">
        <v>103</v>
      </c>
      <c r="Y52" s="435">
        <v>3158</v>
      </c>
      <c r="Z52" s="436">
        <v>138</v>
      </c>
      <c r="AA52" s="435">
        <v>3166</v>
      </c>
      <c r="AB52" s="436">
        <v>143</v>
      </c>
      <c r="AC52" s="435">
        <v>3259</v>
      </c>
      <c r="AD52" s="436">
        <v>122</v>
      </c>
      <c r="AE52" s="435">
        <v>3284</v>
      </c>
      <c r="AF52" s="436">
        <v>128</v>
      </c>
      <c r="AG52" s="435">
        <v>3337</v>
      </c>
      <c r="AH52" s="436">
        <v>111</v>
      </c>
      <c r="AI52" s="435">
        <v>3315</v>
      </c>
      <c r="AJ52" s="436">
        <v>117</v>
      </c>
      <c r="AK52" s="435">
        <v>3354</v>
      </c>
      <c r="AL52" s="436">
        <v>154</v>
      </c>
      <c r="AM52" s="437">
        <v>3274</v>
      </c>
      <c r="AN52" s="436">
        <v>272</v>
      </c>
      <c r="AO52" s="435">
        <v>3299</v>
      </c>
      <c r="AP52" s="436">
        <v>284</v>
      </c>
      <c r="AQ52" s="438">
        <v>3350</v>
      </c>
      <c r="AR52" s="439">
        <v>262</v>
      </c>
      <c r="AS52" s="440">
        <v>3372</v>
      </c>
      <c r="AT52" s="441">
        <v>238</v>
      </c>
      <c r="AU52" s="440">
        <v>3388</v>
      </c>
      <c r="AV52" s="1538">
        <v>214</v>
      </c>
      <c r="AW52" s="1541">
        <v>3653</v>
      </c>
      <c r="AX52" s="1542">
        <v>211</v>
      </c>
      <c r="AY52" s="1767">
        <v>3653</v>
      </c>
      <c r="AZ52" s="1794">
        <v>177</v>
      </c>
    </row>
    <row r="53" spans="1:52" ht="15" customHeight="1" x14ac:dyDescent="0.25">
      <c r="A53" s="426" t="s">
        <v>124</v>
      </c>
      <c r="B53" s="442" t="s">
        <v>125</v>
      </c>
      <c r="C53" s="190" t="s">
        <v>267</v>
      </c>
      <c r="D53" s="428">
        <f t="shared" si="31"/>
        <v>1.9267592149353759E-2</v>
      </c>
      <c r="E53" s="429">
        <f t="shared" si="32"/>
        <v>2.4404282260849546E-2</v>
      </c>
      <c r="F53" s="430">
        <f t="shared" si="17"/>
        <v>3.1165311653116531E-2</v>
      </c>
      <c r="G53" s="430">
        <f t="shared" si="33"/>
        <v>3.22969126341143E-2</v>
      </c>
      <c r="H53" s="430">
        <f t="shared" si="34"/>
        <v>3.0739466895958727E-2</v>
      </c>
      <c r="I53" s="430">
        <f t="shared" si="35"/>
        <v>3.3298319327731092E-2</v>
      </c>
      <c r="J53" s="430">
        <f t="shared" si="36"/>
        <v>3.3385992627698792E-2</v>
      </c>
      <c r="K53" s="430">
        <f t="shared" si="37"/>
        <v>3.5457182765660254E-2</v>
      </c>
      <c r="L53" s="430">
        <f t="shared" si="38"/>
        <v>5.0921134340716205E-2</v>
      </c>
      <c r="M53" s="430">
        <f t="shared" si="39"/>
        <v>7.8471411901983659E-2</v>
      </c>
      <c r="N53" s="430">
        <f t="shared" si="40"/>
        <v>8.1770222743259083E-2</v>
      </c>
      <c r="O53" s="431">
        <f t="shared" si="41"/>
        <v>7.6378398791540791E-2</v>
      </c>
      <c r="P53" s="432">
        <f t="shared" si="42"/>
        <v>7.1326676176890161E-2</v>
      </c>
      <c r="Q53" s="1529">
        <f t="shared" si="43"/>
        <v>6.2604651162790695E-2</v>
      </c>
      <c r="R53" s="1532">
        <f t="shared" si="44"/>
        <v>5.260998030203546E-2</v>
      </c>
      <c r="S53" s="1788">
        <f t="shared" si="30"/>
        <v>4.7433452193382533E-2</v>
      </c>
      <c r="T53" s="219"/>
      <c r="U53" s="433">
        <v>8356</v>
      </c>
      <c r="V53" s="434">
        <v>161</v>
      </c>
      <c r="W53" s="435">
        <v>8687</v>
      </c>
      <c r="X53" s="436">
        <v>212</v>
      </c>
      <c r="Y53" s="435">
        <v>8856</v>
      </c>
      <c r="Z53" s="436">
        <v>276</v>
      </c>
      <c r="AA53" s="435">
        <v>9134</v>
      </c>
      <c r="AB53" s="436">
        <v>295</v>
      </c>
      <c r="AC53" s="435">
        <v>9304</v>
      </c>
      <c r="AD53" s="436">
        <v>286</v>
      </c>
      <c r="AE53" s="435">
        <v>9520</v>
      </c>
      <c r="AF53" s="436">
        <v>317</v>
      </c>
      <c r="AG53" s="435">
        <v>9495</v>
      </c>
      <c r="AH53" s="436">
        <v>317</v>
      </c>
      <c r="AI53" s="435">
        <v>9307</v>
      </c>
      <c r="AJ53" s="436">
        <v>330</v>
      </c>
      <c r="AK53" s="435">
        <v>9662</v>
      </c>
      <c r="AL53" s="436">
        <v>492</v>
      </c>
      <c r="AM53" s="437">
        <v>10284</v>
      </c>
      <c r="AN53" s="436">
        <v>807</v>
      </c>
      <c r="AO53" s="435">
        <v>10236</v>
      </c>
      <c r="AP53" s="436">
        <v>837</v>
      </c>
      <c r="AQ53" s="438">
        <v>10592</v>
      </c>
      <c r="AR53" s="439">
        <v>809</v>
      </c>
      <c r="AS53" s="440">
        <v>10515</v>
      </c>
      <c r="AT53" s="441">
        <v>750</v>
      </c>
      <c r="AU53" s="440">
        <v>10750</v>
      </c>
      <c r="AV53" s="1538">
        <v>673</v>
      </c>
      <c r="AW53" s="1541">
        <v>12184</v>
      </c>
      <c r="AX53" s="1542">
        <v>641</v>
      </c>
      <c r="AY53" s="1767">
        <v>12059</v>
      </c>
      <c r="AZ53" s="1794">
        <v>572</v>
      </c>
    </row>
    <row r="54" spans="1:52" ht="15" customHeight="1" x14ac:dyDescent="0.25">
      <c r="A54" s="426" t="s">
        <v>126</v>
      </c>
      <c r="B54" s="442" t="s">
        <v>127</v>
      </c>
      <c r="C54" s="190" t="s">
        <v>266</v>
      </c>
      <c r="D54" s="428">
        <f t="shared" si="31"/>
        <v>1.8749105481608703E-2</v>
      </c>
      <c r="E54" s="429">
        <f t="shared" si="32"/>
        <v>2.9227557411273485E-2</v>
      </c>
      <c r="F54" s="430">
        <f t="shared" si="17"/>
        <v>3.6183764737769346E-2</v>
      </c>
      <c r="G54" s="430">
        <f t="shared" si="33"/>
        <v>3.6243386243386244E-2</v>
      </c>
      <c r="H54" s="430">
        <f t="shared" si="34"/>
        <v>3.350148751778554E-2</v>
      </c>
      <c r="I54" s="430">
        <f t="shared" si="35"/>
        <v>3.453906053755338E-2</v>
      </c>
      <c r="J54" s="430">
        <f t="shared" si="36"/>
        <v>2.7105168052041922E-2</v>
      </c>
      <c r="K54" s="430">
        <f t="shared" si="37"/>
        <v>2.7315914489311165E-2</v>
      </c>
      <c r="L54" s="430">
        <f t="shared" si="38"/>
        <v>3.7505699954400368E-2</v>
      </c>
      <c r="M54" s="430">
        <f t="shared" si="39"/>
        <v>7.2744014732965004E-2</v>
      </c>
      <c r="N54" s="430">
        <f t="shared" si="40"/>
        <v>7.5633250089190154E-2</v>
      </c>
      <c r="O54" s="431">
        <f t="shared" si="41"/>
        <v>7.1035048646114166E-2</v>
      </c>
      <c r="P54" s="432">
        <f t="shared" si="42"/>
        <v>6.3877168307548055E-2</v>
      </c>
      <c r="Q54" s="1529">
        <f t="shared" si="43"/>
        <v>5.6676384839650144E-2</v>
      </c>
      <c r="R54" s="1532">
        <f t="shared" si="44"/>
        <v>5.1767104666968738E-2</v>
      </c>
      <c r="S54" s="1788">
        <f t="shared" si="30"/>
        <v>4.2111237230419978E-2</v>
      </c>
      <c r="T54" s="190"/>
      <c r="U54" s="443">
        <v>6987</v>
      </c>
      <c r="V54" s="444">
        <v>131</v>
      </c>
      <c r="W54" s="435">
        <v>7185</v>
      </c>
      <c r="X54" s="436">
        <v>210</v>
      </c>
      <c r="Y54" s="435">
        <v>7379</v>
      </c>
      <c r="Z54" s="436">
        <v>267</v>
      </c>
      <c r="AA54" s="435">
        <v>7560</v>
      </c>
      <c r="AB54" s="436">
        <v>274</v>
      </c>
      <c r="AC54" s="461">
        <v>7731</v>
      </c>
      <c r="AD54" s="439">
        <v>259</v>
      </c>
      <c r="AE54" s="461">
        <v>7962</v>
      </c>
      <c r="AF54" s="439">
        <v>275</v>
      </c>
      <c r="AG54" s="461">
        <v>8301</v>
      </c>
      <c r="AH54" s="439">
        <v>225</v>
      </c>
      <c r="AI54" s="461">
        <v>8420</v>
      </c>
      <c r="AJ54" s="439">
        <v>230</v>
      </c>
      <c r="AK54" s="461">
        <v>8772</v>
      </c>
      <c r="AL54" s="439">
        <v>329</v>
      </c>
      <c r="AM54" s="445">
        <v>8688</v>
      </c>
      <c r="AN54" s="439">
        <v>632</v>
      </c>
      <c r="AO54" s="435">
        <v>8409</v>
      </c>
      <c r="AP54" s="436">
        <v>636</v>
      </c>
      <c r="AQ54" s="438">
        <v>8531</v>
      </c>
      <c r="AR54" s="439">
        <v>606</v>
      </c>
      <c r="AS54" s="440">
        <v>8532</v>
      </c>
      <c r="AT54" s="441">
        <v>545</v>
      </c>
      <c r="AU54" s="440">
        <v>8575</v>
      </c>
      <c r="AV54" s="1538">
        <v>486</v>
      </c>
      <c r="AW54" s="1541">
        <v>8828</v>
      </c>
      <c r="AX54" s="1542">
        <v>457</v>
      </c>
      <c r="AY54" s="1767">
        <v>8810</v>
      </c>
      <c r="AZ54" s="1794">
        <v>371</v>
      </c>
    </row>
    <row r="55" spans="1:52" ht="15" customHeight="1" x14ac:dyDescent="0.25">
      <c r="A55" s="426" t="s">
        <v>128</v>
      </c>
      <c r="B55" s="442" t="s">
        <v>129</v>
      </c>
      <c r="C55" s="190" t="s">
        <v>266</v>
      </c>
      <c r="D55" s="428">
        <f t="shared" si="31"/>
        <v>5.73208722741433E-2</v>
      </c>
      <c r="E55" s="429">
        <f t="shared" si="32"/>
        <v>6.1216188732967254E-2</v>
      </c>
      <c r="F55" s="430">
        <f t="shared" si="17"/>
        <v>6.3751926040061635E-2</v>
      </c>
      <c r="G55" s="430">
        <f t="shared" si="33"/>
        <v>5.5094339622641507E-2</v>
      </c>
      <c r="H55" s="430">
        <f t="shared" si="34"/>
        <v>5.5384021613276727E-2</v>
      </c>
      <c r="I55" s="430">
        <f t="shared" si="35"/>
        <v>5.5703929797787106E-2</v>
      </c>
      <c r="J55" s="430">
        <f t="shared" si="36"/>
        <v>4.3553671227596839E-2</v>
      </c>
      <c r="K55" s="430">
        <f t="shared" si="37"/>
        <v>4.383975812547241E-2</v>
      </c>
      <c r="L55" s="430">
        <f t="shared" si="38"/>
        <v>5.7137707281903385E-2</v>
      </c>
      <c r="M55" s="430">
        <f t="shared" si="39"/>
        <v>9.6177558569667074E-2</v>
      </c>
      <c r="N55" s="430">
        <f t="shared" si="40"/>
        <v>9.9064391854705558E-2</v>
      </c>
      <c r="O55" s="431">
        <f t="shared" si="41"/>
        <v>9.3406593406593408E-2</v>
      </c>
      <c r="P55" s="432">
        <f t="shared" si="42"/>
        <v>8.0141976461797118E-2</v>
      </c>
      <c r="Q55" s="1529">
        <f t="shared" si="43"/>
        <v>7.668886774500476E-2</v>
      </c>
      <c r="R55" s="1532">
        <f t="shared" si="44"/>
        <v>7.5701624815361884E-2</v>
      </c>
      <c r="S55" s="1788">
        <f t="shared" si="30"/>
        <v>6.7228537828302626E-2</v>
      </c>
      <c r="T55" s="219"/>
      <c r="U55" s="433">
        <v>4815</v>
      </c>
      <c r="V55" s="434">
        <v>276</v>
      </c>
      <c r="W55" s="435">
        <v>4917</v>
      </c>
      <c r="X55" s="436">
        <v>301</v>
      </c>
      <c r="Y55" s="435">
        <v>5192</v>
      </c>
      <c r="Z55" s="436">
        <v>331</v>
      </c>
      <c r="AA55" s="435">
        <v>5300</v>
      </c>
      <c r="AB55" s="436">
        <v>292</v>
      </c>
      <c r="AC55" s="435">
        <v>5182</v>
      </c>
      <c r="AD55" s="436">
        <v>287</v>
      </c>
      <c r="AE55" s="435">
        <v>5242</v>
      </c>
      <c r="AF55" s="436">
        <v>292</v>
      </c>
      <c r="AG55" s="435">
        <v>5189</v>
      </c>
      <c r="AH55" s="436">
        <v>226</v>
      </c>
      <c r="AI55" s="435">
        <v>5292</v>
      </c>
      <c r="AJ55" s="436">
        <v>232</v>
      </c>
      <c r="AK55" s="435">
        <v>5548</v>
      </c>
      <c r="AL55" s="436">
        <v>317</v>
      </c>
      <c r="AM55" s="437">
        <v>5677</v>
      </c>
      <c r="AN55" s="436">
        <v>546</v>
      </c>
      <c r="AO55" s="435">
        <v>5451</v>
      </c>
      <c r="AP55" s="436">
        <v>540</v>
      </c>
      <c r="AQ55" s="438">
        <v>5460</v>
      </c>
      <c r="AR55" s="439">
        <v>510</v>
      </c>
      <c r="AS55" s="440">
        <v>5353</v>
      </c>
      <c r="AT55" s="441">
        <v>429</v>
      </c>
      <c r="AU55" s="440">
        <v>5255</v>
      </c>
      <c r="AV55" s="1538">
        <v>403</v>
      </c>
      <c r="AW55" s="1541">
        <v>5416</v>
      </c>
      <c r="AX55" s="1542">
        <v>410</v>
      </c>
      <c r="AY55" s="1767">
        <v>5102</v>
      </c>
      <c r="AZ55" s="1794">
        <v>343</v>
      </c>
    </row>
    <row r="56" spans="1:52" ht="15" customHeight="1" x14ac:dyDescent="0.25">
      <c r="A56" s="426" t="s">
        <v>130</v>
      </c>
      <c r="B56" s="442" t="s">
        <v>131</v>
      </c>
      <c r="C56" s="190" t="s">
        <v>268</v>
      </c>
      <c r="D56" s="428">
        <f t="shared" si="31"/>
        <v>4.1828128561659447E-2</v>
      </c>
      <c r="E56" s="429">
        <f t="shared" si="32"/>
        <v>4.9562035702406033E-2</v>
      </c>
      <c r="F56" s="430">
        <f t="shared" si="17"/>
        <v>5.7074039166404862E-2</v>
      </c>
      <c r="G56" s="430">
        <f t="shared" si="33"/>
        <v>5.9788739616449593E-2</v>
      </c>
      <c r="H56" s="430">
        <f t="shared" si="34"/>
        <v>5.4732161761592207E-2</v>
      </c>
      <c r="I56" s="430">
        <f t="shared" si="35"/>
        <v>4.9757673667205168E-2</v>
      </c>
      <c r="J56" s="430">
        <f t="shared" si="36"/>
        <v>4.2855604608592654E-2</v>
      </c>
      <c r="K56" s="430">
        <f t="shared" si="37"/>
        <v>4.1937513105472848E-2</v>
      </c>
      <c r="L56" s="430">
        <f t="shared" si="38"/>
        <v>5.316869068272273E-2</v>
      </c>
      <c r="M56" s="430">
        <f t="shared" si="39"/>
        <v>7.4832611264277274E-2</v>
      </c>
      <c r="N56" s="430">
        <f t="shared" si="40"/>
        <v>8.3998787021126051E-2</v>
      </c>
      <c r="O56" s="431">
        <f t="shared" si="41"/>
        <v>7.887352174784526E-2</v>
      </c>
      <c r="P56" s="432">
        <f t="shared" si="42"/>
        <v>8.5312040344610207E-2</v>
      </c>
      <c r="Q56" s="1529">
        <f t="shared" si="43"/>
        <v>9.0948603716179507E-2</v>
      </c>
      <c r="R56" s="1532">
        <f t="shared" si="44"/>
        <v>8.1891709728150977E-2</v>
      </c>
      <c r="S56" s="1788">
        <f t="shared" si="30"/>
        <v>7.2287763127457785E-2</v>
      </c>
      <c r="T56" s="219"/>
      <c r="U56" s="433">
        <v>8774</v>
      </c>
      <c r="V56" s="434">
        <v>367</v>
      </c>
      <c r="W56" s="435">
        <v>9019</v>
      </c>
      <c r="X56" s="436">
        <v>447</v>
      </c>
      <c r="Y56" s="435">
        <v>9549</v>
      </c>
      <c r="Z56" s="436">
        <v>545</v>
      </c>
      <c r="AA56" s="435">
        <v>9751</v>
      </c>
      <c r="AB56" s="436">
        <v>583</v>
      </c>
      <c r="AC56" s="435">
        <v>9446</v>
      </c>
      <c r="AD56" s="436">
        <v>517</v>
      </c>
      <c r="AE56" s="435">
        <v>9285</v>
      </c>
      <c r="AF56" s="436">
        <v>462</v>
      </c>
      <c r="AG56" s="435">
        <v>9287</v>
      </c>
      <c r="AH56" s="436">
        <v>398</v>
      </c>
      <c r="AI56" s="435">
        <v>9538</v>
      </c>
      <c r="AJ56" s="436">
        <v>400</v>
      </c>
      <c r="AK56" s="435">
        <v>9799</v>
      </c>
      <c r="AL56" s="436">
        <v>521</v>
      </c>
      <c r="AM56" s="437">
        <v>10156</v>
      </c>
      <c r="AN56" s="436">
        <v>760</v>
      </c>
      <c r="AO56" s="435">
        <v>9893</v>
      </c>
      <c r="AP56" s="436">
        <v>831</v>
      </c>
      <c r="AQ56" s="438">
        <v>9978</v>
      </c>
      <c r="AR56" s="439">
        <v>787</v>
      </c>
      <c r="AS56" s="440">
        <v>9518</v>
      </c>
      <c r="AT56" s="441">
        <v>812</v>
      </c>
      <c r="AU56" s="440">
        <v>9203</v>
      </c>
      <c r="AV56" s="1538">
        <v>837</v>
      </c>
      <c r="AW56" s="1541">
        <v>8902</v>
      </c>
      <c r="AX56" s="1542">
        <v>729</v>
      </c>
      <c r="AY56" s="1767">
        <v>8646</v>
      </c>
      <c r="AZ56" s="1794">
        <v>625</v>
      </c>
    </row>
    <row r="57" spans="1:52" ht="15" customHeight="1" x14ac:dyDescent="0.25">
      <c r="A57" s="426" t="s">
        <v>132</v>
      </c>
      <c r="B57" s="442" t="s">
        <v>133</v>
      </c>
      <c r="C57" s="190" t="s">
        <v>267</v>
      </c>
      <c r="D57" s="428">
        <f t="shared" si="31"/>
        <v>1.4113957135389441E-2</v>
      </c>
      <c r="E57" s="429">
        <f t="shared" si="32"/>
        <v>2.4879548478869362E-2</v>
      </c>
      <c r="F57" s="430">
        <f t="shared" si="17"/>
        <v>3.7200116277081446E-2</v>
      </c>
      <c r="G57" s="430">
        <f t="shared" si="33"/>
        <v>3.160730034880857E-2</v>
      </c>
      <c r="H57" s="430">
        <f t="shared" si="34"/>
        <v>2.6035261844297782E-2</v>
      </c>
      <c r="I57" s="430">
        <f t="shared" si="35"/>
        <v>2.4054936456112896E-2</v>
      </c>
      <c r="J57" s="430">
        <f t="shared" si="36"/>
        <v>2.1251017708121312E-2</v>
      </c>
      <c r="K57" s="430">
        <f t="shared" si="37"/>
        <v>2.1132630546702624E-2</v>
      </c>
      <c r="L57" s="430">
        <f t="shared" si="38"/>
        <v>2.8066066308605579E-2</v>
      </c>
      <c r="M57" s="430">
        <f t="shared" si="39"/>
        <v>4.8770153902528396E-2</v>
      </c>
      <c r="N57" s="430">
        <f t="shared" si="40"/>
        <v>4.8989603367059674E-2</v>
      </c>
      <c r="O57" s="431">
        <f t="shared" si="41"/>
        <v>4.4019831167090982E-2</v>
      </c>
      <c r="P57" s="432">
        <f t="shared" si="42"/>
        <v>4.2400797690456425E-2</v>
      </c>
      <c r="Q57" s="1529">
        <f t="shared" si="43"/>
        <v>4.1688020582586596E-2</v>
      </c>
      <c r="R57" s="1532">
        <f t="shared" si="44"/>
        <v>4.2016937785610678E-2</v>
      </c>
      <c r="S57" s="1788">
        <f t="shared" si="30"/>
        <v>3.5660620508040322E-2</v>
      </c>
      <c r="T57" s="219"/>
      <c r="U57" s="433">
        <v>99476</v>
      </c>
      <c r="V57" s="434">
        <v>1404</v>
      </c>
      <c r="W57" s="435">
        <v>108965</v>
      </c>
      <c r="X57" s="436">
        <v>2711</v>
      </c>
      <c r="Y57" s="435">
        <v>116962</v>
      </c>
      <c r="Z57" s="436">
        <v>4351</v>
      </c>
      <c r="AA57" s="435">
        <v>125857</v>
      </c>
      <c r="AB57" s="436">
        <v>3978</v>
      </c>
      <c r="AC57" s="435">
        <v>137429</v>
      </c>
      <c r="AD57" s="436">
        <v>3578</v>
      </c>
      <c r="AE57" s="435">
        <v>148244</v>
      </c>
      <c r="AF57" s="436">
        <v>3566</v>
      </c>
      <c r="AG57" s="435">
        <v>157216</v>
      </c>
      <c r="AH57" s="436">
        <v>3341</v>
      </c>
      <c r="AI57" s="435">
        <v>163160</v>
      </c>
      <c r="AJ57" s="436">
        <v>3448</v>
      </c>
      <c r="AK57" s="435">
        <v>173341</v>
      </c>
      <c r="AL57" s="436">
        <v>4865</v>
      </c>
      <c r="AM57" s="437">
        <v>174656</v>
      </c>
      <c r="AN57" s="436">
        <v>8518</v>
      </c>
      <c r="AO57" s="435">
        <v>179385</v>
      </c>
      <c r="AP57" s="436">
        <v>8788</v>
      </c>
      <c r="AQ57" s="438">
        <v>186575</v>
      </c>
      <c r="AR57" s="439">
        <v>8213</v>
      </c>
      <c r="AS57" s="440">
        <v>191553</v>
      </c>
      <c r="AT57" s="441">
        <v>8122</v>
      </c>
      <c r="AU57" s="440">
        <v>193173</v>
      </c>
      <c r="AV57" s="1538">
        <v>8053</v>
      </c>
      <c r="AW57" s="1541">
        <v>192351</v>
      </c>
      <c r="AX57" s="1542">
        <v>8082</v>
      </c>
      <c r="AY57" s="1767">
        <v>196323</v>
      </c>
      <c r="AZ57" s="1794">
        <v>7001</v>
      </c>
    </row>
    <row r="58" spans="1:52" ht="15" customHeight="1" x14ac:dyDescent="0.25">
      <c r="A58" s="426" t="s">
        <v>134</v>
      </c>
      <c r="B58" s="442" t="s">
        <v>135</v>
      </c>
      <c r="C58" s="190" t="s">
        <v>267</v>
      </c>
      <c r="D58" s="428">
        <f t="shared" si="31"/>
        <v>2.3731459797033568E-2</v>
      </c>
      <c r="E58" s="429">
        <f t="shared" si="32"/>
        <v>3.1004799268682867E-2</v>
      </c>
      <c r="F58" s="430">
        <f t="shared" si="17"/>
        <v>4.3529153559148437E-2</v>
      </c>
      <c r="G58" s="430">
        <f t="shared" si="33"/>
        <v>4.228943826592052E-2</v>
      </c>
      <c r="H58" s="430">
        <f t="shared" si="34"/>
        <v>3.7364596188125598E-2</v>
      </c>
      <c r="I58" s="430">
        <f t="shared" si="35"/>
        <v>3.5993946173586894E-2</v>
      </c>
      <c r="J58" s="430">
        <f t="shared" si="36"/>
        <v>3.065739570164349E-2</v>
      </c>
      <c r="K58" s="430">
        <f t="shared" si="37"/>
        <v>2.9241585267218317E-2</v>
      </c>
      <c r="L58" s="430">
        <f t="shared" si="38"/>
        <v>4.2110271813477665E-2</v>
      </c>
      <c r="M58" s="430">
        <f t="shared" si="39"/>
        <v>8.1334848394234799E-2</v>
      </c>
      <c r="N58" s="430">
        <f t="shared" si="40"/>
        <v>8.0770633280661239E-2</v>
      </c>
      <c r="O58" s="431">
        <f t="shared" si="41"/>
        <v>7.2232870148538575E-2</v>
      </c>
      <c r="P58" s="432">
        <f t="shared" si="42"/>
        <v>6.5985296754527523E-2</v>
      </c>
      <c r="Q58" s="1529">
        <f t="shared" si="43"/>
        <v>5.8924961350933523E-2</v>
      </c>
      <c r="R58" s="1532">
        <f t="shared" si="44"/>
        <v>5.0607615446934914E-2</v>
      </c>
      <c r="S58" s="1788">
        <f t="shared" si="30"/>
        <v>4.2512690355329952E-2</v>
      </c>
      <c r="T58" s="219"/>
      <c r="U58" s="433">
        <v>12810</v>
      </c>
      <c r="V58" s="434">
        <v>304</v>
      </c>
      <c r="W58" s="435">
        <v>13127</v>
      </c>
      <c r="X58" s="436">
        <v>407</v>
      </c>
      <c r="Y58" s="435">
        <v>13669</v>
      </c>
      <c r="Z58" s="436">
        <v>595</v>
      </c>
      <c r="AA58" s="435">
        <v>14117</v>
      </c>
      <c r="AB58" s="436">
        <v>597</v>
      </c>
      <c r="AC58" s="435">
        <v>14586</v>
      </c>
      <c r="AD58" s="436">
        <v>545</v>
      </c>
      <c r="AE58" s="435">
        <v>15197</v>
      </c>
      <c r="AF58" s="436">
        <v>547</v>
      </c>
      <c r="AG58" s="435">
        <v>15820</v>
      </c>
      <c r="AH58" s="436">
        <v>485</v>
      </c>
      <c r="AI58" s="435">
        <v>16073</v>
      </c>
      <c r="AJ58" s="436">
        <v>470</v>
      </c>
      <c r="AK58" s="435">
        <v>16813</v>
      </c>
      <c r="AL58" s="436">
        <v>708</v>
      </c>
      <c r="AM58" s="437">
        <v>16721</v>
      </c>
      <c r="AN58" s="436">
        <v>1360</v>
      </c>
      <c r="AO58" s="435">
        <v>16454</v>
      </c>
      <c r="AP58" s="436">
        <v>1329</v>
      </c>
      <c r="AQ58" s="438">
        <v>16696</v>
      </c>
      <c r="AR58" s="439">
        <v>1206</v>
      </c>
      <c r="AS58" s="440">
        <v>16731</v>
      </c>
      <c r="AT58" s="441">
        <v>1104</v>
      </c>
      <c r="AU58" s="440">
        <v>16818</v>
      </c>
      <c r="AV58" s="1538">
        <v>991</v>
      </c>
      <c r="AW58" s="1541">
        <v>18515</v>
      </c>
      <c r="AX58" s="1542">
        <v>937</v>
      </c>
      <c r="AY58" s="1767">
        <v>18912</v>
      </c>
      <c r="AZ58" s="1794">
        <v>804</v>
      </c>
    </row>
    <row r="59" spans="1:52" ht="15" customHeight="1" x14ac:dyDescent="0.25">
      <c r="A59" s="426" t="s">
        <v>136</v>
      </c>
      <c r="B59" s="442" t="s">
        <v>137</v>
      </c>
      <c r="C59" s="190" t="s">
        <v>266</v>
      </c>
      <c r="D59" s="428">
        <f t="shared" si="31"/>
        <v>3.4450477438681897E-2</v>
      </c>
      <c r="E59" s="429">
        <f t="shared" si="32"/>
        <v>4.5006509205876885E-2</v>
      </c>
      <c r="F59" s="430">
        <f t="shared" si="17"/>
        <v>5.5717407137654773E-2</v>
      </c>
      <c r="G59" s="430">
        <f t="shared" si="33"/>
        <v>5.58205264087617E-2</v>
      </c>
      <c r="H59" s="430">
        <f t="shared" si="34"/>
        <v>4.8492553577915001E-2</v>
      </c>
      <c r="I59" s="430">
        <f t="shared" si="35"/>
        <v>5.2049910873440283E-2</v>
      </c>
      <c r="J59" s="430">
        <f t="shared" si="36"/>
        <v>4.3914680050188205E-2</v>
      </c>
      <c r="K59" s="430">
        <f t="shared" si="37"/>
        <v>4.561211457763182E-2</v>
      </c>
      <c r="L59" s="430">
        <f t="shared" si="38"/>
        <v>5.9538936286077329E-2</v>
      </c>
      <c r="M59" s="430">
        <f t="shared" si="39"/>
        <v>9.6150434628348408E-2</v>
      </c>
      <c r="N59" s="430">
        <f t="shared" si="40"/>
        <v>0.10185012147262194</v>
      </c>
      <c r="O59" s="431">
        <f t="shared" si="41"/>
        <v>9.1803899299640362E-2</v>
      </c>
      <c r="P59" s="432">
        <f t="shared" si="42"/>
        <v>8.2660893524896667E-2</v>
      </c>
      <c r="Q59" s="1529">
        <f t="shared" si="43"/>
        <v>8.0739104237798759E-2</v>
      </c>
      <c r="R59" s="1532">
        <f t="shared" si="44"/>
        <v>5.9501673484566753E-2</v>
      </c>
      <c r="S59" s="1788">
        <f t="shared" si="30"/>
        <v>5.1948051948051951E-2</v>
      </c>
      <c r="T59" s="219"/>
      <c r="U59" s="433">
        <v>5341</v>
      </c>
      <c r="V59" s="434">
        <v>184</v>
      </c>
      <c r="W59" s="435">
        <v>5377</v>
      </c>
      <c r="X59" s="436">
        <v>242</v>
      </c>
      <c r="Y59" s="435">
        <v>5492</v>
      </c>
      <c r="Z59" s="436">
        <v>306</v>
      </c>
      <c r="AA59" s="435">
        <v>5661</v>
      </c>
      <c r="AB59" s="436">
        <v>316</v>
      </c>
      <c r="AC59" s="435">
        <v>5506</v>
      </c>
      <c r="AD59" s="436">
        <v>267</v>
      </c>
      <c r="AE59" s="435">
        <v>5610</v>
      </c>
      <c r="AF59" s="436">
        <v>292</v>
      </c>
      <c r="AG59" s="435">
        <v>5579</v>
      </c>
      <c r="AH59" s="436">
        <v>245</v>
      </c>
      <c r="AI59" s="435">
        <v>5481</v>
      </c>
      <c r="AJ59" s="436">
        <v>250</v>
      </c>
      <c r="AK59" s="435">
        <v>5509</v>
      </c>
      <c r="AL59" s="436">
        <v>328</v>
      </c>
      <c r="AM59" s="437">
        <v>5637</v>
      </c>
      <c r="AN59" s="436">
        <v>542</v>
      </c>
      <c r="AO59" s="435">
        <v>5351</v>
      </c>
      <c r="AP59" s="436">
        <v>545</v>
      </c>
      <c r="AQ59" s="438">
        <v>5283</v>
      </c>
      <c r="AR59" s="439">
        <v>485</v>
      </c>
      <c r="AS59" s="440">
        <v>5081</v>
      </c>
      <c r="AT59" s="441">
        <v>420</v>
      </c>
      <c r="AU59" s="440">
        <v>4979</v>
      </c>
      <c r="AV59" s="1538">
        <v>402</v>
      </c>
      <c r="AW59" s="1541">
        <v>5378</v>
      </c>
      <c r="AX59" s="1542">
        <v>320</v>
      </c>
      <c r="AY59" s="1767">
        <v>5313</v>
      </c>
      <c r="AZ59" s="1794">
        <v>276</v>
      </c>
    </row>
    <row r="60" spans="1:52" ht="15" customHeight="1" x14ac:dyDescent="0.25">
      <c r="A60" s="426" t="s">
        <v>140</v>
      </c>
      <c r="B60" s="442" t="s">
        <v>141</v>
      </c>
      <c r="C60" s="190" t="s">
        <v>267</v>
      </c>
      <c r="D60" s="428">
        <f t="shared" si="31"/>
        <v>1.763803680981595E-2</v>
      </c>
      <c r="E60" s="429">
        <f t="shared" si="32"/>
        <v>2.2172949002217297E-2</v>
      </c>
      <c r="F60" s="430">
        <f t="shared" si="17"/>
        <v>4.2871385842472583E-2</v>
      </c>
      <c r="G60" s="430">
        <f t="shared" si="33"/>
        <v>3.8482834994462901E-2</v>
      </c>
      <c r="H60" s="430">
        <f t="shared" si="34"/>
        <v>2.962650940746981E-2</v>
      </c>
      <c r="I60" s="430">
        <f t="shared" si="35"/>
        <v>3.0479357162648935E-2</v>
      </c>
      <c r="J60" s="430">
        <f t="shared" si="36"/>
        <v>2.622545654263353E-2</v>
      </c>
      <c r="K60" s="430">
        <f t="shared" si="37"/>
        <v>2.6923602569359027E-2</v>
      </c>
      <c r="L60" s="430">
        <f t="shared" si="38"/>
        <v>3.7506745817593092E-2</v>
      </c>
      <c r="M60" s="430">
        <f t="shared" si="39"/>
        <v>6.3766948583702507E-2</v>
      </c>
      <c r="N60" s="430">
        <f t="shared" si="40"/>
        <v>6.3250488690309969E-2</v>
      </c>
      <c r="O60" s="431">
        <f t="shared" si="41"/>
        <v>5.20586182833217E-2</v>
      </c>
      <c r="P60" s="432">
        <f t="shared" si="42"/>
        <v>4.5466631215102367E-2</v>
      </c>
      <c r="Q60" s="1529">
        <f t="shared" si="43"/>
        <v>4.265213925059793E-2</v>
      </c>
      <c r="R60" s="1532">
        <f t="shared" si="44"/>
        <v>4.0224380900259954E-2</v>
      </c>
      <c r="S60" s="1788">
        <f t="shared" si="30"/>
        <v>3.4935718278367806E-2</v>
      </c>
      <c r="T60" s="219"/>
      <c r="U60" s="433">
        <v>6520</v>
      </c>
      <c r="V60" s="434">
        <v>115</v>
      </c>
      <c r="W60" s="435">
        <v>6765</v>
      </c>
      <c r="X60" s="436">
        <v>150</v>
      </c>
      <c r="Y60" s="435">
        <v>7021</v>
      </c>
      <c r="Z60" s="436">
        <v>301</v>
      </c>
      <c r="AA60" s="435">
        <v>7224</v>
      </c>
      <c r="AB60" s="436">
        <v>278</v>
      </c>
      <c r="AC60" s="435">
        <v>7122</v>
      </c>
      <c r="AD60" s="436">
        <v>211</v>
      </c>
      <c r="AE60" s="435">
        <v>7218</v>
      </c>
      <c r="AF60" s="436">
        <v>220</v>
      </c>
      <c r="AG60" s="435">
        <v>7283</v>
      </c>
      <c r="AH60" s="436">
        <v>191</v>
      </c>
      <c r="AI60" s="435">
        <v>7317</v>
      </c>
      <c r="AJ60" s="436">
        <v>197</v>
      </c>
      <c r="AK60" s="435">
        <v>7412</v>
      </c>
      <c r="AL60" s="436">
        <v>278</v>
      </c>
      <c r="AM60" s="437">
        <v>7449</v>
      </c>
      <c r="AN60" s="436">
        <v>475</v>
      </c>
      <c r="AO60" s="435">
        <v>7162</v>
      </c>
      <c r="AP60" s="436">
        <v>453</v>
      </c>
      <c r="AQ60" s="438">
        <v>7165</v>
      </c>
      <c r="AR60" s="439">
        <v>373</v>
      </c>
      <c r="AS60" s="440">
        <v>7522</v>
      </c>
      <c r="AT60" s="441">
        <v>342</v>
      </c>
      <c r="AU60" s="440">
        <v>7526</v>
      </c>
      <c r="AV60" s="1538">
        <v>321</v>
      </c>
      <c r="AW60" s="1541">
        <v>7309</v>
      </c>
      <c r="AX60" s="1542">
        <v>294</v>
      </c>
      <c r="AY60" s="1767">
        <v>7156</v>
      </c>
      <c r="AZ60" s="1794">
        <v>250</v>
      </c>
    </row>
    <row r="61" spans="1:52" ht="15" customHeight="1" x14ac:dyDescent="0.25">
      <c r="A61" s="426" t="s">
        <v>146</v>
      </c>
      <c r="B61" s="442" t="s">
        <v>147</v>
      </c>
      <c r="C61" s="190" t="s">
        <v>264</v>
      </c>
      <c r="D61" s="428">
        <f t="shared" si="31"/>
        <v>2.1733994802740374E-2</v>
      </c>
      <c r="E61" s="429">
        <f t="shared" si="32"/>
        <v>2.9737206085753802E-2</v>
      </c>
      <c r="F61" s="430">
        <f t="shared" si="17"/>
        <v>3.9595050618672668E-2</v>
      </c>
      <c r="G61" s="430">
        <f t="shared" si="33"/>
        <v>3.1839890834659997E-2</v>
      </c>
      <c r="H61" s="430">
        <f t="shared" si="34"/>
        <v>2.9741477922672156E-2</v>
      </c>
      <c r="I61" s="430">
        <f t="shared" si="35"/>
        <v>2.9830508474576273E-2</v>
      </c>
      <c r="J61" s="430">
        <f t="shared" si="36"/>
        <v>2.600313830979601E-2</v>
      </c>
      <c r="K61" s="430">
        <f t="shared" si="37"/>
        <v>2.5652667423382521E-2</v>
      </c>
      <c r="L61" s="430">
        <f t="shared" si="38"/>
        <v>3.5523978685612786E-2</v>
      </c>
      <c r="M61" s="430">
        <f t="shared" si="39"/>
        <v>5.72940635066728E-2</v>
      </c>
      <c r="N61" s="430">
        <f t="shared" si="40"/>
        <v>6.1697247706422022E-2</v>
      </c>
      <c r="O61" s="431">
        <f t="shared" si="41"/>
        <v>6.3593004769475353E-2</v>
      </c>
      <c r="P61" s="432">
        <f t="shared" si="42"/>
        <v>5.340143951706524E-2</v>
      </c>
      <c r="Q61" s="1529">
        <f t="shared" si="43"/>
        <v>4.8081368469717986E-2</v>
      </c>
      <c r="R61" s="1532">
        <f t="shared" si="44"/>
        <v>4.6444816854201577E-2</v>
      </c>
      <c r="S61" s="1788">
        <f t="shared" si="30"/>
        <v>4.1646371164150021E-2</v>
      </c>
      <c r="T61" s="219"/>
      <c r="U61" s="433">
        <v>4233</v>
      </c>
      <c r="V61" s="434">
        <v>92</v>
      </c>
      <c r="W61" s="435">
        <v>4338</v>
      </c>
      <c r="X61" s="436">
        <v>129</v>
      </c>
      <c r="Y61" s="435">
        <v>4445</v>
      </c>
      <c r="Z61" s="436">
        <v>176</v>
      </c>
      <c r="AA61" s="435">
        <v>4397</v>
      </c>
      <c r="AB61" s="436">
        <v>140</v>
      </c>
      <c r="AC61" s="435">
        <v>4371</v>
      </c>
      <c r="AD61" s="436">
        <v>130</v>
      </c>
      <c r="AE61" s="435">
        <v>4425</v>
      </c>
      <c r="AF61" s="436">
        <v>132</v>
      </c>
      <c r="AG61" s="435">
        <v>4461</v>
      </c>
      <c r="AH61" s="436">
        <v>116</v>
      </c>
      <c r="AI61" s="435">
        <v>4405</v>
      </c>
      <c r="AJ61" s="436">
        <v>113</v>
      </c>
      <c r="AK61" s="435">
        <v>4504</v>
      </c>
      <c r="AL61" s="436">
        <v>160</v>
      </c>
      <c r="AM61" s="437">
        <v>4346</v>
      </c>
      <c r="AN61" s="436">
        <v>249</v>
      </c>
      <c r="AO61" s="435">
        <v>4360</v>
      </c>
      <c r="AP61" s="436">
        <v>269</v>
      </c>
      <c r="AQ61" s="438">
        <v>4403</v>
      </c>
      <c r="AR61" s="439">
        <v>280</v>
      </c>
      <c r="AS61" s="440">
        <v>4307</v>
      </c>
      <c r="AT61" s="441">
        <v>230</v>
      </c>
      <c r="AU61" s="440">
        <v>4326</v>
      </c>
      <c r="AV61" s="1538">
        <v>208</v>
      </c>
      <c r="AW61" s="1541">
        <v>4177</v>
      </c>
      <c r="AX61" s="1542">
        <v>194</v>
      </c>
      <c r="AY61" s="1767">
        <v>4106</v>
      </c>
      <c r="AZ61" s="1794">
        <v>171</v>
      </c>
    </row>
    <row r="62" spans="1:52" ht="15" customHeight="1" x14ac:dyDescent="0.25">
      <c r="A62" s="426" t="s">
        <v>148</v>
      </c>
      <c r="B62" s="442" t="s">
        <v>149</v>
      </c>
      <c r="C62" s="190" t="s">
        <v>265</v>
      </c>
      <c r="D62" s="428">
        <f t="shared" si="31"/>
        <v>3.340631400522636E-2</v>
      </c>
      <c r="E62" s="429">
        <f t="shared" si="32"/>
        <v>5.8173315382980234E-2</v>
      </c>
      <c r="F62" s="430">
        <f t="shared" si="17"/>
        <v>0.10162544169611308</v>
      </c>
      <c r="G62" s="430">
        <f t="shared" si="33"/>
        <v>9.3296575739988397E-2</v>
      </c>
      <c r="H62" s="430">
        <f t="shared" si="34"/>
        <v>6.651029055690072E-2</v>
      </c>
      <c r="I62" s="430">
        <f t="shared" si="35"/>
        <v>6.0959987943636502E-2</v>
      </c>
      <c r="J62" s="430">
        <f t="shared" si="36"/>
        <v>5.2238805970149252E-2</v>
      </c>
      <c r="K62" s="430">
        <f t="shared" si="37"/>
        <v>5.0879731891233147E-2</v>
      </c>
      <c r="L62" s="430">
        <f t="shared" si="38"/>
        <v>6.5568906690402023E-2</v>
      </c>
      <c r="M62" s="430">
        <f t="shared" si="39"/>
        <v>0.11300594395697708</v>
      </c>
      <c r="N62" s="430">
        <f t="shared" si="40"/>
        <v>0.11956761526582838</v>
      </c>
      <c r="O62" s="431">
        <f t="shared" si="41"/>
        <v>0.10824017176278966</v>
      </c>
      <c r="P62" s="432">
        <f t="shared" si="42"/>
        <v>9.8811465858774178E-2</v>
      </c>
      <c r="Q62" s="1529">
        <f t="shared" si="43"/>
        <v>9.8816809465524277E-2</v>
      </c>
      <c r="R62" s="1532">
        <f t="shared" si="44"/>
        <v>7.7450903068065305E-2</v>
      </c>
      <c r="S62" s="1788">
        <f t="shared" si="30"/>
        <v>6.1691939345570629E-2</v>
      </c>
      <c r="T62" s="219"/>
      <c r="U62" s="433">
        <v>14159</v>
      </c>
      <c r="V62" s="434">
        <v>473</v>
      </c>
      <c r="W62" s="435">
        <v>14113</v>
      </c>
      <c r="X62" s="436">
        <v>821</v>
      </c>
      <c r="Y62" s="435">
        <v>14150</v>
      </c>
      <c r="Z62" s="436">
        <v>1438</v>
      </c>
      <c r="AA62" s="435">
        <v>13784</v>
      </c>
      <c r="AB62" s="436">
        <v>1286</v>
      </c>
      <c r="AC62" s="435">
        <v>13216</v>
      </c>
      <c r="AD62" s="436">
        <v>879</v>
      </c>
      <c r="AE62" s="435">
        <v>13271</v>
      </c>
      <c r="AF62" s="436">
        <v>809</v>
      </c>
      <c r="AG62" s="435">
        <v>13132</v>
      </c>
      <c r="AH62" s="436">
        <v>686</v>
      </c>
      <c r="AI62" s="435">
        <v>13129</v>
      </c>
      <c r="AJ62" s="436">
        <v>668</v>
      </c>
      <c r="AK62" s="435">
        <v>13482</v>
      </c>
      <c r="AL62" s="436">
        <v>884</v>
      </c>
      <c r="AM62" s="437">
        <v>14132</v>
      </c>
      <c r="AN62" s="436">
        <v>1597</v>
      </c>
      <c r="AO62" s="435">
        <v>13599</v>
      </c>
      <c r="AP62" s="436">
        <v>1626</v>
      </c>
      <c r="AQ62" s="438">
        <v>13507</v>
      </c>
      <c r="AR62" s="439">
        <v>1462</v>
      </c>
      <c r="AS62" s="440">
        <v>12873</v>
      </c>
      <c r="AT62" s="441">
        <v>1272</v>
      </c>
      <c r="AU62" s="440">
        <v>12255</v>
      </c>
      <c r="AV62" s="1538">
        <v>1211</v>
      </c>
      <c r="AW62" s="1541">
        <v>12679</v>
      </c>
      <c r="AX62" s="1542">
        <v>982</v>
      </c>
      <c r="AY62" s="1767">
        <v>12530</v>
      </c>
      <c r="AZ62" s="1794">
        <v>773</v>
      </c>
    </row>
    <row r="63" spans="1:52" ht="15" customHeight="1" x14ac:dyDescent="0.25">
      <c r="A63" s="426" t="s">
        <v>150</v>
      </c>
      <c r="B63" s="442" t="s">
        <v>151</v>
      </c>
      <c r="C63" s="190" t="s">
        <v>266</v>
      </c>
      <c r="D63" s="428">
        <f t="shared" si="31"/>
        <v>2.0810272304626964E-2</v>
      </c>
      <c r="E63" s="429">
        <f t="shared" si="32"/>
        <v>2.6446997615434641E-2</v>
      </c>
      <c r="F63" s="430">
        <f t="shared" si="17"/>
        <v>3.2969340613187736E-2</v>
      </c>
      <c r="G63" s="430">
        <f t="shared" si="33"/>
        <v>3.4897959183673471E-2</v>
      </c>
      <c r="H63" s="430">
        <f t="shared" si="34"/>
        <v>3.3400809716599193E-2</v>
      </c>
      <c r="I63" s="430">
        <f t="shared" si="35"/>
        <v>3.4959510171834879E-2</v>
      </c>
      <c r="J63" s="430">
        <f t="shared" si="36"/>
        <v>3.1583103039873668E-2</v>
      </c>
      <c r="K63" s="430">
        <f t="shared" si="37"/>
        <v>3.0296990233207095E-2</v>
      </c>
      <c r="L63" s="430">
        <f t="shared" si="38"/>
        <v>3.834176722460101E-2</v>
      </c>
      <c r="M63" s="430">
        <f t="shared" si="39"/>
        <v>6.9038461538461535E-2</v>
      </c>
      <c r="N63" s="430">
        <f t="shared" si="40"/>
        <v>7.4390001983733384E-2</v>
      </c>
      <c r="O63" s="431">
        <f t="shared" si="41"/>
        <v>6.6772655007949128E-2</v>
      </c>
      <c r="P63" s="432">
        <f t="shared" si="42"/>
        <v>6.1987602479504099E-2</v>
      </c>
      <c r="Q63" s="1529">
        <f t="shared" si="43"/>
        <v>5.7927440368811388E-2</v>
      </c>
      <c r="R63" s="1532">
        <f t="shared" si="44"/>
        <v>5.0730359257797078E-2</v>
      </c>
      <c r="S63" s="1788">
        <f t="shared" si="30"/>
        <v>4.2937399678972712E-2</v>
      </c>
      <c r="T63" s="219"/>
      <c r="U63" s="433">
        <v>4517</v>
      </c>
      <c r="V63" s="434">
        <v>94</v>
      </c>
      <c r="W63" s="435">
        <v>4613</v>
      </c>
      <c r="X63" s="436">
        <v>122</v>
      </c>
      <c r="Y63" s="435">
        <v>4762</v>
      </c>
      <c r="Z63" s="436">
        <v>157</v>
      </c>
      <c r="AA63" s="435">
        <v>4900</v>
      </c>
      <c r="AB63" s="436">
        <v>171</v>
      </c>
      <c r="AC63" s="435">
        <v>4940</v>
      </c>
      <c r="AD63" s="436">
        <v>165</v>
      </c>
      <c r="AE63" s="435">
        <v>5063</v>
      </c>
      <c r="AF63" s="436">
        <v>177</v>
      </c>
      <c r="AG63" s="435">
        <v>5066</v>
      </c>
      <c r="AH63" s="436">
        <v>160</v>
      </c>
      <c r="AI63" s="435">
        <v>5017</v>
      </c>
      <c r="AJ63" s="436">
        <v>152</v>
      </c>
      <c r="AK63" s="435">
        <v>5138</v>
      </c>
      <c r="AL63" s="436">
        <v>197</v>
      </c>
      <c r="AM63" s="437">
        <v>5200</v>
      </c>
      <c r="AN63" s="436">
        <v>359</v>
      </c>
      <c r="AO63" s="435">
        <v>5041</v>
      </c>
      <c r="AP63" s="436">
        <v>375</v>
      </c>
      <c r="AQ63" s="438">
        <v>5032</v>
      </c>
      <c r="AR63" s="439">
        <v>336</v>
      </c>
      <c r="AS63" s="440">
        <v>5001</v>
      </c>
      <c r="AT63" s="441">
        <v>310</v>
      </c>
      <c r="AU63" s="440">
        <v>4989</v>
      </c>
      <c r="AV63" s="1538">
        <v>289</v>
      </c>
      <c r="AW63" s="1541">
        <v>5066</v>
      </c>
      <c r="AX63" s="1542">
        <v>257</v>
      </c>
      <c r="AY63" s="1767">
        <v>4984</v>
      </c>
      <c r="AZ63" s="1794">
        <v>214</v>
      </c>
    </row>
    <row r="64" spans="1:52" ht="15" customHeight="1" x14ac:dyDescent="0.25">
      <c r="A64" s="426" t="s">
        <v>152</v>
      </c>
      <c r="B64" s="442" t="s">
        <v>153</v>
      </c>
      <c r="C64" s="190" t="s">
        <v>268</v>
      </c>
      <c r="D64" s="428">
        <f t="shared" si="31"/>
        <v>2.5115224410322136E-2</v>
      </c>
      <c r="E64" s="429">
        <f t="shared" si="32"/>
        <v>3.2999901931940766E-2</v>
      </c>
      <c r="F64" s="430">
        <f t="shared" si="17"/>
        <v>3.9803629012850748E-2</v>
      </c>
      <c r="G64" s="430">
        <f t="shared" si="33"/>
        <v>3.7969689233411472E-2</v>
      </c>
      <c r="H64" s="430">
        <f t="shared" si="34"/>
        <v>3.6267025547021832E-2</v>
      </c>
      <c r="I64" s="430">
        <f t="shared" si="35"/>
        <v>3.544187118331605E-2</v>
      </c>
      <c r="J64" s="430">
        <f t="shared" si="36"/>
        <v>3.0656699990828214E-2</v>
      </c>
      <c r="K64" s="430">
        <f t="shared" si="37"/>
        <v>3.2284411371009826E-2</v>
      </c>
      <c r="L64" s="430">
        <f t="shared" si="38"/>
        <v>4.0866536033093835E-2</v>
      </c>
      <c r="M64" s="430">
        <f t="shared" si="39"/>
        <v>7.2259026894221909E-2</v>
      </c>
      <c r="N64" s="430">
        <f t="shared" si="40"/>
        <v>7.4622651753719182E-2</v>
      </c>
      <c r="O64" s="431">
        <f t="shared" si="41"/>
        <v>6.6477477286685446E-2</v>
      </c>
      <c r="P64" s="432">
        <f t="shared" si="42"/>
        <v>6.0118189980997723E-2</v>
      </c>
      <c r="Q64" s="1529">
        <f t="shared" si="43"/>
        <v>5.5163474002592541E-2</v>
      </c>
      <c r="R64" s="1532">
        <f t="shared" si="44"/>
        <v>5.0468666043105334E-2</v>
      </c>
      <c r="S64" s="1788">
        <f t="shared" si="30"/>
        <v>4.3233082706766915E-2</v>
      </c>
      <c r="T64" s="219"/>
      <c r="U64" s="433">
        <v>40573</v>
      </c>
      <c r="V64" s="434">
        <v>1019</v>
      </c>
      <c r="W64" s="435">
        <v>40788</v>
      </c>
      <c r="X64" s="436">
        <v>1346</v>
      </c>
      <c r="Y64" s="435">
        <v>41554</v>
      </c>
      <c r="Z64" s="436">
        <v>1654</v>
      </c>
      <c r="AA64" s="435">
        <v>43087</v>
      </c>
      <c r="AB64" s="436">
        <v>1636</v>
      </c>
      <c r="AC64" s="435">
        <v>43097</v>
      </c>
      <c r="AD64" s="436">
        <v>1563</v>
      </c>
      <c r="AE64" s="435">
        <v>43395</v>
      </c>
      <c r="AF64" s="436">
        <v>1538</v>
      </c>
      <c r="AG64" s="435">
        <v>43612</v>
      </c>
      <c r="AH64" s="436">
        <v>1337</v>
      </c>
      <c r="AI64" s="435">
        <v>44077</v>
      </c>
      <c r="AJ64" s="436">
        <v>1423</v>
      </c>
      <c r="AK64" s="435">
        <v>45930</v>
      </c>
      <c r="AL64" s="436">
        <v>1877</v>
      </c>
      <c r="AM64" s="437">
        <v>45586</v>
      </c>
      <c r="AN64" s="436">
        <v>3294</v>
      </c>
      <c r="AO64" s="435">
        <v>46045</v>
      </c>
      <c r="AP64" s="436">
        <v>3436</v>
      </c>
      <c r="AQ64" s="438">
        <v>47219</v>
      </c>
      <c r="AR64" s="439">
        <v>3139</v>
      </c>
      <c r="AS64" s="440">
        <v>47889</v>
      </c>
      <c r="AT64" s="441">
        <v>2879</v>
      </c>
      <c r="AU64" s="440">
        <v>48601</v>
      </c>
      <c r="AV64" s="1538">
        <v>2681</v>
      </c>
      <c r="AW64" s="1541">
        <v>50249</v>
      </c>
      <c r="AX64" s="1542">
        <v>2536</v>
      </c>
      <c r="AY64" s="1767">
        <v>50008</v>
      </c>
      <c r="AZ64" s="1794">
        <v>2162</v>
      </c>
    </row>
    <row r="65" spans="1:52" ht="15" customHeight="1" x14ac:dyDescent="0.25">
      <c r="A65" s="426" t="s">
        <v>154</v>
      </c>
      <c r="B65" s="442" t="s">
        <v>155</v>
      </c>
      <c r="C65" s="190" t="s">
        <v>265</v>
      </c>
      <c r="D65" s="428">
        <f t="shared" si="31"/>
        <v>2.3172650550708052E-2</v>
      </c>
      <c r="E65" s="429">
        <f t="shared" si="32"/>
        <v>3.2717529262445352E-2</v>
      </c>
      <c r="F65" s="430">
        <f t="shared" si="17"/>
        <v>3.6289757601233014E-2</v>
      </c>
      <c r="G65" s="430">
        <f t="shared" si="33"/>
        <v>3.6341025286721014E-2</v>
      </c>
      <c r="H65" s="430">
        <f t="shared" si="34"/>
        <v>3.5563428259980927E-2</v>
      </c>
      <c r="I65" s="430">
        <f t="shared" si="35"/>
        <v>3.1990362735912194E-2</v>
      </c>
      <c r="J65" s="430">
        <f t="shared" si="36"/>
        <v>2.7439813616360342E-2</v>
      </c>
      <c r="K65" s="430">
        <f t="shared" si="37"/>
        <v>2.707856598016781E-2</v>
      </c>
      <c r="L65" s="430">
        <f t="shared" si="38"/>
        <v>3.5979228486646884E-2</v>
      </c>
      <c r="M65" s="430">
        <f t="shared" si="39"/>
        <v>6.6352474265161845E-2</v>
      </c>
      <c r="N65" s="430">
        <f t="shared" si="40"/>
        <v>6.859158609877189E-2</v>
      </c>
      <c r="O65" s="431">
        <f t="shared" si="41"/>
        <v>5.8162078324932143E-2</v>
      </c>
      <c r="P65" s="432">
        <f t="shared" si="42"/>
        <v>5.4675118858954042E-2</v>
      </c>
      <c r="Q65" s="1529">
        <f t="shared" si="43"/>
        <v>5.1527468205060968E-2</v>
      </c>
      <c r="R65" s="1532">
        <f t="shared" si="44"/>
        <v>4.8410692911291395E-2</v>
      </c>
      <c r="S65" s="1788">
        <f t="shared" si="30"/>
        <v>4.0311744154797095E-2</v>
      </c>
      <c r="T65" s="219"/>
      <c r="U65" s="433">
        <v>6991</v>
      </c>
      <c r="V65" s="434">
        <v>162</v>
      </c>
      <c r="W65" s="435">
        <v>7091</v>
      </c>
      <c r="X65" s="436">
        <v>232</v>
      </c>
      <c r="Y65" s="435">
        <v>7137</v>
      </c>
      <c r="Z65" s="436">
        <v>259</v>
      </c>
      <c r="AA65" s="435">
        <v>7237</v>
      </c>
      <c r="AB65" s="436">
        <v>263</v>
      </c>
      <c r="AC65" s="435">
        <v>7339</v>
      </c>
      <c r="AD65" s="436">
        <v>261</v>
      </c>
      <c r="AE65" s="435">
        <v>7471</v>
      </c>
      <c r="AF65" s="436">
        <v>239</v>
      </c>
      <c r="AG65" s="435">
        <v>7726</v>
      </c>
      <c r="AH65" s="436">
        <v>212</v>
      </c>
      <c r="AI65" s="435">
        <v>7866</v>
      </c>
      <c r="AJ65" s="436">
        <v>213</v>
      </c>
      <c r="AK65" s="435">
        <v>8088</v>
      </c>
      <c r="AL65" s="436">
        <v>291</v>
      </c>
      <c r="AM65" s="437">
        <v>8063</v>
      </c>
      <c r="AN65" s="436">
        <v>535</v>
      </c>
      <c r="AO65" s="435">
        <v>7654</v>
      </c>
      <c r="AP65" s="436">
        <v>525</v>
      </c>
      <c r="AQ65" s="438">
        <v>7737</v>
      </c>
      <c r="AR65" s="439">
        <v>450</v>
      </c>
      <c r="AS65" s="440">
        <v>7572</v>
      </c>
      <c r="AT65" s="441">
        <v>414</v>
      </c>
      <c r="AU65" s="440">
        <v>7627</v>
      </c>
      <c r="AV65" s="1538">
        <v>393</v>
      </c>
      <c r="AW65" s="1541">
        <v>7519</v>
      </c>
      <c r="AX65" s="1542">
        <v>364</v>
      </c>
      <c r="AY65" s="1767">
        <v>7442</v>
      </c>
      <c r="AZ65" s="1794">
        <v>300</v>
      </c>
    </row>
    <row r="66" spans="1:52" ht="15" customHeight="1" x14ac:dyDescent="0.25">
      <c r="A66" s="426" t="s">
        <v>156</v>
      </c>
      <c r="B66" s="442" t="s">
        <v>157</v>
      </c>
      <c r="C66" s="190" t="s">
        <v>266</v>
      </c>
      <c r="D66" s="428">
        <f t="shared" si="31"/>
        <v>1.8191841234840134E-2</v>
      </c>
      <c r="E66" s="429">
        <f t="shared" si="32"/>
        <v>2.9976019184652279E-2</v>
      </c>
      <c r="F66" s="430">
        <f t="shared" si="17"/>
        <v>3.6105738233397806E-2</v>
      </c>
      <c r="G66" s="430">
        <f t="shared" si="33"/>
        <v>3.6813592711154891E-2</v>
      </c>
      <c r="H66" s="430">
        <f t="shared" si="34"/>
        <v>3.3721066854658678E-2</v>
      </c>
      <c r="I66" s="430">
        <f t="shared" si="35"/>
        <v>3.1991860728012661E-2</v>
      </c>
      <c r="J66" s="430">
        <f t="shared" si="36"/>
        <v>2.7370689655172413E-2</v>
      </c>
      <c r="K66" s="430">
        <f t="shared" si="37"/>
        <v>2.7327070879590094E-2</v>
      </c>
      <c r="L66" s="430">
        <f t="shared" si="38"/>
        <v>3.5919106549954727E-2</v>
      </c>
      <c r="M66" s="430">
        <f t="shared" si="39"/>
        <v>7.2193053311793209E-2</v>
      </c>
      <c r="N66" s="430">
        <f t="shared" si="40"/>
        <v>7.7038971474487752E-2</v>
      </c>
      <c r="O66" s="431">
        <f t="shared" si="41"/>
        <v>6.6497164091531391E-2</v>
      </c>
      <c r="P66" s="432">
        <f t="shared" si="42"/>
        <v>5.6865197729240834E-2</v>
      </c>
      <c r="Q66" s="1529">
        <f t="shared" si="43"/>
        <v>5.2762141017078525E-2</v>
      </c>
      <c r="R66" s="1532">
        <f t="shared" si="44"/>
        <v>4.5138888888888888E-2</v>
      </c>
      <c r="S66" s="1788">
        <f t="shared" si="30"/>
        <v>3.8035714285714284E-2</v>
      </c>
      <c r="T66" s="219"/>
      <c r="U66" s="433">
        <v>7256</v>
      </c>
      <c r="V66" s="434">
        <v>132</v>
      </c>
      <c r="W66" s="435">
        <v>7506</v>
      </c>
      <c r="X66" s="436">
        <v>225</v>
      </c>
      <c r="Y66" s="435">
        <v>7755</v>
      </c>
      <c r="Z66" s="436">
        <v>280</v>
      </c>
      <c r="AA66" s="435">
        <v>8122</v>
      </c>
      <c r="AB66" s="436">
        <v>299</v>
      </c>
      <c r="AC66" s="435">
        <v>8511</v>
      </c>
      <c r="AD66" s="436">
        <v>287</v>
      </c>
      <c r="AE66" s="435">
        <v>8846</v>
      </c>
      <c r="AF66" s="436">
        <v>283</v>
      </c>
      <c r="AG66" s="435">
        <v>9280</v>
      </c>
      <c r="AH66" s="436">
        <v>254</v>
      </c>
      <c r="AI66" s="435">
        <v>9368</v>
      </c>
      <c r="AJ66" s="436">
        <v>256</v>
      </c>
      <c r="AK66" s="435">
        <v>9939</v>
      </c>
      <c r="AL66" s="436">
        <v>357</v>
      </c>
      <c r="AM66" s="437">
        <v>9904</v>
      </c>
      <c r="AN66" s="436">
        <v>715</v>
      </c>
      <c r="AO66" s="435">
        <v>9956</v>
      </c>
      <c r="AP66" s="436">
        <v>767</v>
      </c>
      <c r="AQ66" s="438">
        <v>10226</v>
      </c>
      <c r="AR66" s="439">
        <v>680</v>
      </c>
      <c r="AS66" s="440">
        <v>10393</v>
      </c>
      <c r="AT66" s="441">
        <v>591</v>
      </c>
      <c r="AU66" s="440">
        <v>10481</v>
      </c>
      <c r="AV66" s="1538">
        <v>553</v>
      </c>
      <c r="AW66" s="1541">
        <v>10944</v>
      </c>
      <c r="AX66" s="1542">
        <v>494</v>
      </c>
      <c r="AY66" s="1767">
        <v>11200</v>
      </c>
      <c r="AZ66" s="1794">
        <v>426</v>
      </c>
    </row>
    <row r="67" spans="1:52" ht="15" customHeight="1" x14ac:dyDescent="0.25">
      <c r="A67" s="426" t="s">
        <v>162</v>
      </c>
      <c r="B67" s="442" t="s">
        <v>163</v>
      </c>
      <c r="C67" s="190" t="s">
        <v>264</v>
      </c>
      <c r="D67" s="428">
        <f t="shared" si="31"/>
        <v>2.6400862068965518E-2</v>
      </c>
      <c r="E67" s="429">
        <f t="shared" si="32"/>
        <v>3.6663124335812966E-2</v>
      </c>
      <c r="F67" s="430">
        <f t="shared" si="17"/>
        <v>5.0643631436314361E-2</v>
      </c>
      <c r="G67" s="430">
        <f t="shared" si="33"/>
        <v>4.8395143854980872E-2</v>
      </c>
      <c r="H67" s="430">
        <f t="shared" si="34"/>
        <v>4.6182060686895635E-2</v>
      </c>
      <c r="I67" s="430">
        <f t="shared" si="35"/>
        <v>5.0764834425953941E-2</v>
      </c>
      <c r="J67" s="430">
        <f t="shared" si="36"/>
        <v>4.3767029972752045E-2</v>
      </c>
      <c r="K67" s="430">
        <f t="shared" si="37"/>
        <v>4.0809443507588535E-2</v>
      </c>
      <c r="L67" s="430">
        <f t="shared" si="38"/>
        <v>5.4411764705882354E-2</v>
      </c>
      <c r="M67" s="430">
        <f t="shared" si="39"/>
        <v>7.9493987193503049E-2</v>
      </c>
      <c r="N67" s="430">
        <f t="shared" si="40"/>
        <v>7.9508825786646198E-2</v>
      </c>
      <c r="O67" s="431">
        <f t="shared" si="41"/>
        <v>8.4870271959987489E-2</v>
      </c>
      <c r="P67" s="432">
        <f t="shared" si="42"/>
        <v>8.7836760720548385E-2</v>
      </c>
      <c r="Q67" s="1529">
        <f t="shared" si="43"/>
        <v>7.6622106292794256E-2</v>
      </c>
      <c r="R67" s="1532">
        <f t="shared" si="44"/>
        <v>7.434210526315789E-2</v>
      </c>
      <c r="S67" s="1788">
        <f t="shared" si="30"/>
        <v>6.1281337047353758E-2</v>
      </c>
      <c r="T67" s="219"/>
      <c r="U67" s="433">
        <v>5568</v>
      </c>
      <c r="V67" s="434">
        <v>147</v>
      </c>
      <c r="W67" s="435">
        <v>5646</v>
      </c>
      <c r="X67" s="436">
        <v>207</v>
      </c>
      <c r="Y67" s="435">
        <v>5904</v>
      </c>
      <c r="Z67" s="436">
        <v>299</v>
      </c>
      <c r="AA67" s="435">
        <v>6013</v>
      </c>
      <c r="AB67" s="436">
        <v>291</v>
      </c>
      <c r="AC67" s="435">
        <v>5998</v>
      </c>
      <c r="AD67" s="436">
        <v>277</v>
      </c>
      <c r="AE67" s="435">
        <v>5949</v>
      </c>
      <c r="AF67" s="436">
        <v>302</v>
      </c>
      <c r="AG67" s="435">
        <v>5872</v>
      </c>
      <c r="AH67" s="436">
        <v>257</v>
      </c>
      <c r="AI67" s="435">
        <v>5930</v>
      </c>
      <c r="AJ67" s="436">
        <v>242</v>
      </c>
      <c r="AK67" s="435">
        <v>6120</v>
      </c>
      <c r="AL67" s="436">
        <v>333</v>
      </c>
      <c r="AM67" s="437">
        <v>6403</v>
      </c>
      <c r="AN67" s="436">
        <v>509</v>
      </c>
      <c r="AO67" s="435">
        <v>6515</v>
      </c>
      <c r="AP67" s="436">
        <v>518</v>
      </c>
      <c r="AQ67" s="438">
        <v>6398</v>
      </c>
      <c r="AR67" s="439">
        <v>543</v>
      </c>
      <c r="AS67" s="440">
        <v>6273</v>
      </c>
      <c r="AT67" s="441">
        <v>551</v>
      </c>
      <c r="AU67" s="440">
        <v>6134</v>
      </c>
      <c r="AV67" s="1538">
        <v>470</v>
      </c>
      <c r="AW67" s="1541">
        <v>6080</v>
      </c>
      <c r="AX67" s="1542">
        <v>452</v>
      </c>
      <c r="AY67" s="1767">
        <v>6103</v>
      </c>
      <c r="AZ67" s="1794">
        <v>374</v>
      </c>
    </row>
    <row r="68" spans="1:52" ht="15" customHeight="1" x14ac:dyDescent="0.25">
      <c r="A68" s="426" t="s">
        <v>164</v>
      </c>
      <c r="B68" s="442" t="s">
        <v>165</v>
      </c>
      <c r="C68" s="190" t="s">
        <v>266</v>
      </c>
      <c r="D68" s="428">
        <f t="shared" si="31"/>
        <v>4.4781643227239085E-2</v>
      </c>
      <c r="E68" s="429">
        <f t="shared" si="32"/>
        <v>5.0200803212851405E-2</v>
      </c>
      <c r="F68" s="430">
        <f t="shared" si="17"/>
        <v>5.9432446903444583E-2</v>
      </c>
      <c r="G68" s="430">
        <f t="shared" si="33"/>
        <v>5.576012624934245E-2</v>
      </c>
      <c r="H68" s="430">
        <f t="shared" si="34"/>
        <v>4.9319163068747923E-2</v>
      </c>
      <c r="I68" s="430">
        <f t="shared" si="35"/>
        <v>4.7909120842937108E-2</v>
      </c>
      <c r="J68" s="430">
        <f t="shared" si="36"/>
        <v>4.1492387485360549E-2</v>
      </c>
      <c r="K68" s="430">
        <f t="shared" si="37"/>
        <v>4.3595809395065903E-2</v>
      </c>
      <c r="L68" s="430">
        <f t="shared" si="38"/>
        <v>5.695453777251986E-2</v>
      </c>
      <c r="M68" s="430">
        <f t="shared" si="39"/>
        <v>9.0257412838057993E-2</v>
      </c>
      <c r="N68" s="430">
        <f t="shared" si="40"/>
        <v>8.7867522811760732E-2</v>
      </c>
      <c r="O68" s="431">
        <f t="shared" si="41"/>
        <v>9.1049382716049385E-2</v>
      </c>
      <c r="P68" s="432">
        <f t="shared" si="42"/>
        <v>8.409703504043127E-2</v>
      </c>
      <c r="Q68" s="1529">
        <f t="shared" si="43"/>
        <v>7.8127913481260483E-2</v>
      </c>
      <c r="R68" s="1532">
        <f t="shared" si="44"/>
        <v>7.0534297302063134E-2</v>
      </c>
      <c r="S68" s="1788">
        <f t="shared" ref="S68:S99" si="45">AZ68/AY68</f>
        <v>6.1687717371407651E-2</v>
      </c>
      <c r="T68" s="219"/>
      <c r="U68" s="433">
        <v>5404</v>
      </c>
      <c r="V68" s="434">
        <v>242</v>
      </c>
      <c r="W68" s="435">
        <v>5478</v>
      </c>
      <c r="X68" s="436">
        <v>275</v>
      </c>
      <c r="Y68" s="435">
        <v>5603</v>
      </c>
      <c r="Z68" s="436">
        <v>333</v>
      </c>
      <c r="AA68" s="435">
        <v>5703</v>
      </c>
      <c r="AB68" s="436">
        <v>318</v>
      </c>
      <c r="AC68" s="435">
        <v>6022</v>
      </c>
      <c r="AD68" s="436">
        <v>297</v>
      </c>
      <c r="AE68" s="435">
        <v>6074</v>
      </c>
      <c r="AF68" s="436">
        <v>291</v>
      </c>
      <c r="AG68" s="435">
        <v>5977</v>
      </c>
      <c r="AH68" s="436">
        <v>248</v>
      </c>
      <c r="AI68" s="435">
        <v>5918</v>
      </c>
      <c r="AJ68" s="436">
        <v>258</v>
      </c>
      <c r="AK68" s="435">
        <v>5917</v>
      </c>
      <c r="AL68" s="436">
        <v>337</v>
      </c>
      <c r="AM68" s="437">
        <v>6138</v>
      </c>
      <c r="AN68" s="436">
        <v>554</v>
      </c>
      <c r="AO68" s="435">
        <v>5918</v>
      </c>
      <c r="AP68" s="436">
        <v>520</v>
      </c>
      <c r="AQ68" s="438">
        <v>5832</v>
      </c>
      <c r="AR68" s="439">
        <v>531</v>
      </c>
      <c r="AS68" s="440">
        <v>5565</v>
      </c>
      <c r="AT68" s="441">
        <v>468</v>
      </c>
      <c r="AU68" s="440">
        <v>5363</v>
      </c>
      <c r="AV68" s="1538">
        <v>419</v>
      </c>
      <c r="AW68" s="1541">
        <v>5671</v>
      </c>
      <c r="AX68" s="1542">
        <v>400</v>
      </c>
      <c r="AY68" s="1767">
        <v>5463</v>
      </c>
      <c r="AZ68" s="1794">
        <v>337</v>
      </c>
    </row>
    <row r="69" spans="1:52" ht="15" customHeight="1" x14ac:dyDescent="0.25">
      <c r="A69" s="426" t="s">
        <v>168</v>
      </c>
      <c r="B69" s="442" t="s">
        <v>169</v>
      </c>
      <c r="C69" s="190" t="s">
        <v>266</v>
      </c>
      <c r="D69" s="428">
        <f t="shared" ref="D69:D100" si="46">V69/U69</f>
        <v>2.9176854115729421E-2</v>
      </c>
      <c r="E69" s="429">
        <f t="shared" ref="E69:E100" si="47">X69/W69</f>
        <v>3.9743589743589741E-2</v>
      </c>
      <c r="F69" s="430">
        <f t="shared" ref="F69:F130" si="48">Z69/Y69</f>
        <v>4.3866520444931847E-2</v>
      </c>
      <c r="G69" s="430">
        <f t="shared" ref="G69:G100" si="49">AB69/AA69</f>
        <v>4.4307692307692305E-2</v>
      </c>
      <c r="H69" s="430">
        <f t="shared" ref="H69:H100" si="50">AD69/AC69</f>
        <v>4.3662635464111824E-2</v>
      </c>
      <c r="I69" s="430">
        <f t="shared" ref="I69:I100" si="51">AF69/AE69</f>
        <v>4.5269423558897244E-2</v>
      </c>
      <c r="J69" s="430">
        <f t="shared" ref="J69:J100" si="52">AH69/AG69</f>
        <v>4.087659309916071E-2</v>
      </c>
      <c r="K69" s="430">
        <f t="shared" ref="K69:K100" si="53">AJ69/AI69</f>
        <v>3.9107852123434157E-2</v>
      </c>
      <c r="L69" s="430">
        <f t="shared" ref="L69:L100" si="54">AL69/AK69</f>
        <v>5.4873427315446414E-2</v>
      </c>
      <c r="M69" s="430">
        <f t="shared" ref="M69:M100" si="55">AN69/AM69</f>
        <v>8.3158210747523262E-2</v>
      </c>
      <c r="N69" s="430">
        <f t="shared" ref="N69:N100" si="56">AP69/AO69</f>
        <v>8.5674375291013502E-2</v>
      </c>
      <c r="O69" s="431">
        <f t="shared" ref="O69:O100" si="57">AR69/AQ69</f>
        <v>7.9480439152620999E-2</v>
      </c>
      <c r="P69" s="432">
        <f t="shared" ref="P69:P100" si="58">AT69/AS69</f>
        <v>7.2156862745098041E-2</v>
      </c>
      <c r="Q69" s="1529">
        <f t="shared" ref="Q69:Q100" si="59">AV69/AU69</f>
        <v>6.7989097516656577E-2</v>
      </c>
      <c r="R69" s="1532">
        <f t="shared" ref="R69:R100" si="60">AX69/AW69</f>
        <v>5.4225352112676053E-2</v>
      </c>
      <c r="S69" s="1788">
        <f t="shared" si="45"/>
        <v>4.5397401871769799E-2</v>
      </c>
      <c r="T69" s="219"/>
      <c r="U69" s="433">
        <v>6135</v>
      </c>
      <c r="V69" s="434">
        <v>179</v>
      </c>
      <c r="W69" s="435">
        <v>6240</v>
      </c>
      <c r="X69" s="436">
        <v>248</v>
      </c>
      <c r="Y69" s="435">
        <v>6383</v>
      </c>
      <c r="Z69" s="436">
        <v>280</v>
      </c>
      <c r="AA69" s="435">
        <v>6500</v>
      </c>
      <c r="AB69" s="436">
        <v>288</v>
      </c>
      <c r="AC69" s="435">
        <v>6367</v>
      </c>
      <c r="AD69" s="436">
        <v>278</v>
      </c>
      <c r="AE69" s="435">
        <v>6384</v>
      </c>
      <c r="AF69" s="436">
        <v>289</v>
      </c>
      <c r="AG69" s="435">
        <v>6434</v>
      </c>
      <c r="AH69" s="436">
        <v>263</v>
      </c>
      <c r="AI69" s="435">
        <v>6546</v>
      </c>
      <c r="AJ69" s="436">
        <v>256</v>
      </c>
      <c r="AK69" s="435">
        <v>6597</v>
      </c>
      <c r="AL69" s="436">
        <v>362</v>
      </c>
      <c r="AM69" s="437">
        <v>6662</v>
      </c>
      <c r="AN69" s="436">
        <v>554</v>
      </c>
      <c r="AO69" s="435">
        <v>6443</v>
      </c>
      <c r="AP69" s="436">
        <v>552</v>
      </c>
      <c r="AQ69" s="438">
        <v>6467</v>
      </c>
      <c r="AR69" s="439">
        <v>514</v>
      </c>
      <c r="AS69" s="440">
        <v>6375</v>
      </c>
      <c r="AT69" s="441">
        <v>460</v>
      </c>
      <c r="AU69" s="440">
        <v>6604</v>
      </c>
      <c r="AV69" s="1538">
        <v>449</v>
      </c>
      <c r="AW69" s="1541">
        <v>7100</v>
      </c>
      <c r="AX69" s="1542">
        <v>385</v>
      </c>
      <c r="AY69" s="1767">
        <v>7159</v>
      </c>
      <c r="AZ69" s="1794">
        <v>325</v>
      </c>
    </row>
    <row r="70" spans="1:52" ht="15" customHeight="1" x14ac:dyDescent="0.25">
      <c r="A70" s="426" t="s">
        <v>170</v>
      </c>
      <c r="B70" s="442" t="s">
        <v>171</v>
      </c>
      <c r="C70" s="190" t="s">
        <v>267</v>
      </c>
      <c r="D70" s="428">
        <f t="shared" si="46"/>
        <v>2.0456520022115156E-2</v>
      </c>
      <c r="E70" s="429">
        <f t="shared" si="47"/>
        <v>2.6861268535051625E-2</v>
      </c>
      <c r="F70" s="430">
        <f t="shared" si="48"/>
        <v>4.4787297783103655E-2</v>
      </c>
      <c r="G70" s="430">
        <f t="shared" si="49"/>
        <v>3.9910829857615418E-2</v>
      </c>
      <c r="H70" s="430">
        <f t="shared" si="50"/>
        <v>3.3084386124101348E-2</v>
      </c>
      <c r="I70" s="430">
        <f t="shared" si="51"/>
        <v>3.1671753136656496E-2</v>
      </c>
      <c r="J70" s="430">
        <f t="shared" si="52"/>
        <v>3.014207940512548E-2</v>
      </c>
      <c r="K70" s="430">
        <f t="shared" si="53"/>
        <v>3.2243326153645321E-2</v>
      </c>
      <c r="L70" s="430">
        <f t="shared" si="54"/>
        <v>4.5871559633027525E-2</v>
      </c>
      <c r="M70" s="430">
        <f t="shared" si="55"/>
        <v>8.0060422960725075E-2</v>
      </c>
      <c r="N70" s="430">
        <f t="shared" si="56"/>
        <v>8.1804818815108329E-2</v>
      </c>
      <c r="O70" s="431">
        <f t="shared" si="57"/>
        <v>7.6596023024594451E-2</v>
      </c>
      <c r="P70" s="432">
        <f t="shared" si="58"/>
        <v>6.8258940224484463E-2</v>
      </c>
      <c r="Q70" s="1529">
        <f t="shared" si="59"/>
        <v>5.9647335922082885E-2</v>
      </c>
      <c r="R70" s="1532">
        <f t="shared" si="60"/>
        <v>5.2236047800911664E-2</v>
      </c>
      <c r="S70" s="1788">
        <f t="shared" si="45"/>
        <v>4.5838509316770186E-2</v>
      </c>
      <c r="T70" s="219"/>
      <c r="U70" s="433">
        <v>12661</v>
      </c>
      <c r="V70" s="434">
        <v>259</v>
      </c>
      <c r="W70" s="435">
        <v>12881</v>
      </c>
      <c r="X70" s="436">
        <v>346</v>
      </c>
      <c r="Y70" s="435">
        <v>13352</v>
      </c>
      <c r="Z70" s="436">
        <v>598</v>
      </c>
      <c r="AA70" s="435">
        <v>13906</v>
      </c>
      <c r="AB70" s="436">
        <v>555</v>
      </c>
      <c r="AC70" s="435">
        <v>14327</v>
      </c>
      <c r="AD70" s="436">
        <v>474</v>
      </c>
      <c r="AE70" s="435">
        <v>14745</v>
      </c>
      <c r="AF70" s="436">
        <v>467</v>
      </c>
      <c r="AG70" s="435">
        <v>15062</v>
      </c>
      <c r="AH70" s="436">
        <v>454</v>
      </c>
      <c r="AI70" s="435">
        <v>15321</v>
      </c>
      <c r="AJ70" s="436">
        <v>494</v>
      </c>
      <c r="AK70" s="435">
        <v>15696</v>
      </c>
      <c r="AL70" s="436">
        <v>720</v>
      </c>
      <c r="AM70" s="437">
        <v>15888</v>
      </c>
      <c r="AN70" s="436">
        <v>1272</v>
      </c>
      <c r="AO70" s="435">
        <v>15647</v>
      </c>
      <c r="AP70" s="436">
        <v>1280</v>
      </c>
      <c r="AQ70" s="438">
        <v>15288</v>
      </c>
      <c r="AR70" s="439">
        <v>1171</v>
      </c>
      <c r="AS70" s="440">
        <v>15324</v>
      </c>
      <c r="AT70" s="441">
        <v>1046</v>
      </c>
      <c r="AU70" s="440">
        <v>15709</v>
      </c>
      <c r="AV70" s="1538">
        <v>937</v>
      </c>
      <c r="AW70" s="1541">
        <v>16234</v>
      </c>
      <c r="AX70" s="1542">
        <v>848</v>
      </c>
      <c r="AY70" s="1767">
        <v>16100</v>
      </c>
      <c r="AZ70" s="1794">
        <v>738</v>
      </c>
    </row>
    <row r="71" spans="1:52" ht="15" customHeight="1" x14ac:dyDescent="0.25">
      <c r="A71" s="426" t="s">
        <v>172</v>
      </c>
      <c r="B71" s="442" t="s">
        <v>173</v>
      </c>
      <c r="C71" s="190" t="s">
        <v>267</v>
      </c>
      <c r="D71" s="428">
        <f t="shared" si="46"/>
        <v>2.5956284153005466E-2</v>
      </c>
      <c r="E71" s="429">
        <f t="shared" si="47"/>
        <v>3.3432392273402674E-2</v>
      </c>
      <c r="F71" s="430">
        <f t="shared" si="48"/>
        <v>6.1209618654359969E-2</v>
      </c>
      <c r="G71" s="430">
        <f t="shared" si="49"/>
        <v>6.9630245118404654E-2</v>
      </c>
      <c r="H71" s="430">
        <f t="shared" si="50"/>
        <v>5.4213727193744572E-2</v>
      </c>
      <c r="I71" s="430">
        <f t="shared" si="51"/>
        <v>5.0856298356950359E-2</v>
      </c>
      <c r="J71" s="430">
        <f t="shared" si="52"/>
        <v>4.6474215747609258E-2</v>
      </c>
      <c r="K71" s="430">
        <f t="shared" si="53"/>
        <v>5.0913606528295192E-2</v>
      </c>
      <c r="L71" s="430">
        <f t="shared" si="54"/>
        <v>6.9012293344637557E-2</v>
      </c>
      <c r="M71" s="430">
        <f t="shared" si="55"/>
        <v>0.12177426003792563</v>
      </c>
      <c r="N71" s="430">
        <f t="shared" si="56"/>
        <v>0.11980749746707194</v>
      </c>
      <c r="O71" s="431">
        <f t="shared" si="57"/>
        <v>0.11279195411852713</v>
      </c>
      <c r="P71" s="432">
        <f t="shared" si="58"/>
        <v>0.1048835592631213</v>
      </c>
      <c r="Q71" s="1529">
        <f t="shared" si="59"/>
        <v>9.4080056803053161E-2</v>
      </c>
      <c r="R71" s="1532">
        <f t="shared" si="60"/>
        <v>8.0775037745344738E-2</v>
      </c>
      <c r="S71" s="1788">
        <f t="shared" si="45"/>
        <v>6.9360211839070637E-2</v>
      </c>
      <c r="T71" s="190"/>
      <c r="U71" s="443">
        <v>11712</v>
      </c>
      <c r="V71" s="444">
        <v>304</v>
      </c>
      <c r="W71" s="435">
        <v>12114</v>
      </c>
      <c r="X71" s="436">
        <v>405</v>
      </c>
      <c r="Y71" s="435">
        <v>12351</v>
      </c>
      <c r="Z71" s="436">
        <v>756</v>
      </c>
      <c r="AA71" s="435">
        <v>12035</v>
      </c>
      <c r="AB71" s="436">
        <v>838</v>
      </c>
      <c r="AC71" s="461">
        <v>11510</v>
      </c>
      <c r="AD71" s="439">
        <v>624</v>
      </c>
      <c r="AE71" s="461">
        <v>11503</v>
      </c>
      <c r="AF71" s="439">
        <v>585</v>
      </c>
      <c r="AG71" s="461">
        <v>11189</v>
      </c>
      <c r="AH71" s="439">
        <v>520</v>
      </c>
      <c r="AI71" s="461">
        <v>11274</v>
      </c>
      <c r="AJ71" s="439">
        <v>574</v>
      </c>
      <c r="AK71" s="461">
        <v>11795</v>
      </c>
      <c r="AL71" s="439">
        <v>814</v>
      </c>
      <c r="AM71" s="445">
        <v>12129</v>
      </c>
      <c r="AN71" s="439">
        <v>1477</v>
      </c>
      <c r="AO71" s="435">
        <v>11844</v>
      </c>
      <c r="AP71" s="436">
        <v>1419</v>
      </c>
      <c r="AQ71" s="438">
        <v>12031</v>
      </c>
      <c r="AR71" s="439">
        <v>1357</v>
      </c>
      <c r="AS71" s="440">
        <v>11508</v>
      </c>
      <c r="AT71" s="441">
        <v>1207</v>
      </c>
      <c r="AU71" s="440">
        <v>11267</v>
      </c>
      <c r="AV71" s="1538">
        <v>1060</v>
      </c>
      <c r="AW71" s="1541">
        <v>11922</v>
      </c>
      <c r="AX71" s="1542">
        <v>963</v>
      </c>
      <c r="AY71" s="1767">
        <v>11707</v>
      </c>
      <c r="AZ71" s="1794">
        <v>812</v>
      </c>
    </row>
    <row r="72" spans="1:52" ht="15" customHeight="1" x14ac:dyDescent="0.25">
      <c r="A72" s="426" t="s">
        <v>174</v>
      </c>
      <c r="B72" s="442" t="s">
        <v>175</v>
      </c>
      <c r="C72" s="190" t="s">
        <v>268</v>
      </c>
      <c r="D72" s="428">
        <f t="shared" si="46"/>
        <v>3.2804232804232801E-2</v>
      </c>
      <c r="E72" s="429">
        <f t="shared" si="47"/>
        <v>5.2559941367396085E-2</v>
      </c>
      <c r="F72" s="430">
        <f t="shared" si="48"/>
        <v>8.3877656817003626E-2</v>
      </c>
      <c r="G72" s="430">
        <f t="shared" si="49"/>
        <v>7.6378351036924627E-2</v>
      </c>
      <c r="H72" s="430">
        <f t="shared" si="50"/>
        <v>7.5663282017687516E-2</v>
      </c>
      <c r="I72" s="430">
        <f t="shared" si="51"/>
        <v>6.5458663646659115E-2</v>
      </c>
      <c r="J72" s="430">
        <f t="shared" si="52"/>
        <v>4.5933991153453556E-2</v>
      </c>
      <c r="K72" s="430">
        <f t="shared" si="53"/>
        <v>4.0861647790361978E-2</v>
      </c>
      <c r="L72" s="430">
        <f t="shared" si="54"/>
        <v>6.4896755162241887E-2</v>
      </c>
      <c r="M72" s="430">
        <f t="shared" si="55"/>
        <v>0.11533082302313072</v>
      </c>
      <c r="N72" s="430">
        <f t="shared" si="56"/>
        <v>0.11521596141197106</v>
      </c>
      <c r="O72" s="431">
        <f t="shared" si="57"/>
        <v>9.6082194874110877E-2</v>
      </c>
      <c r="P72" s="432">
        <f t="shared" si="58"/>
        <v>8.0185938407902377E-2</v>
      </c>
      <c r="Q72" s="1529">
        <f t="shared" si="59"/>
        <v>7.430488974113135E-2</v>
      </c>
      <c r="R72" s="1532">
        <f t="shared" si="60"/>
        <v>6.5043791859866043E-2</v>
      </c>
      <c r="S72" s="1788">
        <f t="shared" si="45"/>
        <v>5.4848445085946725E-2</v>
      </c>
      <c r="T72" s="219"/>
      <c r="U72" s="433">
        <v>9450</v>
      </c>
      <c r="V72" s="434">
        <v>310</v>
      </c>
      <c r="W72" s="435">
        <v>9551</v>
      </c>
      <c r="X72" s="436">
        <v>502</v>
      </c>
      <c r="Y72" s="435">
        <v>9645</v>
      </c>
      <c r="Z72" s="436">
        <v>809</v>
      </c>
      <c r="AA72" s="435">
        <v>9885</v>
      </c>
      <c r="AB72" s="436">
        <v>755</v>
      </c>
      <c r="AC72" s="435">
        <v>9159</v>
      </c>
      <c r="AD72" s="436">
        <v>693</v>
      </c>
      <c r="AE72" s="435">
        <v>8830</v>
      </c>
      <c r="AF72" s="436">
        <v>578</v>
      </c>
      <c r="AG72" s="435">
        <v>8817</v>
      </c>
      <c r="AH72" s="436">
        <v>405</v>
      </c>
      <c r="AI72" s="435">
        <v>9006</v>
      </c>
      <c r="AJ72" s="436">
        <v>368</v>
      </c>
      <c r="AK72" s="435">
        <v>9153</v>
      </c>
      <c r="AL72" s="436">
        <v>594</v>
      </c>
      <c r="AM72" s="437">
        <v>9295</v>
      </c>
      <c r="AN72" s="436">
        <v>1072</v>
      </c>
      <c r="AO72" s="435">
        <v>9122</v>
      </c>
      <c r="AP72" s="436">
        <v>1051</v>
      </c>
      <c r="AQ72" s="438">
        <v>8857</v>
      </c>
      <c r="AR72" s="439">
        <v>851</v>
      </c>
      <c r="AS72" s="440">
        <v>8605</v>
      </c>
      <c r="AT72" s="441">
        <v>690</v>
      </c>
      <c r="AU72" s="440">
        <v>8344</v>
      </c>
      <c r="AV72" s="1538">
        <v>620</v>
      </c>
      <c r="AW72" s="1541">
        <v>7764</v>
      </c>
      <c r="AX72" s="1542">
        <v>505</v>
      </c>
      <c r="AY72" s="1767">
        <v>7621</v>
      </c>
      <c r="AZ72" s="1794">
        <v>418</v>
      </c>
    </row>
    <row r="73" spans="1:52" ht="15" customHeight="1" x14ac:dyDescent="0.25">
      <c r="A73" s="426" t="s">
        <v>178</v>
      </c>
      <c r="B73" s="442" t="s">
        <v>179</v>
      </c>
      <c r="C73" s="190" t="s">
        <v>265</v>
      </c>
      <c r="D73" s="428">
        <f t="shared" si="46"/>
        <v>3.2901986713264698E-2</v>
      </c>
      <c r="E73" s="429">
        <f t="shared" si="47"/>
        <v>5.8485494485123739E-2</v>
      </c>
      <c r="F73" s="430">
        <f t="shared" si="48"/>
        <v>7.0014851635195344E-2</v>
      </c>
      <c r="G73" s="430">
        <f t="shared" si="49"/>
        <v>6.5173301044346904E-2</v>
      </c>
      <c r="H73" s="430">
        <f t="shared" si="50"/>
        <v>6.1639997509495052E-2</v>
      </c>
      <c r="I73" s="430">
        <f t="shared" si="51"/>
        <v>6.298473855391544E-2</v>
      </c>
      <c r="J73" s="430">
        <f t="shared" si="52"/>
        <v>5.423063306620321E-2</v>
      </c>
      <c r="K73" s="430">
        <f t="shared" si="53"/>
        <v>5.7580577104092957E-2</v>
      </c>
      <c r="L73" s="430">
        <f t="shared" si="54"/>
        <v>6.6670865744968985E-2</v>
      </c>
      <c r="M73" s="430">
        <f t="shared" si="55"/>
        <v>0.1097893122123783</v>
      </c>
      <c r="N73" s="430">
        <f t="shared" si="56"/>
        <v>0.10673005219985086</v>
      </c>
      <c r="O73" s="431">
        <f t="shared" si="57"/>
        <v>8.6870802784794532E-2</v>
      </c>
      <c r="P73" s="432">
        <f t="shared" si="58"/>
        <v>7.4528715475668569E-2</v>
      </c>
      <c r="Q73" s="1529">
        <f t="shared" si="59"/>
        <v>6.8663972723828764E-2</v>
      </c>
      <c r="R73" s="1532">
        <f t="shared" si="60"/>
        <v>6.2989019659412185E-2</v>
      </c>
      <c r="S73" s="1788">
        <f t="shared" si="45"/>
        <v>5.3451597900471728E-2</v>
      </c>
      <c r="T73" s="219"/>
      <c r="U73" s="433">
        <v>31761</v>
      </c>
      <c r="V73" s="434">
        <v>1045</v>
      </c>
      <c r="W73" s="435">
        <v>32367</v>
      </c>
      <c r="X73" s="436">
        <v>1893</v>
      </c>
      <c r="Y73" s="435">
        <v>32993</v>
      </c>
      <c r="Z73" s="436">
        <v>2310</v>
      </c>
      <c r="AA73" s="435">
        <v>33035</v>
      </c>
      <c r="AB73" s="436">
        <v>2153</v>
      </c>
      <c r="AC73" s="435">
        <v>32122</v>
      </c>
      <c r="AD73" s="436">
        <v>1980</v>
      </c>
      <c r="AE73" s="435">
        <v>31976</v>
      </c>
      <c r="AF73" s="436">
        <v>2014</v>
      </c>
      <c r="AG73" s="435">
        <v>31071</v>
      </c>
      <c r="AH73" s="436">
        <v>1685</v>
      </c>
      <c r="AI73" s="435">
        <v>30809</v>
      </c>
      <c r="AJ73" s="436">
        <v>1774</v>
      </c>
      <c r="AK73" s="435">
        <v>31753</v>
      </c>
      <c r="AL73" s="436">
        <v>2117</v>
      </c>
      <c r="AM73" s="437">
        <v>31943</v>
      </c>
      <c r="AN73" s="436">
        <v>3507</v>
      </c>
      <c r="AO73" s="435">
        <v>32184</v>
      </c>
      <c r="AP73" s="436">
        <v>3435</v>
      </c>
      <c r="AQ73" s="438">
        <v>32462</v>
      </c>
      <c r="AR73" s="439">
        <v>2820</v>
      </c>
      <c r="AS73" s="440">
        <v>31934</v>
      </c>
      <c r="AT73" s="441">
        <v>2380</v>
      </c>
      <c r="AU73" s="440">
        <v>31676</v>
      </c>
      <c r="AV73" s="1538">
        <v>2175</v>
      </c>
      <c r="AW73" s="1541">
        <v>30418</v>
      </c>
      <c r="AX73" s="1542">
        <v>1916</v>
      </c>
      <c r="AY73" s="1767">
        <v>30102</v>
      </c>
      <c r="AZ73" s="1794">
        <v>1609</v>
      </c>
    </row>
    <row r="74" spans="1:52" ht="15" customHeight="1" x14ac:dyDescent="0.25">
      <c r="A74" s="426" t="s">
        <v>182</v>
      </c>
      <c r="B74" s="442" t="s">
        <v>183</v>
      </c>
      <c r="C74" s="190" t="s">
        <v>266</v>
      </c>
      <c r="D74" s="428">
        <f t="shared" si="46"/>
        <v>1.8063131538943039E-2</v>
      </c>
      <c r="E74" s="429">
        <f t="shared" si="47"/>
        <v>2.5097698653929659E-2</v>
      </c>
      <c r="F74" s="430">
        <f t="shared" si="48"/>
        <v>3.1296205027106949E-2</v>
      </c>
      <c r="G74" s="430">
        <f t="shared" si="49"/>
        <v>3.150977753147019E-2</v>
      </c>
      <c r="H74" s="430">
        <f t="shared" si="50"/>
        <v>2.8658304827061953E-2</v>
      </c>
      <c r="I74" s="430">
        <f t="shared" si="51"/>
        <v>2.8247756363101367E-2</v>
      </c>
      <c r="J74" s="430">
        <f t="shared" si="52"/>
        <v>2.5709468951952797E-2</v>
      </c>
      <c r="K74" s="430">
        <f t="shared" si="53"/>
        <v>2.3774354645846523E-2</v>
      </c>
      <c r="L74" s="430">
        <f t="shared" si="54"/>
        <v>3.3653187114461962E-2</v>
      </c>
      <c r="M74" s="430">
        <f t="shared" si="55"/>
        <v>6.5338308807998305E-2</v>
      </c>
      <c r="N74" s="430">
        <f t="shared" si="56"/>
        <v>7.0073200198990826E-2</v>
      </c>
      <c r="O74" s="431">
        <f t="shared" si="57"/>
        <v>6.1175642379443861E-2</v>
      </c>
      <c r="P74" s="432">
        <f t="shared" si="58"/>
        <v>5.4825332114992617E-2</v>
      </c>
      <c r="Q74" s="1529">
        <f t="shared" si="59"/>
        <v>4.9085323278871669E-2</v>
      </c>
      <c r="R74" s="1532">
        <f t="shared" si="60"/>
        <v>4.5272872611002109E-2</v>
      </c>
      <c r="S74" s="1788">
        <f t="shared" si="45"/>
        <v>3.9229878401852922E-2</v>
      </c>
      <c r="T74" s="219"/>
      <c r="U74" s="433">
        <v>11183</v>
      </c>
      <c r="V74" s="434">
        <v>202</v>
      </c>
      <c r="W74" s="435">
        <v>11515</v>
      </c>
      <c r="X74" s="436">
        <v>289</v>
      </c>
      <c r="Y74" s="435">
        <v>12174</v>
      </c>
      <c r="Z74" s="436">
        <v>381</v>
      </c>
      <c r="AA74" s="435">
        <v>12631</v>
      </c>
      <c r="AB74" s="436">
        <v>398</v>
      </c>
      <c r="AC74" s="435">
        <v>13155</v>
      </c>
      <c r="AD74" s="436">
        <v>377</v>
      </c>
      <c r="AE74" s="435">
        <v>13594</v>
      </c>
      <c r="AF74" s="436">
        <v>384</v>
      </c>
      <c r="AG74" s="435">
        <v>14236</v>
      </c>
      <c r="AH74" s="436">
        <v>366</v>
      </c>
      <c r="AI74" s="435">
        <v>14217</v>
      </c>
      <c r="AJ74" s="436">
        <v>338</v>
      </c>
      <c r="AK74" s="435">
        <v>14590</v>
      </c>
      <c r="AL74" s="436">
        <v>491</v>
      </c>
      <c r="AM74" s="437">
        <v>14203</v>
      </c>
      <c r="AN74" s="436">
        <v>928</v>
      </c>
      <c r="AO74" s="435">
        <v>14071</v>
      </c>
      <c r="AP74" s="436">
        <v>986</v>
      </c>
      <c r="AQ74" s="438">
        <v>14205</v>
      </c>
      <c r="AR74" s="439">
        <v>869</v>
      </c>
      <c r="AS74" s="440">
        <v>14227</v>
      </c>
      <c r="AT74" s="441">
        <v>780</v>
      </c>
      <c r="AU74" s="440">
        <v>14322</v>
      </c>
      <c r="AV74" s="1538">
        <v>703</v>
      </c>
      <c r="AW74" s="1541">
        <v>13761</v>
      </c>
      <c r="AX74" s="1542">
        <v>623</v>
      </c>
      <c r="AY74" s="1767">
        <v>13816</v>
      </c>
      <c r="AZ74" s="1794">
        <v>542</v>
      </c>
    </row>
    <row r="75" spans="1:52" ht="15" customHeight="1" x14ac:dyDescent="0.25">
      <c r="A75" s="426" t="s">
        <v>184</v>
      </c>
      <c r="B75" s="442" t="s">
        <v>185</v>
      </c>
      <c r="C75" s="190" t="s">
        <v>266</v>
      </c>
      <c r="D75" s="428">
        <f t="shared" si="46"/>
        <v>3.3399307273626916E-2</v>
      </c>
      <c r="E75" s="429">
        <f t="shared" si="47"/>
        <v>4.1839473042205415E-2</v>
      </c>
      <c r="F75" s="430">
        <f t="shared" si="48"/>
        <v>5.8405587668593446E-2</v>
      </c>
      <c r="G75" s="430">
        <f t="shared" si="49"/>
        <v>5.6962764094782306E-2</v>
      </c>
      <c r="H75" s="430">
        <f t="shared" si="50"/>
        <v>5.5450011873664211E-2</v>
      </c>
      <c r="I75" s="430">
        <f t="shared" si="51"/>
        <v>5.673345759552656E-2</v>
      </c>
      <c r="J75" s="430">
        <f t="shared" si="52"/>
        <v>4.752808988764045E-2</v>
      </c>
      <c r="K75" s="430">
        <f t="shared" si="53"/>
        <v>4.6281908990011097E-2</v>
      </c>
      <c r="L75" s="430">
        <f t="shared" si="54"/>
        <v>5.5187409401532411E-2</v>
      </c>
      <c r="M75" s="430">
        <f t="shared" si="55"/>
        <v>9.2214136177848668E-2</v>
      </c>
      <c r="N75" s="430">
        <f t="shared" si="56"/>
        <v>0.10266856793644327</v>
      </c>
      <c r="O75" s="431">
        <f t="shared" si="57"/>
        <v>9.3684104829802189E-2</v>
      </c>
      <c r="P75" s="432">
        <f t="shared" si="58"/>
        <v>9.0537994557253504E-2</v>
      </c>
      <c r="Q75" s="1529">
        <f t="shared" si="59"/>
        <v>8.9957264957264957E-2</v>
      </c>
      <c r="R75" s="1532">
        <f t="shared" si="60"/>
        <v>7.8425389075373816E-2</v>
      </c>
      <c r="S75" s="1788">
        <f t="shared" si="45"/>
        <v>6.4502959787711783E-2</v>
      </c>
      <c r="T75" s="219"/>
      <c r="U75" s="433">
        <v>8084</v>
      </c>
      <c r="V75" s="434">
        <v>270</v>
      </c>
      <c r="W75" s="435">
        <v>8198</v>
      </c>
      <c r="X75" s="436">
        <v>343</v>
      </c>
      <c r="Y75" s="435">
        <v>8304</v>
      </c>
      <c r="Z75" s="436">
        <v>485</v>
      </c>
      <c r="AA75" s="435">
        <v>8567</v>
      </c>
      <c r="AB75" s="436">
        <v>488</v>
      </c>
      <c r="AC75" s="435">
        <v>8422</v>
      </c>
      <c r="AD75" s="436">
        <v>467</v>
      </c>
      <c r="AE75" s="435">
        <v>8584</v>
      </c>
      <c r="AF75" s="436">
        <v>487</v>
      </c>
      <c r="AG75" s="435">
        <v>8900</v>
      </c>
      <c r="AH75" s="436">
        <v>423</v>
      </c>
      <c r="AI75" s="435">
        <v>9010</v>
      </c>
      <c r="AJ75" s="436">
        <v>417</v>
      </c>
      <c r="AK75" s="435">
        <v>9658</v>
      </c>
      <c r="AL75" s="436">
        <v>533</v>
      </c>
      <c r="AM75" s="437">
        <v>10031</v>
      </c>
      <c r="AN75" s="436">
        <v>925</v>
      </c>
      <c r="AO75" s="435">
        <v>9818</v>
      </c>
      <c r="AP75" s="436">
        <v>1008</v>
      </c>
      <c r="AQ75" s="438">
        <v>9959</v>
      </c>
      <c r="AR75" s="439">
        <v>933</v>
      </c>
      <c r="AS75" s="440">
        <v>9554</v>
      </c>
      <c r="AT75" s="441">
        <v>865</v>
      </c>
      <c r="AU75" s="440">
        <v>9360</v>
      </c>
      <c r="AV75" s="1538">
        <v>842</v>
      </c>
      <c r="AW75" s="1541">
        <v>9831</v>
      </c>
      <c r="AX75" s="1542">
        <v>771</v>
      </c>
      <c r="AY75" s="1767">
        <v>9798</v>
      </c>
      <c r="AZ75" s="1794">
        <v>632</v>
      </c>
    </row>
    <row r="76" spans="1:52" ht="15" customHeight="1" x14ac:dyDescent="0.25">
      <c r="A76" s="426" t="s">
        <v>186</v>
      </c>
      <c r="B76" s="442" t="s">
        <v>187</v>
      </c>
      <c r="C76" s="190" t="s">
        <v>264</v>
      </c>
      <c r="D76" s="428">
        <f t="shared" si="46"/>
        <v>2.5486914181375532E-2</v>
      </c>
      <c r="E76" s="429">
        <f t="shared" si="47"/>
        <v>3.4864824937213768E-2</v>
      </c>
      <c r="F76" s="430">
        <f t="shared" si="48"/>
        <v>3.8423575860124085E-2</v>
      </c>
      <c r="G76" s="430">
        <f t="shared" si="49"/>
        <v>4.1530944625407164E-2</v>
      </c>
      <c r="H76" s="430">
        <f t="shared" si="50"/>
        <v>3.6058335563286061E-2</v>
      </c>
      <c r="I76" s="430">
        <f t="shared" si="51"/>
        <v>3.8224985120031744E-2</v>
      </c>
      <c r="J76" s="430">
        <f t="shared" si="52"/>
        <v>3.3418504572350724E-2</v>
      </c>
      <c r="K76" s="430">
        <f t="shared" si="53"/>
        <v>3.2487517953628343E-2</v>
      </c>
      <c r="L76" s="430">
        <f t="shared" si="54"/>
        <v>4.2663822411839213E-2</v>
      </c>
      <c r="M76" s="430">
        <f t="shared" si="55"/>
        <v>7.1934821487712797E-2</v>
      </c>
      <c r="N76" s="430">
        <f t="shared" si="56"/>
        <v>7.7079677079677084E-2</v>
      </c>
      <c r="O76" s="431">
        <f t="shared" si="57"/>
        <v>7.4306116949609272E-2</v>
      </c>
      <c r="P76" s="432">
        <f t="shared" si="58"/>
        <v>6.7486702127659573E-2</v>
      </c>
      <c r="Q76" s="1529">
        <f t="shared" si="59"/>
        <v>6.1699035539701415E-2</v>
      </c>
      <c r="R76" s="1532">
        <f t="shared" si="60"/>
        <v>6.2110552763819098E-2</v>
      </c>
      <c r="S76" s="1788">
        <f t="shared" si="45"/>
        <v>5.3323495874974848E-2</v>
      </c>
      <c r="T76" s="219"/>
      <c r="U76" s="433">
        <v>13144</v>
      </c>
      <c r="V76" s="434">
        <v>335</v>
      </c>
      <c r="W76" s="435">
        <v>13538</v>
      </c>
      <c r="X76" s="436">
        <v>472</v>
      </c>
      <c r="Y76" s="435">
        <v>14184</v>
      </c>
      <c r="Z76" s="436">
        <v>545</v>
      </c>
      <c r="AA76" s="435">
        <v>14736</v>
      </c>
      <c r="AB76" s="436">
        <v>612</v>
      </c>
      <c r="AC76" s="435">
        <v>14948</v>
      </c>
      <c r="AD76" s="436">
        <v>539</v>
      </c>
      <c r="AE76" s="435">
        <v>15121</v>
      </c>
      <c r="AF76" s="436">
        <v>578</v>
      </c>
      <c r="AG76" s="435">
        <v>14872</v>
      </c>
      <c r="AH76" s="436">
        <v>497</v>
      </c>
      <c r="AI76" s="435">
        <v>14621</v>
      </c>
      <c r="AJ76" s="436">
        <v>475</v>
      </c>
      <c r="AK76" s="435">
        <v>15001</v>
      </c>
      <c r="AL76" s="436">
        <v>640</v>
      </c>
      <c r="AM76" s="437">
        <v>15097</v>
      </c>
      <c r="AN76" s="436">
        <v>1086</v>
      </c>
      <c r="AO76" s="435">
        <v>14245</v>
      </c>
      <c r="AP76" s="436">
        <v>1098</v>
      </c>
      <c r="AQ76" s="438">
        <v>14844</v>
      </c>
      <c r="AR76" s="439">
        <v>1103</v>
      </c>
      <c r="AS76" s="440">
        <v>15040</v>
      </c>
      <c r="AT76" s="441">
        <v>1015</v>
      </c>
      <c r="AU76" s="440">
        <v>15138</v>
      </c>
      <c r="AV76" s="1538">
        <v>934</v>
      </c>
      <c r="AW76" s="1541">
        <v>14925</v>
      </c>
      <c r="AX76" s="1542">
        <v>927</v>
      </c>
      <c r="AY76" s="1767">
        <v>14909</v>
      </c>
      <c r="AZ76" s="1794">
        <v>795</v>
      </c>
    </row>
    <row r="77" spans="1:52" ht="15" customHeight="1" x14ac:dyDescent="0.25">
      <c r="A77" s="426" t="s">
        <v>188</v>
      </c>
      <c r="B77" s="442" t="s">
        <v>189</v>
      </c>
      <c r="C77" s="190" t="s">
        <v>267</v>
      </c>
      <c r="D77" s="428">
        <f t="shared" si="46"/>
        <v>1.7590621827826714E-2</v>
      </c>
      <c r="E77" s="429">
        <f t="shared" si="47"/>
        <v>2.4553752725591509E-2</v>
      </c>
      <c r="F77" s="430">
        <f t="shared" si="48"/>
        <v>3.4000934321957763E-2</v>
      </c>
      <c r="G77" s="430">
        <f t="shared" si="49"/>
        <v>3.3842542267039803E-2</v>
      </c>
      <c r="H77" s="430">
        <f t="shared" si="50"/>
        <v>2.8726171270536331E-2</v>
      </c>
      <c r="I77" s="430">
        <f t="shared" si="51"/>
        <v>2.6975062866722549E-2</v>
      </c>
      <c r="J77" s="430">
        <f t="shared" si="52"/>
        <v>2.3885527822535696E-2</v>
      </c>
      <c r="K77" s="430">
        <f t="shared" si="53"/>
        <v>2.4858774068611221E-2</v>
      </c>
      <c r="L77" s="430">
        <f t="shared" si="54"/>
        <v>3.3007139429718058E-2</v>
      </c>
      <c r="M77" s="430">
        <f t="shared" si="55"/>
        <v>5.659772249692456E-2</v>
      </c>
      <c r="N77" s="430">
        <f t="shared" si="56"/>
        <v>5.918444273886999E-2</v>
      </c>
      <c r="O77" s="431">
        <f t="shared" si="57"/>
        <v>5.3830209674252179E-2</v>
      </c>
      <c r="P77" s="432">
        <f t="shared" si="58"/>
        <v>4.9925292390128294E-2</v>
      </c>
      <c r="Q77" s="1529">
        <f t="shared" si="59"/>
        <v>4.8885197725675587E-2</v>
      </c>
      <c r="R77" s="1532">
        <f t="shared" si="60"/>
        <v>4.8033598966185656E-2</v>
      </c>
      <c r="S77" s="1788">
        <f t="shared" si="45"/>
        <v>4.1125541125541128E-2</v>
      </c>
      <c r="T77" s="219"/>
      <c r="U77" s="433">
        <v>152695</v>
      </c>
      <c r="V77" s="434">
        <v>2686</v>
      </c>
      <c r="W77" s="435">
        <v>160057</v>
      </c>
      <c r="X77" s="436">
        <v>3930</v>
      </c>
      <c r="Y77" s="435">
        <v>166966</v>
      </c>
      <c r="Z77" s="436">
        <v>5677</v>
      </c>
      <c r="AA77" s="435">
        <v>172948</v>
      </c>
      <c r="AB77" s="436">
        <v>5853</v>
      </c>
      <c r="AC77" s="435">
        <v>182238</v>
      </c>
      <c r="AD77" s="436">
        <v>5235</v>
      </c>
      <c r="AE77" s="435">
        <v>190880</v>
      </c>
      <c r="AF77" s="436">
        <v>5149</v>
      </c>
      <c r="AG77" s="435">
        <v>197358</v>
      </c>
      <c r="AH77" s="436">
        <v>4714</v>
      </c>
      <c r="AI77" s="435">
        <v>199326</v>
      </c>
      <c r="AJ77" s="436">
        <v>4955</v>
      </c>
      <c r="AK77" s="435">
        <v>206319</v>
      </c>
      <c r="AL77" s="436">
        <v>6810</v>
      </c>
      <c r="AM77" s="437">
        <v>208913</v>
      </c>
      <c r="AN77" s="436">
        <v>11824</v>
      </c>
      <c r="AO77" s="435">
        <v>220193</v>
      </c>
      <c r="AP77" s="436">
        <v>13032</v>
      </c>
      <c r="AQ77" s="438">
        <v>229165</v>
      </c>
      <c r="AR77" s="439">
        <v>12336</v>
      </c>
      <c r="AS77" s="440">
        <v>232908</v>
      </c>
      <c r="AT77" s="441">
        <v>11628</v>
      </c>
      <c r="AU77" s="440">
        <v>234795</v>
      </c>
      <c r="AV77" s="1538">
        <v>11478</v>
      </c>
      <c r="AW77" s="1541">
        <v>232150</v>
      </c>
      <c r="AX77" s="1542">
        <v>11151</v>
      </c>
      <c r="AY77" s="1767">
        <v>231924</v>
      </c>
      <c r="AZ77" s="1794">
        <v>9538</v>
      </c>
    </row>
    <row r="78" spans="1:52" ht="15" customHeight="1" x14ac:dyDescent="0.25">
      <c r="A78" s="426" t="s">
        <v>190</v>
      </c>
      <c r="B78" s="442" t="s">
        <v>191</v>
      </c>
      <c r="C78" s="190" t="s">
        <v>268</v>
      </c>
      <c r="D78" s="428">
        <f t="shared" si="46"/>
        <v>4.4944470152707083E-2</v>
      </c>
      <c r="E78" s="429">
        <f t="shared" si="47"/>
        <v>7.0724801812004537E-2</v>
      </c>
      <c r="F78" s="430">
        <f t="shared" si="48"/>
        <v>6.2953309156844967E-2</v>
      </c>
      <c r="G78" s="430">
        <f t="shared" si="49"/>
        <v>6.0844823812650474E-2</v>
      </c>
      <c r="H78" s="430">
        <f t="shared" si="50"/>
        <v>5.8065924470639602E-2</v>
      </c>
      <c r="I78" s="430">
        <f t="shared" si="51"/>
        <v>4.4623626221903134E-2</v>
      </c>
      <c r="J78" s="430">
        <f t="shared" si="52"/>
        <v>3.8603854862760259E-2</v>
      </c>
      <c r="K78" s="430">
        <f t="shared" si="53"/>
        <v>5.5498808307797069E-2</v>
      </c>
      <c r="L78" s="430">
        <f t="shared" si="54"/>
        <v>6.4013650374284456E-2</v>
      </c>
      <c r="M78" s="430">
        <f t="shared" si="55"/>
        <v>0.11312465678198792</v>
      </c>
      <c r="N78" s="430">
        <f t="shared" si="56"/>
        <v>9.9417565307652389E-2</v>
      </c>
      <c r="O78" s="431">
        <f t="shared" si="57"/>
        <v>7.4552798615118293E-2</v>
      </c>
      <c r="P78" s="432">
        <f t="shared" si="58"/>
        <v>6.6468026587210641E-2</v>
      </c>
      <c r="Q78" s="1529">
        <f t="shared" si="59"/>
        <v>7.1296865396435163E-2</v>
      </c>
      <c r="R78" s="1532">
        <f t="shared" si="60"/>
        <v>5.9806769011913938E-2</v>
      </c>
      <c r="S78" s="1788">
        <f t="shared" si="45"/>
        <v>5.0179211469534052E-2</v>
      </c>
      <c r="T78" s="219"/>
      <c r="U78" s="433">
        <v>17288</v>
      </c>
      <c r="V78" s="434">
        <v>777</v>
      </c>
      <c r="W78" s="435">
        <v>17660</v>
      </c>
      <c r="X78" s="436">
        <v>1249</v>
      </c>
      <c r="Y78" s="435">
        <v>17648</v>
      </c>
      <c r="Z78" s="436">
        <v>1111</v>
      </c>
      <c r="AA78" s="435">
        <v>18276</v>
      </c>
      <c r="AB78" s="436">
        <v>1112</v>
      </c>
      <c r="AC78" s="435">
        <v>18324</v>
      </c>
      <c r="AD78" s="436">
        <v>1064</v>
      </c>
      <c r="AE78" s="435">
        <v>18107</v>
      </c>
      <c r="AF78" s="436">
        <v>808</v>
      </c>
      <c r="AG78" s="435">
        <v>18107</v>
      </c>
      <c r="AH78" s="436">
        <v>699</v>
      </c>
      <c r="AI78" s="435">
        <v>17622</v>
      </c>
      <c r="AJ78" s="436">
        <v>978</v>
      </c>
      <c r="AK78" s="435">
        <v>18168</v>
      </c>
      <c r="AL78" s="436">
        <v>1163</v>
      </c>
      <c r="AM78" s="437">
        <v>18210</v>
      </c>
      <c r="AN78" s="436">
        <v>2060</v>
      </c>
      <c r="AO78" s="435">
        <v>17341</v>
      </c>
      <c r="AP78" s="436">
        <v>1724</v>
      </c>
      <c r="AQ78" s="438">
        <v>17330</v>
      </c>
      <c r="AR78" s="439">
        <v>1292</v>
      </c>
      <c r="AS78" s="440">
        <v>17452</v>
      </c>
      <c r="AT78" s="441">
        <v>1160</v>
      </c>
      <c r="AU78" s="440">
        <v>17897</v>
      </c>
      <c r="AV78" s="1538">
        <v>1276</v>
      </c>
      <c r="AW78" s="1541">
        <v>16871</v>
      </c>
      <c r="AX78" s="1542">
        <v>1009</v>
      </c>
      <c r="AY78" s="1767">
        <v>16461</v>
      </c>
      <c r="AZ78" s="1794">
        <v>826</v>
      </c>
    </row>
    <row r="79" spans="1:52" ht="15" customHeight="1" x14ac:dyDescent="0.25">
      <c r="A79" s="426" t="s">
        <v>194</v>
      </c>
      <c r="B79" s="442" t="s">
        <v>195</v>
      </c>
      <c r="C79" s="190" t="s">
        <v>267</v>
      </c>
      <c r="D79" s="428">
        <f t="shared" si="46"/>
        <v>1.8493701420530688E-2</v>
      </c>
      <c r="E79" s="429">
        <f t="shared" si="47"/>
        <v>2.3624161073825502E-2</v>
      </c>
      <c r="F79" s="430">
        <f t="shared" si="48"/>
        <v>3.3893781692020286E-2</v>
      </c>
      <c r="G79" s="430">
        <f t="shared" si="49"/>
        <v>3.0272704528396296E-2</v>
      </c>
      <c r="H79" s="430">
        <f t="shared" si="50"/>
        <v>2.5740650801359885E-2</v>
      </c>
      <c r="I79" s="430">
        <f t="shared" si="51"/>
        <v>2.5851654989127809E-2</v>
      </c>
      <c r="J79" s="430">
        <f t="shared" si="52"/>
        <v>2.3179583235776166E-2</v>
      </c>
      <c r="K79" s="430">
        <f t="shared" si="53"/>
        <v>2.5384257102934328E-2</v>
      </c>
      <c r="L79" s="430">
        <f t="shared" si="54"/>
        <v>3.4997666822211851E-2</v>
      </c>
      <c r="M79" s="430">
        <f t="shared" si="55"/>
        <v>6.0391601792875678E-2</v>
      </c>
      <c r="N79" s="430">
        <f t="shared" si="56"/>
        <v>6.0278578290105668E-2</v>
      </c>
      <c r="O79" s="431">
        <f t="shared" si="57"/>
        <v>5.2469135802469133E-2</v>
      </c>
      <c r="P79" s="432">
        <f t="shared" si="58"/>
        <v>4.778156996587031E-2</v>
      </c>
      <c r="Q79" s="1529">
        <f t="shared" si="59"/>
        <v>4.5296972498266697E-2</v>
      </c>
      <c r="R79" s="1532">
        <f t="shared" si="60"/>
        <v>4.6624203821656052E-2</v>
      </c>
      <c r="S79" s="1788">
        <f t="shared" si="45"/>
        <v>4.0994445913779425E-2</v>
      </c>
      <c r="T79" s="219"/>
      <c r="U79" s="433">
        <v>3731</v>
      </c>
      <c r="V79" s="434">
        <v>69</v>
      </c>
      <c r="W79" s="435">
        <v>3725</v>
      </c>
      <c r="X79" s="436">
        <v>88</v>
      </c>
      <c r="Y79" s="435">
        <v>3747</v>
      </c>
      <c r="Z79" s="436">
        <v>127</v>
      </c>
      <c r="AA79" s="435">
        <v>3997</v>
      </c>
      <c r="AB79" s="436">
        <v>121</v>
      </c>
      <c r="AC79" s="435">
        <v>4118</v>
      </c>
      <c r="AD79" s="436">
        <v>106</v>
      </c>
      <c r="AE79" s="435">
        <v>4139</v>
      </c>
      <c r="AF79" s="436">
        <v>107</v>
      </c>
      <c r="AG79" s="435">
        <v>4271</v>
      </c>
      <c r="AH79" s="436">
        <v>99</v>
      </c>
      <c r="AI79" s="435">
        <v>4294</v>
      </c>
      <c r="AJ79" s="436">
        <v>109</v>
      </c>
      <c r="AK79" s="435">
        <v>4286</v>
      </c>
      <c r="AL79" s="436">
        <v>150</v>
      </c>
      <c r="AM79" s="437">
        <v>4239</v>
      </c>
      <c r="AN79" s="436">
        <v>256</v>
      </c>
      <c r="AO79" s="435">
        <v>4164</v>
      </c>
      <c r="AP79" s="436">
        <v>251</v>
      </c>
      <c r="AQ79" s="438">
        <v>4212</v>
      </c>
      <c r="AR79" s="439">
        <v>221</v>
      </c>
      <c r="AS79" s="440">
        <v>4395</v>
      </c>
      <c r="AT79" s="441">
        <v>210</v>
      </c>
      <c r="AU79" s="440">
        <v>4327</v>
      </c>
      <c r="AV79" s="1538">
        <v>196</v>
      </c>
      <c r="AW79" s="1541">
        <v>3925</v>
      </c>
      <c r="AX79" s="1542">
        <v>183</v>
      </c>
      <c r="AY79" s="1767">
        <v>3781</v>
      </c>
      <c r="AZ79" s="1794">
        <v>155</v>
      </c>
    </row>
    <row r="80" spans="1:52" ht="15" customHeight="1" x14ac:dyDescent="0.25">
      <c r="A80" s="426" t="s">
        <v>198</v>
      </c>
      <c r="B80" s="442" t="s">
        <v>199</v>
      </c>
      <c r="C80" s="190" t="s">
        <v>266</v>
      </c>
      <c r="D80" s="428">
        <f t="shared" si="46"/>
        <v>4.2890716803760283E-2</v>
      </c>
      <c r="E80" s="429">
        <f t="shared" si="47"/>
        <v>4.1143857601400644E-2</v>
      </c>
      <c r="F80" s="430">
        <f t="shared" si="48"/>
        <v>5.6469920544835413E-2</v>
      </c>
      <c r="G80" s="430">
        <f t="shared" si="49"/>
        <v>6.2309609526446964E-2</v>
      </c>
      <c r="H80" s="430">
        <f t="shared" si="50"/>
        <v>5.1719238420005684E-2</v>
      </c>
      <c r="I80" s="430">
        <f t="shared" si="51"/>
        <v>4.6531544390522407E-2</v>
      </c>
      <c r="J80" s="430">
        <f t="shared" si="52"/>
        <v>4.7727922263503857E-2</v>
      </c>
      <c r="K80" s="430">
        <f t="shared" si="53"/>
        <v>4.3640539764570774E-2</v>
      </c>
      <c r="L80" s="430">
        <f t="shared" si="54"/>
        <v>5.0450450450450449E-2</v>
      </c>
      <c r="M80" s="430">
        <f t="shared" si="55"/>
        <v>7.9980492562789565E-2</v>
      </c>
      <c r="N80" s="430">
        <f t="shared" si="56"/>
        <v>8.4265473527218498E-2</v>
      </c>
      <c r="O80" s="431">
        <f t="shared" si="57"/>
        <v>7.9759217456734394E-2</v>
      </c>
      <c r="P80" s="432">
        <f t="shared" si="58"/>
        <v>8.2072176949941789E-2</v>
      </c>
      <c r="Q80" s="1529">
        <f t="shared" si="59"/>
        <v>8.5269038518082915E-2</v>
      </c>
      <c r="R80" s="1532">
        <f t="shared" si="60"/>
        <v>5.5486439412789253E-2</v>
      </c>
      <c r="S80" s="1788">
        <f t="shared" si="45"/>
        <v>4.5605944145529077E-2</v>
      </c>
      <c r="T80" s="219"/>
      <c r="U80" s="433">
        <v>3404</v>
      </c>
      <c r="V80" s="434">
        <v>146</v>
      </c>
      <c r="W80" s="435">
        <v>3427</v>
      </c>
      <c r="X80" s="436">
        <v>141</v>
      </c>
      <c r="Y80" s="435">
        <v>3524</v>
      </c>
      <c r="Z80" s="436">
        <v>199</v>
      </c>
      <c r="AA80" s="435">
        <v>3611</v>
      </c>
      <c r="AB80" s="436">
        <v>225</v>
      </c>
      <c r="AC80" s="435">
        <v>3519</v>
      </c>
      <c r="AD80" s="436">
        <v>182</v>
      </c>
      <c r="AE80" s="435">
        <v>3503</v>
      </c>
      <c r="AF80" s="436">
        <v>163</v>
      </c>
      <c r="AG80" s="435">
        <v>3499</v>
      </c>
      <c r="AH80" s="436">
        <v>167</v>
      </c>
      <c r="AI80" s="435">
        <v>3483</v>
      </c>
      <c r="AJ80" s="436">
        <v>152</v>
      </c>
      <c r="AK80" s="435">
        <v>3885</v>
      </c>
      <c r="AL80" s="436">
        <v>196</v>
      </c>
      <c r="AM80" s="437">
        <v>4101</v>
      </c>
      <c r="AN80" s="436">
        <v>328</v>
      </c>
      <c r="AO80" s="435">
        <v>4023</v>
      </c>
      <c r="AP80" s="436">
        <v>339</v>
      </c>
      <c r="AQ80" s="438">
        <v>3987</v>
      </c>
      <c r="AR80" s="439">
        <v>318</v>
      </c>
      <c r="AS80" s="440">
        <v>3436</v>
      </c>
      <c r="AT80" s="441">
        <v>282</v>
      </c>
      <c r="AU80" s="440">
        <v>3401</v>
      </c>
      <c r="AV80" s="1538">
        <v>290</v>
      </c>
      <c r="AW80" s="1541">
        <v>4019</v>
      </c>
      <c r="AX80" s="1542">
        <v>223</v>
      </c>
      <c r="AY80" s="1767">
        <v>3903</v>
      </c>
      <c r="AZ80" s="1794">
        <v>178</v>
      </c>
    </row>
    <row r="81" spans="1:52" ht="15" customHeight="1" x14ac:dyDescent="0.25">
      <c r="A81" s="426" t="s">
        <v>202</v>
      </c>
      <c r="B81" s="442" t="s">
        <v>203</v>
      </c>
      <c r="C81" s="190" t="s">
        <v>265</v>
      </c>
      <c r="D81" s="428">
        <f t="shared" si="46"/>
        <v>1.7720396363822419E-2</v>
      </c>
      <c r="E81" s="429">
        <f t="shared" si="47"/>
        <v>2.5326921454484098E-2</v>
      </c>
      <c r="F81" s="430">
        <f t="shared" si="48"/>
        <v>3.3697677102395435E-2</v>
      </c>
      <c r="G81" s="430">
        <f t="shared" si="49"/>
        <v>3.466009984253024E-2</v>
      </c>
      <c r="H81" s="430">
        <f t="shared" si="50"/>
        <v>3.2426583712319733E-2</v>
      </c>
      <c r="I81" s="430">
        <f t="shared" si="51"/>
        <v>2.9996652159357214E-2</v>
      </c>
      <c r="J81" s="430">
        <f t="shared" si="52"/>
        <v>2.6474769012082445E-2</v>
      </c>
      <c r="K81" s="430">
        <f t="shared" si="53"/>
        <v>2.6336997517810514E-2</v>
      </c>
      <c r="L81" s="430">
        <f t="shared" si="54"/>
        <v>3.2906130931763075E-2</v>
      </c>
      <c r="M81" s="430">
        <f t="shared" si="55"/>
        <v>6.2158017916229519E-2</v>
      </c>
      <c r="N81" s="430">
        <f t="shared" si="56"/>
        <v>6.7505364718987007E-2</v>
      </c>
      <c r="O81" s="431">
        <f t="shared" si="57"/>
        <v>5.9671845224637449E-2</v>
      </c>
      <c r="P81" s="432">
        <f t="shared" si="58"/>
        <v>5.4506013954316611E-2</v>
      </c>
      <c r="Q81" s="1529">
        <f t="shared" si="59"/>
        <v>5.301857585139319E-2</v>
      </c>
      <c r="R81" s="1532">
        <f t="shared" si="60"/>
        <v>4.6509432477933196E-2</v>
      </c>
      <c r="S81" s="1788">
        <f t="shared" si="45"/>
        <v>3.9982734365008314E-2</v>
      </c>
      <c r="T81" s="219"/>
      <c r="U81" s="443">
        <v>58633</v>
      </c>
      <c r="V81" s="444">
        <v>1039</v>
      </c>
      <c r="W81" s="1475">
        <v>59265</v>
      </c>
      <c r="X81" s="1476">
        <v>1501</v>
      </c>
      <c r="Y81" s="1475">
        <v>60657</v>
      </c>
      <c r="Z81" s="1476">
        <v>2044</v>
      </c>
      <c r="AA81" s="1475">
        <v>59694</v>
      </c>
      <c r="AB81" s="1476">
        <v>2069</v>
      </c>
      <c r="AC81" s="1475">
        <v>59149</v>
      </c>
      <c r="AD81" s="1476">
        <v>1918</v>
      </c>
      <c r="AE81" s="1475">
        <v>59740</v>
      </c>
      <c r="AF81" s="1476">
        <v>1792</v>
      </c>
      <c r="AG81" s="1475">
        <v>61908</v>
      </c>
      <c r="AH81" s="1476">
        <v>1639</v>
      </c>
      <c r="AI81" s="1475">
        <v>62042</v>
      </c>
      <c r="AJ81" s="1476">
        <v>1634</v>
      </c>
      <c r="AK81" s="1475">
        <v>63514</v>
      </c>
      <c r="AL81" s="1476">
        <v>2090</v>
      </c>
      <c r="AM81" s="1477">
        <v>61955</v>
      </c>
      <c r="AN81" s="1476">
        <v>3851</v>
      </c>
      <c r="AO81" s="1475">
        <v>61047</v>
      </c>
      <c r="AP81" s="1476">
        <v>4121</v>
      </c>
      <c r="AQ81" s="438">
        <v>61922</v>
      </c>
      <c r="AR81" s="439">
        <v>3695</v>
      </c>
      <c r="AS81" s="440">
        <v>61773</v>
      </c>
      <c r="AT81" s="441">
        <v>3367</v>
      </c>
      <c r="AU81" s="440">
        <v>62016</v>
      </c>
      <c r="AV81" s="1538">
        <v>3288</v>
      </c>
      <c r="AW81" s="1541">
        <v>63557</v>
      </c>
      <c r="AX81" s="1542">
        <v>2956</v>
      </c>
      <c r="AY81" s="1767">
        <v>62552</v>
      </c>
      <c r="AZ81" s="1794">
        <v>2501</v>
      </c>
    </row>
    <row r="82" spans="1:52" x14ac:dyDescent="0.25">
      <c r="A82" s="426" t="s">
        <v>204</v>
      </c>
      <c r="B82" s="446" t="s">
        <v>205</v>
      </c>
      <c r="C82" s="190" t="s">
        <v>265</v>
      </c>
      <c r="D82" s="428">
        <f t="shared" si="46"/>
        <v>2.3680438711285598E-2</v>
      </c>
      <c r="E82" s="429">
        <f t="shared" si="47"/>
        <v>3.1662911770078551E-2</v>
      </c>
      <c r="F82" s="430">
        <f t="shared" si="48"/>
        <v>3.9747709151493511E-2</v>
      </c>
      <c r="G82" s="430">
        <f t="shared" si="49"/>
        <v>4.1165479388064932E-2</v>
      </c>
      <c r="H82" s="430">
        <f t="shared" si="50"/>
        <v>3.6937742031575814E-2</v>
      </c>
      <c r="I82" s="430">
        <f t="shared" si="51"/>
        <v>3.484484073444008E-2</v>
      </c>
      <c r="J82" s="430">
        <f t="shared" si="52"/>
        <v>3.1052600507704115E-2</v>
      </c>
      <c r="K82" s="430">
        <f t="shared" si="53"/>
        <v>3.3134134074906813E-2</v>
      </c>
      <c r="L82" s="430">
        <f t="shared" si="54"/>
        <v>4.6557075525922517E-2</v>
      </c>
      <c r="M82" s="430">
        <f t="shared" si="55"/>
        <v>7.5846833578792336E-2</v>
      </c>
      <c r="N82" s="430">
        <f t="shared" si="56"/>
        <v>8.5301837270341213E-2</v>
      </c>
      <c r="O82" s="431">
        <f t="shared" si="57"/>
        <v>7.6588389557754197E-2</v>
      </c>
      <c r="P82" s="432">
        <f t="shared" si="58"/>
        <v>6.4341517857142858E-2</v>
      </c>
      <c r="Q82" s="1529">
        <f t="shared" si="59"/>
        <v>6.0816232947380491E-2</v>
      </c>
      <c r="R82" s="1532">
        <f t="shared" si="60"/>
        <v>5.8171218553957293E-2</v>
      </c>
      <c r="S82" s="1788">
        <f t="shared" si="45"/>
        <v>5.3609201480698046E-2</v>
      </c>
      <c r="T82" s="219"/>
      <c r="U82" s="443">
        <v>16047</v>
      </c>
      <c r="V82" s="444">
        <v>380</v>
      </c>
      <c r="W82" s="1475">
        <v>16423</v>
      </c>
      <c r="X82" s="1476">
        <v>520</v>
      </c>
      <c r="Y82" s="1475">
        <v>16806</v>
      </c>
      <c r="Z82" s="1476">
        <v>668</v>
      </c>
      <c r="AA82" s="1475">
        <v>17126</v>
      </c>
      <c r="AB82" s="1476">
        <v>705</v>
      </c>
      <c r="AC82" s="1475">
        <v>16785</v>
      </c>
      <c r="AD82" s="1476">
        <v>620</v>
      </c>
      <c r="AE82" s="1475">
        <v>17047</v>
      </c>
      <c r="AF82" s="1476">
        <v>594</v>
      </c>
      <c r="AG82" s="1475">
        <v>16939</v>
      </c>
      <c r="AH82" s="1476">
        <v>526</v>
      </c>
      <c r="AI82" s="1475">
        <v>16901</v>
      </c>
      <c r="AJ82" s="1476">
        <v>560</v>
      </c>
      <c r="AK82" s="1475">
        <v>17398</v>
      </c>
      <c r="AL82" s="1476">
        <v>810</v>
      </c>
      <c r="AM82" s="1477">
        <v>17654</v>
      </c>
      <c r="AN82" s="1476">
        <v>1339</v>
      </c>
      <c r="AO82" s="1475">
        <v>16764</v>
      </c>
      <c r="AP82" s="1476">
        <v>1430</v>
      </c>
      <c r="AQ82" s="438">
        <v>16778</v>
      </c>
      <c r="AR82" s="439">
        <v>1285</v>
      </c>
      <c r="AS82" s="440">
        <v>17920</v>
      </c>
      <c r="AT82" s="441">
        <v>1153</v>
      </c>
      <c r="AU82" s="440">
        <v>17446</v>
      </c>
      <c r="AV82" s="1538">
        <v>1061</v>
      </c>
      <c r="AW82" s="1541">
        <v>15781</v>
      </c>
      <c r="AX82" s="1542">
        <v>918</v>
      </c>
      <c r="AY82" s="1767">
        <v>15128</v>
      </c>
      <c r="AZ82" s="1794">
        <v>811</v>
      </c>
    </row>
    <row r="83" spans="1:52" x14ac:dyDescent="0.25">
      <c r="A83" s="426" t="s">
        <v>206</v>
      </c>
      <c r="B83" s="442" t="s">
        <v>207</v>
      </c>
      <c r="C83" s="190" t="s">
        <v>267</v>
      </c>
      <c r="D83" s="428">
        <f t="shared" si="46"/>
        <v>1.8901273310969233E-2</v>
      </c>
      <c r="E83" s="429">
        <f t="shared" si="47"/>
        <v>2.5413409102941955E-2</v>
      </c>
      <c r="F83" s="430">
        <f t="shared" si="48"/>
        <v>3.5456493784826404E-2</v>
      </c>
      <c r="G83" s="430">
        <f t="shared" si="49"/>
        <v>3.4176214934808373E-2</v>
      </c>
      <c r="H83" s="430">
        <f t="shared" si="50"/>
        <v>3.2957066740084535E-2</v>
      </c>
      <c r="I83" s="430">
        <f t="shared" si="51"/>
        <v>3.2440331222601072E-2</v>
      </c>
      <c r="J83" s="430">
        <f t="shared" si="52"/>
        <v>2.5767389467755562E-2</v>
      </c>
      <c r="K83" s="430">
        <f t="shared" si="53"/>
        <v>2.657204933022805E-2</v>
      </c>
      <c r="L83" s="430">
        <f t="shared" si="54"/>
        <v>3.6388408370711695E-2</v>
      </c>
      <c r="M83" s="430">
        <f t="shared" si="55"/>
        <v>6.4100787013507063E-2</v>
      </c>
      <c r="N83" s="430">
        <f t="shared" si="56"/>
        <v>7.0191722458916611E-2</v>
      </c>
      <c r="O83" s="431">
        <f t="shared" si="57"/>
        <v>6.3634207092871542E-2</v>
      </c>
      <c r="P83" s="432">
        <f t="shared" si="58"/>
        <v>5.908467910136464E-2</v>
      </c>
      <c r="Q83" s="1529">
        <f t="shared" si="59"/>
        <v>5.369569446730818E-2</v>
      </c>
      <c r="R83" s="1532">
        <f t="shared" si="60"/>
        <v>5.150875679672217E-2</v>
      </c>
      <c r="S83" s="1788">
        <f t="shared" si="45"/>
        <v>4.5616547087295532E-2</v>
      </c>
      <c r="T83" s="219"/>
      <c r="U83" s="443">
        <v>55446</v>
      </c>
      <c r="V83" s="444">
        <v>1048</v>
      </c>
      <c r="W83" s="1475">
        <v>56663</v>
      </c>
      <c r="X83" s="1476">
        <v>1440</v>
      </c>
      <c r="Y83" s="1475">
        <v>58325</v>
      </c>
      <c r="Z83" s="1476">
        <v>2068</v>
      </c>
      <c r="AA83" s="1475">
        <v>60744</v>
      </c>
      <c r="AB83" s="1476">
        <v>2076</v>
      </c>
      <c r="AC83" s="1475">
        <v>61747</v>
      </c>
      <c r="AD83" s="1476">
        <v>2035</v>
      </c>
      <c r="AE83" s="1475">
        <v>61590</v>
      </c>
      <c r="AF83" s="1476">
        <v>1998</v>
      </c>
      <c r="AG83" s="1475">
        <v>63918</v>
      </c>
      <c r="AH83" s="1476">
        <v>1647</v>
      </c>
      <c r="AI83" s="1475">
        <v>63977</v>
      </c>
      <c r="AJ83" s="1476">
        <v>1700</v>
      </c>
      <c r="AK83" s="1475">
        <v>65323</v>
      </c>
      <c r="AL83" s="1476">
        <v>2377</v>
      </c>
      <c r="AM83" s="1477">
        <v>64929</v>
      </c>
      <c r="AN83" s="1476">
        <v>4162</v>
      </c>
      <c r="AO83" s="1475">
        <v>65720</v>
      </c>
      <c r="AP83" s="1476">
        <v>4613</v>
      </c>
      <c r="AQ83" s="438">
        <v>67448</v>
      </c>
      <c r="AR83" s="439">
        <v>4292</v>
      </c>
      <c r="AS83" s="440">
        <v>67124</v>
      </c>
      <c r="AT83" s="441">
        <v>3966</v>
      </c>
      <c r="AU83" s="440">
        <v>66821</v>
      </c>
      <c r="AV83" s="1538">
        <v>3588</v>
      </c>
      <c r="AW83" s="1541">
        <v>64921</v>
      </c>
      <c r="AX83" s="1542">
        <v>3344</v>
      </c>
      <c r="AY83" s="1767">
        <v>64253</v>
      </c>
      <c r="AZ83" s="1794">
        <v>2931</v>
      </c>
    </row>
    <row r="84" spans="1:52" ht="15" customHeight="1" x14ac:dyDescent="0.25">
      <c r="A84" s="426" t="s">
        <v>208</v>
      </c>
      <c r="B84" s="442" t="s">
        <v>209</v>
      </c>
      <c r="C84" s="190" t="s">
        <v>268</v>
      </c>
      <c r="D84" s="428">
        <f t="shared" si="46"/>
        <v>5.1403851047586734E-2</v>
      </c>
      <c r="E84" s="429">
        <f t="shared" si="47"/>
        <v>6.3865688011473895E-2</v>
      </c>
      <c r="F84" s="430">
        <f t="shared" si="48"/>
        <v>6.3125102475815709E-2</v>
      </c>
      <c r="G84" s="430">
        <f t="shared" si="49"/>
        <v>6.1736334405144692E-2</v>
      </c>
      <c r="H84" s="430">
        <f t="shared" si="50"/>
        <v>5.7250277706570964E-2</v>
      </c>
      <c r="I84" s="430">
        <f t="shared" si="51"/>
        <v>5.6788891660430697E-2</v>
      </c>
      <c r="J84" s="430">
        <f t="shared" si="52"/>
        <v>5.9470433973437105E-2</v>
      </c>
      <c r="K84" s="430">
        <f t="shared" si="53"/>
        <v>5.1894844656879484E-2</v>
      </c>
      <c r="L84" s="430">
        <f t="shared" si="54"/>
        <v>5.7532172596517793E-2</v>
      </c>
      <c r="M84" s="430">
        <f t="shared" si="55"/>
        <v>0.10896972617040071</v>
      </c>
      <c r="N84" s="430">
        <f t="shared" si="56"/>
        <v>0.10420352118608374</v>
      </c>
      <c r="O84" s="431">
        <f t="shared" si="57"/>
        <v>9.5234042553191484E-2</v>
      </c>
      <c r="P84" s="432">
        <f t="shared" si="58"/>
        <v>8.8095656761033939E-2</v>
      </c>
      <c r="Q84" s="1529">
        <f t="shared" si="59"/>
        <v>8.7357954545454544E-2</v>
      </c>
      <c r="R84" s="1532">
        <f t="shared" si="60"/>
        <v>7.9685150791545062E-2</v>
      </c>
      <c r="S84" s="1788">
        <f t="shared" si="45"/>
        <v>6.486346799896632E-2</v>
      </c>
      <c r="T84" s="219"/>
      <c r="U84" s="433">
        <v>11789</v>
      </c>
      <c r="V84" s="434">
        <v>606</v>
      </c>
      <c r="W84" s="435">
        <v>11853</v>
      </c>
      <c r="X84" s="436">
        <v>757</v>
      </c>
      <c r="Y84" s="435">
        <v>12198</v>
      </c>
      <c r="Z84" s="436">
        <v>770</v>
      </c>
      <c r="AA84" s="435">
        <v>12440</v>
      </c>
      <c r="AB84" s="436">
        <v>768</v>
      </c>
      <c r="AC84" s="435">
        <v>11703</v>
      </c>
      <c r="AD84" s="436">
        <v>670</v>
      </c>
      <c r="AE84" s="435">
        <v>12027</v>
      </c>
      <c r="AF84" s="436">
        <v>683</v>
      </c>
      <c r="AG84" s="435">
        <v>11821</v>
      </c>
      <c r="AH84" s="436">
        <v>703</v>
      </c>
      <c r="AI84" s="435">
        <v>11716</v>
      </c>
      <c r="AJ84" s="436">
        <v>608</v>
      </c>
      <c r="AK84" s="435">
        <v>11889</v>
      </c>
      <c r="AL84" s="436">
        <v>684</v>
      </c>
      <c r="AM84" s="437">
        <v>12453</v>
      </c>
      <c r="AN84" s="436">
        <v>1357</v>
      </c>
      <c r="AO84" s="435">
        <v>11871</v>
      </c>
      <c r="AP84" s="436">
        <v>1237</v>
      </c>
      <c r="AQ84" s="438">
        <v>11750</v>
      </c>
      <c r="AR84" s="439">
        <v>1119</v>
      </c>
      <c r="AS84" s="440">
        <v>11374</v>
      </c>
      <c r="AT84" s="441">
        <v>1002</v>
      </c>
      <c r="AU84" s="440">
        <v>11264</v>
      </c>
      <c r="AV84" s="1538">
        <v>984</v>
      </c>
      <c r="AW84" s="1541">
        <v>11307</v>
      </c>
      <c r="AX84" s="1542">
        <v>901</v>
      </c>
      <c r="AY84" s="1767">
        <v>11609</v>
      </c>
      <c r="AZ84" s="1794">
        <v>753</v>
      </c>
    </row>
    <row r="85" spans="1:52" ht="15" customHeight="1" x14ac:dyDescent="0.25">
      <c r="A85" s="426" t="s">
        <v>210</v>
      </c>
      <c r="B85" s="442" t="s">
        <v>211</v>
      </c>
      <c r="C85" s="190" t="s">
        <v>268</v>
      </c>
      <c r="D85" s="428">
        <f t="shared" si="46"/>
        <v>3.8105046343975282E-2</v>
      </c>
      <c r="E85" s="429">
        <f t="shared" si="47"/>
        <v>4.6062101583384744E-2</v>
      </c>
      <c r="F85" s="430">
        <f t="shared" si="48"/>
        <v>5.2930440073007505E-2</v>
      </c>
      <c r="G85" s="430">
        <f t="shared" si="49"/>
        <v>5.4459905896486131E-2</v>
      </c>
      <c r="H85" s="430">
        <f t="shared" si="50"/>
        <v>5.5223426892288985E-2</v>
      </c>
      <c r="I85" s="430">
        <f t="shared" si="51"/>
        <v>5.1694311590515928E-2</v>
      </c>
      <c r="J85" s="430">
        <f t="shared" si="52"/>
        <v>4.8620897926313668E-2</v>
      </c>
      <c r="K85" s="430">
        <f t="shared" si="53"/>
        <v>4.66331864302552E-2</v>
      </c>
      <c r="L85" s="430">
        <f t="shared" si="54"/>
        <v>5.4281194384022145E-2</v>
      </c>
      <c r="M85" s="430">
        <f t="shared" si="55"/>
        <v>9.8888888888888887E-2</v>
      </c>
      <c r="N85" s="430">
        <f t="shared" si="56"/>
        <v>9.7534081796311151E-2</v>
      </c>
      <c r="O85" s="431">
        <f t="shared" si="57"/>
        <v>8.2663491118388416E-2</v>
      </c>
      <c r="P85" s="432">
        <f t="shared" si="58"/>
        <v>8.5585133098945249E-2</v>
      </c>
      <c r="Q85" s="1529">
        <f t="shared" si="59"/>
        <v>7.3705583756345172E-2</v>
      </c>
      <c r="R85" s="1532">
        <f t="shared" si="60"/>
        <v>5.8511702340468097E-2</v>
      </c>
      <c r="S85" s="1788">
        <f t="shared" si="45"/>
        <v>5.1364200082678793E-2</v>
      </c>
      <c r="T85" s="219"/>
      <c r="U85" s="433">
        <v>9710</v>
      </c>
      <c r="V85" s="434">
        <v>370</v>
      </c>
      <c r="W85" s="435">
        <v>9726</v>
      </c>
      <c r="X85" s="436">
        <v>448</v>
      </c>
      <c r="Y85" s="435">
        <v>9862</v>
      </c>
      <c r="Z85" s="436">
        <v>522</v>
      </c>
      <c r="AA85" s="435">
        <v>9989</v>
      </c>
      <c r="AB85" s="436">
        <v>544</v>
      </c>
      <c r="AC85" s="435">
        <v>9869</v>
      </c>
      <c r="AD85" s="436">
        <v>545</v>
      </c>
      <c r="AE85" s="435">
        <v>9827</v>
      </c>
      <c r="AF85" s="436">
        <v>508</v>
      </c>
      <c r="AG85" s="435">
        <v>9934</v>
      </c>
      <c r="AH85" s="436">
        <v>483</v>
      </c>
      <c r="AI85" s="435">
        <v>9757</v>
      </c>
      <c r="AJ85" s="436">
        <v>455</v>
      </c>
      <c r="AK85" s="435">
        <v>10114</v>
      </c>
      <c r="AL85" s="436">
        <v>549</v>
      </c>
      <c r="AM85" s="437">
        <v>9900</v>
      </c>
      <c r="AN85" s="436">
        <v>979</v>
      </c>
      <c r="AO85" s="435">
        <v>9976</v>
      </c>
      <c r="AP85" s="436">
        <v>973</v>
      </c>
      <c r="AQ85" s="438">
        <v>10077</v>
      </c>
      <c r="AR85" s="439">
        <v>833</v>
      </c>
      <c r="AS85" s="440">
        <v>9955</v>
      </c>
      <c r="AT85" s="441">
        <v>852</v>
      </c>
      <c r="AU85" s="440">
        <v>9850</v>
      </c>
      <c r="AV85" s="1538">
        <v>726</v>
      </c>
      <c r="AW85" s="1541">
        <v>9998</v>
      </c>
      <c r="AX85" s="1542">
        <v>585</v>
      </c>
      <c r="AY85" s="1767">
        <v>9676</v>
      </c>
      <c r="AZ85" s="1794">
        <v>497</v>
      </c>
    </row>
    <row r="86" spans="1:52" ht="15" customHeight="1" x14ac:dyDescent="0.25">
      <c r="A86" s="426" t="s">
        <v>212</v>
      </c>
      <c r="B86" s="442" t="s">
        <v>213</v>
      </c>
      <c r="C86" s="190" t="s">
        <v>267</v>
      </c>
      <c r="D86" s="428">
        <f t="shared" si="46"/>
        <v>1.7770773327536547E-2</v>
      </c>
      <c r="E86" s="429">
        <f t="shared" si="47"/>
        <v>2.4315946985891408E-2</v>
      </c>
      <c r="F86" s="430">
        <f t="shared" si="48"/>
        <v>3.1119465329991644E-2</v>
      </c>
      <c r="G86" s="430">
        <f t="shared" si="49"/>
        <v>3.8794882377218322E-2</v>
      </c>
      <c r="H86" s="430">
        <f t="shared" si="50"/>
        <v>3.2581712867190735E-2</v>
      </c>
      <c r="I86" s="430">
        <f t="shared" si="51"/>
        <v>3.0235162374020158E-2</v>
      </c>
      <c r="J86" s="430">
        <f t="shared" si="52"/>
        <v>2.9779931354734505E-2</v>
      </c>
      <c r="K86" s="430">
        <f t="shared" si="53"/>
        <v>3.2089589715261387E-2</v>
      </c>
      <c r="L86" s="430">
        <f t="shared" si="54"/>
        <v>4.6618095894457028E-2</v>
      </c>
      <c r="M86" s="430">
        <f t="shared" si="55"/>
        <v>8.495862884160757E-2</v>
      </c>
      <c r="N86" s="430">
        <f t="shared" si="56"/>
        <v>8.5925330385407769E-2</v>
      </c>
      <c r="O86" s="431">
        <f t="shared" si="57"/>
        <v>7.2882534008539376E-2</v>
      </c>
      <c r="P86" s="432">
        <f t="shared" si="58"/>
        <v>6.5834680679062244E-2</v>
      </c>
      <c r="Q86" s="1529">
        <f t="shared" si="59"/>
        <v>5.9222858300825777E-2</v>
      </c>
      <c r="R86" s="1532">
        <f t="shared" si="60"/>
        <v>4.9906103286384979E-2</v>
      </c>
      <c r="S86" s="1788">
        <f t="shared" si="45"/>
        <v>4.2589277301422784E-2</v>
      </c>
      <c r="T86" s="219"/>
      <c r="U86" s="433">
        <v>18401</v>
      </c>
      <c r="V86" s="434">
        <v>327</v>
      </c>
      <c r="W86" s="435">
        <v>18712</v>
      </c>
      <c r="X86" s="436">
        <v>455</v>
      </c>
      <c r="Y86" s="435">
        <v>19152</v>
      </c>
      <c r="Z86" s="436">
        <v>596</v>
      </c>
      <c r="AA86" s="435">
        <v>19384</v>
      </c>
      <c r="AB86" s="436">
        <v>752</v>
      </c>
      <c r="AC86" s="435">
        <v>19336</v>
      </c>
      <c r="AD86" s="436">
        <v>630</v>
      </c>
      <c r="AE86" s="435">
        <v>19646</v>
      </c>
      <c r="AF86" s="436">
        <v>594</v>
      </c>
      <c r="AG86" s="435">
        <v>19812</v>
      </c>
      <c r="AH86" s="436">
        <v>590</v>
      </c>
      <c r="AI86" s="435">
        <v>19913</v>
      </c>
      <c r="AJ86" s="436">
        <v>639</v>
      </c>
      <c r="AK86" s="435">
        <v>20314</v>
      </c>
      <c r="AL86" s="436">
        <v>947</v>
      </c>
      <c r="AM86" s="437">
        <v>20304</v>
      </c>
      <c r="AN86" s="436">
        <v>1725</v>
      </c>
      <c r="AO86" s="435">
        <v>19901</v>
      </c>
      <c r="AP86" s="436">
        <v>1710</v>
      </c>
      <c r="AQ86" s="438">
        <v>20142</v>
      </c>
      <c r="AR86" s="439">
        <v>1468</v>
      </c>
      <c r="AS86" s="440">
        <v>19792</v>
      </c>
      <c r="AT86" s="441">
        <v>1303</v>
      </c>
      <c r="AU86" s="440">
        <v>19739</v>
      </c>
      <c r="AV86" s="1538">
        <v>1169</v>
      </c>
      <c r="AW86" s="1541">
        <v>21300</v>
      </c>
      <c r="AX86" s="1542">
        <v>1063</v>
      </c>
      <c r="AY86" s="1767">
        <v>21226</v>
      </c>
      <c r="AZ86" s="1794">
        <v>904</v>
      </c>
    </row>
    <row r="87" spans="1:52" ht="15" customHeight="1" x14ac:dyDescent="0.25">
      <c r="A87" s="426" t="s">
        <v>214</v>
      </c>
      <c r="B87" s="442" t="s">
        <v>215</v>
      </c>
      <c r="C87" s="190" t="s">
        <v>268</v>
      </c>
      <c r="D87" s="428">
        <f t="shared" si="46"/>
        <v>4.3136259832529812E-2</v>
      </c>
      <c r="E87" s="429">
        <f t="shared" si="47"/>
        <v>6.3496160547202682E-2</v>
      </c>
      <c r="F87" s="430">
        <f t="shared" si="48"/>
        <v>8.028304921196526E-2</v>
      </c>
      <c r="G87" s="430">
        <f t="shared" si="49"/>
        <v>7.5430359937402186E-2</v>
      </c>
      <c r="H87" s="430">
        <f t="shared" si="50"/>
        <v>5.1024327784891167E-2</v>
      </c>
      <c r="I87" s="430">
        <f t="shared" si="51"/>
        <v>4.590080326405712E-2</v>
      </c>
      <c r="J87" s="430">
        <f t="shared" si="52"/>
        <v>4.6235998958061998E-2</v>
      </c>
      <c r="K87" s="430">
        <f t="shared" si="53"/>
        <v>5.4888622115512875E-2</v>
      </c>
      <c r="L87" s="430">
        <f t="shared" si="54"/>
        <v>6.094420600858369E-2</v>
      </c>
      <c r="M87" s="430">
        <f t="shared" si="55"/>
        <v>0.11512444999014908</v>
      </c>
      <c r="N87" s="430">
        <f t="shared" si="56"/>
        <v>0.11354935739677331</v>
      </c>
      <c r="O87" s="431">
        <f t="shared" si="57"/>
        <v>0.10046903677520223</v>
      </c>
      <c r="P87" s="432">
        <f t="shared" si="58"/>
        <v>8.82891770011274E-2</v>
      </c>
      <c r="Q87" s="1529">
        <f t="shared" si="59"/>
        <v>8.3687340696686485E-2</v>
      </c>
      <c r="R87" s="1532">
        <f t="shared" si="60"/>
        <v>7.7559231113097898E-2</v>
      </c>
      <c r="S87" s="1788">
        <f t="shared" si="45"/>
        <v>6.4801178203240065E-2</v>
      </c>
      <c r="T87" s="219"/>
      <c r="U87" s="433">
        <v>15764</v>
      </c>
      <c r="V87" s="434">
        <v>680</v>
      </c>
      <c r="W87" s="435">
        <v>15497</v>
      </c>
      <c r="X87" s="436">
        <v>984</v>
      </c>
      <c r="Y87" s="435">
        <v>15545</v>
      </c>
      <c r="Z87" s="436">
        <v>1248</v>
      </c>
      <c r="AA87" s="435">
        <v>15975</v>
      </c>
      <c r="AB87" s="436">
        <v>1205</v>
      </c>
      <c r="AC87" s="435">
        <v>15620</v>
      </c>
      <c r="AD87" s="436">
        <v>797</v>
      </c>
      <c r="AE87" s="435">
        <v>15686</v>
      </c>
      <c r="AF87" s="436">
        <v>720</v>
      </c>
      <c r="AG87" s="435">
        <v>15356</v>
      </c>
      <c r="AH87" s="436">
        <v>710</v>
      </c>
      <c r="AI87" s="435">
        <v>14994</v>
      </c>
      <c r="AJ87" s="436">
        <v>823</v>
      </c>
      <c r="AK87" s="435">
        <v>15145</v>
      </c>
      <c r="AL87" s="436">
        <v>923</v>
      </c>
      <c r="AM87" s="437">
        <v>15227</v>
      </c>
      <c r="AN87" s="436">
        <v>1753</v>
      </c>
      <c r="AO87" s="435">
        <v>14628</v>
      </c>
      <c r="AP87" s="436">
        <v>1661</v>
      </c>
      <c r="AQ87" s="438">
        <v>14711</v>
      </c>
      <c r="AR87" s="439">
        <v>1478</v>
      </c>
      <c r="AS87" s="440">
        <v>14192</v>
      </c>
      <c r="AT87" s="441">
        <v>1253</v>
      </c>
      <c r="AU87" s="440">
        <v>14124</v>
      </c>
      <c r="AV87" s="1538">
        <v>1182</v>
      </c>
      <c r="AW87" s="1541">
        <v>13422</v>
      </c>
      <c r="AX87" s="1542">
        <v>1041</v>
      </c>
      <c r="AY87" s="1767">
        <v>13580</v>
      </c>
      <c r="AZ87" s="1794">
        <v>880</v>
      </c>
    </row>
    <row r="88" spans="1:52" ht="15" customHeight="1" x14ac:dyDescent="0.25">
      <c r="A88" s="426" t="s">
        <v>216</v>
      </c>
      <c r="B88" s="442" t="s">
        <v>217</v>
      </c>
      <c r="C88" s="190" t="s">
        <v>264</v>
      </c>
      <c r="D88" s="428">
        <f t="shared" si="46"/>
        <v>2.7408303103587262E-2</v>
      </c>
      <c r="E88" s="429">
        <f t="shared" si="47"/>
        <v>3.2240585207260905E-2</v>
      </c>
      <c r="F88" s="430">
        <f t="shared" si="48"/>
        <v>4.1750301083902049E-2</v>
      </c>
      <c r="G88" s="430">
        <f t="shared" si="49"/>
        <v>4.3705153294194388E-2</v>
      </c>
      <c r="H88" s="430">
        <f t="shared" si="50"/>
        <v>4.1904256729876674E-2</v>
      </c>
      <c r="I88" s="430">
        <f t="shared" si="51"/>
        <v>4.1347424042272124E-2</v>
      </c>
      <c r="J88" s="430">
        <f t="shared" si="52"/>
        <v>3.6203264876250661E-2</v>
      </c>
      <c r="K88" s="430">
        <f t="shared" si="53"/>
        <v>3.6149312377210217E-2</v>
      </c>
      <c r="L88" s="430">
        <f t="shared" si="54"/>
        <v>4.8146779953207736E-2</v>
      </c>
      <c r="M88" s="430">
        <f t="shared" si="55"/>
        <v>8.2615119428712136E-2</v>
      </c>
      <c r="N88" s="430">
        <f t="shared" si="56"/>
        <v>0.10273466371027347</v>
      </c>
      <c r="O88" s="431">
        <f t="shared" si="57"/>
        <v>9.1101168282376341E-2</v>
      </c>
      <c r="P88" s="432">
        <f t="shared" si="58"/>
        <v>7.4524048096192383E-2</v>
      </c>
      <c r="Q88" s="1529">
        <f t="shared" si="59"/>
        <v>7.0066975785677485E-2</v>
      </c>
      <c r="R88" s="1532">
        <f t="shared" si="60"/>
        <v>5.0125586982636236E-2</v>
      </c>
      <c r="S88" s="1788">
        <f t="shared" si="45"/>
        <v>4.0264097846087241E-2</v>
      </c>
      <c r="T88" s="219"/>
      <c r="U88" s="433">
        <v>7443</v>
      </c>
      <c r="V88" s="434">
        <v>204</v>
      </c>
      <c r="W88" s="435">
        <v>7382</v>
      </c>
      <c r="X88" s="436">
        <v>238</v>
      </c>
      <c r="Y88" s="435">
        <v>7473</v>
      </c>
      <c r="Z88" s="436">
        <v>312</v>
      </c>
      <c r="AA88" s="435">
        <v>7665</v>
      </c>
      <c r="AB88" s="436">
        <v>335</v>
      </c>
      <c r="AC88" s="435">
        <v>7541</v>
      </c>
      <c r="AD88" s="436">
        <v>316</v>
      </c>
      <c r="AE88" s="435">
        <v>7570</v>
      </c>
      <c r="AF88" s="436">
        <v>313</v>
      </c>
      <c r="AG88" s="435">
        <v>7596</v>
      </c>
      <c r="AH88" s="436">
        <v>275</v>
      </c>
      <c r="AI88" s="435">
        <v>7635</v>
      </c>
      <c r="AJ88" s="436">
        <v>276</v>
      </c>
      <c r="AK88" s="435">
        <v>8121</v>
      </c>
      <c r="AL88" s="436">
        <v>391</v>
      </c>
      <c r="AM88" s="437">
        <v>8122</v>
      </c>
      <c r="AN88" s="436">
        <v>671</v>
      </c>
      <c r="AO88" s="435">
        <v>8118</v>
      </c>
      <c r="AP88" s="436">
        <v>834</v>
      </c>
      <c r="AQ88" s="438">
        <v>8046</v>
      </c>
      <c r="AR88" s="439">
        <v>733</v>
      </c>
      <c r="AS88" s="440">
        <v>7984</v>
      </c>
      <c r="AT88" s="441">
        <v>595</v>
      </c>
      <c r="AU88" s="440">
        <v>7764</v>
      </c>
      <c r="AV88" s="1538">
        <v>544</v>
      </c>
      <c r="AW88" s="1541">
        <v>9157</v>
      </c>
      <c r="AX88" s="1542">
        <v>459</v>
      </c>
      <c r="AY88" s="1767">
        <v>9239</v>
      </c>
      <c r="AZ88" s="1794">
        <v>372</v>
      </c>
    </row>
    <row r="89" spans="1:52" ht="15" customHeight="1" x14ac:dyDescent="0.25">
      <c r="A89" s="426" t="s">
        <v>218</v>
      </c>
      <c r="B89" s="442" t="s">
        <v>219</v>
      </c>
      <c r="C89" s="190" t="s">
        <v>267</v>
      </c>
      <c r="D89" s="428">
        <f t="shared" si="46"/>
        <v>1.6980427931663628E-2</v>
      </c>
      <c r="E89" s="429">
        <f t="shared" si="47"/>
        <v>2.0994322662040689E-2</v>
      </c>
      <c r="F89" s="430">
        <f t="shared" si="48"/>
        <v>2.8757511290262383E-2</v>
      </c>
      <c r="G89" s="430">
        <f t="shared" si="49"/>
        <v>3.0428129114915121E-2</v>
      </c>
      <c r="H89" s="430">
        <f t="shared" si="50"/>
        <v>2.8156144774023249E-2</v>
      </c>
      <c r="I89" s="430">
        <f t="shared" si="51"/>
        <v>2.6717618535347858E-2</v>
      </c>
      <c r="J89" s="430">
        <f t="shared" si="52"/>
        <v>2.4145212881587528E-2</v>
      </c>
      <c r="K89" s="430">
        <f t="shared" si="53"/>
        <v>2.553184876691893E-2</v>
      </c>
      <c r="L89" s="430">
        <f t="shared" si="54"/>
        <v>3.4221163127413128E-2</v>
      </c>
      <c r="M89" s="430">
        <f t="shared" si="55"/>
        <v>5.8377896613190733E-2</v>
      </c>
      <c r="N89" s="430">
        <f t="shared" si="56"/>
        <v>6.5334896539123291E-2</v>
      </c>
      <c r="O89" s="431">
        <f t="shared" si="57"/>
        <v>6.1160794670187861E-2</v>
      </c>
      <c r="P89" s="432">
        <f t="shared" si="58"/>
        <v>5.3909979369644763E-2</v>
      </c>
      <c r="Q89" s="1529">
        <f t="shared" si="59"/>
        <v>5.1802778567049006E-2</v>
      </c>
      <c r="R89" s="1532">
        <f t="shared" si="60"/>
        <v>5.3159758901385697E-2</v>
      </c>
      <c r="S89" s="1788">
        <f t="shared" si="45"/>
        <v>4.6234211757367846E-2</v>
      </c>
      <c r="T89" s="219"/>
      <c r="U89" s="433">
        <v>48232</v>
      </c>
      <c r="V89" s="434">
        <v>819</v>
      </c>
      <c r="W89" s="435">
        <v>50728</v>
      </c>
      <c r="X89" s="436">
        <v>1065</v>
      </c>
      <c r="Y89" s="435">
        <v>53586</v>
      </c>
      <c r="Z89" s="436">
        <v>1541</v>
      </c>
      <c r="AA89" s="435">
        <v>56198</v>
      </c>
      <c r="AB89" s="436">
        <v>1710</v>
      </c>
      <c r="AC89" s="435">
        <v>59099</v>
      </c>
      <c r="AD89" s="436">
        <v>1664</v>
      </c>
      <c r="AE89" s="435">
        <v>62281</v>
      </c>
      <c r="AF89" s="436">
        <v>1664</v>
      </c>
      <c r="AG89" s="435">
        <v>64402</v>
      </c>
      <c r="AH89" s="436">
        <v>1555</v>
      </c>
      <c r="AI89" s="435">
        <v>64351</v>
      </c>
      <c r="AJ89" s="436">
        <v>1643</v>
      </c>
      <c r="AK89" s="435">
        <v>66304</v>
      </c>
      <c r="AL89" s="436">
        <v>2269</v>
      </c>
      <c r="AM89" s="437">
        <v>65076</v>
      </c>
      <c r="AN89" s="436">
        <v>3799</v>
      </c>
      <c r="AO89" s="435">
        <v>65677</v>
      </c>
      <c r="AP89" s="436">
        <v>4291</v>
      </c>
      <c r="AQ89" s="438">
        <v>66644</v>
      </c>
      <c r="AR89" s="439">
        <v>4076</v>
      </c>
      <c r="AS89" s="440">
        <v>66407</v>
      </c>
      <c r="AT89" s="441">
        <v>3580</v>
      </c>
      <c r="AU89" s="440">
        <v>66869</v>
      </c>
      <c r="AV89" s="1538">
        <v>3464</v>
      </c>
      <c r="AW89" s="1541">
        <v>64372</v>
      </c>
      <c r="AX89" s="1542">
        <v>3422</v>
      </c>
      <c r="AY89" s="1767">
        <v>64130</v>
      </c>
      <c r="AZ89" s="1794">
        <v>2965</v>
      </c>
    </row>
    <row r="90" spans="1:52" ht="15" customHeight="1" x14ac:dyDescent="0.25">
      <c r="A90" s="426" t="s">
        <v>220</v>
      </c>
      <c r="B90" s="442" t="s">
        <v>221</v>
      </c>
      <c r="C90" s="190" t="s">
        <v>267</v>
      </c>
      <c r="D90" s="428">
        <f t="shared" si="46"/>
        <v>1.6807246437029959E-2</v>
      </c>
      <c r="E90" s="429">
        <f t="shared" si="47"/>
        <v>2.2063042919049411E-2</v>
      </c>
      <c r="F90" s="430">
        <f t="shared" si="48"/>
        <v>3.0037781019713463E-2</v>
      </c>
      <c r="G90" s="430">
        <f t="shared" si="49"/>
        <v>3.0942911665566869E-2</v>
      </c>
      <c r="H90" s="430">
        <f t="shared" si="50"/>
        <v>2.7699759498141577E-2</v>
      </c>
      <c r="I90" s="430">
        <f t="shared" si="51"/>
        <v>2.6954177897574125E-2</v>
      </c>
      <c r="J90" s="430">
        <f t="shared" si="52"/>
        <v>2.4496649561382859E-2</v>
      </c>
      <c r="K90" s="430">
        <f t="shared" si="53"/>
        <v>2.63448984996962E-2</v>
      </c>
      <c r="L90" s="430">
        <f t="shared" si="54"/>
        <v>3.4499947132305184E-2</v>
      </c>
      <c r="M90" s="430">
        <f t="shared" si="55"/>
        <v>5.6831333373941646E-2</v>
      </c>
      <c r="N90" s="430">
        <f t="shared" si="56"/>
        <v>5.9401413125248922E-2</v>
      </c>
      <c r="O90" s="431">
        <f t="shared" si="57"/>
        <v>5.5870585187530582E-2</v>
      </c>
      <c r="P90" s="432">
        <f t="shared" si="58"/>
        <v>5.1501101857416791E-2</v>
      </c>
      <c r="Q90" s="1529">
        <f t="shared" si="59"/>
        <v>5.0866937200261073E-2</v>
      </c>
      <c r="R90" s="1532">
        <f t="shared" si="60"/>
        <v>5.2472204646117689E-2</v>
      </c>
      <c r="S90" s="1788">
        <f t="shared" si="45"/>
        <v>4.4738538091455463E-2</v>
      </c>
      <c r="T90" s="219"/>
      <c r="U90" s="433">
        <v>48134</v>
      </c>
      <c r="V90" s="434">
        <v>809</v>
      </c>
      <c r="W90" s="435">
        <v>50537</v>
      </c>
      <c r="X90" s="436">
        <v>1115</v>
      </c>
      <c r="Y90" s="435">
        <v>53466</v>
      </c>
      <c r="Z90" s="436">
        <v>1606</v>
      </c>
      <c r="AA90" s="435">
        <v>56071</v>
      </c>
      <c r="AB90" s="436">
        <v>1735</v>
      </c>
      <c r="AC90" s="435">
        <v>59459</v>
      </c>
      <c r="AD90" s="436">
        <v>1647</v>
      </c>
      <c r="AE90" s="435">
        <v>61957</v>
      </c>
      <c r="AF90" s="436">
        <v>1670</v>
      </c>
      <c r="AG90" s="435">
        <v>63723</v>
      </c>
      <c r="AH90" s="436">
        <v>1561</v>
      </c>
      <c r="AI90" s="435">
        <v>64187</v>
      </c>
      <c r="AJ90" s="436">
        <v>1691</v>
      </c>
      <c r="AK90" s="435">
        <v>66203</v>
      </c>
      <c r="AL90" s="436">
        <v>2284</v>
      </c>
      <c r="AM90" s="437">
        <v>65668</v>
      </c>
      <c r="AN90" s="436">
        <v>3732</v>
      </c>
      <c r="AO90" s="435">
        <v>67793</v>
      </c>
      <c r="AP90" s="436">
        <v>4027</v>
      </c>
      <c r="AQ90" s="438">
        <v>69482</v>
      </c>
      <c r="AR90" s="439">
        <v>3882</v>
      </c>
      <c r="AS90" s="440">
        <v>69882</v>
      </c>
      <c r="AT90" s="441">
        <v>3599</v>
      </c>
      <c r="AU90" s="440">
        <v>70478</v>
      </c>
      <c r="AV90" s="1538">
        <v>3585</v>
      </c>
      <c r="AW90" s="1541">
        <v>66378</v>
      </c>
      <c r="AX90" s="1542">
        <v>3483</v>
      </c>
      <c r="AY90" s="1767">
        <v>66721</v>
      </c>
      <c r="AZ90" s="1794">
        <v>2985</v>
      </c>
    </row>
    <row r="91" spans="1:52" ht="15" customHeight="1" x14ac:dyDescent="0.25">
      <c r="A91" s="426" t="s">
        <v>224</v>
      </c>
      <c r="B91" s="442" t="s">
        <v>225</v>
      </c>
      <c r="C91" s="190" t="s">
        <v>264</v>
      </c>
      <c r="D91" s="428">
        <f t="shared" si="46"/>
        <v>2.874074074074074E-2</v>
      </c>
      <c r="E91" s="429">
        <f t="shared" si="47"/>
        <v>3.3101045296167246E-2</v>
      </c>
      <c r="F91" s="430">
        <f t="shared" si="48"/>
        <v>4.5022371364653244E-2</v>
      </c>
      <c r="G91" s="430">
        <f t="shared" si="49"/>
        <v>4.5618915159944366E-2</v>
      </c>
      <c r="H91" s="430">
        <f t="shared" si="50"/>
        <v>4.1179744017807454E-2</v>
      </c>
      <c r="I91" s="430">
        <f t="shared" si="51"/>
        <v>4.7540983606557376E-2</v>
      </c>
      <c r="J91" s="430">
        <f t="shared" si="52"/>
        <v>3.3683643222850987E-2</v>
      </c>
      <c r="K91" s="430">
        <f t="shared" si="53"/>
        <v>3.4222581514416602E-2</v>
      </c>
      <c r="L91" s="430">
        <f t="shared" si="54"/>
        <v>4.476439790575916E-2</v>
      </c>
      <c r="M91" s="430">
        <f t="shared" si="55"/>
        <v>7.7706323687031079E-2</v>
      </c>
      <c r="N91" s="430">
        <f t="shared" si="56"/>
        <v>8.8368379025818469E-2</v>
      </c>
      <c r="O91" s="431">
        <f t="shared" si="57"/>
        <v>8.2387898433279302E-2</v>
      </c>
      <c r="P91" s="432">
        <f t="shared" si="58"/>
        <v>7.6200993926007737E-2</v>
      </c>
      <c r="Q91" s="1529">
        <f t="shared" si="59"/>
        <v>7.0170610897083111E-2</v>
      </c>
      <c r="R91" s="1532">
        <f t="shared" si="60"/>
        <v>6.0803474484256242E-2</v>
      </c>
      <c r="S91" s="1788">
        <f t="shared" si="45"/>
        <v>5.1951547779273216E-2</v>
      </c>
      <c r="T91" s="219"/>
      <c r="U91" s="433">
        <v>3375</v>
      </c>
      <c r="V91" s="434">
        <v>97</v>
      </c>
      <c r="W91" s="435">
        <v>3444</v>
      </c>
      <c r="X91" s="436">
        <v>114</v>
      </c>
      <c r="Y91" s="435">
        <v>3576</v>
      </c>
      <c r="Z91" s="436">
        <v>161</v>
      </c>
      <c r="AA91" s="435">
        <v>3595</v>
      </c>
      <c r="AB91" s="436">
        <v>164</v>
      </c>
      <c r="AC91" s="435">
        <v>3594</v>
      </c>
      <c r="AD91" s="436">
        <v>148</v>
      </c>
      <c r="AE91" s="435">
        <v>3660</v>
      </c>
      <c r="AF91" s="436">
        <v>174</v>
      </c>
      <c r="AG91" s="435">
        <v>3711</v>
      </c>
      <c r="AH91" s="436">
        <v>125</v>
      </c>
      <c r="AI91" s="435">
        <v>3711</v>
      </c>
      <c r="AJ91" s="436">
        <v>127</v>
      </c>
      <c r="AK91" s="435">
        <v>3820</v>
      </c>
      <c r="AL91" s="436">
        <v>171</v>
      </c>
      <c r="AM91" s="437">
        <v>3732</v>
      </c>
      <c r="AN91" s="436">
        <v>290</v>
      </c>
      <c r="AO91" s="435">
        <v>3757</v>
      </c>
      <c r="AP91" s="436">
        <v>332</v>
      </c>
      <c r="AQ91" s="438">
        <v>3702</v>
      </c>
      <c r="AR91" s="439">
        <v>305</v>
      </c>
      <c r="AS91" s="440">
        <v>3622</v>
      </c>
      <c r="AT91" s="441">
        <v>276</v>
      </c>
      <c r="AU91" s="440">
        <v>3634</v>
      </c>
      <c r="AV91" s="1538">
        <v>255</v>
      </c>
      <c r="AW91" s="1541">
        <v>3684</v>
      </c>
      <c r="AX91" s="1542">
        <v>224</v>
      </c>
      <c r="AY91" s="1767">
        <v>3715</v>
      </c>
      <c r="AZ91" s="1794">
        <v>193</v>
      </c>
    </row>
    <row r="92" spans="1:52" ht="15" customHeight="1" x14ac:dyDescent="0.25">
      <c r="A92" s="426" t="s">
        <v>226</v>
      </c>
      <c r="B92" s="442" t="s">
        <v>227</v>
      </c>
      <c r="C92" s="190" t="s">
        <v>264</v>
      </c>
      <c r="D92" s="428">
        <f t="shared" si="46"/>
        <v>3.6634103019538192E-2</v>
      </c>
      <c r="E92" s="429">
        <f t="shared" si="47"/>
        <v>4.7159218504379069E-2</v>
      </c>
      <c r="F92" s="430">
        <f t="shared" si="48"/>
        <v>5.7648660916931459E-2</v>
      </c>
      <c r="G92" s="430">
        <f t="shared" si="49"/>
        <v>6.9079673361288896E-2</v>
      </c>
      <c r="H92" s="430">
        <f t="shared" si="50"/>
        <v>5.8521331248603974E-2</v>
      </c>
      <c r="I92" s="430">
        <f t="shared" si="51"/>
        <v>5.7961208840775824E-2</v>
      </c>
      <c r="J92" s="430">
        <f t="shared" si="52"/>
        <v>4.4642857142857144E-2</v>
      </c>
      <c r="K92" s="430">
        <f t="shared" si="53"/>
        <v>4.5024763619990998E-2</v>
      </c>
      <c r="L92" s="430">
        <f t="shared" si="54"/>
        <v>5.8327788866711021E-2</v>
      </c>
      <c r="M92" s="430">
        <f t="shared" si="55"/>
        <v>0.10515695067264574</v>
      </c>
      <c r="N92" s="430">
        <f t="shared" si="56"/>
        <v>0.10669408270504913</v>
      </c>
      <c r="O92" s="431">
        <f t="shared" si="57"/>
        <v>9.4739239353222496E-2</v>
      </c>
      <c r="P92" s="432">
        <f t="shared" si="58"/>
        <v>8.612329716000923E-2</v>
      </c>
      <c r="Q92" s="1529">
        <f t="shared" si="59"/>
        <v>7.862068965517241E-2</v>
      </c>
      <c r="R92" s="1532">
        <f t="shared" si="60"/>
        <v>7.4260994953136261E-2</v>
      </c>
      <c r="S92" s="1788">
        <f t="shared" si="45"/>
        <v>6.7613089509143409E-2</v>
      </c>
      <c r="T92" s="219"/>
      <c r="U92" s="433">
        <v>4504</v>
      </c>
      <c r="V92" s="434">
        <v>165</v>
      </c>
      <c r="W92" s="435">
        <v>4453</v>
      </c>
      <c r="X92" s="436">
        <v>210</v>
      </c>
      <c r="Y92" s="435">
        <v>4406</v>
      </c>
      <c r="Z92" s="436">
        <v>254</v>
      </c>
      <c r="AA92" s="435">
        <v>4531</v>
      </c>
      <c r="AB92" s="436">
        <v>313</v>
      </c>
      <c r="AC92" s="435">
        <v>4477</v>
      </c>
      <c r="AD92" s="436">
        <v>262</v>
      </c>
      <c r="AE92" s="435">
        <v>4434</v>
      </c>
      <c r="AF92" s="436">
        <v>257</v>
      </c>
      <c r="AG92" s="435">
        <v>4480</v>
      </c>
      <c r="AH92" s="436">
        <v>200</v>
      </c>
      <c r="AI92" s="435">
        <v>4442</v>
      </c>
      <c r="AJ92" s="436">
        <v>200</v>
      </c>
      <c r="AK92" s="435">
        <v>4509</v>
      </c>
      <c r="AL92" s="436">
        <v>263</v>
      </c>
      <c r="AM92" s="437">
        <v>4460</v>
      </c>
      <c r="AN92" s="436">
        <v>469</v>
      </c>
      <c r="AO92" s="435">
        <v>4377</v>
      </c>
      <c r="AP92" s="436">
        <v>467</v>
      </c>
      <c r="AQ92" s="438">
        <v>4391</v>
      </c>
      <c r="AR92" s="439">
        <v>416</v>
      </c>
      <c r="AS92" s="440">
        <v>4331</v>
      </c>
      <c r="AT92" s="441">
        <v>373</v>
      </c>
      <c r="AU92" s="440">
        <v>4350</v>
      </c>
      <c r="AV92" s="1538">
        <v>342</v>
      </c>
      <c r="AW92" s="1541">
        <v>4161</v>
      </c>
      <c r="AX92" s="1542">
        <v>309</v>
      </c>
      <c r="AY92" s="1767">
        <v>4156</v>
      </c>
      <c r="AZ92" s="1794">
        <v>281</v>
      </c>
    </row>
    <row r="93" spans="1:52" ht="15" customHeight="1" x14ac:dyDescent="0.25">
      <c r="A93" s="426" t="s">
        <v>228</v>
      </c>
      <c r="B93" s="442" t="s">
        <v>229</v>
      </c>
      <c r="C93" s="190" t="s">
        <v>268</v>
      </c>
      <c r="D93" s="428">
        <f t="shared" si="46"/>
        <v>5.0802563966732002E-2</v>
      </c>
      <c r="E93" s="429">
        <f t="shared" si="47"/>
        <v>4.9108992954828012E-2</v>
      </c>
      <c r="F93" s="430">
        <f t="shared" si="48"/>
        <v>5.7536145771439888E-2</v>
      </c>
      <c r="G93" s="430">
        <f t="shared" si="49"/>
        <v>5.3863703997619285E-2</v>
      </c>
      <c r="H93" s="430">
        <f t="shared" si="50"/>
        <v>4.6371482559624123E-2</v>
      </c>
      <c r="I93" s="430">
        <f t="shared" si="51"/>
        <v>4.4977052524222336E-2</v>
      </c>
      <c r="J93" s="430">
        <f t="shared" si="52"/>
        <v>3.9336232318688456E-2</v>
      </c>
      <c r="K93" s="430">
        <f t="shared" si="53"/>
        <v>4.5391545391545392E-2</v>
      </c>
      <c r="L93" s="430">
        <f t="shared" si="54"/>
        <v>4.3951282915322777E-2</v>
      </c>
      <c r="M93" s="430">
        <f t="shared" si="55"/>
        <v>7.8268534842720602E-2</v>
      </c>
      <c r="N93" s="430">
        <f t="shared" si="56"/>
        <v>7.1626927128219858E-2</v>
      </c>
      <c r="O93" s="431">
        <f t="shared" si="57"/>
        <v>6.7583157085175927E-2</v>
      </c>
      <c r="P93" s="432">
        <f t="shared" si="58"/>
        <v>7.1064497157420109E-2</v>
      </c>
      <c r="Q93" s="1529">
        <f t="shared" si="59"/>
        <v>7.0360773370540169E-2</v>
      </c>
      <c r="R93" s="1532">
        <f t="shared" si="60"/>
        <v>8.033289025024562E-2</v>
      </c>
      <c r="S93" s="1788">
        <f t="shared" si="45"/>
        <v>7.4849578820697954E-2</v>
      </c>
      <c r="T93" s="219"/>
      <c r="U93" s="433">
        <v>18877</v>
      </c>
      <c r="V93" s="434">
        <v>959</v>
      </c>
      <c r="W93" s="435">
        <v>19304</v>
      </c>
      <c r="X93" s="436">
        <v>948</v>
      </c>
      <c r="Y93" s="435">
        <v>20196</v>
      </c>
      <c r="Z93" s="436">
        <v>1162</v>
      </c>
      <c r="AA93" s="435">
        <v>20162</v>
      </c>
      <c r="AB93" s="436">
        <v>1086</v>
      </c>
      <c r="AC93" s="435">
        <v>19581</v>
      </c>
      <c r="AD93" s="436">
        <v>908</v>
      </c>
      <c r="AE93" s="435">
        <v>19610</v>
      </c>
      <c r="AF93" s="436">
        <v>882</v>
      </c>
      <c r="AG93" s="435">
        <v>20007</v>
      </c>
      <c r="AH93" s="436">
        <v>787</v>
      </c>
      <c r="AI93" s="435">
        <v>20202</v>
      </c>
      <c r="AJ93" s="436">
        <v>917</v>
      </c>
      <c r="AK93" s="435">
        <v>20773</v>
      </c>
      <c r="AL93" s="436">
        <v>913</v>
      </c>
      <c r="AM93" s="437">
        <v>21554</v>
      </c>
      <c r="AN93" s="436">
        <v>1687</v>
      </c>
      <c r="AO93" s="435">
        <v>20886</v>
      </c>
      <c r="AP93" s="436">
        <v>1496</v>
      </c>
      <c r="AQ93" s="438">
        <v>20804</v>
      </c>
      <c r="AR93" s="439">
        <v>1406</v>
      </c>
      <c r="AS93" s="440">
        <v>20404</v>
      </c>
      <c r="AT93" s="441">
        <v>1450</v>
      </c>
      <c r="AU93" s="440">
        <v>20068</v>
      </c>
      <c r="AV93" s="1538">
        <v>1412</v>
      </c>
      <c r="AW93" s="1541">
        <v>17303</v>
      </c>
      <c r="AX93" s="1542">
        <v>1390</v>
      </c>
      <c r="AY93" s="1767">
        <v>16620</v>
      </c>
      <c r="AZ93" s="1794">
        <v>1244</v>
      </c>
    </row>
    <row r="94" spans="1:52" ht="15" customHeight="1" x14ac:dyDescent="0.25">
      <c r="A94" s="426" t="s">
        <v>232</v>
      </c>
      <c r="B94" s="442" t="s">
        <v>233</v>
      </c>
      <c r="C94" s="190" t="s">
        <v>267</v>
      </c>
      <c r="D94" s="428">
        <f t="shared" si="46"/>
        <v>2.0141964448219377E-2</v>
      </c>
      <c r="E94" s="429">
        <f t="shared" si="47"/>
        <v>2.7968684635152095E-2</v>
      </c>
      <c r="F94" s="430">
        <f t="shared" si="48"/>
        <v>3.9671443551205873E-2</v>
      </c>
      <c r="G94" s="430">
        <f t="shared" si="49"/>
        <v>3.9977188480182495E-2</v>
      </c>
      <c r="H94" s="430">
        <f t="shared" si="50"/>
        <v>3.3168509361631203E-2</v>
      </c>
      <c r="I94" s="430">
        <f t="shared" si="51"/>
        <v>3.012176885280923E-2</v>
      </c>
      <c r="J94" s="430">
        <f t="shared" si="52"/>
        <v>2.7903823084545976E-2</v>
      </c>
      <c r="K94" s="430">
        <f t="shared" si="53"/>
        <v>3.0657085250478208E-2</v>
      </c>
      <c r="L94" s="430">
        <f t="shared" si="54"/>
        <v>4.4142530108490098E-2</v>
      </c>
      <c r="M94" s="430">
        <f t="shared" si="55"/>
        <v>7.8289838978345364E-2</v>
      </c>
      <c r="N94" s="430">
        <f t="shared" si="56"/>
        <v>7.4005504128096075E-2</v>
      </c>
      <c r="O94" s="431">
        <f t="shared" si="57"/>
        <v>6.7536492701459713E-2</v>
      </c>
      <c r="P94" s="432">
        <f t="shared" si="58"/>
        <v>6.0107640460741414E-2</v>
      </c>
      <c r="Q94" s="1529">
        <f t="shared" si="59"/>
        <v>5.6250625563006709E-2</v>
      </c>
      <c r="R94" s="1532">
        <f t="shared" si="60"/>
        <v>5.5296104928457872E-2</v>
      </c>
      <c r="S94" s="1788">
        <f t="shared" si="45"/>
        <v>4.7367361320849691E-2</v>
      </c>
      <c r="T94" s="219"/>
      <c r="U94" s="433">
        <v>16483</v>
      </c>
      <c r="V94" s="434">
        <v>332</v>
      </c>
      <c r="W94" s="435">
        <v>16733</v>
      </c>
      <c r="X94" s="436">
        <v>468</v>
      </c>
      <c r="Y94" s="435">
        <v>17166</v>
      </c>
      <c r="Z94" s="436">
        <v>681</v>
      </c>
      <c r="AA94" s="435">
        <v>17535</v>
      </c>
      <c r="AB94" s="436">
        <v>701</v>
      </c>
      <c r="AC94" s="435">
        <v>17999</v>
      </c>
      <c r="AD94" s="436">
        <v>597</v>
      </c>
      <c r="AE94" s="435">
        <v>18724</v>
      </c>
      <c r="AF94" s="436">
        <v>564</v>
      </c>
      <c r="AG94" s="435">
        <v>19173</v>
      </c>
      <c r="AH94" s="436">
        <v>535</v>
      </c>
      <c r="AI94" s="435">
        <v>19343</v>
      </c>
      <c r="AJ94" s="436">
        <v>593</v>
      </c>
      <c r="AK94" s="435">
        <v>20094</v>
      </c>
      <c r="AL94" s="436">
        <v>887</v>
      </c>
      <c r="AM94" s="437">
        <v>19811</v>
      </c>
      <c r="AN94" s="436">
        <v>1551</v>
      </c>
      <c r="AO94" s="435">
        <v>19985</v>
      </c>
      <c r="AP94" s="436">
        <v>1479</v>
      </c>
      <c r="AQ94" s="438">
        <v>20004</v>
      </c>
      <c r="AR94" s="439">
        <v>1351</v>
      </c>
      <c r="AS94" s="440">
        <v>19881</v>
      </c>
      <c r="AT94" s="441">
        <v>1195</v>
      </c>
      <c r="AU94" s="440">
        <v>19982</v>
      </c>
      <c r="AV94" s="1538">
        <v>1124</v>
      </c>
      <c r="AW94" s="1541">
        <v>20128</v>
      </c>
      <c r="AX94" s="1542">
        <v>1113</v>
      </c>
      <c r="AY94" s="1767">
        <v>19866</v>
      </c>
      <c r="AZ94" s="1794">
        <v>941</v>
      </c>
    </row>
    <row r="95" spans="1:52" ht="15" customHeight="1" x14ac:dyDescent="0.25">
      <c r="A95" s="426" t="s">
        <v>234</v>
      </c>
      <c r="B95" s="442" t="s">
        <v>235</v>
      </c>
      <c r="C95" s="190" t="s">
        <v>268</v>
      </c>
      <c r="D95" s="428">
        <f t="shared" si="46"/>
        <v>3.5575653287446475E-2</v>
      </c>
      <c r="E95" s="429">
        <f t="shared" si="47"/>
        <v>5.0377536573855596E-2</v>
      </c>
      <c r="F95" s="430">
        <f t="shared" si="48"/>
        <v>6.0489752053427499E-2</v>
      </c>
      <c r="G95" s="430">
        <f t="shared" si="49"/>
        <v>5.3925666945352287E-2</v>
      </c>
      <c r="H95" s="430">
        <f t="shared" si="50"/>
        <v>4.7437673130193904E-2</v>
      </c>
      <c r="I95" s="430">
        <f t="shared" si="51"/>
        <v>4.4569632865792901E-2</v>
      </c>
      <c r="J95" s="430">
        <f t="shared" si="52"/>
        <v>4.1013406044080894E-2</v>
      </c>
      <c r="K95" s="430">
        <f t="shared" si="53"/>
        <v>4.5732967569801962E-2</v>
      </c>
      <c r="L95" s="430">
        <f t="shared" si="54"/>
        <v>4.9266627940749347E-2</v>
      </c>
      <c r="M95" s="430">
        <f t="shared" si="55"/>
        <v>8.8177758092496214E-2</v>
      </c>
      <c r="N95" s="430">
        <f t="shared" si="56"/>
        <v>8.7819210679048174E-2</v>
      </c>
      <c r="O95" s="431">
        <f t="shared" si="57"/>
        <v>7.9765082754938599E-2</v>
      </c>
      <c r="P95" s="432">
        <f t="shared" si="58"/>
        <v>7.06378115848868E-2</v>
      </c>
      <c r="Q95" s="1529">
        <f t="shared" si="59"/>
        <v>6.9060280523930193E-2</v>
      </c>
      <c r="R95" s="1532">
        <f t="shared" si="60"/>
        <v>5.7284780045027336E-2</v>
      </c>
      <c r="S95" s="1788">
        <f t="shared" si="45"/>
        <v>4.7954762429316296E-2</v>
      </c>
      <c r="T95" s="219"/>
      <c r="U95" s="433">
        <v>24989</v>
      </c>
      <c r="V95" s="434">
        <v>889</v>
      </c>
      <c r="W95" s="435">
        <v>25428</v>
      </c>
      <c r="X95" s="436">
        <v>1281</v>
      </c>
      <c r="Y95" s="435">
        <v>26054</v>
      </c>
      <c r="Z95" s="436">
        <v>1576</v>
      </c>
      <c r="AA95" s="435">
        <v>26314</v>
      </c>
      <c r="AB95" s="436">
        <v>1419</v>
      </c>
      <c r="AC95" s="435">
        <v>25992</v>
      </c>
      <c r="AD95" s="436">
        <v>1233</v>
      </c>
      <c r="AE95" s="435">
        <v>26094</v>
      </c>
      <c r="AF95" s="436">
        <v>1163</v>
      </c>
      <c r="AG95" s="435">
        <v>26406</v>
      </c>
      <c r="AH95" s="436">
        <v>1083</v>
      </c>
      <c r="AI95" s="435">
        <v>26611</v>
      </c>
      <c r="AJ95" s="436">
        <v>1217</v>
      </c>
      <c r="AK95" s="435">
        <v>27544</v>
      </c>
      <c r="AL95" s="436">
        <v>1357</v>
      </c>
      <c r="AM95" s="437">
        <v>27093</v>
      </c>
      <c r="AN95" s="436">
        <v>2389</v>
      </c>
      <c r="AO95" s="435">
        <v>27568</v>
      </c>
      <c r="AP95" s="436">
        <v>2421</v>
      </c>
      <c r="AQ95" s="438">
        <v>28095</v>
      </c>
      <c r="AR95" s="439">
        <v>2241</v>
      </c>
      <c r="AS95" s="440">
        <v>28002</v>
      </c>
      <c r="AT95" s="441">
        <v>1978</v>
      </c>
      <c r="AU95" s="440">
        <v>28019</v>
      </c>
      <c r="AV95" s="1538">
        <v>1935</v>
      </c>
      <c r="AW95" s="1541">
        <v>27983</v>
      </c>
      <c r="AX95" s="1542">
        <v>1603</v>
      </c>
      <c r="AY95" s="1767">
        <v>27234</v>
      </c>
      <c r="AZ95" s="1794">
        <v>1306</v>
      </c>
    </row>
    <row r="96" spans="1:52" ht="15" customHeight="1" x14ac:dyDescent="0.25">
      <c r="A96" s="426" t="s">
        <v>236</v>
      </c>
      <c r="B96" s="442" t="s">
        <v>237</v>
      </c>
      <c r="C96" s="190" t="s">
        <v>266</v>
      </c>
      <c r="D96" s="428">
        <f t="shared" si="46"/>
        <v>3.52232552049234E-2</v>
      </c>
      <c r="E96" s="429">
        <f t="shared" si="47"/>
        <v>4.0816326530612242E-2</v>
      </c>
      <c r="F96" s="430">
        <f t="shared" si="48"/>
        <v>4.7263995956021737E-2</v>
      </c>
      <c r="G96" s="430">
        <f t="shared" si="49"/>
        <v>4.8003918687239772E-2</v>
      </c>
      <c r="H96" s="430">
        <f t="shared" si="50"/>
        <v>4.5836996106994848E-2</v>
      </c>
      <c r="I96" s="430">
        <f t="shared" si="51"/>
        <v>4.5075943165115137E-2</v>
      </c>
      <c r="J96" s="430">
        <f t="shared" si="52"/>
        <v>3.8819687991292783E-2</v>
      </c>
      <c r="K96" s="430">
        <f t="shared" si="53"/>
        <v>4.2306297594584791E-2</v>
      </c>
      <c r="L96" s="430">
        <f t="shared" si="54"/>
        <v>5.0528921899617378E-2</v>
      </c>
      <c r="M96" s="430">
        <f t="shared" si="55"/>
        <v>7.8912901113294034E-2</v>
      </c>
      <c r="N96" s="430">
        <f t="shared" si="56"/>
        <v>8.2327971403038422E-2</v>
      </c>
      <c r="O96" s="431">
        <f t="shared" si="57"/>
        <v>7.5953529153879873E-2</v>
      </c>
      <c r="P96" s="432">
        <f t="shared" si="58"/>
        <v>7.4484030900495796E-2</v>
      </c>
      <c r="Q96" s="1529">
        <f t="shared" si="59"/>
        <v>7.0226014760147601E-2</v>
      </c>
      <c r="R96" s="1532">
        <f t="shared" si="60"/>
        <v>6.3264631323707701E-2</v>
      </c>
      <c r="S96" s="1788">
        <f t="shared" si="45"/>
        <v>5.4199328107502796E-2</v>
      </c>
      <c r="T96" s="219"/>
      <c r="U96" s="433">
        <v>7637</v>
      </c>
      <c r="V96" s="434">
        <v>269</v>
      </c>
      <c r="W96" s="435">
        <v>7644</v>
      </c>
      <c r="X96" s="436">
        <v>312</v>
      </c>
      <c r="Y96" s="435">
        <v>7913</v>
      </c>
      <c r="Z96" s="436">
        <v>374</v>
      </c>
      <c r="AA96" s="435">
        <v>8166</v>
      </c>
      <c r="AB96" s="436">
        <v>392</v>
      </c>
      <c r="AC96" s="435">
        <v>7963</v>
      </c>
      <c r="AD96" s="436">
        <v>365</v>
      </c>
      <c r="AE96" s="435">
        <v>8164</v>
      </c>
      <c r="AF96" s="436">
        <v>368</v>
      </c>
      <c r="AG96" s="435">
        <v>8269</v>
      </c>
      <c r="AH96" s="436">
        <v>321</v>
      </c>
      <c r="AI96" s="435">
        <v>8273</v>
      </c>
      <c r="AJ96" s="436">
        <v>350</v>
      </c>
      <c r="AK96" s="435">
        <v>8886</v>
      </c>
      <c r="AL96" s="436">
        <v>449</v>
      </c>
      <c r="AM96" s="437">
        <v>9162</v>
      </c>
      <c r="AN96" s="436">
        <v>723</v>
      </c>
      <c r="AO96" s="435">
        <v>8952</v>
      </c>
      <c r="AP96" s="436">
        <v>737</v>
      </c>
      <c r="AQ96" s="438">
        <v>9124</v>
      </c>
      <c r="AR96" s="439">
        <v>693</v>
      </c>
      <c r="AS96" s="440">
        <v>8673</v>
      </c>
      <c r="AT96" s="441">
        <v>646</v>
      </c>
      <c r="AU96" s="440">
        <v>8672</v>
      </c>
      <c r="AV96" s="1538">
        <v>609</v>
      </c>
      <c r="AW96" s="1541">
        <v>9073</v>
      </c>
      <c r="AX96" s="1542">
        <v>574</v>
      </c>
      <c r="AY96" s="1767">
        <v>8930</v>
      </c>
      <c r="AZ96" s="1794">
        <v>484</v>
      </c>
    </row>
    <row r="97" spans="1:52" ht="15" customHeight="1" x14ac:dyDescent="0.25">
      <c r="A97" s="426" t="s">
        <v>242</v>
      </c>
      <c r="B97" s="442" t="s">
        <v>243</v>
      </c>
      <c r="C97" s="190" t="s">
        <v>268</v>
      </c>
      <c r="D97" s="428">
        <f t="shared" si="46"/>
        <v>4.1928851784935516E-2</v>
      </c>
      <c r="E97" s="429">
        <f t="shared" si="47"/>
        <v>4.6936274509803921E-2</v>
      </c>
      <c r="F97" s="430">
        <f t="shared" si="48"/>
        <v>5.8830450641251912E-2</v>
      </c>
      <c r="G97" s="430">
        <f t="shared" si="49"/>
        <v>5.7373298249628189E-2</v>
      </c>
      <c r="H97" s="430">
        <f t="shared" si="50"/>
        <v>5.1327019759148836E-2</v>
      </c>
      <c r="I97" s="430">
        <f t="shared" si="51"/>
        <v>4.710562730627306E-2</v>
      </c>
      <c r="J97" s="430">
        <f t="shared" si="52"/>
        <v>4.4518963922294173E-2</v>
      </c>
      <c r="K97" s="430">
        <f t="shared" si="53"/>
        <v>3.9661524291964081E-2</v>
      </c>
      <c r="L97" s="430">
        <f t="shared" si="54"/>
        <v>4.6119048932531582E-2</v>
      </c>
      <c r="M97" s="430">
        <f t="shared" si="55"/>
        <v>6.8625436613930557E-2</v>
      </c>
      <c r="N97" s="430">
        <f t="shared" si="56"/>
        <v>7.5056900475894889E-2</v>
      </c>
      <c r="O97" s="431">
        <f t="shared" si="57"/>
        <v>6.7557950386335913E-2</v>
      </c>
      <c r="P97" s="432">
        <f t="shared" si="58"/>
        <v>7.8970718722271516E-2</v>
      </c>
      <c r="Q97" s="1529">
        <f t="shared" si="59"/>
        <v>8.7724278900749492E-2</v>
      </c>
      <c r="R97" s="1532">
        <f t="shared" si="60"/>
        <v>9.372181755116199E-2</v>
      </c>
      <c r="S97" s="1788">
        <f t="shared" si="45"/>
        <v>8.2939406961753337E-2</v>
      </c>
      <c r="T97" s="219"/>
      <c r="U97" s="433">
        <v>16051</v>
      </c>
      <c r="V97" s="434">
        <v>673</v>
      </c>
      <c r="W97" s="435">
        <v>16320</v>
      </c>
      <c r="X97" s="436">
        <v>766</v>
      </c>
      <c r="Y97" s="435">
        <v>16998</v>
      </c>
      <c r="Z97" s="436">
        <v>1000</v>
      </c>
      <c r="AA97" s="435">
        <v>17482</v>
      </c>
      <c r="AB97" s="436">
        <v>1003</v>
      </c>
      <c r="AC97" s="435">
        <v>17106</v>
      </c>
      <c r="AD97" s="436">
        <v>878</v>
      </c>
      <c r="AE97" s="435">
        <v>17344</v>
      </c>
      <c r="AF97" s="436">
        <v>817</v>
      </c>
      <c r="AG97" s="435">
        <v>17296</v>
      </c>
      <c r="AH97" s="436">
        <v>770</v>
      </c>
      <c r="AI97" s="435">
        <v>17372</v>
      </c>
      <c r="AJ97" s="436">
        <v>689</v>
      </c>
      <c r="AK97" s="435">
        <v>18127</v>
      </c>
      <c r="AL97" s="436">
        <v>836</v>
      </c>
      <c r="AM97" s="437">
        <v>19468</v>
      </c>
      <c r="AN97" s="436">
        <v>1336</v>
      </c>
      <c r="AO97" s="435">
        <v>19332</v>
      </c>
      <c r="AP97" s="436">
        <v>1451</v>
      </c>
      <c r="AQ97" s="438">
        <v>19672</v>
      </c>
      <c r="AR97" s="439">
        <v>1329</v>
      </c>
      <c r="AS97" s="440">
        <v>18032</v>
      </c>
      <c r="AT97" s="441">
        <v>1424</v>
      </c>
      <c r="AU97" s="440">
        <v>17612</v>
      </c>
      <c r="AV97" s="1538">
        <v>1545</v>
      </c>
      <c r="AW97" s="1541">
        <v>14415</v>
      </c>
      <c r="AX97" s="1542">
        <v>1351</v>
      </c>
      <c r="AY97" s="1767">
        <v>13962</v>
      </c>
      <c r="AZ97" s="1794">
        <v>1158</v>
      </c>
    </row>
    <row r="98" spans="1:52" ht="15" customHeight="1" x14ac:dyDescent="0.25">
      <c r="A98" s="426" t="s">
        <v>244</v>
      </c>
      <c r="B98" s="442" t="s">
        <v>245</v>
      </c>
      <c r="C98" s="190" t="s">
        <v>268</v>
      </c>
      <c r="D98" s="428">
        <f t="shared" si="46"/>
        <v>4.3058121358533465E-2</v>
      </c>
      <c r="E98" s="429">
        <f t="shared" si="47"/>
        <v>6.7896471908536163E-2</v>
      </c>
      <c r="F98" s="430">
        <f t="shared" si="48"/>
        <v>6.2426220401361018E-2</v>
      </c>
      <c r="G98" s="430">
        <f t="shared" si="49"/>
        <v>5.2613941018766756E-2</v>
      </c>
      <c r="H98" s="430">
        <f t="shared" si="50"/>
        <v>4.7149942251511652E-2</v>
      </c>
      <c r="I98" s="430">
        <f t="shared" si="51"/>
        <v>4.2900783636605128E-2</v>
      </c>
      <c r="J98" s="430">
        <f t="shared" si="52"/>
        <v>4.0599999999999997E-2</v>
      </c>
      <c r="K98" s="430">
        <f t="shared" si="53"/>
        <v>4.4997078111810924E-2</v>
      </c>
      <c r="L98" s="430">
        <f t="shared" si="54"/>
        <v>5.359347987157323E-2</v>
      </c>
      <c r="M98" s="430">
        <f t="shared" si="55"/>
        <v>0.10856102003642987</v>
      </c>
      <c r="N98" s="430">
        <f t="shared" si="56"/>
        <v>0.10053380782918149</v>
      </c>
      <c r="O98" s="431">
        <f t="shared" si="57"/>
        <v>8.143569040560146E-2</v>
      </c>
      <c r="P98" s="432">
        <f t="shared" si="58"/>
        <v>6.9371035940803377E-2</v>
      </c>
      <c r="Q98" s="1529">
        <f t="shared" si="59"/>
        <v>7.0217276099629036E-2</v>
      </c>
      <c r="R98" s="1532">
        <f t="shared" si="60"/>
        <v>6.3857421170358614E-2</v>
      </c>
      <c r="S98" s="1788">
        <f t="shared" si="45"/>
        <v>5.432800991759644E-2</v>
      </c>
      <c r="T98" s="219"/>
      <c r="U98" s="433">
        <v>14074</v>
      </c>
      <c r="V98" s="434">
        <v>606</v>
      </c>
      <c r="W98" s="435">
        <v>14257</v>
      </c>
      <c r="X98" s="436">
        <v>968</v>
      </c>
      <c r="Y98" s="435">
        <v>14401</v>
      </c>
      <c r="Z98" s="436">
        <v>899</v>
      </c>
      <c r="AA98" s="435">
        <v>14920</v>
      </c>
      <c r="AB98" s="436">
        <v>785</v>
      </c>
      <c r="AC98" s="435">
        <v>14719</v>
      </c>
      <c r="AD98" s="436">
        <v>694</v>
      </c>
      <c r="AE98" s="435">
        <v>15058</v>
      </c>
      <c r="AF98" s="436">
        <v>646</v>
      </c>
      <c r="AG98" s="435">
        <v>15000</v>
      </c>
      <c r="AH98" s="436">
        <v>609</v>
      </c>
      <c r="AI98" s="435">
        <v>15401</v>
      </c>
      <c r="AJ98" s="436">
        <v>693</v>
      </c>
      <c r="AK98" s="435">
        <v>16196</v>
      </c>
      <c r="AL98" s="436">
        <v>868</v>
      </c>
      <c r="AM98" s="437">
        <v>16470</v>
      </c>
      <c r="AN98" s="436">
        <v>1788</v>
      </c>
      <c r="AO98" s="435">
        <v>15736</v>
      </c>
      <c r="AP98" s="436">
        <v>1582</v>
      </c>
      <c r="AQ98" s="438">
        <v>15853</v>
      </c>
      <c r="AR98" s="439">
        <v>1291</v>
      </c>
      <c r="AS98" s="440">
        <v>15136</v>
      </c>
      <c r="AT98" s="441">
        <v>1050</v>
      </c>
      <c r="AU98" s="440">
        <v>15096</v>
      </c>
      <c r="AV98" s="1538">
        <v>1060</v>
      </c>
      <c r="AW98" s="1541">
        <v>13859</v>
      </c>
      <c r="AX98" s="1542">
        <v>885</v>
      </c>
      <c r="AY98" s="1767">
        <v>13713</v>
      </c>
      <c r="AZ98" s="1794">
        <v>745</v>
      </c>
    </row>
    <row r="99" spans="1:52" ht="15" customHeight="1" x14ac:dyDescent="0.25">
      <c r="A99" s="426" t="s">
        <v>246</v>
      </c>
      <c r="B99" s="442" t="s">
        <v>247</v>
      </c>
      <c r="C99" s="190" t="s">
        <v>264</v>
      </c>
      <c r="D99" s="428">
        <f t="shared" si="46"/>
        <v>1.9172770357604479E-2</v>
      </c>
      <c r="E99" s="429">
        <f t="shared" si="47"/>
        <v>2.455807331830585E-2</v>
      </c>
      <c r="F99" s="430">
        <f t="shared" si="48"/>
        <v>3.0109489051094892E-2</v>
      </c>
      <c r="G99" s="430">
        <f t="shared" si="49"/>
        <v>3.1530520646319567E-2</v>
      </c>
      <c r="H99" s="430">
        <f t="shared" si="50"/>
        <v>2.9931821961088633E-2</v>
      </c>
      <c r="I99" s="430">
        <f t="shared" si="51"/>
        <v>2.9768348127300281E-2</v>
      </c>
      <c r="J99" s="430">
        <f t="shared" si="52"/>
        <v>2.600213789417424E-2</v>
      </c>
      <c r="K99" s="430">
        <f t="shared" si="53"/>
        <v>2.4632531093522855E-2</v>
      </c>
      <c r="L99" s="430">
        <f t="shared" si="54"/>
        <v>3.2568115021050122E-2</v>
      </c>
      <c r="M99" s="430">
        <f t="shared" si="55"/>
        <v>5.4853469876892907E-2</v>
      </c>
      <c r="N99" s="430">
        <f t="shared" si="56"/>
        <v>5.9112048590815522E-2</v>
      </c>
      <c r="O99" s="431">
        <f t="shared" si="57"/>
        <v>5.9293870717873114E-2</v>
      </c>
      <c r="P99" s="993">
        <f t="shared" si="58"/>
        <v>5.4214443773888552E-2</v>
      </c>
      <c r="Q99" s="1529">
        <f t="shared" si="59"/>
        <v>5.058482455263421E-2</v>
      </c>
      <c r="R99" s="1532">
        <f t="shared" si="60"/>
        <v>4.9320570668474999E-2</v>
      </c>
      <c r="S99" s="1788">
        <f t="shared" si="45"/>
        <v>4.2438149496228303E-2</v>
      </c>
      <c r="T99" s="219"/>
      <c r="U99" s="443">
        <v>32494</v>
      </c>
      <c r="V99" s="444">
        <v>623</v>
      </c>
      <c r="W99" s="1475">
        <v>33716</v>
      </c>
      <c r="X99" s="1476">
        <v>828</v>
      </c>
      <c r="Y99" s="1475">
        <v>35072</v>
      </c>
      <c r="Z99" s="1476">
        <v>1056</v>
      </c>
      <c r="AA99" s="1475">
        <v>35648</v>
      </c>
      <c r="AB99" s="1476">
        <v>1124</v>
      </c>
      <c r="AC99" s="1475">
        <v>36082</v>
      </c>
      <c r="AD99" s="1476">
        <v>1080</v>
      </c>
      <c r="AE99" s="1475">
        <v>36952</v>
      </c>
      <c r="AF99" s="1476">
        <v>1100</v>
      </c>
      <c r="AG99" s="1475">
        <v>37420</v>
      </c>
      <c r="AH99" s="1476">
        <v>973</v>
      </c>
      <c r="AI99" s="1475">
        <v>37146</v>
      </c>
      <c r="AJ99" s="1476">
        <v>915</v>
      </c>
      <c r="AK99" s="1475">
        <v>37767</v>
      </c>
      <c r="AL99" s="1476">
        <v>1230</v>
      </c>
      <c r="AM99" s="1477">
        <v>36716</v>
      </c>
      <c r="AN99" s="1476">
        <v>2014</v>
      </c>
      <c r="AO99" s="1475">
        <v>39349</v>
      </c>
      <c r="AP99" s="1476">
        <v>2326</v>
      </c>
      <c r="AQ99" s="438">
        <v>40021</v>
      </c>
      <c r="AR99" s="439">
        <v>2373</v>
      </c>
      <c r="AS99" s="440">
        <v>39768</v>
      </c>
      <c r="AT99" s="441">
        <v>2156</v>
      </c>
      <c r="AU99" s="440">
        <v>40012</v>
      </c>
      <c r="AV99" s="1538">
        <v>2024</v>
      </c>
      <c r="AW99" s="1541">
        <v>38341</v>
      </c>
      <c r="AX99" s="1542">
        <v>1891</v>
      </c>
      <c r="AY99" s="1767">
        <v>37914</v>
      </c>
      <c r="AZ99" s="1794">
        <v>1609</v>
      </c>
    </row>
    <row r="100" spans="1:52" ht="15" customHeight="1" x14ac:dyDescent="0.25">
      <c r="A100" s="426" t="s">
        <v>14</v>
      </c>
      <c r="B100" s="442" t="s">
        <v>15</v>
      </c>
      <c r="C100" s="190" t="s">
        <v>267</v>
      </c>
      <c r="D100" s="428">
        <f t="shared" si="46"/>
        <v>1.7673817395411271E-2</v>
      </c>
      <c r="E100" s="429">
        <f t="shared" si="47"/>
        <v>2.697317442160806E-2</v>
      </c>
      <c r="F100" s="430">
        <f t="shared" si="48"/>
        <v>3.420419593810213E-2</v>
      </c>
      <c r="G100" s="430">
        <f t="shared" si="49"/>
        <v>2.986396104284569E-2</v>
      </c>
      <c r="H100" s="430">
        <f t="shared" si="50"/>
        <v>2.6632393159383545E-2</v>
      </c>
      <c r="I100" s="430">
        <f t="shared" si="51"/>
        <v>2.5650945497602551E-2</v>
      </c>
      <c r="J100" s="430">
        <f t="shared" si="52"/>
        <v>2.1999884997987464E-2</v>
      </c>
      <c r="K100" s="430">
        <f t="shared" si="53"/>
        <v>2.244061324198349E-2</v>
      </c>
      <c r="L100" s="430">
        <f t="shared" si="54"/>
        <v>2.7634610233056522E-2</v>
      </c>
      <c r="M100" s="430">
        <f t="shared" si="55"/>
        <v>4.9902245706737118E-2</v>
      </c>
      <c r="N100" s="430">
        <f t="shared" si="56"/>
        <v>5.1356855207761301E-2</v>
      </c>
      <c r="O100" s="431">
        <f t="shared" si="57"/>
        <v>4.6206160821442861E-2</v>
      </c>
      <c r="P100" s="432">
        <f t="shared" si="58"/>
        <v>4.2135702889558591E-2</v>
      </c>
      <c r="Q100" s="1529">
        <f t="shared" si="59"/>
        <v>4.1020004396570678E-2</v>
      </c>
      <c r="R100" s="1532">
        <f t="shared" si="60"/>
        <v>3.7448651402732222E-2</v>
      </c>
      <c r="S100" s="1788">
        <f t="shared" ref="S100:S124" si="61">AZ100/AY100</f>
        <v>3.299140560022179E-2</v>
      </c>
      <c r="T100" s="219"/>
      <c r="U100" s="433">
        <v>80458</v>
      </c>
      <c r="V100" s="434">
        <v>1422</v>
      </c>
      <c r="W100" s="435">
        <v>81303</v>
      </c>
      <c r="X100" s="436">
        <v>2193</v>
      </c>
      <c r="Y100" s="435">
        <v>83557</v>
      </c>
      <c r="Z100" s="436">
        <v>2858</v>
      </c>
      <c r="AA100" s="435">
        <v>83579</v>
      </c>
      <c r="AB100" s="436">
        <v>2496</v>
      </c>
      <c r="AC100" s="435">
        <v>85197</v>
      </c>
      <c r="AD100" s="436">
        <v>2269</v>
      </c>
      <c r="AE100" s="435">
        <v>85299</v>
      </c>
      <c r="AF100" s="436">
        <v>2188</v>
      </c>
      <c r="AG100" s="435">
        <v>86955</v>
      </c>
      <c r="AH100" s="436">
        <v>1913</v>
      </c>
      <c r="AI100" s="435">
        <v>89035</v>
      </c>
      <c r="AJ100" s="436">
        <v>1998</v>
      </c>
      <c r="AK100" s="435">
        <v>93325</v>
      </c>
      <c r="AL100" s="436">
        <v>2579</v>
      </c>
      <c r="AM100" s="437">
        <v>94625</v>
      </c>
      <c r="AN100" s="436">
        <v>4722</v>
      </c>
      <c r="AO100" s="435">
        <v>87408</v>
      </c>
      <c r="AP100" s="436">
        <v>4489</v>
      </c>
      <c r="AQ100" s="438">
        <v>89988</v>
      </c>
      <c r="AR100" s="439">
        <v>4158</v>
      </c>
      <c r="AS100" s="440">
        <v>90256</v>
      </c>
      <c r="AT100" s="441">
        <v>3803</v>
      </c>
      <c r="AU100" s="440">
        <v>90980</v>
      </c>
      <c r="AV100" s="1538">
        <v>3732</v>
      </c>
      <c r="AW100" s="1541">
        <v>94209</v>
      </c>
      <c r="AX100" s="1542">
        <v>3528</v>
      </c>
      <c r="AY100" s="1767">
        <v>93782</v>
      </c>
      <c r="AZ100" s="1794">
        <v>3094</v>
      </c>
    </row>
    <row r="101" spans="1:52" ht="15" customHeight="1" x14ac:dyDescent="0.25">
      <c r="A101" s="426" t="s">
        <v>34</v>
      </c>
      <c r="B101" s="442" t="s">
        <v>35</v>
      </c>
      <c r="C101" s="190" t="s">
        <v>268</v>
      </c>
      <c r="D101" s="428">
        <f t="shared" ref="D101:D124" si="62">V101/U101</f>
        <v>3.1735404392072841E-2</v>
      </c>
      <c r="E101" s="429">
        <f t="shared" ref="E101:E124" si="63">X101/W101</f>
        <v>4.1694242223692918E-2</v>
      </c>
      <c r="F101" s="430">
        <f t="shared" si="48"/>
        <v>4.9546589564988829E-2</v>
      </c>
      <c r="G101" s="430">
        <f t="shared" ref="G101:G124" si="64">AB101/AA101</f>
        <v>6.1846580173825418E-2</v>
      </c>
      <c r="H101" s="430">
        <f t="shared" ref="H101:H124" si="65">AD101/AC101</f>
        <v>6.0633137605310188E-2</v>
      </c>
      <c r="I101" s="430">
        <f t="shared" ref="I101:I124" si="66">AF101/AE101</f>
        <v>5.4085303186022608E-2</v>
      </c>
      <c r="J101" s="430">
        <f t="shared" ref="J101:J124" si="67">AH101/AG101</f>
        <v>4.7960725075528704E-2</v>
      </c>
      <c r="K101" s="430">
        <f t="shared" ref="K101:K124" si="68">AJ101/AI101</f>
        <v>5.1715438950554998E-2</v>
      </c>
      <c r="L101" s="430">
        <f t="shared" ref="L101:L124" si="69">AL101/AK101</f>
        <v>5.777064559930873E-2</v>
      </c>
      <c r="M101" s="430">
        <f t="shared" ref="M101:M124" si="70">AN101/AM101</f>
        <v>0.1033214854761613</v>
      </c>
      <c r="N101" s="430">
        <f t="shared" ref="N101:N124" si="71">AP101/AO101</f>
        <v>9.9006211180124218E-2</v>
      </c>
      <c r="O101" s="431">
        <f t="shared" ref="O101:O124" si="72">AR101/AQ101</f>
        <v>9.6801653897604284E-2</v>
      </c>
      <c r="P101" s="432">
        <f t="shared" ref="P101:P124" si="73">AT101/AS101</f>
        <v>7.7998252839136403E-2</v>
      </c>
      <c r="Q101" s="1529">
        <f t="shared" ref="Q101:Q124" si="74">AV101/AU101</f>
        <v>7.8177517739325283E-2</v>
      </c>
      <c r="R101" s="1532">
        <f t="shared" ref="R101:R124" si="75">AX101/AW101</f>
        <v>6.3786531130876747E-2</v>
      </c>
      <c r="S101" s="1788">
        <f t="shared" si="61"/>
        <v>5.3152202585069905E-2</v>
      </c>
      <c r="T101" s="219"/>
      <c r="U101" s="433">
        <v>7468</v>
      </c>
      <c r="V101" s="434">
        <v>237</v>
      </c>
      <c r="W101" s="435">
        <v>7555</v>
      </c>
      <c r="X101" s="436">
        <v>315</v>
      </c>
      <c r="Y101" s="435">
        <v>7609</v>
      </c>
      <c r="Z101" s="436">
        <v>377</v>
      </c>
      <c r="AA101" s="435">
        <v>7939</v>
      </c>
      <c r="AB101" s="436">
        <v>491</v>
      </c>
      <c r="AC101" s="435">
        <v>7834</v>
      </c>
      <c r="AD101" s="436">
        <v>475</v>
      </c>
      <c r="AE101" s="435">
        <v>7784</v>
      </c>
      <c r="AF101" s="436">
        <v>421</v>
      </c>
      <c r="AG101" s="435">
        <v>7944</v>
      </c>
      <c r="AH101" s="436">
        <v>381</v>
      </c>
      <c r="AI101" s="435">
        <v>7928</v>
      </c>
      <c r="AJ101" s="436">
        <v>410</v>
      </c>
      <c r="AK101" s="435">
        <v>8101</v>
      </c>
      <c r="AL101" s="436">
        <v>468</v>
      </c>
      <c r="AM101" s="437">
        <v>8159</v>
      </c>
      <c r="AN101" s="436">
        <v>843</v>
      </c>
      <c r="AO101" s="435">
        <v>8050</v>
      </c>
      <c r="AP101" s="436">
        <v>797</v>
      </c>
      <c r="AQ101" s="438">
        <v>8223</v>
      </c>
      <c r="AR101" s="439">
        <v>796</v>
      </c>
      <c r="AS101" s="440">
        <v>8013</v>
      </c>
      <c r="AT101" s="441">
        <v>625</v>
      </c>
      <c r="AU101" s="440">
        <v>8033</v>
      </c>
      <c r="AV101" s="1538">
        <v>628</v>
      </c>
      <c r="AW101" s="1541">
        <v>7870</v>
      </c>
      <c r="AX101" s="1542">
        <v>502</v>
      </c>
      <c r="AY101" s="1767">
        <v>7582</v>
      </c>
      <c r="AZ101" s="1794">
        <v>403</v>
      </c>
    </row>
    <row r="102" spans="1:52" ht="15" customHeight="1" x14ac:dyDescent="0.25">
      <c r="A102" s="426" t="s">
        <v>52</v>
      </c>
      <c r="B102" s="442" t="s">
        <v>53</v>
      </c>
      <c r="C102" s="190" t="s">
        <v>265</v>
      </c>
      <c r="D102" s="428">
        <f t="shared" si="62"/>
        <v>2.9387331256490134E-2</v>
      </c>
      <c r="E102" s="429">
        <f t="shared" si="63"/>
        <v>3.5909568874868562E-2</v>
      </c>
      <c r="F102" s="430">
        <f t="shared" si="48"/>
        <v>3.8652482269503546E-2</v>
      </c>
      <c r="G102" s="430">
        <f t="shared" si="64"/>
        <v>4.1420720537349888E-2</v>
      </c>
      <c r="H102" s="430">
        <f t="shared" si="65"/>
        <v>4.0241145440844006E-2</v>
      </c>
      <c r="I102" s="430">
        <f t="shared" si="66"/>
        <v>3.764682260817187E-2</v>
      </c>
      <c r="J102" s="430">
        <f t="shared" si="67"/>
        <v>3.195967110415035E-2</v>
      </c>
      <c r="K102" s="430">
        <f t="shared" si="68"/>
        <v>3.0791788856304986E-2</v>
      </c>
      <c r="L102" s="430">
        <f t="shared" si="69"/>
        <v>3.8981336765652297E-2</v>
      </c>
      <c r="M102" s="430">
        <f t="shared" si="70"/>
        <v>6.7033976124885222E-2</v>
      </c>
      <c r="N102" s="430">
        <f t="shared" si="71"/>
        <v>6.4296174263225328E-2</v>
      </c>
      <c r="O102" s="431">
        <f t="shared" si="72"/>
        <v>6.0120149961606216E-2</v>
      </c>
      <c r="P102" s="432">
        <f t="shared" si="73"/>
        <v>5.2534354584365846E-2</v>
      </c>
      <c r="Q102" s="1529">
        <f t="shared" si="74"/>
        <v>4.8701880035810205E-2</v>
      </c>
      <c r="R102" s="1532">
        <f t="shared" si="75"/>
        <v>4.2769434995436818E-2</v>
      </c>
      <c r="S102" s="1788">
        <f t="shared" si="61"/>
        <v>3.6931702758704749E-2</v>
      </c>
      <c r="T102" s="219"/>
      <c r="U102" s="433">
        <v>19260</v>
      </c>
      <c r="V102" s="434">
        <v>566</v>
      </c>
      <c r="W102" s="435">
        <v>19020</v>
      </c>
      <c r="X102" s="436">
        <v>683</v>
      </c>
      <c r="Y102" s="435">
        <v>19740</v>
      </c>
      <c r="Z102" s="436">
        <v>763</v>
      </c>
      <c r="AA102" s="435">
        <v>19652</v>
      </c>
      <c r="AB102" s="436">
        <v>814</v>
      </c>
      <c r="AC102" s="435">
        <v>19905</v>
      </c>
      <c r="AD102" s="436">
        <v>801</v>
      </c>
      <c r="AE102" s="435">
        <v>19922</v>
      </c>
      <c r="AF102" s="436">
        <v>750</v>
      </c>
      <c r="AG102" s="435">
        <v>20432</v>
      </c>
      <c r="AH102" s="436">
        <v>653</v>
      </c>
      <c r="AI102" s="435">
        <v>21142</v>
      </c>
      <c r="AJ102" s="436">
        <v>651</v>
      </c>
      <c r="AK102" s="435">
        <v>21754</v>
      </c>
      <c r="AL102" s="436">
        <v>848</v>
      </c>
      <c r="AM102" s="437">
        <v>21780</v>
      </c>
      <c r="AN102" s="436">
        <v>1460</v>
      </c>
      <c r="AO102" s="435">
        <v>21852</v>
      </c>
      <c r="AP102" s="436">
        <v>1405</v>
      </c>
      <c r="AQ102" s="438">
        <v>22139</v>
      </c>
      <c r="AR102" s="439">
        <v>1331</v>
      </c>
      <c r="AS102" s="440">
        <v>22195</v>
      </c>
      <c r="AT102" s="441">
        <v>1166</v>
      </c>
      <c r="AU102" s="440">
        <v>22340</v>
      </c>
      <c r="AV102" s="1538">
        <v>1088</v>
      </c>
      <c r="AW102" s="1541">
        <v>24106</v>
      </c>
      <c r="AX102" s="1542">
        <v>1031</v>
      </c>
      <c r="AY102" s="1767">
        <v>24613</v>
      </c>
      <c r="AZ102" s="1794">
        <v>909</v>
      </c>
    </row>
    <row r="103" spans="1:52" ht="15" customHeight="1" x14ac:dyDescent="0.25">
      <c r="A103" s="426" t="s">
        <v>54</v>
      </c>
      <c r="B103" s="442" t="s">
        <v>55</v>
      </c>
      <c r="C103" s="190" t="s">
        <v>264</v>
      </c>
      <c r="D103" s="428">
        <f t="shared" si="62"/>
        <v>2.2726805923552487E-2</v>
      </c>
      <c r="E103" s="429">
        <f t="shared" si="63"/>
        <v>2.9324465180920235E-2</v>
      </c>
      <c r="F103" s="430">
        <f t="shared" si="48"/>
        <v>3.6751749968707573E-2</v>
      </c>
      <c r="G103" s="430">
        <f t="shared" si="64"/>
        <v>3.8424699983097638E-2</v>
      </c>
      <c r="H103" s="430">
        <f t="shared" si="65"/>
        <v>3.6383087670531437E-2</v>
      </c>
      <c r="I103" s="430">
        <f t="shared" si="66"/>
        <v>3.5573825921378109E-2</v>
      </c>
      <c r="J103" s="430">
        <f t="shared" si="67"/>
        <v>3.2200232625254704E-2</v>
      </c>
      <c r="K103" s="430">
        <f t="shared" si="68"/>
        <v>3.0347506635495947E-2</v>
      </c>
      <c r="L103" s="430">
        <f t="shared" si="69"/>
        <v>3.8573913341501655E-2</v>
      </c>
      <c r="M103" s="430">
        <f t="shared" si="70"/>
        <v>6.6089959393329401E-2</v>
      </c>
      <c r="N103" s="430">
        <f t="shared" si="71"/>
        <v>7.0252260828177052E-2</v>
      </c>
      <c r="O103" s="431">
        <f t="shared" si="72"/>
        <v>6.6218190466483196E-2</v>
      </c>
      <c r="P103" s="432">
        <f t="shared" si="73"/>
        <v>6.0685793317478788E-2</v>
      </c>
      <c r="Q103" s="1529">
        <f t="shared" si="74"/>
        <v>5.6573077052094863E-2</v>
      </c>
      <c r="R103" s="1532">
        <f t="shared" si="75"/>
        <v>5.2654168383463811E-2</v>
      </c>
      <c r="S103" s="1788">
        <f t="shared" si="61"/>
        <v>4.5472868084084496E-2</v>
      </c>
      <c r="T103" s="219"/>
      <c r="U103" s="433">
        <v>97374</v>
      </c>
      <c r="V103" s="434">
        <v>2213</v>
      </c>
      <c r="W103" s="435">
        <v>100735</v>
      </c>
      <c r="X103" s="436">
        <v>2954</v>
      </c>
      <c r="Y103" s="435">
        <v>103859</v>
      </c>
      <c r="Z103" s="436">
        <v>3817</v>
      </c>
      <c r="AA103" s="435">
        <v>106494</v>
      </c>
      <c r="AB103" s="436">
        <v>4092</v>
      </c>
      <c r="AC103" s="435">
        <v>109364</v>
      </c>
      <c r="AD103" s="436">
        <v>3979</v>
      </c>
      <c r="AE103" s="435">
        <v>112386</v>
      </c>
      <c r="AF103" s="436">
        <v>3998</v>
      </c>
      <c r="AG103" s="435">
        <v>114347</v>
      </c>
      <c r="AH103" s="436">
        <v>3682</v>
      </c>
      <c r="AI103" s="435">
        <v>113782</v>
      </c>
      <c r="AJ103" s="436">
        <v>3453</v>
      </c>
      <c r="AK103" s="435">
        <v>116711</v>
      </c>
      <c r="AL103" s="436">
        <v>4502</v>
      </c>
      <c r="AM103" s="437">
        <v>115252</v>
      </c>
      <c r="AN103" s="436">
        <v>7617</v>
      </c>
      <c r="AO103" s="435">
        <v>115555</v>
      </c>
      <c r="AP103" s="436">
        <v>8118</v>
      </c>
      <c r="AQ103" s="438">
        <v>117732</v>
      </c>
      <c r="AR103" s="439">
        <v>7796</v>
      </c>
      <c r="AS103" s="440">
        <v>118578</v>
      </c>
      <c r="AT103" s="441">
        <v>7196</v>
      </c>
      <c r="AU103" s="440">
        <v>119244</v>
      </c>
      <c r="AV103" s="1538">
        <v>6746</v>
      </c>
      <c r="AW103" s="1541">
        <v>116496</v>
      </c>
      <c r="AX103" s="1542">
        <v>6134</v>
      </c>
      <c r="AY103" s="1767">
        <v>116597</v>
      </c>
      <c r="AZ103" s="1794">
        <v>5302</v>
      </c>
    </row>
    <row r="104" spans="1:52" ht="15" customHeight="1" x14ac:dyDescent="0.25">
      <c r="A104" s="426" t="s">
        <v>66</v>
      </c>
      <c r="B104" s="442" t="s">
        <v>67</v>
      </c>
      <c r="C104" s="190" t="s">
        <v>265</v>
      </c>
      <c r="D104" s="428">
        <f t="shared" si="62"/>
        <v>4.3566219713008704E-2</v>
      </c>
      <c r="E104" s="429">
        <f t="shared" si="63"/>
        <v>6.9532237673830599E-2</v>
      </c>
      <c r="F104" s="430">
        <f t="shared" si="48"/>
        <v>8.5968696929361543E-2</v>
      </c>
      <c r="G104" s="430">
        <f t="shared" si="64"/>
        <v>9.4343049123762832E-2</v>
      </c>
      <c r="H104" s="430">
        <f t="shared" si="65"/>
        <v>9.1992621671475192E-2</v>
      </c>
      <c r="I104" s="430">
        <f t="shared" si="66"/>
        <v>0.10009986209520186</v>
      </c>
      <c r="J104" s="430">
        <f t="shared" si="67"/>
        <v>8.6327370038158477E-2</v>
      </c>
      <c r="K104" s="430">
        <f t="shared" si="68"/>
        <v>7.447621960544426E-2</v>
      </c>
      <c r="L104" s="430">
        <f t="shared" si="69"/>
        <v>9.2485262792886505E-2</v>
      </c>
      <c r="M104" s="430">
        <f t="shared" si="70"/>
        <v>0.13978335064549635</v>
      </c>
      <c r="N104" s="430">
        <f t="shared" si="71"/>
        <v>0.13678528379015775</v>
      </c>
      <c r="O104" s="431">
        <f t="shared" si="72"/>
        <v>0.11826957823550668</v>
      </c>
      <c r="P104" s="432">
        <f t="shared" si="73"/>
        <v>0.10283855396400651</v>
      </c>
      <c r="Q104" s="1529">
        <f t="shared" si="74"/>
        <v>9.5351672231939369E-2</v>
      </c>
      <c r="R104" s="1532">
        <f t="shared" si="75"/>
        <v>8.6740387541848429E-2</v>
      </c>
      <c r="S104" s="1788">
        <f t="shared" si="61"/>
        <v>7.327722251446607E-2</v>
      </c>
      <c r="T104" s="219"/>
      <c r="U104" s="433">
        <v>21255</v>
      </c>
      <c r="V104" s="434">
        <v>926</v>
      </c>
      <c r="W104" s="435">
        <v>21357</v>
      </c>
      <c r="X104" s="436">
        <v>1485</v>
      </c>
      <c r="Y104" s="435">
        <v>21787</v>
      </c>
      <c r="Z104" s="436">
        <v>1873</v>
      </c>
      <c r="AA104" s="435">
        <v>22026</v>
      </c>
      <c r="AB104" s="436">
        <v>2078</v>
      </c>
      <c r="AC104" s="435">
        <v>21143</v>
      </c>
      <c r="AD104" s="436">
        <v>1945</v>
      </c>
      <c r="AE104" s="435">
        <v>21029</v>
      </c>
      <c r="AF104" s="436">
        <v>2105</v>
      </c>
      <c r="AG104" s="435">
        <v>20179</v>
      </c>
      <c r="AH104" s="436">
        <v>1742</v>
      </c>
      <c r="AI104" s="435">
        <v>19617</v>
      </c>
      <c r="AJ104" s="436">
        <v>1461</v>
      </c>
      <c r="AK104" s="435">
        <v>20187</v>
      </c>
      <c r="AL104" s="436">
        <v>1867</v>
      </c>
      <c r="AM104" s="437">
        <v>20217</v>
      </c>
      <c r="AN104" s="436">
        <v>2826</v>
      </c>
      <c r="AO104" s="435">
        <v>19081</v>
      </c>
      <c r="AP104" s="436">
        <v>2610</v>
      </c>
      <c r="AQ104" s="438">
        <v>19371</v>
      </c>
      <c r="AR104" s="439">
        <v>2291</v>
      </c>
      <c r="AS104" s="440">
        <v>19059</v>
      </c>
      <c r="AT104" s="441">
        <v>1960</v>
      </c>
      <c r="AU104" s="440">
        <v>18867</v>
      </c>
      <c r="AV104" s="1538">
        <v>1799</v>
      </c>
      <c r="AW104" s="1541">
        <v>19714</v>
      </c>
      <c r="AX104" s="1542">
        <v>1710</v>
      </c>
      <c r="AY104" s="1767">
        <v>19010</v>
      </c>
      <c r="AZ104" s="1794">
        <v>1393</v>
      </c>
    </row>
    <row r="105" spans="1:52" ht="15" customHeight="1" x14ac:dyDescent="0.25">
      <c r="A105" s="426" t="s">
        <v>82</v>
      </c>
      <c r="B105" s="442" t="s">
        <v>311</v>
      </c>
      <c r="C105" s="190" t="s">
        <v>264</v>
      </c>
      <c r="D105" s="428">
        <f t="shared" si="62"/>
        <v>3.1567080045095827E-2</v>
      </c>
      <c r="E105" s="429">
        <f t="shared" si="63"/>
        <v>4.3576683644595361E-2</v>
      </c>
      <c r="F105" s="430">
        <f t="shared" si="48"/>
        <v>4.7873838355392849E-2</v>
      </c>
      <c r="G105" s="430">
        <f t="shared" si="64"/>
        <v>4.8734518039849219E-2</v>
      </c>
      <c r="H105" s="430">
        <f t="shared" si="65"/>
        <v>4.9175898405836263E-2</v>
      </c>
      <c r="I105" s="430">
        <f t="shared" si="66"/>
        <v>5.1240992794235385E-2</v>
      </c>
      <c r="J105" s="430">
        <f t="shared" si="67"/>
        <v>4.6829781636411473E-2</v>
      </c>
      <c r="K105" s="430">
        <f t="shared" si="68"/>
        <v>4.6350832266325227E-2</v>
      </c>
      <c r="L105" s="430">
        <f t="shared" si="69"/>
        <v>6.2689585439838214E-2</v>
      </c>
      <c r="M105" s="430">
        <f t="shared" si="70"/>
        <v>0.10474507824331146</v>
      </c>
      <c r="N105" s="430">
        <f t="shared" si="71"/>
        <v>0.11448166710630441</v>
      </c>
      <c r="O105" s="431">
        <f t="shared" si="72"/>
        <v>0.10585763068032572</v>
      </c>
      <c r="P105" s="432">
        <f t="shared" si="73"/>
        <v>9.5124536301006896E-2</v>
      </c>
      <c r="Q105" s="1529">
        <f t="shared" si="74"/>
        <v>8.6254107338444685E-2</v>
      </c>
      <c r="R105" s="1532">
        <f t="shared" si="75"/>
        <v>7.9005524861878451E-2</v>
      </c>
      <c r="S105" s="1788">
        <f t="shared" si="61"/>
        <v>6.7344694887300716E-2</v>
      </c>
      <c r="T105" s="219"/>
      <c r="U105" s="433">
        <v>3548</v>
      </c>
      <c r="V105" s="434">
        <v>112</v>
      </c>
      <c r="W105" s="435">
        <v>3534</v>
      </c>
      <c r="X105" s="436">
        <v>154</v>
      </c>
      <c r="Y105" s="435">
        <v>3551</v>
      </c>
      <c r="Z105" s="436">
        <v>170</v>
      </c>
      <c r="AA105" s="435">
        <v>3714</v>
      </c>
      <c r="AB105" s="436">
        <v>181</v>
      </c>
      <c r="AC105" s="435">
        <v>3701</v>
      </c>
      <c r="AD105" s="436">
        <v>182</v>
      </c>
      <c r="AE105" s="435">
        <v>3747</v>
      </c>
      <c r="AF105" s="436">
        <v>192</v>
      </c>
      <c r="AG105" s="435">
        <v>3801</v>
      </c>
      <c r="AH105" s="436">
        <v>178</v>
      </c>
      <c r="AI105" s="435">
        <v>3905</v>
      </c>
      <c r="AJ105" s="436">
        <v>181</v>
      </c>
      <c r="AK105" s="435">
        <v>3956</v>
      </c>
      <c r="AL105" s="436">
        <v>248</v>
      </c>
      <c r="AM105" s="437">
        <v>3962</v>
      </c>
      <c r="AN105" s="436">
        <v>415</v>
      </c>
      <c r="AO105" s="435">
        <v>3791</v>
      </c>
      <c r="AP105" s="436">
        <v>434</v>
      </c>
      <c r="AQ105" s="438">
        <v>3807</v>
      </c>
      <c r="AR105" s="439">
        <v>403</v>
      </c>
      <c r="AS105" s="440">
        <v>3774</v>
      </c>
      <c r="AT105" s="441">
        <v>359</v>
      </c>
      <c r="AU105" s="440">
        <v>3652</v>
      </c>
      <c r="AV105" s="1538">
        <v>315</v>
      </c>
      <c r="AW105" s="1541">
        <v>3620</v>
      </c>
      <c r="AX105" s="1542">
        <v>286</v>
      </c>
      <c r="AY105" s="1767">
        <v>3638</v>
      </c>
      <c r="AZ105" s="1794">
        <v>245</v>
      </c>
    </row>
    <row r="106" spans="1:52" ht="15" customHeight="1" x14ac:dyDescent="0.25">
      <c r="A106" s="426" t="s">
        <v>88</v>
      </c>
      <c r="B106" s="442" t="s">
        <v>89</v>
      </c>
      <c r="C106" s="190" t="s">
        <v>267</v>
      </c>
      <c r="D106" s="428">
        <f t="shared" si="62"/>
        <v>2.2900019489378289E-2</v>
      </c>
      <c r="E106" s="429">
        <f t="shared" si="63"/>
        <v>3.5592255125284737E-2</v>
      </c>
      <c r="F106" s="430">
        <f t="shared" si="48"/>
        <v>5.4172086972681659E-2</v>
      </c>
      <c r="G106" s="430">
        <f t="shared" si="64"/>
        <v>5.225409836065574E-2</v>
      </c>
      <c r="H106" s="430">
        <f t="shared" si="65"/>
        <v>4.7491757996970509E-2</v>
      </c>
      <c r="I106" s="430">
        <f t="shared" si="66"/>
        <v>4.409420931468036E-2</v>
      </c>
      <c r="J106" s="430">
        <f t="shared" si="67"/>
        <v>3.9286326985760851E-2</v>
      </c>
      <c r="K106" s="430">
        <f t="shared" si="68"/>
        <v>4.5189975747776882E-2</v>
      </c>
      <c r="L106" s="430">
        <f t="shared" si="69"/>
        <v>6.0472998998536323E-2</v>
      </c>
      <c r="M106" s="430">
        <f t="shared" si="70"/>
        <v>9.7046413502109699E-2</v>
      </c>
      <c r="N106" s="430">
        <f t="shared" si="71"/>
        <v>7.2269929325936622E-2</v>
      </c>
      <c r="O106" s="431">
        <f t="shared" si="72"/>
        <v>6.5869126549437884E-2</v>
      </c>
      <c r="P106" s="432">
        <f t="shared" si="73"/>
        <v>5.8394662631542749E-2</v>
      </c>
      <c r="Q106" s="1529">
        <f t="shared" si="74"/>
        <v>5.5574543714539612E-2</v>
      </c>
      <c r="R106" s="1532">
        <f t="shared" si="75"/>
        <v>5.9866801795280151E-2</v>
      </c>
      <c r="S106" s="1788">
        <f t="shared" si="61"/>
        <v>5.3147159880108194E-2</v>
      </c>
      <c r="T106" s="219"/>
      <c r="U106" s="433">
        <v>10262</v>
      </c>
      <c r="V106" s="434">
        <v>235</v>
      </c>
      <c r="W106" s="435">
        <v>10536</v>
      </c>
      <c r="X106" s="436">
        <v>375</v>
      </c>
      <c r="Y106" s="435">
        <v>10762</v>
      </c>
      <c r="Z106" s="436">
        <v>583</v>
      </c>
      <c r="AA106" s="435">
        <v>10736</v>
      </c>
      <c r="AB106" s="436">
        <v>561</v>
      </c>
      <c r="AC106" s="435">
        <v>11223</v>
      </c>
      <c r="AD106" s="436">
        <v>533</v>
      </c>
      <c r="AE106" s="435">
        <v>11294</v>
      </c>
      <c r="AF106" s="436">
        <v>498</v>
      </c>
      <c r="AG106" s="435">
        <v>11658</v>
      </c>
      <c r="AH106" s="436">
        <v>458</v>
      </c>
      <c r="AI106" s="435">
        <v>12370</v>
      </c>
      <c r="AJ106" s="436">
        <v>559</v>
      </c>
      <c r="AK106" s="435">
        <v>12981</v>
      </c>
      <c r="AL106" s="436">
        <v>785</v>
      </c>
      <c r="AM106" s="437">
        <v>13035</v>
      </c>
      <c r="AN106" s="436">
        <v>1265</v>
      </c>
      <c r="AO106" s="435">
        <v>13159</v>
      </c>
      <c r="AP106" s="436">
        <v>951</v>
      </c>
      <c r="AQ106" s="438">
        <v>13876</v>
      </c>
      <c r="AR106" s="439">
        <v>914</v>
      </c>
      <c r="AS106" s="440">
        <v>14539</v>
      </c>
      <c r="AT106" s="441">
        <v>849</v>
      </c>
      <c r="AU106" s="440">
        <v>14629</v>
      </c>
      <c r="AV106" s="1538">
        <v>813</v>
      </c>
      <c r="AW106" s="1541">
        <v>13814</v>
      </c>
      <c r="AX106" s="1542">
        <v>827</v>
      </c>
      <c r="AY106" s="1767">
        <v>13679</v>
      </c>
      <c r="AZ106" s="1794">
        <v>727</v>
      </c>
    </row>
    <row r="107" spans="1:52" ht="15" customHeight="1" x14ac:dyDescent="0.25">
      <c r="A107" s="426" t="s">
        <v>90</v>
      </c>
      <c r="B107" s="442" t="s">
        <v>91</v>
      </c>
      <c r="C107" s="190" t="s">
        <v>268</v>
      </c>
      <c r="D107" s="428">
        <f t="shared" si="62"/>
        <v>3.4703196347031964E-2</v>
      </c>
      <c r="E107" s="429">
        <f t="shared" si="63"/>
        <v>6.019539867633155E-2</v>
      </c>
      <c r="F107" s="430">
        <f t="shared" si="48"/>
        <v>8.008526187576126E-2</v>
      </c>
      <c r="G107" s="430">
        <f t="shared" si="64"/>
        <v>6.3804052010886E-2</v>
      </c>
      <c r="H107" s="430">
        <f t="shared" si="65"/>
        <v>5.520702634880803E-2</v>
      </c>
      <c r="I107" s="430">
        <f t="shared" si="66"/>
        <v>5.0814956855225309E-2</v>
      </c>
      <c r="J107" s="430">
        <f t="shared" si="67"/>
        <v>6.025683240039513E-2</v>
      </c>
      <c r="K107" s="430">
        <f t="shared" si="68"/>
        <v>5.6913183279742763E-2</v>
      </c>
      <c r="L107" s="430">
        <f t="shared" si="69"/>
        <v>6.1263560944479899E-2</v>
      </c>
      <c r="M107" s="430">
        <f t="shared" si="70"/>
        <v>0.10040036957191253</v>
      </c>
      <c r="N107" s="430">
        <f t="shared" si="71"/>
        <v>0.11121524523586379</v>
      </c>
      <c r="O107" s="431">
        <f t="shared" si="72"/>
        <v>0.10094936708860759</v>
      </c>
      <c r="P107" s="432">
        <f t="shared" si="73"/>
        <v>8.7131367292225204E-2</v>
      </c>
      <c r="Q107" s="1529">
        <f t="shared" si="74"/>
        <v>8.5438829787234036E-2</v>
      </c>
      <c r="R107" s="1532">
        <f t="shared" si="75"/>
        <v>7.2048032021347561E-2</v>
      </c>
      <c r="S107" s="1788">
        <f t="shared" si="61"/>
        <v>5.4956169925826026E-2</v>
      </c>
      <c r="T107" s="219"/>
      <c r="U107" s="433">
        <v>3285</v>
      </c>
      <c r="V107" s="434">
        <v>114</v>
      </c>
      <c r="W107" s="435">
        <v>3173</v>
      </c>
      <c r="X107" s="436">
        <v>191</v>
      </c>
      <c r="Y107" s="435">
        <v>3284</v>
      </c>
      <c r="Z107" s="436">
        <v>263</v>
      </c>
      <c r="AA107" s="435">
        <v>3307</v>
      </c>
      <c r="AB107" s="436">
        <v>211</v>
      </c>
      <c r="AC107" s="435">
        <v>3188</v>
      </c>
      <c r="AD107" s="436">
        <v>176</v>
      </c>
      <c r="AE107" s="435">
        <v>3129</v>
      </c>
      <c r="AF107" s="436">
        <v>159</v>
      </c>
      <c r="AG107" s="435">
        <v>3037</v>
      </c>
      <c r="AH107" s="436">
        <v>183</v>
      </c>
      <c r="AI107" s="435">
        <v>3110</v>
      </c>
      <c r="AJ107" s="436">
        <v>177</v>
      </c>
      <c r="AK107" s="435">
        <v>3134</v>
      </c>
      <c r="AL107" s="436">
        <v>192</v>
      </c>
      <c r="AM107" s="437">
        <v>3247</v>
      </c>
      <c r="AN107" s="436">
        <v>326</v>
      </c>
      <c r="AO107" s="435">
        <v>3201</v>
      </c>
      <c r="AP107" s="436">
        <v>356</v>
      </c>
      <c r="AQ107" s="438">
        <v>3160</v>
      </c>
      <c r="AR107" s="439">
        <v>319</v>
      </c>
      <c r="AS107" s="440">
        <v>2984</v>
      </c>
      <c r="AT107" s="441">
        <v>260</v>
      </c>
      <c r="AU107" s="440">
        <v>3008</v>
      </c>
      <c r="AV107" s="1538">
        <v>257</v>
      </c>
      <c r="AW107" s="1541">
        <v>2998</v>
      </c>
      <c r="AX107" s="1542">
        <v>216</v>
      </c>
      <c r="AY107" s="1767">
        <v>2966</v>
      </c>
      <c r="AZ107" s="1794">
        <v>163</v>
      </c>
    </row>
    <row r="108" spans="1:52" ht="15" customHeight="1" x14ac:dyDescent="0.25">
      <c r="A108" s="426" t="s">
        <v>106</v>
      </c>
      <c r="B108" s="442" t="s">
        <v>107</v>
      </c>
      <c r="C108" s="190" t="s">
        <v>264</v>
      </c>
      <c r="D108" s="428">
        <f t="shared" si="62"/>
        <v>2.6882897535343425E-2</v>
      </c>
      <c r="E108" s="429">
        <f t="shared" si="63"/>
        <v>3.4860542378119447E-2</v>
      </c>
      <c r="F108" s="430">
        <f t="shared" si="48"/>
        <v>4.8358091668807522E-2</v>
      </c>
      <c r="G108" s="430">
        <f t="shared" si="64"/>
        <v>4.8798437969360169E-2</v>
      </c>
      <c r="H108" s="430">
        <f t="shared" si="65"/>
        <v>4.6526670477451189E-2</v>
      </c>
      <c r="I108" s="430">
        <f t="shared" si="66"/>
        <v>4.445039895200667E-2</v>
      </c>
      <c r="J108" s="430">
        <f t="shared" si="67"/>
        <v>3.666627000654489E-2</v>
      </c>
      <c r="K108" s="430">
        <f t="shared" si="68"/>
        <v>3.5885097268272645E-2</v>
      </c>
      <c r="L108" s="430">
        <f t="shared" si="69"/>
        <v>4.750299237125593E-2</v>
      </c>
      <c r="M108" s="430">
        <f t="shared" si="70"/>
        <v>8.1161523425931414E-2</v>
      </c>
      <c r="N108" s="430">
        <f t="shared" si="71"/>
        <v>8.8086844434781264E-2</v>
      </c>
      <c r="O108" s="431">
        <f t="shared" si="72"/>
        <v>8.5893767881577307E-2</v>
      </c>
      <c r="P108" s="432">
        <f t="shared" si="73"/>
        <v>7.730294099203612E-2</v>
      </c>
      <c r="Q108" s="1529">
        <f t="shared" si="74"/>
        <v>6.9600738735072706E-2</v>
      </c>
      <c r="R108" s="1532">
        <f t="shared" si="75"/>
        <v>6.6941156808824204E-2</v>
      </c>
      <c r="S108" s="1788">
        <f t="shared" si="61"/>
        <v>5.9715465246550747E-2</v>
      </c>
      <c r="T108" s="219"/>
      <c r="U108" s="433">
        <v>63944</v>
      </c>
      <c r="V108" s="434">
        <v>1719</v>
      </c>
      <c r="W108" s="435">
        <v>64715</v>
      </c>
      <c r="X108" s="436">
        <v>2256</v>
      </c>
      <c r="Y108" s="435">
        <v>66173</v>
      </c>
      <c r="Z108" s="436">
        <v>3200</v>
      </c>
      <c r="AA108" s="435">
        <v>66580</v>
      </c>
      <c r="AB108" s="436">
        <v>3249</v>
      </c>
      <c r="AC108" s="435">
        <v>66478</v>
      </c>
      <c r="AD108" s="436">
        <v>3093</v>
      </c>
      <c r="AE108" s="435">
        <v>67176</v>
      </c>
      <c r="AF108" s="436">
        <v>2986</v>
      </c>
      <c r="AG108" s="435">
        <v>67228</v>
      </c>
      <c r="AH108" s="436">
        <v>2465</v>
      </c>
      <c r="AI108" s="435">
        <v>68162</v>
      </c>
      <c r="AJ108" s="436">
        <v>2446</v>
      </c>
      <c r="AK108" s="435">
        <v>69343</v>
      </c>
      <c r="AL108" s="436">
        <v>3294</v>
      </c>
      <c r="AM108" s="437">
        <v>67532</v>
      </c>
      <c r="AN108" s="436">
        <v>5481</v>
      </c>
      <c r="AO108" s="435">
        <v>64391</v>
      </c>
      <c r="AP108" s="436">
        <v>5672</v>
      </c>
      <c r="AQ108" s="438">
        <v>64312</v>
      </c>
      <c r="AR108" s="439">
        <v>5524</v>
      </c>
      <c r="AS108" s="440">
        <v>63788</v>
      </c>
      <c r="AT108" s="441">
        <v>4931</v>
      </c>
      <c r="AU108" s="440">
        <v>63893</v>
      </c>
      <c r="AV108" s="1538">
        <v>4447</v>
      </c>
      <c r="AW108" s="1541">
        <v>65819</v>
      </c>
      <c r="AX108" s="1542">
        <v>4406</v>
      </c>
      <c r="AY108" s="1767">
        <v>65159</v>
      </c>
      <c r="AZ108" s="1794">
        <v>3891</v>
      </c>
    </row>
    <row r="109" spans="1:52" ht="15" customHeight="1" x14ac:dyDescent="0.25">
      <c r="A109" s="426" t="s">
        <v>116</v>
      </c>
      <c r="B109" s="442" t="s">
        <v>117</v>
      </c>
      <c r="C109" s="190" t="s">
        <v>266</v>
      </c>
      <c r="D109" s="428">
        <f t="shared" si="62"/>
        <v>2.8329766636094975E-2</v>
      </c>
      <c r="E109" s="429">
        <f t="shared" si="63"/>
        <v>4.6310278868418403E-2</v>
      </c>
      <c r="F109" s="430">
        <f t="shared" si="48"/>
        <v>6.1546036435253568E-2</v>
      </c>
      <c r="G109" s="430">
        <f t="shared" si="64"/>
        <v>6.3152709359605916E-2</v>
      </c>
      <c r="H109" s="430">
        <f t="shared" si="65"/>
        <v>5.4840294840294838E-2</v>
      </c>
      <c r="I109" s="430">
        <f t="shared" si="66"/>
        <v>5.6780808667053588E-2</v>
      </c>
      <c r="J109" s="430">
        <f t="shared" si="67"/>
        <v>4.619565217391304E-2</v>
      </c>
      <c r="K109" s="430">
        <f t="shared" si="68"/>
        <v>4.6981804178299801E-2</v>
      </c>
      <c r="L109" s="430">
        <f t="shared" si="69"/>
        <v>5.9793814432989693E-2</v>
      </c>
      <c r="M109" s="430">
        <f t="shared" si="70"/>
        <v>0.10801886792452831</v>
      </c>
      <c r="N109" s="430">
        <f t="shared" si="71"/>
        <v>0.10805230557467309</v>
      </c>
      <c r="O109" s="431">
        <f t="shared" si="72"/>
        <v>0.10347174948944861</v>
      </c>
      <c r="P109" s="432">
        <f t="shared" si="73"/>
        <v>8.3732057416267949E-2</v>
      </c>
      <c r="Q109" s="1529">
        <f t="shared" si="74"/>
        <v>8.5102201257861637E-2</v>
      </c>
      <c r="R109" s="1532">
        <f t="shared" si="75"/>
        <v>8.661740558292283E-2</v>
      </c>
      <c r="S109" s="1788">
        <f t="shared" si="61"/>
        <v>7.5131402658971447E-2</v>
      </c>
      <c r="T109" s="219"/>
      <c r="U109" s="433">
        <v>9813</v>
      </c>
      <c r="V109" s="434">
        <v>278</v>
      </c>
      <c r="W109" s="435">
        <v>9933</v>
      </c>
      <c r="X109" s="436">
        <v>460</v>
      </c>
      <c r="Y109" s="435">
        <v>10155</v>
      </c>
      <c r="Z109" s="436">
        <v>625</v>
      </c>
      <c r="AA109" s="435">
        <v>10150</v>
      </c>
      <c r="AB109" s="436">
        <v>641</v>
      </c>
      <c r="AC109" s="435">
        <v>10175</v>
      </c>
      <c r="AD109" s="436">
        <v>558</v>
      </c>
      <c r="AE109" s="435">
        <v>10338</v>
      </c>
      <c r="AF109" s="436">
        <v>587</v>
      </c>
      <c r="AG109" s="435">
        <v>10304</v>
      </c>
      <c r="AH109" s="436">
        <v>476</v>
      </c>
      <c r="AI109" s="435">
        <v>10387</v>
      </c>
      <c r="AJ109" s="436">
        <v>488</v>
      </c>
      <c r="AK109" s="435">
        <v>10670</v>
      </c>
      <c r="AL109" s="436">
        <v>638</v>
      </c>
      <c r="AM109" s="437">
        <v>10600</v>
      </c>
      <c r="AN109" s="436">
        <v>1145</v>
      </c>
      <c r="AO109" s="435">
        <v>10171</v>
      </c>
      <c r="AP109" s="436">
        <v>1099</v>
      </c>
      <c r="AQ109" s="438">
        <v>10283</v>
      </c>
      <c r="AR109" s="439">
        <v>1064</v>
      </c>
      <c r="AS109" s="440">
        <v>10032</v>
      </c>
      <c r="AT109" s="441">
        <v>840</v>
      </c>
      <c r="AU109" s="440">
        <v>10176</v>
      </c>
      <c r="AV109" s="1538">
        <v>866</v>
      </c>
      <c r="AW109" s="1541">
        <v>9744</v>
      </c>
      <c r="AX109" s="1542">
        <v>844</v>
      </c>
      <c r="AY109" s="1767">
        <v>9703</v>
      </c>
      <c r="AZ109" s="1794">
        <v>729</v>
      </c>
    </row>
    <row r="110" spans="1:52" ht="15" customHeight="1" x14ac:dyDescent="0.25">
      <c r="A110" s="426" t="s">
        <v>138</v>
      </c>
      <c r="B110" s="442" t="s">
        <v>139</v>
      </c>
      <c r="C110" s="190" t="s">
        <v>265</v>
      </c>
      <c r="D110" s="428">
        <f t="shared" si="62"/>
        <v>2.4182216267442241E-2</v>
      </c>
      <c r="E110" s="429">
        <f t="shared" si="63"/>
        <v>4.1346089516290895E-2</v>
      </c>
      <c r="F110" s="430">
        <f t="shared" si="48"/>
        <v>5.8576444721556785E-2</v>
      </c>
      <c r="G110" s="430">
        <f t="shared" si="64"/>
        <v>5.5768179332968834E-2</v>
      </c>
      <c r="H110" s="430">
        <f t="shared" si="65"/>
        <v>5.013676588897828E-2</v>
      </c>
      <c r="I110" s="430">
        <f t="shared" si="66"/>
        <v>4.5067107690350487E-2</v>
      </c>
      <c r="J110" s="430">
        <f t="shared" si="67"/>
        <v>3.6199236593454726E-2</v>
      </c>
      <c r="K110" s="430">
        <f t="shared" si="68"/>
        <v>3.7760105237981345E-2</v>
      </c>
      <c r="L110" s="430">
        <f t="shared" si="69"/>
        <v>4.7854644715516509E-2</v>
      </c>
      <c r="M110" s="430">
        <f t="shared" si="70"/>
        <v>8.356689355373792E-2</v>
      </c>
      <c r="N110" s="430">
        <f t="shared" si="71"/>
        <v>8.5977658444131758E-2</v>
      </c>
      <c r="O110" s="431">
        <f t="shared" si="72"/>
        <v>8.1041720209029389E-2</v>
      </c>
      <c r="P110" s="432">
        <f t="shared" si="73"/>
        <v>7.4948989855447304E-2</v>
      </c>
      <c r="Q110" s="1529">
        <f t="shared" si="74"/>
        <v>7.1050968223869443E-2</v>
      </c>
      <c r="R110" s="1532">
        <f t="shared" si="75"/>
        <v>6.3496036712557366E-2</v>
      </c>
      <c r="S110" s="1788">
        <f t="shared" si="61"/>
        <v>5.5595970900951315E-2</v>
      </c>
      <c r="T110" s="219"/>
      <c r="U110" s="433">
        <v>30601</v>
      </c>
      <c r="V110" s="434">
        <v>740</v>
      </c>
      <c r="W110" s="435">
        <v>29894</v>
      </c>
      <c r="X110" s="436">
        <v>1236</v>
      </c>
      <c r="Y110" s="435">
        <v>30473</v>
      </c>
      <c r="Z110" s="436">
        <v>1785</v>
      </c>
      <c r="AA110" s="435">
        <v>31093</v>
      </c>
      <c r="AB110" s="436">
        <v>1734</v>
      </c>
      <c r="AC110" s="435">
        <v>31075</v>
      </c>
      <c r="AD110" s="436">
        <v>1558</v>
      </c>
      <c r="AE110" s="435">
        <v>31442</v>
      </c>
      <c r="AF110" s="436">
        <v>1417</v>
      </c>
      <c r="AG110" s="435">
        <v>31962</v>
      </c>
      <c r="AH110" s="436">
        <v>1157</v>
      </c>
      <c r="AI110" s="435">
        <v>33448</v>
      </c>
      <c r="AJ110" s="436">
        <v>1263</v>
      </c>
      <c r="AK110" s="435">
        <v>35169</v>
      </c>
      <c r="AL110" s="436">
        <v>1683</v>
      </c>
      <c r="AM110" s="437">
        <v>34966</v>
      </c>
      <c r="AN110" s="436">
        <v>2922</v>
      </c>
      <c r="AO110" s="435">
        <v>34823</v>
      </c>
      <c r="AP110" s="436">
        <v>2994</v>
      </c>
      <c r="AQ110" s="438">
        <v>35019</v>
      </c>
      <c r="AR110" s="439">
        <v>2838</v>
      </c>
      <c r="AS110" s="440">
        <v>34797</v>
      </c>
      <c r="AT110" s="441">
        <v>2608</v>
      </c>
      <c r="AU110" s="440">
        <v>34806</v>
      </c>
      <c r="AV110" s="1538">
        <v>2473</v>
      </c>
      <c r="AW110" s="1541">
        <v>35955</v>
      </c>
      <c r="AX110" s="1542">
        <v>2283</v>
      </c>
      <c r="AY110" s="1767">
        <v>35740</v>
      </c>
      <c r="AZ110" s="1794">
        <v>1987</v>
      </c>
    </row>
    <row r="111" spans="1:52" ht="15" customHeight="1" x14ac:dyDescent="0.25">
      <c r="A111" s="426" t="s">
        <v>142</v>
      </c>
      <c r="B111" s="442" t="s">
        <v>143</v>
      </c>
      <c r="C111" s="190" t="s">
        <v>267</v>
      </c>
      <c r="D111" s="428">
        <f t="shared" si="62"/>
        <v>1.6701461377870562E-2</v>
      </c>
      <c r="E111" s="429">
        <f t="shared" si="63"/>
        <v>3.1484794275491952E-2</v>
      </c>
      <c r="F111" s="430">
        <f t="shared" si="48"/>
        <v>4.3036072144288576E-2</v>
      </c>
      <c r="G111" s="430">
        <f t="shared" si="64"/>
        <v>3.4189743077076874E-2</v>
      </c>
      <c r="H111" s="430">
        <f t="shared" si="65"/>
        <v>3.0415466484401698E-2</v>
      </c>
      <c r="I111" s="430">
        <f t="shared" si="66"/>
        <v>2.8420644911397307E-2</v>
      </c>
      <c r="J111" s="430">
        <f t="shared" si="67"/>
        <v>2.5968266482704248E-2</v>
      </c>
      <c r="K111" s="430">
        <f t="shared" si="68"/>
        <v>2.9320595558717414E-2</v>
      </c>
      <c r="L111" s="430">
        <f t="shared" si="69"/>
        <v>4.2238805970149257E-2</v>
      </c>
      <c r="M111" s="430">
        <f t="shared" si="70"/>
        <v>7.5832846288720043E-2</v>
      </c>
      <c r="N111" s="430">
        <f t="shared" si="71"/>
        <v>6.3923868114966836E-2</v>
      </c>
      <c r="O111" s="431">
        <f t="shared" si="72"/>
        <v>5.5534901013105306E-2</v>
      </c>
      <c r="P111" s="432">
        <f t="shared" si="73"/>
        <v>5.1706120223544913E-2</v>
      </c>
      <c r="Q111" s="1529">
        <f t="shared" si="74"/>
        <v>5.0660296570063552E-2</v>
      </c>
      <c r="R111" s="1532">
        <f t="shared" si="75"/>
        <v>4.9395432154052843E-2</v>
      </c>
      <c r="S111" s="1788">
        <f t="shared" si="61"/>
        <v>4.1336532802100784E-2</v>
      </c>
      <c r="T111" s="219"/>
      <c r="U111" s="433">
        <v>19160</v>
      </c>
      <c r="V111" s="434">
        <v>320</v>
      </c>
      <c r="W111" s="435">
        <v>19565</v>
      </c>
      <c r="X111" s="436">
        <v>616</v>
      </c>
      <c r="Y111" s="435">
        <v>19960</v>
      </c>
      <c r="Z111" s="436">
        <v>859</v>
      </c>
      <c r="AA111" s="435">
        <v>20006</v>
      </c>
      <c r="AB111" s="436">
        <v>684</v>
      </c>
      <c r="AC111" s="435">
        <v>20483</v>
      </c>
      <c r="AD111" s="436">
        <v>623</v>
      </c>
      <c r="AE111" s="435">
        <v>20654</v>
      </c>
      <c r="AF111" s="436">
        <v>587</v>
      </c>
      <c r="AG111" s="435">
        <v>20294</v>
      </c>
      <c r="AH111" s="436">
        <v>527</v>
      </c>
      <c r="AI111" s="435">
        <v>19679</v>
      </c>
      <c r="AJ111" s="436">
        <v>577</v>
      </c>
      <c r="AK111" s="435">
        <v>20100</v>
      </c>
      <c r="AL111" s="436">
        <v>849</v>
      </c>
      <c r="AM111" s="437">
        <v>20532</v>
      </c>
      <c r="AN111" s="436">
        <v>1557</v>
      </c>
      <c r="AO111" s="435">
        <v>20806</v>
      </c>
      <c r="AP111" s="436">
        <v>1330</v>
      </c>
      <c r="AQ111" s="438">
        <v>21518</v>
      </c>
      <c r="AR111" s="439">
        <v>1195</v>
      </c>
      <c r="AS111" s="440">
        <v>22009</v>
      </c>
      <c r="AT111" s="441">
        <v>1138</v>
      </c>
      <c r="AU111" s="440">
        <v>22187</v>
      </c>
      <c r="AV111" s="1538">
        <v>1124</v>
      </c>
      <c r="AW111" s="1541">
        <v>22330</v>
      </c>
      <c r="AX111" s="1542">
        <v>1103</v>
      </c>
      <c r="AY111" s="1767">
        <v>22087</v>
      </c>
      <c r="AZ111" s="1794">
        <v>913</v>
      </c>
    </row>
    <row r="112" spans="1:52" ht="15" customHeight="1" x14ac:dyDescent="0.25">
      <c r="A112" s="426" t="s">
        <v>144</v>
      </c>
      <c r="B112" s="442" t="s">
        <v>145</v>
      </c>
      <c r="C112" s="190" t="s">
        <v>267</v>
      </c>
      <c r="D112" s="428">
        <f t="shared" si="62"/>
        <v>1.3898540653231411E-2</v>
      </c>
      <c r="E112" s="429">
        <f t="shared" si="63"/>
        <v>1.8087422542287724E-2</v>
      </c>
      <c r="F112" s="430">
        <f t="shared" si="48"/>
        <v>2.7621567978828979E-2</v>
      </c>
      <c r="G112" s="430">
        <f t="shared" si="64"/>
        <v>2.6459401356044319E-2</v>
      </c>
      <c r="H112" s="430">
        <f t="shared" si="65"/>
        <v>2.6980661260137241E-2</v>
      </c>
      <c r="I112" s="430">
        <f t="shared" si="66"/>
        <v>2.4839987808594942E-2</v>
      </c>
      <c r="J112" s="430">
        <f t="shared" si="67"/>
        <v>2.2922636103151862E-2</v>
      </c>
      <c r="K112" s="430">
        <f t="shared" si="68"/>
        <v>2.5578189615561343E-2</v>
      </c>
      <c r="L112" s="430">
        <f t="shared" si="69"/>
        <v>3.7505648441030277E-2</v>
      </c>
      <c r="M112" s="430">
        <f t="shared" si="70"/>
        <v>6.2717770034843204E-2</v>
      </c>
      <c r="N112" s="430">
        <f t="shared" si="71"/>
        <v>6.1075322101090186E-2</v>
      </c>
      <c r="O112" s="431">
        <f t="shared" si="72"/>
        <v>5.451388888888889E-2</v>
      </c>
      <c r="P112" s="432">
        <f t="shared" si="73"/>
        <v>5.031803725579282E-2</v>
      </c>
      <c r="Q112" s="1529">
        <f t="shared" si="74"/>
        <v>4.7092038396386225E-2</v>
      </c>
      <c r="R112" s="1532">
        <f t="shared" si="75"/>
        <v>4.5294983580568451E-2</v>
      </c>
      <c r="S112" s="1788">
        <f t="shared" si="61"/>
        <v>4.1880969875091843E-2</v>
      </c>
      <c r="T112" s="219"/>
      <c r="U112" s="433">
        <v>5756</v>
      </c>
      <c r="V112" s="434">
        <v>80</v>
      </c>
      <c r="W112" s="435">
        <v>5971</v>
      </c>
      <c r="X112" s="436">
        <v>108</v>
      </c>
      <c r="Y112" s="435">
        <v>6046</v>
      </c>
      <c r="Z112" s="436">
        <v>167</v>
      </c>
      <c r="AA112" s="435">
        <v>6047</v>
      </c>
      <c r="AB112" s="436">
        <v>160</v>
      </c>
      <c r="AC112" s="435">
        <v>6412</v>
      </c>
      <c r="AD112" s="436">
        <v>173</v>
      </c>
      <c r="AE112" s="435">
        <v>6562</v>
      </c>
      <c r="AF112" s="436">
        <v>163</v>
      </c>
      <c r="AG112" s="435">
        <v>6631</v>
      </c>
      <c r="AH112" s="436">
        <v>152</v>
      </c>
      <c r="AI112" s="435">
        <v>6529</v>
      </c>
      <c r="AJ112" s="436">
        <v>167</v>
      </c>
      <c r="AK112" s="435">
        <v>6639</v>
      </c>
      <c r="AL112" s="436">
        <v>249</v>
      </c>
      <c r="AM112" s="437">
        <v>6888</v>
      </c>
      <c r="AN112" s="436">
        <v>432</v>
      </c>
      <c r="AO112" s="435">
        <v>8072</v>
      </c>
      <c r="AP112" s="436">
        <v>493</v>
      </c>
      <c r="AQ112" s="438">
        <v>8640</v>
      </c>
      <c r="AR112" s="439">
        <v>471</v>
      </c>
      <c r="AS112" s="440">
        <v>8804</v>
      </c>
      <c r="AT112" s="441">
        <v>443</v>
      </c>
      <c r="AU112" s="440">
        <v>8855</v>
      </c>
      <c r="AV112" s="1538">
        <v>417</v>
      </c>
      <c r="AW112" s="1541">
        <v>8831</v>
      </c>
      <c r="AX112" s="1542">
        <v>400</v>
      </c>
      <c r="AY112" s="1767">
        <v>8166</v>
      </c>
      <c r="AZ112" s="1794">
        <v>342</v>
      </c>
    </row>
    <row r="113" spans="1:52" ht="15" customHeight="1" x14ac:dyDescent="0.25">
      <c r="A113" s="426" t="s">
        <v>158</v>
      </c>
      <c r="B113" s="442" t="s">
        <v>159</v>
      </c>
      <c r="C113" s="190" t="s">
        <v>264</v>
      </c>
      <c r="D113" s="428">
        <f t="shared" si="62"/>
        <v>2.5916484583636806E-2</v>
      </c>
      <c r="E113" s="429">
        <f t="shared" si="63"/>
        <v>3.5431802727175117E-2</v>
      </c>
      <c r="F113" s="430">
        <f t="shared" si="48"/>
        <v>4.5563857109502684E-2</v>
      </c>
      <c r="G113" s="430">
        <f t="shared" si="64"/>
        <v>4.7292310530928548E-2</v>
      </c>
      <c r="H113" s="430">
        <f t="shared" si="65"/>
        <v>4.4352386307563434E-2</v>
      </c>
      <c r="I113" s="430">
        <f t="shared" si="66"/>
        <v>4.4458265666931576E-2</v>
      </c>
      <c r="J113" s="430">
        <f t="shared" si="67"/>
        <v>3.5483422534232291E-2</v>
      </c>
      <c r="K113" s="430">
        <f t="shared" si="68"/>
        <v>3.594546205756783E-2</v>
      </c>
      <c r="L113" s="430">
        <f t="shared" si="69"/>
        <v>4.6416710463048898E-2</v>
      </c>
      <c r="M113" s="430">
        <f t="shared" si="70"/>
        <v>7.6946626129549875E-2</v>
      </c>
      <c r="N113" s="430">
        <f t="shared" si="71"/>
        <v>8.2847772430659647E-2</v>
      </c>
      <c r="O113" s="431">
        <f t="shared" si="72"/>
        <v>8.0012621709340065E-2</v>
      </c>
      <c r="P113" s="432">
        <f t="shared" si="73"/>
        <v>7.1901640457833774E-2</v>
      </c>
      <c r="Q113" s="1529">
        <f t="shared" si="74"/>
        <v>6.5863399444933329E-2</v>
      </c>
      <c r="R113" s="1532">
        <f t="shared" si="75"/>
        <v>6.2243637807083314E-2</v>
      </c>
      <c r="S113" s="1788">
        <f t="shared" si="61"/>
        <v>5.4036046240463737E-2</v>
      </c>
      <c r="T113" s="219"/>
      <c r="U113" s="433">
        <v>82380</v>
      </c>
      <c r="V113" s="434">
        <v>2135</v>
      </c>
      <c r="W113" s="435">
        <v>83823</v>
      </c>
      <c r="X113" s="436">
        <v>2970</v>
      </c>
      <c r="Y113" s="435">
        <v>85660</v>
      </c>
      <c r="Z113" s="436">
        <v>3903</v>
      </c>
      <c r="AA113" s="435">
        <v>86716</v>
      </c>
      <c r="AB113" s="436">
        <v>4101</v>
      </c>
      <c r="AC113" s="435">
        <v>87143</v>
      </c>
      <c r="AD113" s="436">
        <v>3865</v>
      </c>
      <c r="AE113" s="435">
        <v>86823</v>
      </c>
      <c r="AF113" s="436">
        <v>3860</v>
      </c>
      <c r="AG113" s="435">
        <v>86322</v>
      </c>
      <c r="AH113" s="436">
        <v>3063</v>
      </c>
      <c r="AI113" s="435">
        <v>87132</v>
      </c>
      <c r="AJ113" s="436">
        <v>3132</v>
      </c>
      <c r="AK113" s="435">
        <v>89429</v>
      </c>
      <c r="AL113" s="436">
        <v>4151</v>
      </c>
      <c r="AM113" s="437">
        <v>94728</v>
      </c>
      <c r="AN113" s="436">
        <v>7289</v>
      </c>
      <c r="AO113" s="435">
        <v>88729</v>
      </c>
      <c r="AP113" s="436">
        <v>7351</v>
      </c>
      <c r="AQ113" s="438">
        <v>88736</v>
      </c>
      <c r="AR113" s="439">
        <v>7100</v>
      </c>
      <c r="AS113" s="440">
        <v>88329</v>
      </c>
      <c r="AT113" s="441">
        <v>6351</v>
      </c>
      <c r="AU113" s="440">
        <v>88638</v>
      </c>
      <c r="AV113" s="1538">
        <v>5838</v>
      </c>
      <c r="AW113" s="1541">
        <v>90692</v>
      </c>
      <c r="AX113" s="1542">
        <v>5645</v>
      </c>
      <c r="AY113" s="1767">
        <v>90051</v>
      </c>
      <c r="AZ113" s="1794">
        <v>4866</v>
      </c>
    </row>
    <row r="114" spans="1:52" ht="15" customHeight="1" x14ac:dyDescent="0.25">
      <c r="A114" s="426" t="s">
        <v>160</v>
      </c>
      <c r="B114" s="442" t="s">
        <v>161</v>
      </c>
      <c r="C114" s="190" t="s">
        <v>264</v>
      </c>
      <c r="D114" s="428">
        <f t="shared" si="62"/>
        <v>3.2619985285844116E-2</v>
      </c>
      <c r="E114" s="429">
        <f t="shared" si="63"/>
        <v>4.2973053131090587E-2</v>
      </c>
      <c r="F114" s="430">
        <f t="shared" si="48"/>
        <v>5.1285173572001179E-2</v>
      </c>
      <c r="G114" s="430">
        <f t="shared" si="64"/>
        <v>5.2688226633497488E-2</v>
      </c>
      <c r="H114" s="430">
        <f t="shared" si="65"/>
        <v>5.0721549047068139E-2</v>
      </c>
      <c r="I114" s="430">
        <f t="shared" si="66"/>
        <v>5.0125650226997734E-2</v>
      </c>
      <c r="J114" s="430">
        <f t="shared" si="67"/>
        <v>4.2270279296956537E-2</v>
      </c>
      <c r="K114" s="430">
        <f t="shared" si="68"/>
        <v>4.1273359190046842E-2</v>
      </c>
      <c r="L114" s="430">
        <f t="shared" si="69"/>
        <v>5.2790570989947008E-2</v>
      </c>
      <c r="M114" s="430">
        <f t="shared" si="70"/>
        <v>8.856825749167592E-2</v>
      </c>
      <c r="N114" s="430">
        <f t="shared" si="71"/>
        <v>9.0795361593610166E-2</v>
      </c>
      <c r="O114" s="431">
        <f t="shared" si="72"/>
        <v>8.3368591099657677E-2</v>
      </c>
      <c r="P114" s="432">
        <f t="shared" si="73"/>
        <v>7.660364360073485E-2</v>
      </c>
      <c r="Q114" s="1529">
        <f t="shared" si="74"/>
        <v>6.9851993930892337E-2</v>
      </c>
      <c r="R114" s="1532">
        <f t="shared" si="75"/>
        <v>6.3573837533526301E-2</v>
      </c>
      <c r="S114" s="1788">
        <f t="shared" si="61"/>
        <v>5.5795109506099644E-2</v>
      </c>
      <c r="T114" s="219"/>
      <c r="U114" s="433">
        <v>92428</v>
      </c>
      <c r="V114" s="434">
        <v>3015</v>
      </c>
      <c r="W114" s="435">
        <v>94408</v>
      </c>
      <c r="X114" s="436">
        <v>4057</v>
      </c>
      <c r="Y114" s="435">
        <v>98547</v>
      </c>
      <c r="Z114" s="436">
        <v>5054</v>
      </c>
      <c r="AA114" s="435">
        <v>98485</v>
      </c>
      <c r="AB114" s="436">
        <v>5189</v>
      </c>
      <c r="AC114" s="435">
        <v>98538</v>
      </c>
      <c r="AD114" s="436">
        <v>4998</v>
      </c>
      <c r="AE114" s="435">
        <v>96697</v>
      </c>
      <c r="AF114" s="436">
        <v>4847</v>
      </c>
      <c r="AG114" s="435">
        <v>95812</v>
      </c>
      <c r="AH114" s="436">
        <v>4050</v>
      </c>
      <c r="AI114" s="435">
        <v>99265</v>
      </c>
      <c r="AJ114" s="436">
        <v>4097</v>
      </c>
      <c r="AK114" s="435">
        <v>100965</v>
      </c>
      <c r="AL114" s="436">
        <v>5330</v>
      </c>
      <c r="AM114" s="437">
        <v>99110</v>
      </c>
      <c r="AN114" s="436">
        <v>8778</v>
      </c>
      <c r="AO114" s="435">
        <v>103915</v>
      </c>
      <c r="AP114" s="436">
        <v>9435</v>
      </c>
      <c r="AQ114" s="438">
        <v>103996</v>
      </c>
      <c r="AR114" s="439">
        <v>8670</v>
      </c>
      <c r="AS114" s="440">
        <v>104512</v>
      </c>
      <c r="AT114" s="441">
        <v>8006</v>
      </c>
      <c r="AU114" s="440">
        <v>104793</v>
      </c>
      <c r="AV114" s="1538">
        <v>7320</v>
      </c>
      <c r="AW114" s="1541">
        <v>112971</v>
      </c>
      <c r="AX114" s="1542">
        <v>7182</v>
      </c>
      <c r="AY114" s="1767">
        <v>111318</v>
      </c>
      <c r="AZ114" s="1794">
        <v>6211</v>
      </c>
    </row>
    <row r="115" spans="1:52" ht="15" customHeight="1" x14ac:dyDescent="0.25">
      <c r="A115" s="426" t="s">
        <v>166</v>
      </c>
      <c r="B115" s="442" t="s">
        <v>167</v>
      </c>
      <c r="C115" s="190" t="s">
        <v>268</v>
      </c>
      <c r="D115" s="428">
        <f t="shared" si="62"/>
        <v>4.1244083840432724E-2</v>
      </c>
      <c r="E115" s="429">
        <f t="shared" si="63"/>
        <v>4.5454545454545456E-2</v>
      </c>
      <c r="F115" s="430">
        <f t="shared" si="48"/>
        <v>4.9087476400251732E-2</v>
      </c>
      <c r="G115" s="430">
        <f t="shared" si="64"/>
        <v>5.3954629061925198E-2</v>
      </c>
      <c r="H115" s="430">
        <f t="shared" si="65"/>
        <v>5.3846153846153849E-2</v>
      </c>
      <c r="I115" s="430">
        <f t="shared" si="66"/>
        <v>5.4794520547945202E-2</v>
      </c>
      <c r="J115" s="430">
        <f t="shared" si="67"/>
        <v>5.1451187335092345E-2</v>
      </c>
      <c r="K115" s="430">
        <f t="shared" si="68"/>
        <v>4.1104688503532431E-2</v>
      </c>
      <c r="L115" s="430">
        <f t="shared" si="69"/>
        <v>5.2372150338878619E-2</v>
      </c>
      <c r="M115" s="430">
        <f t="shared" si="70"/>
        <v>6.5934065934065936E-2</v>
      </c>
      <c r="N115" s="430">
        <f t="shared" si="71"/>
        <v>8.5515766969535015E-2</v>
      </c>
      <c r="O115" s="431">
        <f t="shared" si="72"/>
        <v>7.5695159629248193E-2</v>
      </c>
      <c r="P115" s="432">
        <f t="shared" si="73"/>
        <v>8.0510827318156578E-2</v>
      </c>
      <c r="Q115" s="1529">
        <f t="shared" si="74"/>
        <v>8.7179487179487175E-2</v>
      </c>
      <c r="R115" s="1532">
        <f t="shared" si="75"/>
        <v>7.8366445916114788E-2</v>
      </c>
      <c r="S115" s="1788">
        <f t="shared" si="61"/>
        <v>6.9555302166476624E-2</v>
      </c>
      <c r="T115" s="219"/>
      <c r="U115" s="433">
        <v>1479</v>
      </c>
      <c r="V115" s="434">
        <v>61</v>
      </c>
      <c r="W115" s="435">
        <v>1518</v>
      </c>
      <c r="X115" s="436">
        <v>69</v>
      </c>
      <c r="Y115" s="435">
        <v>1589</v>
      </c>
      <c r="Z115" s="436">
        <v>78</v>
      </c>
      <c r="AA115" s="435">
        <v>1631</v>
      </c>
      <c r="AB115" s="436">
        <v>88</v>
      </c>
      <c r="AC115" s="435">
        <v>1560</v>
      </c>
      <c r="AD115" s="436">
        <v>84</v>
      </c>
      <c r="AE115" s="435">
        <v>1533</v>
      </c>
      <c r="AF115" s="436">
        <v>84</v>
      </c>
      <c r="AG115" s="435">
        <v>1516</v>
      </c>
      <c r="AH115" s="436">
        <v>78</v>
      </c>
      <c r="AI115" s="435">
        <v>1557</v>
      </c>
      <c r="AJ115" s="436">
        <v>64</v>
      </c>
      <c r="AK115" s="435">
        <v>1623</v>
      </c>
      <c r="AL115" s="436">
        <v>85</v>
      </c>
      <c r="AM115" s="437">
        <v>1729</v>
      </c>
      <c r="AN115" s="436">
        <v>114</v>
      </c>
      <c r="AO115" s="435">
        <v>1871</v>
      </c>
      <c r="AP115" s="436">
        <v>160</v>
      </c>
      <c r="AQ115" s="438">
        <v>1942</v>
      </c>
      <c r="AR115" s="439">
        <v>147</v>
      </c>
      <c r="AS115" s="440">
        <v>1801</v>
      </c>
      <c r="AT115" s="441">
        <v>145</v>
      </c>
      <c r="AU115" s="440">
        <v>1755</v>
      </c>
      <c r="AV115" s="1538">
        <v>153</v>
      </c>
      <c r="AW115" s="1541">
        <v>1812</v>
      </c>
      <c r="AX115" s="1542">
        <v>142</v>
      </c>
      <c r="AY115" s="1767">
        <v>1754</v>
      </c>
      <c r="AZ115" s="1794">
        <v>122</v>
      </c>
    </row>
    <row r="116" spans="1:52" ht="15" customHeight="1" x14ac:dyDescent="0.25">
      <c r="A116" s="426" t="s">
        <v>176</v>
      </c>
      <c r="B116" s="442" t="s">
        <v>177</v>
      </c>
      <c r="C116" s="190" t="s">
        <v>266</v>
      </c>
      <c r="D116" s="428">
        <f t="shared" si="62"/>
        <v>3.3979178716020825E-2</v>
      </c>
      <c r="E116" s="429">
        <f t="shared" si="63"/>
        <v>5.5018267784225229E-2</v>
      </c>
      <c r="F116" s="430">
        <f t="shared" si="48"/>
        <v>7.4393607241354923E-2</v>
      </c>
      <c r="G116" s="430">
        <f t="shared" si="64"/>
        <v>8.612975391498881E-2</v>
      </c>
      <c r="H116" s="430">
        <f t="shared" si="65"/>
        <v>7.6287349014621739E-2</v>
      </c>
      <c r="I116" s="430">
        <f t="shared" si="66"/>
        <v>7.2913699800626605E-2</v>
      </c>
      <c r="J116" s="430">
        <f t="shared" si="67"/>
        <v>6.2095265505828175E-2</v>
      </c>
      <c r="K116" s="430">
        <f t="shared" si="68"/>
        <v>6.2976963126738464E-2</v>
      </c>
      <c r="L116" s="430">
        <f t="shared" si="69"/>
        <v>7.311617503145533E-2</v>
      </c>
      <c r="M116" s="430">
        <f t="shared" si="70"/>
        <v>0.13796423658872076</v>
      </c>
      <c r="N116" s="430">
        <f t="shared" si="71"/>
        <v>0.12453867863087054</v>
      </c>
      <c r="O116" s="431">
        <f t="shared" si="72"/>
        <v>0.11324848134220422</v>
      </c>
      <c r="P116" s="432">
        <f t="shared" si="73"/>
        <v>0.10411320478040913</v>
      </c>
      <c r="Q116" s="1529">
        <f t="shared" si="74"/>
        <v>0.1001890359168242</v>
      </c>
      <c r="R116" s="1532">
        <f t="shared" si="75"/>
        <v>0.10647782011647135</v>
      </c>
      <c r="S116" s="1788">
        <f t="shared" si="61"/>
        <v>9.0290348273115634E-2</v>
      </c>
      <c r="T116" s="219"/>
      <c r="U116" s="433">
        <v>13832</v>
      </c>
      <c r="V116" s="434">
        <v>470</v>
      </c>
      <c r="W116" s="435">
        <v>13959</v>
      </c>
      <c r="X116" s="436">
        <v>768</v>
      </c>
      <c r="Y116" s="435">
        <v>14141</v>
      </c>
      <c r="Z116" s="436">
        <v>1052</v>
      </c>
      <c r="AA116" s="435">
        <v>14304</v>
      </c>
      <c r="AB116" s="436">
        <v>1232</v>
      </c>
      <c r="AC116" s="435">
        <v>14157</v>
      </c>
      <c r="AD116" s="436">
        <v>1080</v>
      </c>
      <c r="AE116" s="435">
        <v>14044</v>
      </c>
      <c r="AF116" s="436">
        <v>1024</v>
      </c>
      <c r="AG116" s="435">
        <v>13898</v>
      </c>
      <c r="AH116" s="436">
        <v>863</v>
      </c>
      <c r="AI116" s="435">
        <v>14021</v>
      </c>
      <c r="AJ116" s="436">
        <v>883</v>
      </c>
      <c r="AK116" s="435">
        <v>14306</v>
      </c>
      <c r="AL116" s="436">
        <v>1046</v>
      </c>
      <c r="AM116" s="437">
        <v>14540</v>
      </c>
      <c r="AN116" s="436">
        <v>2006</v>
      </c>
      <c r="AO116" s="435">
        <v>13819</v>
      </c>
      <c r="AP116" s="436">
        <v>1721</v>
      </c>
      <c r="AQ116" s="438">
        <v>13828</v>
      </c>
      <c r="AR116" s="439">
        <v>1566</v>
      </c>
      <c r="AS116" s="440">
        <v>13639</v>
      </c>
      <c r="AT116" s="441">
        <v>1420</v>
      </c>
      <c r="AU116" s="440">
        <v>13754</v>
      </c>
      <c r="AV116" s="1538">
        <v>1378</v>
      </c>
      <c r="AW116" s="1541">
        <v>13909</v>
      </c>
      <c r="AX116" s="1542">
        <v>1481</v>
      </c>
      <c r="AY116" s="1767">
        <v>13811</v>
      </c>
      <c r="AZ116" s="1794">
        <v>1247</v>
      </c>
    </row>
    <row r="117" spans="1:52" ht="15" customHeight="1" x14ac:dyDescent="0.25">
      <c r="A117" s="426" t="s">
        <v>180</v>
      </c>
      <c r="B117" s="442" t="s">
        <v>181</v>
      </c>
      <c r="C117" s="190" t="s">
        <v>264</v>
      </c>
      <c r="D117" s="428">
        <f t="shared" si="62"/>
        <v>3.3869721031550837E-2</v>
      </c>
      <c r="E117" s="429">
        <f t="shared" si="63"/>
        <v>4.3849329919498074E-2</v>
      </c>
      <c r="F117" s="430">
        <f t="shared" si="48"/>
        <v>5.2750941171134394E-2</v>
      </c>
      <c r="G117" s="430">
        <f t="shared" si="64"/>
        <v>5.3983002832861192E-2</v>
      </c>
      <c r="H117" s="430">
        <f t="shared" si="65"/>
        <v>5.3727106845982295E-2</v>
      </c>
      <c r="I117" s="430">
        <f t="shared" si="66"/>
        <v>5.3070457519238876E-2</v>
      </c>
      <c r="J117" s="430">
        <f t="shared" si="67"/>
        <v>4.3771411115232715E-2</v>
      </c>
      <c r="K117" s="430">
        <f t="shared" si="68"/>
        <v>4.2223039799164627E-2</v>
      </c>
      <c r="L117" s="430">
        <f t="shared" si="69"/>
        <v>5.1592671349098951E-2</v>
      </c>
      <c r="M117" s="430">
        <f t="shared" si="70"/>
        <v>8.8199607315405146E-2</v>
      </c>
      <c r="N117" s="430">
        <f t="shared" si="71"/>
        <v>9.4393527300985075E-2</v>
      </c>
      <c r="O117" s="431">
        <f t="shared" si="72"/>
        <v>8.8535625753337427E-2</v>
      </c>
      <c r="P117" s="432">
        <f t="shared" si="73"/>
        <v>8.17794777223778E-2</v>
      </c>
      <c r="Q117" s="1529">
        <f t="shared" si="74"/>
        <v>7.4709249500272579E-2</v>
      </c>
      <c r="R117" s="1532">
        <f t="shared" si="75"/>
        <v>7.1334097522264356E-2</v>
      </c>
      <c r="S117" s="1788">
        <f t="shared" si="61"/>
        <v>6.227606592619133E-2</v>
      </c>
      <c r="T117" s="219"/>
      <c r="U117" s="433">
        <v>42693</v>
      </c>
      <c r="V117" s="434">
        <v>1446</v>
      </c>
      <c r="W117" s="435">
        <v>43353</v>
      </c>
      <c r="X117" s="436">
        <v>1901</v>
      </c>
      <c r="Y117" s="435">
        <v>44094</v>
      </c>
      <c r="Z117" s="436">
        <v>2326</v>
      </c>
      <c r="AA117" s="435">
        <v>44125</v>
      </c>
      <c r="AB117" s="436">
        <v>2382</v>
      </c>
      <c r="AC117" s="435">
        <v>44391</v>
      </c>
      <c r="AD117" s="436">
        <v>2385</v>
      </c>
      <c r="AE117" s="435">
        <v>45091</v>
      </c>
      <c r="AF117" s="436">
        <v>2393</v>
      </c>
      <c r="AG117" s="435">
        <v>45829</v>
      </c>
      <c r="AH117" s="436">
        <v>2006</v>
      </c>
      <c r="AI117" s="435">
        <v>46207</v>
      </c>
      <c r="AJ117" s="436">
        <v>1951</v>
      </c>
      <c r="AK117" s="435">
        <v>46557</v>
      </c>
      <c r="AL117" s="436">
        <v>2402</v>
      </c>
      <c r="AM117" s="437">
        <v>45329</v>
      </c>
      <c r="AN117" s="436">
        <v>3998</v>
      </c>
      <c r="AO117" s="435">
        <v>43753</v>
      </c>
      <c r="AP117" s="436">
        <v>4130</v>
      </c>
      <c r="AQ117" s="438">
        <v>43971</v>
      </c>
      <c r="AR117" s="439">
        <v>3893</v>
      </c>
      <c r="AS117" s="440">
        <v>43923</v>
      </c>
      <c r="AT117" s="441">
        <v>3592</v>
      </c>
      <c r="AU117" s="440">
        <v>44024</v>
      </c>
      <c r="AV117" s="1538">
        <v>3289</v>
      </c>
      <c r="AW117" s="1541">
        <v>45364</v>
      </c>
      <c r="AX117" s="1542">
        <v>3236</v>
      </c>
      <c r="AY117" s="1767">
        <v>44656</v>
      </c>
      <c r="AZ117" s="1794">
        <v>2781</v>
      </c>
    </row>
    <row r="118" spans="1:52" ht="15" customHeight="1" x14ac:dyDescent="0.25">
      <c r="A118" s="426" t="s">
        <v>192</v>
      </c>
      <c r="B118" s="442" t="s">
        <v>193</v>
      </c>
      <c r="C118" s="190" t="s">
        <v>268</v>
      </c>
      <c r="D118" s="428">
        <f t="shared" si="62"/>
        <v>3.206250841977637E-2</v>
      </c>
      <c r="E118" s="429">
        <f t="shared" si="63"/>
        <v>4.1301120259144286E-2</v>
      </c>
      <c r="F118" s="430">
        <f t="shared" si="48"/>
        <v>5.2076288380900851E-2</v>
      </c>
      <c r="G118" s="430">
        <f t="shared" si="64"/>
        <v>5.2177430227854926E-2</v>
      </c>
      <c r="H118" s="430">
        <f t="shared" si="65"/>
        <v>5.1564625850340134E-2</v>
      </c>
      <c r="I118" s="430">
        <f t="shared" si="66"/>
        <v>4.4691969196919694E-2</v>
      </c>
      <c r="J118" s="430">
        <f t="shared" si="67"/>
        <v>3.7808748447633503E-2</v>
      </c>
      <c r="K118" s="430">
        <f t="shared" si="68"/>
        <v>4.0678844409897656E-2</v>
      </c>
      <c r="L118" s="430">
        <f t="shared" si="69"/>
        <v>5.3105085592902661E-2</v>
      </c>
      <c r="M118" s="430">
        <f t="shared" si="70"/>
        <v>9.2555331991951706E-2</v>
      </c>
      <c r="N118" s="430">
        <f t="shared" si="71"/>
        <v>9.1884984025559099E-2</v>
      </c>
      <c r="O118" s="431">
        <f t="shared" si="72"/>
        <v>8.0824484697064339E-2</v>
      </c>
      <c r="P118" s="432">
        <f t="shared" si="73"/>
        <v>7.4363992172211346E-2</v>
      </c>
      <c r="Q118" s="1529">
        <f t="shared" si="74"/>
        <v>7.1428571428571425E-2</v>
      </c>
      <c r="R118" s="1532">
        <f t="shared" si="75"/>
        <v>6.6341695398882419E-2</v>
      </c>
      <c r="S118" s="1788">
        <f t="shared" si="61"/>
        <v>5.632143277954519E-2</v>
      </c>
      <c r="T118" s="219"/>
      <c r="U118" s="433">
        <v>7423</v>
      </c>
      <c r="V118" s="434">
        <v>238</v>
      </c>
      <c r="W118" s="435">
        <v>7409</v>
      </c>
      <c r="X118" s="436">
        <v>306</v>
      </c>
      <c r="Y118" s="435">
        <v>7393</v>
      </c>
      <c r="Z118" s="436">
        <v>385</v>
      </c>
      <c r="AA118" s="435">
        <v>7417</v>
      </c>
      <c r="AB118" s="436">
        <v>387</v>
      </c>
      <c r="AC118" s="435">
        <v>7350</v>
      </c>
      <c r="AD118" s="436">
        <v>379</v>
      </c>
      <c r="AE118" s="435">
        <v>7272</v>
      </c>
      <c r="AF118" s="436">
        <v>325</v>
      </c>
      <c r="AG118" s="435">
        <v>7247</v>
      </c>
      <c r="AH118" s="436">
        <v>274</v>
      </c>
      <c r="AI118" s="435">
        <v>7719</v>
      </c>
      <c r="AJ118" s="436">
        <v>314</v>
      </c>
      <c r="AK118" s="435">
        <v>8003</v>
      </c>
      <c r="AL118" s="436">
        <v>425</v>
      </c>
      <c r="AM118" s="437">
        <v>7952</v>
      </c>
      <c r="AN118" s="436">
        <v>736</v>
      </c>
      <c r="AO118" s="435">
        <v>7825</v>
      </c>
      <c r="AP118" s="436">
        <v>719</v>
      </c>
      <c r="AQ118" s="438">
        <v>8005</v>
      </c>
      <c r="AR118" s="439">
        <v>647</v>
      </c>
      <c r="AS118" s="440">
        <v>8176</v>
      </c>
      <c r="AT118" s="441">
        <v>608</v>
      </c>
      <c r="AU118" s="440">
        <v>8316</v>
      </c>
      <c r="AV118" s="1538">
        <v>594</v>
      </c>
      <c r="AW118" s="1541">
        <v>8411</v>
      </c>
      <c r="AX118" s="1542">
        <v>558</v>
      </c>
      <c r="AY118" s="1767">
        <v>8487</v>
      </c>
      <c r="AZ118" s="1794">
        <v>478</v>
      </c>
    </row>
    <row r="119" spans="1:52" ht="15" customHeight="1" x14ac:dyDescent="0.25">
      <c r="A119" s="426" t="s">
        <v>196</v>
      </c>
      <c r="B119" s="442" t="s">
        <v>312</v>
      </c>
      <c r="C119" s="190" t="s">
        <v>266</v>
      </c>
      <c r="D119" s="428">
        <f t="shared" si="62"/>
        <v>2.6336598171831014E-2</v>
      </c>
      <c r="E119" s="429">
        <f t="shared" si="63"/>
        <v>4.1526679326391355E-2</v>
      </c>
      <c r="F119" s="430">
        <f t="shared" si="48"/>
        <v>5.7102992093431865E-2</v>
      </c>
      <c r="G119" s="430">
        <f t="shared" si="64"/>
        <v>5.7610005401587235E-2</v>
      </c>
      <c r="H119" s="430">
        <f t="shared" si="65"/>
        <v>5.5918015952867474E-2</v>
      </c>
      <c r="I119" s="430">
        <f t="shared" si="66"/>
        <v>5.2757020045377905E-2</v>
      </c>
      <c r="J119" s="430">
        <f t="shared" si="67"/>
        <v>4.590507090899576E-2</v>
      </c>
      <c r="K119" s="430">
        <f t="shared" si="68"/>
        <v>4.4093736026990772E-2</v>
      </c>
      <c r="L119" s="430">
        <f t="shared" si="69"/>
        <v>5.7819280309366602E-2</v>
      </c>
      <c r="M119" s="430">
        <f t="shared" si="70"/>
        <v>9.9282815147574574E-2</v>
      </c>
      <c r="N119" s="430">
        <f t="shared" si="71"/>
        <v>9.5871499541501662E-2</v>
      </c>
      <c r="O119" s="431">
        <f t="shared" si="72"/>
        <v>8.3600323382339733E-2</v>
      </c>
      <c r="P119" s="432">
        <f t="shared" si="73"/>
        <v>7.4512677707753189E-2</v>
      </c>
      <c r="Q119" s="1529">
        <f t="shared" si="74"/>
        <v>6.9001659533583726E-2</v>
      </c>
      <c r="R119" s="1532">
        <f t="shared" si="75"/>
        <v>6.1236516894063862E-2</v>
      </c>
      <c r="S119" s="1788">
        <f t="shared" si="61"/>
        <v>5.1929725534466946E-2</v>
      </c>
      <c r="T119" s="219"/>
      <c r="U119" s="433">
        <v>94849</v>
      </c>
      <c r="V119" s="434">
        <v>2498</v>
      </c>
      <c r="W119" s="435">
        <v>95842</v>
      </c>
      <c r="X119" s="436">
        <v>3980</v>
      </c>
      <c r="Y119" s="435">
        <v>96755</v>
      </c>
      <c r="Z119" s="436">
        <v>5525</v>
      </c>
      <c r="AA119" s="435">
        <v>96268</v>
      </c>
      <c r="AB119" s="436">
        <v>5546</v>
      </c>
      <c r="AC119" s="435">
        <v>96409</v>
      </c>
      <c r="AD119" s="436">
        <v>5391</v>
      </c>
      <c r="AE119" s="435">
        <v>96082</v>
      </c>
      <c r="AF119" s="436">
        <v>5069</v>
      </c>
      <c r="AG119" s="435">
        <v>95545</v>
      </c>
      <c r="AH119" s="436">
        <v>4386</v>
      </c>
      <c r="AI119" s="435">
        <v>98404</v>
      </c>
      <c r="AJ119" s="436">
        <v>4339</v>
      </c>
      <c r="AK119" s="435">
        <v>101627</v>
      </c>
      <c r="AL119" s="436">
        <v>5876</v>
      </c>
      <c r="AM119" s="437">
        <v>101508</v>
      </c>
      <c r="AN119" s="436">
        <v>10078</v>
      </c>
      <c r="AO119" s="435">
        <v>99237</v>
      </c>
      <c r="AP119" s="436">
        <v>9514</v>
      </c>
      <c r="AQ119" s="438">
        <v>100191</v>
      </c>
      <c r="AR119" s="439">
        <v>8376</v>
      </c>
      <c r="AS119" s="440">
        <v>102345</v>
      </c>
      <c r="AT119" s="441">
        <v>7626</v>
      </c>
      <c r="AU119" s="440">
        <v>103041</v>
      </c>
      <c r="AV119" s="1538">
        <v>7110</v>
      </c>
      <c r="AW119" s="1541">
        <v>111992</v>
      </c>
      <c r="AX119" s="1542">
        <v>6858</v>
      </c>
      <c r="AY119" s="1767">
        <v>113384</v>
      </c>
      <c r="AZ119" s="1794">
        <v>5888</v>
      </c>
    </row>
    <row r="120" spans="1:52" ht="15" customHeight="1" x14ac:dyDescent="0.25">
      <c r="A120" s="426" t="s">
        <v>200</v>
      </c>
      <c r="B120" s="442" t="s">
        <v>313</v>
      </c>
      <c r="C120" s="190" t="s">
        <v>265</v>
      </c>
      <c r="D120" s="428">
        <f t="shared" si="62"/>
        <v>2.4406005643754173E-2</v>
      </c>
      <c r="E120" s="429">
        <f t="shared" si="63"/>
        <v>3.5177806660558669E-2</v>
      </c>
      <c r="F120" s="430">
        <f t="shared" si="48"/>
        <v>4.9447648015546124E-2</v>
      </c>
      <c r="G120" s="430">
        <f t="shared" si="64"/>
        <v>5.1631610837012031E-2</v>
      </c>
      <c r="H120" s="430">
        <f t="shared" si="65"/>
        <v>4.4974011100343582E-2</v>
      </c>
      <c r="I120" s="430">
        <f t="shared" si="66"/>
        <v>4.1597081831765845E-2</v>
      </c>
      <c r="J120" s="430">
        <f t="shared" si="67"/>
        <v>3.7224930820925026E-2</v>
      </c>
      <c r="K120" s="430">
        <f t="shared" si="68"/>
        <v>3.7902963204168021E-2</v>
      </c>
      <c r="L120" s="430">
        <f t="shared" si="69"/>
        <v>4.5452616390103125E-2</v>
      </c>
      <c r="M120" s="430">
        <f t="shared" si="70"/>
        <v>8.9335778578806466E-2</v>
      </c>
      <c r="N120" s="430">
        <f t="shared" si="71"/>
        <v>8.7592627778833365E-2</v>
      </c>
      <c r="O120" s="431">
        <f t="shared" si="72"/>
        <v>8.0580244843199728E-2</v>
      </c>
      <c r="P120" s="432">
        <f t="shared" si="73"/>
        <v>7.0823015906324754E-2</v>
      </c>
      <c r="Q120" s="1529">
        <f t="shared" si="74"/>
        <v>6.7190446260213699E-2</v>
      </c>
      <c r="R120" s="1532">
        <f t="shared" si="75"/>
        <v>5.8694569008470351E-2</v>
      </c>
      <c r="S120" s="1788">
        <f t="shared" si="61"/>
        <v>4.8590197069226883E-2</v>
      </c>
      <c r="T120" s="219"/>
      <c r="U120" s="433">
        <v>46423</v>
      </c>
      <c r="V120" s="434">
        <v>1133</v>
      </c>
      <c r="W120" s="435">
        <v>46933</v>
      </c>
      <c r="X120" s="436">
        <v>1651</v>
      </c>
      <c r="Y120" s="435">
        <v>47343</v>
      </c>
      <c r="Z120" s="436">
        <v>2341</v>
      </c>
      <c r="AA120" s="435">
        <v>46212</v>
      </c>
      <c r="AB120" s="436">
        <v>2386</v>
      </c>
      <c r="AC120" s="435">
        <v>45404</v>
      </c>
      <c r="AD120" s="436">
        <v>2042</v>
      </c>
      <c r="AE120" s="435">
        <v>45508</v>
      </c>
      <c r="AF120" s="436">
        <v>1893</v>
      </c>
      <c r="AG120" s="435">
        <v>45534</v>
      </c>
      <c r="AH120" s="436">
        <v>1695</v>
      </c>
      <c r="AI120" s="435">
        <v>46065</v>
      </c>
      <c r="AJ120" s="436">
        <v>1746</v>
      </c>
      <c r="AK120" s="435">
        <v>47126</v>
      </c>
      <c r="AL120" s="436">
        <v>2142</v>
      </c>
      <c r="AM120" s="437">
        <v>47439</v>
      </c>
      <c r="AN120" s="436">
        <v>4238</v>
      </c>
      <c r="AO120" s="435">
        <v>47367</v>
      </c>
      <c r="AP120" s="436">
        <v>4149</v>
      </c>
      <c r="AQ120" s="438">
        <v>47704</v>
      </c>
      <c r="AR120" s="439">
        <v>3844</v>
      </c>
      <c r="AS120" s="440">
        <v>47654</v>
      </c>
      <c r="AT120" s="441">
        <v>3375</v>
      </c>
      <c r="AU120" s="440">
        <v>47730</v>
      </c>
      <c r="AV120" s="1538">
        <v>3207</v>
      </c>
      <c r="AW120" s="1541">
        <v>50175</v>
      </c>
      <c r="AX120" s="1542">
        <v>2945</v>
      </c>
      <c r="AY120" s="1767">
        <v>49475</v>
      </c>
      <c r="AZ120" s="1794">
        <v>2404</v>
      </c>
    </row>
    <row r="121" spans="1:52" ht="15" customHeight="1" x14ac:dyDescent="0.25">
      <c r="A121" s="426" t="s">
        <v>222</v>
      </c>
      <c r="B121" s="442" t="s">
        <v>223</v>
      </c>
      <c r="C121" s="190" t="s">
        <v>264</v>
      </c>
      <c r="D121" s="428">
        <f t="shared" si="62"/>
        <v>2.4975127791690966E-2</v>
      </c>
      <c r="E121" s="429">
        <f t="shared" si="63"/>
        <v>3.1067961165048542E-2</v>
      </c>
      <c r="F121" s="430">
        <f t="shared" si="48"/>
        <v>4.2940715276521317E-2</v>
      </c>
      <c r="G121" s="430">
        <f t="shared" si="64"/>
        <v>4.2953902432053957E-2</v>
      </c>
      <c r="H121" s="430">
        <f t="shared" si="65"/>
        <v>4.0826929913314554E-2</v>
      </c>
      <c r="I121" s="430">
        <f t="shared" si="66"/>
        <v>3.9233216755633855E-2</v>
      </c>
      <c r="J121" s="430">
        <f t="shared" si="67"/>
        <v>3.4628957323110512E-2</v>
      </c>
      <c r="K121" s="430">
        <f t="shared" si="68"/>
        <v>3.3079972727961413E-2</v>
      </c>
      <c r="L121" s="430">
        <f t="shared" si="69"/>
        <v>4.0936530048635039E-2</v>
      </c>
      <c r="M121" s="430">
        <f t="shared" si="70"/>
        <v>6.9641716223521902E-2</v>
      </c>
      <c r="N121" s="430">
        <f t="shared" si="71"/>
        <v>7.8086977472593661E-2</v>
      </c>
      <c r="O121" s="431">
        <f t="shared" si="72"/>
        <v>7.3254036495652999E-2</v>
      </c>
      <c r="P121" s="993">
        <f t="shared" si="73"/>
        <v>6.7942285069502797E-2</v>
      </c>
      <c r="Q121" s="1529">
        <f t="shared" si="74"/>
        <v>6.1285071339653358E-2</v>
      </c>
      <c r="R121" s="1532">
        <f t="shared" si="75"/>
        <v>5.7705105048008368E-2</v>
      </c>
      <c r="S121" s="1788">
        <f t="shared" si="61"/>
        <v>4.9612881774568948E-2</v>
      </c>
      <c r="T121" s="219"/>
      <c r="U121" s="433">
        <v>29149</v>
      </c>
      <c r="V121" s="434">
        <v>728</v>
      </c>
      <c r="W121" s="435">
        <v>30900</v>
      </c>
      <c r="X121" s="436">
        <v>960</v>
      </c>
      <c r="Y121" s="435">
        <v>33162</v>
      </c>
      <c r="Z121" s="436">
        <v>1424</v>
      </c>
      <c r="AA121" s="435">
        <v>34991</v>
      </c>
      <c r="AB121" s="436">
        <v>1503</v>
      </c>
      <c r="AC121" s="435">
        <v>36569</v>
      </c>
      <c r="AD121" s="436">
        <v>1493</v>
      </c>
      <c r="AE121" s="435">
        <v>38029</v>
      </c>
      <c r="AF121" s="436">
        <v>1492</v>
      </c>
      <c r="AG121" s="435">
        <v>39389</v>
      </c>
      <c r="AH121" s="436">
        <v>1364</v>
      </c>
      <c r="AI121" s="435">
        <v>39601</v>
      </c>
      <c r="AJ121" s="436">
        <v>1310</v>
      </c>
      <c r="AK121" s="435">
        <v>40917</v>
      </c>
      <c r="AL121" s="436">
        <v>1675</v>
      </c>
      <c r="AM121" s="437">
        <v>40694</v>
      </c>
      <c r="AN121" s="436">
        <v>2834</v>
      </c>
      <c r="AO121" s="435">
        <v>41505</v>
      </c>
      <c r="AP121" s="436">
        <v>3241</v>
      </c>
      <c r="AQ121" s="438">
        <v>41868</v>
      </c>
      <c r="AR121" s="439">
        <v>3067</v>
      </c>
      <c r="AS121" s="440">
        <v>41653</v>
      </c>
      <c r="AT121" s="441">
        <v>2830</v>
      </c>
      <c r="AU121" s="440">
        <v>41772</v>
      </c>
      <c r="AV121" s="1538">
        <v>2560</v>
      </c>
      <c r="AW121" s="1541">
        <v>42076</v>
      </c>
      <c r="AX121" s="1542">
        <v>2428</v>
      </c>
      <c r="AY121" s="1767">
        <v>42106</v>
      </c>
      <c r="AZ121" s="1794">
        <v>2089</v>
      </c>
    </row>
    <row r="122" spans="1:52" ht="15" customHeight="1" x14ac:dyDescent="0.25">
      <c r="A122" s="426" t="s">
        <v>230</v>
      </c>
      <c r="B122" s="442" t="s">
        <v>231</v>
      </c>
      <c r="C122" s="190" t="s">
        <v>264</v>
      </c>
      <c r="D122" s="428">
        <f t="shared" si="62"/>
        <v>2.2129169069001572E-2</v>
      </c>
      <c r="E122" s="429">
        <f t="shared" si="63"/>
        <v>2.8993111870098648E-2</v>
      </c>
      <c r="F122" s="430">
        <f t="shared" si="48"/>
        <v>3.5467989464769333E-2</v>
      </c>
      <c r="G122" s="430">
        <f t="shared" si="64"/>
        <v>3.6399811124405754E-2</v>
      </c>
      <c r="H122" s="430">
        <f t="shared" si="65"/>
        <v>3.4220118106840849E-2</v>
      </c>
      <c r="I122" s="430">
        <f t="shared" si="66"/>
        <v>3.307046782833347E-2</v>
      </c>
      <c r="J122" s="430">
        <f t="shared" si="67"/>
        <v>2.9016730367058485E-2</v>
      </c>
      <c r="K122" s="430">
        <f t="shared" si="68"/>
        <v>2.7671493404359839E-2</v>
      </c>
      <c r="L122" s="430">
        <f t="shared" si="69"/>
        <v>3.6363153891060908E-2</v>
      </c>
      <c r="M122" s="430">
        <f t="shared" si="70"/>
        <v>6.2157868458081793E-2</v>
      </c>
      <c r="N122" s="430">
        <f t="shared" si="71"/>
        <v>6.483418521621101E-2</v>
      </c>
      <c r="O122" s="431">
        <f t="shared" si="72"/>
        <v>6.1095824069386045E-2</v>
      </c>
      <c r="P122" s="432">
        <f t="shared" si="73"/>
        <v>5.6694924178601516E-2</v>
      </c>
      <c r="Q122" s="1529">
        <f t="shared" si="74"/>
        <v>5.3369953788473277E-2</v>
      </c>
      <c r="R122" s="1532">
        <f t="shared" si="75"/>
        <v>4.9364925965554134E-2</v>
      </c>
      <c r="S122" s="1788">
        <f t="shared" si="61"/>
        <v>4.2827881302238385E-2</v>
      </c>
      <c r="T122" s="219"/>
      <c r="U122" s="433">
        <v>204662</v>
      </c>
      <c r="V122" s="434">
        <v>4529</v>
      </c>
      <c r="W122" s="435">
        <v>209636</v>
      </c>
      <c r="X122" s="436">
        <v>6078</v>
      </c>
      <c r="Y122" s="435">
        <v>214898</v>
      </c>
      <c r="Z122" s="436">
        <v>7622</v>
      </c>
      <c r="AA122" s="435">
        <v>218133</v>
      </c>
      <c r="AB122" s="436">
        <v>7940</v>
      </c>
      <c r="AC122" s="435">
        <v>220309</v>
      </c>
      <c r="AD122" s="436">
        <v>7539</v>
      </c>
      <c r="AE122" s="435">
        <v>221406</v>
      </c>
      <c r="AF122" s="436">
        <v>7322</v>
      </c>
      <c r="AG122" s="435">
        <v>221872</v>
      </c>
      <c r="AH122" s="436">
        <v>6438</v>
      </c>
      <c r="AI122" s="435">
        <v>221889</v>
      </c>
      <c r="AJ122" s="436">
        <v>6140</v>
      </c>
      <c r="AK122" s="435">
        <v>226108</v>
      </c>
      <c r="AL122" s="436">
        <v>8222</v>
      </c>
      <c r="AM122" s="437">
        <v>220310</v>
      </c>
      <c r="AN122" s="436">
        <v>13694</v>
      </c>
      <c r="AO122" s="435">
        <v>223231</v>
      </c>
      <c r="AP122" s="436">
        <v>14473</v>
      </c>
      <c r="AQ122" s="438">
        <v>227135</v>
      </c>
      <c r="AR122" s="439">
        <v>13877</v>
      </c>
      <c r="AS122" s="440">
        <v>227904</v>
      </c>
      <c r="AT122" s="441">
        <v>12921</v>
      </c>
      <c r="AU122" s="440">
        <v>229380</v>
      </c>
      <c r="AV122" s="1538">
        <v>12242</v>
      </c>
      <c r="AW122" s="1541">
        <v>231784</v>
      </c>
      <c r="AX122" s="1542">
        <v>11442</v>
      </c>
      <c r="AY122" s="1767">
        <v>230434</v>
      </c>
      <c r="AZ122" s="1794">
        <v>9869</v>
      </c>
    </row>
    <row r="123" spans="1:52" ht="15" customHeight="1" x14ac:dyDescent="0.25">
      <c r="A123" s="426" t="s">
        <v>238</v>
      </c>
      <c r="B123" s="442" t="s">
        <v>239</v>
      </c>
      <c r="C123" s="190" t="s">
        <v>264</v>
      </c>
      <c r="D123" s="428">
        <f t="shared" si="62"/>
        <v>4.3259777146602577E-2</v>
      </c>
      <c r="E123" s="429">
        <f t="shared" si="63"/>
        <v>5.6737588652482268E-2</v>
      </c>
      <c r="F123" s="430">
        <f t="shared" si="48"/>
        <v>7.2164948453608241E-2</v>
      </c>
      <c r="G123" s="430">
        <f t="shared" si="64"/>
        <v>7.9836453625995271E-2</v>
      </c>
      <c r="H123" s="430">
        <f t="shared" si="65"/>
        <v>7.4962518740629688E-2</v>
      </c>
      <c r="I123" s="430">
        <f t="shared" si="66"/>
        <v>7.1458333333333332E-2</v>
      </c>
      <c r="J123" s="430">
        <f t="shared" si="67"/>
        <v>5.8566978193146414E-2</v>
      </c>
      <c r="K123" s="430">
        <f t="shared" si="68"/>
        <v>5.6418321210929823E-2</v>
      </c>
      <c r="L123" s="430">
        <f t="shared" si="69"/>
        <v>8.598726114649681E-2</v>
      </c>
      <c r="M123" s="430">
        <f t="shared" si="70"/>
        <v>0.15346002151308713</v>
      </c>
      <c r="N123" s="430">
        <f t="shared" si="71"/>
        <v>0.10226882090065315</v>
      </c>
      <c r="O123" s="431">
        <f t="shared" si="72"/>
        <v>9.8084929225645295E-2</v>
      </c>
      <c r="P123" s="432">
        <f t="shared" si="73"/>
        <v>8.8910287273310865E-2</v>
      </c>
      <c r="Q123" s="1529">
        <f t="shared" si="74"/>
        <v>8.2866741321388576E-2</v>
      </c>
      <c r="R123" s="1532">
        <f t="shared" si="75"/>
        <v>7.0817007691191411E-2</v>
      </c>
      <c r="S123" s="1788">
        <f t="shared" si="61"/>
        <v>6.3451004260499086E-2</v>
      </c>
      <c r="T123" s="219"/>
      <c r="U123" s="433">
        <v>4577</v>
      </c>
      <c r="V123" s="434">
        <v>198</v>
      </c>
      <c r="W123" s="435">
        <v>4653</v>
      </c>
      <c r="X123" s="436">
        <v>264</v>
      </c>
      <c r="Y123" s="435">
        <v>4656</v>
      </c>
      <c r="Z123" s="436">
        <v>336</v>
      </c>
      <c r="AA123" s="435">
        <v>4647</v>
      </c>
      <c r="AB123" s="436">
        <v>371</v>
      </c>
      <c r="AC123" s="435">
        <v>4669</v>
      </c>
      <c r="AD123" s="436">
        <v>350</v>
      </c>
      <c r="AE123" s="435">
        <v>4800</v>
      </c>
      <c r="AF123" s="436">
        <v>343</v>
      </c>
      <c r="AG123" s="435">
        <v>4815</v>
      </c>
      <c r="AH123" s="436">
        <v>282</v>
      </c>
      <c r="AI123" s="435">
        <v>5087</v>
      </c>
      <c r="AJ123" s="436">
        <v>287</v>
      </c>
      <c r="AK123" s="435">
        <v>5338</v>
      </c>
      <c r="AL123" s="436">
        <v>459</v>
      </c>
      <c r="AM123" s="437">
        <v>5578</v>
      </c>
      <c r="AN123" s="436">
        <v>856</v>
      </c>
      <c r="AO123" s="435">
        <v>5818</v>
      </c>
      <c r="AP123" s="436">
        <v>595</v>
      </c>
      <c r="AQ123" s="438">
        <v>6005</v>
      </c>
      <c r="AR123" s="439">
        <v>589</v>
      </c>
      <c r="AS123" s="440">
        <v>6231</v>
      </c>
      <c r="AT123" s="441">
        <v>554</v>
      </c>
      <c r="AU123" s="440">
        <v>6251</v>
      </c>
      <c r="AV123" s="1538">
        <v>518</v>
      </c>
      <c r="AW123" s="1541">
        <v>6891</v>
      </c>
      <c r="AX123" s="1542">
        <v>488</v>
      </c>
      <c r="AY123" s="1767">
        <v>6572</v>
      </c>
      <c r="AZ123" s="1794">
        <v>417</v>
      </c>
    </row>
    <row r="124" spans="1:52" ht="15" customHeight="1" x14ac:dyDescent="0.25">
      <c r="A124" s="447" t="s">
        <v>240</v>
      </c>
      <c r="B124" s="448" t="s">
        <v>241</v>
      </c>
      <c r="C124" s="449" t="s">
        <v>267</v>
      </c>
      <c r="D124" s="450">
        <f t="shared" si="62"/>
        <v>2.2126996493961822E-2</v>
      </c>
      <c r="E124" s="451">
        <f t="shared" si="63"/>
        <v>3.1923873839306269E-2</v>
      </c>
      <c r="F124" s="452">
        <f t="shared" si="48"/>
        <v>3.9435138586344176E-2</v>
      </c>
      <c r="G124" s="452">
        <f t="shared" si="64"/>
        <v>3.6653091447611995E-2</v>
      </c>
      <c r="H124" s="452">
        <f t="shared" si="65"/>
        <v>3.2050354507307192E-2</v>
      </c>
      <c r="I124" s="452">
        <f t="shared" si="66"/>
        <v>3.0664641643161929E-2</v>
      </c>
      <c r="J124" s="452">
        <f t="shared" si="67"/>
        <v>2.9091420139132879E-2</v>
      </c>
      <c r="K124" s="452">
        <f t="shared" si="68"/>
        <v>3.2332725487445646E-2</v>
      </c>
      <c r="L124" s="452">
        <f t="shared" si="69"/>
        <v>4.564748451743094E-2</v>
      </c>
      <c r="M124" s="452">
        <f t="shared" si="70"/>
        <v>8.4034202410989634E-2</v>
      </c>
      <c r="N124" s="452">
        <f t="shared" si="71"/>
        <v>7.6411960132890366E-2</v>
      </c>
      <c r="O124" s="453">
        <f t="shared" si="72"/>
        <v>7.2586818846127082E-2</v>
      </c>
      <c r="P124" s="454">
        <f t="shared" si="73"/>
        <v>6.2098501070663809E-2</v>
      </c>
      <c r="Q124" s="1533">
        <f t="shared" si="74"/>
        <v>5.3840387105568051E-2</v>
      </c>
      <c r="R124" s="453">
        <f t="shared" si="75"/>
        <v>5.0065512723260465E-2</v>
      </c>
      <c r="S124" s="1789">
        <f t="shared" si="61"/>
        <v>4.3391418141745297E-2</v>
      </c>
      <c r="T124" s="219"/>
      <c r="U124" s="433">
        <v>12835</v>
      </c>
      <c r="V124" s="434">
        <v>284</v>
      </c>
      <c r="W124" s="435">
        <v>13031</v>
      </c>
      <c r="X124" s="436">
        <v>416</v>
      </c>
      <c r="Y124" s="435">
        <v>13313</v>
      </c>
      <c r="Z124" s="436">
        <v>525</v>
      </c>
      <c r="AA124" s="435">
        <v>13505</v>
      </c>
      <c r="AB124" s="436">
        <v>495</v>
      </c>
      <c r="AC124" s="435">
        <v>13822</v>
      </c>
      <c r="AD124" s="436">
        <v>443</v>
      </c>
      <c r="AE124" s="435">
        <v>13827</v>
      </c>
      <c r="AF124" s="436">
        <v>424</v>
      </c>
      <c r="AG124" s="435">
        <v>14231</v>
      </c>
      <c r="AH124" s="436">
        <v>414</v>
      </c>
      <c r="AI124" s="435">
        <v>14258</v>
      </c>
      <c r="AJ124" s="436">
        <v>461</v>
      </c>
      <c r="AK124" s="435">
        <v>14371</v>
      </c>
      <c r="AL124" s="436">
        <v>656</v>
      </c>
      <c r="AM124" s="437">
        <v>14268</v>
      </c>
      <c r="AN124" s="436">
        <v>1199</v>
      </c>
      <c r="AO124" s="435">
        <v>13846</v>
      </c>
      <c r="AP124" s="436">
        <v>1058</v>
      </c>
      <c r="AQ124" s="438">
        <v>14369</v>
      </c>
      <c r="AR124" s="439">
        <v>1043</v>
      </c>
      <c r="AS124" s="440">
        <v>14477</v>
      </c>
      <c r="AT124" s="441">
        <v>899</v>
      </c>
      <c r="AU124" s="440">
        <v>14673</v>
      </c>
      <c r="AV124" s="1538">
        <v>790</v>
      </c>
      <c r="AW124" s="1541">
        <v>14501</v>
      </c>
      <c r="AX124" s="1542">
        <v>726</v>
      </c>
      <c r="AY124" s="1767">
        <v>14519</v>
      </c>
      <c r="AZ124" s="1794">
        <v>630</v>
      </c>
    </row>
    <row r="125" spans="1:52" ht="15" customHeight="1" x14ac:dyDescent="0.25">
      <c r="A125" s="426"/>
      <c r="B125" s="455"/>
      <c r="C125" s="190"/>
      <c r="D125" s="190"/>
      <c r="E125" s="456"/>
      <c r="F125" s="456"/>
      <c r="G125" s="456"/>
      <c r="H125" s="456"/>
      <c r="I125" s="456"/>
      <c r="J125" s="456"/>
      <c r="K125" s="456"/>
      <c r="L125" s="456"/>
      <c r="M125" s="456"/>
      <c r="N125" s="456"/>
      <c r="O125" s="187"/>
      <c r="P125" s="187"/>
      <c r="Q125" s="187"/>
      <c r="R125" s="187"/>
      <c r="S125" s="187"/>
      <c r="T125" s="190"/>
      <c r="U125" s="190"/>
      <c r="V125" s="190"/>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8"/>
      <c r="AR125" s="458"/>
    </row>
    <row r="126" spans="1:52" ht="15" customHeight="1" x14ac:dyDescent="0.25">
      <c r="A126" s="628" t="s">
        <v>266</v>
      </c>
      <c r="B126" s="455"/>
      <c r="C126" s="190"/>
      <c r="D126" s="460">
        <f t="shared" ref="D126:D130" si="76">V126/U126</f>
        <v>2.1679057609396746E-2</v>
      </c>
      <c r="E126" s="430">
        <f t="shared" ref="E126:E130" si="77">X126/W126</f>
        <v>3.2030303940112692E-2</v>
      </c>
      <c r="F126" s="430">
        <f t="shared" si="48"/>
        <v>4.1583848194965287E-2</v>
      </c>
      <c r="G126" s="430">
        <f t="shared" ref="G126:G130" si="78">AB126/AA126</f>
        <v>4.2394399201353336E-2</v>
      </c>
      <c r="H126" s="430">
        <f t="shared" ref="H126:H130" si="79">AD126/AC126</f>
        <v>3.9432360308648967E-2</v>
      </c>
      <c r="I126" s="430">
        <f t="shared" ref="I126:I130" si="80">AF126/AE126</f>
        <v>3.8119653356368605E-2</v>
      </c>
      <c r="J126" s="430">
        <f t="shared" ref="J126:J130" si="81">AH126/AG126</f>
        <v>3.2701218361270601E-2</v>
      </c>
      <c r="K126" s="430">
        <f t="shared" ref="K126:K130" si="82">AJ126/AI126</f>
        <v>3.2068094393999685E-2</v>
      </c>
      <c r="L126" s="430">
        <f t="shared" ref="L126:L130" si="83">AL126/AK126</f>
        <v>4.2602168327453109E-2</v>
      </c>
      <c r="M126" s="430">
        <f t="shared" ref="M126:M130" si="84">AN126/AM126</f>
        <v>7.8390419471700112E-2</v>
      </c>
      <c r="N126" s="430">
        <f t="shared" ref="N126:N130" si="85">AP126/AO126</f>
        <v>7.9888358666195355E-2</v>
      </c>
      <c r="O126" s="1534">
        <f t="shared" ref="O126:O130" si="86">AR126/AQ126</f>
        <v>7.1869259021356616E-2</v>
      </c>
      <c r="P126" s="1535">
        <f t="shared" ref="P126:P130" si="87">AT126/AS126</f>
        <v>6.4290460055545062E-2</v>
      </c>
      <c r="Q126" s="1535">
        <f t="shared" ref="Q126:Q130" si="88">AV126/AU126</f>
        <v>5.9735844084419898E-2</v>
      </c>
      <c r="R126" s="1532">
        <f>AX126/AW126</f>
        <v>5.4937182616739924E-2</v>
      </c>
      <c r="S126" s="456">
        <f t="shared" ref="S126:S130" si="89">AZ126/AY126</f>
        <v>4.6487171649471526E-2</v>
      </c>
      <c r="T126" s="190"/>
      <c r="U126" s="461">
        <v>589140</v>
      </c>
      <c r="V126" s="439">
        <v>12772</v>
      </c>
      <c r="W126" s="461">
        <v>599526</v>
      </c>
      <c r="X126" s="439">
        <v>19203</v>
      </c>
      <c r="Y126" s="461">
        <v>612786</v>
      </c>
      <c r="Z126" s="439">
        <v>25482</v>
      </c>
      <c r="AA126" s="461">
        <v>623054</v>
      </c>
      <c r="AB126" s="439">
        <v>26414</v>
      </c>
      <c r="AC126" s="461">
        <v>635544</v>
      </c>
      <c r="AD126" s="439">
        <v>25061</v>
      </c>
      <c r="AE126" s="461">
        <v>645966</v>
      </c>
      <c r="AF126" s="439">
        <v>24624</v>
      </c>
      <c r="AG126" s="461">
        <v>656948</v>
      </c>
      <c r="AH126" s="439">
        <v>21483</v>
      </c>
      <c r="AI126" s="461">
        <v>663432</v>
      </c>
      <c r="AJ126" s="439">
        <v>21275</v>
      </c>
      <c r="AK126" s="461">
        <v>684214</v>
      </c>
      <c r="AL126" s="439">
        <v>29149</v>
      </c>
      <c r="AM126" s="461">
        <v>679879</v>
      </c>
      <c r="AN126" s="439">
        <v>53296</v>
      </c>
      <c r="AO126" s="461">
        <v>678960</v>
      </c>
      <c r="AP126" s="439">
        <v>54241</v>
      </c>
      <c r="AQ126" s="461">
        <v>689669</v>
      </c>
      <c r="AR126" s="439">
        <v>49566</v>
      </c>
      <c r="AS126" s="461">
        <v>693851</v>
      </c>
      <c r="AT126" s="439">
        <v>44608</v>
      </c>
      <c r="AU126" s="461">
        <v>698224</v>
      </c>
      <c r="AV126" s="1543">
        <v>41709</v>
      </c>
      <c r="AW126" s="1767">
        <v>709119</v>
      </c>
      <c r="AX126" s="1768">
        <v>38957</v>
      </c>
      <c r="AY126" s="1790">
        <v>713186</v>
      </c>
      <c r="AZ126" s="1790">
        <v>33154</v>
      </c>
    </row>
    <row r="127" spans="1:52" ht="15" customHeight="1" x14ac:dyDescent="0.25">
      <c r="A127" s="628" t="s">
        <v>264</v>
      </c>
      <c r="B127" s="455"/>
      <c r="C127" s="190"/>
      <c r="D127" s="460">
        <f t="shared" si="76"/>
        <v>2.5429563703006187E-2</v>
      </c>
      <c r="E127" s="430">
        <f t="shared" si="77"/>
        <v>3.321706618825393E-2</v>
      </c>
      <c r="F127" s="430">
        <f t="shared" si="48"/>
        <v>4.1534323678387962E-2</v>
      </c>
      <c r="G127" s="430">
        <f t="shared" si="78"/>
        <v>4.2791271264473518E-2</v>
      </c>
      <c r="H127" s="430">
        <f t="shared" si="79"/>
        <v>4.0761272067991045E-2</v>
      </c>
      <c r="I127" s="430">
        <f t="shared" si="80"/>
        <v>3.9893832142007021E-2</v>
      </c>
      <c r="J127" s="430">
        <f t="shared" si="81"/>
        <v>3.4054139645035592E-2</v>
      </c>
      <c r="K127" s="430">
        <f t="shared" si="82"/>
        <v>3.3091630916195276E-2</v>
      </c>
      <c r="L127" s="430">
        <f t="shared" si="83"/>
        <v>4.2744274872914149E-2</v>
      </c>
      <c r="M127" s="430">
        <f t="shared" si="84"/>
        <v>7.2502585768335376E-2</v>
      </c>
      <c r="N127" s="430">
        <f t="shared" si="85"/>
        <v>7.6663536748089484E-2</v>
      </c>
      <c r="O127" s="1534">
        <f t="shared" si="86"/>
        <v>7.2411265556543009E-2</v>
      </c>
      <c r="P127" s="1535">
        <f t="shared" si="87"/>
        <v>6.6414075961871114E-2</v>
      </c>
      <c r="Q127" s="1535">
        <f t="shared" si="88"/>
        <v>6.1377424762512969E-2</v>
      </c>
      <c r="R127" s="1532">
        <f t="shared" ref="R127:R130" si="90">AX127/AW127</f>
        <v>5.7334382521145637E-2</v>
      </c>
      <c r="S127" s="456">
        <f t="shared" si="89"/>
        <v>4.9696849219759469E-2</v>
      </c>
      <c r="T127" s="190"/>
      <c r="U127" s="461">
        <v>790104</v>
      </c>
      <c r="V127" s="439">
        <v>20092</v>
      </c>
      <c r="W127" s="461">
        <v>809343</v>
      </c>
      <c r="X127" s="439">
        <v>26884</v>
      </c>
      <c r="Y127" s="461">
        <v>834322</v>
      </c>
      <c r="Z127" s="439">
        <v>34653</v>
      </c>
      <c r="AA127" s="461">
        <v>848187</v>
      </c>
      <c r="AB127" s="439">
        <v>36295</v>
      </c>
      <c r="AC127" s="461">
        <v>857407</v>
      </c>
      <c r="AD127" s="439">
        <v>34949</v>
      </c>
      <c r="AE127" s="461">
        <v>865422</v>
      </c>
      <c r="AF127" s="439">
        <v>34525</v>
      </c>
      <c r="AG127" s="461">
        <v>871524</v>
      </c>
      <c r="AH127" s="439">
        <v>29679</v>
      </c>
      <c r="AI127" s="461">
        <v>878077</v>
      </c>
      <c r="AJ127" s="439">
        <v>29057</v>
      </c>
      <c r="AK127" s="461">
        <v>898015</v>
      </c>
      <c r="AL127" s="439">
        <v>38385</v>
      </c>
      <c r="AM127" s="461">
        <v>890451</v>
      </c>
      <c r="AN127" s="439">
        <v>64560</v>
      </c>
      <c r="AO127" s="461">
        <v>890332</v>
      </c>
      <c r="AP127" s="439">
        <v>68256</v>
      </c>
      <c r="AQ127" s="461">
        <v>899059</v>
      </c>
      <c r="AR127" s="439">
        <v>65102</v>
      </c>
      <c r="AS127" s="461">
        <v>898951</v>
      </c>
      <c r="AT127" s="439">
        <v>59703</v>
      </c>
      <c r="AU127" s="461">
        <v>901944</v>
      </c>
      <c r="AV127" s="1543">
        <v>55359</v>
      </c>
      <c r="AW127" s="1767">
        <v>911181</v>
      </c>
      <c r="AX127" s="1768">
        <v>52242</v>
      </c>
      <c r="AY127" s="1790">
        <v>905490</v>
      </c>
      <c r="AZ127" s="1790">
        <v>45000</v>
      </c>
    </row>
    <row r="128" spans="1:52" ht="15" customHeight="1" x14ac:dyDescent="0.25">
      <c r="A128" s="628" t="s">
        <v>267</v>
      </c>
      <c r="B128" s="455"/>
      <c r="C128" s="190"/>
      <c r="D128" s="460">
        <f t="shared" si="76"/>
        <v>1.6879580584418224E-2</v>
      </c>
      <c r="E128" s="430">
        <f t="shared" si="77"/>
        <v>2.5097361051548011E-2</v>
      </c>
      <c r="F128" s="430">
        <f t="shared" si="48"/>
        <v>3.4157529216219347E-2</v>
      </c>
      <c r="G128" s="430">
        <f t="shared" si="78"/>
        <v>3.2218112314505103E-2</v>
      </c>
      <c r="H128" s="430">
        <f t="shared" si="79"/>
        <v>2.8120733230688783E-2</v>
      </c>
      <c r="I128" s="430">
        <f t="shared" si="80"/>
        <v>2.6636652355762697E-2</v>
      </c>
      <c r="J128" s="430">
        <f t="shared" si="81"/>
        <v>2.3449638566046073E-2</v>
      </c>
      <c r="K128" s="430">
        <f t="shared" si="82"/>
        <v>2.4120898620760063E-2</v>
      </c>
      <c r="L128" s="430">
        <f t="shared" si="83"/>
        <v>3.1947445790692676E-2</v>
      </c>
      <c r="M128" s="430">
        <f t="shared" si="84"/>
        <v>5.5781156472135565E-2</v>
      </c>
      <c r="N128" s="430">
        <f t="shared" si="85"/>
        <v>5.647942135360267E-2</v>
      </c>
      <c r="O128" s="1534">
        <f t="shared" si="86"/>
        <v>5.1413270937415316E-2</v>
      </c>
      <c r="P128" s="1535">
        <f t="shared" si="87"/>
        <v>4.7615979164822256E-2</v>
      </c>
      <c r="Q128" s="1535">
        <f t="shared" si="88"/>
        <v>4.5670222416519413E-2</v>
      </c>
      <c r="R128" s="1532">
        <f t="shared" si="90"/>
        <v>4.3764253005167571E-2</v>
      </c>
      <c r="S128" s="456">
        <f t="shared" si="89"/>
        <v>3.7894918682763866E-2</v>
      </c>
      <c r="T128" s="190"/>
      <c r="U128" s="461">
        <v>1402523</v>
      </c>
      <c r="V128" s="439">
        <v>23674</v>
      </c>
      <c r="W128" s="461">
        <v>1438717</v>
      </c>
      <c r="X128" s="439">
        <v>36108</v>
      </c>
      <c r="Y128" s="461">
        <v>1474609</v>
      </c>
      <c r="Z128" s="439">
        <v>50369</v>
      </c>
      <c r="AA128" s="461">
        <v>1502602</v>
      </c>
      <c r="AB128" s="439">
        <v>48411</v>
      </c>
      <c r="AC128" s="461">
        <v>1549035</v>
      </c>
      <c r="AD128" s="439">
        <v>43560</v>
      </c>
      <c r="AE128" s="461">
        <v>1589464</v>
      </c>
      <c r="AF128" s="439">
        <v>42338</v>
      </c>
      <c r="AG128" s="461">
        <v>1629620</v>
      </c>
      <c r="AH128" s="439">
        <v>38214</v>
      </c>
      <c r="AI128" s="461">
        <v>1645544</v>
      </c>
      <c r="AJ128" s="439">
        <v>39692</v>
      </c>
      <c r="AK128" s="461">
        <v>1702014</v>
      </c>
      <c r="AL128" s="439">
        <v>54375</v>
      </c>
      <c r="AM128" s="461">
        <v>1702367</v>
      </c>
      <c r="AN128" s="439">
        <v>94960</v>
      </c>
      <c r="AO128" s="461">
        <v>1723194</v>
      </c>
      <c r="AP128" s="439">
        <v>97325</v>
      </c>
      <c r="AQ128" s="461">
        <v>1767637</v>
      </c>
      <c r="AR128" s="439">
        <v>90880</v>
      </c>
      <c r="AS128" s="461">
        <v>1784674</v>
      </c>
      <c r="AT128" s="439">
        <v>84979</v>
      </c>
      <c r="AU128" s="461">
        <v>1797933</v>
      </c>
      <c r="AV128" s="1543">
        <v>82112</v>
      </c>
      <c r="AW128" s="1767">
        <v>1801813</v>
      </c>
      <c r="AX128" s="1768">
        <v>78855</v>
      </c>
      <c r="AY128" s="1790">
        <v>1794515</v>
      </c>
      <c r="AZ128" s="1790">
        <v>68003</v>
      </c>
    </row>
    <row r="129" spans="1:52" ht="15" customHeight="1" x14ac:dyDescent="0.25">
      <c r="A129" s="628" t="s">
        <v>265</v>
      </c>
      <c r="B129" s="455"/>
      <c r="C129" s="190"/>
      <c r="D129" s="460">
        <f t="shared" si="76"/>
        <v>2.6854844076996457E-2</v>
      </c>
      <c r="E129" s="430">
        <f t="shared" si="77"/>
        <v>3.9423327904591389E-2</v>
      </c>
      <c r="F129" s="430">
        <f t="shared" si="48"/>
        <v>5.419779251679803E-2</v>
      </c>
      <c r="G129" s="430">
        <f t="shared" si="78"/>
        <v>5.2694301547261999E-2</v>
      </c>
      <c r="H129" s="430">
        <f t="shared" si="79"/>
        <v>4.7009844629719737E-2</v>
      </c>
      <c r="I129" s="430">
        <f t="shared" si="80"/>
        <v>4.3417369487565104E-2</v>
      </c>
      <c r="J129" s="430">
        <f t="shared" si="81"/>
        <v>3.6775540716354825E-2</v>
      </c>
      <c r="K129" s="430">
        <f t="shared" si="82"/>
        <v>3.7330460247607104E-2</v>
      </c>
      <c r="L129" s="430">
        <f t="shared" si="83"/>
        <v>4.7130381241770838E-2</v>
      </c>
      <c r="M129" s="430">
        <f t="shared" si="84"/>
        <v>8.4040551839464878E-2</v>
      </c>
      <c r="N129" s="430">
        <f t="shared" si="85"/>
        <v>8.5694305483139097E-2</v>
      </c>
      <c r="O129" s="1534">
        <f t="shared" si="86"/>
        <v>7.5830646291882797E-2</v>
      </c>
      <c r="P129" s="1535">
        <f t="shared" si="87"/>
        <v>6.7452757868989105E-2</v>
      </c>
      <c r="Q129" s="1535">
        <f t="shared" si="88"/>
        <v>6.2925050088890142E-2</v>
      </c>
      <c r="R129" s="1532">
        <f t="shared" si="90"/>
        <v>5.6255291663393471E-2</v>
      </c>
      <c r="S129" s="456">
        <f t="shared" si="89"/>
        <v>4.8283481827181444E-2</v>
      </c>
      <c r="T129" s="190"/>
      <c r="U129" s="461">
        <v>540908</v>
      </c>
      <c r="V129" s="439">
        <v>14526</v>
      </c>
      <c r="W129" s="461">
        <v>544018</v>
      </c>
      <c r="X129" s="439">
        <v>21447</v>
      </c>
      <c r="Y129" s="461">
        <v>553934</v>
      </c>
      <c r="Z129" s="439">
        <v>30022</v>
      </c>
      <c r="AA129" s="461">
        <v>553817</v>
      </c>
      <c r="AB129" s="439">
        <v>29183</v>
      </c>
      <c r="AC129" s="461">
        <v>546694</v>
      </c>
      <c r="AD129" s="439">
        <v>25700</v>
      </c>
      <c r="AE129" s="461">
        <v>551231</v>
      </c>
      <c r="AF129" s="439">
        <v>23933</v>
      </c>
      <c r="AG129" s="461">
        <v>556484</v>
      </c>
      <c r="AH129" s="439">
        <v>20465</v>
      </c>
      <c r="AI129" s="461">
        <v>559677</v>
      </c>
      <c r="AJ129" s="439">
        <v>20893</v>
      </c>
      <c r="AK129" s="461">
        <v>574937</v>
      </c>
      <c r="AL129" s="439">
        <v>27097</v>
      </c>
      <c r="AM129" s="461">
        <v>574080</v>
      </c>
      <c r="AN129" s="439">
        <v>48246</v>
      </c>
      <c r="AO129" s="461">
        <v>567704</v>
      </c>
      <c r="AP129" s="439">
        <v>48649</v>
      </c>
      <c r="AQ129" s="461">
        <v>570640</v>
      </c>
      <c r="AR129" s="439">
        <v>43272</v>
      </c>
      <c r="AS129" s="461">
        <v>567449</v>
      </c>
      <c r="AT129" s="439">
        <v>38276</v>
      </c>
      <c r="AU129" s="461">
        <v>566992</v>
      </c>
      <c r="AV129" s="1543">
        <v>35678</v>
      </c>
      <c r="AW129" s="1767">
        <v>572835</v>
      </c>
      <c r="AX129" s="1768">
        <v>32225</v>
      </c>
      <c r="AY129" s="1790">
        <v>565680</v>
      </c>
      <c r="AZ129" s="1790">
        <v>27313</v>
      </c>
    </row>
    <row r="130" spans="1:52" ht="15" customHeight="1" x14ac:dyDescent="0.25">
      <c r="A130" s="628" t="s">
        <v>268</v>
      </c>
      <c r="B130" s="455"/>
      <c r="C130" s="190"/>
      <c r="D130" s="460">
        <f t="shared" si="76"/>
        <v>3.9992807186691764E-2</v>
      </c>
      <c r="E130" s="430">
        <f t="shared" si="77"/>
        <v>5.3137166447425783E-2</v>
      </c>
      <c r="F130" s="430">
        <f t="shared" si="48"/>
        <v>5.9624092014185767E-2</v>
      </c>
      <c r="G130" s="430">
        <f t="shared" si="78"/>
        <v>5.6062505678204776E-2</v>
      </c>
      <c r="H130" s="430">
        <f t="shared" si="79"/>
        <v>4.9803733701727221E-2</v>
      </c>
      <c r="I130" s="430">
        <f t="shared" si="80"/>
        <v>4.6585865926137393E-2</v>
      </c>
      <c r="J130" s="430">
        <f t="shared" si="81"/>
        <v>4.2236984855915705E-2</v>
      </c>
      <c r="K130" s="430">
        <f t="shared" si="82"/>
        <v>4.4953707811991601E-2</v>
      </c>
      <c r="L130" s="430">
        <f t="shared" si="83"/>
        <v>5.2288495169289871E-2</v>
      </c>
      <c r="M130" s="430">
        <f t="shared" si="84"/>
        <v>9.1706631941871258E-2</v>
      </c>
      <c r="N130" s="430">
        <f t="shared" si="85"/>
        <v>9.1026399268777897E-2</v>
      </c>
      <c r="O130" s="1534">
        <f t="shared" si="86"/>
        <v>7.946351107255116E-2</v>
      </c>
      <c r="P130" s="1535">
        <f t="shared" si="87"/>
        <v>7.4349172729448798E-2</v>
      </c>
      <c r="Q130" s="1535">
        <f t="shared" si="88"/>
        <v>7.3725547232928512E-2</v>
      </c>
      <c r="R130" s="1532">
        <f t="shared" si="90"/>
        <v>6.6828429126257347E-2</v>
      </c>
      <c r="S130" s="456">
        <f t="shared" si="89"/>
        <v>5.7693851417212977E-2</v>
      </c>
      <c r="T130" s="190"/>
      <c r="U130" s="461">
        <v>261372</v>
      </c>
      <c r="V130" s="439">
        <v>10453</v>
      </c>
      <c r="W130" s="461">
        <v>263789</v>
      </c>
      <c r="X130" s="439">
        <v>14017</v>
      </c>
      <c r="Y130" s="461">
        <v>269002</v>
      </c>
      <c r="Z130" s="439">
        <v>16039</v>
      </c>
      <c r="AA130" s="461">
        <v>275175</v>
      </c>
      <c r="AB130" s="439">
        <v>15427</v>
      </c>
      <c r="AC130" s="461">
        <v>269277</v>
      </c>
      <c r="AD130" s="439">
        <v>13411</v>
      </c>
      <c r="AE130" s="461">
        <v>269717</v>
      </c>
      <c r="AF130" s="439">
        <v>12565</v>
      </c>
      <c r="AG130" s="461">
        <v>269148</v>
      </c>
      <c r="AH130" s="439">
        <v>11368</v>
      </c>
      <c r="AI130" s="461">
        <v>270456</v>
      </c>
      <c r="AJ130" s="439">
        <v>12158</v>
      </c>
      <c r="AK130" s="461">
        <v>279048</v>
      </c>
      <c r="AL130" s="439">
        <v>14591</v>
      </c>
      <c r="AM130" s="461">
        <v>283371</v>
      </c>
      <c r="AN130" s="439">
        <v>25987</v>
      </c>
      <c r="AO130" s="461">
        <v>278985</v>
      </c>
      <c r="AP130" s="439">
        <v>25395</v>
      </c>
      <c r="AQ130" s="461">
        <v>281236</v>
      </c>
      <c r="AR130" s="439">
        <v>22348</v>
      </c>
      <c r="AS130" s="461">
        <v>275726</v>
      </c>
      <c r="AT130" s="439">
        <v>20500</v>
      </c>
      <c r="AU130" s="461">
        <v>275020</v>
      </c>
      <c r="AV130" s="1543">
        <v>20276</v>
      </c>
      <c r="AW130" s="1767">
        <v>266234</v>
      </c>
      <c r="AX130" s="1768">
        <v>17792</v>
      </c>
      <c r="AY130" s="1790">
        <v>261605</v>
      </c>
      <c r="AZ130" s="1790">
        <v>15093</v>
      </c>
    </row>
    <row r="131" spans="1:52" ht="15" customHeight="1" x14ac:dyDescent="0.25">
      <c r="A131" s="459"/>
      <c r="B131" s="455"/>
      <c r="C131" s="190"/>
      <c r="D131" s="190"/>
      <c r="E131" s="456"/>
      <c r="F131" s="456"/>
      <c r="G131" s="456"/>
      <c r="H131" s="456"/>
      <c r="I131" s="456"/>
      <c r="J131" s="456"/>
      <c r="K131" s="456"/>
      <c r="L131" s="456"/>
      <c r="M131" s="456"/>
      <c r="N131" s="456"/>
      <c r="O131" s="187"/>
      <c r="P131" s="187"/>
      <c r="Q131" s="187"/>
      <c r="R131" s="187"/>
      <c r="S131" s="187"/>
      <c r="T131" s="190"/>
      <c r="U131" s="190"/>
      <c r="V131" s="190"/>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8"/>
      <c r="AR131" s="458"/>
    </row>
    <row r="132" spans="1:52" ht="16.5" customHeight="1" x14ac:dyDescent="0.25">
      <c r="A132" s="2250" t="s">
        <v>845</v>
      </c>
      <c r="B132" s="2251"/>
      <c r="C132" s="2251"/>
      <c r="D132" s="2251"/>
      <c r="E132" s="2251"/>
      <c r="F132" s="2251"/>
      <c r="G132" s="2251"/>
      <c r="H132" s="2251"/>
      <c r="I132" s="2251"/>
      <c r="J132" s="2251"/>
      <c r="K132" s="2251"/>
      <c r="L132" s="2251"/>
      <c r="M132" s="2251"/>
      <c r="N132" s="2251"/>
      <c r="O132" s="2251"/>
      <c r="P132" s="605"/>
      <c r="Q132" s="605"/>
      <c r="R132" s="605"/>
      <c r="S132" s="605"/>
    </row>
    <row r="133" spans="1:52" ht="16.5" customHeight="1" x14ac:dyDescent="0.25">
      <c r="A133" s="2251"/>
      <c r="B133" s="2251"/>
      <c r="C133" s="2251"/>
      <c r="D133" s="2251"/>
      <c r="E133" s="2251"/>
      <c r="F133" s="2251"/>
      <c r="G133" s="2251"/>
      <c r="H133" s="2251"/>
      <c r="I133" s="2251"/>
      <c r="J133" s="2251"/>
      <c r="K133" s="2251"/>
      <c r="L133" s="2251"/>
      <c r="M133" s="2251"/>
      <c r="N133" s="2251"/>
      <c r="O133" s="2251"/>
      <c r="P133" s="507"/>
      <c r="Q133" s="507"/>
      <c r="R133" s="507"/>
      <c r="S133" s="507"/>
    </row>
    <row r="134" spans="1:52" ht="16.5" customHeight="1" x14ac:dyDescent="0.25">
      <c r="A134" s="506"/>
      <c r="B134" s="506"/>
      <c r="C134" s="506"/>
      <c r="D134" s="506"/>
      <c r="E134" s="506"/>
      <c r="F134" s="506"/>
      <c r="G134" s="506"/>
      <c r="H134" s="506"/>
      <c r="I134" s="506"/>
      <c r="J134" s="506"/>
      <c r="K134" s="506"/>
      <c r="L134" s="506"/>
      <c r="M134" s="506"/>
      <c r="N134" s="506"/>
      <c r="O134" s="506"/>
      <c r="P134" s="507"/>
      <c r="Q134" s="507"/>
      <c r="R134" s="507"/>
      <c r="S134" s="507"/>
    </row>
    <row r="135" spans="1:52" x14ac:dyDescent="0.25">
      <c r="A135" s="412" t="s">
        <v>248</v>
      </c>
    </row>
    <row r="136" spans="1:52" x14ac:dyDescent="0.25">
      <c r="A136" s="413" t="s">
        <v>249</v>
      </c>
      <c r="B136" s="414" t="s">
        <v>250</v>
      </c>
    </row>
    <row r="137" spans="1:52" x14ac:dyDescent="0.25">
      <c r="W137" s="462"/>
      <c r="X137" s="462"/>
      <c r="Y137" s="462"/>
      <c r="Z137" s="462"/>
      <c r="AA137" s="462"/>
      <c r="AB137" s="462"/>
      <c r="AC137" s="462"/>
      <c r="AD137" s="462"/>
      <c r="AE137" s="462"/>
      <c r="AF137" s="462"/>
      <c r="AG137" s="462"/>
      <c r="AH137" s="462"/>
      <c r="AI137" s="462"/>
      <c r="AJ137" s="462"/>
      <c r="AK137" s="462"/>
      <c r="AL137" s="462"/>
      <c r="AM137" s="462"/>
      <c r="AN137" s="462"/>
      <c r="AO137" s="462"/>
      <c r="AP137" s="462"/>
    </row>
  </sheetData>
  <autoFilter ref="A3:C124"/>
  <sortState ref="A5:BF124">
    <sortCondition ref="A5:A124"/>
  </sortState>
  <mergeCells count="1">
    <mergeCell ref="A132:O133"/>
  </mergeCells>
  <hyperlinks>
    <hyperlink ref="B136"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103" activePane="bottomLeft" state="frozen"/>
      <selection pane="bottomLeft" activeCell="I104" sqref="I104:K104"/>
    </sheetView>
  </sheetViews>
  <sheetFormatPr defaultRowHeight="15.75" x14ac:dyDescent="0.25"/>
  <cols>
    <col min="1" max="1" width="7.75" style="134" customWidth="1"/>
    <col min="2" max="2" width="28.625" style="158" customWidth="1"/>
    <col min="3" max="3" width="10" style="158" customWidth="1"/>
    <col min="4" max="4" width="8.375" style="158" customWidth="1"/>
    <col min="5" max="7" width="8.375" style="157" customWidth="1"/>
    <col min="8" max="11" width="6.875" style="134" customWidth="1"/>
    <col min="12" max="15" width="6.875" style="135" customWidth="1"/>
    <col min="16" max="16384" width="9" style="134"/>
  </cols>
  <sheetData>
    <row r="1" spans="1:15" x14ac:dyDescent="0.25">
      <c r="A1" s="313" t="s">
        <v>1266</v>
      </c>
      <c r="B1" s="313"/>
      <c r="C1" s="313"/>
      <c r="D1" s="313"/>
      <c r="E1" s="313"/>
      <c r="F1" s="313"/>
      <c r="G1" s="313"/>
      <c r="H1" s="313"/>
      <c r="I1" s="314"/>
      <c r="J1" s="314"/>
      <c r="K1" s="314"/>
      <c r="L1" s="314"/>
      <c r="M1" s="314"/>
      <c r="N1" s="314"/>
      <c r="O1" s="314"/>
    </row>
    <row r="2" spans="1:15" x14ac:dyDescent="0.25">
      <c r="A2" s="96"/>
      <c r="B2" s="136"/>
      <c r="C2" s="136"/>
      <c r="D2" s="136"/>
      <c r="E2" s="2256"/>
      <c r="F2" s="2256"/>
      <c r="G2" s="2256"/>
    </row>
    <row r="3" spans="1:15" s="142" customFormat="1" ht="15.75" customHeight="1" x14ac:dyDescent="0.2">
      <c r="A3" s="137"/>
      <c r="B3" s="138"/>
      <c r="C3" s="138"/>
      <c r="D3" s="139" t="s">
        <v>630</v>
      </c>
      <c r="E3" s="140"/>
      <c r="F3" s="140"/>
      <c r="G3" s="141"/>
      <c r="H3" s="2253" t="s">
        <v>631</v>
      </c>
      <c r="I3" s="2254"/>
      <c r="J3" s="2254"/>
      <c r="K3" s="2254"/>
      <c r="L3" s="2254"/>
      <c r="M3" s="2254"/>
      <c r="N3" s="2254"/>
      <c r="O3" s="2254"/>
    </row>
    <row r="4" spans="1:15" s="142" customFormat="1" ht="24.75" customHeight="1" x14ac:dyDescent="0.2">
      <c r="A4" s="2257" t="s">
        <v>4</v>
      </c>
      <c r="B4" s="2259" t="s">
        <v>5</v>
      </c>
      <c r="C4" s="2259" t="s">
        <v>251</v>
      </c>
      <c r="D4" s="2253" t="s">
        <v>632</v>
      </c>
      <c r="E4" s="2254"/>
      <c r="F4" s="2254"/>
      <c r="G4" s="2255"/>
      <c r="H4" s="2253" t="s">
        <v>633</v>
      </c>
      <c r="I4" s="2254"/>
      <c r="J4" s="2254"/>
      <c r="K4" s="2255"/>
      <c r="L4" s="2253" t="s">
        <v>634</v>
      </c>
      <c r="M4" s="2254"/>
      <c r="N4" s="2254"/>
      <c r="O4" s="2255"/>
    </row>
    <row r="5" spans="1:15" s="142" customFormat="1" ht="15" customHeight="1" x14ac:dyDescent="0.2">
      <c r="A5" s="2258"/>
      <c r="B5" s="2260"/>
      <c r="C5" s="2260"/>
      <c r="D5" s="143" t="s">
        <v>635</v>
      </c>
      <c r="E5" s="144" t="s">
        <v>563</v>
      </c>
      <c r="F5" s="144" t="s">
        <v>564</v>
      </c>
      <c r="G5" s="297" t="s">
        <v>636</v>
      </c>
      <c r="H5" s="143" t="s">
        <v>635</v>
      </c>
      <c r="I5" s="144" t="s">
        <v>563</v>
      </c>
      <c r="J5" s="144" t="s">
        <v>564</v>
      </c>
      <c r="K5" s="297" t="s">
        <v>636</v>
      </c>
      <c r="L5" s="143" t="s">
        <v>635</v>
      </c>
      <c r="M5" s="144" t="s">
        <v>563</v>
      </c>
      <c r="N5" s="144" t="s">
        <v>564</v>
      </c>
      <c r="O5" s="145" t="s">
        <v>636</v>
      </c>
    </row>
    <row r="6" spans="1:15" s="142" customFormat="1" ht="15.75" customHeight="1" x14ac:dyDescent="0.2">
      <c r="A6" s="146" t="s">
        <v>8</v>
      </c>
      <c r="B6" s="147" t="s">
        <v>9</v>
      </c>
      <c r="C6" s="148"/>
      <c r="D6" s="298">
        <v>102795</v>
      </c>
      <c r="E6" s="299">
        <v>64939</v>
      </c>
      <c r="F6" s="299">
        <v>21267</v>
      </c>
      <c r="G6" s="300">
        <v>16589</v>
      </c>
      <c r="H6" s="298">
        <v>34955</v>
      </c>
      <c r="I6" s="299">
        <v>16347</v>
      </c>
      <c r="J6" s="299">
        <v>13766</v>
      </c>
      <c r="K6" s="300">
        <v>4842</v>
      </c>
      <c r="L6" s="287">
        <f>(H6/D6)</f>
        <v>0.340045722068194</v>
      </c>
      <c r="M6" s="287">
        <f>(I6/E6)</f>
        <v>0.25172854525015786</v>
      </c>
      <c r="N6" s="287">
        <f>(J6/F6)</f>
        <v>0.64729392956223253</v>
      </c>
      <c r="O6" s="287">
        <f>(K6/G6)</f>
        <v>0.29188016155283619</v>
      </c>
    </row>
    <row r="7" spans="1:15" s="142" customFormat="1" ht="15.75" customHeight="1" x14ac:dyDescent="0.2">
      <c r="A7" s="149" t="s">
        <v>10</v>
      </c>
      <c r="B7" s="188" t="s">
        <v>11</v>
      </c>
      <c r="C7" s="150" t="s">
        <v>264</v>
      </c>
      <c r="D7" s="1221">
        <v>376</v>
      </c>
      <c r="E7" s="1222">
        <v>234</v>
      </c>
      <c r="F7" s="1223">
        <v>133</v>
      </c>
      <c r="G7" s="1220">
        <v>9</v>
      </c>
      <c r="H7" s="1221">
        <v>209</v>
      </c>
      <c r="I7" s="1222">
        <v>108</v>
      </c>
      <c r="J7" s="1223">
        <v>101</v>
      </c>
      <c r="K7" s="1220">
        <v>0</v>
      </c>
      <c r="L7" s="288">
        <f t="shared" ref="L7:L38" si="0">IF(D7=0,"NA",(H7/D7))</f>
        <v>0.55585106382978722</v>
      </c>
      <c r="M7" s="289">
        <f t="shared" ref="M7:M38" si="1">IF(E7=0,"NA",(I7/E7))</f>
        <v>0.46153846153846156</v>
      </c>
      <c r="N7" s="289">
        <f t="shared" ref="N7:N38" si="2">IF(F7=0,"NA",(J7/F7))</f>
        <v>0.75939849624060152</v>
      </c>
      <c r="O7" s="290">
        <f t="shared" ref="O7:O38" si="3">IF(G7=0,"NA",(K7/G7))</f>
        <v>0</v>
      </c>
    </row>
    <row r="8" spans="1:15" s="142" customFormat="1" ht="15.75" customHeight="1" x14ac:dyDescent="0.2">
      <c r="A8" s="149" t="s">
        <v>12</v>
      </c>
      <c r="B8" s="189" t="s">
        <v>13</v>
      </c>
      <c r="C8" s="150" t="s">
        <v>265</v>
      </c>
      <c r="D8" s="1221">
        <v>1032</v>
      </c>
      <c r="E8" s="1222">
        <v>776</v>
      </c>
      <c r="F8" s="1223">
        <v>117</v>
      </c>
      <c r="G8" s="1220">
        <v>139</v>
      </c>
      <c r="H8" s="1221">
        <v>259</v>
      </c>
      <c r="I8" s="1222">
        <v>145</v>
      </c>
      <c r="J8" s="1223">
        <v>82</v>
      </c>
      <c r="K8" s="1220">
        <v>32</v>
      </c>
      <c r="L8" s="288">
        <f t="shared" si="0"/>
        <v>0.25096899224806202</v>
      </c>
      <c r="M8" s="289">
        <f t="shared" si="1"/>
        <v>0.18685567010309279</v>
      </c>
      <c r="N8" s="289">
        <f t="shared" si="2"/>
        <v>0.70085470085470081</v>
      </c>
      <c r="O8" s="290">
        <f t="shared" si="3"/>
        <v>0.23021582733812951</v>
      </c>
    </row>
    <row r="9" spans="1:15" s="142" customFormat="1" ht="15.75" customHeight="1" x14ac:dyDescent="0.2">
      <c r="A9" s="149" t="s">
        <v>16</v>
      </c>
      <c r="B9" s="189" t="s">
        <v>297</v>
      </c>
      <c r="C9" s="150" t="s">
        <v>265</v>
      </c>
      <c r="D9" s="1221">
        <v>196</v>
      </c>
      <c r="E9" s="1222">
        <v>181</v>
      </c>
      <c r="F9" s="1223">
        <v>13</v>
      </c>
      <c r="G9" s="1220">
        <v>2</v>
      </c>
      <c r="H9" s="1221">
        <v>95</v>
      </c>
      <c r="I9" s="1222">
        <v>82</v>
      </c>
      <c r="J9" s="1223">
        <v>11</v>
      </c>
      <c r="K9" s="1220">
        <v>2</v>
      </c>
      <c r="L9" s="288">
        <f t="shared" si="0"/>
        <v>0.48469387755102039</v>
      </c>
      <c r="M9" s="289">
        <f t="shared" si="1"/>
        <v>0.45303867403314918</v>
      </c>
      <c r="N9" s="289">
        <f t="shared" si="2"/>
        <v>0.84615384615384615</v>
      </c>
      <c r="O9" s="290">
        <f t="shared" si="3"/>
        <v>1</v>
      </c>
    </row>
    <row r="10" spans="1:15" s="142" customFormat="1" ht="15.75" customHeight="1" x14ac:dyDescent="0.2">
      <c r="A10" s="149" t="s">
        <v>18</v>
      </c>
      <c r="B10" s="189" t="s">
        <v>19</v>
      </c>
      <c r="C10" s="150" t="s">
        <v>266</v>
      </c>
      <c r="D10" s="1221">
        <v>133</v>
      </c>
      <c r="E10" s="1222">
        <v>109</v>
      </c>
      <c r="F10" s="1223">
        <v>23</v>
      </c>
      <c r="G10" s="1220">
        <v>1</v>
      </c>
      <c r="H10" s="1221">
        <v>66</v>
      </c>
      <c r="I10" s="1222">
        <v>51</v>
      </c>
      <c r="J10" s="1223">
        <v>15</v>
      </c>
      <c r="K10" s="1220">
        <v>0</v>
      </c>
      <c r="L10" s="288">
        <f t="shared" si="0"/>
        <v>0.49624060150375937</v>
      </c>
      <c r="M10" s="289">
        <f t="shared" si="1"/>
        <v>0.46788990825688076</v>
      </c>
      <c r="N10" s="289">
        <f t="shared" si="2"/>
        <v>0.65217391304347827</v>
      </c>
      <c r="O10" s="290">
        <f t="shared" si="3"/>
        <v>0</v>
      </c>
    </row>
    <row r="11" spans="1:15" s="142" customFormat="1" ht="15.75" customHeight="1" x14ac:dyDescent="0.2">
      <c r="A11" s="149" t="s">
        <v>20</v>
      </c>
      <c r="B11" s="189" t="s">
        <v>21</v>
      </c>
      <c r="C11" s="150" t="s">
        <v>265</v>
      </c>
      <c r="D11" s="1221">
        <v>319</v>
      </c>
      <c r="E11" s="1222">
        <v>259</v>
      </c>
      <c r="F11" s="1223">
        <v>57</v>
      </c>
      <c r="G11" s="1220">
        <v>3</v>
      </c>
      <c r="H11" s="1221">
        <v>142</v>
      </c>
      <c r="I11" s="1222">
        <v>99</v>
      </c>
      <c r="J11" s="1223">
        <v>42</v>
      </c>
      <c r="K11" s="1220">
        <v>1</v>
      </c>
      <c r="L11" s="288">
        <f t="shared" si="0"/>
        <v>0.44514106583072099</v>
      </c>
      <c r="M11" s="289">
        <f t="shared" si="1"/>
        <v>0.38223938223938225</v>
      </c>
      <c r="N11" s="289">
        <f t="shared" si="2"/>
        <v>0.73684210526315785</v>
      </c>
      <c r="O11" s="290">
        <f t="shared" si="3"/>
        <v>0.33333333333333331</v>
      </c>
    </row>
    <row r="12" spans="1:15" s="142" customFormat="1" ht="15.75" customHeight="1" x14ac:dyDescent="0.2">
      <c r="A12" s="149" t="s">
        <v>22</v>
      </c>
      <c r="B12" s="189" t="s">
        <v>23</v>
      </c>
      <c r="C12" s="150" t="s">
        <v>265</v>
      </c>
      <c r="D12" s="1221">
        <v>187</v>
      </c>
      <c r="E12" s="1222">
        <v>160</v>
      </c>
      <c r="F12" s="1223">
        <v>26</v>
      </c>
      <c r="G12" s="1220">
        <v>1</v>
      </c>
      <c r="H12" s="1221">
        <v>78</v>
      </c>
      <c r="I12" s="1222">
        <v>56</v>
      </c>
      <c r="J12" s="1223">
        <v>22</v>
      </c>
      <c r="K12" s="1220">
        <v>0</v>
      </c>
      <c r="L12" s="288">
        <f t="shared" si="0"/>
        <v>0.41711229946524064</v>
      </c>
      <c r="M12" s="289">
        <f t="shared" si="1"/>
        <v>0.35</v>
      </c>
      <c r="N12" s="289">
        <f t="shared" si="2"/>
        <v>0.84615384615384615</v>
      </c>
      <c r="O12" s="290">
        <f t="shared" si="3"/>
        <v>0</v>
      </c>
    </row>
    <row r="13" spans="1:15" s="142" customFormat="1" ht="15.75" customHeight="1" x14ac:dyDescent="0.2">
      <c r="A13" s="149" t="s">
        <v>24</v>
      </c>
      <c r="B13" s="189" t="s">
        <v>25</v>
      </c>
      <c r="C13" s="150" t="s">
        <v>267</v>
      </c>
      <c r="D13" s="1221">
        <v>3181</v>
      </c>
      <c r="E13" s="1222">
        <v>2170</v>
      </c>
      <c r="F13" s="1223">
        <v>215</v>
      </c>
      <c r="G13" s="1220">
        <v>796</v>
      </c>
      <c r="H13" s="1221">
        <v>492</v>
      </c>
      <c r="I13" s="1222">
        <v>206</v>
      </c>
      <c r="J13" s="1223">
        <v>89</v>
      </c>
      <c r="K13" s="1220">
        <v>197</v>
      </c>
      <c r="L13" s="288">
        <f t="shared" si="0"/>
        <v>0.15466834328827414</v>
      </c>
      <c r="M13" s="289">
        <f t="shared" si="1"/>
        <v>9.4930875576036869E-2</v>
      </c>
      <c r="N13" s="289">
        <f t="shared" si="2"/>
        <v>0.413953488372093</v>
      </c>
      <c r="O13" s="290">
        <f t="shared" si="3"/>
        <v>0.24748743718592964</v>
      </c>
    </row>
    <row r="14" spans="1:15" s="142" customFormat="1" ht="15.75" customHeight="1" x14ac:dyDescent="0.2">
      <c r="A14" s="149" t="s">
        <v>26</v>
      </c>
      <c r="B14" s="189" t="s">
        <v>298</v>
      </c>
      <c r="C14" s="150" t="s">
        <v>265</v>
      </c>
      <c r="D14" s="1221">
        <v>1231</v>
      </c>
      <c r="E14" s="1222">
        <v>1104</v>
      </c>
      <c r="F14" s="1223">
        <v>89</v>
      </c>
      <c r="G14" s="1220">
        <v>38</v>
      </c>
      <c r="H14" s="1221">
        <v>470</v>
      </c>
      <c r="I14" s="1222">
        <v>395</v>
      </c>
      <c r="J14" s="1223">
        <v>60</v>
      </c>
      <c r="K14" s="1220">
        <v>15</v>
      </c>
      <c r="L14" s="288">
        <f t="shared" si="0"/>
        <v>0.38180341186027622</v>
      </c>
      <c r="M14" s="289">
        <f t="shared" si="1"/>
        <v>0.35778985507246375</v>
      </c>
      <c r="N14" s="289">
        <f t="shared" si="2"/>
        <v>0.6741573033707865</v>
      </c>
      <c r="O14" s="290">
        <f t="shared" si="3"/>
        <v>0.39473684210526316</v>
      </c>
    </row>
    <row r="15" spans="1:15" s="142" customFormat="1" ht="15.75" customHeight="1" x14ac:dyDescent="0.2">
      <c r="A15" s="149" t="s">
        <v>27</v>
      </c>
      <c r="B15" s="189" t="s">
        <v>28</v>
      </c>
      <c r="C15" s="150" t="s">
        <v>265</v>
      </c>
      <c r="D15" s="1221">
        <v>49</v>
      </c>
      <c r="E15" s="1222">
        <v>48</v>
      </c>
      <c r="F15" s="1223">
        <v>1</v>
      </c>
      <c r="G15" s="1220">
        <v>0</v>
      </c>
      <c r="H15" s="1221">
        <v>23</v>
      </c>
      <c r="I15" s="1222">
        <v>22</v>
      </c>
      <c r="J15" s="1223">
        <v>1</v>
      </c>
      <c r="K15" s="1220">
        <v>0</v>
      </c>
      <c r="L15" s="288">
        <f t="shared" si="0"/>
        <v>0.46938775510204084</v>
      </c>
      <c r="M15" s="289">
        <f t="shared" si="1"/>
        <v>0.45833333333333331</v>
      </c>
      <c r="N15" s="289">
        <f t="shared" si="2"/>
        <v>1</v>
      </c>
      <c r="O15" s="290" t="str">
        <f t="shared" si="3"/>
        <v>NA</v>
      </c>
    </row>
    <row r="16" spans="1:15" s="142" customFormat="1" ht="15.75" customHeight="1" x14ac:dyDescent="0.2">
      <c r="A16" s="149" t="s">
        <v>29</v>
      </c>
      <c r="B16" s="189" t="s">
        <v>924</v>
      </c>
      <c r="C16" s="150" t="s">
        <v>265</v>
      </c>
      <c r="D16" s="1221">
        <v>642</v>
      </c>
      <c r="E16" s="1222">
        <v>581</v>
      </c>
      <c r="F16" s="1223">
        <v>48</v>
      </c>
      <c r="G16" s="1220">
        <v>13</v>
      </c>
      <c r="H16" s="1221">
        <v>202</v>
      </c>
      <c r="I16" s="1222">
        <v>167</v>
      </c>
      <c r="J16" s="1223">
        <v>33</v>
      </c>
      <c r="K16" s="1220">
        <v>2</v>
      </c>
      <c r="L16" s="288">
        <f t="shared" si="0"/>
        <v>0.31464174454828658</v>
      </c>
      <c r="M16" s="289">
        <f t="shared" si="1"/>
        <v>0.28743545611015492</v>
      </c>
      <c r="N16" s="289">
        <f t="shared" si="2"/>
        <v>0.6875</v>
      </c>
      <c r="O16" s="290">
        <f t="shared" si="3"/>
        <v>0.15384615384615385</v>
      </c>
    </row>
    <row r="17" spans="1:15" s="142" customFormat="1" ht="15.75" customHeight="1" x14ac:dyDescent="0.2">
      <c r="A17" s="149" t="s">
        <v>30</v>
      </c>
      <c r="B17" s="189" t="s">
        <v>31</v>
      </c>
      <c r="C17" s="150" t="s">
        <v>268</v>
      </c>
      <c r="D17" s="1221">
        <v>47</v>
      </c>
      <c r="E17" s="1222">
        <v>47</v>
      </c>
      <c r="F17" s="1223">
        <v>0</v>
      </c>
      <c r="G17" s="1220">
        <v>0</v>
      </c>
      <c r="H17" s="1221">
        <v>14</v>
      </c>
      <c r="I17" s="1222">
        <v>14</v>
      </c>
      <c r="J17" s="1223">
        <v>0</v>
      </c>
      <c r="K17" s="1220">
        <v>0</v>
      </c>
      <c r="L17" s="288">
        <f t="shared" si="0"/>
        <v>0.2978723404255319</v>
      </c>
      <c r="M17" s="289">
        <f t="shared" si="1"/>
        <v>0.2978723404255319</v>
      </c>
      <c r="N17" s="289" t="str">
        <f t="shared" si="2"/>
        <v>NA</v>
      </c>
      <c r="O17" s="290" t="str">
        <f t="shared" si="3"/>
        <v>NA</v>
      </c>
    </row>
    <row r="18" spans="1:15" s="142" customFormat="1" ht="15.75" customHeight="1" x14ac:dyDescent="0.2">
      <c r="A18" s="149" t="s">
        <v>32</v>
      </c>
      <c r="B18" s="189" t="s">
        <v>33</v>
      </c>
      <c r="C18" s="150" t="s">
        <v>265</v>
      </c>
      <c r="D18" s="1221">
        <v>236</v>
      </c>
      <c r="E18" s="1222">
        <v>230</v>
      </c>
      <c r="F18" s="1223">
        <v>3</v>
      </c>
      <c r="G18" s="1220">
        <v>3</v>
      </c>
      <c r="H18" s="1221">
        <v>74</v>
      </c>
      <c r="I18" s="1222">
        <v>70</v>
      </c>
      <c r="J18" s="1223">
        <v>1</v>
      </c>
      <c r="K18" s="1220">
        <v>3</v>
      </c>
      <c r="L18" s="288">
        <f t="shared" si="0"/>
        <v>0.3135593220338983</v>
      </c>
      <c r="M18" s="289">
        <f t="shared" si="1"/>
        <v>0.30434782608695654</v>
      </c>
      <c r="N18" s="289">
        <f t="shared" si="2"/>
        <v>0.33333333333333331</v>
      </c>
      <c r="O18" s="290">
        <f t="shared" si="3"/>
        <v>1</v>
      </c>
    </row>
    <row r="19" spans="1:15" s="142" customFormat="1" ht="15.75" customHeight="1" x14ac:dyDescent="0.2">
      <c r="A19" s="149" t="s">
        <v>36</v>
      </c>
      <c r="B19" s="189" t="s">
        <v>37</v>
      </c>
      <c r="C19" s="150" t="s">
        <v>264</v>
      </c>
      <c r="D19" s="1221">
        <v>146</v>
      </c>
      <c r="E19" s="1222">
        <v>56</v>
      </c>
      <c r="F19" s="1223">
        <v>85</v>
      </c>
      <c r="G19" s="1220">
        <v>5</v>
      </c>
      <c r="H19" s="1221">
        <v>97</v>
      </c>
      <c r="I19" s="1222">
        <v>25</v>
      </c>
      <c r="J19" s="1223">
        <v>70</v>
      </c>
      <c r="K19" s="1220">
        <v>2</v>
      </c>
      <c r="L19" s="288">
        <f t="shared" si="0"/>
        <v>0.66438356164383561</v>
      </c>
      <c r="M19" s="289">
        <f t="shared" si="1"/>
        <v>0.44642857142857145</v>
      </c>
      <c r="N19" s="289">
        <f t="shared" si="2"/>
        <v>0.82352941176470584</v>
      </c>
      <c r="O19" s="290">
        <f t="shared" si="3"/>
        <v>0.4</v>
      </c>
    </row>
    <row r="20" spans="1:15" s="142" customFormat="1" ht="15.75" customHeight="1" x14ac:dyDescent="0.2">
      <c r="A20" s="149" t="s">
        <v>38</v>
      </c>
      <c r="B20" s="189" t="s">
        <v>39</v>
      </c>
      <c r="C20" s="150" t="s">
        <v>268</v>
      </c>
      <c r="D20" s="1221">
        <v>183</v>
      </c>
      <c r="E20" s="1222">
        <v>179</v>
      </c>
      <c r="F20" s="1223">
        <v>0</v>
      </c>
      <c r="G20" s="1220">
        <v>4</v>
      </c>
      <c r="H20" s="1221">
        <v>70</v>
      </c>
      <c r="I20" s="1222">
        <v>70</v>
      </c>
      <c r="J20" s="1223">
        <v>0</v>
      </c>
      <c r="K20" s="1220">
        <v>0</v>
      </c>
      <c r="L20" s="288">
        <f t="shared" si="0"/>
        <v>0.38251366120218577</v>
      </c>
      <c r="M20" s="289">
        <f t="shared" si="1"/>
        <v>0.39106145251396646</v>
      </c>
      <c r="N20" s="289" t="str">
        <f t="shared" si="2"/>
        <v>NA</v>
      </c>
      <c r="O20" s="290">
        <f t="shared" si="3"/>
        <v>0</v>
      </c>
    </row>
    <row r="21" spans="1:15" s="142" customFormat="1" ht="15.75" customHeight="1" x14ac:dyDescent="0.2">
      <c r="A21" s="149" t="s">
        <v>40</v>
      </c>
      <c r="B21" s="189" t="s">
        <v>41</v>
      </c>
      <c r="C21" s="150" t="s">
        <v>266</v>
      </c>
      <c r="D21" s="1221">
        <v>150</v>
      </c>
      <c r="E21" s="1222">
        <v>102</v>
      </c>
      <c r="F21" s="1223">
        <v>47</v>
      </c>
      <c r="G21" s="1220">
        <v>1</v>
      </c>
      <c r="H21" s="1221">
        <v>78</v>
      </c>
      <c r="I21" s="1222">
        <v>36</v>
      </c>
      <c r="J21" s="1223">
        <v>42</v>
      </c>
      <c r="K21" s="1220">
        <v>0</v>
      </c>
      <c r="L21" s="288">
        <f t="shared" si="0"/>
        <v>0.52</v>
      </c>
      <c r="M21" s="289">
        <f t="shared" si="1"/>
        <v>0.35294117647058826</v>
      </c>
      <c r="N21" s="289">
        <f t="shared" si="2"/>
        <v>0.8936170212765957</v>
      </c>
      <c r="O21" s="290">
        <f t="shared" si="3"/>
        <v>0</v>
      </c>
    </row>
    <row r="22" spans="1:15" s="142" customFormat="1" ht="15.75" customHeight="1" x14ac:dyDescent="0.2">
      <c r="A22" s="149" t="s">
        <v>42</v>
      </c>
      <c r="B22" s="189" t="s">
        <v>43</v>
      </c>
      <c r="C22" s="150" t="s">
        <v>265</v>
      </c>
      <c r="D22" s="1221">
        <v>436</v>
      </c>
      <c r="E22" s="1222">
        <v>370</v>
      </c>
      <c r="F22" s="1223">
        <v>58</v>
      </c>
      <c r="G22" s="1220">
        <v>8</v>
      </c>
      <c r="H22" s="1221">
        <v>160</v>
      </c>
      <c r="I22" s="1222">
        <v>107</v>
      </c>
      <c r="J22" s="1223">
        <v>48</v>
      </c>
      <c r="K22" s="1220">
        <v>5</v>
      </c>
      <c r="L22" s="288">
        <f t="shared" si="0"/>
        <v>0.3669724770642202</v>
      </c>
      <c r="M22" s="289">
        <f t="shared" si="1"/>
        <v>0.28918918918918918</v>
      </c>
      <c r="N22" s="289">
        <f t="shared" si="2"/>
        <v>0.82758620689655171</v>
      </c>
      <c r="O22" s="290">
        <f t="shared" si="3"/>
        <v>0.625</v>
      </c>
    </row>
    <row r="23" spans="1:15" s="142" customFormat="1" ht="15.75" customHeight="1" x14ac:dyDescent="0.2">
      <c r="A23" s="149" t="s">
        <v>44</v>
      </c>
      <c r="B23" s="189" t="s">
        <v>45</v>
      </c>
      <c r="C23" s="150" t="s">
        <v>266</v>
      </c>
      <c r="D23" s="1221">
        <v>396</v>
      </c>
      <c r="E23" s="1222">
        <v>311</v>
      </c>
      <c r="F23" s="1223">
        <v>74</v>
      </c>
      <c r="G23" s="1220">
        <v>11</v>
      </c>
      <c r="H23" s="1221">
        <v>148</v>
      </c>
      <c r="I23" s="1222">
        <v>92</v>
      </c>
      <c r="J23" s="1223">
        <v>51</v>
      </c>
      <c r="K23" s="1220">
        <v>5</v>
      </c>
      <c r="L23" s="288">
        <f t="shared" si="0"/>
        <v>0.37373737373737376</v>
      </c>
      <c r="M23" s="289">
        <f t="shared" si="1"/>
        <v>0.29581993569131831</v>
      </c>
      <c r="N23" s="289">
        <f t="shared" si="2"/>
        <v>0.68918918918918914</v>
      </c>
      <c r="O23" s="290">
        <f t="shared" si="3"/>
        <v>0.45454545454545453</v>
      </c>
    </row>
    <row r="24" spans="1:15" s="142" customFormat="1" ht="15.75" customHeight="1" x14ac:dyDescent="0.2">
      <c r="A24" s="149" t="s">
        <v>46</v>
      </c>
      <c r="B24" s="189" t="s">
        <v>47</v>
      </c>
      <c r="C24" s="150" t="s">
        <v>268</v>
      </c>
      <c r="D24" s="1221">
        <v>269</v>
      </c>
      <c r="E24" s="1222">
        <v>251</v>
      </c>
      <c r="F24" s="1223">
        <v>3</v>
      </c>
      <c r="G24" s="1220">
        <v>15</v>
      </c>
      <c r="H24" s="1221">
        <v>120</v>
      </c>
      <c r="I24" s="1222">
        <v>110</v>
      </c>
      <c r="J24" s="1223">
        <v>2</v>
      </c>
      <c r="K24" s="1220">
        <v>8</v>
      </c>
      <c r="L24" s="288">
        <f t="shared" si="0"/>
        <v>0.44609665427509293</v>
      </c>
      <c r="M24" s="289">
        <f t="shared" si="1"/>
        <v>0.43824701195219123</v>
      </c>
      <c r="N24" s="289">
        <f t="shared" si="2"/>
        <v>0.66666666666666663</v>
      </c>
      <c r="O24" s="290">
        <f t="shared" si="3"/>
        <v>0.53333333333333333</v>
      </c>
    </row>
    <row r="25" spans="1:15" s="142" customFormat="1" ht="15.75" customHeight="1" x14ac:dyDescent="0.2">
      <c r="A25" s="149" t="s">
        <v>48</v>
      </c>
      <c r="B25" s="189" t="s">
        <v>269</v>
      </c>
      <c r="C25" s="150" t="s">
        <v>266</v>
      </c>
      <c r="D25" s="1221">
        <v>63</v>
      </c>
      <c r="E25" s="1222">
        <v>30</v>
      </c>
      <c r="F25" s="1223">
        <v>27</v>
      </c>
      <c r="G25" s="1220">
        <v>6</v>
      </c>
      <c r="H25" s="1221">
        <v>36</v>
      </c>
      <c r="I25" s="1222">
        <v>8</v>
      </c>
      <c r="J25" s="1223">
        <v>22</v>
      </c>
      <c r="K25" s="1220">
        <v>6</v>
      </c>
      <c r="L25" s="288">
        <f t="shared" si="0"/>
        <v>0.5714285714285714</v>
      </c>
      <c r="M25" s="289">
        <f t="shared" si="1"/>
        <v>0.26666666666666666</v>
      </c>
      <c r="N25" s="289">
        <f t="shared" si="2"/>
        <v>0.81481481481481477</v>
      </c>
      <c r="O25" s="290">
        <f t="shared" si="3"/>
        <v>1</v>
      </c>
    </row>
    <row r="26" spans="1:15" s="142" customFormat="1" ht="15.75" customHeight="1" x14ac:dyDescent="0.2">
      <c r="A26" s="149" t="s">
        <v>50</v>
      </c>
      <c r="B26" s="189" t="s">
        <v>51</v>
      </c>
      <c r="C26" s="150" t="s">
        <v>265</v>
      </c>
      <c r="D26" s="1221">
        <v>149</v>
      </c>
      <c r="E26" s="1222">
        <v>112</v>
      </c>
      <c r="F26" s="1223">
        <v>35</v>
      </c>
      <c r="G26" s="1220">
        <v>2</v>
      </c>
      <c r="H26" s="1221">
        <v>66</v>
      </c>
      <c r="I26" s="1222">
        <v>39</v>
      </c>
      <c r="J26" s="1223">
        <v>26</v>
      </c>
      <c r="K26" s="1220">
        <v>1</v>
      </c>
      <c r="L26" s="288">
        <f t="shared" si="0"/>
        <v>0.44295302013422821</v>
      </c>
      <c r="M26" s="289">
        <f t="shared" si="1"/>
        <v>0.3482142857142857</v>
      </c>
      <c r="N26" s="289">
        <f t="shared" si="2"/>
        <v>0.74285714285714288</v>
      </c>
      <c r="O26" s="290">
        <f t="shared" si="3"/>
        <v>0.5</v>
      </c>
    </row>
    <row r="27" spans="1:15" s="142" customFormat="1" ht="15.75" customHeight="1" x14ac:dyDescent="0.2">
      <c r="A27" s="149" t="s">
        <v>56</v>
      </c>
      <c r="B27" s="189" t="s">
        <v>295</v>
      </c>
      <c r="C27" s="150" t="s">
        <v>266</v>
      </c>
      <c r="D27" s="1221">
        <v>4026</v>
      </c>
      <c r="E27" s="1222">
        <v>2661</v>
      </c>
      <c r="F27" s="1223">
        <v>960</v>
      </c>
      <c r="G27" s="1220">
        <v>405</v>
      </c>
      <c r="H27" s="1221">
        <v>1432</v>
      </c>
      <c r="I27" s="1222">
        <v>684</v>
      </c>
      <c r="J27" s="1223">
        <v>583</v>
      </c>
      <c r="K27" s="1220">
        <v>165</v>
      </c>
      <c r="L27" s="288">
        <f t="shared" si="0"/>
        <v>0.35568802781917536</v>
      </c>
      <c r="M27" s="289">
        <f t="shared" si="1"/>
        <v>0.25704622322435172</v>
      </c>
      <c r="N27" s="289">
        <f t="shared" si="2"/>
        <v>0.60729166666666667</v>
      </c>
      <c r="O27" s="290">
        <f t="shared" si="3"/>
        <v>0.40740740740740738</v>
      </c>
    </row>
    <row r="28" spans="1:15" s="142" customFormat="1" ht="15.75" customHeight="1" x14ac:dyDescent="0.2">
      <c r="A28" s="149" t="s">
        <v>58</v>
      </c>
      <c r="B28" s="189" t="s">
        <v>59</v>
      </c>
      <c r="C28" s="150" t="s">
        <v>267</v>
      </c>
      <c r="D28" s="1221">
        <v>132</v>
      </c>
      <c r="E28" s="1222">
        <v>127</v>
      </c>
      <c r="F28" s="1223">
        <v>1</v>
      </c>
      <c r="G28" s="1220">
        <v>4</v>
      </c>
      <c r="H28" s="1221">
        <v>34</v>
      </c>
      <c r="I28" s="1222">
        <v>34</v>
      </c>
      <c r="J28" s="1223">
        <v>0</v>
      </c>
      <c r="K28" s="1220">
        <v>0</v>
      </c>
      <c r="L28" s="288">
        <f t="shared" si="0"/>
        <v>0.25757575757575757</v>
      </c>
      <c r="M28" s="289">
        <f t="shared" si="1"/>
        <v>0.26771653543307089</v>
      </c>
      <c r="N28" s="289">
        <f t="shared" si="2"/>
        <v>0</v>
      </c>
      <c r="O28" s="290">
        <f t="shared" si="3"/>
        <v>0</v>
      </c>
    </row>
    <row r="29" spans="1:15" s="142" customFormat="1" ht="15.75" customHeight="1" x14ac:dyDescent="0.2">
      <c r="A29" s="149" t="s">
        <v>60</v>
      </c>
      <c r="B29" s="189" t="s">
        <v>61</v>
      </c>
      <c r="C29" s="150" t="s">
        <v>265</v>
      </c>
      <c r="D29" s="1221">
        <v>37</v>
      </c>
      <c r="E29" s="1222">
        <v>37</v>
      </c>
      <c r="F29" s="1223">
        <v>0</v>
      </c>
      <c r="G29" s="1220">
        <v>0</v>
      </c>
      <c r="H29" s="1221">
        <v>18</v>
      </c>
      <c r="I29" s="1222">
        <v>18</v>
      </c>
      <c r="J29" s="1223">
        <v>0</v>
      </c>
      <c r="K29" s="1220">
        <v>0</v>
      </c>
      <c r="L29" s="288">
        <f t="shared" si="0"/>
        <v>0.48648648648648651</v>
      </c>
      <c r="M29" s="289">
        <f t="shared" si="1"/>
        <v>0.48648648648648651</v>
      </c>
      <c r="N29" s="289" t="str">
        <f t="shared" si="2"/>
        <v>NA</v>
      </c>
      <c r="O29" s="290" t="str">
        <f t="shared" si="3"/>
        <v>NA</v>
      </c>
    </row>
    <row r="30" spans="1:15" s="142" customFormat="1" ht="15.75" customHeight="1" x14ac:dyDescent="0.2">
      <c r="A30" s="149" t="s">
        <v>62</v>
      </c>
      <c r="B30" s="189" t="s">
        <v>63</v>
      </c>
      <c r="C30" s="150" t="s">
        <v>267</v>
      </c>
      <c r="D30" s="1221">
        <v>650</v>
      </c>
      <c r="E30" s="1222">
        <v>509</v>
      </c>
      <c r="F30" s="1223">
        <v>80</v>
      </c>
      <c r="G30" s="1220">
        <v>61</v>
      </c>
      <c r="H30" s="1221">
        <v>267</v>
      </c>
      <c r="I30" s="1222">
        <v>172</v>
      </c>
      <c r="J30" s="1223">
        <v>64</v>
      </c>
      <c r="K30" s="1220">
        <v>31</v>
      </c>
      <c r="L30" s="288">
        <f t="shared" si="0"/>
        <v>0.41076923076923078</v>
      </c>
      <c r="M30" s="289">
        <f t="shared" si="1"/>
        <v>0.33791748526522591</v>
      </c>
      <c r="N30" s="289">
        <f t="shared" si="2"/>
        <v>0.8</v>
      </c>
      <c r="O30" s="290">
        <f t="shared" si="3"/>
        <v>0.50819672131147542</v>
      </c>
    </row>
    <row r="31" spans="1:15" s="142" customFormat="1" ht="15.75" customHeight="1" x14ac:dyDescent="0.2">
      <c r="A31" s="149" t="s">
        <v>64</v>
      </c>
      <c r="B31" s="189" t="s">
        <v>65</v>
      </c>
      <c r="C31" s="150" t="s">
        <v>266</v>
      </c>
      <c r="D31" s="1221">
        <v>89</v>
      </c>
      <c r="E31" s="1222">
        <v>61</v>
      </c>
      <c r="F31" s="1223">
        <v>25</v>
      </c>
      <c r="G31" s="1220">
        <v>3</v>
      </c>
      <c r="H31" s="1221">
        <v>43</v>
      </c>
      <c r="I31" s="1222">
        <v>23</v>
      </c>
      <c r="J31" s="1223">
        <v>18</v>
      </c>
      <c r="K31" s="1220">
        <v>2</v>
      </c>
      <c r="L31" s="288">
        <f t="shared" si="0"/>
        <v>0.48314606741573035</v>
      </c>
      <c r="M31" s="289">
        <f t="shared" si="1"/>
        <v>0.37704918032786883</v>
      </c>
      <c r="N31" s="289">
        <f t="shared" si="2"/>
        <v>0.72</v>
      </c>
      <c r="O31" s="290">
        <f t="shared" si="3"/>
        <v>0.66666666666666663</v>
      </c>
    </row>
    <row r="32" spans="1:15" s="142" customFormat="1" ht="15.75" customHeight="1" x14ac:dyDescent="0.2">
      <c r="A32" s="149" t="s">
        <v>68</v>
      </c>
      <c r="B32" s="189" t="s">
        <v>69</v>
      </c>
      <c r="C32" s="150" t="s">
        <v>268</v>
      </c>
      <c r="D32" s="1221">
        <v>145</v>
      </c>
      <c r="E32" s="1222">
        <v>144</v>
      </c>
      <c r="F32" s="1223">
        <v>0</v>
      </c>
      <c r="G32" s="1220">
        <v>1</v>
      </c>
      <c r="H32" s="1221">
        <v>52</v>
      </c>
      <c r="I32" s="1222">
        <v>52</v>
      </c>
      <c r="J32" s="1223">
        <v>0</v>
      </c>
      <c r="K32" s="1220">
        <v>0</v>
      </c>
      <c r="L32" s="288">
        <f t="shared" si="0"/>
        <v>0.35862068965517241</v>
      </c>
      <c r="M32" s="289">
        <f t="shared" si="1"/>
        <v>0.3611111111111111</v>
      </c>
      <c r="N32" s="289" t="str">
        <f t="shared" si="2"/>
        <v>NA</v>
      </c>
      <c r="O32" s="290">
        <f t="shared" si="3"/>
        <v>0</v>
      </c>
    </row>
    <row r="33" spans="1:15" s="142" customFormat="1" ht="15.75" customHeight="1" x14ac:dyDescent="0.2">
      <c r="A33" s="149" t="s">
        <v>70</v>
      </c>
      <c r="B33" s="189" t="s">
        <v>71</v>
      </c>
      <c r="C33" s="150" t="s">
        <v>264</v>
      </c>
      <c r="D33" s="1221">
        <v>180</v>
      </c>
      <c r="E33" s="1222">
        <v>124</v>
      </c>
      <c r="F33" s="1223">
        <v>50</v>
      </c>
      <c r="G33" s="1220">
        <v>6</v>
      </c>
      <c r="H33" s="1221">
        <v>86</v>
      </c>
      <c r="I33" s="1222">
        <v>47</v>
      </c>
      <c r="J33" s="1223">
        <v>36</v>
      </c>
      <c r="K33" s="1220">
        <v>3</v>
      </c>
      <c r="L33" s="288">
        <f t="shared" si="0"/>
        <v>0.4777777777777778</v>
      </c>
      <c r="M33" s="289">
        <f t="shared" si="1"/>
        <v>0.37903225806451613</v>
      </c>
      <c r="N33" s="289">
        <f t="shared" si="2"/>
        <v>0.72</v>
      </c>
      <c r="O33" s="290">
        <f t="shared" si="3"/>
        <v>0.5</v>
      </c>
    </row>
    <row r="34" spans="1:15" s="142" customFormat="1" ht="15.75" customHeight="1" x14ac:dyDescent="0.2">
      <c r="A34" s="149" t="s">
        <v>72</v>
      </c>
      <c r="B34" s="189" t="s">
        <v>73</v>
      </c>
      <c r="C34" s="150" t="s">
        <v>266</v>
      </c>
      <c r="D34" s="1221">
        <v>124</v>
      </c>
      <c r="E34" s="1222">
        <v>67</v>
      </c>
      <c r="F34" s="1223">
        <v>53</v>
      </c>
      <c r="G34" s="1220">
        <v>4</v>
      </c>
      <c r="H34" s="1221">
        <v>73</v>
      </c>
      <c r="I34" s="1222">
        <v>29</v>
      </c>
      <c r="J34" s="1223">
        <v>42</v>
      </c>
      <c r="K34" s="1220">
        <v>2</v>
      </c>
      <c r="L34" s="288">
        <f t="shared" si="0"/>
        <v>0.58870967741935487</v>
      </c>
      <c r="M34" s="289">
        <f t="shared" si="1"/>
        <v>0.43283582089552236</v>
      </c>
      <c r="N34" s="289">
        <f t="shared" si="2"/>
        <v>0.79245283018867929</v>
      </c>
      <c r="O34" s="290">
        <f t="shared" si="3"/>
        <v>0.5</v>
      </c>
    </row>
    <row r="35" spans="1:15" s="142" customFormat="1" ht="15.75" customHeight="1" x14ac:dyDescent="0.2">
      <c r="A35" s="149" t="s">
        <v>74</v>
      </c>
      <c r="B35" s="189" t="s">
        <v>609</v>
      </c>
      <c r="C35" s="150" t="s">
        <v>267</v>
      </c>
      <c r="D35" s="1221">
        <v>15783</v>
      </c>
      <c r="E35" s="1222">
        <v>8441</v>
      </c>
      <c r="F35" s="1223">
        <v>1590</v>
      </c>
      <c r="G35" s="1220">
        <v>5752</v>
      </c>
      <c r="H35" s="1221">
        <v>3155</v>
      </c>
      <c r="I35" s="1222">
        <v>999</v>
      </c>
      <c r="J35" s="1223">
        <v>590</v>
      </c>
      <c r="K35" s="1220">
        <v>1566</v>
      </c>
      <c r="L35" s="288">
        <f t="shared" si="0"/>
        <v>0.19989862510295889</v>
      </c>
      <c r="M35" s="289">
        <f t="shared" si="1"/>
        <v>0.11835090629072385</v>
      </c>
      <c r="N35" s="289">
        <f t="shared" si="2"/>
        <v>0.37106918238993708</v>
      </c>
      <c r="O35" s="290">
        <f t="shared" si="3"/>
        <v>0.27225312934631435</v>
      </c>
    </row>
    <row r="36" spans="1:15" s="142" customFormat="1" ht="15.75" customHeight="1" x14ac:dyDescent="0.2">
      <c r="A36" s="149" t="s">
        <v>76</v>
      </c>
      <c r="B36" s="189" t="s">
        <v>77</v>
      </c>
      <c r="C36" s="150" t="s">
        <v>267</v>
      </c>
      <c r="D36" s="1221">
        <v>743</v>
      </c>
      <c r="E36" s="1222">
        <v>604</v>
      </c>
      <c r="F36" s="1223">
        <v>43</v>
      </c>
      <c r="G36" s="1220">
        <v>96</v>
      </c>
      <c r="H36" s="1221">
        <v>234</v>
      </c>
      <c r="I36" s="1222">
        <v>173</v>
      </c>
      <c r="J36" s="1223">
        <v>22</v>
      </c>
      <c r="K36" s="1220">
        <v>39</v>
      </c>
      <c r="L36" s="288">
        <f t="shared" si="0"/>
        <v>0.31493943472409153</v>
      </c>
      <c r="M36" s="289">
        <f t="shared" si="1"/>
        <v>0.28642384105960267</v>
      </c>
      <c r="N36" s="289">
        <f t="shared" si="2"/>
        <v>0.51162790697674421</v>
      </c>
      <c r="O36" s="290">
        <f t="shared" si="3"/>
        <v>0.40625</v>
      </c>
    </row>
    <row r="37" spans="1:15" s="142" customFormat="1" ht="15.75" customHeight="1" x14ac:dyDescent="0.2">
      <c r="A37" s="149" t="s">
        <v>78</v>
      </c>
      <c r="B37" s="189" t="s">
        <v>79</v>
      </c>
      <c r="C37" s="150" t="s">
        <v>268</v>
      </c>
      <c r="D37" s="1221">
        <v>126</v>
      </c>
      <c r="E37" s="1222">
        <v>120</v>
      </c>
      <c r="F37" s="1223">
        <v>4</v>
      </c>
      <c r="G37" s="1220">
        <v>2</v>
      </c>
      <c r="H37" s="1221">
        <v>40</v>
      </c>
      <c r="I37" s="1222">
        <v>36</v>
      </c>
      <c r="J37" s="1223">
        <v>3</v>
      </c>
      <c r="K37" s="1220">
        <v>1</v>
      </c>
      <c r="L37" s="288">
        <f t="shared" si="0"/>
        <v>0.31746031746031744</v>
      </c>
      <c r="M37" s="289">
        <f t="shared" si="1"/>
        <v>0.3</v>
      </c>
      <c r="N37" s="289">
        <f t="shared" si="2"/>
        <v>0.75</v>
      </c>
      <c r="O37" s="290">
        <f t="shared" si="3"/>
        <v>0.5</v>
      </c>
    </row>
    <row r="38" spans="1:15" s="142" customFormat="1" ht="15.75" customHeight="1" x14ac:dyDescent="0.2">
      <c r="A38" s="149" t="s">
        <v>80</v>
      </c>
      <c r="B38" s="189" t="s">
        <v>81</v>
      </c>
      <c r="C38" s="150" t="s">
        <v>266</v>
      </c>
      <c r="D38" s="1221">
        <v>266</v>
      </c>
      <c r="E38" s="1222">
        <v>216</v>
      </c>
      <c r="F38" s="1223">
        <v>37</v>
      </c>
      <c r="G38" s="1220">
        <v>13</v>
      </c>
      <c r="H38" s="1221">
        <v>89</v>
      </c>
      <c r="I38" s="1222">
        <v>62</v>
      </c>
      <c r="J38" s="1223">
        <v>24</v>
      </c>
      <c r="K38" s="1220">
        <v>3</v>
      </c>
      <c r="L38" s="288">
        <f t="shared" si="0"/>
        <v>0.33458646616541354</v>
      </c>
      <c r="M38" s="289">
        <f t="shared" si="1"/>
        <v>0.28703703703703703</v>
      </c>
      <c r="N38" s="289">
        <f t="shared" si="2"/>
        <v>0.64864864864864868</v>
      </c>
      <c r="O38" s="290">
        <f t="shared" si="3"/>
        <v>0.23076923076923078</v>
      </c>
    </row>
    <row r="39" spans="1:15" s="142" customFormat="1" ht="15.75" customHeight="1" x14ac:dyDescent="0.2">
      <c r="A39" s="149" t="s">
        <v>84</v>
      </c>
      <c r="B39" s="189" t="s">
        <v>85</v>
      </c>
      <c r="C39" s="150" t="s">
        <v>265</v>
      </c>
      <c r="D39" s="1221">
        <v>490</v>
      </c>
      <c r="E39" s="1222">
        <v>450</v>
      </c>
      <c r="F39" s="1223">
        <v>31</v>
      </c>
      <c r="G39" s="1220">
        <v>9</v>
      </c>
      <c r="H39" s="1221">
        <v>207</v>
      </c>
      <c r="I39" s="1222">
        <v>179</v>
      </c>
      <c r="J39" s="1223">
        <v>23</v>
      </c>
      <c r="K39" s="1220">
        <v>5</v>
      </c>
      <c r="L39" s="288">
        <f t="shared" ref="L39:L70" si="4">IF(D39=0,"NA",(H39/D39))</f>
        <v>0.42244897959183675</v>
      </c>
      <c r="M39" s="289">
        <f t="shared" ref="M39:M70" si="5">IF(E39=0,"NA",(I39/E39))</f>
        <v>0.39777777777777779</v>
      </c>
      <c r="N39" s="289">
        <f t="shared" ref="N39:N70" si="6">IF(F39=0,"NA",(J39/F39))</f>
        <v>0.74193548387096775</v>
      </c>
      <c r="O39" s="290">
        <f t="shared" ref="O39:O70" si="7">IF(G39=0,"NA",(K39/G39))</f>
        <v>0.55555555555555558</v>
      </c>
    </row>
    <row r="40" spans="1:15" s="142" customFormat="1" ht="15.75" customHeight="1" x14ac:dyDescent="0.2">
      <c r="A40" s="149" t="s">
        <v>86</v>
      </c>
      <c r="B40" s="189" t="s">
        <v>87</v>
      </c>
      <c r="C40" s="150" t="s">
        <v>267</v>
      </c>
      <c r="D40" s="1221">
        <v>889</v>
      </c>
      <c r="E40" s="1222">
        <v>783</v>
      </c>
      <c r="F40" s="1223">
        <v>28</v>
      </c>
      <c r="G40" s="1220">
        <v>78</v>
      </c>
      <c r="H40" s="1221">
        <v>291</v>
      </c>
      <c r="I40" s="1222">
        <v>240</v>
      </c>
      <c r="J40" s="1223">
        <v>17</v>
      </c>
      <c r="K40" s="1220">
        <v>34</v>
      </c>
      <c r="L40" s="288">
        <f t="shared" si="4"/>
        <v>0.32733408323959506</v>
      </c>
      <c r="M40" s="289">
        <f t="shared" si="5"/>
        <v>0.3065134099616858</v>
      </c>
      <c r="N40" s="289">
        <f t="shared" si="6"/>
        <v>0.6071428571428571</v>
      </c>
      <c r="O40" s="290">
        <f t="shared" si="7"/>
        <v>0.4358974358974359</v>
      </c>
    </row>
    <row r="41" spans="1:15" s="142" customFormat="1" ht="15.75" customHeight="1" x14ac:dyDescent="0.2">
      <c r="A41" s="149" t="s">
        <v>92</v>
      </c>
      <c r="B41" s="189" t="s">
        <v>93</v>
      </c>
      <c r="C41" s="150" t="s">
        <v>268</v>
      </c>
      <c r="D41" s="1221">
        <v>185</v>
      </c>
      <c r="E41" s="1222">
        <v>183</v>
      </c>
      <c r="F41" s="1223">
        <v>0</v>
      </c>
      <c r="G41" s="1220">
        <v>2</v>
      </c>
      <c r="H41" s="1221">
        <v>82</v>
      </c>
      <c r="I41" s="1222">
        <v>82</v>
      </c>
      <c r="J41" s="1223">
        <v>0</v>
      </c>
      <c r="K41" s="1220">
        <v>0</v>
      </c>
      <c r="L41" s="288">
        <f t="shared" si="4"/>
        <v>0.44324324324324327</v>
      </c>
      <c r="M41" s="289">
        <f t="shared" si="5"/>
        <v>0.44808743169398907</v>
      </c>
      <c r="N41" s="289" t="str">
        <f t="shared" si="6"/>
        <v>NA</v>
      </c>
      <c r="O41" s="290">
        <f t="shared" si="7"/>
        <v>0</v>
      </c>
    </row>
    <row r="42" spans="1:15" s="142" customFormat="1" ht="15.75" customHeight="1" x14ac:dyDescent="0.2">
      <c r="A42" s="149" t="s">
        <v>94</v>
      </c>
      <c r="B42" s="189" t="s">
        <v>95</v>
      </c>
      <c r="C42" s="150" t="s">
        <v>264</v>
      </c>
      <c r="D42" s="1221">
        <v>368</v>
      </c>
      <c r="E42" s="1222">
        <v>325</v>
      </c>
      <c r="F42" s="1223">
        <v>30</v>
      </c>
      <c r="G42" s="1220">
        <v>13</v>
      </c>
      <c r="H42" s="1221">
        <v>141</v>
      </c>
      <c r="I42" s="1222">
        <v>117</v>
      </c>
      <c r="J42" s="1223">
        <v>17</v>
      </c>
      <c r="K42" s="1220">
        <v>7</v>
      </c>
      <c r="L42" s="288">
        <f t="shared" si="4"/>
        <v>0.38315217391304346</v>
      </c>
      <c r="M42" s="289">
        <f t="shared" si="5"/>
        <v>0.36</v>
      </c>
      <c r="N42" s="289">
        <f t="shared" si="6"/>
        <v>0.56666666666666665</v>
      </c>
      <c r="O42" s="290">
        <f t="shared" si="7"/>
        <v>0.53846153846153844</v>
      </c>
    </row>
    <row r="43" spans="1:15" s="142" customFormat="1" ht="15.75" customHeight="1" x14ac:dyDescent="0.2">
      <c r="A43" s="149" t="s">
        <v>96</v>
      </c>
      <c r="B43" s="189" t="s">
        <v>97</v>
      </c>
      <c r="C43" s="150" t="s">
        <v>266</v>
      </c>
      <c r="D43" s="1221">
        <v>185</v>
      </c>
      <c r="E43" s="1222">
        <v>158</v>
      </c>
      <c r="F43" s="1223">
        <v>24</v>
      </c>
      <c r="G43" s="1220">
        <v>3</v>
      </c>
      <c r="H43" s="1221">
        <v>58</v>
      </c>
      <c r="I43" s="1222">
        <v>38</v>
      </c>
      <c r="J43" s="1223">
        <v>20</v>
      </c>
      <c r="K43" s="1220">
        <v>0</v>
      </c>
      <c r="L43" s="288">
        <f t="shared" si="4"/>
        <v>0.31351351351351353</v>
      </c>
      <c r="M43" s="289">
        <f t="shared" si="5"/>
        <v>0.24050632911392406</v>
      </c>
      <c r="N43" s="289">
        <f t="shared" si="6"/>
        <v>0.83333333333333337</v>
      </c>
      <c r="O43" s="290">
        <f t="shared" si="7"/>
        <v>0</v>
      </c>
    </row>
    <row r="44" spans="1:15" s="142" customFormat="1" ht="15.75" customHeight="1" x14ac:dyDescent="0.2">
      <c r="A44" s="149" t="s">
        <v>98</v>
      </c>
      <c r="B44" s="189" t="s">
        <v>99</v>
      </c>
      <c r="C44" s="150" t="s">
        <v>268</v>
      </c>
      <c r="D44" s="1221">
        <v>141</v>
      </c>
      <c r="E44" s="1222">
        <v>128</v>
      </c>
      <c r="F44" s="1223">
        <v>6</v>
      </c>
      <c r="G44" s="1220">
        <v>7</v>
      </c>
      <c r="H44" s="1221">
        <v>57</v>
      </c>
      <c r="I44" s="1222">
        <v>50</v>
      </c>
      <c r="J44" s="1223">
        <v>3</v>
      </c>
      <c r="K44" s="1220">
        <v>4</v>
      </c>
      <c r="L44" s="288">
        <f t="shared" si="4"/>
        <v>0.40425531914893614</v>
      </c>
      <c r="M44" s="289">
        <f t="shared" si="5"/>
        <v>0.390625</v>
      </c>
      <c r="N44" s="289">
        <f t="shared" si="6"/>
        <v>0.5</v>
      </c>
      <c r="O44" s="290">
        <f t="shared" si="7"/>
        <v>0.5714285714285714</v>
      </c>
    </row>
    <row r="45" spans="1:15" s="142" customFormat="1" ht="15.75" customHeight="1" x14ac:dyDescent="0.2">
      <c r="A45" s="149" t="s">
        <v>100</v>
      </c>
      <c r="B45" s="189" t="s">
        <v>101</v>
      </c>
      <c r="C45" s="150" t="s">
        <v>267</v>
      </c>
      <c r="D45" s="1221">
        <v>220</v>
      </c>
      <c r="E45" s="1222">
        <v>189</v>
      </c>
      <c r="F45" s="1223">
        <v>16</v>
      </c>
      <c r="G45" s="1220">
        <v>15</v>
      </c>
      <c r="H45" s="1221">
        <v>84</v>
      </c>
      <c r="I45" s="1222">
        <v>70</v>
      </c>
      <c r="J45" s="1223">
        <v>10</v>
      </c>
      <c r="K45" s="1220">
        <v>4</v>
      </c>
      <c r="L45" s="288">
        <f t="shared" si="4"/>
        <v>0.38181818181818183</v>
      </c>
      <c r="M45" s="289">
        <f t="shared" si="5"/>
        <v>0.37037037037037035</v>
      </c>
      <c r="N45" s="289">
        <f t="shared" si="6"/>
        <v>0.625</v>
      </c>
      <c r="O45" s="290">
        <f t="shared" si="7"/>
        <v>0.26666666666666666</v>
      </c>
    </row>
    <row r="46" spans="1:15" s="142" customFormat="1" ht="15.75" customHeight="1" x14ac:dyDescent="0.2">
      <c r="A46" s="149" t="s">
        <v>102</v>
      </c>
      <c r="B46" s="189" t="s">
        <v>282</v>
      </c>
      <c r="C46" s="150" t="s">
        <v>264</v>
      </c>
      <c r="D46" s="1221">
        <v>177</v>
      </c>
      <c r="E46" s="1222">
        <v>49</v>
      </c>
      <c r="F46" s="1223">
        <v>120</v>
      </c>
      <c r="G46" s="1220">
        <v>8</v>
      </c>
      <c r="H46" s="1221">
        <v>128</v>
      </c>
      <c r="I46" s="1222">
        <v>21</v>
      </c>
      <c r="J46" s="1223">
        <v>106</v>
      </c>
      <c r="K46" s="1220">
        <v>1</v>
      </c>
      <c r="L46" s="288">
        <f t="shared" si="4"/>
        <v>0.7231638418079096</v>
      </c>
      <c r="M46" s="289">
        <f t="shared" si="5"/>
        <v>0.42857142857142855</v>
      </c>
      <c r="N46" s="289">
        <f t="shared" si="6"/>
        <v>0.8833333333333333</v>
      </c>
      <c r="O46" s="290">
        <f t="shared" si="7"/>
        <v>0.125</v>
      </c>
    </row>
    <row r="47" spans="1:15" s="142" customFormat="1" ht="15.75" customHeight="1" x14ac:dyDescent="0.2">
      <c r="A47" s="149" t="s">
        <v>104</v>
      </c>
      <c r="B47" s="189" t="s">
        <v>105</v>
      </c>
      <c r="C47" s="150" t="s">
        <v>265</v>
      </c>
      <c r="D47" s="1221">
        <v>360</v>
      </c>
      <c r="E47" s="1222">
        <v>202</v>
      </c>
      <c r="F47" s="1223">
        <v>144</v>
      </c>
      <c r="G47" s="1220">
        <v>14</v>
      </c>
      <c r="H47" s="1221">
        <v>190</v>
      </c>
      <c r="I47" s="1222">
        <v>69</v>
      </c>
      <c r="J47" s="1223">
        <v>117</v>
      </c>
      <c r="K47" s="1220">
        <v>4</v>
      </c>
      <c r="L47" s="288">
        <f t="shared" si="4"/>
        <v>0.52777777777777779</v>
      </c>
      <c r="M47" s="289">
        <f t="shared" si="5"/>
        <v>0.34158415841584161</v>
      </c>
      <c r="N47" s="289">
        <f t="shared" si="6"/>
        <v>0.8125</v>
      </c>
      <c r="O47" s="290">
        <f t="shared" si="7"/>
        <v>0.2857142857142857</v>
      </c>
    </row>
    <row r="48" spans="1:15" s="142" customFormat="1" ht="15.75" customHeight="1" x14ac:dyDescent="0.2">
      <c r="A48" s="149" t="s">
        <v>108</v>
      </c>
      <c r="B48" s="189" t="s">
        <v>109</v>
      </c>
      <c r="C48" s="150" t="s">
        <v>266</v>
      </c>
      <c r="D48" s="1221">
        <v>936</v>
      </c>
      <c r="E48" s="1222">
        <v>815</v>
      </c>
      <c r="F48" s="1223">
        <v>80</v>
      </c>
      <c r="G48" s="1220">
        <v>41</v>
      </c>
      <c r="H48" s="1221">
        <v>249</v>
      </c>
      <c r="I48" s="1222">
        <v>190</v>
      </c>
      <c r="J48" s="1223">
        <v>52</v>
      </c>
      <c r="K48" s="1220">
        <v>7</v>
      </c>
      <c r="L48" s="288">
        <f t="shared" si="4"/>
        <v>0.26602564102564102</v>
      </c>
      <c r="M48" s="289">
        <f t="shared" si="5"/>
        <v>0.23312883435582821</v>
      </c>
      <c r="N48" s="289">
        <f t="shared" si="6"/>
        <v>0.65</v>
      </c>
      <c r="O48" s="290">
        <f t="shared" si="7"/>
        <v>0.17073170731707318</v>
      </c>
    </row>
    <row r="49" spans="1:15" s="142" customFormat="1" ht="15.75" customHeight="1" x14ac:dyDescent="0.2">
      <c r="A49" s="149" t="s">
        <v>110</v>
      </c>
      <c r="B49" s="189" t="s">
        <v>111</v>
      </c>
      <c r="C49" s="150" t="s">
        <v>266</v>
      </c>
      <c r="D49" s="1221">
        <v>4061</v>
      </c>
      <c r="E49" s="1222">
        <v>2232</v>
      </c>
      <c r="F49" s="1223">
        <v>1135</v>
      </c>
      <c r="G49" s="1220">
        <v>694</v>
      </c>
      <c r="H49" s="1221">
        <v>1394</v>
      </c>
      <c r="I49" s="1222">
        <v>512</v>
      </c>
      <c r="J49" s="1223">
        <v>775</v>
      </c>
      <c r="K49" s="1220">
        <v>107</v>
      </c>
      <c r="L49" s="288">
        <f t="shared" si="4"/>
        <v>0.34326520561438068</v>
      </c>
      <c r="M49" s="289">
        <f t="shared" si="5"/>
        <v>0.22939068100358423</v>
      </c>
      <c r="N49" s="289">
        <f t="shared" si="6"/>
        <v>0.68281938325991187</v>
      </c>
      <c r="O49" s="290">
        <f t="shared" si="7"/>
        <v>0.15417867435158503</v>
      </c>
    </row>
    <row r="50" spans="1:15" s="142" customFormat="1" ht="15.75" customHeight="1" x14ac:dyDescent="0.2">
      <c r="A50" s="149" t="s">
        <v>112</v>
      </c>
      <c r="B50" s="189" t="s">
        <v>300</v>
      </c>
      <c r="C50" s="150" t="s">
        <v>265</v>
      </c>
      <c r="D50" s="1221">
        <v>616</v>
      </c>
      <c r="E50" s="1222">
        <v>430</v>
      </c>
      <c r="F50" s="1223">
        <v>166</v>
      </c>
      <c r="G50" s="1220">
        <v>20</v>
      </c>
      <c r="H50" s="1221">
        <v>351</v>
      </c>
      <c r="I50" s="1222">
        <v>202</v>
      </c>
      <c r="J50" s="1223">
        <v>136</v>
      </c>
      <c r="K50" s="1220">
        <v>13</v>
      </c>
      <c r="L50" s="288">
        <f t="shared" si="4"/>
        <v>0.56980519480519476</v>
      </c>
      <c r="M50" s="289">
        <f t="shared" si="5"/>
        <v>0.4697674418604651</v>
      </c>
      <c r="N50" s="289">
        <f t="shared" si="6"/>
        <v>0.81927710843373491</v>
      </c>
      <c r="O50" s="290">
        <f t="shared" si="7"/>
        <v>0.65</v>
      </c>
    </row>
    <row r="51" spans="1:15" s="142" customFormat="1" ht="15.75" customHeight="1" x14ac:dyDescent="0.2">
      <c r="A51" s="149" t="s">
        <v>114</v>
      </c>
      <c r="B51" s="189" t="s">
        <v>115</v>
      </c>
      <c r="C51" s="150" t="s">
        <v>265</v>
      </c>
      <c r="D51" s="1221">
        <v>15</v>
      </c>
      <c r="E51" s="1222">
        <v>15</v>
      </c>
      <c r="F51" s="1223">
        <v>0</v>
      </c>
      <c r="G51" s="1220">
        <v>0</v>
      </c>
      <c r="H51" s="1221">
        <v>0</v>
      </c>
      <c r="I51" s="1222">
        <v>0</v>
      </c>
      <c r="J51" s="1223">
        <v>0</v>
      </c>
      <c r="K51" s="1220">
        <v>0</v>
      </c>
      <c r="L51" s="288">
        <f t="shared" si="4"/>
        <v>0</v>
      </c>
      <c r="M51" s="289">
        <f t="shared" si="5"/>
        <v>0</v>
      </c>
      <c r="N51" s="289" t="str">
        <f t="shared" si="6"/>
        <v>NA</v>
      </c>
      <c r="O51" s="290" t="str">
        <f t="shared" si="7"/>
        <v>NA</v>
      </c>
    </row>
    <row r="52" spans="1:15" s="142" customFormat="1" ht="15.75" customHeight="1" x14ac:dyDescent="0.2">
      <c r="A52" s="149" t="s">
        <v>118</v>
      </c>
      <c r="B52" s="189" t="s">
        <v>270</v>
      </c>
      <c r="C52" s="150" t="s">
        <v>264</v>
      </c>
      <c r="D52" s="1221">
        <v>372</v>
      </c>
      <c r="E52" s="1222">
        <v>278</v>
      </c>
      <c r="F52" s="1223">
        <v>82</v>
      </c>
      <c r="G52" s="1220">
        <v>12</v>
      </c>
      <c r="H52" s="1221">
        <v>139</v>
      </c>
      <c r="I52" s="1222">
        <v>75</v>
      </c>
      <c r="J52" s="1223">
        <v>61</v>
      </c>
      <c r="K52" s="1220">
        <v>3</v>
      </c>
      <c r="L52" s="288">
        <f t="shared" si="4"/>
        <v>0.37365591397849462</v>
      </c>
      <c r="M52" s="289">
        <f t="shared" si="5"/>
        <v>0.26978417266187049</v>
      </c>
      <c r="N52" s="289">
        <f t="shared" si="6"/>
        <v>0.74390243902439024</v>
      </c>
      <c r="O52" s="290">
        <f t="shared" si="7"/>
        <v>0.25</v>
      </c>
    </row>
    <row r="53" spans="1:15" s="142" customFormat="1" ht="15.75" customHeight="1" x14ac:dyDescent="0.2">
      <c r="A53" s="149" t="s">
        <v>120</v>
      </c>
      <c r="B53" s="189" t="s">
        <v>121</v>
      </c>
      <c r="C53" s="150" t="s">
        <v>264</v>
      </c>
      <c r="D53" s="1221">
        <v>729</v>
      </c>
      <c r="E53" s="1222">
        <v>524</v>
      </c>
      <c r="F53" s="1223">
        <v>113</v>
      </c>
      <c r="G53" s="1220">
        <v>92</v>
      </c>
      <c r="H53" s="1221">
        <v>200</v>
      </c>
      <c r="I53" s="1222">
        <v>91</v>
      </c>
      <c r="J53" s="1223">
        <v>69</v>
      </c>
      <c r="K53" s="1220">
        <v>40</v>
      </c>
      <c r="L53" s="288">
        <f t="shared" si="4"/>
        <v>0.27434842249657065</v>
      </c>
      <c r="M53" s="289">
        <f t="shared" si="5"/>
        <v>0.17366412213740459</v>
      </c>
      <c r="N53" s="289">
        <f t="shared" si="6"/>
        <v>0.61061946902654862</v>
      </c>
      <c r="O53" s="290">
        <f t="shared" si="7"/>
        <v>0.43478260869565216</v>
      </c>
    </row>
    <row r="54" spans="1:15" s="142" customFormat="1" ht="15.75" customHeight="1" x14ac:dyDescent="0.2">
      <c r="A54" s="149" t="s">
        <v>122</v>
      </c>
      <c r="B54" s="189" t="s">
        <v>271</v>
      </c>
      <c r="C54" s="150" t="s">
        <v>266</v>
      </c>
      <c r="D54" s="1221">
        <v>73</v>
      </c>
      <c r="E54" s="1222">
        <v>52</v>
      </c>
      <c r="F54" s="1223">
        <v>20</v>
      </c>
      <c r="G54" s="1220">
        <v>1</v>
      </c>
      <c r="H54" s="1221">
        <v>35</v>
      </c>
      <c r="I54" s="1222">
        <v>17</v>
      </c>
      <c r="J54" s="1223">
        <v>17</v>
      </c>
      <c r="K54" s="1220">
        <v>1</v>
      </c>
      <c r="L54" s="288">
        <f t="shared" si="4"/>
        <v>0.47945205479452052</v>
      </c>
      <c r="M54" s="289">
        <f t="shared" si="5"/>
        <v>0.32692307692307693</v>
      </c>
      <c r="N54" s="289">
        <f t="shared" si="6"/>
        <v>0.85</v>
      </c>
      <c r="O54" s="290">
        <f t="shared" si="7"/>
        <v>1</v>
      </c>
    </row>
    <row r="55" spans="1:15" s="142" customFormat="1" ht="15.75" customHeight="1" x14ac:dyDescent="0.2">
      <c r="A55" s="149" t="s">
        <v>124</v>
      </c>
      <c r="B55" s="189" t="s">
        <v>125</v>
      </c>
      <c r="C55" s="150" t="s">
        <v>267</v>
      </c>
      <c r="D55" s="1221">
        <v>292</v>
      </c>
      <c r="E55" s="1222">
        <v>238</v>
      </c>
      <c r="F55" s="1223">
        <v>47</v>
      </c>
      <c r="G55" s="1220">
        <v>7</v>
      </c>
      <c r="H55" s="1221">
        <v>97</v>
      </c>
      <c r="I55" s="1222">
        <v>65</v>
      </c>
      <c r="J55" s="1223">
        <v>32</v>
      </c>
      <c r="K55" s="1220">
        <v>0</v>
      </c>
      <c r="L55" s="288">
        <f t="shared" si="4"/>
        <v>0.3321917808219178</v>
      </c>
      <c r="M55" s="289">
        <f t="shared" si="5"/>
        <v>0.27310924369747897</v>
      </c>
      <c r="N55" s="289">
        <f t="shared" si="6"/>
        <v>0.68085106382978722</v>
      </c>
      <c r="O55" s="290">
        <f t="shared" si="7"/>
        <v>0</v>
      </c>
    </row>
    <row r="56" spans="1:15" s="142" customFormat="1" ht="15.75" customHeight="1" x14ac:dyDescent="0.2">
      <c r="A56" s="149" t="s">
        <v>126</v>
      </c>
      <c r="B56" s="189" t="s">
        <v>127</v>
      </c>
      <c r="C56" s="150" t="s">
        <v>266</v>
      </c>
      <c r="D56" s="1221">
        <v>174</v>
      </c>
      <c r="E56" s="1222">
        <v>145</v>
      </c>
      <c r="F56" s="1223">
        <v>25</v>
      </c>
      <c r="G56" s="1220">
        <v>4</v>
      </c>
      <c r="H56" s="1221">
        <v>62</v>
      </c>
      <c r="I56" s="1222">
        <v>40</v>
      </c>
      <c r="J56" s="1223">
        <v>20</v>
      </c>
      <c r="K56" s="1220">
        <v>2</v>
      </c>
      <c r="L56" s="288">
        <f t="shared" si="4"/>
        <v>0.35632183908045978</v>
      </c>
      <c r="M56" s="289">
        <f t="shared" si="5"/>
        <v>0.27586206896551724</v>
      </c>
      <c r="N56" s="289">
        <f t="shared" si="6"/>
        <v>0.8</v>
      </c>
      <c r="O56" s="290">
        <f t="shared" si="7"/>
        <v>0.5</v>
      </c>
    </row>
    <row r="57" spans="1:15" s="142" customFormat="1" ht="15.75" customHeight="1" x14ac:dyDescent="0.2">
      <c r="A57" s="149" t="s">
        <v>128</v>
      </c>
      <c r="B57" s="189" t="s">
        <v>129</v>
      </c>
      <c r="C57" s="150" t="s">
        <v>266</v>
      </c>
      <c r="D57" s="1221">
        <v>87</v>
      </c>
      <c r="E57" s="1222">
        <v>47</v>
      </c>
      <c r="F57" s="1223">
        <v>37</v>
      </c>
      <c r="G57" s="1220">
        <v>3</v>
      </c>
      <c r="H57" s="1221">
        <v>44</v>
      </c>
      <c r="I57" s="1222">
        <v>12</v>
      </c>
      <c r="J57" s="1223">
        <v>32</v>
      </c>
      <c r="K57" s="1220">
        <v>0</v>
      </c>
      <c r="L57" s="288">
        <f t="shared" si="4"/>
        <v>0.50574712643678166</v>
      </c>
      <c r="M57" s="289">
        <f t="shared" si="5"/>
        <v>0.25531914893617019</v>
      </c>
      <c r="N57" s="289">
        <f t="shared" si="6"/>
        <v>0.86486486486486491</v>
      </c>
      <c r="O57" s="290">
        <f t="shared" si="7"/>
        <v>0</v>
      </c>
    </row>
    <row r="58" spans="1:15" s="142" customFormat="1" ht="15.75" customHeight="1" x14ac:dyDescent="0.2">
      <c r="A58" s="149" t="s">
        <v>130</v>
      </c>
      <c r="B58" s="189" t="s">
        <v>131</v>
      </c>
      <c r="C58" s="150" t="s">
        <v>268</v>
      </c>
      <c r="D58" s="1221">
        <v>209</v>
      </c>
      <c r="E58" s="1222">
        <v>206</v>
      </c>
      <c r="F58" s="1223">
        <v>0</v>
      </c>
      <c r="G58" s="1220">
        <v>3</v>
      </c>
      <c r="H58" s="1221">
        <v>93</v>
      </c>
      <c r="I58" s="1222">
        <v>91</v>
      </c>
      <c r="J58" s="1223">
        <v>0</v>
      </c>
      <c r="K58" s="1220">
        <v>2</v>
      </c>
      <c r="L58" s="288">
        <f t="shared" si="4"/>
        <v>0.44497607655502391</v>
      </c>
      <c r="M58" s="289">
        <f t="shared" si="5"/>
        <v>0.44174757281553401</v>
      </c>
      <c r="N58" s="289" t="str">
        <f t="shared" si="6"/>
        <v>NA</v>
      </c>
      <c r="O58" s="290">
        <f t="shared" si="7"/>
        <v>0.66666666666666663</v>
      </c>
    </row>
    <row r="59" spans="1:15" s="142" customFormat="1" ht="15.75" customHeight="1" x14ac:dyDescent="0.2">
      <c r="A59" s="149" t="s">
        <v>132</v>
      </c>
      <c r="B59" s="189" t="s">
        <v>133</v>
      </c>
      <c r="C59" s="150" t="s">
        <v>267</v>
      </c>
      <c r="D59" s="1221">
        <v>5056</v>
      </c>
      <c r="E59" s="1222">
        <v>3043</v>
      </c>
      <c r="F59" s="1223">
        <v>363</v>
      </c>
      <c r="G59" s="1220">
        <v>1650</v>
      </c>
      <c r="H59" s="1221">
        <v>789</v>
      </c>
      <c r="I59" s="1222">
        <v>344</v>
      </c>
      <c r="J59" s="1223">
        <v>116</v>
      </c>
      <c r="K59" s="1220">
        <v>329</v>
      </c>
      <c r="L59" s="288">
        <f t="shared" si="4"/>
        <v>0.15605221518987342</v>
      </c>
      <c r="M59" s="289">
        <f t="shared" si="5"/>
        <v>0.11304633585277686</v>
      </c>
      <c r="N59" s="289">
        <f t="shared" si="6"/>
        <v>0.31955922865013775</v>
      </c>
      <c r="O59" s="290">
        <f t="shared" si="7"/>
        <v>0.1993939393939394</v>
      </c>
    </row>
    <row r="60" spans="1:15" s="142" customFormat="1" ht="15.75" customHeight="1" x14ac:dyDescent="0.2">
      <c r="A60" s="149" t="s">
        <v>134</v>
      </c>
      <c r="B60" s="189" t="s">
        <v>135</v>
      </c>
      <c r="C60" s="150" t="s">
        <v>267</v>
      </c>
      <c r="D60" s="1221">
        <v>359</v>
      </c>
      <c r="E60" s="1222">
        <v>304</v>
      </c>
      <c r="F60" s="1223">
        <v>45</v>
      </c>
      <c r="G60" s="1220">
        <v>10</v>
      </c>
      <c r="H60" s="1221">
        <v>151</v>
      </c>
      <c r="I60" s="1222">
        <v>109</v>
      </c>
      <c r="J60" s="1223">
        <v>37</v>
      </c>
      <c r="K60" s="1220">
        <v>5</v>
      </c>
      <c r="L60" s="288">
        <f t="shared" si="4"/>
        <v>0.42061281337047352</v>
      </c>
      <c r="M60" s="289">
        <f t="shared" si="5"/>
        <v>0.35855263157894735</v>
      </c>
      <c r="N60" s="289">
        <f t="shared" si="6"/>
        <v>0.82222222222222219</v>
      </c>
      <c r="O60" s="290">
        <f t="shared" si="7"/>
        <v>0.5</v>
      </c>
    </row>
    <row r="61" spans="1:15" s="142" customFormat="1" ht="15.75" customHeight="1" x14ac:dyDescent="0.2">
      <c r="A61" s="149" t="s">
        <v>136</v>
      </c>
      <c r="B61" s="189" t="s">
        <v>137</v>
      </c>
      <c r="C61" s="150" t="s">
        <v>266</v>
      </c>
      <c r="D61" s="1221">
        <v>117</v>
      </c>
      <c r="E61" s="1222">
        <v>70</v>
      </c>
      <c r="F61" s="1223">
        <v>43</v>
      </c>
      <c r="G61" s="1220">
        <v>4</v>
      </c>
      <c r="H61" s="1221">
        <v>72</v>
      </c>
      <c r="I61" s="1222">
        <v>32</v>
      </c>
      <c r="J61" s="1223">
        <v>37</v>
      </c>
      <c r="K61" s="1220">
        <v>3</v>
      </c>
      <c r="L61" s="288">
        <f t="shared" si="4"/>
        <v>0.61538461538461542</v>
      </c>
      <c r="M61" s="289">
        <f t="shared" si="5"/>
        <v>0.45714285714285713</v>
      </c>
      <c r="N61" s="289">
        <f t="shared" si="6"/>
        <v>0.86046511627906974</v>
      </c>
      <c r="O61" s="290">
        <f t="shared" si="7"/>
        <v>0.75</v>
      </c>
    </row>
    <row r="62" spans="1:15" s="142" customFormat="1" ht="15.75" customHeight="1" x14ac:dyDescent="0.2">
      <c r="A62" s="149" t="s">
        <v>140</v>
      </c>
      <c r="B62" s="189" t="s">
        <v>141</v>
      </c>
      <c r="C62" s="150" t="s">
        <v>267</v>
      </c>
      <c r="D62" s="1221">
        <v>106</v>
      </c>
      <c r="E62" s="1222">
        <v>94</v>
      </c>
      <c r="F62" s="1223">
        <v>11</v>
      </c>
      <c r="G62" s="1220">
        <v>1</v>
      </c>
      <c r="H62" s="1221">
        <v>41</v>
      </c>
      <c r="I62" s="1222">
        <v>33</v>
      </c>
      <c r="J62" s="1223">
        <v>7</v>
      </c>
      <c r="K62" s="1220">
        <v>1</v>
      </c>
      <c r="L62" s="288">
        <f t="shared" si="4"/>
        <v>0.3867924528301887</v>
      </c>
      <c r="M62" s="289">
        <f t="shared" si="5"/>
        <v>0.35106382978723405</v>
      </c>
      <c r="N62" s="289">
        <f t="shared" si="6"/>
        <v>0.63636363636363635</v>
      </c>
      <c r="O62" s="290">
        <f t="shared" si="7"/>
        <v>1</v>
      </c>
    </row>
    <row r="63" spans="1:15" s="142" customFormat="1" ht="15.75" customHeight="1" x14ac:dyDescent="0.2">
      <c r="A63" s="149" t="s">
        <v>146</v>
      </c>
      <c r="B63" s="189" t="s">
        <v>147</v>
      </c>
      <c r="C63" s="150" t="s">
        <v>264</v>
      </c>
      <c r="D63" s="1221">
        <v>60</v>
      </c>
      <c r="E63" s="1222">
        <v>45</v>
      </c>
      <c r="F63" s="1223">
        <v>9</v>
      </c>
      <c r="G63" s="1220">
        <v>6</v>
      </c>
      <c r="H63" s="1221">
        <v>23</v>
      </c>
      <c r="I63" s="1222">
        <v>12</v>
      </c>
      <c r="J63" s="1223">
        <v>6</v>
      </c>
      <c r="K63" s="1220">
        <v>5</v>
      </c>
      <c r="L63" s="288">
        <f t="shared" si="4"/>
        <v>0.38333333333333336</v>
      </c>
      <c r="M63" s="289">
        <f t="shared" si="5"/>
        <v>0.26666666666666666</v>
      </c>
      <c r="N63" s="289">
        <f t="shared" si="6"/>
        <v>0.66666666666666663</v>
      </c>
      <c r="O63" s="290">
        <f t="shared" si="7"/>
        <v>0.83333333333333337</v>
      </c>
    </row>
    <row r="64" spans="1:15" s="142" customFormat="1" ht="15.75" customHeight="1" x14ac:dyDescent="0.2">
      <c r="A64" s="149" t="s">
        <v>148</v>
      </c>
      <c r="B64" s="189" t="s">
        <v>149</v>
      </c>
      <c r="C64" s="150" t="s">
        <v>265</v>
      </c>
      <c r="D64" s="1221">
        <v>288</v>
      </c>
      <c r="E64" s="1222">
        <v>163</v>
      </c>
      <c r="F64" s="1223">
        <v>119</v>
      </c>
      <c r="G64" s="1220">
        <v>6</v>
      </c>
      <c r="H64" s="1221">
        <v>149</v>
      </c>
      <c r="I64" s="1222">
        <v>56</v>
      </c>
      <c r="J64" s="1223">
        <v>90</v>
      </c>
      <c r="K64" s="1220">
        <v>3</v>
      </c>
      <c r="L64" s="288">
        <f t="shared" si="4"/>
        <v>0.51736111111111116</v>
      </c>
      <c r="M64" s="289">
        <f t="shared" si="5"/>
        <v>0.34355828220858897</v>
      </c>
      <c r="N64" s="289">
        <f t="shared" si="6"/>
        <v>0.75630252100840334</v>
      </c>
      <c r="O64" s="290">
        <f t="shared" si="7"/>
        <v>0.5</v>
      </c>
    </row>
    <row r="65" spans="1:15" s="142" customFormat="1" ht="15.75" customHeight="1" x14ac:dyDescent="0.2">
      <c r="A65" s="149" t="s">
        <v>150</v>
      </c>
      <c r="B65" s="189" t="s">
        <v>151</v>
      </c>
      <c r="C65" s="150" t="s">
        <v>266</v>
      </c>
      <c r="D65" s="1221">
        <v>102</v>
      </c>
      <c r="E65" s="1222">
        <v>78</v>
      </c>
      <c r="F65" s="1223">
        <v>20</v>
      </c>
      <c r="G65" s="1220">
        <v>4</v>
      </c>
      <c r="H65" s="1221">
        <v>54</v>
      </c>
      <c r="I65" s="1222">
        <v>35</v>
      </c>
      <c r="J65" s="1223">
        <v>18</v>
      </c>
      <c r="K65" s="1220">
        <v>1</v>
      </c>
      <c r="L65" s="288">
        <f t="shared" si="4"/>
        <v>0.52941176470588236</v>
      </c>
      <c r="M65" s="289">
        <f t="shared" si="5"/>
        <v>0.44871794871794873</v>
      </c>
      <c r="N65" s="289">
        <f t="shared" si="6"/>
        <v>0.9</v>
      </c>
      <c r="O65" s="290">
        <f t="shared" si="7"/>
        <v>0.25</v>
      </c>
    </row>
    <row r="66" spans="1:15" s="142" customFormat="1" ht="15.75" customHeight="1" x14ac:dyDescent="0.2">
      <c r="A66" s="149" t="s">
        <v>152</v>
      </c>
      <c r="B66" s="189" t="s">
        <v>153</v>
      </c>
      <c r="C66" s="150" t="s">
        <v>268</v>
      </c>
      <c r="D66" s="1221">
        <v>892</v>
      </c>
      <c r="E66" s="1222">
        <v>787</v>
      </c>
      <c r="F66" s="1223">
        <v>30</v>
      </c>
      <c r="G66" s="1220">
        <v>75</v>
      </c>
      <c r="H66" s="1221">
        <v>230</v>
      </c>
      <c r="I66" s="1222">
        <v>208</v>
      </c>
      <c r="J66" s="1223">
        <v>14</v>
      </c>
      <c r="K66" s="1220">
        <v>8</v>
      </c>
      <c r="L66" s="288">
        <f t="shared" si="4"/>
        <v>0.25784753363228702</v>
      </c>
      <c r="M66" s="289">
        <f t="shared" si="5"/>
        <v>0.26429479034307496</v>
      </c>
      <c r="N66" s="289">
        <f t="shared" si="6"/>
        <v>0.46666666666666667</v>
      </c>
      <c r="O66" s="290">
        <f t="shared" si="7"/>
        <v>0.10666666666666667</v>
      </c>
    </row>
    <row r="67" spans="1:15" s="142" customFormat="1" ht="15.75" customHeight="1" x14ac:dyDescent="0.2">
      <c r="A67" s="149" t="s">
        <v>154</v>
      </c>
      <c r="B67" s="189" t="s">
        <v>155</v>
      </c>
      <c r="C67" s="150" t="s">
        <v>265</v>
      </c>
      <c r="D67" s="1221">
        <v>136</v>
      </c>
      <c r="E67" s="1222">
        <v>117</v>
      </c>
      <c r="F67" s="1223">
        <v>13</v>
      </c>
      <c r="G67" s="1220">
        <v>6</v>
      </c>
      <c r="H67" s="1221">
        <v>56</v>
      </c>
      <c r="I67" s="1222">
        <v>45</v>
      </c>
      <c r="J67" s="1223">
        <v>10</v>
      </c>
      <c r="K67" s="1220">
        <v>1</v>
      </c>
      <c r="L67" s="288">
        <f t="shared" si="4"/>
        <v>0.41176470588235292</v>
      </c>
      <c r="M67" s="289">
        <f t="shared" si="5"/>
        <v>0.38461538461538464</v>
      </c>
      <c r="N67" s="289">
        <f t="shared" si="6"/>
        <v>0.76923076923076927</v>
      </c>
      <c r="O67" s="290">
        <f t="shared" si="7"/>
        <v>0.16666666666666666</v>
      </c>
    </row>
    <row r="68" spans="1:15" s="142" customFormat="1" ht="15.75" customHeight="1" x14ac:dyDescent="0.2">
      <c r="A68" s="149" t="s">
        <v>156</v>
      </c>
      <c r="B68" s="189" t="s">
        <v>157</v>
      </c>
      <c r="C68" s="150" t="s">
        <v>266</v>
      </c>
      <c r="D68" s="1221">
        <v>192</v>
      </c>
      <c r="E68" s="1222">
        <v>162</v>
      </c>
      <c r="F68" s="1223">
        <v>23</v>
      </c>
      <c r="G68" s="1220">
        <v>7</v>
      </c>
      <c r="H68" s="1221">
        <v>61</v>
      </c>
      <c r="I68" s="1222">
        <v>37</v>
      </c>
      <c r="J68" s="1223">
        <v>18</v>
      </c>
      <c r="K68" s="1220">
        <v>6</v>
      </c>
      <c r="L68" s="288">
        <f t="shared" si="4"/>
        <v>0.31770833333333331</v>
      </c>
      <c r="M68" s="289">
        <f t="shared" si="5"/>
        <v>0.22839506172839505</v>
      </c>
      <c r="N68" s="289">
        <f t="shared" si="6"/>
        <v>0.78260869565217395</v>
      </c>
      <c r="O68" s="290">
        <f t="shared" si="7"/>
        <v>0.8571428571428571</v>
      </c>
    </row>
    <row r="69" spans="1:15" s="142" customFormat="1" ht="15.75" customHeight="1" x14ac:dyDescent="0.2">
      <c r="A69" s="149" t="s">
        <v>162</v>
      </c>
      <c r="B69" s="189" t="s">
        <v>163</v>
      </c>
      <c r="C69" s="150" t="s">
        <v>264</v>
      </c>
      <c r="D69" s="1221">
        <v>131</v>
      </c>
      <c r="E69" s="1222">
        <v>70</v>
      </c>
      <c r="F69" s="1223">
        <v>54</v>
      </c>
      <c r="G69" s="1220">
        <v>7</v>
      </c>
      <c r="H69" s="1221">
        <v>83</v>
      </c>
      <c r="I69" s="1222">
        <v>37</v>
      </c>
      <c r="J69" s="1223">
        <v>43</v>
      </c>
      <c r="K69" s="1220">
        <v>3</v>
      </c>
      <c r="L69" s="288">
        <f t="shared" si="4"/>
        <v>0.63358778625954193</v>
      </c>
      <c r="M69" s="289">
        <f t="shared" si="5"/>
        <v>0.52857142857142858</v>
      </c>
      <c r="N69" s="289">
        <f t="shared" si="6"/>
        <v>0.79629629629629628</v>
      </c>
      <c r="O69" s="290">
        <f t="shared" si="7"/>
        <v>0.42857142857142855</v>
      </c>
    </row>
    <row r="70" spans="1:15" s="142" customFormat="1" ht="15.75" customHeight="1" x14ac:dyDescent="0.2">
      <c r="A70" s="149" t="s">
        <v>164</v>
      </c>
      <c r="B70" s="189" t="s">
        <v>165</v>
      </c>
      <c r="C70" s="150" t="s">
        <v>266</v>
      </c>
      <c r="D70" s="1221">
        <v>90</v>
      </c>
      <c r="E70" s="1222">
        <v>53</v>
      </c>
      <c r="F70" s="1223">
        <v>35</v>
      </c>
      <c r="G70" s="1220">
        <v>2</v>
      </c>
      <c r="H70" s="1221">
        <v>49</v>
      </c>
      <c r="I70" s="1222">
        <v>23</v>
      </c>
      <c r="J70" s="1223">
        <v>25</v>
      </c>
      <c r="K70" s="1220">
        <v>1</v>
      </c>
      <c r="L70" s="288">
        <f t="shared" si="4"/>
        <v>0.5444444444444444</v>
      </c>
      <c r="M70" s="289">
        <f t="shared" si="5"/>
        <v>0.43396226415094341</v>
      </c>
      <c r="N70" s="289">
        <f t="shared" si="6"/>
        <v>0.7142857142857143</v>
      </c>
      <c r="O70" s="290">
        <f t="shared" si="7"/>
        <v>0.5</v>
      </c>
    </row>
    <row r="71" spans="1:15" s="142" customFormat="1" ht="15.75" customHeight="1" x14ac:dyDescent="0.2">
      <c r="A71" s="149" t="s">
        <v>168</v>
      </c>
      <c r="B71" s="189" t="s">
        <v>169</v>
      </c>
      <c r="C71" s="150" t="s">
        <v>266</v>
      </c>
      <c r="D71" s="1221">
        <v>182</v>
      </c>
      <c r="E71" s="1222">
        <v>115</v>
      </c>
      <c r="F71" s="1223">
        <v>65</v>
      </c>
      <c r="G71" s="1220">
        <v>2</v>
      </c>
      <c r="H71" s="1221">
        <v>97</v>
      </c>
      <c r="I71" s="1222">
        <v>49</v>
      </c>
      <c r="J71" s="1223">
        <v>46</v>
      </c>
      <c r="K71" s="1220">
        <v>2</v>
      </c>
      <c r="L71" s="288">
        <f t="shared" ref="L71:L102" si="8">IF(D71=0,"NA",(H71/D71))</f>
        <v>0.53296703296703296</v>
      </c>
      <c r="M71" s="289">
        <f t="shared" ref="M71:M102" si="9">IF(E71=0,"NA",(I71/E71))</f>
        <v>0.42608695652173911</v>
      </c>
      <c r="N71" s="289">
        <f t="shared" ref="N71:N102" si="10">IF(F71=0,"NA",(J71/F71))</f>
        <v>0.70769230769230773</v>
      </c>
      <c r="O71" s="290">
        <f t="shared" ref="O71:O102" si="11">IF(G71=0,"NA",(K71/G71))</f>
        <v>1</v>
      </c>
    </row>
    <row r="72" spans="1:15" s="142" customFormat="1" ht="15.75" customHeight="1" x14ac:dyDescent="0.2">
      <c r="A72" s="149" t="s">
        <v>170</v>
      </c>
      <c r="B72" s="189" t="s">
        <v>171</v>
      </c>
      <c r="C72" s="150" t="s">
        <v>267</v>
      </c>
      <c r="D72" s="1221">
        <v>403</v>
      </c>
      <c r="E72" s="1222">
        <v>325</v>
      </c>
      <c r="F72" s="1223">
        <v>56</v>
      </c>
      <c r="G72" s="1220">
        <v>22</v>
      </c>
      <c r="H72" s="1221">
        <v>165</v>
      </c>
      <c r="I72" s="1222">
        <v>118</v>
      </c>
      <c r="J72" s="1223">
        <v>36</v>
      </c>
      <c r="K72" s="1220">
        <v>11</v>
      </c>
      <c r="L72" s="288">
        <f t="shared" si="8"/>
        <v>0.40942928039702231</v>
      </c>
      <c r="M72" s="289">
        <f t="shared" si="9"/>
        <v>0.36307692307692307</v>
      </c>
      <c r="N72" s="289">
        <f t="shared" si="10"/>
        <v>0.6428571428571429</v>
      </c>
      <c r="O72" s="290">
        <f t="shared" si="11"/>
        <v>0.5</v>
      </c>
    </row>
    <row r="73" spans="1:15" s="142" customFormat="1" ht="15.75" customHeight="1" x14ac:dyDescent="0.2">
      <c r="A73" s="149" t="s">
        <v>172</v>
      </c>
      <c r="B73" s="189" t="s">
        <v>173</v>
      </c>
      <c r="C73" s="150" t="s">
        <v>267</v>
      </c>
      <c r="D73" s="1221">
        <v>229</v>
      </c>
      <c r="E73" s="1222">
        <v>217</v>
      </c>
      <c r="F73" s="1223">
        <v>5</v>
      </c>
      <c r="G73" s="1220">
        <v>7</v>
      </c>
      <c r="H73" s="1221">
        <v>104</v>
      </c>
      <c r="I73" s="1222">
        <v>98</v>
      </c>
      <c r="J73" s="1223">
        <v>4</v>
      </c>
      <c r="K73" s="1220">
        <v>2</v>
      </c>
      <c r="L73" s="288">
        <f t="shared" si="8"/>
        <v>0.45414847161572053</v>
      </c>
      <c r="M73" s="289">
        <f t="shared" si="9"/>
        <v>0.45161290322580644</v>
      </c>
      <c r="N73" s="289">
        <f t="shared" si="10"/>
        <v>0.8</v>
      </c>
      <c r="O73" s="290">
        <f t="shared" si="11"/>
        <v>0.2857142857142857</v>
      </c>
    </row>
    <row r="74" spans="1:15" s="142" customFormat="1" ht="15.75" customHeight="1" x14ac:dyDescent="0.2">
      <c r="A74" s="149" t="s">
        <v>174</v>
      </c>
      <c r="B74" s="189" t="s">
        <v>175</v>
      </c>
      <c r="C74" s="150" t="s">
        <v>268</v>
      </c>
      <c r="D74" s="1221">
        <v>119</v>
      </c>
      <c r="E74" s="1222">
        <v>107</v>
      </c>
      <c r="F74" s="1223">
        <v>7</v>
      </c>
      <c r="G74" s="1220">
        <v>5</v>
      </c>
      <c r="H74" s="1221">
        <v>44</v>
      </c>
      <c r="I74" s="1222">
        <v>39</v>
      </c>
      <c r="J74" s="1223">
        <v>4</v>
      </c>
      <c r="K74" s="1220">
        <v>1</v>
      </c>
      <c r="L74" s="288">
        <f t="shared" si="8"/>
        <v>0.36974789915966388</v>
      </c>
      <c r="M74" s="289">
        <f t="shared" si="9"/>
        <v>0.3644859813084112</v>
      </c>
      <c r="N74" s="289">
        <f t="shared" si="10"/>
        <v>0.5714285714285714</v>
      </c>
      <c r="O74" s="290">
        <f t="shared" si="11"/>
        <v>0.2</v>
      </c>
    </row>
    <row r="75" spans="1:15" s="142" customFormat="1" ht="15.75" customHeight="1" x14ac:dyDescent="0.2">
      <c r="A75" s="149" t="s">
        <v>178</v>
      </c>
      <c r="B75" s="189" t="s">
        <v>179</v>
      </c>
      <c r="C75" s="150" t="s">
        <v>265</v>
      </c>
      <c r="D75" s="1221">
        <v>446</v>
      </c>
      <c r="E75" s="1222">
        <v>333</v>
      </c>
      <c r="F75" s="1223">
        <v>92</v>
      </c>
      <c r="G75" s="1220">
        <v>21</v>
      </c>
      <c r="H75" s="1221">
        <v>188</v>
      </c>
      <c r="I75" s="1222">
        <v>106</v>
      </c>
      <c r="J75" s="1223">
        <v>72</v>
      </c>
      <c r="K75" s="1220">
        <v>10</v>
      </c>
      <c r="L75" s="288">
        <f t="shared" si="8"/>
        <v>0.42152466367713004</v>
      </c>
      <c r="M75" s="289">
        <f t="shared" si="9"/>
        <v>0.31831831831831831</v>
      </c>
      <c r="N75" s="289">
        <f t="shared" si="10"/>
        <v>0.78260869565217395</v>
      </c>
      <c r="O75" s="290">
        <f t="shared" si="11"/>
        <v>0.47619047619047616</v>
      </c>
    </row>
    <row r="76" spans="1:15" s="142" customFormat="1" ht="15.75" customHeight="1" x14ac:dyDescent="0.2">
      <c r="A76" s="149" t="s">
        <v>182</v>
      </c>
      <c r="B76" s="189" t="s">
        <v>183</v>
      </c>
      <c r="C76" s="150" t="s">
        <v>266</v>
      </c>
      <c r="D76" s="1221">
        <v>236</v>
      </c>
      <c r="E76" s="1222">
        <v>219</v>
      </c>
      <c r="F76" s="1223">
        <v>12</v>
      </c>
      <c r="G76" s="1220">
        <v>5</v>
      </c>
      <c r="H76" s="1221">
        <v>61</v>
      </c>
      <c r="I76" s="1222">
        <v>50</v>
      </c>
      <c r="J76" s="1223">
        <v>9</v>
      </c>
      <c r="K76" s="1220">
        <v>2</v>
      </c>
      <c r="L76" s="288">
        <f t="shared" si="8"/>
        <v>0.25847457627118642</v>
      </c>
      <c r="M76" s="289">
        <f t="shared" si="9"/>
        <v>0.22831050228310501</v>
      </c>
      <c r="N76" s="289">
        <f t="shared" si="10"/>
        <v>0.75</v>
      </c>
      <c r="O76" s="290">
        <f t="shared" si="11"/>
        <v>0.4</v>
      </c>
    </row>
    <row r="77" spans="1:15" s="142" customFormat="1" ht="15.75" customHeight="1" x14ac:dyDescent="0.2">
      <c r="A77" s="149" t="s">
        <v>184</v>
      </c>
      <c r="B77" s="189" t="s">
        <v>185</v>
      </c>
      <c r="C77" s="150" t="s">
        <v>266</v>
      </c>
      <c r="D77" s="1221">
        <v>230</v>
      </c>
      <c r="E77" s="1222">
        <v>135</v>
      </c>
      <c r="F77" s="1223">
        <v>91</v>
      </c>
      <c r="G77" s="1220">
        <v>4</v>
      </c>
      <c r="H77" s="1221">
        <v>119</v>
      </c>
      <c r="I77" s="1222">
        <v>43</v>
      </c>
      <c r="J77" s="1223">
        <v>75</v>
      </c>
      <c r="K77" s="1220">
        <v>1</v>
      </c>
      <c r="L77" s="288">
        <f t="shared" si="8"/>
        <v>0.5173913043478261</v>
      </c>
      <c r="M77" s="289">
        <f t="shared" si="9"/>
        <v>0.31851851851851853</v>
      </c>
      <c r="N77" s="289">
        <f t="shared" si="10"/>
        <v>0.82417582417582413</v>
      </c>
      <c r="O77" s="290">
        <f t="shared" si="11"/>
        <v>0.25</v>
      </c>
    </row>
    <row r="78" spans="1:15" s="142" customFormat="1" ht="15.75" customHeight="1" x14ac:dyDescent="0.2">
      <c r="A78" s="149" t="s">
        <v>186</v>
      </c>
      <c r="B78" s="189" t="s">
        <v>187</v>
      </c>
      <c r="C78" s="150" t="s">
        <v>264</v>
      </c>
      <c r="D78" s="1221">
        <v>359</v>
      </c>
      <c r="E78" s="1222">
        <v>233</v>
      </c>
      <c r="F78" s="1223">
        <v>97</v>
      </c>
      <c r="G78" s="1220">
        <v>29</v>
      </c>
      <c r="H78" s="1221">
        <v>110</v>
      </c>
      <c r="I78" s="1222">
        <v>58</v>
      </c>
      <c r="J78" s="1223">
        <v>43</v>
      </c>
      <c r="K78" s="1220">
        <v>9</v>
      </c>
      <c r="L78" s="288">
        <f t="shared" si="8"/>
        <v>0.30640668523676878</v>
      </c>
      <c r="M78" s="289">
        <f t="shared" si="9"/>
        <v>0.24892703862660945</v>
      </c>
      <c r="N78" s="289">
        <f t="shared" si="10"/>
        <v>0.44329896907216493</v>
      </c>
      <c r="O78" s="290">
        <f t="shared" si="11"/>
        <v>0.31034482758620691</v>
      </c>
    </row>
    <row r="79" spans="1:15" s="142" customFormat="1" ht="15.75" customHeight="1" x14ac:dyDescent="0.2">
      <c r="A79" s="149" t="s">
        <v>188</v>
      </c>
      <c r="B79" s="189" t="s">
        <v>189</v>
      </c>
      <c r="C79" s="150" t="s">
        <v>267</v>
      </c>
      <c r="D79" s="1221">
        <v>6900</v>
      </c>
      <c r="E79" s="1222">
        <v>3883</v>
      </c>
      <c r="F79" s="1223">
        <v>1413</v>
      </c>
      <c r="G79" s="1220">
        <v>1604</v>
      </c>
      <c r="H79" s="1221">
        <v>2018</v>
      </c>
      <c r="I79" s="1222">
        <v>909</v>
      </c>
      <c r="J79" s="1223">
        <v>629</v>
      </c>
      <c r="K79" s="1220">
        <v>480</v>
      </c>
      <c r="L79" s="288">
        <f t="shared" si="8"/>
        <v>0.29246376811594205</v>
      </c>
      <c r="M79" s="289">
        <f t="shared" si="9"/>
        <v>0.234097347411795</v>
      </c>
      <c r="N79" s="289">
        <f t="shared" si="10"/>
        <v>0.4451521585279547</v>
      </c>
      <c r="O79" s="290">
        <f t="shared" si="11"/>
        <v>0.29925187032418954</v>
      </c>
    </row>
    <row r="80" spans="1:15" s="142" customFormat="1" ht="15.75" customHeight="1" x14ac:dyDescent="0.2">
      <c r="A80" s="149" t="s">
        <v>190</v>
      </c>
      <c r="B80" s="189" t="s">
        <v>191</v>
      </c>
      <c r="C80" s="150" t="s">
        <v>268</v>
      </c>
      <c r="D80" s="1221">
        <v>323</v>
      </c>
      <c r="E80" s="1222">
        <v>303</v>
      </c>
      <c r="F80" s="1223">
        <v>14</v>
      </c>
      <c r="G80" s="1220">
        <v>6</v>
      </c>
      <c r="H80" s="1221">
        <v>141</v>
      </c>
      <c r="I80" s="1222">
        <v>128</v>
      </c>
      <c r="J80" s="1223">
        <v>11</v>
      </c>
      <c r="K80" s="1220">
        <v>2</v>
      </c>
      <c r="L80" s="288">
        <f t="shared" si="8"/>
        <v>0.43653250773993807</v>
      </c>
      <c r="M80" s="289">
        <f t="shared" si="9"/>
        <v>0.42244224422442245</v>
      </c>
      <c r="N80" s="289">
        <f t="shared" si="10"/>
        <v>0.7857142857142857</v>
      </c>
      <c r="O80" s="290">
        <f t="shared" si="11"/>
        <v>0.33333333333333331</v>
      </c>
    </row>
    <row r="81" spans="1:15" s="142" customFormat="1" ht="15.75" customHeight="1" x14ac:dyDescent="0.2">
      <c r="A81" s="149" t="s">
        <v>194</v>
      </c>
      <c r="B81" s="189" t="s">
        <v>195</v>
      </c>
      <c r="C81" s="150" t="s">
        <v>267</v>
      </c>
      <c r="D81" s="1221">
        <v>55</v>
      </c>
      <c r="E81" s="1222">
        <v>52</v>
      </c>
      <c r="F81" s="1223">
        <v>2</v>
      </c>
      <c r="G81" s="1220">
        <v>1</v>
      </c>
      <c r="H81" s="1221">
        <v>15</v>
      </c>
      <c r="I81" s="1222">
        <v>13</v>
      </c>
      <c r="J81" s="1223">
        <v>2</v>
      </c>
      <c r="K81" s="1220">
        <v>0</v>
      </c>
      <c r="L81" s="288">
        <f t="shared" si="8"/>
        <v>0.27272727272727271</v>
      </c>
      <c r="M81" s="289">
        <f t="shared" si="9"/>
        <v>0.25</v>
      </c>
      <c r="N81" s="289">
        <f t="shared" si="10"/>
        <v>1</v>
      </c>
      <c r="O81" s="290">
        <f t="shared" si="11"/>
        <v>0</v>
      </c>
    </row>
    <row r="82" spans="1:15" s="142" customFormat="1" ht="15.75" customHeight="1" x14ac:dyDescent="0.2">
      <c r="A82" s="149" t="s">
        <v>198</v>
      </c>
      <c r="B82" s="189" t="s">
        <v>272</v>
      </c>
      <c r="C82" s="150" t="s">
        <v>266</v>
      </c>
      <c r="D82" s="1221">
        <v>64</v>
      </c>
      <c r="E82" s="1222">
        <v>40</v>
      </c>
      <c r="F82" s="1223">
        <v>18</v>
      </c>
      <c r="G82" s="1220">
        <v>6</v>
      </c>
      <c r="H82" s="1221">
        <v>28</v>
      </c>
      <c r="I82" s="1222">
        <v>13</v>
      </c>
      <c r="J82" s="1223">
        <v>13</v>
      </c>
      <c r="K82" s="1220">
        <v>2</v>
      </c>
      <c r="L82" s="288">
        <f t="shared" si="8"/>
        <v>0.4375</v>
      </c>
      <c r="M82" s="289">
        <f t="shared" si="9"/>
        <v>0.32500000000000001</v>
      </c>
      <c r="N82" s="289">
        <f t="shared" si="10"/>
        <v>0.72222222222222221</v>
      </c>
      <c r="O82" s="290">
        <f t="shared" si="11"/>
        <v>0.33333333333333331</v>
      </c>
    </row>
    <row r="83" spans="1:15" s="142" customFormat="1" ht="15.75" customHeight="1" x14ac:dyDescent="0.2">
      <c r="A83" s="149" t="s">
        <v>202</v>
      </c>
      <c r="B83" s="189" t="s">
        <v>301</v>
      </c>
      <c r="C83" s="150" t="s">
        <v>265</v>
      </c>
      <c r="D83" s="1221">
        <v>1102</v>
      </c>
      <c r="E83" s="1222">
        <v>952</v>
      </c>
      <c r="F83" s="1223">
        <v>82</v>
      </c>
      <c r="G83" s="1220">
        <v>68</v>
      </c>
      <c r="H83" s="1221">
        <v>377</v>
      </c>
      <c r="I83" s="1222">
        <v>312</v>
      </c>
      <c r="J83" s="1223">
        <v>54</v>
      </c>
      <c r="K83" s="1220">
        <v>11</v>
      </c>
      <c r="L83" s="288">
        <f t="shared" si="8"/>
        <v>0.34210526315789475</v>
      </c>
      <c r="M83" s="289">
        <f t="shared" si="9"/>
        <v>0.32773109243697479</v>
      </c>
      <c r="N83" s="289">
        <f t="shared" si="10"/>
        <v>0.65853658536585369</v>
      </c>
      <c r="O83" s="290">
        <f t="shared" si="11"/>
        <v>0.16176470588235295</v>
      </c>
    </row>
    <row r="84" spans="1:15" s="142" customFormat="1" ht="15.75" customHeight="1" x14ac:dyDescent="0.2">
      <c r="A84" s="149" t="s">
        <v>204</v>
      </c>
      <c r="B84" s="189" t="s">
        <v>293</v>
      </c>
      <c r="C84" s="150" t="s">
        <v>265</v>
      </c>
      <c r="D84" s="1221">
        <v>239</v>
      </c>
      <c r="E84" s="1222">
        <v>225</v>
      </c>
      <c r="F84" s="1223">
        <v>10</v>
      </c>
      <c r="G84" s="1220">
        <v>4</v>
      </c>
      <c r="H84" s="1221">
        <v>127</v>
      </c>
      <c r="I84" s="1222">
        <v>117</v>
      </c>
      <c r="J84" s="1223">
        <v>9</v>
      </c>
      <c r="K84" s="1220">
        <v>1</v>
      </c>
      <c r="L84" s="288">
        <f t="shared" si="8"/>
        <v>0.53138075313807531</v>
      </c>
      <c r="M84" s="289">
        <f t="shared" si="9"/>
        <v>0.52</v>
      </c>
      <c r="N84" s="289">
        <f t="shared" si="10"/>
        <v>0.9</v>
      </c>
      <c r="O84" s="290">
        <f t="shared" si="11"/>
        <v>0.25</v>
      </c>
    </row>
    <row r="85" spans="1:15" s="142" customFormat="1" ht="15.75" customHeight="1" x14ac:dyDescent="0.2">
      <c r="A85" s="149" t="s">
        <v>206</v>
      </c>
      <c r="B85" s="189" t="s">
        <v>294</v>
      </c>
      <c r="C85" s="150" t="s">
        <v>267</v>
      </c>
      <c r="D85" s="1221">
        <v>1544</v>
      </c>
      <c r="E85" s="1222">
        <v>1224</v>
      </c>
      <c r="F85" s="1223">
        <v>73</v>
      </c>
      <c r="G85" s="1220">
        <v>247</v>
      </c>
      <c r="H85" s="1221">
        <v>485</v>
      </c>
      <c r="I85" s="1222">
        <v>341</v>
      </c>
      <c r="J85" s="1223">
        <v>38</v>
      </c>
      <c r="K85" s="1220">
        <v>106</v>
      </c>
      <c r="L85" s="288">
        <f t="shared" si="8"/>
        <v>0.31411917098445596</v>
      </c>
      <c r="M85" s="289">
        <f t="shared" si="9"/>
        <v>0.27859477124183007</v>
      </c>
      <c r="N85" s="289">
        <f t="shared" si="10"/>
        <v>0.52054794520547942</v>
      </c>
      <c r="O85" s="290">
        <f t="shared" si="11"/>
        <v>0.4291497975708502</v>
      </c>
    </row>
    <row r="86" spans="1:15" s="142" customFormat="1" ht="15.75" customHeight="1" x14ac:dyDescent="0.2">
      <c r="A86" s="149" t="s">
        <v>208</v>
      </c>
      <c r="B86" s="189" t="s">
        <v>209</v>
      </c>
      <c r="C86" s="150" t="s">
        <v>268</v>
      </c>
      <c r="D86" s="1221">
        <v>239</v>
      </c>
      <c r="E86" s="1222">
        <v>237</v>
      </c>
      <c r="F86" s="1223">
        <v>0</v>
      </c>
      <c r="G86" s="1220">
        <v>2</v>
      </c>
      <c r="H86" s="1221">
        <v>91</v>
      </c>
      <c r="I86" s="1222">
        <v>90</v>
      </c>
      <c r="J86" s="1223">
        <v>0</v>
      </c>
      <c r="K86" s="1220">
        <v>1</v>
      </c>
      <c r="L86" s="288">
        <f t="shared" si="8"/>
        <v>0.3807531380753138</v>
      </c>
      <c r="M86" s="289">
        <f t="shared" si="9"/>
        <v>0.379746835443038</v>
      </c>
      <c r="N86" s="289" t="str">
        <f t="shared" si="10"/>
        <v>NA</v>
      </c>
      <c r="O86" s="290">
        <f t="shared" si="11"/>
        <v>0.5</v>
      </c>
    </row>
    <row r="87" spans="1:15" s="142" customFormat="1" ht="15.75" customHeight="1" x14ac:dyDescent="0.2">
      <c r="A87" s="149" t="s">
        <v>210</v>
      </c>
      <c r="B87" s="189" t="s">
        <v>211</v>
      </c>
      <c r="C87" s="150" t="s">
        <v>268</v>
      </c>
      <c r="D87" s="1221">
        <v>154</v>
      </c>
      <c r="E87" s="1222">
        <v>153</v>
      </c>
      <c r="F87" s="1223">
        <v>0</v>
      </c>
      <c r="G87" s="1220">
        <v>1</v>
      </c>
      <c r="H87" s="1221">
        <v>50</v>
      </c>
      <c r="I87" s="1222">
        <v>50</v>
      </c>
      <c r="J87" s="1223">
        <v>0</v>
      </c>
      <c r="K87" s="1220">
        <v>0</v>
      </c>
      <c r="L87" s="288">
        <f t="shared" si="8"/>
        <v>0.32467532467532467</v>
      </c>
      <c r="M87" s="289">
        <f t="shared" si="9"/>
        <v>0.32679738562091504</v>
      </c>
      <c r="N87" s="289" t="str">
        <f t="shared" si="10"/>
        <v>NA</v>
      </c>
      <c r="O87" s="290">
        <f t="shared" si="11"/>
        <v>0</v>
      </c>
    </row>
    <row r="88" spans="1:15" s="142" customFormat="1" ht="15.75" customHeight="1" x14ac:dyDescent="0.2">
      <c r="A88" s="149" t="s">
        <v>212</v>
      </c>
      <c r="B88" s="189" t="s">
        <v>213</v>
      </c>
      <c r="C88" s="150" t="s">
        <v>267</v>
      </c>
      <c r="D88" s="1221">
        <v>471</v>
      </c>
      <c r="E88" s="1222">
        <v>439</v>
      </c>
      <c r="F88" s="1223">
        <v>14</v>
      </c>
      <c r="G88" s="1220">
        <v>18</v>
      </c>
      <c r="H88" s="1221">
        <v>190</v>
      </c>
      <c r="I88" s="1222">
        <v>175</v>
      </c>
      <c r="J88" s="1223">
        <v>10</v>
      </c>
      <c r="K88" s="1220">
        <v>5</v>
      </c>
      <c r="L88" s="288">
        <f t="shared" si="8"/>
        <v>0.40339702760084928</v>
      </c>
      <c r="M88" s="289">
        <f t="shared" si="9"/>
        <v>0.39863325740318906</v>
      </c>
      <c r="N88" s="289">
        <f t="shared" si="10"/>
        <v>0.7142857142857143</v>
      </c>
      <c r="O88" s="290">
        <f t="shared" si="11"/>
        <v>0.27777777777777779</v>
      </c>
    </row>
    <row r="89" spans="1:15" s="142" customFormat="1" ht="15.75" customHeight="1" x14ac:dyDescent="0.2">
      <c r="A89" s="149" t="s">
        <v>214</v>
      </c>
      <c r="B89" s="189" t="s">
        <v>215</v>
      </c>
      <c r="C89" s="150" t="s">
        <v>268</v>
      </c>
      <c r="D89" s="1221">
        <v>258</v>
      </c>
      <c r="E89" s="1222">
        <v>245</v>
      </c>
      <c r="F89" s="1223">
        <v>4</v>
      </c>
      <c r="G89" s="1220">
        <v>9</v>
      </c>
      <c r="H89" s="1221">
        <v>109</v>
      </c>
      <c r="I89" s="1222">
        <v>101</v>
      </c>
      <c r="J89" s="1223">
        <v>3</v>
      </c>
      <c r="K89" s="1220">
        <v>5</v>
      </c>
      <c r="L89" s="288">
        <f t="shared" si="8"/>
        <v>0.42248062015503873</v>
      </c>
      <c r="M89" s="289">
        <f t="shared" si="9"/>
        <v>0.41224489795918368</v>
      </c>
      <c r="N89" s="289">
        <f t="shared" si="10"/>
        <v>0.75</v>
      </c>
      <c r="O89" s="290">
        <f t="shared" si="11"/>
        <v>0.55555555555555558</v>
      </c>
    </row>
    <row r="90" spans="1:15" s="142" customFormat="1" ht="15.75" customHeight="1" x14ac:dyDescent="0.2">
      <c r="A90" s="149" t="s">
        <v>216</v>
      </c>
      <c r="B90" s="189" t="s">
        <v>217</v>
      </c>
      <c r="C90" s="150" t="s">
        <v>264</v>
      </c>
      <c r="D90" s="1221">
        <v>142</v>
      </c>
      <c r="E90" s="1222">
        <v>94</v>
      </c>
      <c r="F90" s="1223">
        <v>43</v>
      </c>
      <c r="G90" s="1220">
        <v>5</v>
      </c>
      <c r="H90" s="1221">
        <v>57</v>
      </c>
      <c r="I90" s="1222">
        <v>23</v>
      </c>
      <c r="J90" s="1223">
        <v>32</v>
      </c>
      <c r="K90" s="1220">
        <v>2</v>
      </c>
      <c r="L90" s="288">
        <f t="shared" si="8"/>
        <v>0.40140845070422537</v>
      </c>
      <c r="M90" s="289">
        <f t="shared" si="9"/>
        <v>0.24468085106382978</v>
      </c>
      <c r="N90" s="289">
        <f t="shared" si="10"/>
        <v>0.7441860465116279</v>
      </c>
      <c r="O90" s="290">
        <f t="shared" si="11"/>
        <v>0.4</v>
      </c>
    </row>
    <row r="91" spans="1:15" s="142" customFormat="1" ht="15.75" customHeight="1" x14ac:dyDescent="0.2">
      <c r="A91" s="149" t="s">
        <v>218</v>
      </c>
      <c r="B91" s="189" t="s">
        <v>219</v>
      </c>
      <c r="C91" s="150" t="s">
        <v>267</v>
      </c>
      <c r="D91" s="1221">
        <v>1614</v>
      </c>
      <c r="E91" s="1222">
        <v>1232</v>
      </c>
      <c r="F91" s="1223">
        <v>225</v>
      </c>
      <c r="G91" s="1220">
        <v>157</v>
      </c>
      <c r="H91" s="1221">
        <v>577</v>
      </c>
      <c r="I91" s="1222">
        <v>381</v>
      </c>
      <c r="J91" s="1223">
        <v>136</v>
      </c>
      <c r="K91" s="1220">
        <v>60</v>
      </c>
      <c r="L91" s="288">
        <f t="shared" si="8"/>
        <v>0.35749690210656754</v>
      </c>
      <c r="M91" s="289">
        <f t="shared" si="9"/>
        <v>0.30925324675324678</v>
      </c>
      <c r="N91" s="289">
        <f t="shared" si="10"/>
        <v>0.60444444444444445</v>
      </c>
      <c r="O91" s="290">
        <f t="shared" si="11"/>
        <v>0.38216560509554143</v>
      </c>
    </row>
    <row r="92" spans="1:15" s="142" customFormat="1" ht="15.75" customHeight="1" x14ac:dyDescent="0.2">
      <c r="A92" s="149" t="s">
        <v>220</v>
      </c>
      <c r="B92" s="189" t="s">
        <v>221</v>
      </c>
      <c r="C92" s="150" t="s">
        <v>267</v>
      </c>
      <c r="D92" s="1221">
        <v>1703</v>
      </c>
      <c r="E92" s="1222">
        <v>1193</v>
      </c>
      <c r="F92" s="1223">
        <v>296</v>
      </c>
      <c r="G92" s="1220">
        <v>214</v>
      </c>
      <c r="H92" s="1221">
        <v>497</v>
      </c>
      <c r="I92" s="1222">
        <v>312</v>
      </c>
      <c r="J92" s="1223">
        <v>137</v>
      </c>
      <c r="K92" s="1220">
        <v>48</v>
      </c>
      <c r="L92" s="288">
        <f t="shared" si="8"/>
        <v>0.29183793305930711</v>
      </c>
      <c r="M92" s="289">
        <f t="shared" si="9"/>
        <v>0.26152556580050296</v>
      </c>
      <c r="N92" s="289">
        <f t="shared" si="10"/>
        <v>0.46283783783783783</v>
      </c>
      <c r="O92" s="290">
        <f t="shared" si="11"/>
        <v>0.22429906542056074</v>
      </c>
    </row>
    <row r="93" spans="1:15" s="142" customFormat="1" ht="15.75" customHeight="1" x14ac:dyDescent="0.2">
      <c r="A93" s="149" t="s">
        <v>224</v>
      </c>
      <c r="B93" s="189" t="s">
        <v>225</v>
      </c>
      <c r="C93" s="150" t="s">
        <v>264</v>
      </c>
      <c r="D93" s="1221">
        <v>50</v>
      </c>
      <c r="E93" s="1222">
        <v>27</v>
      </c>
      <c r="F93" s="1223">
        <v>18</v>
      </c>
      <c r="G93" s="1220">
        <v>5</v>
      </c>
      <c r="H93" s="1221">
        <v>24</v>
      </c>
      <c r="I93" s="1222">
        <v>11</v>
      </c>
      <c r="J93" s="1223">
        <v>9</v>
      </c>
      <c r="K93" s="1220">
        <v>4</v>
      </c>
      <c r="L93" s="288">
        <f t="shared" si="8"/>
        <v>0.48</v>
      </c>
      <c r="M93" s="289">
        <f t="shared" si="9"/>
        <v>0.40740740740740738</v>
      </c>
      <c r="N93" s="289">
        <f t="shared" si="10"/>
        <v>0.5</v>
      </c>
      <c r="O93" s="290">
        <f t="shared" si="11"/>
        <v>0.8</v>
      </c>
    </row>
    <row r="94" spans="1:15" s="142" customFormat="1" ht="15.75" customHeight="1" x14ac:dyDescent="0.2">
      <c r="A94" s="149" t="s">
        <v>226</v>
      </c>
      <c r="B94" s="189" t="s">
        <v>227</v>
      </c>
      <c r="C94" s="150" t="s">
        <v>264</v>
      </c>
      <c r="D94" s="1221">
        <v>100</v>
      </c>
      <c r="E94" s="1222">
        <v>54</v>
      </c>
      <c r="F94" s="1223">
        <v>41</v>
      </c>
      <c r="G94" s="1220">
        <v>5</v>
      </c>
      <c r="H94" s="1221">
        <v>60</v>
      </c>
      <c r="I94" s="1222">
        <v>25</v>
      </c>
      <c r="J94" s="1223">
        <v>33</v>
      </c>
      <c r="K94" s="1220">
        <v>2</v>
      </c>
      <c r="L94" s="288">
        <f t="shared" si="8"/>
        <v>0.6</v>
      </c>
      <c r="M94" s="289">
        <f t="shared" si="9"/>
        <v>0.46296296296296297</v>
      </c>
      <c r="N94" s="289">
        <f t="shared" si="10"/>
        <v>0.80487804878048785</v>
      </c>
      <c r="O94" s="290">
        <f t="shared" si="11"/>
        <v>0.4</v>
      </c>
    </row>
    <row r="95" spans="1:15" s="142" customFormat="1" ht="15.75" customHeight="1" x14ac:dyDescent="0.2">
      <c r="A95" s="149" t="s">
        <v>228</v>
      </c>
      <c r="B95" s="189" t="s">
        <v>229</v>
      </c>
      <c r="C95" s="150" t="s">
        <v>268</v>
      </c>
      <c r="D95" s="1221">
        <v>456</v>
      </c>
      <c r="E95" s="1222">
        <v>438</v>
      </c>
      <c r="F95" s="1223">
        <v>8</v>
      </c>
      <c r="G95" s="1220">
        <v>10</v>
      </c>
      <c r="H95" s="1221">
        <v>182</v>
      </c>
      <c r="I95" s="1222">
        <v>168</v>
      </c>
      <c r="J95" s="1223">
        <v>8</v>
      </c>
      <c r="K95" s="1220">
        <v>6</v>
      </c>
      <c r="L95" s="288">
        <f t="shared" si="8"/>
        <v>0.39912280701754388</v>
      </c>
      <c r="M95" s="289">
        <f t="shared" si="9"/>
        <v>0.38356164383561642</v>
      </c>
      <c r="N95" s="289">
        <f t="shared" si="10"/>
        <v>1</v>
      </c>
      <c r="O95" s="290">
        <f t="shared" si="11"/>
        <v>0.6</v>
      </c>
    </row>
    <row r="96" spans="1:15" s="142" customFormat="1" ht="15.75" customHeight="1" x14ac:dyDescent="0.2">
      <c r="A96" s="149" t="s">
        <v>232</v>
      </c>
      <c r="B96" s="189" t="s">
        <v>233</v>
      </c>
      <c r="C96" s="150" t="s">
        <v>267</v>
      </c>
      <c r="D96" s="1221">
        <v>495</v>
      </c>
      <c r="E96" s="1222">
        <v>454</v>
      </c>
      <c r="F96" s="1223">
        <v>20</v>
      </c>
      <c r="G96" s="1220">
        <v>21</v>
      </c>
      <c r="H96" s="1221">
        <v>210</v>
      </c>
      <c r="I96" s="1222">
        <v>189</v>
      </c>
      <c r="J96" s="1223">
        <v>19</v>
      </c>
      <c r="K96" s="1220">
        <v>2</v>
      </c>
      <c r="L96" s="288">
        <f t="shared" si="8"/>
        <v>0.42424242424242425</v>
      </c>
      <c r="M96" s="289">
        <f t="shared" si="9"/>
        <v>0.41629955947136565</v>
      </c>
      <c r="N96" s="289">
        <f t="shared" si="10"/>
        <v>0.95</v>
      </c>
      <c r="O96" s="290">
        <f t="shared" si="11"/>
        <v>9.5238095238095233E-2</v>
      </c>
    </row>
    <row r="97" spans="1:15" s="142" customFormat="1" ht="15.75" customHeight="1" x14ac:dyDescent="0.2">
      <c r="A97" s="149" t="s">
        <v>234</v>
      </c>
      <c r="B97" s="189" t="s">
        <v>235</v>
      </c>
      <c r="C97" s="150" t="s">
        <v>268</v>
      </c>
      <c r="D97" s="1221">
        <v>426</v>
      </c>
      <c r="E97" s="1222">
        <v>413</v>
      </c>
      <c r="F97" s="1223">
        <v>6</v>
      </c>
      <c r="G97" s="1220">
        <v>7</v>
      </c>
      <c r="H97" s="1221">
        <v>148</v>
      </c>
      <c r="I97" s="1222">
        <v>143</v>
      </c>
      <c r="J97" s="1223">
        <v>4</v>
      </c>
      <c r="K97" s="1220">
        <v>1</v>
      </c>
      <c r="L97" s="288">
        <f t="shared" si="8"/>
        <v>0.34741784037558687</v>
      </c>
      <c r="M97" s="289">
        <f t="shared" si="9"/>
        <v>0.34624697336561744</v>
      </c>
      <c r="N97" s="289">
        <f t="shared" si="10"/>
        <v>0.66666666666666663</v>
      </c>
      <c r="O97" s="290">
        <f t="shared" si="11"/>
        <v>0.14285714285714285</v>
      </c>
    </row>
    <row r="98" spans="1:15" s="142" customFormat="1" ht="15.75" customHeight="1" x14ac:dyDescent="0.2">
      <c r="A98" s="149" t="s">
        <v>236</v>
      </c>
      <c r="B98" s="189" t="s">
        <v>237</v>
      </c>
      <c r="C98" s="150" t="s">
        <v>266</v>
      </c>
      <c r="D98" s="1221">
        <v>164</v>
      </c>
      <c r="E98" s="1222">
        <v>106</v>
      </c>
      <c r="F98" s="1223">
        <v>50</v>
      </c>
      <c r="G98" s="1220">
        <v>8</v>
      </c>
      <c r="H98" s="1221">
        <v>88</v>
      </c>
      <c r="I98" s="1222">
        <v>43</v>
      </c>
      <c r="J98" s="1223">
        <v>41</v>
      </c>
      <c r="K98" s="1220">
        <v>4</v>
      </c>
      <c r="L98" s="288">
        <f t="shared" si="8"/>
        <v>0.53658536585365857</v>
      </c>
      <c r="M98" s="289">
        <f t="shared" si="9"/>
        <v>0.40566037735849059</v>
      </c>
      <c r="N98" s="289">
        <f t="shared" si="10"/>
        <v>0.82</v>
      </c>
      <c r="O98" s="290">
        <f t="shared" si="11"/>
        <v>0.5</v>
      </c>
    </row>
    <row r="99" spans="1:15" s="142" customFormat="1" ht="15.75" customHeight="1" x14ac:dyDescent="0.2">
      <c r="A99" s="149" t="s">
        <v>242</v>
      </c>
      <c r="B99" s="189" t="s">
        <v>243</v>
      </c>
      <c r="C99" s="150" t="s">
        <v>268</v>
      </c>
      <c r="D99" s="1221">
        <v>406</v>
      </c>
      <c r="E99" s="1222">
        <v>398</v>
      </c>
      <c r="F99" s="1223">
        <v>4</v>
      </c>
      <c r="G99" s="1220">
        <v>4</v>
      </c>
      <c r="H99" s="1221">
        <v>203</v>
      </c>
      <c r="I99" s="1222">
        <v>198</v>
      </c>
      <c r="J99" s="1223">
        <v>4</v>
      </c>
      <c r="K99" s="1220">
        <v>1</v>
      </c>
      <c r="L99" s="288">
        <f t="shared" si="8"/>
        <v>0.5</v>
      </c>
      <c r="M99" s="289">
        <f t="shared" si="9"/>
        <v>0.49748743718592964</v>
      </c>
      <c r="N99" s="289">
        <f t="shared" si="10"/>
        <v>1</v>
      </c>
      <c r="O99" s="290">
        <f t="shared" si="11"/>
        <v>0.25</v>
      </c>
    </row>
    <row r="100" spans="1:15" s="142" customFormat="1" ht="15.75" customHeight="1" x14ac:dyDescent="0.2">
      <c r="A100" s="149" t="s">
        <v>244</v>
      </c>
      <c r="B100" s="189" t="s">
        <v>245</v>
      </c>
      <c r="C100" s="150" t="s">
        <v>268</v>
      </c>
      <c r="D100" s="1221">
        <v>312</v>
      </c>
      <c r="E100" s="1222">
        <v>300</v>
      </c>
      <c r="F100" s="1223">
        <v>9</v>
      </c>
      <c r="G100" s="1220">
        <v>3</v>
      </c>
      <c r="H100" s="1221">
        <v>142</v>
      </c>
      <c r="I100" s="1222">
        <v>135</v>
      </c>
      <c r="J100" s="1223">
        <v>6</v>
      </c>
      <c r="K100" s="1220">
        <v>1</v>
      </c>
      <c r="L100" s="288">
        <f t="shared" si="8"/>
        <v>0.45512820512820512</v>
      </c>
      <c r="M100" s="289">
        <f t="shared" si="9"/>
        <v>0.45</v>
      </c>
      <c r="N100" s="289">
        <f t="shared" si="10"/>
        <v>0.66666666666666663</v>
      </c>
      <c r="O100" s="290">
        <f t="shared" si="11"/>
        <v>0.33333333333333331</v>
      </c>
    </row>
    <row r="101" spans="1:15" s="142" customFormat="1" ht="15.75" customHeight="1" x14ac:dyDescent="0.2">
      <c r="A101" s="149" t="s">
        <v>246</v>
      </c>
      <c r="B101" s="189" t="s">
        <v>247</v>
      </c>
      <c r="C101" s="150" t="s">
        <v>264</v>
      </c>
      <c r="D101" s="1221">
        <v>803</v>
      </c>
      <c r="E101" s="1222">
        <v>607</v>
      </c>
      <c r="F101" s="1223">
        <v>102</v>
      </c>
      <c r="G101" s="1220">
        <v>94</v>
      </c>
      <c r="H101" s="1221">
        <v>175</v>
      </c>
      <c r="I101" s="1222">
        <v>103</v>
      </c>
      <c r="J101" s="1223">
        <v>56</v>
      </c>
      <c r="K101" s="1220">
        <v>16</v>
      </c>
      <c r="L101" s="288">
        <f t="shared" si="8"/>
        <v>0.21793275217932753</v>
      </c>
      <c r="M101" s="289">
        <f t="shared" si="9"/>
        <v>0.16968698517298189</v>
      </c>
      <c r="N101" s="289">
        <f t="shared" si="10"/>
        <v>0.5490196078431373</v>
      </c>
      <c r="O101" s="290">
        <f t="shared" si="11"/>
        <v>0.1702127659574468</v>
      </c>
    </row>
    <row r="102" spans="1:15" s="142" customFormat="1" ht="15.75" customHeight="1" x14ac:dyDescent="0.2">
      <c r="A102" s="149" t="s">
        <v>14</v>
      </c>
      <c r="B102" s="189" t="s">
        <v>15</v>
      </c>
      <c r="C102" s="150" t="s">
        <v>267</v>
      </c>
      <c r="D102" s="1221">
        <v>2748</v>
      </c>
      <c r="E102" s="1222">
        <v>1688</v>
      </c>
      <c r="F102" s="1223">
        <v>540</v>
      </c>
      <c r="G102" s="1220">
        <v>520</v>
      </c>
      <c r="H102" s="1221">
        <v>636</v>
      </c>
      <c r="I102" s="1222">
        <v>215</v>
      </c>
      <c r="J102" s="1223">
        <v>267</v>
      </c>
      <c r="K102" s="1220">
        <v>154</v>
      </c>
      <c r="L102" s="288">
        <f t="shared" si="8"/>
        <v>0.23144104803493451</v>
      </c>
      <c r="M102" s="289">
        <f t="shared" si="9"/>
        <v>0.12736966824644549</v>
      </c>
      <c r="N102" s="289">
        <f t="shared" si="10"/>
        <v>0.49444444444444446</v>
      </c>
      <c r="O102" s="290">
        <f t="shared" si="11"/>
        <v>0.29615384615384616</v>
      </c>
    </row>
    <row r="103" spans="1:15" s="142" customFormat="1" ht="15.75" customHeight="1" x14ac:dyDescent="0.2">
      <c r="A103" s="149" t="s">
        <v>34</v>
      </c>
      <c r="B103" s="189" t="s">
        <v>35</v>
      </c>
      <c r="C103" s="150" t="s">
        <v>268</v>
      </c>
      <c r="D103" s="1221">
        <v>158</v>
      </c>
      <c r="E103" s="1222">
        <v>143</v>
      </c>
      <c r="F103" s="1223">
        <v>8</v>
      </c>
      <c r="G103" s="1220">
        <v>7</v>
      </c>
      <c r="H103" s="1221">
        <v>76</v>
      </c>
      <c r="I103" s="1222">
        <v>68</v>
      </c>
      <c r="J103" s="1223">
        <v>5</v>
      </c>
      <c r="K103" s="1220">
        <v>3</v>
      </c>
      <c r="L103" s="288">
        <f t="shared" ref="L103:L126" si="12">IF(D103=0,"NA",(H103/D103))</f>
        <v>0.48101265822784811</v>
      </c>
      <c r="M103" s="289">
        <f t="shared" ref="M103:M126" si="13">IF(E103=0,"NA",(I103/E103))</f>
        <v>0.47552447552447552</v>
      </c>
      <c r="N103" s="289">
        <f t="shared" ref="N103:N126" si="14">IF(F103=0,"NA",(J103/F103))</f>
        <v>0.625</v>
      </c>
      <c r="O103" s="290">
        <f t="shared" ref="O103:O126" si="15">IF(G103=0,"NA",(K103/G103))</f>
        <v>0.42857142857142855</v>
      </c>
    </row>
    <row r="104" spans="1:15" s="142" customFormat="1" ht="15.75" customHeight="1" x14ac:dyDescent="0.2">
      <c r="A104" s="149" t="s">
        <v>52</v>
      </c>
      <c r="B104" s="189" t="s">
        <v>53</v>
      </c>
      <c r="C104" s="150" t="s">
        <v>265</v>
      </c>
      <c r="D104" s="1221">
        <v>625</v>
      </c>
      <c r="E104" s="1222">
        <v>401</v>
      </c>
      <c r="F104" s="1223">
        <v>132</v>
      </c>
      <c r="G104" s="1220">
        <v>92</v>
      </c>
      <c r="H104" s="1221">
        <v>177</v>
      </c>
      <c r="I104" s="1222">
        <v>61</v>
      </c>
      <c r="J104" s="1223">
        <v>96</v>
      </c>
      <c r="K104" s="1220">
        <v>20</v>
      </c>
      <c r="L104" s="288">
        <f t="shared" si="12"/>
        <v>0.28320000000000001</v>
      </c>
      <c r="M104" s="289">
        <f t="shared" si="13"/>
        <v>0.15211970074812967</v>
      </c>
      <c r="N104" s="289">
        <f t="shared" si="14"/>
        <v>0.72727272727272729</v>
      </c>
      <c r="O104" s="290">
        <f t="shared" si="15"/>
        <v>0.21739130434782608</v>
      </c>
    </row>
    <row r="105" spans="1:15" s="142" customFormat="1" ht="15.75" customHeight="1" x14ac:dyDescent="0.2">
      <c r="A105" s="149" t="s">
        <v>54</v>
      </c>
      <c r="B105" s="189" t="s">
        <v>55</v>
      </c>
      <c r="C105" s="150" t="s">
        <v>264</v>
      </c>
      <c r="D105" s="1221">
        <v>3016</v>
      </c>
      <c r="E105" s="1222">
        <v>1844</v>
      </c>
      <c r="F105" s="1223">
        <v>901</v>
      </c>
      <c r="G105" s="1220">
        <v>271</v>
      </c>
      <c r="H105" s="1221">
        <v>1057</v>
      </c>
      <c r="I105" s="1222">
        <v>398</v>
      </c>
      <c r="J105" s="1223">
        <v>578</v>
      </c>
      <c r="K105" s="1220">
        <v>81</v>
      </c>
      <c r="L105" s="288">
        <f t="shared" si="12"/>
        <v>0.35046419098143233</v>
      </c>
      <c r="M105" s="289">
        <f t="shared" si="13"/>
        <v>0.2158351409978308</v>
      </c>
      <c r="N105" s="289">
        <f t="shared" si="14"/>
        <v>0.64150943396226412</v>
      </c>
      <c r="O105" s="290">
        <f t="shared" si="15"/>
        <v>0.2988929889298893</v>
      </c>
    </row>
    <row r="106" spans="1:15" s="142" customFormat="1" ht="15.75" customHeight="1" x14ac:dyDescent="0.2">
      <c r="A106" s="149" t="s">
        <v>66</v>
      </c>
      <c r="B106" s="189" t="s">
        <v>67</v>
      </c>
      <c r="C106" s="150" t="s">
        <v>265</v>
      </c>
      <c r="D106" s="1221">
        <v>583</v>
      </c>
      <c r="E106" s="1222">
        <v>220</v>
      </c>
      <c r="F106" s="1223">
        <v>316</v>
      </c>
      <c r="G106" s="1220">
        <v>47</v>
      </c>
      <c r="H106" s="1221">
        <v>380</v>
      </c>
      <c r="I106" s="1222">
        <v>104</v>
      </c>
      <c r="J106" s="1223">
        <v>250</v>
      </c>
      <c r="K106" s="1220">
        <v>26</v>
      </c>
      <c r="L106" s="288">
        <f t="shared" si="12"/>
        <v>0.65180102915951976</v>
      </c>
      <c r="M106" s="289">
        <f t="shared" si="13"/>
        <v>0.47272727272727272</v>
      </c>
      <c r="N106" s="289">
        <f t="shared" si="14"/>
        <v>0.79113924050632911</v>
      </c>
      <c r="O106" s="290">
        <f t="shared" si="15"/>
        <v>0.55319148936170215</v>
      </c>
    </row>
    <row r="107" spans="1:15" s="142" customFormat="1" ht="15.75" customHeight="1" x14ac:dyDescent="0.2">
      <c r="A107" s="149" t="s">
        <v>82</v>
      </c>
      <c r="B107" s="189" t="s">
        <v>83</v>
      </c>
      <c r="C107" s="150" t="s">
        <v>264</v>
      </c>
      <c r="D107" s="1221">
        <v>158</v>
      </c>
      <c r="E107" s="1222">
        <v>52</v>
      </c>
      <c r="F107" s="1223">
        <v>100</v>
      </c>
      <c r="G107" s="1220">
        <v>6</v>
      </c>
      <c r="H107" s="1221">
        <v>100</v>
      </c>
      <c r="I107" s="1222">
        <v>16</v>
      </c>
      <c r="J107" s="1223">
        <v>83</v>
      </c>
      <c r="K107" s="1220">
        <v>1</v>
      </c>
      <c r="L107" s="288">
        <f t="shared" si="12"/>
        <v>0.63291139240506333</v>
      </c>
      <c r="M107" s="289">
        <f t="shared" si="13"/>
        <v>0.30769230769230771</v>
      </c>
      <c r="N107" s="289">
        <f t="shared" si="14"/>
        <v>0.83</v>
      </c>
      <c r="O107" s="290">
        <f t="shared" si="15"/>
        <v>0.16666666666666666</v>
      </c>
    </row>
    <row r="108" spans="1:15" s="142" customFormat="1" ht="15.75" customHeight="1" x14ac:dyDescent="0.2">
      <c r="A108" s="149" t="s">
        <v>88</v>
      </c>
      <c r="B108" s="189" t="s">
        <v>89</v>
      </c>
      <c r="C108" s="150" t="s">
        <v>267</v>
      </c>
      <c r="D108" s="1221">
        <v>429</v>
      </c>
      <c r="E108" s="1222">
        <v>254</v>
      </c>
      <c r="F108" s="1223">
        <v>111</v>
      </c>
      <c r="G108" s="1220">
        <v>64</v>
      </c>
      <c r="H108" s="1221">
        <v>199</v>
      </c>
      <c r="I108" s="1222">
        <v>88</v>
      </c>
      <c r="J108" s="1223">
        <v>82</v>
      </c>
      <c r="K108" s="1220">
        <v>29</v>
      </c>
      <c r="L108" s="288">
        <f t="shared" si="12"/>
        <v>0.46386946386946387</v>
      </c>
      <c r="M108" s="289">
        <f t="shared" si="13"/>
        <v>0.34645669291338582</v>
      </c>
      <c r="N108" s="289">
        <f t="shared" si="14"/>
        <v>0.73873873873873874</v>
      </c>
      <c r="O108" s="290">
        <f t="shared" si="15"/>
        <v>0.453125</v>
      </c>
    </row>
    <row r="109" spans="1:15" s="142" customFormat="1" ht="15.75" customHeight="1" x14ac:dyDescent="0.2">
      <c r="A109" s="149" t="s">
        <v>90</v>
      </c>
      <c r="B109" s="189" t="s">
        <v>91</v>
      </c>
      <c r="C109" s="150" t="s">
        <v>268</v>
      </c>
      <c r="D109" s="1221">
        <v>100</v>
      </c>
      <c r="E109" s="1222">
        <v>71</v>
      </c>
      <c r="F109" s="1223">
        <v>3</v>
      </c>
      <c r="G109" s="1220">
        <v>26</v>
      </c>
      <c r="H109" s="1221">
        <v>45</v>
      </c>
      <c r="I109" s="1222">
        <v>26</v>
      </c>
      <c r="J109" s="1223">
        <v>2</v>
      </c>
      <c r="K109" s="1220">
        <v>17</v>
      </c>
      <c r="L109" s="288">
        <f t="shared" si="12"/>
        <v>0.45</v>
      </c>
      <c r="M109" s="289">
        <f t="shared" si="13"/>
        <v>0.36619718309859156</v>
      </c>
      <c r="N109" s="289">
        <f t="shared" si="14"/>
        <v>0.66666666666666663</v>
      </c>
      <c r="O109" s="290">
        <f t="shared" si="15"/>
        <v>0.65384615384615385</v>
      </c>
    </row>
    <row r="110" spans="1:15" s="142" customFormat="1" ht="15.75" customHeight="1" x14ac:dyDescent="0.2">
      <c r="A110" s="149" t="s">
        <v>106</v>
      </c>
      <c r="B110" s="189" t="s">
        <v>107</v>
      </c>
      <c r="C110" s="150" t="s">
        <v>264</v>
      </c>
      <c r="D110" s="1221">
        <v>1765</v>
      </c>
      <c r="E110" s="1222">
        <v>730</v>
      </c>
      <c r="F110" s="1223">
        <v>853</v>
      </c>
      <c r="G110" s="1220">
        <v>182</v>
      </c>
      <c r="H110" s="1221">
        <v>817</v>
      </c>
      <c r="I110" s="1222">
        <v>204</v>
      </c>
      <c r="J110" s="1223">
        <v>551</v>
      </c>
      <c r="K110" s="1220">
        <v>62</v>
      </c>
      <c r="L110" s="288">
        <f t="shared" si="12"/>
        <v>0.46288951841359771</v>
      </c>
      <c r="M110" s="289">
        <f t="shared" si="13"/>
        <v>0.27945205479452057</v>
      </c>
      <c r="N110" s="289">
        <f t="shared" si="14"/>
        <v>0.64595545134818289</v>
      </c>
      <c r="O110" s="290">
        <f t="shared" si="15"/>
        <v>0.34065934065934067</v>
      </c>
    </row>
    <row r="111" spans="1:15" s="142" customFormat="1" ht="15.75" customHeight="1" x14ac:dyDescent="0.2">
      <c r="A111" s="149" t="s">
        <v>116</v>
      </c>
      <c r="B111" s="189" t="s">
        <v>117</v>
      </c>
      <c r="C111" s="150" t="s">
        <v>266</v>
      </c>
      <c r="D111" s="1221">
        <v>368</v>
      </c>
      <c r="E111" s="1222">
        <v>187</v>
      </c>
      <c r="F111" s="1223">
        <v>161</v>
      </c>
      <c r="G111" s="1220">
        <v>20</v>
      </c>
      <c r="H111" s="1221">
        <v>238</v>
      </c>
      <c r="I111" s="1222">
        <v>100</v>
      </c>
      <c r="J111" s="1223">
        <v>123</v>
      </c>
      <c r="K111" s="1220">
        <v>15</v>
      </c>
      <c r="L111" s="288">
        <f t="shared" si="12"/>
        <v>0.64673913043478259</v>
      </c>
      <c r="M111" s="289">
        <f t="shared" si="13"/>
        <v>0.53475935828877008</v>
      </c>
      <c r="N111" s="289">
        <f t="shared" si="14"/>
        <v>0.7639751552795031</v>
      </c>
      <c r="O111" s="290">
        <f t="shared" si="15"/>
        <v>0.75</v>
      </c>
    </row>
    <row r="112" spans="1:15" s="142" customFormat="1" ht="15.75" customHeight="1" x14ac:dyDescent="0.2">
      <c r="A112" s="149" t="s">
        <v>138</v>
      </c>
      <c r="B112" s="189" t="s">
        <v>139</v>
      </c>
      <c r="C112" s="150" t="s">
        <v>265</v>
      </c>
      <c r="D112" s="1221">
        <v>1164</v>
      </c>
      <c r="E112" s="1222">
        <v>740</v>
      </c>
      <c r="F112" s="1223">
        <v>366</v>
      </c>
      <c r="G112" s="1220">
        <v>58</v>
      </c>
      <c r="H112" s="1221">
        <v>475</v>
      </c>
      <c r="I112" s="1223">
        <v>176</v>
      </c>
      <c r="J112" s="1223">
        <v>285</v>
      </c>
      <c r="K112" s="1220">
        <v>14</v>
      </c>
      <c r="L112" s="288">
        <f t="shared" si="12"/>
        <v>0.40807560137457044</v>
      </c>
      <c r="M112" s="289">
        <f t="shared" si="13"/>
        <v>0.23783783783783785</v>
      </c>
      <c r="N112" s="289">
        <f t="shared" si="14"/>
        <v>0.77868852459016391</v>
      </c>
      <c r="O112" s="290">
        <f t="shared" si="15"/>
        <v>0.2413793103448276</v>
      </c>
    </row>
    <row r="113" spans="1:15" s="142" customFormat="1" ht="15.75" customHeight="1" x14ac:dyDescent="0.2">
      <c r="A113" s="149" t="s">
        <v>142</v>
      </c>
      <c r="B113" s="189" t="s">
        <v>273</v>
      </c>
      <c r="C113" s="150" t="s">
        <v>267</v>
      </c>
      <c r="D113" s="1221">
        <v>759</v>
      </c>
      <c r="E113" s="1222">
        <v>476</v>
      </c>
      <c r="F113" s="1223">
        <v>108</v>
      </c>
      <c r="G113" s="1220">
        <v>175</v>
      </c>
      <c r="H113" s="1221">
        <v>315</v>
      </c>
      <c r="I113" s="1222">
        <v>194</v>
      </c>
      <c r="J113" s="1223">
        <v>50</v>
      </c>
      <c r="K113" s="1220">
        <v>71</v>
      </c>
      <c r="L113" s="288">
        <f t="shared" si="12"/>
        <v>0.41501976284584979</v>
      </c>
      <c r="M113" s="289">
        <f t="shared" si="13"/>
        <v>0.40756302521008403</v>
      </c>
      <c r="N113" s="289">
        <f t="shared" si="14"/>
        <v>0.46296296296296297</v>
      </c>
      <c r="O113" s="290">
        <f t="shared" si="15"/>
        <v>0.40571428571428569</v>
      </c>
    </row>
    <row r="114" spans="1:15" s="142" customFormat="1" ht="15.75" customHeight="1" x14ac:dyDescent="0.2">
      <c r="A114" s="149" t="s">
        <v>144</v>
      </c>
      <c r="B114" s="189" t="s">
        <v>145</v>
      </c>
      <c r="C114" s="150" t="s">
        <v>267</v>
      </c>
      <c r="D114" s="1221">
        <v>22</v>
      </c>
      <c r="E114" s="1222">
        <v>14</v>
      </c>
      <c r="F114" s="1223">
        <v>2</v>
      </c>
      <c r="G114" s="1220">
        <v>6</v>
      </c>
      <c r="H114" s="1221">
        <v>7</v>
      </c>
      <c r="I114" s="1222">
        <v>5</v>
      </c>
      <c r="J114" s="1223">
        <v>0</v>
      </c>
      <c r="K114" s="1220">
        <v>2</v>
      </c>
      <c r="L114" s="288">
        <f t="shared" si="12"/>
        <v>0.31818181818181818</v>
      </c>
      <c r="M114" s="289">
        <f t="shared" si="13"/>
        <v>0.35714285714285715</v>
      </c>
      <c r="N114" s="289">
        <f t="shared" si="14"/>
        <v>0</v>
      </c>
      <c r="O114" s="290">
        <f t="shared" si="15"/>
        <v>0.33333333333333331</v>
      </c>
    </row>
    <row r="115" spans="1:15" s="142" customFormat="1" ht="15.75" customHeight="1" x14ac:dyDescent="0.2">
      <c r="A115" s="149" t="s">
        <v>158</v>
      </c>
      <c r="B115" s="189" t="s">
        <v>159</v>
      </c>
      <c r="C115" s="150" t="s">
        <v>264</v>
      </c>
      <c r="D115" s="1221">
        <v>2809</v>
      </c>
      <c r="E115" s="1222">
        <v>1165</v>
      </c>
      <c r="F115" s="1223">
        <v>1256</v>
      </c>
      <c r="G115" s="1220">
        <v>388</v>
      </c>
      <c r="H115" s="1221">
        <v>1339</v>
      </c>
      <c r="I115" s="1222">
        <v>306</v>
      </c>
      <c r="J115" s="1223">
        <v>872</v>
      </c>
      <c r="K115" s="1220">
        <v>161</v>
      </c>
      <c r="L115" s="288">
        <f t="shared" si="12"/>
        <v>0.47668209327162692</v>
      </c>
      <c r="M115" s="289">
        <f t="shared" si="13"/>
        <v>0.26266094420600861</v>
      </c>
      <c r="N115" s="289">
        <f t="shared" si="14"/>
        <v>0.69426751592356684</v>
      </c>
      <c r="O115" s="290">
        <f t="shared" si="15"/>
        <v>0.41494845360824745</v>
      </c>
    </row>
    <row r="116" spans="1:15" s="142" customFormat="1" ht="15.75" customHeight="1" x14ac:dyDescent="0.2">
      <c r="A116" s="149" t="s">
        <v>160</v>
      </c>
      <c r="B116" s="189" t="s">
        <v>161</v>
      </c>
      <c r="C116" s="150" t="s">
        <v>264</v>
      </c>
      <c r="D116" s="1221">
        <v>3620</v>
      </c>
      <c r="E116" s="1222">
        <v>1587</v>
      </c>
      <c r="F116" s="1223">
        <v>1620</v>
      </c>
      <c r="G116" s="1220">
        <v>413</v>
      </c>
      <c r="H116" s="1221">
        <v>1657</v>
      </c>
      <c r="I116" s="1222">
        <v>349</v>
      </c>
      <c r="J116" s="1223">
        <v>1157</v>
      </c>
      <c r="K116" s="1220">
        <v>151</v>
      </c>
      <c r="L116" s="288">
        <f t="shared" si="12"/>
        <v>0.45773480662983423</v>
      </c>
      <c r="M116" s="289">
        <f t="shared" si="13"/>
        <v>0.21991178323881538</v>
      </c>
      <c r="N116" s="289">
        <f t="shared" si="14"/>
        <v>0.71419753086419757</v>
      </c>
      <c r="O116" s="290">
        <f t="shared" si="15"/>
        <v>0.36561743341404357</v>
      </c>
    </row>
    <row r="117" spans="1:15" s="142" customFormat="1" ht="15.75" customHeight="1" x14ac:dyDescent="0.2">
      <c r="A117" s="149" t="s">
        <v>166</v>
      </c>
      <c r="B117" s="189" t="s">
        <v>167</v>
      </c>
      <c r="C117" s="150" t="s">
        <v>268</v>
      </c>
      <c r="D117" s="1221">
        <v>48</v>
      </c>
      <c r="E117" s="1222">
        <v>44</v>
      </c>
      <c r="F117" s="1223">
        <v>4</v>
      </c>
      <c r="G117" s="1220">
        <v>0</v>
      </c>
      <c r="H117" s="1221">
        <v>18</v>
      </c>
      <c r="I117" s="1222">
        <v>15</v>
      </c>
      <c r="J117" s="1223">
        <v>3</v>
      </c>
      <c r="K117" s="1220">
        <v>0</v>
      </c>
      <c r="L117" s="288">
        <f t="shared" si="12"/>
        <v>0.375</v>
      </c>
      <c r="M117" s="289">
        <f t="shared" si="13"/>
        <v>0.34090909090909088</v>
      </c>
      <c r="N117" s="289">
        <f t="shared" si="14"/>
        <v>0.75</v>
      </c>
      <c r="O117" s="290" t="str">
        <f t="shared" si="15"/>
        <v>NA</v>
      </c>
    </row>
    <row r="118" spans="1:15" s="142" customFormat="1" ht="15.75" customHeight="1" x14ac:dyDescent="0.2">
      <c r="A118" s="149" t="s">
        <v>176</v>
      </c>
      <c r="B118" s="189" t="s">
        <v>177</v>
      </c>
      <c r="C118" s="150" t="s">
        <v>266</v>
      </c>
      <c r="D118" s="1221">
        <v>686</v>
      </c>
      <c r="E118" s="1222">
        <v>177</v>
      </c>
      <c r="F118" s="1223">
        <v>462</v>
      </c>
      <c r="G118" s="1220">
        <v>47</v>
      </c>
      <c r="H118" s="1221">
        <v>513</v>
      </c>
      <c r="I118" s="1222">
        <v>78</v>
      </c>
      <c r="J118" s="1223">
        <v>404</v>
      </c>
      <c r="K118" s="1220">
        <v>31</v>
      </c>
      <c r="L118" s="288">
        <f t="shared" si="12"/>
        <v>0.74781341107871724</v>
      </c>
      <c r="M118" s="289">
        <f t="shared" si="13"/>
        <v>0.44067796610169491</v>
      </c>
      <c r="N118" s="289">
        <f t="shared" si="14"/>
        <v>0.87445887445887449</v>
      </c>
      <c r="O118" s="290">
        <f t="shared" si="15"/>
        <v>0.65957446808510634</v>
      </c>
    </row>
    <row r="119" spans="1:15" s="142" customFormat="1" ht="15.75" customHeight="1" x14ac:dyDescent="0.2">
      <c r="A119" s="149" t="s">
        <v>180</v>
      </c>
      <c r="B119" s="189" t="s">
        <v>181</v>
      </c>
      <c r="C119" s="150" t="s">
        <v>264</v>
      </c>
      <c r="D119" s="1221">
        <v>1476</v>
      </c>
      <c r="E119" s="1222">
        <v>579</v>
      </c>
      <c r="F119" s="1223">
        <v>824</v>
      </c>
      <c r="G119" s="1220">
        <v>73</v>
      </c>
      <c r="H119" s="1221">
        <v>822</v>
      </c>
      <c r="I119" s="1222">
        <v>171</v>
      </c>
      <c r="J119" s="1223">
        <v>624</v>
      </c>
      <c r="K119" s="1220">
        <v>27</v>
      </c>
      <c r="L119" s="288">
        <f t="shared" si="12"/>
        <v>0.55691056910569103</v>
      </c>
      <c r="M119" s="289">
        <f t="shared" si="13"/>
        <v>0.29533678756476683</v>
      </c>
      <c r="N119" s="289">
        <f t="shared" si="14"/>
        <v>0.75728155339805825</v>
      </c>
      <c r="O119" s="290">
        <f t="shared" si="15"/>
        <v>0.36986301369863012</v>
      </c>
    </row>
    <row r="120" spans="1:15" s="142" customFormat="1" ht="15.75" customHeight="1" x14ac:dyDescent="0.2">
      <c r="A120" s="149" t="s">
        <v>192</v>
      </c>
      <c r="B120" s="189" t="s">
        <v>193</v>
      </c>
      <c r="C120" s="150" t="s">
        <v>268</v>
      </c>
      <c r="D120" s="1221">
        <v>153</v>
      </c>
      <c r="E120" s="1222">
        <v>132</v>
      </c>
      <c r="F120" s="1223">
        <v>15</v>
      </c>
      <c r="G120" s="1220">
        <v>6</v>
      </c>
      <c r="H120" s="1221">
        <v>71</v>
      </c>
      <c r="I120" s="1222">
        <v>55</v>
      </c>
      <c r="J120" s="1223">
        <v>14</v>
      </c>
      <c r="K120" s="1220">
        <v>2</v>
      </c>
      <c r="L120" s="288">
        <f t="shared" si="12"/>
        <v>0.46405228758169936</v>
      </c>
      <c r="M120" s="289">
        <f t="shared" si="13"/>
        <v>0.41666666666666669</v>
      </c>
      <c r="N120" s="289">
        <f t="shared" si="14"/>
        <v>0.93333333333333335</v>
      </c>
      <c r="O120" s="290">
        <f t="shared" si="15"/>
        <v>0.33333333333333331</v>
      </c>
    </row>
    <row r="121" spans="1:15" s="142" customFormat="1" ht="15.75" customHeight="1" x14ac:dyDescent="0.2">
      <c r="A121" s="149" t="s">
        <v>196</v>
      </c>
      <c r="B121" s="189" t="s">
        <v>197</v>
      </c>
      <c r="C121" s="150" t="s">
        <v>266</v>
      </c>
      <c r="D121" s="1221">
        <v>2917</v>
      </c>
      <c r="E121" s="1222">
        <v>1035</v>
      </c>
      <c r="F121" s="1223">
        <v>1600</v>
      </c>
      <c r="G121" s="1220">
        <v>282</v>
      </c>
      <c r="H121" s="1221">
        <v>1753</v>
      </c>
      <c r="I121" s="1222">
        <v>267</v>
      </c>
      <c r="J121" s="1223">
        <v>1332</v>
      </c>
      <c r="K121" s="1220">
        <v>154</v>
      </c>
      <c r="L121" s="288">
        <f t="shared" si="12"/>
        <v>0.60095989029825159</v>
      </c>
      <c r="M121" s="289">
        <f t="shared" si="13"/>
        <v>0.25797101449275361</v>
      </c>
      <c r="N121" s="289">
        <f t="shared" si="14"/>
        <v>0.83250000000000002</v>
      </c>
      <c r="O121" s="290">
        <f t="shared" si="15"/>
        <v>0.54609929078014185</v>
      </c>
    </row>
    <row r="122" spans="1:15" s="142" customFormat="1" ht="15.75" customHeight="1" x14ac:dyDescent="0.2">
      <c r="A122" s="149" t="s">
        <v>200</v>
      </c>
      <c r="B122" s="189" t="s">
        <v>201</v>
      </c>
      <c r="C122" s="150" t="s">
        <v>265</v>
      </c>
      <c r="D122" s="1221">
        <v>1446</v>
      </c>
      <c r="E122" s="1222">
        <v>928</v>
      </c>
      <c r="F122" s="1223">
        <v>446</v>
      </c>
      <c r="G122" s="1220">
        <v>72</v>
      </c>
      <c r="H122" s="1221">
        <v>811</v>
      </c>
      <c r="I122" s="1222">
        <v>422</v>
      </c>
      <c r="J122" s="1223">
        <v>370</v>
      </c>
      <c r="K122" s="1220">
        <v>19</v>
      </c>
      <c r="L122" s="288">
        <f t="shared" si="12"/>
        <v>0.56085753803596128</v>
      </c>
      <c r="M122" s="289">
        <f t="shared" si="13"/>
        <v>0.45474137931034481</v>
      </c>
      <c r="N122" s="289">
        <f t="shared" si="14"/>
        <v>0.82959641255605376</v>
      </c>
      <c r="O122" s="290">
        <f t="shared" si="15"/>
        <v>0.2638888888888889</v>
      </c>
    </row>
    <row r="123" spans="1:15" s="142" customFormat="1" ht="15.75" customHeight="1" x14ac:dyDescent="0.2">
      <c r="A123" s="149" t="s">
        <v>222</v>
      </c>
      <c r="B123" s="189" t="s">
        <v>223</v>
      </c>
      <c r="C123" s="150" t="s">
        <v>264</v>
      </c>
      <c r="D123" s="1221">
        <v>1093</v>
      </c>
      <c r="E123" s="1222">
        <v>604</v>
      </c>
      <c r="F123" s="1223">
        <v>441</v>
      </c>
      <c r="G123" s="1220">
        <v>48</v>
      </c>
      <c r="H123" s="1221">
        <v>401</v>
      </c>
      <c r="I123" s="1222">
        <v>109</v>
      </c>
      <c r="J123" s="1223">
        <v>286</v>
      </c>
      <c r="K123" s="1220">
        <v>6</v>
      </c>
      <c r="L123" s="288">
        <f t="shared" si="12"/>
        <v>0.36688014638609334</v>
      </c>
      <c r="M123" s="289">
        <f t="shared" si="13"/>
        <v>0.1804635761589404</v>
      </c>
      <c r="N123" s="289">
        <f t="shared" si="14"/>
        <v>0.64852607709750565</v>
      </c>
      <c r="O123" s="290">
        <f t="shared" si="15"/>
        <v>0.125</v>
      </c>
    </row>
    <row r="124" spans="1:15" s="142" customFormat="1" ht="15.75" customHeight="1" x14ac:dyDescent="0.2">
      <c r="A124" s="149" t="s">
        <v>230</v>
      </c>
      <c r="B124" s="189" t="s">
        <v>231</v>
      </c>
      <c r="C124" s="150" t="s">
        <v>264</v>
      </c>
      <c r="D124" s="1221">
        <v>6088</v>
      </c>
      <c r="E124" s="1222">
        <v>3912</v>
      </c>
      <c r="F124" s="1223">
        <v>1281</v>
      </c>
      <c r="G124" s="1220">
        <v>895</v>
      </c>
      <c r="H124" s="1221">
        <v>1836</v>
      </c>
      <c r="I124" s="1222">
        <v>859</v>
      </c>
      <c r="J124" s="1223">
        <v>707</v>
      </c>
      <c r="K124" s="1220">
        <v>270</v>
      </c>
      <c r="L124" s="288">
        <f t="shared" si="12"/>
        <v>0.30157687253613669</v>
      </c>
      <c r="M124" s="289">
        <f t="shared" si="13"/>
        <v>0.21958077709611451</v>
      </c>
      <c r="N124" s="289">
        <f t="shared" si="14"/>
        <v>0.55191256830601088</v>
      </c>
      <c r="O124" s="290">
        <f t="shared" si="15"/>
        <v>0.3016759776536313</v>
      </c>
    </row>
    <row r="125" spans="1:15" s="142" customFormat="1" ht="15.75" customHeight="1" x14ac:dyDescent="0.2">
      <c r="A125" s="149" t="s">
        <v>238</v>
      </c>
      <c r="B125" s="189" t="s">
        <v>239</v>
      </c>
      <c r="C125" s="150" t="s">
        <v>264</v>
      </c>
      <c r="D125" s="1221">
        <v>87</v>
      </c>
      <c r="E125" s="1222">
        <v>41</v>
      </c>
      <c r="F125" s="1223">
        <v>26</v>
      </c>
      <c r="G125" s="1220">
        <v>20</v>
      </c>
      <c r="H125" s="1221">
        <v>34</v>
      </c>
      <c r="I125" s="1222">
        <v>13</v>
      </c>
      <c r="J125" s="1223">
        <v>16</v>
      </c>
      <c r="K125" s="1220">
        <v>5</v>
      </c>
      <c r="L125" s="288">
        <f t="shared" si="12"/>
        <v>0.39080459770114945</v>
      </c>
      <c r="M125" s="289">
        <f t="shared" si="13"/>
        <v>0.31707317073170732</v>
      </c>
      <c r="N125" s="289">
        <f t="shared" si="14"/>
        <v>0.61538461538461542</v>
      </c>
      <c r="O125" s="290">
        <f t="shared" si="15"/>
        <v>0.25</v>
      </c>
    </row>
    <row r="126" spans="1:15" s="142" customFormat="1" ht="15.75" customHeight="1" x14ac:dyDescent="0.2">
      <c r="A126" s="155" t="s">
        <v>240</v>
      </c>
      <c r="B126" s="191" t="s">
        <v>241</v>
      </c>
      <c r="C126" s="156" t="s">
        <v>267</v>
      </c>
      <c r="D126" s="1224">
        <v>423</v>
      </c>
      <c r="E126" s="1225">
        <v>306</v>
      </c>
      <c r="F126" s="1226">
        <v>48</v>
      </c>
      <c r="G126" s="1227">
        <v>69</v>
      </c>
      <c r="H126" s="1224">
        <v>214</v>
      </c>
      <c r="I126" s="1225">
        <v>144</v>
      </c>
      <c r="J126" s="1226">
        <v>38</v>
      </c>
      <c r="K126" s="1227">
        <v>32</v>
      </c>
      <c r="L126" s="291">
        <f t="shared" si="12"/>
        <v>0.50591016548463352</v>
      </c>
      <c r="M126" s="292">
        <f t="shared" si="13"/>
        <v>0.47058823529411764</v>
      </c>
      <c r="N126" s="292">
        <f t="shared" si="14"/>
        <v>0.79166666666666663</v>
      </c>
      <c r="O126" s="293">
        <f t="shared" si="15"/>
        <v>0.46376811594202899</v>
      </c>
    </row>
    <row r="127" spans="1:15" s="142" customFormat="1" ht="15.75" customHeight="1" x14ac:dyDescent="0.2">
      <c r="A127" s="283"/>
      <c r="B127" s="236"/>
      <c r="C127" s="284"/>
      <c r="D127" s="152"/>
      <c r="E127" s="151"/>
      <c r="F127" s="152"/>
      <c r="G127" s="285"/>
      <c r="H127" s="152"/>
      <c r="I127" s="151"/>
      <c r="J127" s="152"/>
      <c r="K127" s="151"/>
      <c r="L127" s="286"/>
      <c r="M127" s="286"/>
      <c r="N127" s="286"/>
      <c r="O127" s="286"/>
    </row>
    <row r="128" spans="1:15" s="142" customFormat="1" ht="15.75" customHeight="1" x14ac:dyDescent="0.2">
      <c r="A128" s="283" t="s">
        <v>266</v>
      </c>
      <c r="B128" s="236"/>
      <c r="C128" s="284"/>
      <c r="D128" s="294">
        <v>16111</v>
      </c>
      <c r="E128" s="154">
        <v>9383</v>
      </c>
      <c r="F128" s="153">
        <v>5147</v>
      </c>
      <c r="G128" s="295">
        <v>1581</v>
      </c>
      <c r="H128" s="294">
        <v>6940</v>
      </c>
      <c r="I128" s="154">
        <v>2564</v>
      </c>
      <c r="J128" s="153">
        <v>3854</v>
      </c>
      <c r="K128" s="296">
        <v>522</v>
      </c>
      <c r="L128" s="288">
        <f t="shared" ref="L128:O132" si="16">H128/D128</f>
        <v>0.43076159145925147</v>
      </c>
      <c r="M128" s="289">
        <f t="shared" si="16"/>
        <v>0.27326015133752529</v>
      </c>
      <c r="N128" s="289">
        <f t="shared" si="16"/>
        <v>0.74878570040800463</v>
      </c>
      <c r="O128" s="290">
        <f t="shared" si="16"/>
        <v>0.33017077798861483</v>
      </c>
    </row>
    <row r="129" spans="1:15" s="142" customFormat="1" ht="15.75" customHeight="1" x14ac:dyDescent="0.2">
      <c r="A129" s="283" t="s">
        <v>264</v>
      </c>
      <c r="B129" s="236"/>
      <c r="C129" s="284"/>
      <c r="D129" s="294">
        <v>24105</v>
      </c>
      <c r="E129" s="154">
        <v>13234</v>
      </c>
      <c r="F129" s="153">
        <v>8279</v>
      </c>
      <c r="G129" s="295">
        <v>2592</v>
      </c>
      <c r="H129" s="294">
        <v>9595</v>
      </c>
      <c r="I129" s="154">
        <v>3178</v>
      </c>
      <c r="J129" s="153">
        <v>5556</v>
      </c>
      <c r="K129" s="296">
        <v>861</v>
      </c>
      <c r="L129" s="288">
        <f t="shared" si="16"/>
        <v>0.39805019705455302</v>
      </c>
      <c r="M129" s="289">
        <f t="shared" si="16"/>
        <v>0.24013903581683543</v>
      </c>
      <c r="N129" s="289">
        <f t="shared" si="16"/>
        <v>0.67109554293996865</v>
      </c>
      <c r="O129" s="290">
        <f t="shared" si="16"/>
        <v>0.33217592592592593</v>
      </c>
    </row>
    <row r="130" spans="1:15" s="142" customFormat="1" ht="15.75" customHeight="1" x14ac:dyDescent="0.2">
      <c r="A130" s="283" t="s">
        <v>267</v>
      </c>
      <c r="B130" s="236"/>
      <c r="C130" s="284"/>
      <c r="D130" s="294">
        <v>45206</v>
      </c>
      <c r="E130" s="154">
        <v>28259</v>
      </c>
      <c r="F130" s="153">
        <v>5352</v>
      </c>
      <c r="G130" s="295">
        <v>11595</v>
      </c>
      <c r="H130" s="294">
        <v>11267</v>
      </c>
      <c r="I130" s="154">
        <v>5627</v>
      </c>
      <c r="J130" s="153">
        <v>2432</v>
      </c>
      <c r="K130" s="296">
        <v>3208</v>
      </c>
      <c r="L130" s="288">
        <f t="shared" si="16"/>
        <v>0.24923682696987126</v>
      </c>
      <c r="M130" s="289">
        <f t="shared" si="16"/>
        <v>0.19912240348207649</v>
      </c>
      <c r="N130" s="289">
        <f t="shared" si="16"/>
        <v>0.45440956651718983</v>
      </c>
      <c r="O130" s="290">
        <f t="shared" si="16"/>
        <v>0.2766709788702027</v>
      </c>
    </row>
    <row r="131" spans="1:15" s="142" customFormat="1" ht="15.75" customHeight="1" x14ac:dyDescent="0.2">
      <c r="A131" s="283" t="s">
        <v>265</v>
      </c>
      <c r="B131" s="236"/>
      <c r="C131" s="284"/>
      <c r="D131" s="294">
        <v>12024</v>
      </c>
      <c r="E131" s="154">
        <v>9034</v>
      </c>
      <c r="F131" s="153">
        <v>2364</v>
      </c>
      <c r="G131" s="295">
        <v>626</v>
      </c>
      <c r="H131" s="294">
        <v>5075</v>
      </c>
      <c r="I131" s="154">
        <v>3049</v>
      </c>
      <c r="J131" s="153">
        <v>1838</v>
      </c>
      <c r="K131" s="296">
        <v>188</v>
      </c>
      <c r="L131" s="288">
        <f t="shared" si="16"/>
        <v>0.42207252162341985</v>
      </c>
      <c r="M131" s="289">
        <f t="shared" si="16"/>
        <v>0.33750276732344475</v>
      </c>
      <c r="N131" s="289">
        <f t="shared" si="16"/>
        <v>0.77749576988155666</v>
      </c>
      <c r="O131" s="290">
        <f t="shared" si="16"/>
        <v>0.30031948881789139</v>
      </c>
    </row>
    <row r="132" spans="1:15" s="142" customFormat="1" ht="15.75" customHeight="1" x14ac:dyDescent="0.2">
      <c r="A132" s="283" t="s">
        <v>268</v>
      </c>
      <c r="B132" s="236"/>
      <c r="C132" s="284"/>
      <c r="D132" s="294">
        <v>5349</v>
      </c>
      <c r="E132" s="154">
        <v>5029</v>
      </c>
      <c r="F132" s="153">
        <v>125</v>
      </c>
      <c r="G132" s="295">
        <v>195</v>
      </c>
      <c r="H132" s="294">
        <v>2078</v>
      </c>
      <c r="I132" s="154">
        <v>1929</v>
      </c>
      <c r="J132" s="153">
        <v>86</v>
      </c>
      <c r="K132" s="296">
        <v>63</v>
      </c>
      <c r="L132" s="288">
        <f t="shared" si="16"/>
        <v>0.38848382875303794</v>
      </c>
      <c r="M132" s="289">
        <f t="shared" si="16"/>
        <v>0.38357526347186321</v>
      </c>
      <c r="N132" s="289">
        <f t="shared" si="16"/>
        <v>0.68799999999999994</v>
      </c>
      <c r="O132" s="290">
        <f t="shared" si="16"/>
        <v>0.32307692307692309</v>
      </c>
    </row>
    <row r="133" spans="1:15" s="142" customFormat="1" ht="15.75" customHeight="1" x14ac:dyDescent="0.2">
      <c r="A133" s="283"/>
      <c r="B133" s="236"/>
      <c r="C133" s="284"/>
      <c r="D133" s="152"/>
      <c r="E133" s="151"/>
      <c r="F133" s="152"/>
      <c r="G133" s="285"/>
      <c r="H133" s="152"/>
      <c r="I133" s="151"/>
      <c r="J133" s="152"/>
      <c r="K133" s="151"/>
      <c r="L133" s="286"/>
      <c r="M133" s="286"/>
      <c r="N133" s="286"/>
      <c r="O133" s="286"/>
    </row>
    <row r="134" spans="1:15" ht="28.5" customHeight="1" x14ac:dyDescent="0.25">
      <c r="A134" s="2252" t="s">
        <v>1096</v>
      </c>
      <c r="B134" s="2252"/>
      <c r="C134" s="2252"/>
      <c r="D134" s="2252"/>
      <c r="E134" s="2252"/>
      <c r="F134" s="2252"/>
      <c r="G134" s="2252"/>
      <c r="H134" s="2252"/>
      <c r="I134" s="2252"/>
      <c r="J134" s="2252"/>
      <c r="K134" s="2252"/>
      <c r="L134" s="2252"/>
      <c r="M134" s="2252"/>
      <c r="N134" s="2252"/>
      <c r="O134" s="2252"/>
    </row>
    <row r="135" spans="1:15" s="185" customFormat="1" ht="12.75" x14ac:dyDescent="0.2">
      <c r="A135" s="185" t="s">
        <v>248</v>
      </c>
    </row>
    <row r="136" spans="1:15" s="185" customFormat="1" ht="12.75" x14ac:dyDescent="0.2">
      <c r="A136" s="192" t="s">
        <v>249</v>
      </c>
      <c r="B136" s="170" t="s">
        <v>250</v>
      </c>
    </row>
  </sheetData>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6" activePane="bottomRight" state="frozen"/>
      <selection pane="topRight" activeCell="C1" sqref="C1"/>
      <selection pane="bottomLeft" activeCell="A6" sqref="A6"/>
      <selection pane="bottomRight" activeCell="D127" sqref="D127:D131"/>
    </sheetView>
  </sheetViews>
  <sheetFormatPr defaultRowHeight="12.75" x14ac:dyDescent="0.2"/>
  <cols>
    <col min="1" max="1" width="9" style="1274"/>
    <col min="2" max="2" width="24.5" style="1274" customWidth="1"/>
    <col min="3" max="3" width="13.625" style="1274" customWidth="1"/>
    <col min="4" max="7" width="9" style="1274"/>
    <col min="8" max="11" width="7.125" style="1274" customWidth="1"/>
    <col min="12" max="15" width="6.875" style="1274" customWidth="1"/>
    <col min="16" max="16384" width="9" style="1274"/>
  </cols>
  <sheetData>
    <row r="1" spans="1:15" ht="15.75" x14ac:dyDescent="0.25">
      <c r="A1" s="1273" t="s">
        <v>1286</v>
      </c>
    </row>
    <row r="3" spans="1:15" x14ac:dyDescent="0.2">
      <c r="B3" s="1275"/>
      <c r="C3" s="1275"/>
      <c r="D3" s="2261" t="s">
        <v>879</v>
      </c>
      <c r="E3" s="2262"/>
      <c r="F3" s="2262"/>
      <c r="G3" s="2263"/>
      <c r="H3" s="2261" t="s">
        <v>1097</v>
      </c>
      <c r="I3" s="2262"/>
      <c r="J3" s="2262"/>
      <c r="K3" s="2263"/>
      <c r="L3" s="2264" t="s">
        <v>887</v>
      </c>
      <c r="M3" s="2264"/>
      <c r="N3" s="2264"/>
      <c r="O3" s="2264"/>
    </row>
    <row r="4" spans="1:15" x14ac:dyDescent="0.2">
      <c r="A4" s="1276" t="s">
        <v>4</v>
      </c>
      <c r="B4" s="1276" t="s">
        <v>606</v>
      </c>
      <c r="C4" s="1276" t="s">
        <v>251</v>
      </c>
      <c r="D4" s="1277" t="s">
        <v>281</v>
      </c>
      <c r="E4" s="1278" t="s">
        <v>2</v>
      </c>
      <c r="F4" s="1278" t="s">
        <v>445</v>
      </c>
      <c r="G4" s="1279" t="s">
        <v>446</v>
      </c>
      <c r="H4" s="1277" t="s">
        <v>281</v>
      </c>
      <c r="I4" s="1278" t="s">
        <v>2</v>
      </c>
      <c r="J4" s="1278" t="s">
        <v>445</v>
      </c>
      <c r="K4" s="1279" t="s">
        <v>446</v>
      </c>
      <c r="L4" s="1277" t="s">
        <v>281</v>
      </c>
      <c r="M4" s="1278" t="s">
        <v>2</v>
      </c>
      <c r="N4" s="1278" t="s">
        <v>445</v>
      </c>
      <c r="O4" s="1279" t="s">
        <v>446</v>
      </c>
    </row>
    <row r="5" spans="1:15" x14ac:dyDescent="0.2">
      <c r="A5" s="1284" t="s">
        <v>8</v>
      </c>
      <c r="B5" s="1285" t="s">
        <v>9</v>
      </c>
      <c r="C5" s="1285"/>
      <c r="D5" s="1286">
        <f>SUM(D6:D125)</f>
        <v>4890</v>
      </c>
      <c r="E5" s="1287">
        <f t="shared" ref="E5:G5" si="0">SUM(E6:E125)</f>
        <v>2607</v>
      </c>
      <c r="F5" s="1287">
        <f t="shared" si="0"/>
        <v>1557</v>
      </c>
      <c r="G5" s="1288">
        <f t="shared" si="0"/>
        <v>726</v>
      </c>
      <c r="H5" s="1286">
        <f t="shared" ref="H5" si="1">SUM(H6:H125)</f>
        <v>519897</v>
      </c>
      <c r="I5" s="1289">
        <f t="shared" ref="I5" si="2">SUM(I6:I125)</f>
        <v>355619</v>
      </c>
      <c r="J5" s="1289">
        <f t="shared" ref="J5" si="3">SUM(J6:J125)</f>
        <v>123912</v>
      </c>
      <c r="K5" s="1288">
        <f t="shared" ref="K5" si="4">SUM(K6:K125)</f>
        <v>40366</v>
      </c>
      <c r="L5" s="1299">
        <f t="shared" ref="L5" si="5">IF(H5=0,"NA",(D5/H5)*1000)</f>
        <v>9.405709207785387</v>
      </c>
      <c r="M5" s="1300">
        <f t="shared" ref="M5:O5" si="6">IF(I5=0,"NA",(E5/I5)*1000)</f>
        <v>7.3308793962077399</v>
      </c>
      <c r="N5" s="1300">
        <f t="shared" si="6"/>
        <v>12.565368971528182</v>
      </c>
      <c r="O5" s="1301">
        <f t="shared" si="6"/>
        <v>17.985433285438241</v>
      </c>
    </row>
    <row r="6" spans="1:15" x14ac:dyDescent="0.2">
      <c r="A6" s="1274" t="s">
        <v>10</v>
      </c>
      <c r="B6" s="1274" t="s">
        <v>11</v>
      </c>
      <c r="C6" s="1274" t="s">
        <v>264</v>
      </c>
      <c r="D6" s="1280">
        <v>30</v>
      </c>
      <c r="E6" s="1281">
        <v>13</v>
      </c>
      <c r="F6" s="1281">
        <v>17</v>
      </c>
      <c r="G6" s="1282">
        <v>0</v>
      </c>
      <c r="H6" s="1280">
        <v>1686</v>
      </c>
      <c r="I6" s="1281">
        <v>1071</v>
      </c>
      <c r="J6" s="1281">
        <v>583</v>
      </c>
      <c r="K6" s="1282">
        <v>32</v>
      </c>
      <c r="L6" s="1302">
        <f t="shared" ref="L6:L37" si="7">IF(H6=0,"NA",(D6/H6)*1000)</f>
        <v>17.793594306049823</v>
      </c>
      <c r="M6" s="1303">
        <f t="shared" ref="M6:M37" si="8">IF(I6=0,"NA",(E6/I6)*1000)</f>
        <v>12.138188608776844</v>
      </c>
      <c r="N6" s="1303">
        <f t="shared" ref="N6:N37" si="9">IF(J6=0,"NA",(F6/J6)*1000)</f>
        <v>29.159519725557463</v>
      </c>
      <c r="O6" s="1304">
        <f t="shared" ref="O6:O37" si="10">IF(K6=0,"NA",(G6/K6)*1000)</f>
        <v>0</v>
      </c>
    </row>
    <row r="7" spans="1:15" x14ac:dyDescent="0.2">
      <c r="A7" s="1274" t="s">
        <v>12</v>
      </c>
      <c r="B7" s="1274" t="s">
        <v>13</v>
      </c>
      <c r="C7" s="1274" t="s">
        <v>265</v>
      </c>
      <c r="D7" s="1280">
        <v>27</v>
      </c>
      <c r="E7" s="1281">
        <v>12</v>
      </c>
      <c r="F7" s="1281">
        <v>9</v>
      </c>
      <c r="G7" s="1282">
        <v>6</v>
      </c>
      <c r="H7" s="1280">
        <v>7866</v>
      </c>
      <c r="I7" s="1281">
        <v>6270</v>
      </c>
      <c r="J7" s="1281">
        <v>917</v>
      </c>
      <c r="K7" s="1282">
        <v>679</v>
      </c>
      <c r="L7" s="1302">
        <f t="shared" si="7"/>
        <v>3.432494279176201</v>
      </c>
      <c r="M7" s="1303">
        <f t="shared" si="8"/>
        <v>1.9138755980861244</v>
      </c>
      <c r="N7" s="1303">
        <f t="shared" si="9"/>
        <v>9.8146128680479823</v>
      </c>
      <c r="O7" s="1304">
        <f t="shared" si="10"/>
        <v>8.8365243004418268</v>
      </c>
    </row>
    <row r="8" spans="1:15" x14ac:dyDescent="0.2">
      <c r="A8" s="1274" t="s">
        <v>14</v>
      </c>
      <c r="B8" s="1274" t="s">
        <v>15</v>
      </c>
      <c r="C8" s="1274" t="s">
        <v>267</v>
      </c>
      <c r="D8" s="1280">
        <v>69</v>
      </c>
      <c r="E8" s="1281">
        <v>24</v>
      </c>
      <c r="F8" s="1281">
        <v>15</v>
      </c>
      <c r="G8" s="1282">
        <v>30</v>
      </c>
      <c r="H8" s="1280">
        <v>4983</v>
      </c>
      <c r="I8" s="1281">
        <v>2994</v>
      </c>
      <c r="J8" s="1281">
        <v>1622</v>
      </c>
      <c r="K8" s="1282">
        <v>367</v>
      </c>
      <c r="L8" s="1302">
        <f t="shared" si="7"/>
        <v>13.847080072245635</v>
      </c>
      <c r="M8" s="1303">
        <f t="shared" si="8"/>
        <v>8.0160320641282556</v>
      </c>
      <c r="N8" s="1303">
        <f t="shared" si="9"/>
        <v>9.2478421701602969</v>
      </c>
      <c r="O8" s="1304">
        <f t="shared" si="10"/>
        <v>81.743869209809262</v>
      </c>
    </row>
    <row r="9" spans="1:15" x14ac:dyDescent="0.2">
      <c r="A9" s="1274" t="s">
        <v>16</v>
      </c>
      <c r="B9" s="1274" t="s">
        <v>297</v>
      </c>
      <c r="C9" s="1274" t="s">
        <v>265</v>
      </c>
      <c r="D9" s="1280">
        <v>20</v>
      </c>
      <c r="E9" s="1281">
        <v>17</v>
      </c>
      <c r="F9" s="1281">
        <v>2</v>
      </c>
      <c r="G9" s="1282">
        <v>1</v>
      </c>
      <c r="H9" s="1280">
        <v>1245</v>
      </c>
      <c r="I9" s="1281">
        <v>1131</v>
      </c>
      <c r="J9" s="1281">
        <v>105</v>
      </c>
      <c r="K9" s="1282">
        <v>9</v>
      </c>
      <c r="L9" s="1302">
        <f t="shared" si="7"/>
        <v>16.064257028112447</v>
      </c>
      <c r="M9" s="1303">
        <f t="shared" si="8"/>
        <v>15.030946065428823</v>
      </c>
      <c r="N9" s="1303">
        <f t="shared" si="9"/>
        <v>19.047619047619051</v>
      </c>
      <c r="O9" s="1304">
        <f t="shared" si="10"/>
        <v>111.1111111111111</v>
      </c>
    </row>
    <row r="10" spans="1:15" x14ac:dyDescent="0.2">
      <c r="A10" s="1274" t="s">
        <v>18</v>
      </c>
      <c r="B10" s="1274" t="s">
        <v>19</v>
      </c>
      <c r="C10" s="1274" t="s">
        <v>266</v>
      </c>
      <c r="D10" s="1280">
        <v>8</v>
      </c>
      <c r="E10" s="1281">
        <v>6</v>
      </c>
      <c r="F10" s="1281">
        <v>2</v>
      </c>
      <c r="G10" s="1282">
        <v>0</v>
      </c>
      <c r="H10" s="1280">
        <v>750</v>
      </c>
      <c r="I10" s="1281">
        <v>536</v>
      </c>
      <c r="J10" s="1281">
        <v>186</v>
      </c>
      <c r="K10" s="1282">
        <v>28</v>
      </c>
      <c r="L10" s="1302">
        <f t="shared" si="7"/>
        <v>10.666666666666666</v>
      </c>
      <c r="M10" s="1303">
        <f t="shared" si="8"/>
        <v>11.194029850746269</v>
      </c>
      <c r="N10" s="1303">
        <f t="shared" si="9"/>
        <v>10.752688172043012</v>
      </c>
      <c r="O10" s="1304">
        <f t="shared" si="10"/>
        <v>0</v>
      </c>
    </row>
    <row r="11" spans="1:15" x14ac:dyDescent="0.2">
      <c r="A11" s="1274" t="s">
        <v>20</v>
      </c>
      <c r="B11" s="1274" t="s">
        <v>21</v>
      </c>
      <c r="C11" s="1274" t="s">
        <v>265</v>
      </c>
      <c r="D11" s="1280">
        <v>27</v>
      </c>
      <c r="E11" s="1281">
        <v>19</v>
      </c>
      <c r="F11" s="1281">
        <v>8</v>
      </c>
      <c r="G11" s="1282">
        <v>0</v>
      </c>
      <c r="H11" s="1280">
        <v>1973</v>
      </c>
      <c r="I11" s="1281">
        <v>1526</v>
      </c>
      <c r="J11" s="1281">
        <v>412</v>
      </c>
      <c r="K11" s="1282">
        <v>35</v>
      </c>
      <c r="L11" s="1302">
        <f t="shared" si="7"/>
        <v>13.684744044602128</v>
      </c>
      <c r="M11" s="1303">
        <f t="shared" si="8"/>
        <v>12.450851900393184</v>
      </c>
      <c r="N11" s="1303">
        <f t="shared" si="9"/>
        <v>19.417475728155338</v>
      </c>
      <c r="O11" s="1304">
        <f t="shared" si="10"/>
        <v>0</v>
      </c>
    </row>
    <row r="12" spans="1:15" x14ac:dyDescent="0.2">
      <c r="A12" s="1274" t="s">
        <v>22</v>
      </c>
      <c r="B12" s="1274" t="s">
        <v>23</v>
      </c>
      <c r="C12" s="1274" t="s">
        <v>265</v>
      </c>
      <c r="D12" s="1280">
        <v>12</v>
      </c>
      <c r="E12" s="1281">
        <v>11</v>
      </c>
      <c r="F12" s="1281">
        <v>1</v>
      </c>
      <c r="G12" s="1282">
        <v>0</v>
      </c>
      <c r="H12" s="1280">
        <v>914</v>
      </c>
      <c r="I12" s="1281">
        <v>661</v>
      </c>
      <c r="J12" s="1281">
        <v>244</v>
      </c>
      <c r="K12" s="1282">
        <v>9</v>
      </c>
      <c r="L12" s="1302">
        <f t="shared" si="7"/>
        <v>13.129102844638949</v>
      </c>
      <c r="M12" s="1303">
        <f t="shared" si="8"/>
        <v>16.64145234493192</v>
      </c>
      <c r="N12" s="1303">
        <f t="shared" si="9"/>
        <v>4.0983606557377055</v>
      </c>
      <c r="O12" s="1304">
        <f t="shared" si="10"/>
        <v>0</v>
      </c>
    </row>
    <row r="13" spans="1:15" x14ac:dyDescent="0.2">
      <c r="A13" s="1274" t="s">
        <v>24</v>
      </c>
      <c r="B13" s="1274" t="s">
        <v>25</v>
      </c>
      <c r="C13" s="1274" t="s">
        <v>267</v>
      </c>
      <c r="D13" s="1280">
        <v>40</v>
      </c>
      <c r="E13" s="1281">
        <v>17</v>
      </c>
      <c r="F13" s="1281">
        <v>6</v>
      </c>
      <c r="G13" s="1282">
        <v>17</v>
      </c>
      <c r="H13" s="1280">
        <v>8437</v>
      </c>
      <c r="I13" s="1281">
        <v>6369</v>
      </c>
      <c r="J13" s="1281">
        <v>1073</v>
      </c>
      <c r="K13" s="1282">
        <v>995</v>
      </c>
      <c r="L13" s="1302">
        <f t="shared" si="7"/>
        <v>4.7410216901742324</v>
      </c>
      <c r="M13" s="1303">
        <f t="shared" si="8"/>
        <v>2.6691788349819436</v>
      </c>
      <c r="N13" s="1303">
        <f t="shared" si="9"/>
        <v>5.5917986952469709</v>
      </c>
      <c r="O13" s="1304">
        <f t="shared" si="10"/>
        <v>17.085427135678394</v>
      </c>
    </row>
    <row r="14" spans="1:15" x14ac:dyDescent="0.2">
      <c r="A14" s="1274" t="s">
        <v>26</v>
      </c>
      <c r="B14" s="1274" t="s">
        <v>298</v>
      </c>
      <c r="C14" s="1274" t="s">
        <v>265</v>
      </c>
      <c r="D14" s="1280">
        <v>96</v>
      </c>
      <c r="E14" s="1281">
        <v>82</v>
      </c>
      <c r="F14" s="1281">
        <v>11</v>
      </c>
      <c r="G14" s="1282">
        <v>3</v>
      </c>
      <c r="H14" s="1280">
        <v>7026</v>
      </c>
      <c r="I14" s="1281">
        <v>6178</v>
      </c>
      <c r="J14" s="1281">
        <v>724</v>
      </c>
      <c r="K14" s="1282">
        <v>124</v>
      </c>
      <c r="L14" s="1302">
        <f t="shared" si="7"/>
        <v>13.663535439795046</v>
      </c>
      <c r="M14" s="1303">
        <f t="shared" si="8"/>
        <v>13.272903852379411</v>
      </c>
      <c r="N14" s="1303">
        <f t="shared" si="9"/>
        <v>15.193370165745856</v>
      </c>
      <c r="O14" s="1304">
        <f t="shared" si="10"/>
        <v>24.193548387096772</v>
      </c>
    </row>
    <row r="15" spans="1:15" x14ac:dyDescent="0.2">
      <c r="A15" s="1274" t="s">
        <v>27</v>
      </c>
      <c r="B15" s="1274" t="s">
        <v>28</v>
      </c>
      <c r="C15" s="1274" t="s">
        <v>265</v>
      </c>
      <c r="D15" s="1280">
        <v>4</v>
      </c>
      <c r="E15" s="1281">
        <v>4</v>
      </c>
      <c r="F15" s="1281">
        <v>0</v>
      </c>
      <c r="G15" s="1282">
        <v>0</v>
      </c>
      <c r="H15" s="1280">
        <v>213</v>
      </c>
      <c r="I15" s="1281">
        <v>204</v>
      </c>
      <c r="J15" s="1281">
        <v>9</v>
      </c>
      <c r="K15" s="1282">
        <v>0</v>
      </c>
      <c r="L15" s="1302">
        <f t="shared" si="7"/>
        <v>18.779342723004696</v>
      </c>
      <c r="M15" s="1303">
        <f t="shared" si="8"/>
        <v>19.607843137254903</v>
      </c>
      <c r="N15" s="1303">
        <f t="shared" si="9"/>
        <v>0</v>
      </c>
      <c r="O15" s="1304" t="str">
        <f t="shared" si="10"/>
        <v>NA</v>
      </c>
    </row>
    <row r="16" spans="1:15" x14ac:dyDescent="0.2">
      <c r="A16" s="1274" t="s">
        <v>29</v>
      </c>
      <c r="B16" s="1274" t="s">
        <v>924</v>
      </c>
      <c r="C16" s="1274" t="s">
        <v>265</v>
      </c>
      <c r="D16" s="1280">
        <v>41</v>
      </c>
      <c r="E16" s="1281">
        <v>36</v>
      </c>
      <c r="F16" s="1281">
        <v>4</v>
      </c>
      <c r="G16" s="1282">
        <v>1</v>
      </c>
      <c r="H16" s="1280">
        <v>4716</v>
      </c>
      <c r="I16" s="1281">
        <v>4231</v>
      </c>
      <c r="J16" s="1281">
        <v>355</v>
      </c>
      <c r="K16" s="1282">
        <v>130</v>
      </c>
      <c r="L16" s="1302">
        <f t="shared" si="7"/>
        <v>8.6938083121289225</v>
      </c>
      <c r="M16" s="1303">
        <f t="shared" si="8"/>
        <v>8.5086268021744278</v>
      </c>
      <c r="N16" s="1303">
        <f t="shared" si="9"/>
        <v>11.267605633802818</v>
      </c>
      <c r="O16" s="1304">
        <f t="shared" si="10"/>
        <v>7.6923076923076925</v>
      </c>
    </row>
    <row r="17" spans="1:15" x14ac:dyDescent="0.2">
      <c r="A17" s="1274" t="s">
        <v>30</v>
      </c>
      <c r="B17" s="1274" t="s">
        <v>31</v>
      </c>
      <c r="C17" s="1274" t="s">
        <v>268</v>
      </c>
      <c r="D17" s="1280">
        <v>3</v>
      </c>
      <c r="E17" s="1281">
        <v>3</v>
      </c>
      <c r="F17" s="1281">
        <v>0</v>
      </c>
      <c r="G17" s="1282">
        <v>0</v>
      </c>
      <c r="H17" s="1280">
        <v>294</v>
      </c>
      <c r="I17" s="1281">
        <v>286</v>
      </c>
      <c r="J17" s="1281">
        <v>6</v>
      </c>
      <c r="K17" s="1282">
        <v>2</v>
      </c>
      <c r="L17" s="1302">
        <f t="shared" si="7"/>
        <v>10.204081632653061</v>
      </c>
      <c r="M17" s="1303">
        <f t="shared" si="8"/>
        <v>10.48951048951049</v>
      </c>
      <c r="N17" s="1303">
        <f t="shared" si="9"/>
        <v>0</v>
      </c>
      <c r="O17" s="1304">
        <f t="shared" si="10"/>
        <v>0</v>
      </c>
    </row>
    <row r="18" spans="1:15" x14ac:dyDescent="0.2">
      <c r="A18" s="1274" t="s">
        <v>32</v>
      </c>
      <c r="B18" s="1274" t="s">
        <v>33</v>
      </c>
      <c r="C18" s="1274" t="s">
        <v>265</v>
      </c>
      <c r="D18" s="1280">
        <v>13</v>
      </c>
      <c r="E18" s="1281">
        <v>13</v>
      </c>
      <c r="F18" s="1281">
        <v>0</v>
      </c>
      <c r="G18" s="1282">
        <v>0</v>
      </c>
      <c r="H18" s="1280">
        <v>2090</v>
      </c>
      <c r="I18" s="1281">
        <v>1983</v>
      </c>
      <c r="J18" s="1281">
        <v>77</v>
      </c>
      <c r="K18" s="1282">
        <v>30</v>
      </c>
      <c r="L18" s="1302">
        <f t="shared" si="7"/>
        <v>6.2200956937799043</v>
      </c>
      <c r="M18" s="1303">
        <f t="shared" si="8"/>
        <v>6.5557236510337873</v>
      </c>
      <c r="N18" s="1303">
        <f t="shared" si="9"/>
        <v>0</v>
      </c>
      <c r="O18" s="1304">
        <f t="shared" si="10"/>
        <v>0</v>
      </c>
    </row>
    <row r="19" spans="1:15" x14ac:dyDescent="0.2">
      <c r="A19" s="1274" t="s">
        <v>34</v>
      </c>
      <c r="B19" s="1274" t="s">
        <v>35</v>
      </c>
      <c r="C19" s="1274" t="s">
        <v>268</v>
      </c>
      <c r="D19" s="1280">
        <v>17</v>
      </c>
      <c r="E19" s="1281">
        <v>17</v>
      </c>
      <c r="F19" s="1281">
        <v>0</v>
      </c>
      <c r="G19" s="1282">
        <v>0</v>
      </c>
      <c r="H19" s="1280">
        <v>911</v>
      </c>
      <c r="I19" s="1281">
        <v>780</v>
      </c>
      <c r="J19" s="1281">
        <v>97</v>
      </c>
      <c r="K19" s="1282">
        <v>34</v>
      </c>
      <c r="L19" s="1302">
        <f t="shared" si="7"/>
        <v>18.660812294182215</v>
      </c>
      <c r="M19" s="1303">
        <f t="shared" si="8"/>
        <v>21.794871794871792</v>
      </c>
      <c r="N19" s="1303">
        <f t="shared" si="9"/>
        <v>0</v>
      </c>
      <c r="O19" s="1304">
        <f t="shared" si="10"/>
        <v>0</v>
      </c>
    </row>
    <row r="20" spans="1:15" x14ac:dyDescent="0.2">
      <c r="A20" s="1274" t="s">
        <v>36</v>
      </c>
      <c r="B20" s="1274" t="s">
        <v>37</v>
      </c>
      <c r="C20" s="1274" t="s">
        <v>264</v>
      </c>
      <c r="D20" s="1280">
        <v>14</v>
      </c>
      <c r="E20" s="1281">
        <v>6</v>
      </c>
      <c r="F20" s="1281">
        <v>8</v>
      </c>
      <c r="G20" s="1282">
        <v>0</v>
      </c>
      <c r="H20" s="1280">
        <v>859</v>
      </c>
      <c r="I20" s="1281">
        <v>326</v>
      </c>
      <c r="J20" s="1281">
        <v>529</v>
      </c>
      <c r="K20" s="1282">
        <v>4</v>
      </c>
      <c r="L20" s="1302">
        <f t="shared" si="7"/>
        <v>16.298020954598368</v>
      </c>
      <c r="M20" s="1303">
        <f t="shared" si="8"/>
        <v>18.404907975460123</v>
      </c>
      <c r="N20" s="1303">
        <f t="shared" si="9"/>
        <v>15.122873345935728</v>
      </c>
      <c r="O20" s="1304">
        <f t="shared" si="10"/>
        <v>0</v>
      </c>
    </row>
    <row r="21" spans="1:15" x14ac:dyDescent="0.2">
      <c r="A21" s="1274" t="s">
        <v>38</v>
      </c>
      <c r="B21" s="1274" t="s">
        <v>39</v>
      </c>
      <c r="C21" s="1274" t="s">
        <v>268</v>
      </c>
      <c r="D21" s="1280">
        <v>16</v>
      </c>
      <c r="E21" s="1281">
        <v>16</v>
      </c>
      <c r="F21" s="1281">
        <v>0</v>
      </c>
      <c r="G21" s="1282">
        <v>0</v>
      </c>
      <c r="H21" s="1280">
        <v>1153</v>
      </c>
      <c r="I21" s="1281">
        <v>1106</v>
      </c>
      <c r="J21" s="1281">
        <v>41</v>
      </c>
      <c r="K21" s="1282">
        <v>6</v>
      </c>
      <c r="L21" s="1302">
        <f t="shared" si="7"/>
        <v>13.876843018213355</v>
      </c>
      <c r="M21" s="1303">
        <f t="shared" si="8"/>
        <v>14.466546112115731</v>
      </c>
      <c r="N21" s="1303">
        <f t="shared" si="9"/>
        <v>0</v>
      </c>
      <c r="O21" s="1304">
        <f t="shared" si="10"/>
        <v>0</v>
      </c>
    </row>
    <row r="22" spans="1:15" x14ac:dyDescent="0.2">
      <c r="A22" s="1274" t="s">
        <v>40</v>
      </c>
      <c r="B22" s="1274" t="s">
        <v>41</v>
      </c>
      <c r="C22" s="1274" t="s">
        <v>266</v>
      </c>
      <c r="D22" s="1280">
        <v>10</v>
      </c>
      <c r="E22" s="1281">
        <v>6</v>
      </c>
      <c r="F22" s="1281">
        <v>4</v>
      </c>
      <c r="G22" s="1282">
        <v>0</v>
      </c>
      <c r="H22" s="1280">
        <v>776</v>
      </c>
      <c r="I22" s="1281">
        <v>488</v>
      </c>
      <c r="J22" s="1281">
        <v>279</v>
      </c>
      <c r="K22" s="1282">
        <v>9</v>
      </c>
      <c r="L22" s="1302">
        <f t="shared" si="7"/>
        <v>12.886597938144329</v>
      </c>
      <c r="M22" s="1303">
        <f t="shared" si="8"/>
        <v>12.295081967213115</v>
      </c>
      <c r="N22" s="1303">
        <f t="shared" si="9"/>
        <v>14.336917562724015</v>
      </c>
      <c r="O22" s="1304">
        <f t="shared" si="10"/>
        <v>0</v>
      </c>
    </row>
    <row r="23" spans="1:15" x14ac:dyDescent="0.2">
      <c r="A23" s="1274" t="s">
        <v>42</v>
      </c>
      <c r="B23" s="1274" t="s">
        <v>43</v>
      </c>
      <c r="C23" s="1274" t="s">
        <v>265</v>
      </c>
      <c r="D23" s="1280">
        <v>32</v>
      </c>
      <c r="E23" s="1281">
        <v>24</v>
      </c>
      <c r="F23" s="1281">
        <v>7</v>
      </c>
      <c r="G23" s="1282">
        <v>1</v>
      </c>
      <c r="H23" s="1280">
        <v>3248</v>
      </c>
      <c r="I23" s="1281">
        <v>2628</v>
      </c>
      <c r="J23" s="1281">
        <v>541</v>
      </c>
      <c r="K23" s="1282">
        <v>79</v>
      </c>
      <c r="L23" s="1302">
        <f t="shared" si="7"/>
        <v>9.8522167487684733</v>
      </c>
      <c r="M23" s="1303">
        <f t="shared" si="8"/>
        <v>9.1324200913241995</v>
      </c>
      <c r="N23" s="1303">
        <f t="shared" si="9"/>
        <v>12.939001848428836</v>
      </c>
      <c r="O23" s="1304">
        <f t="shared" si="10"/>
        <v>12.658227848101266</v>
      </c>
    </row>
    <row r="24" spans="1:15" x14ac:dyDescent="0.2">
      <c r="A24" s="1274" t="s">
        <v>44</v>
      </c>
      <c r="B24" s="1274" t="s">
        <v>45</v>
      </c>
      <c r="C24" s="1274" t="s">
        <v>266</v>
      </c>
      <c r="D24" s="1280">
        <v>20</v>
      </c>
      <c r="E24" s="1281">
        <v>16</v>
      </c>
      <c r="F24" s="1281">
        <v>3</v>
      </c>
      <c r="G24" s="1282">
        <v>1</v>
      </c>
      <c r="H24" s="1280">
        <v>1733</v>
      </c>
      <c r="I24" s="1281">
        <v>1132</v>
      </c>
      <c r="J24" s="1281">
        <v>564</v>
      </c>
      <c r="K24" s="1282">
        <v>37</v>
      </c>
      <c r="L24" s="1302">
        <f t="shared" si="7"/>
        <v>11.540680900173111</v>
      </c>
      <c r="M24" s="1303">
        <f t="shared" si="8"/>
        <v>14.134275618374557</v>
      </c>
      <c r="N24" s="1303">
        <f t="shared" si="9"/>
        <v>5.3191489361702127</v>
      </c>
      <c r="O24" s="1304">
        <f t="shared" si="10"/>
        <v>27.027027027027028</v>
      </c>
    </row>
    <row r="25" spans="1:15" x14ac:dyDescent="0.2">
      <c r="A25" s="1274" t="s">
        <v>46</v>
      </c>
      <c r="B25" s="1274" t="s">
        <v>47</v>
      </c>
      <c r="C25" s="1274" t="s">
        <v>268</v>
      </c>
      <c r="D25" s="1280">
        <v>22</v>
      </c>
      <c r="E25" s="1281">
        <v>20</v>
      </c>
      <c r="F25" s="1281">
        <v>0</v>
      </c>
      <c r="G25" s="1282">
        <v>2</v>
      </c>
      <c r="H25" s="1280">
        <v>1640</v>
      </c>
      <c r="I25" s="1281">
        <v>1597</v>
      </c>
      <c r="J25" s="1281">
        <v>30</v>
      </c>
      <c r="K25" s="1282">
        <v>13</v>
      </c>
      <c r="L25" s="1302">
        <f t="shared" si="7"/>
        <v>13.414634146341463</v>
      </c>
      <c r="M25" s="1303">
        <f t="shared" si="8"/>
        <v>12.523481527864746</v>
      </c>
      <c r="N25" s="1303">
        <f t="shared" si="9"/>
        <v>0</v>
      </c>
      <c r="O25" s="1304">
        <f t="shared" si="10"/>
        <v>153.84615384615387</v>
      </c>
    </row>
    <row r="26" spans="1:15" x14ac:dyDescent="0.2">
      <c r="A26" s="1274" t="s">
        <v>48</v>
      </c>
      <c r="B26" s="1274" t="s">
        <v>269</v>
      </c>
      <c r="C26" s="1274" t="s">
        <v>266</v>
      </c>
      <c r="D26" s="1280">
        <v>6</v>
      </c>
      <c r="E26" s="1281">
        <v>2</v>
      </c>
      <c r="F26" s="1281">
        <v>1</v>
      </c>
      <c r="G26" s="1282">
        <v>3</v>
      </c>
      <c r="H26" s="1280">
        <v>307</v>
      </c>
      <c r="I26" s="1281">
        <v>118</v>
      </c>
      <c r="J26" s="1281">
        <v>154</v>
      </c>
      <c r="K26" s="1282">
        <v>35</v>
      </c>
      <c r="L26" s="1302">
        <f t="shared" si="7"/>
        <v>19.543973941368076</v>
      </c>
      <c r="M26" s="1303">
        <f t="shared" si="8"/>
        <v>16.949152542372882</v>
      </c>
      <c r="N26" s="1303">
        <f t="shared" si="9"/>
        <v>6.4935064935064943</v>
      </c>
      <c r="O26" s="1304">
        <f t="shared" si="10"/>
        <v>85.714285714285708</v>
      </c>
    </row>
    <row r="27" spans="1:15" x14ac:dyDescent="0.2">
      <c r="A27" s="1274" t="s">
        <v>50</v>
      </c>
      <c r="B27" s="1274" t="s">
        <v>51</v>
      </c>
      <c r="C27" s="1274" t="s">
        <v>265</v>
      </c>
      <c r="D27" s="1280">
        <v>8</v>
      </c>
      <c r="E27" s="1281">
        <v>5</v>
      </c>
      <c r="F27" s="1281">
        <v>3</v>
      </c>
      <c r="G27" s="1282">
        <v>0</v>
      </c>
      <c r="H27" s="1280">
        <v>759</v>
      </c>
      <c r="I27" s="1281">
        <v>473</v>
      </c>
      <c r="J27" s="1281">
        <v>280</v>
      </c>
      <c r="K27" s="1282">
        <v>6</v>
      </c>
      <c r="L27" s="1302">
        <f t="shared" si="7"/>
        <v>10.540184453227932</v>
      </c>
      <c r="M27" s="1303">
        <f t="shared" si="8"/>
        <v>10.570824524312897</v>
      </c>
      <c r="N27" s="1303">
        <f t="shared" si="9"/>
        <v>10.714285714285714</v>
      </c>
      <c r="O27" s="1304">
        <f t="shared" si="10"/>
        <v>0</v>
      </c>
    </row>
    <row r="28" spans="1:15" x14ac:dyDescent="0.2">
      <c r="A28" s="1274" t="s">
        <v>52</v>
      </c>
      <c r="B28" s="1274" t="s">
        <v>53</v>
      </c>
      <c r="C28" s="1274" t="s">
        <v>265</v>
      </c>
      <c r="D28" s="1280">
        <v>16</v>
      </c>
      <c r="E28" s="1281">
        <v>7</v>
      </c>
      <c r="F28" s="1281">
        <v>7</v>
      </c>
      <c r="G28" s="1282">
        <v>2</v>
      </c>
      <c r="H28" s="1280">
        <v>2022</v>
      </c>
      <c r="I28" s="1281">
        <v>1195</v>
      </c>
      <c r="J28" s="1281">
        <v>600</v>
      </c>
      <c r="K28" s="1282">
        <v>227</v>
      </c>
      <c r="L28" s="1302">
        <f t="shared" si="7"/>
        <v>7.9129574678536096</v>
      </c>
      <c r="M28" s="1303">
        <f t="shared" si="8"/>
        <v>5.8577405857740592</v>
      </c>
      <c r="N28" s="1303">
        <f t="shared" si="9"/>
        <v>11.666666666666668</v>
      </c>
      <c r="O28" s="1304">
        <f t="shared" si="10"/>
        <v>8.8105726872246706</v>
      </c>
    </row>
    <row r="29" spans="1:15" x14ac:dyDescent="0.2">
      <c r="A29" s="1274" t="s">
        <v>54</v>
      </c>
      <c r="B29" s="1274" t="s">
        <v>55</v>
      </c>
      <c r="C29" s="1274" t="s">
        <v>264</v>
      </c>
      <c r="D29" s="1280">
        <v>139</v>
      </c>
      <c r="E29" s="1281">
        <v>57</v>
      </c>
      <c r="F29" s="1281">
        <v>67</v>
      </c>
      <c r="G29" s="1282">
        <v>15</v>
      </c>
      <c r="H29" s="1280">
        <v>15859</v>
      </c>
      <c r="I29" s="1281">
        <v>9645</v>
      </c>
      <c r="J29" s="1281">
        <v>5530</v>
      </c>
      <c r="K29" s="1282">
        <v>684</v>
      </c>
      <c r="L29" s="1302">
        <f t="shared" si="7"/>
        <v>8.7647392647707925</v>
      </c>
      <c r="M29" s="1303">
        <f t="shared" si="8"/>
        <v>5.9097978227060652</v>
      </c>
      <c r="N29" s="1303">
        <f t="shared" si="9"/>
        <v>12.115732368896925</v>
      </c>
      <c r="O29" s="1304">
        <f t="shared" si="10"/>
        <v>21.929824561403507</v>
      </c>
    </row>
    <row r="30" spans="1:15" x14ac:dyDescent="0.2">
      <c r="A30" s="1274" t="s">
        <v>56</v>
      </c>
      <c r="B30" s="1274" t="s">
        <v>295</v>
      </c>
      <c r="C30" s="1274" t="s">
        <v>266</v>
      </c>
      <c r="D30" s="1280">
        <v>193</v>
      </c>
      <c r="E30" s="1281">
        <v>95</v>
      </c>
      <c r="F30" s="1281">
        <v>81</v>
      </c>
      <c r="G30" s="1282">
        <v>17</v>
      </c>
      <c r="H30" s="1280">
        <v>25189</v>
      </c>
      <c r="I30" s="1281">
        <v>16311</v>
      </c>
      <c r="J30" s="1281">
        <v>7774</v>
      </c>
      <c r="K30" s="1282">
        <v>1104</v>
      </c>
      <c r="L30" s="1302">
        <f t="shared" si="7"/>
        <v>7.6620747151534392</v>
      </c>
      <c r="M30" s="1303">
        <f t="shared" si="8"/>
        <v>5.8242903562013373</v>
      </c>
      <c r="N30" s="1303">
        <f t="shared" si="9"/>
        <v>10.419346539747878</v>
      </c>
      <c r="O30" s="1304">
        <f t="shared" si="10"/>
        <v>15.398550724637682</v>
      </c>
    </row>
    <row r="31" spans="1:15" x14ac:dyDescent="0.2">
      <c r="A31" s="1274" t="s">
        <v>58</v>
      </c>
      <c r="B31" s="1274" t="s">
        <v>59</v>
      </c>
      <c r="C31" s="1274" t="s">
        <v>267</v>
      </c>
      <c r="D31" s="1280">
        <v>6</v>
      </c>
      <c r="E31" s="1281">
        <v>6</v>
      </c>
      <c r="F31" s="1281">
        <v>0</v>
      </c>
      <c r="G31" s="1282">
        <v>0</v>
      </c>
      <c r="H31" s="1280">
        <v>912</v>
      </c>
      <c r="I31" s="1281">
        <v>844</v>
      </c>
      <c r="J31" s="1281">
        <v>50</v>
      </c>
      <c r="K31" s="1282">
        <v>18</v>
      </c>
      <c r="L31" s="1302">
        <f t="shared" si="7"/>
        <v>6.5789473684210522</v>
      </c>
      <c r="M31" s="1303">
        <f t="shared" si="8"/>
        <v>7.1090047393364921</v>
      </c>
      <c r="N31" s="1303">
        <f t="shared" si="9"/>
        <v>0</v>
      </c>
      <c r="O31" s="1304">
        <f t="shared" si="10"/>
        <v>0</v>
      </c>
    </row>
    <row r="32" spans="1:15" x14ac:dyDescent="0.2">
      <c r="A32" s="1274" t="s">
        <v>60</v>
      </c>
      <c r="B32" s="1274" t="s">
        <v>61</v>
      </c>
      <c r="C32" s="1274" t="s">
        <v>265</v>
      </c>
      <c r="D32" s="1280">
        <v>3</v>
      </c>
      <c r="E32" s="1281">
        <v>3</v>
      </c>
      <c r="F32" s="1281">
        <v>0</v>
      </c>
      <c r="G32" s="1282">
        <v>0</v>
      </c>
      <c r="H32" s="1280">
        <v>309</v>
      </c>
      <c r="I32" s="1281">
        <v>304</v>
      </c>
      <c r="J32" s="1281">
        <v>4</v>
      </c>
      <c r="K32" s="1282">
        <v>1</v>
      </c>
      <c r="L32" s="1302">
        <f t="shared" si="7"/>
        <v>9.7087378640776691</v>
      </c>
      <c r="M32" s="1303">
        <f t="shared" si="8"/>
        <v>9.8684210526315788</v>
      </c>
      <c r="N32" s="1303">
        <f t="shared" si="9"/>
        <v>0</v>
      </c>
      <c r="O32" s="1304">
        <f t="shared" si="10"/>
        <v>0</v>
      </c>
    </row>
    <row r="33" spans="1:15" x14ac:dyDescent="0.2">
      <c r="A33" s="1274" t="s">
        <v>62</v>
      </c>
      <c r="B33" s="1274" t="s">
        <v>63</v>
      </c>
      <c r="C33" s="1274" t="s">
        <v>267</v>
      </c>
      <c r="D33" s="1280">
        <v>27</v>
      </c>
      <c r="E33" s="1281">
        <v>22</v>
      </c>
      <c r="F33" s="1281">
        <v>4</v>
      </c>
      <c r="G33" s="1282">
        <v>1</v>
      </c>
      <c r="H33" s="1280">
        <v>3218</v>
      </c>
      <c r="I33" s="1281">
        <v>2526</v>
      </c>
      <c r="J33" s="1281">
        <v>588</v>
      </c>
      <c r="K33" s="1282">
        <v>104</v>
      </c>
      <c r="L33" s="1302">
        <f t="shared" si="7"/>
        <v>8.3903045369794906</v>
      </c>
      <c r="M33" s="1303">
        <f t="shared" si="8"/>
        <v>8.7094220110847189</v>
      </c>
      <c r="N33" s="1303">
        <f t="shared" si="9"/>
        <v>6.8027210884353737</v>
      </c>
      <c r="O33" s="1304">
        <f t="shared" si="10"/>
        <v>9.6153846153846168</v>
      </c>
    </row>
    <row r="34" spans="1:15" x14ac:dyDescent="0.2">
      <c r="A34" s="1274" t="s">
        <v>64</v>
      </c>
      <c r="B34" s="1274" t="s">
        <v>65</v>
      </c>
      <c r="C34" s="1274" t="s">
        <v>266</v>
      </c>
      <c r="D34" s="1280">
        <v>8</v>
      </c>
      <c r="E34" s="1281">
        <v>3</v>
      </c>
      <c r="F34" s="1281">
        <v>5</v>
      </c>
      <c r="G34" s="1282">
        <v>0</v>
      </c>
      <c r="H34" s="1280">
        <v>612</v>
      </c>
      <c r="I34" s="1281">
        <v>376</v>
      </c>
      <c r="J34" s="1281">
        <v>228</v>
      </c>
      <c r="K34" s="1282">
        <v>8</v>
      </c>
      <c r="L34" s="1302">
        <f t="shared" si="7"/>
        <v>13.071895424836601</v>
      </c>
      <c r="M34" s="1303">
        <f t="shared" si="8"/>
        <v>7.9787234042553186</v>
      </c>
      <c r="N34" s="1303">
        <f t="shared" si="9"/>
        <v>21.929824561403507</v>
      </c>
      <c r="O34" s="1304">
        <f t="shared" si="10"/>
        <v>0</v>
      </c>
    </row>
    <row r="35" spans="1:15" x14ac:dyDescent="0.2">
      <c r="A35" s="1274" t="s">
        <v>66</v>
      </c>
      <c r="B35" s="1274" t="s">
        <v>67</v>
      </c>
      <c r="C35" s="1274" t="s">
        <v>265</v>
      </c>
      <c r="D35" s="1280">
        <v>57</v>
      </c>
      <c r="E35" s="1281">
        <v>15</v>
      </c>
      <c r="F35" s="1281">
        <v>37</v>
      </c>
      <c r="G35" s="1282">
        <v>5</v>
      </c>
      <c r="H35" s="1280">
        <v>2377</v>
      </c>
      <c r="I35" s="1281">
        <v>869</v>
      </c>
      <c r="J35" s="1281">
        <v>1470</v>
      </c>
      <c r="K35" s="1282">
        <v>38</v>
      </c>
      <c r="L35" s="1302">
        <f t="shared" si="7"/>
        <v>23.979806478754732</v>
      </c>
      <c r="M35" s="1303">
        <f t="shared" si="8"/>
        <v>17.261219792865361</v>
      </c>
      <c r="N35" s="1303">
        <f t="shared" si="9"/>
        <v>25.170068027210885</v>
      </c>
      <c r="O35" s="1304">
        <f t="shared" si="10"/>
        <v>131.57894736842104</v>
      </c>
    </row>
    <row r="36" spans="1:15" x14ac:dyDescent="0.2">
      <c r="A36" s="1274" t="s">
        <v>68</v>
      </c>
      <c r="B36" s="1274" t="s">
        <v>69</v>
      </c>
      <c r="C36" s="1274" t="s">
        <v>268</v>
      </c>
      <c r="D36" s="1280">
        <v>15</v>
      </c>
      <c r="E36" s="1281">
        <v>15</v>
      </c>
      <c r="F36" s="1281">
        <v>0</v>
      </c>
      <c r="G36" s="1282">
        <v>0</v>
      </c>
      <c r="H36" s="1280">
        <v>866</v>
      </c>
      <c r="I36" s="1281">
        <v>861</v>
      </c>
      <c r="J36" s="1281">
        <v>3</v>
      </c>
      <c r="K36" s="1282">
        <v>2</v>
      </c>
      <c r="L36" s="1302">
        <f t="shared" si="7"/>
        <v>17.321016166281755</v>
      </c>
      <c r="M36" s="1303">
        <f t="shared" si="8"/>
        <v>17.421602787456447</v>
      </c>
      <c r="N36" s="1303">
        <f t="shared" si="9"/>
        <v>0</v>
      </c>
      <c r="O36" s="1304">
        <f t="shared" si="10"/>
        <v>0</v>
      </c>
    </row>
    <row r="37" spans="1:15" x14ac:dyDescent="0.2">
      <c r="A37" s="1274" t="s">
        <v>70</v>
      </c>
      <c r="B37" s="1274" t="s">
        <v>71</v>
      </c>
      <c r="C37" s="1274" t="s">
        <v>264</v>
      </c>
      <c r="D37" s="1280">
        <v>13</v>
      </c>
      <c r="E37" s="1281">
        <v>10</v>
      </c>
      <c r="F37" s="1281">
        <v>3</v>
      </c>
      <c r="G37" s="1282">
        <v>0</v>
      </c>
      <c r="H37" s="1280">
        <v>1753</v>
      </c>
      <c r="I37" s="1281">
        <v>1027</v>
      </c>
      <c r="J37" s="1281">
        <v>703</v>
      </c>
      <c r="K37" s="1282">
        <v>23</v>
      </c>
      <c r="L37" s="1302">
        <f t="shared" si="7"/>
        <v>7.4158585282373073</v>
      </c>
      <c r="M37" s="1303">
        <f t="shared" si="8"/>
        <v>9.7370983446932815</v>
      </c>
      <c r="N37" s="1303">
        <f t="shared" si="9"/>
        <v>4.2674253200568995</v>
      </c>
      <c r="O37" s="1304">
        <f t="shared" si="10"/>
        <v>0</v>
      </c>
    </row>
    <row r="38" spans="1:15" x14ac:dyDescent="0.2">
      <c r="A38" s="1274" t="s">
        <v>72</v>
      </c>
      <c r="B38" s="1274" t="s">
        <v>73</v>
      </c>
      <c r="C38" s="1274" t="s">
        <v>266</v>
      </c>
      <c r="D38" s="1280">
        <v>5</v>
      </c>
      <c r="E38" s="1281">
        <v>1</v>
      </c>
      <c r="F38" s="1281">
        <v>4</v>
      </c>
      <c r="G38" s="1282">
        <v>0</v>
      </c>
      <c r="H38" s="1280">
        <v>681</v>
      </c>
      <c r="I38" s="1281">
        <v>345</v>
      </c>
      <c r="J38" s="1281">
        <v>297</v>
      </c>
      <c r="K38" s="1282">
        <v>39</v>
      </c>
      <c r="L38" s="1302">
        <f t="shared" ref="L38:L69" si="11">IF(H38=0,"NA",(D38/H38)*1000)</f>
        <v>7.3421439060205582</v>
      </c>
      <c r="M38" s="1303">
        <f t="shared" ref="M38:M69" si="12">IF(I38=0,"NA",(E38/I38)*1000)</f>
        <v>2.8985507246376812</v>
      </c>
      <c r="N38" s="1303">
        <f t="shared" ref="N38:N69" si="13">IF(J38=0,"NA",(F38/J38)*1000)</f>
        <v>13.468013468013467</v>
      </c>
      <c r="O38" s="1304">
        <f t="shared" ref="O38:O69" si="14">IF(K38=0,"NA",(G38/K38)*1000)</f>
        <v>0</v>
      </c>
    </row>
    <row r="39" spans="1:15" x14ac:dyDescent="0.2">
      <c r="A39" s="1274" t="s">
        <v>74</v>
      </c>
      <c r="B39" s="1274" t="s">
        <v>296</v>
      </c>
      <c r="C39" s="1274" t="s">
        <v>267</v>
      </c>
      <c r="D39" s="1280">
        <v>341</v>
      </c>
      <c r="E39" s="1281">
        <v>88</v>
      </c>
      <c r="F39" s="1281">
        <v>38</v>
      </c>
      <c r="G39" s="1282">
        <v>215</v>
      </c>
      <c r="H39" s="1280">
        <v>73896</v>
      </c>
      <c r="I39" s="1281">
        <v>49538</v>
      </c>
      <c r="J39" s="1281">
        <v>8750</v>
      </c>
      <c r="K39" s="1282">
        <v>15608</v>
      </c>
      <c r="L39" s="1302">
        <f t="shared" si="11"/>
        <v>4.6145934827324888</v>
      </c>
      <c r="M39" s="1303">
        <f t="shared" si="12"/>
        <v>1.7764140659695586</v>
      </c>
      <c r="N39" s="1303">
        <f t="shared" si="13"/>
        <v>4.3428571428571434</v>
      </c>
      <c r="O39" s="1304">
        <f t="shared" si="14"/>
        <v>13.774987186058432</v>
      </c>
    </row>
    <row r="40" spans="1:15" x14ac:dyDescent="0.2">
      <c r="A40" s="1274" t="s">
        <v>76</v>
      </c>
      <c r="B40" s="1274" t="s">
        <v>77</v>
      </c>
      <c r="C40" s="1274" t="s">
        <v>267</v>
      </c>
      <c r="D40" s="1280">
        <v>29</v>
      </c>
      <c r="E40" s="1281">
        <v>19</v>
      </c>
      <c r="F40" s="1281">
        <v>3</v>
      </c>
      <c r="G40" s="1282">
        <v>7</v>
      </c>
      <c r="H40" s="1280">
        <v>4743</v>
      </c>
      <c r="I40" s="1281">
        <v>4171</v>
      </c>
      <c r="J40" s="1281">
        <v>456</v>
      </c>
      <c r="K40" s="1282">
        <v>116</v>
      </c>
      <c r="L40" s="1302">
        <f t="shared" si="11"/>
        <v>6.1142736664558299</v>
      </c>
      <c r="M40" s="1303">
        <f t="shared" si="12"/>
        <v>4.5552625269719487</v>
      </c>
      <c r="N40" s="1303">
        <f t="shared" si="13"/>
        <v>6.5789473684210522</v>
      </c>
      <c r="O40" s="1304">
        <f t="shared" si="14"/>
        <v>60.344827586206897</v>
      </c>
    </row>
    <row r="41" spans="1:15" x14ac:dyDescent="0.2">
      <c r="A41" s="1274" t="s">
        <v>78</v>
      </c>
      <c r="B41" s="1274" t="s">
        <v>79</v>
      </c>
      <c r="C41" s="1274" t="s">
        <v>268</v>
      </c>
      <c r="D41" s="1280">
        <v>7</v>
      </c>
      <c r="E41" s="1281">
        <v>7</v>
      </c>
      <c r="F41" s="1281">
        <v>0</v>
      </c>
      <c r="G41" s="1282">
        <v>0</v>
      </c>
      <c r="H41" s="1280">
        <v>874</v>
      </c>
      <c r="I41" s="1281">
        <v>837</v>
      </c>
      <c r="J41" s="1281">
        <v>30</v>
      </c>
      <c r="K41" s="1282">
        <v>7</v>
      </c>
      <c r="L41" s="1302">
        <f t="shared" si="11"/>
        <v>8.0091533180778036</v>
      </c>
      <c r="M41" s="1303">
        <f t="shared" si="12"/>
        <v>8.3632019115890088</v>
      </c>
      <c r="N41" s="1303">
        <f t="shared" si="13"/>
        <v>0</v>
      </c>
      <c r="O41" s="1304">
        <f t="shared" si="14"/>
        <v>0</v>
      </c>
    </row>
    <row r="42" spans="1:15" x14ac:dyDescent="0.2">
      <c r="A42" s="1274" t="s">
        <v>80</v>
      </c>
      <c r="B42" s="1274" t="s">
        <v>81</v>
      </c>
      <c r="C42" s="1274" t="s">
        <v>266</v>
      </c>
      <c r="D42" s="1280">
        <v>11</v>
      </c>
      <c r="E42" s="1281">
        <v>7</v>
      </c>
      <c r="F42" s="1281">
        <v>3</v>
      </c>
      <c r="G42" s="1282">
        <v>1</v>
      </c>
      <c r="H42" s="1280">
        <v>1619</v>
      </c>
      <c r="I42" s="1281">
        <v>1305</v>
      </c>
      <c r="J42" s="1281">
        <v>289</v>
      </c>
      <c r="K42" s="1282">
        <v>25</v>
      </c>
      <c r="L42" s="1302">
        <f t="shared" si="11"/>
        <v>6.7943174799258808</v>
      </c>
      <c r="M42" s="1303">
        <f t="shared" si="12"/>
        <v>5.3639846743295019</v>
      </c>
      <c r="N42" s="1303">
        <f t="shared" si="13"/>
        <v>10.380622837370241</v>
      </c>
      <c r="O42" s="1304">
        <f t="shared" si="14"/>
        <v>40</v>
      </c>
    </row>
    <row r="43" spans="1:15" x14ac:dyDescent="0.2">
      <c r="A43" s="1274" t="s">
        <v>82</v>
      </c>
      <c r="B43" s="1274" t="s">
        <v>83</v>
      </c>
      <c r="C43" s="1274" t="s">
        <v>264</v>
      </c>
      <c r="D43" s="1280">
        <v>9</v>
      </c>
      <c r="E43" s="1281">
        <v>2</v>
      </c>
      <c r="F43" s="1281">
        <v>7</v>
      </c>
      <c r="G43" s="1282">
        <v>0</v>
      </c>
      <c r="H43" s="1280">
        <v>536</v>
      </c>
      <c r="I43" s="1281">
        <v>163</v>
      </c>
      <c r="J43" s="1281">
        <v>362</v>
      </c>
      <c r="K43" s="1282">
        <v>11</v>
      </c>
      <c r="L43" s="1302">
        <f t="shared" si="11"/>
        <v>16.791044776119403</v>
      </c>
      <c r="M43" s="1303">
        <f t="shared" si="12"/>
        <v>12.269938650306749</v>
      </c>
      <c r="N43" s="1303">
        <f t="shared" si="13"/>
        <v>19.337016574585636</v>
      </c>
      <c r="O43" s="1304">
        <f t="shared" si="14"/>
        <v>0</v>
      </c>
    </row>
    <row r="44" spans="1:15" x14ac:dyDescent="0.2">
      <c r="A44" s="1274" t="s">
        <v>84</v>
      </c>
      <c r="B44" s="1274" t="s">
        <v>85</v>
      </c>
      <c r="C44" s="1274" t="s">
        <v>265</v>
      </c>
      <c r="D44" s="1280">
        <v>31</v>
      </c>
      <c r="E44" s="1281">
        <v>24</v>
      </c>
      <c r="F44" s="1281">
        <v>6</v>
      </c>
      <c r="G44" s="1282">
        <v>1</v>
      </c>
      <c r="H44" s="1280">
        <v>3431</v>
      </c>
      <c r="I44" s="1281">
        <v>2969</v>
      </c>
      <c r="J44" s="1281">
        <v>416</v>
      </c>
      <c r="K44" s="1282">
        <v>46</v>
      </c>
      <c r="L44" s="1302">
        <f t="shared" si="11"/>
        <v>9.0352666860973478</v>
      </c>
      <c r="M44" s="1303">
        <f t="shared" si="12"/>
        <v>8.0835298080161664</v>
      </c>
      <c r="N44" s="1303">
        <f t="shared" si="13"/>
        <v>14.423076923076923</v>
      </c>
      <c r="O44" s="1304">
        <f t="shared" si="14"/>
        <v>21.739130434782609</v>
      </c>
    </row>
    <row r="45" spans="1:15" x14ac:dyDescent="0.2">
      <c r="A45" s="1274" t="s">
        <v>86</v>
      </c>
      <c r="B45" s="1274" t="s">
        <v>87</v>
      </c>
      <c r="C45" s="1274" t="s">
        <v>267</v>
      </c>
      <c r="D45" s="1280">
        <v>55</v>
      </c>
      <c r="E45" s="1281">
        <v>42</v>
      </c>
      <c r="F45" s="1281">
        <v>4</v>
      </c>
      <c r="G45" s="1282">
        <v>9</v>
      </c>
      <c r="H45" s="1280">
        <v>5351</v>
      </c>
      <c r="I45" s="1281">
        <v>4885</v>
      </c>
      <c r="J45" s="1281">
        <v>347</v>
      </c>
      <c r="K45" s="1282">
        <v>119</v>
      </c>
      <c r="L45" s="1302">
        <f t="shared" si="11"/>
        <v>10.278452625677444</v>
      </c>
      <c r="M45" s="1303">
        <f t="shared" si="12"/>
        <v>8.5977482088024573</v>
      </c>
      <c r="N45" s="1303">
        <f t="shared" si="13"/>
        <v>11.527377521613833</v>
      </c>
      <c r="O45" s="1304">
        <f t="shared" si="14"/>
        <v>75.630252100840337</v>
      </c>
    </row>
    <row r="46" spans="1:15" x14ac:dyDescent="0.2">
      <c r="A46" s="1274" t="s">
        <v>88</v>
      </c>
      <c r="B46" s="1274" t="s">
        <v>89</v>
      </c>
      <c r="C46" s="1274" t="s">
        <v>267</v>
      </c>
      <c r="D46" s="1280">
        <v>27</v>
      </c>
      <c r="E46" s="1281">
        <v>12</v>
      </c>
      <c r="F46" s="1281">
        <v>9</v>
      </c>
      <c r="G46" s="1282">
        <v>6</v>
      </c>
      <c r="H46" s="1280">
        <v>2167</v>
      </c>
      <c r="I46" s="1281">
        <v>1453</v>
      </c>
      <c r="J46" s="1281">
        <v>608</v>
      </c>
      <c r="K46" s="1282">
        <v>106</v>
      </c>
      <c r="L46" s="1302">
        <f t="shared" si="11"/>
        <v>12.459621596677433</v>
      </c>
      <c r="M46" s="1303">
        <f t="shared" si="12"/>
        <v>8.2587749483826567</v>
      </c>
      <c r="N46" s="1303">
        <f t="shared" si="13"/>
        <v>14.802631578947368</v>
      </c>
      <c r="O46" s="1304">
        <f t="shared" si="14"/>
        <v>56.60377358490566</v>
      </c>
    </row>
    <row r="47" spans="1:15" x14ac:dyDescent="0.2">
      <c r="A47" s="1274" t="s">
        <v>90</v>
      </c>
      <c r="B47" s="1274" t="s">
        <v>91</v>
      </c>
      <c r="C47" s="1274" t="s">
        <v>268</v>
      </c>
      <c r="D47" s="1280">
        <v>11</v>
      </c>
      <c r="E47" s="1281">
        <v>5</v>
      </c>
      <c r="F47" s="1281">
        <v>0</v>
      </c>
      <c r="G47" s="1282">
        <v>6</v>
      </c>
      <c r="H47" s="1280">
        <v>440</v>
      </c>
      <c r="I47" s="1281">
        <v>385</v>
      </c>
      <c r="J47" s="1281">
        <v>47</v>
      </c>
      <c r="K47" s="1282">
        <v>8</v>
      </c>
      <c r="L47" s="1302">
        <f t="shared" si="11"/>
        <v>25</v>
      </c>
      <c r="M47" s="1303">
        <f t="shared" si="12"/>
        <v>12.987012987012989</v>
      </c>
      <c r="N47" s="1303">
        <f t="shared" si="13"/>
        <v>0</v>
      </c>
      <c r="O47" s="1304">
        <f t="shared" si="14"/>
        <v>750</v>
      </c>
    </row>
    <row r="48" spans="1:15" x14ac:dyDescent="0.2">
      <c r="A48" s="1274" t="s">
        <v>92</v>
      </c>
      <c r="B48" s="1274" t="s">
        <v>93</v>
      </c>
      <c r="C48" s="1274" t="s">
        <v>268</v>
      </c>
      <c r="D48" s="1280">
        <v>21</v>
      </c>
      <c r="E48" s="1281">
        <v>21</v>
      </c>
      <c r="F48" s="1281">
        <v>0</v>
      </c>
      <c r="G48" s="1282">
        <v>0</v>
      </c>
      <c r="H48" s="1280">
        <v>1005</v>
      </c>
      <c r="I48" s="1281">
        <v>963</v>
      </c>
      <c r="J48" s="1281">
        <v>34</v>
      </c>
      <c r="K48" s="1282">
        <v>8</v>
      </c>
      <c r="L48" s="1302">
        <f t="shared" si="11"/>
        <v>20.895522388059703</v>
      </c>
      <c r="M48" s="1303">
        <f t="shared" si="12"/>
        <v>21.806853582554517</v>
      </c>
      <c r="N48" s="1303">
        <f t="shared" si="13"/>
        <v>0</v>
      </c>
      <c r="O48" s="1304">
        <f t="shared" si="14"/>
        <v>0</v>
      </c>
    </row>
    <row r="49" spans="1:15" x14ac:dyDescent="0.2">
      <c r="A49" s="1274" t="s">
        <v>94</v>
      </c>
      <c r="B49" s="1274" t="s">
        <v>95</v>
      </c>
      <c r="C49" s="1274" t="s">
        <v>264</v>
      </c>
      <c r="D49" s="1280">
        <v>15</v>
      </c>
      <c r="E49" s="1281">
        <v>14</v>
      </c>
      <c r="F49" s="1281">
        <v>0</v>
      </c>
      <c r="G49" s="1282">
        <v>1</v>
      </c>
      <c r="H49" s="1280">
        <v>2129</v>
      </c>
      <c r="I49" s="1281">
        <v>1870</v>
      </c>
      <c r="J49" s="1281">
        <v>208</v>
      </c>
      <c r="K49" s="1282">
        <v>51</v>
      </c>
      <c r="L49" s="1302">
        <f t="shared" si="11"/>
        <v>7.045561296383279</v>
      </c>
      <c r="M49" s="1303">
        <f t="shared" si="12"/>
        <v>7.4866310160427805</v>
      </c>
      <c r="N49" s="1303">
        <f t="shared" si="13"/>
        <v>0</v>
      </c>
      <c r="O49" s="1304">
        <f t="shared" si="14"/>
        <v>19.607843137254903</v>
      </c>
    </row>
    <row r="50" spans="1:15" x14ac:dyDescent="0.2">
      <c r="A50" s="1274" t="s">
        <v>96</v>
      </c>
      <c r="B50" s="1274" t="s">
        <v>97</v>
      </c>
      <c r="C50" s="1274" t="s">
        <v>266</v>
      </c>
      <c r="D50" s="1280">
        <v>6</v>
      </c>
      <c r="E50" s="1281">
        <v>3</v>
      </c>
      <c r="F50" s="1281">
        <v>3</v>
      </c>
      <c r="G50" s="1282">
        <v>0</v>
      </c>
      <c r="H50" s="1280">
        <v>1271</v>
      </c>
      <c r="I50" s="1281">
        <v>1045</v>
      </c>
      <c r="J50" s="1281">
        <v>211</v>
      </c>
      <c r="K50" s="1282">
        <v>15</v>
      </c>
      <c r="L50" s="1302">
        <f t="shared" si="11"/>
        <v>4.7206923682140047</v>
      </c>
      <c r="M50" s="1303">
        <f t="shared" si="12"/>
        <v>2.8708133971291865</v>
      </c>
      <c r="N50" s="1303">
        <f t="shared" si="13"/>
        <v>14.218009478672984</v>
      </c>
      <c r="O50" s="1304">
        <f t="shared" si="14"/>
        <v>0</v>
      </c>
    </row>
    <row r="51" spans="1:15" x14ac:dyDescent="0.2">
      <c r="A51" s="1274" t="s">
        <v>98</v>
      </c>
      <c r="B51" s="1274" t="s">
        <v>99</v>
      </c>
      <c r="C51" s="1274" t="s">
        <v>268</v>
      </c>
      <c r="D51" s="1280">
        <v>16</v>
      </c>
      <c r="E51" s="1281">
        <v>15</v>
      </c>
      <c r="F51" s="1281">
        <v>0</v>
      </c>
      <c r="G51" s="1282">
        <v>1</v>
      </c>
      <c r="H51" s="1280">
        <v>818</v>
      </c>
      <c r="I51" s="1281">
        <v>789</v>
      </c>
      <c r="J51" s="1281">
        <v>24</v>
      </c>
      <c r="K51" s="1282">
        <v>5</v>
      </c>
      <c r="L51" s="1302">
        <f t="shared" si="11"/>
        <v>19.559902200488999</v>
      </c>
      <c r="M51" s="1303">
        <f t="shared" si="12"/>
        <v>19.011406844106464</v>
      </c>
      <c r="N51" s="1303">
        <f t="shared" si="13"/>
        <v>0</v>
      </c>
      <c r="O51" s="1304">
        <f t="shared" si="14"/>
        <v>200</v>
      </c>
    </row>
    <row r="52" spans="1:15" x14ac:dyDescent="0.2">
      <c r="A52" s="1274" t="s">
        <v>100</v>
      </c>
      <c r="B52" s="1274" t="s">
        <v>101</v>
      </c>
      <c r="C52" s="1274" t="s">
        <v>267</v>
      </c>
      <c r="D52" s="1280">
        <v>11</v>
      </c>
      <c r="E52" s="1281">
        <v>8</v>
      </c>
      <c r="F52" s="1281">
        <v>3</v>
      </c>
      <c r="G52" s="1282">
        <v>0</v>
      </c>
      <c r="H52" s="1280">
        <v>1100</v>
      </c>
      <c r="I52" s="1281">
        <v>962</v>
      </c>
      <c r="J52" s="1281">
        <v>102</v>
      </c>
      <c r="K52" s="1282">
        <v>36</v>
      </c>
      <c r="L52" s="1302">
        <f t="shared" si="11"/>
        <v>10</v>
      </c>
      <c r="M52" s="1303">
        <f t="shared" si="12"/>
        <v>8.3160083160083165</v>
      </c>
      <c r="N52" s="1303">
        <f t="shared" si="13"/>
        <v>29.411764705882351</v>
      </c>
      <c r="O52" s="1304">
        <f t="shared" si="14"/>
        <v>0</v>
      </c>
    </row>
    <row r="53" spans="1:15" x14ac:dyDescent="0.2">
      <c r="A53" s="1274" t="s">
        <v>102</v>
      </c>
      <c r="B53" s="1274" t="s">
        <v>282</v>
      </c>
      <c r="C53" s="1274" t="s">
        <v>264</v>
      </c>
      <c r="D53" s="1280">
        <v>18</v>
      </c>
      <c r="E53" s="1281">
        <v>1</v>
      </c>
      <c r="F53" s="1281">
        <v>17</v>
      </c>
      <c r="G53" s="1282">
        <v>0</v>
      </c>
      <c r="H53" s="1280">
        <v>913</v>
      </c>
      <c r="I53" s="1281">
        <v>273</v>
      </c>
      <c r="J53" s="1281">
        <v>627</v>
      </c>
      <c r="K53" s="1282">
        <v>13</v>
      </c>
      <c r="L53" s="1302">
        <f t="shared" si="11"/>
        <v>19.715224534501644</v>
      </c>
      <c r="M53" s="1303">
        <f t="shared" si="12"/>
        <v>3.6630036630036629</v>
      </c>
      <c r="N53" s="1303">
        <f t="shared" si="13"/>
        <v>27.113237639553429</v>
      </c>
      <c r="O53" s="1304">
        <f t="shared" si="14"/>
        <v>0</v>
      </c>
    </row>
    <row r="54" spans="1:15" x14ac:dyDescent="0.2">
      <c r="A54" s="1274" t="s">
        <v>104</v>
      </c>
      <c r="B54" s="1274" t="s">
        <v>105</v>
      </c>
      <c r="C54" s="1274" t="s">
        <v>265</v>
      </c>
      <c r="D54" s="1280">
        <v>42</v>
      </c>
      <c r="E54" s="1281">
        <v>19</v>
      </c>
      <c r="F54" s="1281">
        <v>20</v>
      </c>
      <c r="G54" s="1282">
        <v>3</v>
      </c>
      <c r="H54" s="1280">
        <v>2123</v>
      </c>
      <c r="I54" s="1281">
        <v>1205</v>
      </c>
      <c r="J54" s="1281">
        <v>901</v>
      </c>
      <c r="K54" s="1282">
        <v>17</v>
      </c>
      <c r="L54" s="1302">
        <f t="shared" si="11"/>
        <v>19.783325482807346</v>
      </c>
      <c r="M54" s="1303">
        <f t="shared" si="12"/>
        <v>15.767634854771783</v>
      </c>
      <c r="N54" s="1303">
        <f t="shared" si="13"/>
        <v>22.197558268590456</v>
      </c>
      <c r="O54" s="1304">
        <f t="shared" si="14"/>
        <v>176.47058823529412</v>
      </c>
    </row>
    <row r="55" spans="1:15" x14ac:dyDescent="0.2">
      <c r="A55" s="1274" t="s">
        <v>106</v>
      </c>
      <c r="B55" s="1274" t="s">
        <v>107</v>
      </c>
      <c r="C55" s="1274" t="s">
        <v>264</v>
      </c>
      <c r="D55" s="1280">
        <v>123</v>
      </c>
      <c r="E55" s="1281">
        <v>36</v>
      </c>
      <c r="F55" s="1281">
        <v>68</v>
      </c>
      <c r="G55" s="1282">
        <v>19</v>
      </c>
      <c r="H55" s="1280">
        <v>8503</v>
      </c>
      <c r="I55" s="1281">
        <v>2722</v>
      </c>
      <c r="J55" s="1281">
        <v>5502</v>
      </c>
      <c r="K55" s="1282">
        <v>279</v>
      </c>
      <c r="L55" s="1302">
        <f t="shared" si="11"/>
        <v>14.465482770786782</v>
      </c>
      <c r="M55" s="1303">
        <f t="shared" si="12"/>
        <v>13.22556943423953</v>
      </c>
      <c r="N55" s="1303">
        <f t="shared" si="13"/>
        <v>12.359142130134497</v>
      </c>
      <c r="O55" s="1304">
        <f t="shared" si="14"/>
        <v>68.100358422939067</v>
      </c>
    </row>
    <row r="56" spans="1:15" x14ac:dyDescent="0.2">
      <c r="A56" s="1274" t="s">
        <v>108</v>
      </c>
      <c r="B56" s="1274" t="s">
        <v>109</v>
      </c>
      <c r="C56" s="1274" t="s">
        <v>266</v>
      </c>
      <c r="D56" s="1280">
        <v>28</v>
      </c>
      <c r="E56" s="1281">
        <v>23</v>
      </c>
      <c r="F56" s="1281">
        <v>4</v>
      </c>
      <c r="G56" s="1282">
        <v>1</v>
      </c>
      <c r="H56" s="1280">
        <v>7304</v>
      </c>
      <c r="I56" s="1281">
        <v>6416</v>
      </c>
      <c r="J56" s="1281">
        <v>681</v>
      </c>
      <c r="K56" s="1282">
        <v>207</v>
      </c>
      <c r="L56" s="1302">
        <f t="shared" si="11"/>
        <v>3.8335158817086525</v>
      </c>
      <c r="M56" s="1303">
        <f t="shared" si="12"/>
        <v>3.5847880299251873</v>
      </c>
      <c r="N56" s="1303">
        <f t="shared" si="13"/>
        <v>5.8737151248164459</v>
      </c>
      <c r="O56" s="1304">
        <f t="shared" si="14"/>
        <v>4.8309178743961354</v>
      </c>
    </row>
    <row r="57" spans="1:15" x14ac:dyDescent="0.2">
      <c r="A57" s="1274" t="s">
        <v>110</v>
      </c>
      <c r="B57" s="1274" t="s">
        <v>111</v>
      </c>
      <c r="C57" s="1274" t="s">
        <v>266</v>
      </c>
      <c r="D57" s="1280">
        <v>135</v>
      </c>
      <c r="E57" s="1281">
        <v>58</v>
      </c>
      <c r="F57" s="1281">
        <v>66</v>
      </c>
      <c r="G57" s="1282">
        <v>11</v>
      </c>
      <c r="H57" s="1280">
        <v>19718</v>
      </c>
      <c r="I57" s="1281">
        <v>10752</v>
      </c>
      <c r="J57" s="1281">
        <v>7361</v>
      </c>
      <c r="K57" s="1282">
        <v>1605</v>
      </c>
      <c r="L57" s="1302">
        <f t="shared" si="11"/>
        <v>6.8465361598539403</v>
      </c>
      <c r="M57" s="1303">
        <f t="shared" si="12"/>
        <v>5.3943452380952381</v>
      </c>
      <c r="N57" s="1303">
        <f t="shared" si="13"/>
        <v>8.9661730743105554</v>
      </c>
      <c r="O57" s="1304">
        <f t="shared" si="14"/>
        <v>6.8535825545171338</v>
      </c>
    </row>
    <row r="58" spans="1:15" x14ac:dyDescent="0.2">
      <c r="A58" s="1274" t="s">
        <v>112</v>
      </c>
      <c r="B58" s="1274" t="s">
        <v>300</v>
      </c>
      <c r="C58" s="1274" t="s">
        <v>265</v>
      </c>
      <c r="D58" s="1280">
        <v>64</v>
      </c>
      <c r="E58" s="1281">
        <v>43</v>
      </c>
      <c r="F58" s="1281">
        <v>18</v>
      </c>
      <c r="G58" s="1282">
        <v>3</v>
      </c>
      <c r="H58" s="1280">
        <v>3645</v>
      </c>
      <c r="I58" s="1281">
        <v>2451</v>
      </c>
      <c r="J58" s="1281">
        <v>1148</v>
      </c>
      <c r="K58" s="1282">
        <v>46</v>
      </c>
      <c r="L58" s="1302">
        <f t="shared" si="11"/>
        <v>17.558299039780522</v>
      </c>
      <c r="M58" s="1303">
        <f t="shared" si="12"/>
        <v>17.543859649122805</v>
      </c>
      <c r="N58" s="1303">
        <f t="shared" si="13"/>
        <v>15.679442508710801</v>
      </c>
      <c r="O58" s="1304">
        <f t="shared" si="14"/>
        <v>65.217391304347828</v>
      </c>
    </row>
    <row r="59" spans="1:15" x14ac:dyDescent="0.2">
      <c r="A59" s="1274" t="s">
        <v>114</v>
      </c>
      <c r="B59" s="1274" t="s">
        <v>115</v>
      </c>
      <c r="C59" s="1274" t="s">
        <v>265</v>
      </c>
      <c r="D59" s="1280">
        <v>0</v>
      </c>
      <c r="E59" s="1281">
        <v>0</v>
      </c>
      <c r="F59" s="1281">
        <v>0</v>
      </c>
      <c r="G59" s="1282">
        <v>0</v>
      </c>
      <c r="H59" s="1280">
        <v>93</v>
      </c>
      <c r="I59" s="1281">
        <v>92</v>
      </c>
      <c r="J59" s="1281">
        <v>1</v>
      </c>
      <c r="K59" s="1282">
        <v>0</v>
      </c>
      <c r="L59" s="1302">
        <f t="shared" si="11"/>
        <v>0</v>
      </c>
      <c r="M59" s="1303">
        <f t="shared" si="12"/>
        <v>0</v>
      </c>
      <c r="N59" s="1303">
        <f t="shared" si="13"/>
        <v>0</v>
      </c>
      <c r="O59" s="1304" t="str">
        <f t="shared" si="14"/>
        <v>NA</v>
      </c>
    </row>
    <row r="60" spans="1:15" x14ac:dyDescent="0.2">
      <c r="A60" s="1274" t="s">
        <v>116</v>
      </c>
      <c r="B60" s="1274" t="s">
        <v>117</v>
      </c>
      <c r="C60" s="1274" t="s">
        <v>266</v>
      </c>
      <c r="D60" s="1280">
        <v>39</v>
      </c>
      <c r="E60" s="1281">
        <v>14</v>
      </c>
      <c r="F60" s="1281">
        <v>21</v>
      </c>
      <c r="G60" s="1282">
        <v>4</v>
      </c>
      <c r="H60" s="1280">
        <v>1332</v>
      </c>
      <c r="I60" s="1281">
        <v>607</v>
      </c>
      <c r="J60" s="1281">
        <v>697</v>
      </c>
      <c r="K60" s="1282">
        <v>28</v>
      </c>
      <c r="L60" s="1302">
        <f t="shared" si="11"/>
        <v>29.27927927927928</v>
      </c>
      <c r="M60" s="1303">
        <f t="shared" si="12"/>
        <v>23.064250411861615</v>
      </c>
      <c r="N60" s="1303">
        <f t="shared" si="13"/>
        <v>30.129124820659971</v>
      </c>
      <c r="O60" s="1304">
        <f t="shared" si="14"/>
        <v>142.85714285714286</v>
      </c>
    </row>
    <row r="61" spans="1:15" x14ac:dyDescent="0.2">
      <c r="A61" s="1274" t="s">
        <v>118</v>
      </c>
      <c r="B61" s="1274" t="s">
        <v>270</v>
      </c>
      <c r="C61" s="1274" t="s">
        <v>264</v>
      </c>
      <c r="D61" s="1280">
        <v>13</v>
      </c>
      <c r="E61" s="1281">
        <v>10</v>
      </c>
      <c r="F61" s="1281">
        <v>3</v>
      </c>
      <c r="G61" s="1282">
        <v>0</v>
      </c>
      <c r="H61" s="1280">
        <v>2249</v>
      </c>
      <c r="I61" s="1281">
        <v>1580</v>
      </c>
      <c r="J61" s="1281">
        <v>621</v>
      </c>
      <c r="K61" s="1282">
        <v>48</v>
      </c>
      <c r="L61" s="1302">
        <f t="shared" si="11"/>
        <v>5.7803468208092479</v>
      </c>
      <c r="M61" s="1303">
        <f t="shared" si="12"/>
        <v>6.3291139240506329</v>
      </c>
      <c r="N61" s="1303">
        <f t="shared" si="13"/>
        <v>4.8309178743961354</v>
      </c>
      <c r="O61" s="1304">
        <f t="shared" si="14"/>
        <v>0</v>
      </c>
    </row>
    <row r="62" spans="1:15" x14ac:dyDescent="0.2">
      <c r="A62" s="1274" t="s">
        <v>120</v>
      </c>
      <c r="B62" s="1274" t="s">
        <v>121</v>
      </c>
      <c r="C62" s="1274" t="s">
        <v>264</v>
      </c>
      <c r="D62" s="1280">
        <v>25</v>
      </c>
      <c r="E62" s="1281">
        <v>10</v>
      </c>
      <c r="F62" s="1281">
        <v>8</v>
      </c>
      <c r="G62" s="1282">
        <v>7</v>
      </c>
      <c r="H62" s="1280">
        <v>4345</v>
      </c>
      <c r="I62" s="1281">
        <v>3400</v>
      </c>
      <c r="J62" s="1281">
        <v>756</v>
      </c>
      <c r="K62" s="1282">
        <v>189</v>
      </c>
      <c r="L62" s="1302">
        <f t="shared" si="11"/>
        <v>5.7537399309551214</v>
      </c>
      <c r="M62" s="1303">
        <f t="shared" si="12"/>
        <v>2.9411764705882351</v>
      </c>
      <c r="N62" s="1303">
        <f t="shared" si="13"/>
        <v>10.582010582010582</v>
      </c>
      <c r="O62" s="1304">
        <f t="shared" si="14"/>
        <v>37.037037037037038</v>
      </c>
    </row>
    <row r="63" spans="1:15" x14ac:dyDescent="0.2">
      <c r="A63" s="1274" t="s">
        <v>122</v>
      </c>
      <c r="B63" s="1274" t="s">
        <v>287</v>
      </c>
      <c r="C63" s="1274" t="s">
        <v>266</v>
      </c>
      <c r="D63" s="1280">
        <v>4</v>
      </c>
      <c r="E63" s="1281">
        <v>3</v>
      </c>
      <c r="F63" s="1281">
        <v>1</v>
      </c>
      <c r="G63" s="1282">
        <v>0</v>
      </c>
      <c r="H63" s="1280">
        <v>391</v>
      </c>
      <c r="I63" s="1281">
        <v>273</v>
      </c>
      <c r="J63" s="1281">
        <v>104</v>
      </c>
      <c r="K63" s="1282">
        <v>14</v>
      </c>
      <c r="L63" s="1302">
        <f t="shared" si="11"/>
        <v>10.230179028132993</v>
      </c>
      <c r="M63" s="1303">
        <f t="shared" si="12"/>
        <v>10.989010989010989</v>
      </c>
      <c r="N63" s="1303">
        <f t="shared" si="13"/>
        <v>9.6153846153846168</v>
      </c>
      <c r="O63" s="1304">
        <f t="shared" si="14"/>
        <v>0</v>
      </c>
    </row>
    <row r="64" spans="1:15" x14ac:dyDescent="0.2">
      <c r="A64" s="1274" t="s">
        <v>124</v>
      </c>
      <c r="B64" s="1274" t="s">
        <v>125</v>
      </c>
      <c r="C64" s="1274" t="s">
        <v>267</v>
      </c>
      <c r="D64" s="1280">
        <v>14</v>
      </c>
      <c r="E64" s="1281">
        <v>8</v>
      </c>
      <c r="F64" s="1281">
        <v>5</v>
      </c>
      <c r="G64" s="1282">
        <v>1</v>
      </c>
      <c r="H64" s="1280">
        <v>1736</v>
      </c>
      <c r="I64" s="1281">
        <v>1331</v>
      </c>
      <c r="J64" s="1281">
        <v>352</v>
      </c>
      <c r="K64" s="1282">
        <v>53</v>
      </c>
      <c r="L64" s="1302">
        <f t="shared" si="11"/>
        <v>8.064516129032258</v>
      </c>
      <c r="M64" s="1303">
        <f t="shared" si="12"/>
        <v>6.0105184072126221</v>
      </c>
      <c r="N64" s="1303">
        <f t="shared" si="13"/>
        <v>14.204545454545453</v>
      </c>
      <c r="O64" s="1304">
        <f t="shared" si="14"/>
        <v>18.867924528301884</v>
      </c>
    </row>
    <row r="65" spans="1:15" x14ac:dyDescent="0.2">
      <c r="A65" s="1274" t="s">
        <v>126</v>
      </c>
      <c r="B65" s="1274" t="s">
        <v>127</v>
      </c>
      <c r="C65" s="1274" t="s">
        <v>266</v>
      </c>
      <c r="D65" s="1280">
        <v>6</v>
      </c>
      <c r="E65" s="1281">
        <v>2</v>
      </c>
      <c r="F65" s="1281">
        <v>3</v>
      </c>
      <c r="G65" s="1282">
        <v>1</v>
      </c>
      <c r="H65" s="1280">
        <v>1014</v>
      </c>
      <c r="I65" s="1281">
        <v>780</v>
      </c>
      <c r="J65" s="1281">
        <v>196</v>
      </c>
      <c r="K65" s="1282">
        <v>38</v>
      </c>
      <c r="L65" s="1302">
        <f t="shared" si="11"/>
        <v>5.9171597633136095</v>
      </c>
      <c r="M65" s="1303">
        <f t="shared" si="12"/>
        <v>2.5641025641025643</v>
      </c>
      <c r="N65" s="1303">
        <f t="shared" si="13"/>
        <v>15.306122448979592</v>
      </c>
      <c r="O65" s="1304">
        <f t="shared" si="14"/>
        <v>26.315789473684209</v>
      </c>
    </row>
    <row r="66" spans="1:15" x14ac:dyDescent="0.2">
      <c r="A66" s="1274" t="s">
        <v>128</v>
      </c>
      <c r="B66" s="1274" t="s">
        <v>129</v>
      </c>
      <c r="C66" s="1274" t="s">
        <v>266</v>
      </c>
      <c r="D66" s="1280">
        <v>5</v>
      </c>
      <c r="E66" s="1281">
        <v>1</v>
      </c>
      <c r="F66" s="1281">
        <v>4</v>
      </c>
      <c r="G66" s="1282">
        <v>0</v>
      </c>
      <c r="H66" s="1280">
        <v>471</v>
      </c>
      <c r="I66" s="1281">
        <v>273</v>
      </c>
      <c r="J66" s="1281">
        <v>190</v>
      </c>
      <c r="K66" s="1282">
        <v>8</v>
      </c>
      <c r="L66" s="1302">
        <f t="shared" si="11"/>
        <v>10.615711252653927</v>
      </c>
      <c r="M66" s="1303">
        <f t="shared" si="12"/>
        <v>3.6630036630036629</v>
      </c>
      <c r="N66" s="1303">
        <f t="shared" si="13"/>
        <v>21.052631578947366</v>
      </c>
      <c r="O66" s="1304">
        <f t="shared" si="14"/>
        <v>0</v>
      </c>
    </row>
    <row r="67" spans="1:15" x14ac:dyDescent="0.2">
      <c r="A67" s="1274" t="s">
        <v>130</v>
      </c>
      <c r="B67" s="1274" t="s">
        <v>131</v>
      </c>
      <c r="C67" s="1274" t="s">
        <v>268</v>
      </c>
      <c r="D67" s="1280">
        <v>26</v>
      </c>
      <c r="E67" s="1281">
        <v>25</v>
      </c>
      <c r="F67" s="1281">
        <v>0</v>
      </c>
      <c r="G67" s="1282">
        <v>1</v>
      </c>
      <c r="H67" s="1280">
        <v>1272</v>
      </c>
      <c r="I67" s="1281">
        <v>1248</v>
      </c>
      <c r="J67" s="1281">
        <v>16</v>
      </c>
      <c r="K67" s="1282">
        <v>8</v>
      </c>
      <c r="L67" s="1302">
        <f t="shared" si="11"/>
        <v>20.440251572327043</v>
      </c>
      <c r="M67" s="1303">
        <f t="shared" si="12"/>
        <v>20.032051282051285</v>
      </c>
      <c r="N67" s="1303">
        <f t="shared" si="13"/>
        <v>0</v>
      </c>
      <c r="O67" s="1304">
        <f t="shared" si="14"/>
        <v>125</v>
      </c>
    </row>
    <row r="68" spans="1:15" x14ac:dyDescent="0.2">
      <c r="A68" s="1274" t="s">
        <v>132</v>
      </c>
      <c r="B68" s="1274" t="s">
        <v>133</v>
      </c>
      <c r="C68" s="1274" t="s">
        <v>267</v>
      </c>
      <c r="D68" s="1280">
        <v>83</v>
      </c>
      <c r="E68" s="1281">
        <v>32</v>
      </c>
      <c r="F68" s="1281">
        <v>12</v>
      </c>
      <c r="G68" s="1282">
        <v>39</v>
      </c>
      <c r="H68" s="1280">
        <v>27190</v>
      </c>
      <c r="I68" s="1281">
        <v>19940</v>
      </c>
      <c r="J68" s="1281">
        <v>2429</v>
      </c>
      <c r="K68" s="1282">
        <v>4821</v>
      </c>
      <c r="L68" s="1302">
        <f t="shared" si="11"/>
        <v>3.052592865023906</v>
      </c>
      <c r="M68" s="1303">
        <f t="shared" si="12"/>
        <v>1.6048144433299898</v>
      </c>
      <c r="N68" s="1303">
        <f t="shared" si="13"/>
        <v>4.9403046521202141</v>
      </c>
      <c r="O68" s="1304">
        <f t="shared" si="14"/>
        <v>8.0896079651524584</v>
      </c>
    </row>
    <row r="69" spans="1:15" x14ac:dyDescent="0.2">
      <c r="A69" s="1274" t="s">
        <v>134</v>
      </c>
      <c r="B69" s="1274" t="s">
        <v>135</v>
      </c>
      <c r="C69" s="1274" t="s">
        <v>267</v>
      </c>
      <c r="D69" s="1280">
        <v>25</v>
      </c>
      <c r="E69" s="1281">
        <v>21</v>
      </c>
      <c r="F69" s="1281">
        <v>3</v>
      </c>
      <c r="G69" s="1282">
        <v>1</v>
      </c>
      <c r="H69" s="1280">
        <v>1895</v>
      </c>
      <c r="I69" s="1281">
        <v>1459</v>
      </c>
      <c r="J69" s="1281">
        <v>406</v>
      </c>
      <c r="K69" s="1282">
        <v>30</v>
      </c>
      <c r="L69" s="1302">
        <f t="shared" si="11"/>
        <v>13.192612137203167</v>
      </c>
      <c r="M69" s="1303">
        <f t="shared" si="12"/>
        <v>14.393420150788211</v>
      </c>
      <c r="N69" s="1303">
        <f t="shared" si="13"/>
        <v>7.3891625615763541</v>
      </c>
      <c r="O69" s="1304">
        <f t="shared" si="14"/>
        <v>33.333333333333336</v>
      </c>
    </row>
    <row r="70" spans="1:15" x14ac:dyDescent="0.2">
      <c r="A70" s="1274" t="s">
        <v>136</v>
      </c>
      <c r="B70" s="1274" t="s">
        <v>137</v>
      </c>
      <c r="C70" s="1274" t="s">
        <v>266</v>
      </c>
      <c r="D70" s="1280">
        <v>9</v>
      </c>
      <c r="E70" s="1281">
        <v>3</v>
      </c>
      <c r="F70" s="1281">
        <v>6</v>
      </c>
      <c r="G70" s="1282">
        <v>0</v>
      </c>
      <c r="H70" s="1280">
        <v>645</v>
      </c>
      <c r="I70" s="1281">
        <v>415</v>
      </c>
      <c r="J70" s="1281">
        <v>215</v>
      </c>
      <c r="K70" s="1282">
        <v>15</v>
      </c>
      <c r="L70" s="1302">
        <f t="shared" ref="L70:L101" si="15">IF(H70=0,"NA",(D70/H70)*1000)</f>
        <v>13.953488372093023</v>
      </c>
      <c r="M70" s="1303">
        <f t="shared" ref="M70:M101" si="16">IF(I70=0,"NA",(E70/I70)*1000)</f>
        <v>7.2289156626506026</v>
      </c>
      <c r="N70" s="1303">
        <f t="shared" ref="N70:N101" si="17">IF(J70=0,"NA",(F70/J70)*1000)</f>
        <v>27.906976744186046</v>
      </c>
      <c r="O70" s="1304">
        <f t="shared" ref="O70:O101" si="18">IF(K70=0,"NA",(G70/K70)*1000)</f>
        <v>0</v>
      </c>
    </row>
    <row r="71" spans="1:15" x14ac:dyDescent="0.2">
      <c r="A71" s="1274" t="s">
        <v>138</v>
      </c>
      <c r="B71" s="1274" t="s">
        <v>139</v>
      </c>
      <c r="C71" s="1274" t="s">
        <v>265</v>
      </c>
      <c r="D71" s="1280">
        <v>76</v>
      </c>
      <c r="E71" s="1281">
        <v>35</v>
      </c>
      <c r="F71" s="1281">
        <v>39</v>
      </c>
      <c r="G71" s="1282">
        <v>2</v>
      </c>
      <c r="H71" s="1280">
        <v>6427</v>
      </c>
      <c r="I71" s="1281">
        <v>4150</v>
      </c>
      <c r="J71" s="1281">
        <v>1977</v>
      </c>
      <c r="K71" s="1282">
        <v>300</v>
      </c>
      <c r="L71" s="1302">
        <f t="shared" si="15"/>
        <v>11.825112805352418</v>
      </c>
      <c r="M71" s="1303">
        <f t="shared" si="16"/>
        <v>8.4337349397590362</v>
      </c>
      <c r="N71" s="1303">
        <f t="shared" si="17"/>
        <v>19.726858877086492</v>
      </c>
      <c r="O71" s="1304">
        <f t="shared" si="18"/>
        <v>6.666666666666667</v>
      </c>
    </row>
    <row r="72" spans="1:15" x14ac:dyDescent="0.2">
      <c r="A72" s="1274" t="s">
        <v>140</v>
      </c>
      <c r="B72" s="1274" t="s">
        <v>141</v>
      </c>
      <c r="C72" s="1274" t="s">
        <v>267</v>
      </c>
      <c r="D72" s="1280">
        <v>1</v>
      </c>
      <c r="E72" s="1281">
        <v>1</v>
      </c>
      <c r="F72" s="1281">
        <v>0</v>
      </c>
      <c r="G72" s="1282">
        <v>0</v>
      </c>
      <c r="H72" s="1280">
        <v>844</v>
      </c>
      <c r="I72" s="1281">
        <v>742</v>
      </c>
      <c r="J72" s="1281">
        <v>95</v>
      </c>
      <c r="K72" s="1282">
        <v>7</v>
      </c>
      <c r="L72" s="1302">
        <f t="shared" si="15"/>
        <v>1.1848341232227488</v>
      </c>
      <c r="M72" s="1303">
        <f t="shared" si="16"/>
        <v>1.3477088948787064</v>
      </c>
      <c r="N72" s="1303">
        <f t="shared" si="17"/>
        <v>0</v>
      </c>
      <c r="O72" s="1304">
        <f t="shared" si="18"/>
        <v>0</v>
      </c>
    </row>
    <row r="73" spans="1:15" x14ac:dyDescent="0.2">
      <c r="A73" s="1274" t="s">
        <v>142</v>
      </c>
      <c r="B73" s="1274" t="s">
        <v>143</v>
      </c>
      <c r="C73" s="1274" t="s">
        <v>267</v>
      </c>
      <c r="D73" s="1280">
        <v>50</v>
      </c>
      <c r="E73" s="1281">
        <v>29</v>
      </c>
      <c r="F73" s="1281">
        <v>5</v>
      </c>
      <c r="G73" s="1282">
        <v>16</v>
      </c>
      <c r="H73" s="1280">
        <v>2716</v>
      </c>
      <c r="I73" s="1281">
        <v>2041</v>
      </c>
      <c r="J73" s="1281">
        <v>473</v>
      </c>
      <c r="K73" s="1282">
        <v>202</v>
      </c>
      <c r="L73" s="1302">
        <f t="shared" si="15"/>
        <v>18.409425625920473</v>
      </c>
      <c r="M73" s="1303">
        <f t="shared" si="16"/>
        <v>14.208721215090643</v>
      </c>
      <c r="N73" s="1303">
        <f t="shared" si="17"/>
        <v>10.570824524312897</v>
      </c>
      <c r="O73" s="1304">
        <f t="shared" si="18"/>
        <v>79.207920792079207</v>
      </c>
    </row>
    <row r="74" spans="1:15" x14ac:dyDescent="0.2">
      <c r="A74" s="1274" t="s">
        <v>144</v>
      </c>
      <c r="B74" s="1274" t="s">
        <v>145</v>
      </c>
      <c r="C74" s="1274" t="s">
        <v>267</v>
      </c>
      <c r="D74" s="1280">
        <v>0</v>
      </c>
      <c r="E74" s="1281">
        <v>0</v>
      </c>
      <c r="F74" s="1281">
        <v>0</v>
      </c>
      <c r="G74" s="1282">
        <v>0</v>
      </c>
      <c r="H74" s="1280">
        <v>1022</v>
      </c>
      <c r="I74" s="1281">
        <v>763</v>
      </c>
      <c r="J74" s="1281">
        <v>151</v>
      </c>
      <c r="K74" s="1282">
        <v>108</v>
      </c>
      <c r="L74" s="1302">
        <f t="shared" si="15"/>
        <v>0</v>
      </c>
      <c r="M74" s="1303">
        <f t="shared" si="16"/>
        <v>0</v>
      </c>
      <c r="N74" s="1303">
        <f t="shared" si="17"/>
        <v>0</v>
      </c>
      <c r="O74" s="1304">
        <f t="shared" si="18"/>
        <v>0</v>
      </c>
    </row>
    <row r="75" spans="1:15" x14ac:dyDescent="0.2">
      <c r="A75" s="1274" t="s">
        <v>146</v>
      </c>
      <c r="B75" s="1274" t="s">
        <v>147</v>
      </c>
      <c r="C75" s="1274" t="s">
        <v>264</v>
      </c>
      <c r="D75" s="1280">
        <v>8</v>
      </c>
      <c r="E75" s="1281">
        <v>2</v>
      </c>
      <c r="F75" s="1281">
        <v>2</v>
      </c>
      <c r="G75" s="1282">
        <v>4</v>
      </c>
      <c r="H75" s="1280">
        <v>468</v>
      </c>
      <c r="I75" s="1281">
        <v>416</v>
      </c>
      <c r="J75" s="1281">
        <v>43</v>
      </c>
      <c r="K75" s="1282">
        <v>9</v>
      </c>
      <c r="L75" s="1302">
        <f t="shared" si="15"/>
        <v>17.094017094017097</v>
      </c>
      <c r="M75" s="1303">
        <f t="shared" si="16"/>
        <v>4.8076923076923084</v>
      </c>
      <c r="N75" s="1303">
        <f t="shared" si="17"/>
        <v>46.511627906976742</v>
      </c>
      <c r="O75" s="1304">
        <f t="shared" si="18"/>
        <v>444.4444444444444</v>
      </c>
    </row>
    <row r="76" spans="1:15" x14ac:dyDescent="0.2">
      <c r="A76" s="1274" t="s">
        <v>148</v>
      </c>
      <c r="B76" s="1274" t="s">
        <v>149</v>
      </c>
      <c r="C76" s="1274" t="s">
        <v>265</v>
      </c>
      <c r="D76" s="1280">
        <v>30</v>
      </c>
      <c r="E76" s="1281">
        <v>15</v>
      </c>
      <c r="F76" s="1281">
        <v>14</v>
      </c>
      <c r="G76" s="1282">
        <v>1</v>
      </c>
      <c r="H76" s="1280">
        <v>1737</v>
      </c>
      <c r="I76" s="1281">
        <v>993</v>
      </c>
      <c r="J76" s="1281">
        <v>706</v>
      </c>
      <c r="K76" s="1282">
        <v>38</v>
      </c>
      <c r="L76" s="1302">
        <f t="shared" si="15"/>
        <v>17.271157167530223</v>
      </c>
      <c r="M76" s="1303">
        <f t="shared" si="16"/>
        <v>15.105740181268883</v>
      </c>
      <c r="N76" s="1303">
        <f t="shared" si="17"/>
        <v>19.830028328611899</v>
      </c>
      <c r="O76" s="1304">
        <f t="shared" si="18"/>
        <v>26.315789473684209</v>
      </c>
    </row>
    <row r="77" spans="1:15" x14ac:dyDescent="0.2">
      <c r="A77" s="1274" t="s">
        <v>150</v>
      </c>
      <c r="B77" s="1274" t="s">
        <v>151</v>
      </c>
      <c r="C77" s="1274" t="s">
        <v>266</v>
      </c>
      <c r="D77" s="1280">
        <v>7</v>
      </c>
      <c r="E77" s="1281">
        <v>7</v>
      </c>
      <c r="F77" s="1281">
        <v>0</v>
      </c>
      <c r="G77" s="1282">
        <v>0</v>
      </c>
      <c r="H77" s="1280">
        <v>466</v>
      </c>
      <c r="I77" s="1281">
        <v>370</v>
      </c>
      <c r="J77" s="1281">
        <v>90</v>
      </c>
      <c r="K77" s="1282">
        <v>6</v>
      </c>
      <c r="L77" s="1302">
        <f t="shared" si="15"/>
        <v>15.021459227467812</v>
      </c>
      <c r="M77" s="1303">
        <f t="shared" si="16"/>
        <v>18.918918918918919</v>
      </c>
      <c r="N77" s="1303">
        <f t="shared" si="17"/>
        <v>0</v>
      </c>
      <c r="O77" s="1304">
        <f t="shared" si="18"/>
        <v>0</v>
      </c>
    </row>
    <row r="78" spans="1:15" x14ac:dyDescent="0.2">
      <c r="A78" s="1274" t="s">
        <v>152</v>
      </c>
      <c r="B78" s="1274" t="s">
        <v>153</v>
      </c>
      <c r="C78" s="1274" t="s">
        <v>268</v>
      </c>
      <c r="D78" s="1280">
        <v>55</v>
      </c>
      <c r="E78" s="1281">
        <v>51</v>
      </c>
      <c r="F78" s="1281">
        <v>1</v>
      </c>
      <c r="G78" s="1282">
        <v>3</v>
      </c>
      <c r="H78" s="1280">
        <v>6896</v>
      </c>
      <c r="I78" s="1281">
        <v>6073</v>
      </c>
      <c r="J78" s="1281">
        <v>361</v>
      </c>
      <c r="K78" s="1282">
        <v>462</v>
      </c>
      <c r="L78" s="1302">
        <f t="shared" si="15"/>
        <v>7.9756380510440836</v>
      </c>
      <c r="M78" s="1303">
        <f t="shared" si="16"/>
        <v>8.3978264449201383</v>
      </c>
      <c r="N78" s="1303">
        <f t="shared" si="17"/>
        <v>2.770083102493075</v>
      </c>
      <c r="O78" s="1304">
        <f t="shared" si="18"/>
        <v>6.4935064935064943</v>
      </c>
    </row>
    <row r="79" spans="1:15" x14ac:dyDescent="0.2">
      <c r="A79" s="1274" t="s">
        <v>154</v>
      </c>
      <c r="B79" s="1274" t="s">
        <v>155</v>
      </c>
      <c r="C79" s="1274" t="s">
        <v>265</v>
      </c>
      <c r="D79" s="1280">
        <v>7</v>
      </c>
      <c r="E79" s="1281">
        <v>5</v>
      </c>
      <c r="F79" s="1281">
        <v>1</v>
      </c>
      <c r="G79" s="1282">
        <v>1</v>
      </c>
      <c r="H79" s="1280">
        <v>747</v>
      </c>
      <c r="I79" s="1281">
        <v>612</v>
      </c>
      <c r="J79" s="1281">
        <v>126</v>
      </c>
      <c r="K79" s="1282">
        <v>9</v>
      </c>
      <c r="L79" s="1302">
        <f t="shared" si="15"/>
        <v>9.3708165997322634</v>
      </c>
      <c r="M79" s="1303">
        <f t="shared" si="16"/>
        <v>8.169934640522877</v>
      </c>
      <c r="N79" s="1303">
        <f t="shared" si="17"/>
        <v>7.9365079365079358</v>
      </c>
      <c r="O79" s="1304">
        <f t="shared" si="18"/>
        <v>111.1111111111111</v>
      </c>
    </row>
    <row r="80" spans="1:15" x14ac:dyDescent="0.2">
      <c r="A80" s="1274" t="s">
        <v>156</v>
      </c>
      <c r="B80" s="1274" t="s">
        <v>157</v>
      </c>
      <c r="C80" s="1274" t="s">
        <v>266</v>
      </c>
      <c r="D80" s="1280">
        <v>11</v>
      </c>
      <c r="E80" s="1281">
        <v>7</v>
      </c>
      <c r="F80" s="1281">
        <v>2</v>
      </c>
      <c r="G80" s="1282">
        <v>2</v>
      </c>
      <c r="H80" s="1280">
        <v>1201</v>
      </c>
      <c r="I80" s="1281">
        <v>990</v>
      </c>
      <c r="J80" s="1281">
        <v>177</v>
      </c>
      <c r="K80" s="1282">
        <v>34</v>
      </c>
      <c r="L80" s="1302">
        <f t="shared" si="15"/>
        <v>9.1590341382181517</v>
      </c>
      <c r="M80" s="1303">
        <f t="shared" si="16"/>
        <v>7.0707070707070709</v>
      </c>
      <c r="N80" s="1303">
        <f t="shared" si="17"/>
        <v>11.299435028248588</v>
      </c>
      <c r="O80" s="1304">
        <f t="shared" si="18"/>
        <v>58.823529411764703</v>
      </c>
    </row>
    <row r="81" spans="1:15" x14ac:dyDescent="0.2">
      <c r="A81" s="1274" t="s">
        <v>158</v>
      </c>
      <c r="B81" s="1274" t="s">
        <v>159</v>
      </c>
      <c r="C81" s="1274" t="s">
        <v>264</v>
      </c>
      <c r="D81" s="1280">
        <v>146</v>
      </c>
      <c r="E81" s="1281">
        <v>49</v>
      </c>
      <c r="F81" s="1281">
        <v>80</v>
      </c>
      <c r="G81" s="1282">
        <v>17</v>
      </c>
      <c r="H81" s="1280">
        <v>11545</v>
      </c>
      <c r="I81" s="1281">
        <v>5338</v>
      </c>
      <c r="J81" s="1281">
        <v>5791</v>
      </c>
      <c r="K81" s="1282">
        <v>416</v>
      </c>
      <c r="L81" s="1302">
        <f t="shared" si="15"/>
        <v>12.646167171935902</v>
      </c>
      <c r="M81" s="1303">
        <f t="shared" si="16"/>
        <v>9.1794679655301614</v>
      </c>
      <c r="N81" s="1303">
        <f t="shared" si="17"/>
        <v>13.814539803142807</v>
      </c>
      <c r="O81" s="1304">
        <f t="shared" si="18"/>
        <v>40.865384615384613</v>
      </c>
    </row>
    <row r="82" spans="1:15" x14ac:dyDescent="0.2">
      <c r="A82" s="1274" t="s">
        <v>160</v>
      </c>
      <c r="B82" s="1274" t="s">
        <v>161</v>
      </c>
      <c r="C82" s="1274" t="s">
        <v>264</v>
      </c>
      <c r="D82" s="1280">
        <v>229</v>
      </c>
      <c r="E82" s="1281">
        <v>59</v>
      </c>
      <c r="F82" s="1281">
        <v>143</v>
      </c>
      <c r="G82" s="1282">
        <v>27</v>
      </c>
      <c r="H82" s="1280">
        <v>13379</v>
      </c>
      <c r="I82" s="1281">
        <v>4855</v>
      </c>
      <c r="J82" s="1281">
        <v>7880</v>
      </c>
      <c r="K82" s="1282">
        <v>644</v>
      </c>
      <c r="L82" s="1302">
        <f t="shared" si="15"/>
        <v>17.116376410793034</v>
      </c>
      <c r="M82" s="1303">
        <f t="shared" si="16"/>
        <v>12.152420185375901</v>
      </c>
      <c r="N82" s="1303">
        <f t="shared" si="17"/>
        <v>18.147208121827411</v>
      </c>
      <c r="O82" s="1304">
        <f t="shared" si="18"/>
        <v>41.925465838509318</v>
      </c>
    </row>
    <row r="83" spans="1:15" x14ac:dyDescent="0.2">
      <c r="A83" s="1274" t="s">
        <v>162</v>
      </c>
      <c r="B83" s="1274" t="s">
        <v>163</v>
      </c>
      <c r="C83" s="1274" t="s">
        <v>264</v>
      </c>
      <c r="D83" s="1280">
        <v>10</v>
      </c>
      <c r="E83" s="1281">
        <v>6</v>
      </c>
      <c r="F83" s="1281">
        <v>4</v>
      </c>
      <c r="G83" s="1282">
        <v>0</v>
      </c>
      <c r="H83" s="1280">
        <v>591</v>
      </c>
      <c r="I83" s="1281">
        <v>320</v>
      </c>
      <c r="J83" s="1281">
        <v>262</v>
      </c>
      <c r="K83" s="1282">
        <v>9</v>
      </c>
      <c r="L83" s="1302">
        <f t="shared" si="15"/>
        <v>16.920473773265652</v>
      </c>
      <c r="M83" s="1303">
        <f t="shared" si="16"/>
        <v>18.75</v>
      </c>
      <c r="N83" s="1303">
        <f t="shared" si="17"/>
        <v>15.267175572519083</v>
      </c>
      <c r="O83" s="1304">
        <f t="shared" si="18"/>
        <v>0</v>
      </c>
    </row>
    <row r="84" spans="1:15" x14ac:dyDescent="0.2">
      <c r="A84" s="1274" t="s">
        <v>164</v>
      </c>
      <c r="B84" s="1274" t="s">
        <v>165</v>
      </c>
      <c r="C84" s="1274" t="s">
        <v>266</v>
      </c>
      <c r="D84" s="1280">
        <v>6</v>
      </c>
      <c r="E84" s="1281">
        <v>4</v>
      </c>
      <c r="F84" s="1281">
        <v>2</v>
      </c>
      <c r="G84" s="1282">
        <v>0</v>
      </c>
      <c r="H84" s="1280">
        <v>512</v>
      </c>
      <c r="I84" s="1281">
        <v>316</v>
      </c>
      <c r="J84" s="1281">
        <v>193</v>
      </c>
      <c r="K84" s="1282">
        <v>3</v>
      </c>
      <c r="L84" s="1302">
        <f t="shared" si="15"/>
        <v>11.71875</v>
      </c>
      <c r="M84" s="1303">
        <f t="shared" si="16"/>
        <v>12.658227848101266</v>
      </c>
      <c r="N84" s="1303">
        <f t="shared" si="17"/>
        <v>10.362694300518134</v>
      </c>
      <c r="O84" s="1304">
        <f t="shared" si="18"/>
        <v>0</v>
      </c>
    </row>
    <row r="85" spans="1:15" x14ac:dyDescent="0.2">
      <c r="A85" s="1274" t="s">
        <v>166</v>
      </c>
      <c r="B85" s="1274" t="s">
        <v>167</v>
      </c>
      <c r="C85" s="1274" t="s">
        <v>268</v>
      </c>
      <c r="D85" s="1280">
        <v>4</v>
      </c>
      <c r="E85" s="1281">
        <v>4</v>
      </c>
      <c r="F85" s="1281">
        <v>0</v>
      </c>
      <c r="G85" s="1282">
        <v>0</v>
      </c>
      <c r="H85" s="1280">
        <v>249</v>
      </c>
      <c r="I85" s="1281">
        <v>221</v>
      </c>
      <c r="J85" s="1281">
        <v>28</v>
      </c>
      <c r="K85" s="1282">
        <v>0</v>
      </c>
      <c r="L85" s="1302">
        <f t="shared" si="15"/>
        <v>16.064257028112447</v>
      </c>
      <c r="M85" s="1303">
        <f t="shared" si="16"/>
        <v>18.09954751131222</v>
      </c>
      <c r="N85" s="1303">
        <f t="shared" si="17"/>
        <v>0</v>
      </c>
      <c r="O85" s="1304" t="str">
        <f t="shared" si="18"/>
        <v>NA</v>
      </c>
    </row>
    <row r="86" spans="1:15" x14ac:dyDescent="0.2">
      <c r="A86" s="1274" t="s">
        <v>168</v>
      </c>
      <c r="B86" s="1274" t="s">
        <v>169</v>
      </c>
      <c r="C86" s="1274" t="s">
        <v>266</v>
      </c>
      <c r="D86" s="1280">
        <v>25</v>
      </c>
      <c r="E86" s="1281">
        <v>14</v>
      </c>
      <c r="F86" s="1281">
        <v>10</v>
      </c>
      <c r="G86" s="1282">
        <v>1</v>
      </c>
      <c r="H86" s="1280">
        <v>828</v>
      </c>
      <c r="I86" s="1281">
        <v>498</v>
      </c>
      <c r="J86" s="1281">
        <v>310</v>
      </c>
      <c r="K86" s="1282">
        <v>20</v>
      </c>
      <c r="L86" s="1302">
        <f t="shared" si="15"/>
        <v>30.193236714975843</v>
      </c>
      <c r="M86" s="1303">
        <f t="shared" si="16"/>
        <v>28.112449799196785</v>
      </c>
      <c r="N86" s="1303">
        <f t="shared" si="17"/>
        <v>32.258064516129032</v>
      </c>
      <c r="O86" s="1304">
        <f t="shared" si="18"/>
        <v>50</v>
      </c>
    </row>
    <row r="87" spans="1:15" x14ac:dyDescent="0.2">
      <c r="A87" s="1274" t="s">
        <v>170</v>
      </c>
      <c r="B87" s="1274" t="s">
        <v>171</v>
      </c>
      <c r="C87" s="1274" t="s">
        <v>267</v>
      </c>
      <c r="D87" s="1280">
        <v>20</v>
      </c>
      <c r="E87" s="1281">
        <v>17</v>
      </c>
      <c r="F87" s="1281">
        <v>2</v>
      </c>
      <c r="G87" s="1282">
        <v>1</v>
      </c>
      <c r="H87" s="1280">
        <v>2054</v>
      </c>
      <c r="I87" s="1281">
        <v>1654</v>
      </c>
      <c r="J87" s="1281">
        <v>366</v>
      </c>
      <c r="K87" s="1282">
        <v>34</v>
      </c>
      <c r="L87" s="1302">
        <f t="shared" si="15"/>
        <v>9.7370983446932815</v>
      </c>
      <c r="M87" s="1303">
        <f t="shared" si="16"/>
        <v>10.278113663845224</v>
      </c>
      <c r="N87" s="1303">
        <f t="shared" si="17"/>
        <v>5.4644808743169397</v>
      </c>
      <c r="O87" s="1304">
        <f t="shared" si="18"/>
        <v>29.411764705882351</v>
      </c>
    </row>
    <row r="88" spans="1:15" x14ac:dyDescent="0.2">
      <c r="A88" s="1274" t="s">
        <v>172</v>
      </c>
      <c r="B88" s="1274" t="s">
        <v>173</v>
      </c>
      <c r="C88" s="1274" t="s">
        <v>267</v>
      </c>
      <c r="D88" s="1280">
        <v>21</v>
      </c>
      <c r="E88" s="1281">
        <v>21</v>
      </c>
      <c r="F88" s="1281">
        <v>0</v>
      </c>
      <c r="G88" s="1282">
        <v>0</v>
      </c>
      <c r="H88" s="1280">
        <v>1384</v>
      </c>
      <c r="I88" s="1281">
        <v>1325</v>
      </c>
      <c r="J88" s="1281">
        <v>45</v>
      </c>
      <c r="K88" s="1282">
        <v>14</v>
      </c>
      <c r="L88" s="1302">
        <f t="shared" si="15"/>
        <v>15.173410404624278</v>
      </c>
      <c r="M88" s="1303">
        <f t="shared" si="16"/>
        <v>15.849056603773583</v>
      </c>
      <c r="N88" s="1303">
        <f t="shared" si="17"/>
        <v>0</v>
      </c>
      <c r="O88" s="1304">
        <f t="shared" si="18"/>
        <v>0</v>
      </c>
    </row>
    <row r="89" spans="1:15" x14ac:dyDescent="0.2">
      <c r="A89" s="1274" t="s">
        <v>174</v>
      </c>
      <c r="B89" s="1274" t="s">
        <v>175</v>
      </c>
      <c r="C89" s="1274" t="s">
        <v>268</v>
      </c>
      <c r="D89" s="1280">
        <v>15</v>
      </c>
      <c r="E89" s="1281">
        <v>12</v>
      </c>
      <c r="F89" s="1281">
        <v>3</v>
      </c>
      <c r="G89" s="1282">
        <v>0</v>
      </c>
      <c r="H89" s="1280">
        <v>986</v>
      </c>
      <c r="I89" s="1281">
        <v>896</v>
      </c>
      <c r="J89" s="1281">
        <v>77</v>
      </c>
      <c r="K89" s="1282">
        <v>13</v>
      </c>
      <c r="L89" s="1302">
        <f t="shared" si="15"/>
        <v>15.212981744421906</v>
      </c>
      <c r="M89" s="1303">
        <f t="shared" si="16"/>
        <v>13.392857142857142</v>
      </c>
      <c r="N89" s="1303">
        <f t="shared" si="17"/>
        <v>38.961038961038959</v>
      </c>
      <c r="O89" s="1304">
        <f t="shared" si="18"/>
        <v>0</v>
      </c>
    </row>
    <row r="90" spans="1:15" x14ac:dyDescent="0.2">
      <c r="A90" s="1274" t="s">
        <v>176</v>
      </c>
      <c r="B90" s="1274" t="s">
        <v>177</v>
      </c>
      <c r="C90" s="1274" t="s">
        <v>266</v>
      </c>
      <c r="D90" s="1280">
        <v>53</v>
      </c>
      <c r="E90" s="1281">
        <v>7</v>
      </c>
      <c r="F90" s="1281">
        <v>39</v>
      </c>
      <c r="G90" s="1282">
        <v>7</v>
      </c>
      <c r="H90" s="1280">
        <v>1588</v>
      </c>
      <c r="I90" s="1281">
        <v>234</v>
      </c>
      <c r="J90" s="1281">
        <v>1327</v>
      </c>
      <c r="K90" s="1282">
        <v>27</v>
      </c>
      <c r="L90" s="1302">
        <f t="shared" si="15"/>
        <v>33.375314861460957</v>
      </c>
      <c r="M90" s="1303">
        <f t="shared" si="16"/>
        <v>29.914529914529915</v>
      </c>
      <c r="N90" s="1303">
        <f t="shared" si="17"/>
        <v>29.389600602863602</v>
      </c>
      <c r="O90" s="1304">
        <f t="shared" si="18"/>
        <v>259.25925925925924</v>
      </c>
    </row>
    <row r="91" spans="1:15" x14ac:dyDescent="0.2">
      <c r="A91" s="1274" t="s">
        <v>178</v>
      </c>
      <c r="B91" s="1274" t="s">
        <v>179</v>
      </c>
      <c r="C91" s="1274" t="s">
        <v>265</v>
      </c>
      <c r="D91" s="1280">
        <v>37</v>
      </c>
      <c r="E91" s="1281">
        <v>28</v>
      </c>
      <c r="F91" s="1281">
        <v>6</v>
      </c>
      <c r="G91" s="1282">
        <v>3</v>
      </c>
      <c r="H91" s="1280">
        <v>3631</v>
      </c>
      <c r="I91" s="1281">
        <v>2744</v>
      </c>
      <c r="J91" s="1281">
        <v>851</v>
      </c>
      <c r="K91" s="1282">
        <v>36</v>
      </c>
      <c r="L91" s="1302">
        <f t="shared" si="15"/>
        <v>10.190030294684659</v>
      </c>
      <c r="M91" s="1303">
        <f t="shared" si="16"/>
        <v>10.204081632653061</v>
      </c>
      <c r="N91" s="1303">
        <f t="shared" si="17"/>
        <v>7.050528789659225</v>
      </c>
      <c r="O91" s="1304">
        <f t="shared" si="18"/>
        <v>83.333333333333329</v>
      </c>
    </row>
    <row r="92" spans="1:15" x14ac:dyDescent="0.2">
      <c r="A92" s="1274" t="s">
        <v>180</v>
      </c>
      <c r="B92" s="1274" t="s">
        <v>181</v>
      </c>
      <c r="C92" s="1274" t="s">
        <v>264</v>
      </c>
      <c r="D92" s="1280">
        <v>109</v>
      </c>
      <c r="E92" s="1281">
        <v>21</v>
      </c>
      <c r="F92" s="1281">
        <v>84</v>
      </c>
      <c r="G92" s="1282">
        <v>4</v>
      </c>
      <c r="H92" s="1280">
        <v>5321</v>
      </c>
      <c r="I92" s="1281">
        <v>1629</v>
      </c>
      <c r="J92" s="1281">
        <v>3568</v>
      </c>
      <c r="K92" s="1282">
        <v>124</v>
      </c>
      <c r="L92" s="1302">
        <f t="shared" si="15"/>
        <v>20.48487126479985</v>
      </c>
      <c r="M92" s="1303">
        <f t="shared" si="16"/>
        <v>12.89134438305709</v>
      </c>
      <c r="N92" s="1303">
        <f t="shared" si="17"/>
        <v>23.542600896860986</v>
      </c>
      <c r="O92" s="1304">
        <f t="shared" si="18"/>
        <v>32.258064516129032</v>
      </c>
    </row>
    <row r="93" spans="1:15" x14ac:dyDescent="0.2">
      <c r="A93" s="1274" t="s">
        <v>182</v>
      </c>
      <c r="B93" s="1274" t="s">
        <v>183</v>
      </c>
      <c r="C93" s="1274" t="s">
        <v>266</v>
      </c>
      <c r="D93" s="1280">
        <v>7</v>
      </c>
      <c r="E93" s="1281">
        <v>5</v>
      </c>
      <c r="F93" s="1281">
        <v>2</v>
      </c>
      <c r="G93" s="1282">
        <v>0</v>
      </c>
      <c r="H93" s="1280">
        <v>1579</v>
      </c>
      <c r="I93" s="1281">
        <v>1415</v>
      </c>
      <c r="J93" s="1281">
        <v>142</v>
      </c>
      <c r="K93" s="1282">
        <v>22</v>
      </c>
      <c r="L93" s="1302">
        <f t="shared" si="15"/>
        <v>4.4331855604813173</v>
      </c>
      <c r="M93" s="1303">
        <f t="shared" si="16"/>
        <v>3.5335689045936394</v>
      </c>
      <c r="N93" s="1303">
        <f t="shared" si="17"/>
        <v>14.084507042253522</v>
      </c>
      <c r="O93" s="1304">
        <f t="shared" si="18"/>
        <v>0</v>
      </c>
    </row>
    <row r="94" spans="1:15" x14ac:dyDescent="0.2">
      <c r="A94" s="1274" t="s">
        <v>184</v>
      </c>
      <c r="B94" s="1274" t="s">
        <v>185</v>
      </c>
      <c r="C94" s="1274" t="s">
        <v>266</v>
      </c>
      <c r="D94" s="1280">
        <v>19</v>
      </c>
      <c r="E94" s="1281">
        <v>12</v>
      </c>
      <c r="F94" s="1281">
        <v>7</v>
      </c>
      <c r="G94" s="1282">
        <v>0</v>
      </c>
      <c r="H94" s="1280">
        <v>2048</v>
      </c>
      <c r="I94" s="1281">
        <v>1429</v>
      </c>
      <c r="J94" s="1281">
        <v>569</v>
      </c>
      <c r="K94" s="1282">
        <v>50</v>
      </c>
      <c r="L94" s="1302">
        <f t="shared" si="15"/>
        <v>9.27734375</v>
      </c>
      <c r="M94" s="1303">
        <f t="shared" si="16"/>
        <v>8.3974807557732678</v>
      </c>
      <c r="N94" s="1303">
        <f t="shared" si="17"/>
        <v>12.302284710017574</v>
      </c>
      <c r="O94" s="1304">
        <f t="shared" si="18"/>
        <v>0</v>
      </c>
    </row>
    <row r="95" spans="1:15" x14ac:dyDescent="0.2">
      <c r="A95" s="1274" t="s">
        <v>186</v>
      </c>
      <c r="B95" s="1274" t="s">
        <v>187</v>
      </c>
      <c r="C95" s="1274" t="s">
        <v>264</v>
      </c>
      <c r="D95" s="1280">
        <v>13</v>
      </c>
      <c r="E95" s="1281">
        <v>6</v>
      </c>
      <c r="F95" s="1281">
        <v>6</v>
      </c>
      <c r="G95" s="1282">
        <v>1</v>
      </c>
      <c r="H95" s="1280">
        <v>2204</v>
      </c>
      <c r="I95" s="1281">
        <v>1359</v>
      </c>
      <c r="J95" s="1281">
        <v>776</v>
      </c>
      <c r="K95" s="1282">
        <v>69</v>
      </c>
      <c r="L95" s="1302">
        <f t="shared" si="15"/>
        <v>5.8983666061705993</v>
      </c>
      <c r="M95" s="1303">
        <f t="shared" si="16"/>
        <v>4.4150110375275942</v>
      </c>
      <c r="N95" s="1303">
        <f t="shared" si="17"/>
        <v>7.731958762886598</v>
      </c>
      <c r="O95" s="1304">
        <f t="shared" si="18"/>
        <v>14.492753623188406</v>
      </c>
    </row>
    <row r="96" spans="1:15" x14ac:dyDescent="0.2">
      <c r="A96" s="1274" t="s">
        <v>188</v>
      </c>
      <c r="B96" s="1274" t="s">
        <v>189</v>
      </c>
      <c r="C96" s="1274" t="s">
        <v>267</v>
      </c>
      <c r="D96" s="1280">
        <v>246</v>
      </c>
      <c r="E96" s="1281">
        <v>105</v>
      </c>
      <c r="F96" s="1281">
        <v>55</v>
      </c>
      <c r="G96" s="1282">
        <v>86</v>
      </c>
      <c r="H96" s="1280">
        <v>31783</v>
      </c>
      <c r="I96" s="1281">
        <v>20449</v>
      </c>
      <c r="J96" s="1281">
        <v>8046</v>
      </c>
      <c r="K96" s="1282">
        <v>3288</v>
      </c>
      <c r="L96" s="1302">
        <f t="shared" si="15"/>
        <v>7.7399867853884148</v>
      </c>
      <c r="M96" s="1303">
        <f t="shared" si="16"/>
        <v>5.1347254144456942</v>
      </c>
      <c r="N96" s="1303">
        <f t="shared" si="17"/>
        <v>6.8356947551578422</v>
      </c>
      <c r="O96" s="1304">
        <f t="shared" si="18"/>
        <v>26.155717761557177</v>
      </c>
    </row>
    <row r="97" spans="1:15" x14ac:dyDescent="0.2">
      <c r="A97" s="1274" t="s">
        <v>190</v>
      </c>
      <c r="B97" s="1274" t="s">
        <v>191</v>
      </c>
      <c r="C97" s="1274" t="s">
        <v>268</v>
      </c>
      <c r="D97" s="1280">
        <v>32</v>
      </c>
      <c r="E97" s="1281">
        <v>31</v>
      </c>
      <c r="F97" s="1281">
        <v>1</v>
      </c>
      <c r="G97" s="1282">
        <v>0</v>
      </c>
      <c r="H97" s="1280">
        <v>1670</v>
      </c>
      <c r="I97" s="1281">
        <v>1548</v>
      </c>
      <c r="J97" s="1281">
        <v>106</v>
      </c>
      <c r="K97" s="1282">
        <v>16</v>
      </c>
      <c r="L97" s="1302">
        <f t="shared" si="15"/>
        <v>19.161676646706585</v>
      </c>
      <c r="M97" s="1303">
        <f t="shared" si="16"/>
        <v>20.025839793281651</v>
      </c>
      <c r="N97" s="1303">
        <f t="shared" si="17"/>
        <v>9.4339622641509422</v>
      </c>
      <c r="O97" s="1304">
        <f t="shared" si="18"/>
        <v>0</v>
      </c>
    </row>
    <row r="98" spans="1:15" x14ac:dyDescent="0.2">
      <c r="A98" s="1274" t="s">
        <v>192</v>
      </c>
      <c r="B98" s="1274" t="s">
        <v>193</v>
      </c>
      <c r="C98" s="1274" t="s">
        <v>268</v>
      </c>
      <c r="D98" s="1280">
        <v>13</v>
      </c>
      <c r="E98" s="1281">
        <v>12</v>
      </c>
      <c r="F98" s="1281">
        <v>1</v>
      </c>
      <c r="G98" s="1282">
        <v>0</v>
      </c>
      <c r="H98" s="1280">
        <v>1931</v>
      </c>
      <c r="I98" s="1281">
        <v>1708</v>
      </c>
      <c r="J98" s="1281">
        <v>179</v>
      </c>
      <c r="K98" s="1282">
        <v>44</v>
      </c>
      <c r="L98" s="1302">
        <f t="shared" si="15"/>
        <v>6.7322630761263591</v>
      </c>
      <c r="M98" s="1303">
        <f t="shared" si="16"/>
        <v>7.0257611241217797</v>
      </c>
      <c r="N98" s="1303">
        <f t="shared" si="17"/>
        <v>5.5865921787709496</v>
      </c>
      <c r="O98" s="1304">
        <f t="shared" si="18"/>
        <v>0</v>
      </c>
    </row>
    <row r="99" spans="1:15" x14ac:dyDescent="0.2">
      <c r="A99" s="1274" t="s">
        <v>194</v>
      </c>
      <c r="B99" s="1274" t="s">
        <v>195</v>
      </c>
      <c r="C99" s="1274" t="s">
        <v>267</v>
      </c>
      <c r="D99" s="1280">
        <v>3</v>
      </c>
      <c r="E99" s="1281">
        <v>3</v>
      </c>
      <c r="F99" s="1281">
        <v>0</v>
      </c>
      <c r="G99" s="1282">
        <v>0</v>
      </c>
      <c r="H99" s="1280">
        <v>397</v>
      </c>
      <c r="I99" s="1281">
        <v>369</v>
      </c>
      <c r="J99" s="1281">
        <v>23</v>
      </c>
      <c r="K99" s="1282">
        <v>5</v>
      </c>
      <c r="L99" s="1302">
        <f t="shared" si="15"/>
        <v>7.5566750629722916</v>
      </c>
      <c r="M99" s="1303">
        <f t="shared" si="16"/>
        <v>8.1300813008130088</v>
      </c>
      <c r="N99" s="1303">
        <f t="shared" si="17"/>
        <v>0</v>
      </c>
      <c r="O99" s="1304">
        <f t="shared" si="18"/>
        <v>0</v>
      </c>
    </row>
    <row r="100" spans="1:15" x14ac:dyDescent="0.2">
      <c r="A100" s="1274" t="s">
        <v>196</v>
      </c>
      <c r="B100" s="1274" t="s">
        <v>197</v>
      </c>
      <c r="C100" s="1274" t="s">
        <v>266</v>
      </c>
      <c r="D100" s="1280">
        <v>215</v>
      </c>
      <c r="E100" s="1281">
        <v>27</v>
      </c>
      <c r="F100" s="1281">
        <v>174</v>
      </c>
      <c r="G100" s="1282">
        <v>14</v>
      </c>
      <c r="H100" s="1280">
        <v>12163</v>
      </c>
      <c r="I100" s="1281">
        <v>4088</v>
      </c>
      <c r="J100" s="1281">
        <v>7456</v>
      </c>
      <c r="K100" s="1282">
        <v>619</v>
      </c>
      <c r="L100" s="1302">
        <f t="shared" si="15"/>
        <v>17.676560059195925</v>
      </c>
      <c r="M100" s="1303">
        <f t="shared" si="16"/>
        <v>6.6046966731898236</v>
      </c>
      <c r="N100" s="1303">
        <f t="shared" si="17"/>
        <v>23.336909871244636</v>
      </c>
      <c r="O100" s="1304">
        <f t="shared" si="18"/>
        <v>22.617124394184167</v>
      </c>
    </row>
    <row r="101" spans="1:15" x14ac:dyDescent="0.2">
      <c r="A101" s="1274" t="s">
        <v>198</v>
      </c>
      <c r="B101" s="1274" t="s">
        <v>272</v>
      </c>
      <c r="C101" s="1274" t="s">
        <v>266</v>
      </c>
      <c r="D101" s="1280">
        <v>6</v>
      </c>
      <c r="E101" s="1281">
        <v>3</v>
      </c>
      <c r="F101" s="1281">
        <v>3</v>
      </c>
      <c r="G101" s="1282">
        <v>0</v>
      </c>
      <c r="H101" s="1280">
        <v>411</v>
      </c>
      <c r="I101" s="1281">
        <v>286</v>
      </c>
      <c r="J101" s="1281">
        <v>122</v>
      </c>
      <c r="K101" s="1282">
        <v>3</v>
      </c>
      <c r="L101" s="1302">
        <f t="shared" si="15"/>
        <v>14.598540145985401</v>
      </c>
      <c r="M101" s="1303">
        <f t="shared" si="16"/>
        <v>10.48951048951049</v>
      </c>
      <c r="N101" s="1303">
        <f t="shared" si="17"/>
        <v>24.590163934426229</v>
      </c>
      <c r="O101" s="1304">
        <f t="shared" si="18"/>
        <v>0</v>
      </c>
    </row>
    <row r="102" spans="1:15" x14ac:dyDescent="0.2">
      <c r="A102" s="1274" t="s">
        <v>200</v>
      </c>
      <c r="B102" s="1274" t="s">
        <v>201</v>
      </c>
      <c r="C102" s="1274" t="s">
        <v>265</v>
      </c>
      <c r="D102" s="1280">
        <v>118</v>
      </c>
      <c r="E102" s="1281">
        <v>60</v>
      </c>
      <c r="F102" s="1281">
        <v>57</v>
      </c>
      <c r="G102" s="1282">
        <v>1</v>
      </c>
      <c r="H102" s="1280">
        <v>5038</v>
      </c>
      <c r="I102" s="1281">
        <v>2646</v>
      </c>
      <c r="J102" s="1281">
        <v>2211</v>
      </c>
      <c r="K102" s="1282">
        <v>181</v>
      </c>
      <c r="L102" s="1302">
        <f t="shared" ref="L102:L125" si="19">IF(H102=0,"NA",(D102/H102)*1000)</f>
        <v>23.421992854307266</v>
      </c>
      <c r="M102" s="1303">
        <f t="shared" ref="M102:M125" si="20">IF(I102=0,"NA",(E102/I102)*1000)</f>
        <v>22.675736961451246</v>
      </c>
      <c r="N102" s="1303">
        <f t="shared" ref="N102:N125" si="21">IF(J102=0,"NA",(F102/J102)*1000)</f>
        <v>25.780189959294436</v>
      </c>
      <c r="O102" s="1304">
        <f t="shared" ref="O102:O125" si="22">IF(K102=0,"NA",(G102/K102)*1000)</f>
        <v>5.5248618784530388</v>
      </c>
    </row>
    <row r="103" spans="1:15" x14ac:dyDescent="0.2">
      <c r="A103" s="1274" t="s">
        <v>202</v>
      </c>
      <c r="B103" s="1274" t="s">
        <v>301</v>
      </c>
      <c r="C103" s="1274" t="s">
        <v>265</v>
      </c>
      <c r="D103" s="1280">
        <v>53</v>
      </c>
      <c r="E103" s="1281">
        <v>42</v>
      </c>
      <c r="F103" s="1281">
        <v>9</v>
      </c>
      <c r="G103" s="1282">
        <v>2</v>
      </c>
      <c r="H103" s="1280">
        <v>7586</v>
      </c>
      <c r="I103" s="1281">
        <v>6606</v>
      </c>
      <c r="J103" s="1281">
        <v>696</v>
      </c>
      <c r="K103" s="1282">
        <v>284</v>
      </c>
      <c r="L103" s="1302">
        <f t="shared" si="19"/>
        <v>6.9865541787503291</v>
      </c>
      <c r="M103" s="1303">
        <f t="shared" si="20"/>
        <v>6.3578564940962767</v>
      </c>
      <c r="N103" s="1303">
        <f t="shared" si="21"/>
        <v>12.931034482758621</v>
      </c>
      <c r="O103" s="1304">
        <f t="shared" si="22"/>
        <v>7.042253521126761</v>
      </c>
    </row>
    <row r="104" spans="1:15" x14ac:dyDescent="0.2">
      <c r="A104" s="1274" t="s">
        <v>204</v>
      </c>
      <c r="B104" s="1274" t="s">
        <v>293</v>
      </c>
      <c r="C104" s="1274" t="s">
        <v>265</v>
      </c>
      <c r="D104" s="1280">
        <v>31</v>
      </c>
      <c r="E104" s="1281">
        <v>30</v>
      </c>
      <c r="F104" s="1281">
        <v>1</v>
      </c>
      <c r="G104" s="1282">
        <v>0</v>
      </c>
      <c r="H104" s="1280">
        <v>2289</v>
      </c>
      <c r="I104" s="1281">
        <v>2078</v>
      </c>
      <c r="J104" s="1281">
        <v>149</v>
      </c>
      <c r="K104" s="1282">
        <v>62</v>
      </c>
      <c r="L104" s="1302">
        <f t="shared" si="19"/>
        <v>13.543031891655744</v>
      </c>
      <c r="M104" s="1303">
        <f t="shared" si="20"/>
        <v>14.436958614051973</v>
      </c>
      <c r="N104" s="1303">
        <f t="shared" si="21"/>
        <v>6.7114093959731544</v>
      </c>
      <c r="O104" s="1304">
        <f t="shared" si="22"/>
        <v>0</v>
      </c>
    </row>
    <row r="105" spans="1:15" x14ac:dyDescent="0.2">
      <c r="A105" s="1274" t="s">
        <v>206</v>
      </c>
      <c r="B105" s="1274" t="s">
        <v>294</v>
      </c>
      <c r="C105" s="1274" t="s">
        <v>267</v>
      </c>
      <c r="D105" s="1280">
        <v>96</v>
      </c>
      <c r="E105" s="1281">
        <v>70</v>
      </c>
      <c r="F105" s="1281">
        <v>3</v>
      </c>
      <c r="G105" s="1282">
        <v>23</v>
      </c>
      <c r="H105" s="1280">
        <v>10786</v>
      </c>
      <c r="I105" s="1281">
        <v>9654</v>
      </c>
      <c r="J105" s="1281">
        <v>713</v>
      </c>
      <c r="K105" s="1282">
        <v>419</v>
      </c>
      <c r="L105" s="1302">
        <f t="shared" si="19"/>
        <v>8.9004264787687735</v>
      </c>
      <c r="M105" s="1303">
        <f t="shared" si="20"/>
        <v>7.2508804640563502</v>
      </c>
      <c r="N105" s="1303">
        <f t="shared" si="21"/>
        <v>4.2075736325385691</v>
      </c>
      <c r="O105" s="1304">
        <f t="shared" si="22"/>
        <v>54.892601431980907</v>
      </c>
    </row>
    <row r="106" spans="1:15" x14ac:dyDescent="0.2">
      <c r="A106" s="1274" t="s">
        <v>208</v>
      </c>
      <c r="B106" s="1274" t="s">
        <v>209</v>
      </c>
      <c r="C106" s="1274" t="s">
        <v>268</v>
      </c>
      <c r="D106" s="1280">
        <v>31</v>
      </c>
      <c r="E106" s="1281">
        <v>31</v>
      </c>
      <c r="F106" s="1281">
        <v>0</v>
      </c>
      <c r="G106" s="1282">
        <v>0</v>
      </c>
      <c r="H106" s="1280">
        <v>1544</v>
      </c>
      <c r="I106" s="1281">
        <v>1510</v>
      </c>
      <c r="J106" s="1281">
        <v>25</v>
      </c>
      <c r="K106" s="1282">
        <v>9</v>
      </c>
      <c r="L106" s="1302">
        <f t="shared" si="19"/>
        <v>20.077720207253883</v>
      </c>
      <c r="M106" s="1303">
        <f t="shared" si="20"/>
        <v>20.52980132450331</v>
      </c>
      <c r="N106" s="1303">
        <f t="shared" si="21"/>
        <v>0</v>
      </c>
      <c r="O106" s="1304">
        <f t="shared" si="22"/>
        <v>0</v>
      </c>
    </row>
    <row r="107" spans="1:15" x14ac:dyDescent="0.2">
      <c r="A107" s="1274" t="s">
        <v>210</v>
      </c>
      <c r="B107" s="1274" t="s">
        <v>211</v>
      </c>
      <c r="C107" s="1274" t="s">
        <v>268</v>
      </c>
      <c r="D107" s="1280">
        <v>15</v>
      </c>
      <c r="E107" s="1281">
        <v>15</v>
      </c>
      <c r="F107" s="1281">
        <v>0</v>
      </c>
      <c r="G107" s="1282">
        <v>0</v>
      </c>
      <c r="H107" s="1280">
        <v>1214</v>
      </c>
      <c r="I107" s="1281">
        <v>1192</v>
      </c>
      <c r="J107" s="1281">
        <v>11</v>
      </c>
      <c r="K107" s="1282">
        <v>11</v>
      </c>
      <c r="L107" s="1302">
        <f t="shared" si="19"/>
        <v>12.355848434925866</v>
      </c>
      <c r="M107" s="1303">
        <f t="shared" si="20"/>
        <v>12.583892617449663</v>
      </c>
      <c r="N107" s="1303">
        <f t="shared" si="21"/>
        <v>0</v>
      </c>
      <c r="O107" s="1304">
        <f t="shared" si="22"/>
        <v>0</v>
      </c>
    </row>
    <row r="108" spans="1:15" x14ac:dyDescent="0.2">
      <c r="A108" s="1274" t="s">
        <v>212</v>
      </c>
      <c r="B108" s="1274" t="s">
        <v>213</v>
      </c>
      <c r="C108" s="1274" t="s">
        <v>267</v>
      </c>
      <c r="D108" s="1280">
        <v>41</v>
      </c>
      <c r="E108" s="1281">
        <v>37</v>
      </c>
      <c r="F108" s="1281">
        <v>1</v>
      </c>
      <c r="G108" s="1282">
        <v>3</v>
      </c>
      <c r="H108" s="1280">
        <v>2543</v>
      </c>
      <c r="I108" s="1281">
        <v>2416</v>
      </c>
      <c r="J108" s="1281">
        <v>83</v>
      </c>
      <c r="K108" s="1282">
        <v>44</v>
      </c>
      <c r="L108" s="1302">
        <f t="shared" si="19"/>
        <v>16.122689736531655</v>
      </c>
      <c r="M108" s="1303">
        <f t="shared" si="20"/>
        <v>15.314569536423841</v>
      </c>
      <c r="N108" s="1303">
        <f t="shared" si="21"/>
        <v>12.048192771084338</v>
      </c>
      <c r="O108" s="1304">
        <f t="shared" si="22"/>
        <v>68.181818181818173</v>
      </c>
    </row>
    <row r="109" spans="1:15" x14ac:dyDescent="0.2">
      <c r="A109" s="1274" t="s">
        <v>214</v>
      </c>
      <c r="B109" s="1274" t="s">
        <v>215</v>
      </c>
      <c r="C109" s="1274" t="s">
        <v>268</v>
      </c>
      <c r="D109" s="1280">
        <v>37</v>
      </c>
      <c r="E109" s="1281">
        <v>33</v>
      </c>
      <c r="F109" s="1281">
        <v>2</v>
      </c>
      <c r="G109" s="1282">
        <v>2</v>
      </c>
      <c r="H109" s="1280">
        <v>1756</v>
      </c>
      <c r="I109" s="1281">
        <v>1647</v>
      </c>
      <c r="J109" s="1281">
        <v>92</v>
      </c>
      <c r="K109" s="1282">
        <v>17</v>
      </c>
      <c r="L109" s="1302">
        <f t="shared" si="19"/>
        <v>21.070615034168565</v>
      </c>
      <c r="M109" s="1303">
        <f t="shared" si="20"/>
        <v>20.036429872495447</v>
      </c>
      <c r="N109" s="1303">
        <f t="shared" si="21"/>
        <v>21.739130434782609</v>
      </c>
      <c r="O109" s="1304">
        <f t="shared" si="22"/>
        <v>117.64705882352941</v>
      </c>
    </row>
    <row r="110" spans="1:15" x14ac:dyDescent="0.2">
      <c r="A110" s="1274" t="s">
        <v>216</v>
      </c>
      <c r="B110" s="1274" t="s">
        <v>217</v>
      </c>
      <c r="C110" s="1274" t="s">
        <v>264</v>
      </c>
      <c r="D110" s="1280">
        <v>4</v>
      </c>
      <c r="E110" s="1281">
        <v>1</v>
      </c>
      <c r="F110" s="1281">
        <v>3</v>
      </c>
      <c r="G110" s="1282">
        <v>0</v>
      </c>
      <c r="H110" s="1280">
        <v>1017</v>
      </c>
      <c r="I110" s="1281">
        <v>643</v>
      </c>
      <c r="J110" s="1281">
        <v>360</v>
      </c>
      <c r="K110" s="1282">
        <v>14</v>
      </c>
      <c r="L110" s="1302">
        <f t="shared" si="19"/>
        <v>3.9331366764995086</v>
      </c>
      <c r="M110" s="1303">
        <f t="shared" si="20"/>
        <v>1.5552099533437014</v>
      </c>
      <c r="N110" s="1303">
        <f t="shared" si="21"/>
        <v>8.3333333333333339</v>
      </c>
      <c r="O110" s="1304">
        <f t="shared" si="22"/>
        <v>0</v>
      </c>
    </row>
    <row r="111" spans="1:15" x14ac:dyDescent="0.2">
      <c r="A111" s="1274" t="s">
        <v>218</v>
      </c>
      <c r="B111" s="1274" t="s">
        <v>219</v>
      </c>
      <c r="C111" s="1274" t="s">
        <v>267</v>
      </c>
      <c r="D111" s="1280">
        <v>75</v>
      </c>
      <c r="E111" s="1281">
        <v>51</v>
      </c>
      <c r="F111" s="1281">
        <v>18</v>
      </c>
      <c r="G111" s="1282">
        <v>6</v>
      </c>
      <c r="H111" s="1280">
        <v>9376</v>
      </c>
      <c r="I111" s="1281">
        <v>7108</v>
      </c>
      <c r="J111" s="1281">
        <v>1902</v>
      </c>
      <c r="K111" s="1282">
        <v>366</v>
      </c>
      <c r="L111" s="1302">
        <f t="shared" si="19"/>
        <v>7.9991467576791804</v>
      </c>
      <c r="M111" s="1303">
        <f t="shared" si="20"/>
        <v>7.1750140686550372</v>
      </c>
      <c r="N111" s="1303">
        <f t="shared" si="21"/>
        <v>9.4637223974763405</v>
      </c>
      <c r="O111" s="1304">
        <f t="shared" si="22"/>
        <v>16.393442622950822</v>
      </c>
    </row>
    <row r="112" spans="1:15" x14ac:dyDescent="0.2">
      <c r="A112" s="1274" t="s">
        <v>220</v>
      </c>
      <c r="B112" s="1274" t="s">
        <v>221</v>
      </c>
      <c r="C112" s="1274" t="s">
        <v>267</v>
      </c>
      <c r="D112" s="1280">
        <v>76</v>
      </c>
      <c r="E112" s="1281">
        <v>45</v>
      </c>
      <c r="F112" s="1281">
        <v>21</v>
      </c>
      <c r="G112" s="1282">
        <v>10</v>
      </c>
      <c r="H112" s="1280">
        <v>11120</v>
      </c>
      <c r="I112" s="1281">
        <v>8144</v>
      </c>
      <c r="J112" s="1281">
        <v>2423</v>
      </c>
      <c r="K112" s="1282">
        <v>553</v>
      </c>
      <c r="L112" s="1302">
        <f t="shared" si="19"/>
        <v>6.8345323741007187</v>
      </c>
      <c r="M112" s="1303">
        <f t="shared" si="20"/>
        <v>5.5255402750491163</v>
      </c>
      <c r="N112" s="1303">
        <f t="shared" si="21"/>
        <v>8.6669418076764337</v>
      </c>
      <c r="O112" s="1304">
        <f t="shared" si="22"/>
        <v>18.083182640144667</v>
      </c>
    </row>
    <row r="113" spans="1:15" x14ac:dyDescent="0.2">
      <c r="A113" s="1274" t="s">
        <v>222</v>
      </c>
      <c r="B113" s="1274" t="s">
        <v>223</v>
      </c>
      <c r="C113" s="1274" t="s">
        <v>264</v>
      </c>
      <c r="D113" s="1280">
        <v>51</v>
      </c>
      <c r="E113" s="1281">
        <v>16</v>
      </c>
      <c r="F113" s="1281">
        <v>33</v>
      </c>
      <c r="G113" s="1282">
        <v>2</v>
      </c>
      <c r="H113" s="1280">
        <v>5776</v>
      </c>
      <c r="I113" s="1281">
        <v>2550</v>
      </c>
      <c r="J113" s="1281">
        <v>3081</v>
      </c>
      <c r="K113" s="1282">
        <v>145</v>
      </c>
      <c r="L113" s="1302">
        <f t="shared" si="19"/>
        <v>8.8296398891966774</v>
      </c>
      <c r="M113" s="1303">
        <f t="shared" si="20"/>
        <v>6.2745098039215685</v>
      </c>
      <c r="N113" s="1303">
        <f t="shared" si="21"/>
        <v>10.710808179162608</v>
      </c>
      <c r="O113" s="1304">
        <f t="shared" si="22"/>
        <v>13.793103448275861</v>
      </c>
    </row>
    <row r="114" spans="1:15" x14ac:dyDescent="0.2">
      <c r="A114" s="1274" t="s">
        <v>224</v>
      </c>
      <c r="B114" s="1274" t="s">
        <v>225</v>
      </c>
      <c r="C114" s="1274" t="s">
        <v>264</v>
      </c>
      <c r="D114" s="1280">
        <v>3</v>
      </c>
      <c r="E114" s="1281">
        <v>2</v>
      </c>
      <c r="F114" s="1281">
        <v>0</v>
      </c>
      <c r="G114" s="1282">
        <v>1</v>
      </c>
      <c r="H114" s="1280">
        <v>379</v>
      </c>
      <c r="I114" s="1281">
        <v>202</v>
      </c>
      <c r="J114" s="1281">
        <v>176</v>
      </c>
      <c r="K114" s="1282">
        <v>1</v>
      </c>
      <c r="L114" s="1302">
        <f t="shared" si="19"/>
        <v>7.9155672823219003</v>
      </c>
      <c r="M114" s="1303">
        <f t="shared" si="20"/>
        <v>9.9009900990099009</v>
      </c>
      <c r="N114" s="1303">
        <f t="shared" si="21"/>
        <v>0</v>
      </c>
      <c r="O114" s="1304">
        <f t="shared" si="22"/>
        <v>1000</v>
      </c>
    </row>
    <row r="115" spans="1:15" x14ac:dyDescent="0.2">
      <c r="A115" s="1274" t="s">
        <v>226</v>
      </c>
      <c r="B115" s="1274" t="s">
        <v>227</v>
      </c>
      <c r="C115" s="1274" t="s">
        <v>264</v>
      </c>
      <c r="D115" s="1280">
        <v>6</v>
      </c>
      <c r="E115" s="1281">
        <v>2</v>
      </c>
      <c r="F115" s="1281">
        <v>3</v>
      </c>
      <c r="G115" s="1282">
        <v>1</v>
      </c>
      <c r="H115" s="1280">
        <v>524</v>
      </c>
      <c r="I115" s="1281">
        <v>206</v>
      </c>
      <c r="J115" s="1281">
        <v>312</v>
      </c>
      <c r="K115" s="1282">
        <v>6</v>
      </c>
      <c r="L115" s="1302">
        <f t="shared" si="19"/>
        <v>11.450381679389313</v>
      </c>
      <c r="M115" s="1303">
        <f t="shared" si="20"/>
        <v>9.7087378640776691</v>
      </c>
      <c r="N115" s="1303">
        <f t="shared" si="21"/>
        <v>9.6153846153846168</v>
      </c>
      <c r="O115" s="1304">
        <f t="shared" si="22"/>
        <v>166.66666666666666</v>
      </c>
    </row>
    <row r="116" spans="1:15" x14ac:dyDescent="0.2">
      <c r="A116" s="1274" t="s">
        <v>228</v>
      </c>
      <c r="B116" s="1274" t="s">
        <v>229</v>
      </c>
      <c r="C116" s="1274" t="s">
        <v>268</v>
      </c>
      <c r="D116" s="1280">
        <v>60</v>
      </c>
      <c r="E116" s="1281">
        <v>58</v>
      </c>
      <c r="F116" s="1281">
        <v>0</v>
      </c>
      <c r="G116" s="1282">
        <v>2</v>
      </c>
      <c r="H116" s="1280">
        <v>2401</v>
      </c>
      <c r="I116" s="1281">
        <v>2285</v>
      </c>
      <c r="J116" s="1281">
        <v>86</v>
      </c>
      <c r="K116" s="1282">
        <v>30</v>
      </c>
      <c r="L116" s="1302">
        <f t="shared" si="19"/>
        <v>24.989587671803417</v>
      </c>
      <c r="M116" s="1303">
        <f t="shared" si="20"/>
        <v>25.38293216630197</v>
      </c>
      <c r="N116" s="1303">
        <f t="shared" si="21"/>
        <v>0</v>
      </c>
      <c r="O116" s="1304">
        <f t="shared" si="22"/>
        <v>66.666666666666671</v>
      </c>
    </row>
    <row r="117" spans="1:15" x14ac:dyDescent="0.2">
      <c r="A117" s="1274" t="s">
        <v>230</v>
      </c>
      <c r="B117" s="1274" t="s">
        <v>231</v>
      </c>
      <c r="C117" s="1274" t="s">
        <v>264</v>
      </c>
      <c r="D117" s="1280">
        <v>207</v>
      </c>
      <c r="E117" s="1281">
        <v>115</v>
      </c>
      <c r="F117" s="1281">
        <v>60</v>
      </c>
      <c r="G117" s="1282">
        <v>32</v>
      </c>
      <c r="H117" s="1280">
        <v>26992</v>
      </c>
      <c r="I117" s="1281">
        <v>17541</v>
      </c>
      <c r="J117" s="1281">
        <v>7192</v>
      </c>
      <c r="K117" s="1282">
        <v>2259</v>
      </c>
      <c r="L117" s="1302">
        <f t="shared" si="19"/>
        <v>7.6689389448725542</v>
      </c>
      <c r="M117" s="1303">
        <f t="shared" si="20"/>
        <v>6.5560686391881875</v>
      </c>
      <c r="N117" s="1303">
        <f t="shared" si="21"/>
        <v>8.3426028921023363</v>
      </c>
      <c r="O117" s="1304">
        <f t="shared" si="22"/>
        <v>14.16555998229305</v>
      </c>
    </row>
    <row r="118" spans="1:15" x14ac:dyDescent="0.2">
      <c r="A118" s="1274" t="s">
        <v>232</v>
      </c>
      <c r="B118" s="1274" t="s">
        <v>233</v>
      </c>
      <c r="C118" s="1274" t="s">
        <v>267</v>
      </c>
      <c r="D118" s="1280">
        <v>47</v>
      </c>
      <c r="E118" s="1281">
        <v>43</v>
      </c>
      <c r="F118" s="1281">
        <v>3</v>
      </c>
      <c r="G118" s="1282">
        <v>1</v>
      </c>
      <c r="H118" s="1280">
        <v>2493</v>
      </c>
      <c r="I118" s="1281">
        <v>2280</v>
      </c>
      <c r="J118" s="1281">
        <v>155</v>
      </c>
      <c r="K118" s="1282">
        <v>58</v>
      </c>
      <c r="L118" s="1302">
        <f t="shared" si="19"/>
        <v>18.852787805856398</v>
      </c>
      <c r="M118" s="1303">
        <f t="shared" si="20"/>
        <v>18.859649122807017</v>
      </c>
      <c r="N118" s="1303">
        <f t="shared" si="21"/>
        <v>19.35483870967742</v>
      </c>
      <c r="O118" s="1304">
        <f t="shared" si="22"/>
        <v>17.241379310344826</v>
      </c>
    </row>
    <row r="119" spans="1:15" x14ac:dyDescent="0.2">
      <c r="A119" s="1274" t="s">
        <v>234</v>
      </c>
      <c r="B119" s="1274" t="s">
        <v>235</v>
      </c>
      <c r="C119" s="1274" t="s">
        <v>268</v>
      </c>
      <c r="D119" s="1280">
        <v>35</v>
      </c>
      <c r="E119" s="1281">
        <v>35</v>
      </c>
      <c r="F119" s="1281">
        <v>0</v>
      </c>
      <c r="G119" s="1282">
        <v>0</v>
      </c>
      <c r="H119" s="1280">
        <v>3039</v>
      </c>
      <c r="I119" s="1281">
        <v>2937</v>
      </c>
      <c r="J119" s="1281">
        <v>63</v>
      </c>
      <c r="K119" s="1282">
        <v>39</v>
      </c>
      <c r="L119" s="1302">
        <f t="shared" si="19"/>
        <v>11.516946363935505</v>
      </c>
      <c r="M119" s="1303">
        <f t="shared" si="20"/>
        <v>11.916922029281581</v>
      </c>
      <c r="N119" s="1303">
        <f t="shared" si="21"/>
        <v>0</v>
      </c>
      <c r="O119" s="1304">
        <f t="shared" si="22"/>
        <v>0</v>
      </c>
    </row>
    <row r="120" spans="1:15" x14ac:dyDescent="0.2">
      <c r="A120" s="1274" t="s">
        <v>236</v>
      </c>
      <c r="B120" s="1274" t="s">
        <v>237</v>
      </c>
      <c r="C120" s="1274" t="s">
        <v>266</v>
      </c>
      <c r="D120" s="1280">
        <v>13</v>
      </c>
      <c r="E120" s="1281">
        <v>8</v>
      </c>
      <c r="F120" s="1281">
        <v>4</v>
      </c>
      <c r="G120" s="1282">
        <v>1</v>
      </c>
      <c r="H120" s="1280">
        <v>887</v>
      </c>
      <c r="I120" s="1281">
        <v>541</v>
      </c>
      <c r="J120" s="1281">
        <v>326</v>
      </c>
      <c r="K120" s="1282">
        <v>20</v>
      </c>
      <c r="L120" s="1302">
        <f t="shared" si="19"/>
        <v>14.656144306651633</v>
      </c>
      <c r="M120" s="1303">
        <f t="shared" si="20"/>
        <v>14.78743068391867</v>
      </c>
      <c r="N120" s="1303">
        <f t="shared" si="21"/>
        <v>12.269938650306749</v>
      </c>
      <c r="O120" s="1304">
        <f t="shared" si="22"/>
        <v>50</v>
      </c>
    </row>
    <row r="121" spans="1:15" x14ac:dyDescent="0.2">
      <c r="A121" s="1274" t="s">
        <v>238</v>
      </c>
      <c r="B121" s="1274" t="s">
        <v>239</v>
      </c>
      <c r="C121" s="1274" t="s">
        <v>264</v>
      </c>
      <c r="D121" s="1280">
        <v>4</v>
      </c>
      <c r="E121" s="1281">
        <v>1</v>
      </c>
      <c r="F121" s="1281">
        <v>1</v>
      </c>
      <c r="G121" s="1282">
        <v>2</v>
      </c>
      <c r="H121" s="1280">
        <v>1561</v>
      </c>
      <c r="I121" s="1281">
        <v>1156</v>
      </c>
      <c r="J121" s="1281">
        <v>207</v>
      </c>
      <c r="K121" s="1282">
        <v>198</v>
      </c>
      <c r="L121" s="1302">
        <f t="shared" si="19"/>
        <v>2.5624599615631003</v>
      </c>
      <c r="M121" s="1303">
        <f t="shared" si="20"/>
        <v>0.86505190311418689</v>
      </c>
      <c r="N121" s="1303">
        <f t="shared" si="21"/>
        <v>4.8309178743961354</v>
      </c>
      <c r="O121" s="1304">
        <f t="shared" si="22"/>
        <v>10.101010101010102</v>
      </c>
    </row>
    <row r="122" spans="1:15" x14ac:dyDescent="0.2">
      <c r="A122" s="1865" t="s">
        <v>240</v>
      </c>
      <c r="B122" s="1865" t="s">
        <v>241</v>
      </c>
      <c r="C122" s="1865" t="s">
        <v>267</v>
      </c>
      <c r="D122" s="1280">
        <v>34</v>
      </c>
      <c r="E122" s="1281">
        <v>27</v>
      </c>
      <c r="F122" s="1281">
        <v>5</v>
      </c>
      <c r="G122" s="1282">
        <v>2</v>
      </c>
      <c r="H122" s="1280">
        <v>1776</v>
      </c>
      <c r="I122" s="1281">
        <v>1404</v>
      </c>
      <c r="J122" s="1281">
        <v>301</v>
      </c>
      <c r="K122" s="1282">
        <v>71</v>
      </c>
      <c r="L122" s="1302">
        <f t="shared" si="19"/>
        <v>19.144144144144143</v>
      </c>
      <c r="M122" s="1303">
        <f t="shared" si="20"/>
        <v>19.230769230769234</v>
      </c>
      <c r="N122" s="1303">
        <f t="shared" si="21"/>
        <v>16.611295681063122</v>
      </c>
      <c r="O122" s="1304">
        <f t="shared" si="22"/>
        <v>28.169014084507044</v>
      </c>
    </row>
    <row r="123" spans="1:15" x14ac:dyDescent="0.2">
      <c r="A123" s="1274" t="s">
        <v>242</v>
      </c>
      <c r="B123" s="1274" t="s">
        <v>243</v>
      </c>
      <c r="C123" s="1274" t="s">
        <v>268</v>
      </c>
      <c r="D123" s="1280">
        <v>59</v>
      </c>
      <c r="E123" s="1281">
        <v>59</v>
      </c>
      <c r="F123" s="1281">
        <v>0</v>
      </c>
      <c r="G123" s="1282">
        <v>0</v>
      </c>
      <c r="H123" s="1280">
        <v>2257</v>
      </c>
      <c r="I123" s="1281">
        <v>2148</v>
      </c>
      <c r="J123" s="1281">
        <v>92</v>
      </c>
      <c r="K123" s="1282">
        <v>17</v>
      </c>
      <c r="L123" s="1302">
        <f t="shared" si="19"/>
        <v>26.140894993354006</v>
      </c>
      <c r="M123" s="1303">
        <f t="shared" si="20"/>
        <v>27.467411545623836</v>
      </c>
      <c r="N123" s="1303">
        <f t="shared" si="21"/>
        <v>0</v>
      </c>
      <c r="O123" s="1304">
        <f t="shared" si="22"/>
        <v>0</v>
      </c>
    </row>
    <row r="124" spans="1:15" x14ac:dyDescent="0.2">
      <c r="A124" s="1274" t="s">
        <v>244</v>
      </c>
      <c r="B124" s="1274" t="s">
        <v>245</v>
      </c>
      <c r="C124" s="1274" t="s">
        <v>268</v>
      </c>
      <c r="D124" s="1280">
        <v>33</v>
      </c>
      <c r="E124" s="1281">
        <v>31</v>
      </c>
      <c r="F124" s="1281">
        <v>1</v>
      </c>
      <c r="G124" s="1282">
        <v>1</v>
      </c>
      <c r="H124" s="1280">
        <v>1549</v>
      </c>
      <c r="I124" s="1281">
        <v>1458</v>
      </c>
      <c r="J124" s="1281">
        <v>75</v>
      </c>
      <c r="K124" s="1282">
        <v>16</v>
      </c>
      <c r="L124" s="1302">
        <f t="shared" si="19"/>
        <v>21.304067140090378</v>
      </c>
      <c r="M124" s="1303">
        <f t="shared" si="20"/>
        <v>21.262002743484224</v>
      </c>
      <c r="N124" s="1303">
        <f t="shared" si="21"/>
        <v>13.333333333333334</v>
      </c>
      <c r="O124" s="1304">
        <f t="shared" si="22"/>
        <v>62.5</v>
      </c>
    </row>
    <row r="125" spans="1:15" x14ac:dyDescent="0.2">
      <c r="A125" s="1290" t="s">
        <v>246</v>
      </c>
      <c r="B125" s="1290" t="s">
        <v>247</v>
      </c>
      <c r="C125" s="1290" t="s">
        <v>264</v>
      </c>
      <c r="D125" s="1291">
        <v>21</v>
      </c>
      <c r="E125" s="1292">
        <v>18</v>
      </c>
      <c r="F125" s="1292">
        <v>2</v>
      </c>
      <c r="G125" s="1293">
        <v>1</v>
      </c>
      <c r="H125" s="1291">
        <v>5620</v>
      </c>
      <c r="I125" s="1294">
        <v>4493</v>
      </c>
      <c r="J125" s="1294">
        <v>703</v>
      </c>
      <c r="K125" s="1293">
        <v>424</v>
      </c>
      <c r="L125" s="1305">
        <f t="shared" si="19"/>
        <v>3.7366548042704624</v>
      </c>
      <c r="M125" s="1306">
        <f t="shared" si="20"/>
        <v>4.0062319163142668</v>
      </c>
      <c r="N125" s="1306">
        <f t="shared" si="21"/>
        <v>2.8449502133712663</v>
      </c>
      <c r="O125" s="1307">
        <f t="shared" si="22"/>
        <v>2.3584905660377355</v>
      </c>
    </row>
    <row r="127" spans="1:15" x14ac:dyDescent="0.2">
      <c r="A127" s="1274" t="s">
        <v>266</v>
      </c>
      <c r="D127" s="1295">
        <v>855</v>
      </c>
      <c r="E127" s="1281">
        <v>337</v>
      </c>
      <c r="F127" s="1281">
        <v>454</v>
      </c>
      <c r="G127" s="1282">
        <v>64</v>
      </c>
      <c r="H127" s="1982">
        <v>85496</v>
      </c>
      <c r="I127" s="1281">
        <v>51339</v>
      </c>
      <c r="J127" s="1281">
        <v>30138</v>
      </c>
      <c r="K127" s="1282">
        <v>4019</v>
      </c>
      <c r="L127" s="1296">
        <f t="shared" ref="L127:L131" si="23">IF(H127=0,"NA",(D127/H127)*1000)</f>
        <v>10.000467858145409</v>
      </c>
      <c r="M127" s="1297">
        <f t="shared" ref="M127:M131" si="24">IF(I127=0,"NA",(E127/I127)*1000)</f>
        <v>6.5642104443016036</v>
      </c>
      <c r="N127" s="1297">
        <f t="shared" ref="N127:N131" si="25">IF(J127=0,"NA",(F127/J127)*1000)</f>
        <v>15.064038755060055</v>
      </c>
      <c r="O127" s="1298">
        <f t="shared" ref="O127:O131" si="26">IF(K127=0,"NA",(G127/K127)*1000)</f>
        <v>15.924359293356558</v>
      </c>
    </row>
    <row r="128" spans="1:15" x14ac:dyDescent="0.2">
      <c r="A128" s="1274" t="s">
        <v>264</v>
      </c>
      <c r="D128" s="1280">
        <v>1210</v>
      </c>
      <c r="E128" s="1281">
        <v>457</v>
      </c>
      <c r="F128" s="1281">
        <v>619</v>
      </c>
      <c r="G128" s="1282">
        <v>134</v>
      </c>
      <c r="H128" s="1982">
        <v>114209</v>
      </c>
      <c r="I128" s="1281">
        <v>62785</v>
      </c>
      <c r="J128" s="1281">
        <v>45772</v>
      </c>
      <c r="K128" s="1282">
        <v>5652</v>
      </c>
      <c r="L128" s="1296">
        <f t="shared" si="23"/>
        <v>10.59461163305869</v>
      </c>
      <c r="M128" s="1297">
        <f t="shared" si="24"/>
        <v>7.2788086326351831</v>
      </c>
      <c r="N128" s="1297">
        <f t="shared" si="25"/>
        <v>13.523551516210784</v>
      </c>
      <c r="O128" s="1298">
        <f t="shared" si="26"/>
        <v>23.708421797593772</v>
      </c>
    </row>
    <row r="129" spans="1:15" x14ac:dyDescent="0.2">
      <c r="A129" s="1274" t="s">
        <v>267</v>
      </c>
      <c r="D129" s="1280">
        <v>1437</v>
      </c>
      <c r="E129" s="1281">
        <v>748</v>
      </c>
      <c r="F129" s="1281">
        <v>215</v>
      </c>
      <c r="G129" s="1282">
        <v>474</v>
      </c>
      <c r="H129" s="1982">
        <v>213922</v>
      </c>
      <c r="I129" s="1281">
        <v>154821</v>
      </c>
      <c r="J129" s="1281">
        <v>31559</v>
      </c>
      <c r="K129" s="1282">
        <v>27542</v>
      </c>
      <c r="L129" s="1296">
        <f t="shared" si="23"/>
        <v>6.7174016697674848</v>
      </c>
      <c r="M129" s="1297">
        <f t="shared" si="24"/>
        <v>4.8313859230982876</v>
      </c>
      <c r="N129" s="1297">
        <f t="shared" si="25"/>
        <v>6.8126366488165022</v>
      </c>
      <c r="O129" s="1298">
        <f t="shared" si="26"/>
        <v>17.210079151840823</v>
      </c>
    </row>
    <row r="130" spans="1:15" x14ac:dyDescent="0.2">
      <c r="A130" s="1274" t="s">
        <v>265</v>
      </c>
      <c r="D130" s="1280">
        <v>845</v>
      </c>
      <c r="E130" s="1281">
        <v>549</v>
      </c>
      <c r="F130" s="1281">
        <v>260</v>
      </c>
      <c r="G130" s="1282">
        <v>36</v>
      </c>
      <c r="H130" s="1982">
        <v>71505</v>
      </c>
      <c r="I130" s="1281">
        <v>54199</v>
      </c>
      <c r="J130" s="1281">
        <v>14920</v>
      </c>
      <c r="K130" s="1282">
        <v>2386</v>
      </c>
      <c r="L130" s="1296">
        <f t="shared" si="23"/>
        <v>11.817355429690231</v>
      </c>
      <c r="M130" s="1297">
        <f t="shared" si="24"/>
        <v>10.129338179671212</v>
      </c>
      <c r="N130" s="1297">
        <f t="shared" si="25"/>
        <v>17.426273458445042</v>
      </c>
      <c r="O130" s="1298">
        <f t="shared" si="26"/>
        <v>15.088013411567477</v>
      </c>
    </row>
    <row r="131" spans="1:15" x14ac:dyDescent="0.2">
      <c r="A131" s="1274" t="s">
        <v>268</v>
      </c>
      <c r="D131" s="1280">
        <v>543</v>
      </c>
      <c r="E131" s="1281">
        <v>516</v>
      </c>
      <c r="F131" s="1281">
        <v>9</v>
      </c>
      <c r="G131" s="1282">
        <v>18</v>
      </c>
      <c r="H131" s="1982">
        <v>34765</v>
      </c>
      <c r="I131" s="1281">
        <v>32475</v>
      </c>
      <c r="J131" s="1281">
        <v>1523</v>
      </c>
      <c r="K131" s="1282">
        <v>767</v>
      </c>
      <c r="L131" s="1296">
        <f t="shared" si="23"/>
        <v>15.619157198331655</v>
      </c>
      <c r="M131" s="1297">
        <f t="shared" si="24"/>
        <v>15.889145496535795</v>
      </c>
      <c r="N131" s="1297">
        <f t="shared" si="25"/>
        <v>5.9093893630991463</v>
      </c>
      <c r="O131" s="1298">
        <f t="shared" si="26"/>
        <v>23.468057366362451</v>
      </c>
    </row>
    <row r="133" spans="1:15" x14ac:dyDescent="0.2">
      <c r="B133" s="1274" t="s">
        <v>892</v>
      </c>
    </row>
    <row r="135" spans="1:15" x14ac:dyDescent="0.2">
      <c r="B135" s="1274" t="s">
        <v>890</v>
      </c>
    </row>
    <row r="136" spans="1:15" x14ac:dyDescent="0.2">
      <c r="B136" s="1274" t="s">
        <v>249</v>
      </c>
      <c r="D136" s="1283" t="s">
        <v>891</v>
      </c>
    </row>
  </sheetData>
  <autoFilter ref="A4:C125"/>
  <sortState ref="A6:O125">
    <sortCondition ref="B6:B125"/>
  </sortState>
  <mergeCells count="3">
    <mergeCell ref="D3:G3"/>
    <mergeCell ref="H3:K3"/>
    <mergeCell ref="L3:O3"/>
  </mergeCells>
  <hyperlinks>
    <hyperlink ref="D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135"/>
  <sheetViews>
    <sheetView workbookViewId="0">
      <pane xSplit="3" ySplit="5" topLeftCell="AK103" activePane="bottomRight" state="frozen"/>
      <selection pane="topRight" activeCell="D1" sqref="D1"/>
      <selection pane="bottomLeft" activeCell="A6" sqref="A6"/>
      <selection pane="bottomRight" activeCell="AY131" sqref="AY131"/>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0" width="8.25" style="134" customWidth="1"/>
    <col min="21" max="21" width="3.5" style="134" customWidth="1"/>
    <col min="22" max="38" width="9" style="134"/>
    <col min="39" max="39" width="5.25" style="134" customWidth="1"/>
    <col min="40" max="16384" width="9" style="134"/>
  </cols>
  <sheetData>
    <row r="1" spans="1:56" x14ac:dyDescent="0.25">
      <c r="A1" s="313" t="s">
        <v>1285</v>
      </c>
      <c r="B1" s="313"/>
      <c r="C1" s="313"/>
      <c r="D1" s="313"/>
      <c r="E1" s="313"/>
      <c r="F1" s="313"/>
      <c r="G1" s="313"/>
      <c r="H1" s="313"/>
      <c r="I1" s="314"/>
      <c r="J1" s="314"/>
      <c r="K1" s="314"/>
      <c r="L1" s="314"/>
      <c r="M1" s="314"/>
      <c r="N1" s="314"/>
      <c r="O1" s="314"/>
    </row>
    <row r="2" spans="1:56" x14ac:dyDescent="0.25">
      <c r="A2" s="96"/>
      <c r="B2" s="136"/>
      <c r="C2" s="136"/>
      <c r="D2" s="136"/>
      <c r="E2" s="2265"/>
      <c r="F2" s="2265"/>
      <c r="G2" s="2265"/>
    </row>
    <row r="3" spans="1:56" ht="15.75" customHeight="1" x14ac:dyDescent="0.25">
      <c r="A3" s="96"/>
      <c r="B3" s="136"/>
      <c r="C3" s="136"/>
      <c r="D3" s="2266" t="s">
        <v>632</v>
      </c>
      <c r="E3" s="2266"/>
      <c r="F3" s="2266"/>
      <c r="G3" s="2266"/>
      <c r="H3" s="2266"/>
      <c r="I3" s="2266"/>
      <c r="J3" s="2266"/>
      <c r="K3" s="2266"/>
      <c r="L3" s="2266"/>
      <c r="M3" s="2266"/>
      <c r="N3" s="2266"/>
      <c r="O3" s="2266"/>
      <c r="P3" s="2266"/>
      <c r="Q3" s="2266"/>
      <c r="R3" s="2266"/>
      <c r="S3" s="2266"/>
      <c r="T3" s="2266"/>
      <c r="U3" s="1836"/>
      <c r="V3" s="2267" t="s">
        <v>884</v>
      </c>
      <c r="W3" s="2267"/>
      <c r="X3" s="2267"/>
      <c r="Y3" s="2267"/>
      <c r="Z3" s="2267"/>
      <c r="AA3" s="2267"/>
      <c r="AB3" s="2267"/>
      <c r="AC3" s="2267"/>
      <c r="AD3" s="2267"/>
      <c r="AE3" s="2267"/>
      <c r="AF3" s="2267"/>
      <c r="AG3" s="2267"/>
      <c r="AH3" s="2267"/>
      <c r="AI3" s="2267"/>
      <c r="AJ3" s="2267"/>
      <c r="AK3" s="2267"/>
      <c r="AL3" s="2267"/>
      <c r="AM3" s="1837"/>
      <c r="AN3" s="2268" t="s">
        <v>885</v>
      </c>
      <c r="AO3" s="2268"/>
      <c r="AP3" s="2268"/>
      <c r="AQ3" s="2268"/>
      <c r="AR3" s="2268"/>
      <c r="AS3" s="2268"/>
      <c r="AT3" s="2268"/>
      <c r="AU3" s="2268"/>
      <c r="AV3" s="2268"/>
      <c r="AW3" s="2268"/>
      <c r="AX3" s="2268"/>
      <c r="AY3" s="2268"/>
      <c r="AZ3" s="2268"/>
      <c r="BA3" s="2268"/>
      <c r="BB3" s="2268"/>
      <c r="BC3" s="2268"/>
      <c r="BD3" s="2268"/>
    </row>
    <row r="4" spans="1:56" s="142" customFormat="1" ht="15" customHeight="1" x14ac:dyDescent="0.2">
      <c r="A4" s="1229" t="s">
        <v>4</v>
      </c>
      <c r="B4" s="1228" t="s">
        <v>5</v>
      </c>
      <c r="C4" s="1228" t="s">
        <v>251</v>
      </c>
      <c r="D4" s="1239">
        <v>1998</v>
      </c>
      <c r="E4" s="1240">
        <v>1999</v>
      </c>
      <c r="F4" s="1240">
        <v>2000</v>
      </c>
      <c r="G4" s="1240">
        <v>2001</v>
      </c>
      <c r="H4" s="1240">
        <v>2002</v>
      </c>
      <c r="I4" s="1240">
        <v>2003</v>
      </c>
      <c r="J4" s="1240">
        <v>2004</v>
      </c>
      <c r="K4" s="1240">
        <v>2005</v>
      </c>
      <c r="L4" s="1240">
        <v>2006</v>
      </c>
      <c r="M4" s="1240">
        <v>2007</v>
      </c>
      <c r="N4" s="1240">
        <v>2008</v>
      </c>
      <c r="O4" s="1241">
        <v>2009</v>
      </c>
      <c r="P4" s="1242">
        <v>2010</v>
      </c>
      <c r="Q4" s="1242">
        <v>2011</v>
      </c>
      <c r="R4" s="1503">
        <v>2012</v>
      </c>
      <c r="S4" s="1243">
        <v>2013</v>
      </c>
      <c r="T4" s="1856">
        <v>2014</v>
      </c>
      <c r="U4" s="1856"/>
      <c r="V4" s="1249">
        <v>1998</v>
      </c>
      <c r="W4" s="1242">
        <v>1999</v>
      </c>
      <c r="X4" s="1242">
        <v>2000</v>
      </c>
      <c r="Y4" s="1242">
        <v>2001</v>
      </c>
      <c r="Z4" s="1242">
        <v>2002</v>
      </c>
      <c r="AA4" s="1242">
        <v>2003</v>
      </c>
      <c r="AB4" s="1242">
        <v>2004</v>
      </c>
      <c r="AC4" s="1242">
        <v>2005</v>
      </c>
      <c r="AD4" s="1242">
        <v>2006</v>
      </c>
      <c r="AE4" s="1242">
        <v>2007</v>
      </c>
      <c r="AF4" s="1242">
        <v>2008</v>
      </c>
      <c r="AG4" s="1242">
        <v>2009</v>
      </c>
      <c r="AH4" s="1242">
        <v>2010</v>
      </c>
      <c r="AI4" s="1242">
        <v>2011</v>
      </c>
      <c r="AJ4" s="1503">
        <v>2012</v>
      </c>
      <c r="AK4" s="1243">
        <v>2013</v>
      </c>
      <c r="AL4" s="1856">
        <v>2014</v>
      </c>
      <c r="AM4" s="1856"/>
      <c r="AN4" s="1249">
        <v>1998</v>
      </c>
      <c r="AO4" s="1242">
        <v>1999</v>
      </c>
      <c r="AP4" s="1242">
        <v>2000</v>
      </c>
      <c r="AQ4" s="1242">
        <v>2001</v>
      </c>
      <c r="AR4" s="1242">
        <v>2002</v>
      </c>
      <c r="AS4" s="1242">
        <v>2003</v>
      </c>
      <c r="AT4" s="1242">
        <v>2004</v>
      </c>
      <c r="AU4" s="1242">
        <v>2005</v>
      </c>
      <c r="AV4" s="1242">
        <v>2006</v>
      </c>
      <c r="AW4" s="1242">
        <v>2007</v>
      </c>
      <c r="AX4" s="1242">
        <v>2008</v>
      </c>
      <c r="AY4" s="1242">
        <v>2009</v>
      </c>
      <c r="AZ4" s="1242">
        <v>2010</v>
      </c>
      <c r="BA4" s="1242">
        <v>2011</v>
      </c>
      <c r="BB4" s="1503">
        <v>2012</v>
      </c>
      <c r="BC4" s="1243">
        <v>2013</v>
      </c>
      <c r="BD4" s="1863">
        <v>2014</v>
      </c>
    </row>
    <row r="5" spans="1:56" s="142" customFormat="1" ht="15.75" customHeight="1" x14ac:dyDescent="0.2">
      <c r="A5" s="146" t="s">
        <v>8</v>
      </c>
      <c r="B5" s="147" t="s">
        <v>9</v>
      </c>
      <c r="C5" s="148"/>
      <c r="D5" s="1231">
        <v>94114</v>
      </c>
      <c r="E5" s="1232">
        <v>95207</v>
      </c>
      <c r="F5" s="1232">
        <v>98864</v>
      </c>
      <c r="G5" s="1232">
        <v>98531</v>
      </c>
      <c r="H5" s="1232">
        <v>99235</v>
      </c>
      <c r="I5" s="1232">
        <v>100561</v>
      </c>
      <c r="J5" s="1232">
        <v>103830</v>
      </c>
      <c r="K5" s="1232">
        <v>104488</v>
      </c>
      <c r="L5" s="1233">
        <v>106474</v>
      </c>
      <c r="M5" s="1233">
        <v>108417</v>
      </c>
      <c r="N5" s="1233">
        <v>106578</v>
      </c>
      <c r="O5" s="1233">
        <v>104979</v>
      </c>
      <c r="P5" s="1234">
        <v>102934</v>
      </c>
      <c r="Q5" s="1234">
        <v>102525</v>
      </c>
      <c r="R5" s="1509">
        <v>102811</v>
      </c>
      <c r="S5" s="1235">
        <f>'Non-marital births'!D6</f>
        <v>102795</v>
      </c>
      <c r="T5" s="1857">
        <v>102795</v>
      </c>
      <c r="U5" s="1857"/>
      <c r="V5" s="1246">
        <v>28057</v>
      </c>
      <c r="W5" s="1247">
        <v>28305</v>
      </c>
      <c r="X5" s="1247">
        <v>29635</v>
      </c>
      <c r="Y5" s="1247">
        <v>29922</v>
      </c>
      <c r="Z5" s="1247">
        <v>30223</v>
      </c>
      <c r="AA5" s="1247">
        <v>30769</v>
      </c>
      <c r="AB5" s="1247">
        <v>32190</v>
      </c>
      <c r="AC5" s="1247">
        <v>33681</v>
      </c>
      <c r="AD5" s="1247">
        <v>36290</v>
      </c>
      <c r="AE5" s="1247">
        <v>38281</v>
      </c>
      <c r="AF5" s="1247">
        <v>38201</v>
      </c>
      <c r="AG5" s="1247">
        <v>37608</v>
      </c>
      <c r="AH5" s="1247">
        <v>36532</v>
      </c>
      <c r="AI5" s="1247">
        <v>36390</v>
      </c>
      <c r="AJ5" s="1512">
        <v>36271</v>
      </c>
      <c r="AK5" s="1248">
        <f>'Non-marital births'!H6</f>
        <v>34955</v>
      </c>
      <c r="AL5" s="1860">
        <v>34955</v>
      </c>
      <c r="AM5" s="1860"/>
      <c r="AN5" s="1254">
        <f t="shared" ref="AN5:AN36" si="0">V5/D5</f>
        <v>0.2981171770406103</v>
      </c>
      <c r="AO5" s="1255">
        <f t="shared" ref="AO5:BB5" si="1">W5/E5</f>
        <v>0.29729956830905291</v>
      </c>
      <c r="AP5" s="1255">
        <f t="shared" si="1"/>
        <v>0.29975521929114746</v>
      </c>
      <c r="AQ5" s="1255">
        <f t="shared" si="1"/>
        <v>0.303681074991627</v>
      </c>
      <c r="AR5" s="1255">
        <f t="shared" si="1"/>
        <v>0.30455988310575904</v>
      </c>
      <c r="AS5" s="1255">
        <f t="shared" si="1"/>
        <v>0.3059734887282346</v>
      </c>
      <c r="AT5" s="1255">
        <f t="shared" si="1"/>
        <v>0.31002600404507369</v>
      </c>
      <c r="AU5" s="1255">
        <f t="shared" si="1"/>
        <v>0.32234323558686168</v>
      </c>
      <c r="AV5" s="1255">
        <f t="shared" si="1"/>
        <v>0.34083438210267297</v>
      </c>
      <c r="AW5" s="1255">
        <f t="shared" si="1"/>
        <v>0.35309038250458874</v>
      </c>
      <c r="AX5" s="1255">
        <f t="shared" si="1"/>
        <v>0.35843232186755242</v>
      </c>
      <c r="AY5" s="1255">
        <f t="shared" si="1"/>
        <v>0.35824307718686593</v>
      </c>
      <c r="AZ5" s="1255">
        <f t="shared" si="1"/>
        <v>0.35490702780422406</v>
      </c>
      <c r="BA5" s="1255">
        <f t="shared" si="1"/>
        <v>0.35493782004389174</v>
      </c>
      <c r="BB5" s="1504">
        <f t="shared" si="1"/>
        <v>0.35279298907704426</v>
      </c>
      <c r="BC5" s="1256">
        <f>'Non-marital births'!L6</f>
        <v>0.340045722068194</v>
      </c>
      <c r="BD5" s="1864">
        <v>0.340045722068194</v>
      </c>
    </row>
    <row r="6" spans="1:56" s="142" customFormat="1" ht="15.75" customHeight="1" x14ac:dyDescent="0.2">
      <c r="A6" s="149" t="s">
        <v>10</v>
      </c>
      <c r="B6" s="188" t="s">
        <v>11</v>
      </c>
      <c r="C6" s="150" t="s">
        <v>264</v>
      </c>
      <c r="D6" s="1221">
        <v>419</v>
      </c>
      <c r="E6" s="1222">
        <v>427</v>
      </c>
      <c r="F6" s="1223">
        <v>465</v>
      </c>
      <c r="G6" s="1222">
        <v>445</v>
      </c>
      <c r="H6" s="1223">
        <v>477</v>
      </c>
      <c r="I6" s="1222">
        <v>456</v>
      </c>
      <c r="J6" s="1223">
        <v>485</v>
      </c>
      <c r="K6" s="1222">
        <v>471</v>
      </c>
      <c r="L6" s="1236">
        <v>454</v>
      </c>
      <c r="M6" s="1236">
        <v>508</v>
      </c>
      <c r="N6" s="1236">
        <v>474</v>
      </c>
      <c r="O6" s="1236">
        <v>428</v>
      </c>
      <c r="P6" s="1237">
        <v>433</v>
      </c>
      <c r="Q6" s="1237">
        <v>478</v>
      </c>
      <c r="R6" s="1510">
        <v>396</v>
      </c>
      <c r="S6" s="1511">
        <f>'Non-marital births'!D7</f>
        <v>376</v>
      </c>
      <c r="T6" s="1858">
        <v>376</v>
      </c>
      <c r="U6" s="1858"/>
      <c r="V6" s="1244">
        <v>222</v>
      </c>
      <c r="W6" s="1245">
        <v>221</v>
      </c>
      <c r="X6" s="1245">
        <v>230</v>
      </c>
      <c r="Y6" s="1245">
        <v>218</v>
      </c>
      <c r="Z6" s="1245">
        <v>261</v>
      </c>
      <c r="AA6" s="1245">
        <v>261</v>
      </c>
      <c r="AB6" s="1245">
        <v>269</v>
      </c>
      <c r="AC6" s="1245">
        <v>278</v>
      </c>
      <c r="AD6" s="1245">
        <v>298</v>
      </c>
      <c r="AE6" s="1245">
        <v>316</v>
      </c>
      <c r="AF6" s="1245">
        <v>293</v>
      </c>
      <c r="AG6" s="1245">
        <v>267</v>
      </c>
      <c r="AH6" s="1245">
        <v>255</v>
      </c>
      <c r="AI6" s="1245">
        <v>276</v>
      </c>
      <c r="AJ6" s="1513">
        <v>222</v>
      </c>
      <c r="AK6" s="1514">
        <f>'Non-marital births'!H7</f>
        <v>209</v>
      </c>
      <c r="AL6" s="1859">
        <v>209</v>
      </c>
      <c r="AM6" s="1859"/>
      <c r="AN6" s="1250">
        <f t="shared" si="0"/>
        <v>0.5298329355608592</v>
      </c>
      <c r="AO6" s="1251">
        <f t="shared" ref="AO6:AO37" si="2">W6/E6</f>
        <v>0.51756440281030447</v>
      </c>
      <c r="AP6" s="1251">
        <f t="shared" ref="AP6:AP37" si="3">X6/F6</f>
        <v>0.4946236559139785</v>
      </c>
      <c r="AQ6" s="1251">
        <f t="shared" ref="AQ6:AQ37" si="4">Y6/G6</f>
        <v>0.48988764044943822</v>
      </c>
      <c r="AR6" s="1251">
        <f t="shared" ref="AR6:AR37" si="5">Z6/H6</f>
        <v>0.54716981132075471</v>
      </c>
      <c r="AS6" s="1251">
        <f t="shared" ref="AS6:AS37" si="6">AA6/I6</f>
        <v>0.57236842105263153</v>
      </c>
      <c r="AT6" s="1251">
        <f t="shared" ref="AT6:AT37" si="7">AB6/J6</f>
        <v>0.55463917525773199</v>
      </c>
      <c r="AU6" s="1251">
        <f t="shared" ref="AU6:AU37" si="8">AC6/K6</f>
        <v>0.59023354564755837</v>
      </c>
      <c r="AV6" s="1251">
        <f t="shared" ref="AV6:AV37" si="9">AD6/L6</f>
        <v>0.65638766519823788</v>
      </c>
      <c r="AW6" s="1251">
        <f t="shared" ref="AW6:AW37" si="10">AE6/M6</f>
        <v>0.62204724409448819</v>
      </c>
      <c r="AX6" s="1251">
        <f t="shared" ref="AX6:AX37" si="11">AF6/N6</f>
        <v>0.61814345991561181</v>
      </c>
      <c r="AY6" s="1251">
        <f t="shared" ref="AY6:AY37" si="12">AG6/O6</f>
        <v>0.62383177570093462</v>
      </c>
      <c r="AZ6" s="1251">
        <f t="shared" ref="AZ6:AZ37" si="13">AH6/P6</f>
        <v>0.5889145496535797</v>
      </c>
      <c r="BA6" s="1251">
        <f t="shared" ref="BA6:BA37" si="14">AI6/Q6</f>
        <v>0.57740585774058573</v>
      </c>
      <c r="BB6" s="1505">
        <f t="shared" ref="BB6:BB37" si="15">AJ6/R6</f>
        <v>0.56060606060606055</v>
      </c>
      <c r="BC6" s="1507">
        <f>'Non-marital births'!L7</f>
        <v>0.55585106382978722</v>
      </c>
      <c r="BD6" s="1861">
        <v>0.55585106382978722</v>
      </c>
    </row>
    <row r="7" spans="1:56" s="142" customFormat="1" ht="15.75" customHeight="1" x14ac:dyDescent="0.2">
      <c r="A7" s="149" t="s">
        <v>12</v>
      </c>
      <c r="B7" s="189" t="s">
        <v>13</v>
      </c>
      <c r="C7" s="150" t="s">
        <v>265</v>
      </c>
      <c r="D7" s="1221">
        <v>943</v>
      </c>
      <c r="E7" s="1222">
        <v>1022</v>
      </c>
      <c r="F7" s="1223">
        <v>1054</v>
      </c>
      <c r="G7" s="1222">
        <v>968</v>
      </c>
      <c r="H7" s="1223">
        <v>973</v>
      </c>
      <c r="I7" s="1222">
        <v>1018</v>
      </c>
      <c r="J7" s="1223">
        <v>960</v>
      </c>
      <c r="K7" s="1222">
        <v>1056</v>
      </c>
      <c r="L7" s="1236">
        <v>1088</v>
      </c>
      <c r="M7" s="1236">
        <v>1132</v>
      </c>
      <c r="N7" s="1236">
        <v>1129</v>
      </c>
      <c r="O7" s="1236">
        <v>1082</v>
      </c>
      <c r="P7" s="1237">
        <v>1094</v>
      </c>
      <c r="Q7" s="1237">
        <v>1059</v>
      </c>
      <c r="R7" s="1510">
        <v>1053</v>
      </c>
      <c r="S7" s="1511">
        <f>'Non-marital births'!D8</f>
        <v>1032</v>
      </c>
      <c r="T7" s="1858">
        <v>1032</v>
      </c>
      <c r="U7" s="1858"/>
      <c r="V7" s="1244">
        <v>197</v>
      </c>
      <c r="W7" s="1245">
        <v>223</v>
      </c>
      <c r="X7" s="1245">
        <v>249</v>
      </c>
      <c r="Y7" s="1245">
        <v>254</v>
      </c>
      <c r="Z7" s="1245">
        <v>231</v>
      </c>
      <c r="AA7" s="1245">
        <v>212</v>
      </c>
      <c r="AB7" s="1245">
        <v>225</v>
      </c>
      <c r="AC7" s="1245">
        <v>280</v>
      </c>
      <c r="AD7" s="1245">
        <v>289</v>
      </c>
      <c r="AE7" s="1245">
        <v>315</v>
      </c>
      <c r="AF7" s="1245">
        <v>364</v>
      </c>
      <c r="AG7" s="1245">
        <v>289</v>
      </c>
      <c r="AH7" s="1245">
        <v>314</v>
      </c>
      <c r="AI7" s="1245">
        <v>295</v>
      </c>
      <c r="AJ7" s="1513">
        <v>271</v>
      </c>
      <c r="AK7" s="1514">
        <f>'Non-marital births'!H8</f>
        <v>259</v>
      </c>
      <c r="AL7" s="1859">
        <v>259</v>
      </c>
      <c r="AM7" s="1859"/>
      <c r="AN7" s="1250">
        <f t="shared" si="0"/>
        <v>0.20890774125132555</v>
      </c>
      <c r="AO7" s="1251">
        <f t="shared" si="2"/>
        <v>0.2181996086105675</v>
      </c>
      <c r="AP7" s="1251">
        <f t="shared" si="3"/>
        <v>0.23624288425047438</v>
      </c>
      <c r="AQ7" s="1251">
        <f t="shared" si="4"/>
        <v>0.26239669421487605</v>
      </c>
      <c r="AR7" s="1251">
        <f t="shared" si="5"/>
        <v>0.23741007194244604</v>
      </c>
      <c r="AS7" s="1251">
        <f t="shared" si="6"/>
        <v>0.20825147347740669</v>
      </c>
      <c r="AT7" s="1251">
        <f t="shared" si="7"/>
        <v>0.234375</v>
      </c>
      <c r="AU7" s="1251">
        <f t="shared" si="8"/>
        <v>0.26515151515151514</v>
      </c>
      <c r="AV7" s="1251">
        <f t="shared" si="9"/>
        <v>0.265625</v>
      </c>
      <c r="AW7" s="1251">
        <f t="shared" si="10"/>
        <v>0.2782685512367491</v>
      </c>
      <c r="AX7" s="1251">
        <f t="shared" si="11"/>
        <v>0.32240921169176262</v>
      </c>
      <c r="AY7" s="1251">
        <f t="shared" si="12"/>
        <v>0.26709796672828096</v>
      </c>
      <c r="AZ7" s="1251">
        <f t="shared" si="13"/>
        <v>0.28702010968921388</v>
      </c>
      <c r="BA7" s="1251">
        <f t="shared" si="14"/>
        <v>0.2785646836638338</v>
      </c>
      <c r="BB7" s="1505">
        <f t="shared" si="15"/>
        <v>0.25735992402659069</v>
      </c>
      <c r="BC7" s="1507">
        <f>'Non-marital births'!L8</f>
        <v>0.25096899224806202</v>
      </c>
      <c r="BD7" s="1861">
        <v>0.25096899224806202</v>
      </c>
    </row>
    <row r="8" spans="1:56" s="142" customFormat="1" ht="15.75" customHeight="1" x14ac:dyDescent="0.2">
      <c r="A8" s="149" t="s">
        <v>16</v>
      </c>
      <c r="B8" s="189" t="s">
        <v>297</v>
      </c>
      <c r="C8" s="150" t="s">
        <v>265</v>
      </c>
      <c r="D8" s="1221">
        <v>284</v>
      </c>
      <c r="E8" s="1222">
        <v>248</v>
      </c>
      <c r="F8" s="1223">
        <v>279</v>
      </c>
      <c r="G8" s="1222">
        <v>273</v>
      </c>
      <c r="H8" s="1223">
        <v>216</v>
      </c>
      <c r="I8" s="1222">
        <v>234</v>
      </c>
      <c r="J8" s="1223">
        <v>239</v>
      </c>
      <c r="K8" s="1222">
        <v>231</v>
      </c>
      <c r="L8" s="1236">
        <v>222</v>
      </c>
      <c r="M8" s="1236">
        <v>218</v>
      </c>
      <c r="N8" s="1236">
        <v>233</v>
      </c>
      <c r="O8" s="1236">
        <v>213</v>
      </c>
      <c r="P8" s="1237">
        <v>224</v>
      </c>
      <c r="Q8" s="1237">
        <v>221</v>
      </c>
      <c r="R8" s="1510">
        <v>210</v>
      </c>
      <c r="S8" s="1511">
        <f>'Non-marital births'!D9</f>
        <v>196</v>
      </c>
      <c r="T8" s="1858">
        <v>196</v>
      </c>
      <c r="U8" s="1858"/>
      <c r="V8" s="1244">
        <v>102</v>
      </c>
      <c r="W8" s="1245">
        <v>85</v>
      </c>
      <c r="X8" s="1245">
        <v>96</v>
      </c>
      <c r="Y8" s="1245">
        <v>91</v>
      </c>
      <c r="Z8" s="1245">
        <v>82</v>
      </c>
      <c r="AA8" s="1245">
        <v>89</v>
      </c>
      <c r="AB8" s="1245">
        <v>86</v>
      </c>
      <c r="AC8" s="1245">
        <v>93</v>
      </c>
      <c r="AD8" s="1245">
        <v>90</v>
      </c>
      <c r="AE8" s="1245">
        <v>91</v>
      </c>
      <c r="AF8" s="1245">
        <v>108</v>
      </c>
      <c r="AG8" s="1245">
        <v>96</v>
      </c>
      <c r="AH8" s="1245">
        <v>108</v>
      </c>
      <c r="AI8" s="1245">
        <v>107</v>
      </c>
      <c r="AJ8" s="1513">
        <v>88</v>
      </c>
      <c r="AK8" s="1514">
        <f>'Non-marital births'!H9</f>
        <v>95</v>
      </c>
      <c r="AL8" s="1859">
        <v>95</v>
      </c>
      <c r="AM8" s="1859"/>
      <c r="AN8" s="1252">
        <f t="shared" si="0"/>
        <v>0.35915492957746481</v>
      </c>
      <c r="AO8" s="1253">
        <f t="shared" si="2"/>
        <v>0.34274193548387094</v>
      </c>
      <c r="AP8" s="1253">
        <f t="shared" si="3"/>
        <v>0.34408602150537637</v>
      </c>
      <c r="AQ8" s="1253">
        <f t="shared" si="4"/>
        <v>0.33333333333333331</v>
      </c>
      <c r="AR8" s="1253">
        <f t="shared" si="5"/>
        <v>0.37962962962962965</v>
      </c>
      <c r="AS8" s="1253">
        <f t="shared" si="6"/>
        <v>0.38034188034188032</v>
      </c>
      <c r="AT8" s="1253">
        <f t="shared" si="7"/>
        <v>0.35983263598326359</v>
      </c>
      <c r="AU8" s="1253">
        <f t="shared" si="8"/>
        <v>0.40259740259740262</v>
      </c>
      <c r="AV8" s="1253">
        <f t="shared" si="9"/>
        <v>0.40540540540540543</v>
      </c>
      <c r="AW8" s="1253">
        <f t="shared" si="10"/>
        <v>0.41743119266055045</v>
      </c>
      <c r="AX8" s="1253">
        <f t="shared" si="11"/>
        <v>0.46351931330472101</v>
      </c>
      <c r="AY8" s="1253">
        <f t="shared" si="12"/>
        <v>0.45070422535211269</v>
      </c>
      <c r="AZ8" s="1253">
        <f t="shared" si="13"/>
        <v>0.48214285714285715</v>
      </c>
      <c r="BA8" s="1253">
        <f t="shared" si="14"/>
        <v>0.48416289592760181</v>
      </c>
      <c r="BB8" s="1506">
        <f t="shared" si="15"/>
        <v>0.41904761904761906</v>
      </c>
      <c r="BC8" s="1508">
        <f>'Non-marital births'!L9</f>
        <v>0.48469387755102039</v>
      </c>
      <c r="BD8" s="1862">
        <v>0.48469387755102039</v>
      </c>
    </row>
    <row r="9" spans="1:56" s="142" customFormat="1" ht="15.75" customHeight="1" x14ac:dyDescent="0.2">
      <c r="A9" s="149" t="s">
        <v>18</v>
      </c>
      <c r="B9" s="189" t="s">
        <v>19</v>
      </c>
      <c r="C9" s="150" t="s">
        <v>266</v>
      </c>
      <c r="D9" s="1221">
        <v>137</v>
      </c>
      <c r="E9" s="1222">
        <v>126</v>
      </c>
      <c r="F9" s="1223">
        <v>152</v>
      </c>
      <c r="G9" s="1222">
        <v>148</v>
      </c>
      <c r="H9" s="1223">
        <v>151</v>
      </c>
      <c r="I9" s="1222">
        <v>139</v>
      </c>
      <c r="J9" s="1223">
        <v>140</v>
      </c>
      <c r="K9" s="1222">
        <v>140</v>
      </c>
      <c r="L9" s="1236">
        <v>148</v>
      </c>
      <c r="M9" s="1236">
        <v>147</v>
      </c>
      <c r="N9" s="1236">
        <v>152</v>
      </c>
      <c r="O9" s="1236">
        <v>159</v>
      </c>
      <c r="P9" s="1237">
        <v>154</v>
      </c>
      <c r="Q9" s="1237">
        <v>125</v>
      </c>
      <c r="R9" s="1510">
        <v>146</v>
      </c>
      <c r="S9" s="1511">
        <f>'Non-marital births'!D10</f>
        <v>133</v>
      </c>
      <c r="T9" s="1858">
        <v>133</v>
      </c>
      <c r="U9" s="1858"/>
      <c r="V9" s="1244">
        <v>40</v>
      </c>
      <c r="W9" s="1245">
        <v>36</v>
      </c>
      <c r="X9" s="1245">
        <v>49</v>
      </c>
      <c r="Y9" s="1245">
        <v>51</v>
      </c>
      <c r="Z9" s="1245">
        <v>44</v>
      </c>
      <c r="AA9" s="1245">
        <v>62</v>
      </c>
      <c r="AB9" s="1245">
        <v>49</v>
      </c>
      <c r="AC9" s="1245">
        <v>49</v>
      </c>
      <c r="AD9" s="1245">
        <v>52</v>
      </c>
      <c r="AE9" s="1245">
        <v>53</v>
      </c>
      <c r="AF9" s="1245">
        <v>72</v>
      </c>
      <c r="AG9" s="1245">
        <v>69</v>
      </c>
      <c r="AH9" s="1245">
        <v>63</v>
      </c>
      <c r="AI9" s="1245">
        <v>46</v>
      </c>
      <c r="AJ9" s="1513">
        <v>67</v>
      </c>
      <c r="AK9" s="1514">
        <f>'Non-marital births'!H10</f>
        <v>66</v>
      </c>
      <c r="AL9" s="1859">
        <v>66</v>
      </c>
      <c r="AM9" s="1859"/>
      <c r="AN9" s="1252">
        <f t="shared" si="0"/>
        <v>0.29197080291970801</v>
      </c>
      <c r="AO9" s="1253">
        <f t="shared" si="2"/>
        <v>0.2857142857142857</v>
      </c>
      <c r="AP9" s="1253">
        <f t="shared" si="3"/>
        <v>0.32236842105263158</v>
      </c>
      <c r="AQ9" s="1253">
        <f t="shared" si="4"/>
        <v>0.34459459459459457</v>
      </c>
      <c r="AR9" s="1253">
        <f t="shared" si="5"/>
        <v>0.29139072847682118</v>
      </c>
      <c r="AS9" s="1253">
        <f t="shared" si="6"/>
        <v>0.4460431654676259</v>
      </c>
      <c r="AT9" s="1253">
        <f t="shared" si="7"/>
        <v>0.35</v>
      </c>
      <c r="AU9" s="1253">
        <f t="shared" si="8"/>
        <v>0.35</v>
      </c>
      <c r="AV9" s="1253">
        <f t="shared" si="9"/>
        <v>0.35135135135135137</v>
      </c>
      <c r="AW9" s="1253">
        <f t="shared" si="10"/>
        <v>0.36054421768707484</v>
      </c>
      <c r="AX9" s="1253">
        <f t="shared" si="11"/>
        <v>0.47368421052631576</v>
      </c>
      <c r="AY9" s="1253">
        <f t="shared" si="12"/>
        <v>0.43396226415094341</v>
      </c>
      <c r="AZ9" s="1253">
        <f t="shared" si="13"/>
        <v>0.40909090909090912</v>
      </c>
      <c r="BA9" s="1253">
        <f t="shared" si="14"/>
        <v>0.36799999999999999</v>
      </c>
      <c r="BB9" s="1506">
        <f t="shared" si="15"/>
        <v>0.4589041095890411</v>
      </c>
      <c r="BC9" s="1508">
        <f>'Non-marital births'!L10</f>
        <v>0.49624060150375937</v>
      </c>
      <c r="BD9" s="1862">
        <v>0.49624060150375937</v>
      </c>
    </row>
    <row r="10" spans="1:56" s="142" customFormat="1" ht="15.75" customHeight="1" x14ac:dyDescent="0.2">
      <c r="A10" s="149" t="s">
        <v>20</v>
      </c>
      <c r="B10" s="189" t="s">
        <v>21</v>
      </c>
      <c r="C10" s="150" t="s">
        <v>265</v>
      </c>
      <c r="D10" s="1221">
        <v>356</v>
      </c>
      <c r="E10" s="1222">
        <v>359</v>
      </c>
      <c r="F10" s="1223">
        <v>338</v>
      </c>
      <c r="G10" s="1222">
        <v>326</v>
      </c>
      <c r="H10" s="1223">
        <v>325</v>
      </c>
      <c r="I10" s="1222">
        <v>304</v>
      </c>
      <c r="J10" s="1223">
        <v>295</v>
      </c>
      <c r="K10" s="1222">
        <v>331</v>
      </c>
      <c r="L10" s="1236">
        <v>321</v>
      </c>
      <c r="M10" s="1236">
        <v>330</v>
      </c>
      <c r="N10" s="1236">
        <v>376</v>
      </c>
      <c r="O10" s="1236">
        <v>320</v>
      </c>
      <c r="P10" s="1237">
        <v>334</v>
      </c>
      <c r="Q10" s="1237">
        <v>343</v>
      </c>
      <c r="R10" s="1510">
        <v>320</v>
      </c>
      <c r="S10" s="1511">
        <f>'Non-marital births'!D11</f>
        <v>319</v>
      </c>
      <c r="T10" s="1858">
        <v>319</v>
      </c>
      <c r="U10" s="1858"/>
      <c r="V10" s="1244">
        <v>113</v>
      </c>
      <c r="W10" s="1245">
        <v>121</v>
      </c>
      <c r="X10" s="1245">
        <v>125</v>
      </c>
      <c r="Y10" s="1245">
        <v>112</v>
      </c>
      <c r="Z10" s="1245">
        <v>120</v>
      </c>
      <c r="AA10" s="1245">
        <v>104</v>
      </c>
      <c r="AB10" s="1245">
        <v>109</v>
      </c>
      <c r="AC10" s="1245">
        <v>122</v>
      </c>
      <c r="AD10" s="1245">
        <v>132</v>
      </c>
      <c r="AE10" s="1245">
        <v>130</v>
      </c>
      <c r="AF10" s="1245">
        <v>153</v>
      </c>
      <c r="AG10" s="1245">
        <v>147</v>
      </c>
      <c r="AH10" s="1245">
        <v>152</v>
      </c>
      <c r="AI10" s="1245">
        <v>141</v>
      </c>
      <c r="AJ10" s="1513">
        <v>149</v>
      </c>
      <c r="AK10" s="1514">
        <f>'Non-marital births'!H11</f>
        <v>142</v>
      </c>
      <c r="AL10" s="1859">
        <v>142</v>
      </c>
      <c r="AM10" s="1859"/>
      <c r="AN10" s="1252">
        <f t="shared" si="0"/>
        <v>0.31741573033707865</v>
      </c>
      <c r="AO10" s="1253">
        <f t="shared" si="2"/>
        <v>0.3370473537604457</v>
      </c>
      <c r="AP10" s="1253">
        <f t="shared" si="3"/>
        <v>0.36982248520710059</v>
      </c>
      <c r="AQ10" s="1253">
        <f t="shared" si="4"/>
        <v>0.34355828220858897</v>
      </c>
      <c r="AR10" s="1253">
        <f t="shared" si="5"/>
        <v>0.36923076923076925</v>
      </c>
      <c r="AS10" s="1253">
        <f t="shared" si="6"/>
        <v>0.34210526315789475</v>
      </c>
      <c r="AT10" s="1253">
        <f t="shared" si="7"/>
        <v>0.36949152542372882</v>
      </c>
      <c r="AU10" s="1253">
        <f t="shared" si="8"/>
        <v>0.36858006042296071</v>
      </c>
      <c r="AV10" s="1253">
        <f t="shared" si="9"/>
        <v>0.41121495327102803</v>
      </c>
      <c r="AW10" s="1253">
        <f t="shared" si="10"/>
        <v>0.39393939393939392</v>
      </c>
      <c r="AX10" s="1253">
        <f t="shared" si="11"/>
        <v>0.40691489361702127</v>
      </c>
      <c r="AY10" s="1253">
        <f t="shared" si="12"/>
        <v>0.45937499999999998</v>
      </c>
      <c r="AZ10" s="1253">
        <f t="shared" si="13"/>
        <v>0.45508982035928142</v>
      </c>
      <c r="BA10" s="1253">
        <f t="shared" si="14"/>
        <v>0.41107871720116618</v>
      </c>
      <c r="BB10" s="1506">
        <f t="shared" si="15"/>
        <v>0.46562500000000001</v>
      </c>
      <c r="BC10" s="1508">
        <f>'Non-marital births'!L11</f>
        <v>0.44514106583072099</v>
      </c>
      <c r="BD10" s="1862">
        <v>0.44514106583072099</v>
      </c>
    </row>
    <row r="11" spans="1:56" s="142" customFormat="1" ht="15.75" customHeight="1" x14ac:dyDescent="0.2">
      <c r="A11" s="149" t="s">
        <v>22</v>
      </c>
      <c r="B11" s="189" t="s">
        <v>23</v>
      </c>
      <c r="C11" s="150" t="s">
        <v>265</v>
      </c>
      <c r="D11" s="1221">
        <v>158</v>
      </c>
      <c r="E11" s="1222">
        <v>154</v>
      </c>
      <c r="F11" s="1223">
        <v>162</v>
      </c>
      <c r="G11" s="1222">
        <v>140</v>
      </c>
      <c r="H11" s="1223">
        <v>145</v>
      </c>
      <c r="I11" s="1222">
        <v>152</v>
      </c>
      <c r="J11" s="1223">
        <v>145</v>
      </c>
      <c r="K11" s="1222">
        <v>140</v>
      </c>
      <c r="L11" s="1236">
        <v>163</v>
      </c>
      <c r="M11" s="1236">
        <v>164</v>
      </c>
      <c r="N11" s="1236">
        <v>165</v>
      </c>
      <c r="O11" s="1236">
        <v>168</v>
      </c>
      <c r="P11" s="1237">
        <v>165</v>
      </c>
      <c r="Q11" s="1237">
        <v>180</v>
      </c>
      <c r="R11" s="1510">
        <v>180</v>
      </c>
      <c r="S11" s="1511">
        <f>'Non-marital births'!D12</f>
        <v>187</v>
      </c>
      <c r="T11" s="1858">
        <v>187</v>
      </c>
      <c r="U11" s="1858"/>
      <c r="V11" s="1244">
        <v>46</v>
      </c>
      <c r="W11" s="1245">
        <v>58</v>
      </c>
      <c r="X11" s="1245">
        <v>60</v>
      </c>
      <c r="Y11" s="1245">
        <v>50</v>
      </c>
      <c r="Z11" s="1245">
        <v>56</v>
      </c>
      <c r="AA11" s="1245">
        <v>52</v>
      </c>
      <c r="AB11" s="1245">
        <v>53</v>
      </c>
      <c r="AC11" s="1245">
        <v>58</v>
      </c>
      <c r="AD11" s="1245">
        <v>71</v>
      </c>
      <c r="AE11" s="1245">
        <v>80</v>
      </c>
      <c r="AF11" s="1245">
        <v>69</v>
      </c>
      <c r="AG11" s="1245">
        <v>59</v>
      </c>
      <c r="AH11" s="1245">
        <v>69</v>
      </c>
      <c r="AI11" s="1245">
        <v>65</v>
      </c>
      <c r="AJ11" s="1513">
        <v>76</v>
      </c>
      <c r="AK11" s="1514">
        <f>'Non-marital births'!H12</f>
        <v>78</v>
      </c>
      <c r="AL11" s="1859">
        <v>78</v>
      </c>
      <c r="AM11" s="1859"/>
      <c r="AN11" s="1252">
        <f t="shared" si="0"/>
        <v>0.29113924050632911</v>
      </c>
      <c r="AO11" s="1253">
        <f t="shared" si="2"/>
        <v>0.37662337662337664</v>
      </c>
      <c r="AP11" s="1253">
        <f t="shared" si="3"/>
        <v>0.37037037037037035</v>
      </c>
      <c r="AQ11" s="1253">
        <f t="shared" si="4"/>
        <v>0.35714285714285715</v>
      </c>
      <c r="AR11" s="1253">
        <f t="shared" si="5"/>
        <v>0.38620689655172413</v>
      </c>
      <c r="AS11" s="1253">
        <f t="shared" si="6"/>
        <v>0.34210526315789475</v>
      </c>
      <c r="AT11" s="1253">
        <f t="shared" si="7"/>
        <v>0.36551724137931035</v>
      </c>
      <c r="AU11" s="1253">
        <f t="shared" si="8"/>
        <v>0.41428571428571431</v>
      </c>
      <c r="AV11" s="1253">
        <f t="shared" si="9"/>
        <v>0.43558282208588955</v>
      </c>
      <c r="AW11" s="1253">
        <f t="shared" si="10"/>
        <v>0.48780487804878048</v>
      </c>
      <c r="AX11" s="1253">
        <f t="shared" si="11"/>
        <v>0.41818181818181815</v>
      </c>
      <c r="AY11" s="1253">
        <f t="shared" si="12"/>
        <v>0.35119047619047616</v>
      </c>
      <c r="AZ11" s="1253">
        <f t="shared" si="13"/>
        <v>0.41818181818181815</v>
      </c>
      <c r="BA11" s="1253">
        <f t="shared" si="14"/>
        <v>0.3611111111111111</v>
      </c>
      <c r="BB11" s="1506">
        <f t="shared" si="15"/>
        <v>0.42222222222222222</v>
      </c>
      <c r="BC11" s="1508">
        <f>'Non-marital births'!L12</f>
        <v>0.41711229946524064</v>
      </c>
      <c r="BD11" s="1862">
        <v>0.41711229946524064</v>
      </c>
    </row>
    <row r="12" spans="1:56" s="142" customFormat="1" ht="15.75" customHeight="1" x14ac:dyDescent="0.2">
      <c r="A12" s="149" t="s">
        <v>24</v>
      </c>
      <c r="B12" s="189" t="s">
        <v>25</v>
      </c>
      <c r="C12" s="150" t="s">
        <v>267</v>
      </c>
      <c r="D12" s="1221">
        <v>2672</v>
      </c>
      <c r="E12" s="1222">
        <v>2606</v>
      </c>
      <c r="F12" s="1223">
        <v>2715</v>
      </c>
      <c r="G12" s="1222">
        <v>2814</v>
      </c>
      <c r="H12" s="1223">
        <v>2686</v>
      </c>
      <c r="I12" s="1222">
        <v>2659</v>
      </c>
      <c r="J12" s="1223">
        <v>2810</v>
      </c>
      <c r="K12" s="1222">
        <v>2809</v>
      </c>
      <c r="L12" s="1236">
        <v>2561</v>
      </c>
      <c r="M12" s="1236">
        <v>2778</v>
      </c>
      <c r="N12" s="1236">
        <v>2924</v>
      </c>
      <c r="O12" s="1236">
        <v>2935</v>
      </c>
      <c r="P12" s="1237">
        <v>3097</v>
      </c>
      <c r="Q12" s="1237">
        <v>3049</v>
      </c>
      <c r="R12" s="1510">
        <v>3193</v>
      </c>
      <c r="S12" s="1511">
        <f>'Non-marital births'!D13</f>
        <v>3181</v>
      </c>
      <c r="T12" s="1858">
        <v>3181</v>
      </c>
      <c r="U12" s="1858"/>
      <c r="V12" s="1244">
        <v>571</v>
      </c>
      <c r="W12" s="1245">
        <v>566</v>
      </c>
      <c r="X12" s="1245">
        <v>598</v>
      </c>
      <c r="Y12" s="1245">
        <v>603</v>
      </c>
      <c r="Z12" s="1245">
        <v>608</v>
      </c>
      <c r="AA12" s="1245">
        <v>575</v>
      </c>
      <c r="AB12" s="1245">
        <v>578</v>
      </c>
      <c r="AC12" s="1245">
        <v>622</v>
      </c>
      <c r="AD12" s="1245">
        <v>579</v>
      </c>
      <c r="AE12" s="1245">
        <v>626</v>
      </c>
      <c r="AF12" s="1245">
        <v>599</v>
      </c>
      <c r="AG12" s="1245">
        <v>574</v>
      </c>
      <c r="AH12" s="1245">
        <v>573</v>
      </c>
      <c r="AI12" s="1245">
        <v>529</v>
      </c>
      <c r="AJ12" s="1513">
        <v>527</v>
      </c>
      <c r="AK12" s="1514">
        <f>'Non-marital births'!H13</f>
        <v>492</v>
      </c>
      <c r="AL12" s="1859">
        <v>492</v>
      </c>
      <c r="AM12" s="1859"/>
      <c r="AN12" s="1252">
        <f t="shared" si="0"/>
        <v>0.21369760479041916</v>
      </c>
      <c r="AO12" s="1253">
        <f t="shared" si="2"/>
        <v>0.21719109746738297</v>
      </c>
      <c r="AP12" s="1253">
        <f t="shared" si="3"/>
        <v>0.22025782688766113</v>
      </c>
      <c r="AQ12" s="1253">
        <f t="shared" si="4"/>
        <v>0.21428571428571427</v>
      </c>
      <c r="AR12" s="1253">
        <f t="shared" si="5"/>
        <v>0.22635889798957556</v>
      </c>
      <c r="AS12" s="1253">
        <f t="shared" si="6"/>
        <v>0.21624670928920647</v>
      </c>
      <c r="AT12" s="1253">
        <f t="shared" si="7"/>
        <v>0.20569395017793593</v>
      </c>
      <c r="AU12" s="1253">
        <f t="shared" si="8"/>
        <v>0.22143111427554291</v>
      </c>
      <c r="AV12" s="1253">
        <f t="shared" si="9"/>
        <v>0.22608356110894182</v>
      </c>
      <c r="AW12" s="1253">
        <f t="shared" si="10"/>
        <v>0.22534197264218864</v>
      </c>
      <c r="AX12" s="1253">
        <f t="shared" si="11"/>
        <v>0.20485636114911079</v>
      </c>
      <c r="AY12" s="1253">
        <f t="shared" si="12"/>
        <v>0.19557069846678024</v>
      </c>
      <c r="AZ12" s="1253">
        <f t="shared" si="13"/>
        <v>0.18501775912173071</v>
      </c>
      <c r="BA12" s="1253">
        <f t="shared" si="14"/>
        <v>0.17349950803542144</v>
      </c>
      <c r="BB12" s="1506">
        <f t="shared" si="15"/>
        <v>0.1650485436893204</v>
      </c>
      <c r="BC12" s="1508">
        <f>'Non-marital births'!L13</f>
        <v>0.15466834328827414</v>
      </c>
      <c r="BD12" s="1862">
        <v>0.15466834328827414</v>
      </c>
    </row>
    <row r="13" spans="1:56" s="142" customFormat="1" ht="15.75" customHeight="1" x14ac:dyDescent="0.2">
      <c r="A13" s="149" t="s">
        <v>26</v>
      </c>
      <c r="B13" s="189" t="s">
        <v>298</v>
      </c>
      <c r="C13" s="150" t="s">
        <v>265</v>
      </c>
      <c r="D13" s="1221">
        <v>1263</v>
      </c>
      <c r="E13" s="1222">
        <v>1209</v>
      </c>
      <c r="F13" s="1223">
        <v>1240</v>
      </c>
      <c r="G13" s="1222">
        <v>1174</v>
      </c>
      <c r="H13" s="1223">
        <v>1225</v>
      </c>
      <c r="I13" s="1222">
        <v>1317</v>
      </c>
      <c r="J13" s="1223">
        <v>1317</v>
      </c>
      <c r="K13" s="1222">
        <v>1292</v>
      </c>
      <c r="L13" s="1236">
        <v>1366</v>
      </c>
      <c r="M13" s="1236">
        <v>1443</v>
      </c>
      <c r="N13" s="1236">
        <v>1339</v>
      </c>
      <c r="O13" s="1236">
        <v>1313</v>
      </c>
      <c r="P13" s="1237">
        <v>1196</v>
      </c>
      <c r="Q13" s="1237">
        <v>1309</v>
      </c>
      <c r="R13" s="1510">
        <v>1205</v>
      </c>
      <c r="S13" s="1511">
        <f>'Non-marital births'!D14</f>
        <v>1231</v>
      </c>
      <c r="T13" s="1858">
        <v>1231</v>
      </c>
      <c r="U13" s="1858"/>
      <c r="V13" s="1244">
        <v>383</v>
      </c>
      <c r="W13" s="1245">
        <v>349</v>
      </c>
      <c r="X13" s="1245">
        <v>394</v>
      </c>
      <c r="Y13" s="1245">
        <v>361</v>
      </c>
      <c r="Z13" s="1245">
        <v>414</v>
      </c>
      <c r="AA13" s="1245">
        <v>471</v>
      </c>
      <c r="AB13" s="1245">
        <v>428</v>
      </c>
      <c r="AC13" s="1245">
        <v>450</v>
      </c>
      <c r="AD13" s="1245">
        <v>495</v>
      </c>
      <c r="AE13" s="1245">
        <v>571</v>
      </c>
      <c r="AF13" s="1245">
        <v>523</v>
      </c>
      <c r="AG13" s="1245">
        <v>492</v>
      </c>
      <c r="AH13" s="1245">
        <v>441</v>
      </c>
      <c r="AI13" s="1245">
        <v>472</v>
      </c>
      <c r="AJ13" s="1513">
        <v>480</v>
      </c>
      <c r="AK13" s="1514">
        <f>'Non-marital births'!H14</f>
        <v>470</v>
      </c>
      <c r="AL13" s="1859">
        <v>470</v>
      </c>
      <c r="AM13" s="1859"/>
      <c r="AN13" s="1252">
        <f t="shared" si="0"/>
        <v>0.30324623911322246</v>
      </c>
      <c r="AO13" s="1253">
        <f t="shared" si="2"/>
        <v>0.28866832092638545</v>
      </c>
      <c r="AP13" s="1253">
        <f t="shared" si="3"/>
        <v>0.31774193548387097</v>
      </c>
      <c r="AQ13" s="1253">
        <f t="shared" si="4"/>
        <v>0.30749574105621807</v>
      </c>
      <c r="AR13" s="1253">
        <f t="shared" si="5"/>
        <v>0.33795918367346939</v>
      </c>
      <c r="AS13" s="1253">
        <f t="shared" si="6"/>
        <v>0.35763097949886102</v>
      </c>
      <c r="AT13" s="1253">
        <f t="shared" si="7"/>
        <v>0.32498101746393321</v>
      </c>
      <c r="AU13" s="1253">
        <f t="shared" si="8"/>
        <v>0.34829721362229105</v>
      </c>
      <c r="AV13" s="1253">
        <f t="shared" si="9"/>
        <v>0.3623718887262079</v>
      </c>
      <c r="AW13" s="1253">
        <f t="shared" si="10"/>
        <v>0.39570339570339569</v>
      </c>
      <c r="AX13" s="1253">
        <f t="shared" si="11"/>
        <v>0.39058999253174009</v>
      </c>
      <c r="AY13" s="1253">
        <f t="shared" si="12"/>
        <v>0.37471439451637473</v>
      </c>
      <c r="AZ13" s="1253">
        <f t="shared" si="13"/>
        <v>0.36872909698996653</v>
      </c>
      <c r="BA13" s="1253">
        <f t="shared" si="14"/>
        <v>0.36058059587471353</v>
      </c>
      <c r="BB13" s="1506">
        <f t="shared" si="15"/>
        <v>0.39834024896265557</v>
      </c>
      <c r="BC13" s="1508">
        <f>'Non-marital births'!L14</f>
        <v>0.38180341186027622</v>
      </c>
      <c r="BD13" s="1862">
        <v>0.38180341186027622</v>
      </c>
    </row>
    <row r="14" spans="1:56" s="142" customFormat="1" ht="15.75" customHeight="1" x14ac:dyDescent="0.2">
      <c r="A14" s="149" t="s">
        <v>27</v>
      </c>
      <c r="B14" s="189" t="s">
        <v>28</v>
      </c>
      <c r="C14" s="150" t="s">
        <v>265</v>
      </c>
      <c r="D14" s="1221">
        <v>53</v>
      </c>
      <c r="E14" s="1222">
        <v>50</v>
      </c>
      <c r="F14" s="1223">
        <v>44</v>
      </c>
      <c r="G14" s="1222">
        <v>41</v>
      </c>
      <c r="H14" s="1223">
        <v>35</v>
      </c>
      <c r="I14" s="1222">
        <v>33</v>
      </c>
      <c r="J14" s="1223">
        <v>26</v>
      </c>
      <c r="K14" s="1222">
        <v>28</v>
      </c>
      <c r="L14" s="1236">
        <v>27</v>
      </c>
      <c r="M14" s="1236">
        <v>37</v>
      </c>
      <c r="N14" s="1236">
        <v>32</v>
      </c>
      <c r="O14" s="1236">
        <v>26</v>
      </c>
      <c r="P14" s="1237">
        <v>40</v>
      </c>
      <c r="Q14" s="1237">
        <v>39</v>
      </c>
      <c r="R14" s="1510">
        <v>40</v>
      </c>
      <c r="S14" s="1511">
        <f>'Non-marital births'!D15</f>
        <v>49</v>
      </c>
      <c r="T14" s="1858">
        <v>49</v>
      </c>
      <c r="U14" s="1858"/>
      <c r="V14" s="1244">
        <v>6</v>
      </c>
      <c r="W14" s="1245">
        <v>13</v>
      </c>
      <c r="X14" s="1245">
        <v>10</v>
      </c>
      <c r="Y14" s="1245">
        <v>6</v>
      </c>
      <c r="Z14" s="1245">
        <v>8</v>
      </c>
      <c r="AA14" s="1245">
        <v>10</v>
      </c>
      <c r="AB14" s="1245">
        <v>6</v>
      </c>
      <c r="AC14" s="1245">
        <v>10</v>
      </c>
      <c r="AD14" s="1245">
        <v>6</v>
      </c>
      <c r="AE14" s="1245">
        <v>14</v>
      </c>
      <c r="AF14" s="1245">
        <v>9</v>
      </c>
      <c r="AG14" s="1245">
        <v>7</v>
      </c>
      <c r="AH14" s="1245">
        <v>17</v>
      </c>
      <c r="AI14" s="1245">
        <v>13</v>
      </c>
      <c r="AJ14" s="1513">
        <v>23</v>
      </c>
      <c r="AK14" s="1514">
        <f>'Non-marital births'!H15</f>
        <v>23</v>
      </c>
      <c r="AL14" s="1859">
        <v>23</v>
      </c>
      <c r="AM14" s="1859"/>
      <c r="AN14" s="1252">
        <f t="shared" si="0"/>
        <v>0.11320754716981132</v>
      </c>
      <c r="AO14" s="1253">
        <f t="shared" si="2"/>
        <v>0.26</v>
      </c>
      <c r="AP14" s="1253">
        <f t="shared" si="3"/>
        <v>0.22727272727272727</v>
      </c>
      <c r="AQ14" s="1253">
        <f t="shared" si="4"/>
        <v>0.14634146341463414</v>
      </c>
      <c r="AR14" s="1253">
        <f t="shared" si="5"/>
        <v>0.22857142857142856</v>
      </c>
      <c r="AS14" s="1253">
        <f t="shared" si="6"/>
        <v>0.30303030303030304</v>
      </c>
      <c r="AT14" s="1253">
        <f t="shared" si="7"/>
        <v>0.23076923076923078</v>
      </c>
      <c r="AU14" s="1253">
        <f t="shared" si="8"/>
        <v>0.35714285714285715</v>
      </c>
      <c r="AV14" s="1253">
        <f t="shared" si="9"/>
        <v>0.22222222222222221</v>
      </c>
      <c r="AW14" s="1253">
        <f t="shared" si="10"/>
        <v>0.3783783783783784</v>
      </c>
      <c r="AX14" s="1253">
        <f t="shared" si="11"/>
        <v>0.28125</v>
      </c>
      <c r="AY14" s="1253">
        <f t="shared" si="12"/>
        <v>0.26923076923076922</v>
      </c>
      <c r="AZ14" s="1253">
        <f t="shared" si="13"/>
        <v>0.42499999999999999</v>
      </c>
      <c r="BA14" s="1253">
        <f t="shared" si="14"/>
        <v>0.33333333333333331</v>
      </c>
      <c r="BB14" s="1506">
        <f t="shared" si="15"/>
        <v>0.57499999999999996</v>
      </c>
      <c r="BC14" s="1508">
        <f>'Non-marital births'!L15</f>
        <v>0.46938775510204084</v>
      </c>
      <c r="BD14" s="1862">
        <v>0.46938775510204084</v>
      </c>
    </row>
    <row r="15" spans="1:56" s="142" customFormat="1" ht="15.75" customHeight="1" x14ac:dyDescent="0.2">
      <c r="A15" s="149" t="s">
        <v>29</v>
      </c>
      <c r="B15" s="189" t="s">
        <v>924</v>
      </c>
      <c r="C15" s="150" t="s">
        <v>265</v>
      </c>
      <c r="D15" s="1221">
        <v>716</v>
      </c>
      <c r="E15" s="1222">
        <v>655</v>
      </c>
      <c r="F15" s="1223">
        <v>720</v>
      </c>
      <c r="G15" s="1222">
        <v>702</v>
      </c>
      <c r="H15" s="1223">
        <v>626</v>
      </c>
      <c r="I15" s="1222">
        <v>710</v>
      </c>
      <c r="J15" s="1223">
        <v>671</v>
      </c>
      <c r="K15" s="1222">
        <v>711</v>
      </c>
      <c r="L15" s="1236">
        <v>734</v>
      </c>
      <c r="M15" s="1236">
        <v>703</v>
      </c>
      <c r="N15" s="1236">
        <v>685</v>
      </c>
      <c r="O15" s="1236">
        <v>682</v>
      </c>
      <c r="P15" s="1237">
        <v>679</v>
      </c>
      <c r="Q15" s="1237">
        <v>644</v>
      </c>
      <c r="R15" s="1510">
        <v>620</v>
      </c>
      <c r="S15" s="1511">
        <f>'Non-marital births'!D16</f>
        <v>642</v>
      </c>
      <c r="T15" s="1858">
        <v>642</v>
      </c>
      <c r="U15" s="1858"/>
      <c r="V15" s="1244">
        <v>168</v>
      </c>
      <c r="W15" s="1245">
        <v>147</v>
      </c>
      <c r="X15" s="1245">
        <v>154</v>
      </c>
      <c r="Y15" s="1245">
        <v>158</v>
      </c>
      <c r="Z15" s="1245">
        <v>151</v>
      </c>
      <c r="AA15" s="1245">
        <v>173</v>
      </c>
      <c r="AB15" s="1245">
        <v>178</v>
      </c>
      <c r="AC15" s="1245">
        <v>202</v>
      </c>
      <c r="AD15" s="1245">
        <v>215</v>
      </c>
      <c r="AE15" s="1245">
        <v>207</v>
      </c>
      <c r="AF15" s="1245">
        <v>211</v>
      </c>
      <c r="AG15" s="1245">
        <v>225</v>
      </c>
      <c r="AH15" s="1245">
        <v>207</v>
      </c>
      <c r="AI15" s="1245">
        <v>207</v>
      </c>
      <c r="AJ15" s="1513">
        <v>215</v>
      </c>
      <c r="AK15" s="1514">
        <f>'Non-marital births'!H16</f>
        <v>202</v>
      </c>
      <c r="AL15" s="1859">
        <v>202</v>
      </c>
      <c r="AM15" s="1859"/>
      <c r="AN15" s="1252">
        <f t="shared" si="0"/>
        <v>0.23463687150837989</v>
      </c>
      <c r="AO15" s="1253">
        <f t="shared" si="2"/>
        <v>0.22442748091603054</v>
      </c>
      <c r="AP15" s="1253">
        <f t="shared" si="3"/>
        <v>0.21388888888888888</v>
      </c>
      <c r="AQ15" s="1253">
        <f t="shared" si="4"/>
        <v>0.22507122507122507</v>
      </c>
      <c r="AR15" s="1253">
        <f t="shared" si="5"/>
        <v>0.24121405750798722</v>
      </c>
      <c r="AS15" s="1253">
        <f t="shared" si="6"/>
        <v>0.24366197183098592</v>
      </c>
      <c r="AT15" s="1253">
        <f t="shared" si="7"/>
        <v>0.26527570789865873</v>
      </c>
      <c r="AU15" s="1253">
        <f t="shared" si="8"/>
        <v>0.2841068917018284</v>
      </c>
      <c r="AV15" s="1253">
        <f t="shared" si="9"/>
        <v>0.29291553133514986</v>
      </c>
      <c r="AW15" s="1253">
        <f t="shared" si="10"/>
        <v>0.29445234708392604</v>
      </c>
      <c r="AX15" s="1253">
        <f t="shared" si="11"/>
        <v>0.30802919708029197</v>
      </c>
      <c r="AY15" s="1253">
        <f t="shared" si="12"/>
        <v>0.32991202346041054</v>
      </c>
      <c r="AZ15" s="1253">
        <f t="shared" si="13"/>
        <v>0.30486008836524303</v>
      </c>
      <c r="BA15" s="1253">
        <f t="shared" si="14"/>
        <v>0.32142857142857145</v>
      </c>
      <c r="BB15" s="1506">
        <f t="shared" si="15"/>
        <v>0.34677419354838712</v>
      </c>
      <c r="BC15" s="1508">
        <f>'Non-marital births'!L16</f>
        <v>0.31464174454828658</v>
      </c>
      <c r="BD15" s="1862">
        <v>0.31464174454828658</v>
      </c>
    </row>
    <row r="16" spans="1:56" s="142" customFormat="1" ht="15.75" customHeight="1" x14ac:dyDescent="0.2">
      <c r="A16" s="149" t="s">
        <v>30</v>
      </c>
      <c r="B16" s="189" t="s">
        <v>31</v>
      </c>
      <c r="C16" s="150" t="s">
        <v>268</v>
      </c>
      <c r="D16" s="1221">
        <v>50</v>
      </c>
      <c r="E16" s="1222">
        <v>64</v>
      </c>
      <c r="F16" s="1223">
        <v>63</v>
      </c>
      <c r="G16" s="1222">
        <v>59</v>
      </c>
      <c r="H16" s="1223">
        <v>55</v>
      </c>
      <c r="I16" s="1222">
        <v>60</v>
      </c>
      <c r="J16" s="1223">
        <v>54</v>
      </c>
      <c r="K16" s="1222">
        <v>63</v>
      </c>
      <c r="L16" s="1236">
        <v>48</v>
      </c>
      <c r="M16" s="1236">
        <v>51</v>
      </c>
      <c r="N16" s="1236">
        <v>53</v>
      </c>
      <c r="O16" s="1236">
        <v>49</v>
      </c>
      <c r="P16" s="1237">
        <v>41</v>
      </c>
      <c r="Q16" s="1237">
        <v>53</v>
      </c>
      <c r="R16" s="1510">
        <v>55</v>
      </c>
      <c r="S16" s="1511">
        <f>'Non-marital births'!D17</f>
        <v>47</v>
      </c>
      <c r="T16" s="1858">
        <v>47</v>
      </c>
      <c r="U16" s="1858"/>
      <c r="V16" s="1244">
        <v>8</v>
      </c>
      <c r="W16" s="1245">
        <v>12</v>
      </c>
      <c r="X16" s="1245">
        <v>9</v>
      </c>
      <c r="Y16" s="1245">
        <v>9</v>
      </c>
      <c r="Z16" s="1245">
        <v>14</v>
      </c>
      <c r="AA16" s="1245">
        <v>8</v>
      </c>
      <c r="AB16" s="1245">
        <v>12</v>
      </c>
      <c r="AC16" s="1245">
        <v>19</v>
      </c>
      <c r="AD16" s="1245">
        <v>13</v>
      </c>
      <c r="AE16" s="1245">
        <v>13</v>
      </c>
      <c r="AF16" s="1245">
        <v>19</v>
      </c>
      <c r="AG16" s="1245">
        <v>14</v>
      </c>
      <c r="AH16" s="1245">
        <v>13</v>
      </c>
      <c r="AI16" s="1245">
        <v>29</v>
      </c>
      <c r="AJ16" s="1513">
        <v>20</v>
      </c>
      <c r="AK16" s="1514">
        <f>'Non-marital births'!H17</f>
        <v>14</v>
      </c>
      <c r="AL16" s="1859">
        <v>14</v>
      </c>
      <c r="AM16" s="1859"/>
      <c r="AN16" s="1252">
        <f t="shared" si="0"/>
        <v>0.16</v>
      </c>
      <c r="AO16" s="1253">
        <f t="shared" si="2"/>
        <v>0.1875</v>
      </c>
      <c r="AP16" s="1253">
        <f t="shared" si="3"/>
        <v>0.14285714285714285</v>
      </c>
      <c r="AQ16" s="1253">
        <f t="shared" si="4"/>
        <v>0.15254237288135594</v>
      </c>
      <c r="AR16" s="1253">
        <f t="shared" si="5"/>
        <v>0.25454545454545452</v>
      </c>
      <c r="AS16" s="1253">
        <f t="shared" si="6"/>
        <v>0.13333333333333333</v>
      </c>
      <c r="AT16" s="1253">
        <f t="shared" si="7"/>
        <v>0.22222222222222221</v>
      </c>
      <c r="AU16" s="1253">
        <f t="shared" si="8"/>
        <v>0.30158730158730157</v>
      </c>
      <c r="AV16" s="1253">
        <f t="shared" si="9"/>
        <v>0.27083333333333331</v>
      </c>
      <c r="AW16" s="1253">
        <f t="shared" si="10"/>
        <v>0.25490196078431371</v>
      </c>
      <c r="AX16" s="1253">
        <f t="shared" si="11"/>
        <v>0.35849056603773582</v>
      </c>
      <c r="AY16" s="1253">
        <f t="shared" si="12"/>
        <v>0.2857142857142857</v>
      </c>
      <c r="AZ16" s="1253">
        <f t="shared" si="13"/>
        <v>0.31707317073170732</v>
      </c>
      <c r="BA16" s="1253">
        <f t="shared" si="14"/>
        <v>0.54716981132075471</v>
      </c>
      <c r="BB16" s="1506">
        <f t="shared" si="15"/>
        <v>0.36363636363636365</v>
      </c>
      <c r="BC16" s="1508">
        <f>'Non-marital births'!L17</f>
        <v>0.2978723404255319</v>
      </c>
      <c r="BD16" s="1862">
        <v>0.2978723404255319</v>
      </c>
    </row>
    <row r="17" spans="1:56" s="142" customFormat="1" ht="15.75" customHeight="1" x14ac:dyDescent="0.2">
      <c r="A17" s="149" t="s">
        <v>32</v>
      </c>
      <c r="B17" s="189" t="s">
        <v>33</v>
      </c>
      <c r="C17" s="150" t="s">
        <v>265</v>
      </c>
      <c r="D17" s="1221">
        <v>309</v>
      </c>
      <c r="E17" s="1222">
        <v>328</v>
      </c>
      <c r="F17" s="1223">
        <v>312</v>
      </c>
      <c r="G17" s="1222">
        <v>253</v>
      </c>
      <c r="H17" s="1223">
        <v>297</v>
      </c>
      <c r="I17" s="1222">
        <v>308</v>
      </c>
      <c r="J17" s="1223">
        <v>258</v>
      </c>
      <c r="K17" s="1222">
        <v>265</v>
      </c>
      <c r="L17" s="1236">
        <v>278</v>
      </c>
      <c r="M17" s="1236">
        <v>308</v>
      </c>
      <c r="N17" s="1236">
        <v>265</v>
      </c>
      <c r="O17" s="1236">
        <v>262</v>
      </c>
      <c r="P17" s="1237">
        <v>243</v>
      </c>
      <c r="Q17" s="1237">
        <v>221</v>
      </c>
      <c r="R17" s="1510">
        <v>224</v>
      </c>
      <c r="S17" s="1511">
        <f>'Non-marital births'!D18</f>
        <v>236</v>
      </c>
      <c r="T17" s="1858">
        <v>236</v>
      </c>
      <c r="U17" s="1858"/>
      <c r="V17" s="1244">
        <v>69</v>
      </c>
      <c r="W17" s="1245">
        <v>59</v>
      </c>
      <c r="X17" s="1245">
        <v>47</v>
      </c>
      <c r="Y17" s="1245">
        <v>46</v>
      </c>
      <c r="Z17" s="1245">
        <v>62</v>
      </c>
      <c r="AA17" s="1245">
        <v>55</v>
      </c>
      <c r="AB17" s="1245">
        <v>50</v>
      </c>
      <c r="AC17" s="1245">
        <v>57</v>
      </c>
      <c r="AD17" s="1245">
        <v>59</v>
      </c>
      <c r="AE17" s="1245">
        <v>84</v>
      </c>
      <c r="AF17" s="1245">
        <v>64</v>
      </c>
      <c r="AG17" s="1245">
        <v>71</v>
      </c>
      <c r="AH17" s="1245">
        <v>64</v>
      </c>
      <c r="AI17" s="1245">
        <v>60</v>
      </c>
      <c r="AJ17" s="1513">
        <v>54</v>
      </c>
      <c r="AK17" s="1514">
        <f>'Non-marital births'!H18</f>
        <v>74</v>
      </c>
      <c r="AL17" s="1859">
        <v>74</v>
      </c>
      <c r="AM17" s="1859"/>
      <c r="AN17" s="1252">
        <f t="shared" si="0"/>
        <v>0.22330097087378642</v>
      </c>
      <c r="AO17" s="1253">
        <f t="shared" si="2"/>
        <v>0.1798780487804878</v>
      </c>
      <c r="AP17" s="1253">
        <f t="shared" si="3"/>
        <v>0.15064102564102563</v>
      </c>
      <c r="AQ17" s="1253">
        <f t="shared" si="4"/>
        <v>0.18181818181818182</v>
      </c>
      <c r="AR17" s="1253">
        <f t="shared" si="5"/>
        <v>0.20875420875420875</v>
      </c>
      <c r="AS17" s="1253">
        <f t="shared" si="6"/>
        <v>0.17857142857142858</v>
      </c>
      <c r="AT17" s="1253">
        <f t="shared" si="7"/>
        <v>0.19379844961240311</v>
      </c>
      <c r="AU17" s="1253">
        <f t="shared" si="8"/>
        <v>0.21509433962264152</v>
      </c>
      <c r="AV17" s="1253">
        <f t="shared" si="9"/>
        <v>0.21223021582733814</v>
      </c>
      <c r="AW17" s="1253">
        <f t="shared" si="10"/>
        <v>0.27272727272727271</v>
      </c>
      <c r="AX17" s="1253">
        <f t="shared" si="11"/>
        <v>0.24150943396226415</v>
      </c>
      <c r="AY17" s="1253">
        <f t="shared" si="12"/>
        <v>0.27099236641221375</v>
      </c>
      <c r="AZ17" s="1253">
        <f t="shared" si="13"/>
        <v>0.26337448559670784</v>
      </c>
      <c r="BA17" s="1253">
        <f t="shared" si="14"/>
        <v>0.27149321266968324</v>
      </c>
      <c r="BB17" s="1506">
        <f t="shared" si="15"/>
        <v>0.24107142857142858</v>
      </c>
      <c r="BC17" s="1508">
        <f>'Non-marital births'!L18</f>
        <v>0.3135593220338983</v>
      </c>
      <c r="BD17" s="1862">
        <v>0.3135593220338983</v>
      </c>
    </row>
    <row r="18" spans="1:56" s="142" customFormat="1" ht="15.75" customHeight="1" x14ac:dyDescent="0.2">
      <c r="A18" s="149" t="s">
        <v>36</v>
      </c>
      <c r="B18" s="189" t="s">
        <v>37</v>
      </c>
      <c r="C18" s="150" t="s">
        <v>264</v>
      </c>
      <c r="D18" s="1221">
        <v>179</v>
      </c>
      <c r="E18" s="1222">
        <v>176</v>
      </c>
      <c r="F18" s="1223">
        <v>185</v>
      </c>
      <c r="G18" s="1222">
        <v>191</v>
      </c>
      <c r="H18" s="1223">
        <v>179</v>
      </c>
      <c r="I18" s="1222">
        <v>170</v>
      </c>
      <c r="J18" s="1223">
        <v>173</v>
      </c>
      <c r="K18" s="1222">
        <v>165</v>
      </c>
      <c r="L18" s="1236">
        <v>174</v>
      </c>
      <c r="M18" s="1236">
        <v>175</v>
      </c>
      <c r="N18" s="1236">
        <v>191</v>
      </c>
      <c r="O18" s="1236">
        <v>163</v>
      </c>
      <c r="P18" s="1237">
        <v>162</v>
      </c>
      <c r="Q18" s="1237">
        <v>141</v>
      </c>
      <c r="R18" s="1510">
        <v>159</v>
      </c>
      <c r="S18" s="1511">
        <f>'Non-marital births'!D19</f>
        <v>146</v>
      </c>
      <c r="T18" s="1858">
        <v>146</v>
      </c>
      <c r="U18" s="1858"/>
      <c r="V18" s="1244">
        <v>109</v>
      </c>
      <c r="W18" s="1245">
        <v>100</v>
      </c>
      <c r="X18" s="1245">
        <v>109</v>
      </c>
      <c r="Y18" s="1245">
        <v>116</v>
      </c>
      <c r="Z18" s="1245">
        <v>99</v>
      </c>
      <c r="AA18" s="1245">
        <v>100</v>
      </c>
      <c r="AB18" s="1245">
        <v>110</v>
      </c>
      <c r="AC18" s="1245">
        <v>103</v>
      </c>
      <c r="AD18" s="1245">
        <v>103</v>
      </c>
      <c r="AE18" s="1245">
        <v>115</v>
      </c>
      <c r="AF18" s="1245">
        <v>128</v>
      </c>
      <c r="AG18" s="1245">
        <v>102</v>
      </c>
      <c r="AH18" s="1245">
        <v>104</v>
      </c>
      <c r="AI18" s="1245">
        <v>90</v>
      </c>
      <c r="AJ18" s="1513">
        <v>100</v>
      </c>
      <c r="AK18" s="1514">
        <f>'Non-marital births'!H19</f>
        <v>97</v>
      </c>
      <c r="AL18" s="1859">
        <v>97</v>
      </c>
      <c r="AM18" s="1859"/>
      <c r="AN18" s="1252">
        <f t="shared" si="0"/>
        <v>0.60893854748603349</v>
      </c>
      <c r="AO18" s="1253">
        <f t="shared" si="2"/>
        <v>0.56818181818181823</v>
      </c>
      <c r="AP18" s="1253">
        <f t="shared" si="3"/>
        <v>0.58918918918918917</v>
      </c>
      <c r="AQ18" s="1253">
        <f t="shared" si="4"/>
        <v>0.60732984293193715</v>
      </c>
      <c r="AR18" s="1253">
        <f t="shared" si="5"/>
        <v>0.55307262569832405</v>
      </c>
      <c r="AS18" s="1253">
        <f t="shared" si="6"/>
        <v>0.58823529411764708</v>
      </c>
      <c r="AT18" s="1253">
        <f t="shared" si="7"/>
        <v>0.63583815028901736</v>
      </c>
      <c r="AU18" s="1253">
        <f t="shared" si="8"/>
        <v>0.62424242424242427</v>
      </c>
      <c r="AV18" s="1253">
        <f t="shared" si="9"/>
        <v>0.59195402298850575</v>
      </c>
      <c r="AW18" s="1253">
        <f t="shared" si="10"/>
        <v>0.65714285714285714</v>
      </c>
      <c r="AX18" s="1253">
        <f t="shared" si="11"/>
        <v>0.67015706806282727</v>
      </c>
      <c r="AY18" s="1253">
        <f t="shared" si="12"/>
        <v>0.62576687116564422</v>
      </c>
      <c r="AZ18" s="1253">
        <f t="shared" si="13"/>
        <v>0.64197530864197527</v>
      </c>
      <c r="BA18" s="1253">
        <f t="shared" si="14"/>
        <v>0.63829787234042556</v>
      </c>
      <c r="BB18" s="1506">
        <f t="shared" si="15"/>
        <v>0.62893081761006286</v>
      </c>
      <c r="BC18" s="1508">
        <f>'Non-marital births'!L19</f>
        <v>0.66438356164383561</v>
      </c>
      <c r="BD18" s="1862">
        <v>0.66438356164383561</v>
      </c>
    </row>
    <row r="19" spans="1:56" s="142" customFormat="1" ht="15.75" customHeight="1" x14ac:dyDescent="0.2">
      <c r="A19" s="149" t="s">
        <v>38</v>
      </c>
      <c r="B19" s="189" t="s">
        <v>39</v>
      </c>
      <c r="C19" s="150" t="s">
        <v>268</v>
      </c>
      <c r="D19" s="1221">
        <v>281</v>
      </c>
      <c r="E19" s="1222">
        <v>270</v>
      </c>
      <c r="F19" s="1223">
        <v>259</v>
      </c>
      <c r="G19" s="1222">
        <v>248</v>
      </c>
      <c r="H19" s="1223">
        <v>234</v>
      </c>
      <c r="I19" s="1222">
        <v>240</v>
      </c>
      <c r="J19" s="1223">
        <v>238</v>
      </c>
      <c r="K19" s="1222">
        <v>234</v>
      </c>
      <c r="L19" s="1236">
        <v>208</v>
      </c>
      <c r="M19" s="1236">
        <v>202</v>
      </c>
      <c r="N19" s="1236">
        <v>251</v>
      </c>
      <c r="O19" s="1236">
        <v>207</v>
      </c>
      <c r="P19" s="1237">
        <v>218</v>
      </c>
      <c r="Q19" s="1237">
        <v>216</v>
      </c>
      <c r="R19" s="1510">
        <v>209</v>
      </c>
      <c r="S19" s="1511">
        <f>'Non-marital births'!D20</f>
        <v>183</v>
      </c>
      <c r="T19" s="1858">
        <v>183</v>
      </c>
      <c r="U19" s="1858"/>
      <c r="V19" s="1244">
        <v>89</v>
      </c>
      <c r="W19" s="1245">
        <v>73</v>
      </c>
      <c r="X19" s="1245">
        <v>84</v>
      </c>
      <c r="Y19" s="1245">
        <v>75</v>
      </c>
      <c r="Z19" s="1245">
        <v>63</v>
      </c>
      <c r="AA19" s="1245">
        <v>71</v>
      </c>
      <c r="AB19" s="1245">
        <v>68</v>
      </c>
      <c r="AC19" s="1245">
        <v>67</v>
      </c>
      <c r="AD19" s="1245">
        <v>56</v>
      </c>
      <c r="AE19" s="1245">
        <v>79</v>
      </c>
      <c r="AF19" s="1245">
        <v>74</v>
      </c>
      <c r="AG19" s="1245">
        <v>74</v>
      </c>
      <c r="AH19" s="1245">
        <v>76</v>
      </c>
      <c r="AI19" s="1245">
        <v>72</v>
      </c>
      <c r="AJ19" s="1513">
        <v>67</v>
      </c>
      <c r="AK19" s="1514">
        <f>'Non-marital births'!H20</f>
        <v>70</v>
      </c>
      <c r="AL19" s="1859">
        <v>70</v>
      </c>
      <c r="AM19" s="1859"/>
      <c r="AN19" s="1252">
        <f t="shared" si="0"/>
        <v>0.31672597864768681</v>
      </c>
      <c r="AO19" s="1253">
        <f t="shared" si="2"/>
        <v>0.27037037037037037</v>
      </c>
      <c r="AP19" s="1253">
        <f t="shared" si="3"/>
        <v>0.32432432432432434</v>
      </c>
      <c r="AQ19" s="1253">
        <f t="shared" si="4"/>
        <v>0.30241935483870969</v>
      </c>
      <c r="AR19" s="1253">
        <f t="shared" si="5"/>
        <v>0.26923076923076922</v>
      </c>
      <c r="AS19" s="1253">
        <f t="shared" si="6"/>
        <v>0.29583333333333334</v>
      </c>
      <c r="AT19" s="1253">
        <f t="shared" si="7"/>
        <v>0.2857142857142857</v>
      </c>
      <c r="AU19" s="1253">
        <f t="shared" si="8"/>
        <v>0.28632478632478631</v>
      </c>
      <c r="AV19" s="1253">
        <f t="shared" si="9"/>
        <v>0.26923076923076922</v>
      </c>
      <c r="AW19" s="1253">
        <f t="shared" si="10"/>
        <v>0.3910891089108911</v>
      </c>
      <c r="AX19" s="1253">
        <f t="shared" si="11"/>
        <v>0.29482071713147412</v>
      </c>
      <c r="AY19" s="1253">
        <f t="shared" si="12"/>
        <v>0.35748792270531399</v>
      </c>
      <c r="AZ19" s="1253">
        <f t="shared" si="13"/>
        <v>0.34862385321100919</v>
      </c>
      <c r="BA19" s="1253">
        <f t="shared" si="14"/>
        <v>0.33333333333333331</v>
      </c>
      <c r="BB19" s="1506">
        <f t="shared" si="15"/>
        <v>0.32057416267942584</v>
      </c>
      <c r="BC19" s="1508">
        <f>'Non-marital births'!L20</f>
        <v>0.38251366120218577</v>
      </c>
      <c r="BD19" s="1862">
        <v>0.38251366120218577</v>
      </c>
    </row>
    <row r="20" spans="1:56" s="142" customFormat="1" ht="15.75" customHeight="1" x14ac:dyDescent="0.2">
      <c r="A20" s="149" t="s">
        <v>40</v>
      </c>
      <c r="B20" s="189" t="s">
        <v>41</v>
      </c>
      <c r="C20" s="150" t="s">
        <v>266</v>
      </c>
      <c r="D20" s="1221">
        <v>143</v>
      </c>
      <c r="E20" s="1222">
        <v>111</v>
      </c>
      <c r="F20" s="1223">
        <v>96</v>
      </c>
      <c r="G20" s="1222">
        <v>126</v>
      </c>
      <c r="H20" s="1223">
        <v>160</v>
      </c>
      <c r="I20" s="1222">
        <v>153</v>
      </c>
      <c r="J20" s="1223">
        <v>161</v>
      </c>
      <c r="K20" s="1222">
        <v>139</v>
      </c>
      <c r="L20" s="1236">
        <v>163</v>
      </c>
      <c r="M20" s="1236">
        <v>206</v>
      </c>
      <c r="N20" s="1236">
        <v>184</v>
      </c>
      <c r="O20" s="1236">
        <v>191</v>
      </c>
      <c r="P20" s="1237">
        <v>164</v>
      </c>
      <c r="Q20" s="1237">
        <v>160</v>
      </c>
      <c r="R20" s="1510">
        <v>177</v>
      </c>
      <c r="S20" s="1511">
        <f>'Non-marital births'!D21</f>
        <v>150</v>
      </c>
      <c r="T20" s="1858">
        <v>150</v>
      </c>
      <c r="U20" s="1858"/>
      <c r="V20" s="1244">
        <v>55</v>
      </c>
      <c r="W20" s="1245">
        <v>56</v>
      </c>
      <c r="X20" s="1245">
        <v>45</v>
      </c>
      <c r="Y20" s="1245">
        <v>56</v>
      </c>
      <c r="Z20" s="1245">
        <v>74</v>
      </c>
      <c r="AA20" s="1245">
        <v>65</v>
      </c>
      <c r="AB20" s="1245">
        <v>76</v>
      </c>
      <c r="AC20" s="1245">
        <v>60</v>
      </c>
      <c r="AD20" s="1245">
        <v>86</v>
      </c>
      <c r="AE20" s="1245">
        <v>105</v>
      </c>
      <c r="AF20" s="1245">
        <v>93</v>
      </c>
      <c r="AG20" s="1245">
        <v>101</v>
      </c>
      <c r="AH20" s="1245">
        <v>90</v>
      </c>
      <c r="AI20" s="1245">
        <v>88</v>
      </c>
      <c r="AJ20" s="1513">
        <v>93</v>
      </c>
      <c r="AK20" s="1514">
        <f>'Non-marital births'!H21</f>
        <v>78</v>
      </c>
      <c r="AL20" s="1859">
        <v>78</v>
      </c>
      <c r="AM20" s="1859"/>
      <c r="AN20" s="1252">
        <f t="shared" si="0"/>
        <v>0.38461538461538464</v>
      </c>
      <c r="AO20" s="1253">
        <f t="shared" si="2"/>
        <v>0.50450450450450446</v>
      </c>
      <c r="AP20" s="1253">
        <f t="shared" si="3"/>
        <v>0.46875</v>
      </c>
      <c r="AQ20" s="1253">
        <f t="shared" si="4"/>
        <v>0.44444444444444442</v>
      </c>
      <c r="AR20" s="1253">
        <f t="shared" si="5"/>
        <v>0.46250000000000002</v>
      </c>
      <c r="AS20" s="1253">
        <f t="shared" si="6"/>
        <v>0.42483660130718953</v>
      </c>
      <c r="AT20" s="1253">
        <f t="shared" si="7"/>
        <v>0.47204968944099379</v>
      </c>
      <c r="AU20" s="1253">
        <f t="shared" si="8"/>
        <v>0.43165467625899279</v>
      </c>
      <c r="AV20" s="1253">
        <f t="shared" si="9"/>
        <v>0.52760736196319014</v>
      </c>
      <c r="AW20" s="1253">
        <f t="shared" si="10"/>
        <v>0.50970873786407767</v>
      </c>
      <c r="AX20" s="1253">
        <f t="shared" si="11"/>
        <v>0.50543478260869568</v>
      </c>
      <c r="AY20" s="1253">
        <f t="shared" si="12"/>
        <v>0.52879581151832455</v>
      </c>
      <c r="AZ20" s="1253">
        <f t="shared" si="13"/>
        <v>0.54878048780487809</v>
      </c>
      <c r="BA20" s="1253">
        <f t="shared" si="14"/>
        <v>0.55000000000000004</v>
      </c>
      <c r="BB20" s="1506">
        <f t="shared" si="15"/>
        <v>0.52542372881355937</v>
      </c>
      <c r="BC20" s="1508">
        <f>'Non-marital births'!L21</f>
        <v>0.52</v>
      </c>
      <c r="BD20" s="1862">
        <v>0.52</v>
      </c>
    </row>
    <row r="21" spans="1:56" s="142" customFormat="1" ht="15.75" customHeight="1" x14ac:dyDescent="0.2">
      <c r="A21" s="149" t="s">
        <v>42</v>
      </c>
      <c r="B21" s="189" t="s">
        <v>43</v>
      </c>
      <c r="C21" s="150" t="s">
        <v>265</v>
      </c>
      <c r="D21" s="1221">
        <v>668</v>
      </c>
      <c r="E21" s="1222">
        <v>661</v>
      </c>
      <c r="F21" s="1223">
        <v>664</v>
      </c>
      <c r="G21" s="1222">
        <v>585</v>
      </c>
      <c r="H21" s="1223">
        <v>616</v>
      </c>
      <c r="I21" s="1222">
        <v>582</v>
      </c>
      <c r="J21" s="1223">
        <v>574</v>
      </c>
      <c r="K21" s="1222">
        <v>565</v>
      </c>
      <c r="L21" s="1236">
        <v>515</v>
      </c>
      <c r="M21" s="1236">
        <v>549</v>
      </c>
      <c r="N21" s="1236">
        <v>593</v>
      </c>
      <c r="O21" s="1236">
        <v>514</v>
      </c>
      <c r="P21" s="1237">
        <v>485</v>
      </c>
      <c r="Q21" s="1237">
        <v>539</v>
      </c>
      <c r="R21" s="1510">
        <v>480</v>
      </c>
      <c r="S21" s="1511">
        <f>'Non-marital births'!D22</f>
        <v>436</v>
      </c>
      <c r="T21" s="1858">
        <v>436</v>
      </c>
      <c r="U21" s="1858"/>
      <c r="V21" s="1244">
        <v>222</v>
      </c>
      <c r="W21" s="1245">
        <v>217</v>
      </c>
      <c r="X21" s="1245">
        <v>212</v>
      </c>
      <c r="Y21" s="1245">
        <v>201</v>
      </c>
      <c r="Z21" s="1245">
        <v>200</v>
      </c>
      <c r="AA21" s="1245">
        <v>193</v>
      </c>
      <c r="AB21" s="1245">
        <v>185</v>
      </c>
      <c r="AC21" s="1245">
        <v>205</v>
      </c>
      <c r="AD21" s="1245">
        <v>180</v>
      </c>
      <c r="AE21" s="1245">
        <v>221</v>
      </c>
      <c r="AF21" s="1245">
        <v>227</v>
      </c>
      <c r="AG21" s="1245">
        <v>182</v>
      </c>
      <c r="AH21" s="1245">
        <v>183</v>
      </c>
      <c r="AI21" s="1245">
        <v>206</v>
      </c>
      <c r="AJ21" s="1513">
        <v>164</v>
      </c>
      <c r="AK21" s="1514">
        <f>'Non-marital births'!H22</f>
        <v>160</v>
      </c>
      <c r="AL21" s="1859">
        <v>160</v>
      </c>
      <c r="AM21" s="1859"/>
      <c r="AN21" s="1252">
        <f t="shared" si="0"/>
        <v>0.33233532934131738</v>
      </c>
      <c r="AO21" s="1253">
        <f t="shared" si="2"/>
        <v>0.32829046898638425</v>
      </c>
      <c r="AP21" s="1253">
        <f t="shared" si="3"/>
        <v>0.31927710843373491</v>
      </c>
      <c r="AQ21" s="1253">
        <f t="shared" si="4"/>
        <v>0.34358974358974359</v>
      </c>
      <c r="AR21" s="1253">
        <f t="shared" si="5"/>
        <v>0.32467532467532467</v>
      </c>
      <c r="AS21" s="1253">
        <f t="shared" si="6"/>
        <v>0.33161512027491408</v>
      </c>
      <c r="AT21" s="1253">
        <f t="shared" si="7"/>
        <v>0.32229965156794427</v>
      </c>
      <c r="AU21" s="1253">
        <f t="shared" si="8"/>
        <v>0.36283185840707965</v>
      </c>
      <c r="AV21" s="1253">
        <f t="shared" si="9"/>
        <v>0.34951456310679613</v>
      </c>
      <c r="AW21" s="1253">
        <f t="shared" si="10"/>
        <v>0.40255009107468126</v>
      </c>
      <c r="AX21" s="1253">
        <f t="shared" si="11"/>
        <v>0.38279932546374368</v>
      </c>
      <c r="AY21" s="1253">
        <f t="shared" si="12"/>
        <v>0.35408560311284049</v>
      </c>
      <c r="AZ21" s="1253">
        <f t="shared" si="13"/>
        <v>0.37731958762886597</v>
      </c>
      <c r="BA21" s="1253">
        <f t="shared" si="14"/>
        <v>0.38218923933209648</v>
      </c>
      <c r="BB21" s="1506">
        <f t="shared" si="15"/>
        <v>0.34166666666666667</v>
      </c>
      <c r="BC21" s="1508">
        <f>'Non-marital births'!L22</f>
        <v>0.3669724770642202</v>
      </c>
      <c r="BD21" s="1862">
        <v>0.3669724770642202</v>
      </c>
    </row>
    <row r="22" spans="1:56" s="142" customFormat="1" ht="15.75" customHeight="1" x14ac:dyDescent="0.2">
      <c r="A22" s="149" t="s">
        <v>44</v>
      </c>
      <c r="B22" s="189" t="s">
        <v>45</v>
      </c>
      <c r="C22" s="150" t="s">
        <v>266</v>
      </c>
      <c r="D22" s="1221">
        <v>304</v>
      </c>
      <c r="E22" s="1222">
        <v>280</v>
      </c>
      <c r="F22" s="1223">
        <v>267</v>
      </c>
      <c r="G22" s="1222">
        <v>275</v>
      </c>
      <c r="H22" s="1223">
        <v>283</v>
      </c>
      <c r="I22" s="1222">
        <v>311</v>
      </c>
      <c r="J22" s="1223">
        <v>318</v>
      </c>
      <c r="K22" s="1222">
        <v>351</v>
      </c>
      <c r="L22" s="1236">
        <v>409</v>
      </c>
      <c r="M22" s="1236">
        <v>416</v>
      </c>
      <c r="N22" s="1236">
        <v>389</v>
      </c>
      <c r="O22" s="1236">
        <v>397</v>
      </c>
      <c r="P22" s="1237">
        <v>363</v>
      </c>
      <c r="Q22" s="1237">
        <v>394</v>
      </c>
      <c r="R22" s="1510">
        <v>389</v>
      </c>
      <c r="S22" s="1511">
        <f>'Non-marital births'!D23</f>
        <v>396</v>
      </c>
      <c r="T22" s="1858">
        <v>396</v>
      </c>
      <c r="U22" s="1858"/>
      <c r="V22" s="1244">
        <v>118</v>
      </c>
      <c r="W22" s="1245">
        <v>112</v>
      </c>
      <c r="X22" s="1245">
        <v>116</v>
      </c>
      <c r="Y22" s="1245">
        <v>114</v>
      </c>
      <c r="Z22" s="1245">
        <v>123</v>
      </c>
      <c r="AA22" s="1245">
        <v>125</v>
      </c>
      <c r="AB22" s="1245">
        <v>132</v>
      </c>
      <c r="AC22" s="1245">
        <v>137</v>
      </c>
      <c r="AD22" s="1245">
        <v>160</v>
      </c>
      <c r="AE22" s="1245">
        <v>160</v>
      </c>
      <c r="AF22" s="1245">
        <v>160</v>
      </c>
      <c r="AG22" s="1245">
        <v>167</v>
      </c>
      <c r="AH22" s="1245">
        <v>144</v>
      </c>
      <c r="AI22" s="1245">
        <v>178</v>
      </c>
      <c r="AJ22" s="1513">
        <v>178</v>
      </c>
      <c r="AK22" s="1514">
        <f>'Non-marital births'!H23</f>
        <v>148</v>
      </c>
      <c r="AL22" s="1859">
        <v>148</v>
      </c>
      <c r="AM22" s="1859"/>
      <c r="AN22" s="1252">
        <f t="shared" si="0"/>
        <v>0.38815789473684209</v>
      </c>
      <c r="AO22" s="1253">
        <f t="shared" si="2"/>
        <v>0.4</v>
      </c>
      <c r="AP22" s="1253">
        <f t="shared" si="3"/>
        <v>0.43445692883895132</v>
      </c>
      <c r="AQ22" s="1253">
        <f t="shared" si="4"/>
        <v>0.41454545454545455</v>
      </c>
      <c r="AR22" s="1253">
        <f t="shared" si="5"/>
        <v>0.43462897526501765</v>
      </c>
      <c r="AS22" s="1253">
        <f t="shared" si="6"/>
        <v>0.40192926045016075</v>
      </c>
      <c r="AT22" s="1253">
        <f t="shared" si="7"/>
        <v>0.41509433962264153</v>
      </c>
      <c r="AU22" s="1253">
        <f t="shared" si="8"/>
        <v>0.3903133903133903</v>
      </c>
      <c r="AV22" s="1253">
        <f t="shared" si="9"/>
        <v>0.39119804400977998</v>
      </c>
      <c r="AW22" s="1253">
        <f t="shared" si="10"/>
        <v>0.38461538461538464</v>
      </c>
      <c r="AX22" s="1253">
        <f t="shared" si="11"/>
        <v>0.41131105398457585</v>
      </c>
      <c r="AY22" s="1253">
        <f t="shared" si="12"/>
        <v>0.42065491183879095</v>
      </c>
      <c r="AZ22" s="1253">
        <f t="shared" si="13"/>
        <v>0.39669421487603307</v>
      </c>
      <c r="BA22" s="1253">
        <f t="shared" si="14"/>
        <v>0.45177664974619292</v>
      </c>
      <c r="BB22" s="1506">
        <f t="shared" si="15"/>
        <v>0.45758354755784064</v>
      </c>
      <c r="BC22" s="1508">
        <f>'Non-marital births'!L23</f>
        <v>0.37373737373737376</v>
      </c>
      <c r="BD22" s="1862">
        <v>0.37373737373737376</v>
      </c>
    </row>
    <row r="23" spans="1:56" s="142" customFormat="1" ht="15.75" customHeight="1" x14ac:dyDescent="0.2">
      <c r="A23" s="149" t="s">
        <v>46</v>
      </c>
      <c r="B23" s="189" t="s">
        <v>47</v>
      </c>
      <c r="C23" s="150" t="s">
        <v>268</v>
      </c>
      <c r="D23" s="1221">
        <v>254</v>
      </c>
      <c r="E23" s="1222">
        <v>288</v>
      </c>
      <c r="F23" s="1223">
        <v>259</v>
      </c>
      <c r="G23" s="1222">
        <v>274</v>
      </c>
      <c r="H23" s="1223">
        <v>296</v>
      </c>
      <c r="I23" s="1222">
        <v>284</v>
      </c>
      <c r="J23" s="1223">
        <v>286</v>
      </c>
      <c r="K23" s="1222">
        <v>280</v>
      </c>
      <c r="L23" s="1236">
        <v>311</v>
      </c>
      <c r="M23" s="1236">
        <v>302</v>
      </c>
      <c r="N23" s="1236">
        <v>289</v>
      </c>
      <c r="O23" s="1236">
        <v>288</v>
      </c>
      <c r="P23" s="1237">
        <v>222</v>
      </c>
      <c r="Q23" s="1237">
        <v>237</v>
      </c>
      <c r="R23" s="1510">
        <v>279</v>
      </c>
      <c r="S23" s="1511">
        <f>'Non-marital births'!D24</f>
        <v>269</v>
      </c>
      <c r="T23" s="1858">
        <v>269</v>
      </c>
      <c r="U23" s="1858"/>
      <c r="V23" s="1244">
        <v>52</v>
      </c>
      <c r="W23" s="1245">
        <v>77</v>
      </c>
      <c r="X23" s="1245">
        <v>74</v>
      </c>
      <c r="Y23" s="1245">
        <v>61</v>
      </c>
      <c r="Z23" s="1245">
        <v>80</v>
      </c>
      <c r="AA23" s="1245">
        <v>84</v>
      </c>
      <c r="AB23" s="1245">
        <v>81</v>
      </c>
      <c r="AC23" s="1245">
        <v>74</v>
      </c>
      <c r="AD23" s="1245">
        <v>103</v>
      </c>
      <c r="AE23" s="1245">
        <v>107</v>
      </c>
      <c r="AF23" s="1245">
        <v>97</v>
      </c>
      <c r="AG23" s="1245">
        <v>116</v>
      </c>
      <c r="AH23" s="1245">
        <v>93</v>
      </c>
      <c r="AI23" s="1245">
        <v>86</v>
      </c>
      <c r="AJ23" s="1513">
        <v>111</v>
      </c>
      <c r="AK23" s="1514">
        <f>'Non-marital births'!H24</f>
        <v>120</v>
      </c>
      <c r="AL23" s="1859">
        <v>120</v>
      </c>
      <c r="AM23" s="1859"/>
      <c r="AN23" s="1252">
        <f t="shared" si="0"/>
        <v>0.20472440944881889</v>
      </c>
      <c r="AO23" s="1253">
        <f t="shared" si="2"/>
        <v>0.2673611111111111</v>
      </c>
      <c r="AP23" s="1253">
        <f t="shared" si="3"/>
        <v>0.2857142857142857</v>
      </c>
      <c r="AQ23" s="1253">
        <f t="shared" si="4"/>
        <v>0.22262773722627738</v>
      </c>
      <c r="AR23" s="1253">
        <f t="shared" si="5"/>
        <v>0.27027027027027029</v>
      </c>
      <c r="AS23" s="1253">
        <f t="shared" si="6"/>
        <v>0.29577464788732394</v>
      </c>
      <c r="AT23" s="1253">
        <f t="shared" si="7"/>
        <v>0.28321678321678323</v>
      </c>
      <c r="AU23" s="1253">
        <f t="shared" si="8"/>
        <v>0.26428571428571429</v>
      </c>
      <c r="AV23" s="1253">
        <f t="shared" si="9"/>
        <v>0.3311897106109325</v>
      </c>
      <c r="AW23" s="1253">
        <f t="shared" si="10"/>
        <v>0.35430463576158938</v>
      </c>
      <c r="AX23" s="1253">
        <f t="shared" si="11"/>
        <v>0.33564013840830448</v>
      </c>
      <c r="AY23" s="1253">
        <f t="shared" si="12"/>
        <v>0.40277777777777779</v>
      </c>
      <c r="AZ23" s="1253">
        <f t="shared" si="13"/>
        <v>0.41891891891891891</v>
      </c>
      <c r="BA23" s="1253">
        <f t="shared" si="14"/>
        <v>0.3628691983122363</v>
      </c>
      <c r="BB23" s="1506">
        <f t="shared" si="15"/>
        <v>0.39784946236559138</v>
      </c>
      <c r="BC23" s="1508">
        <f>'Non-marital births'!L24</f>
        <v>0.44609665427509293</v>
      </c>
      <c r="BD23" s="1862">
        <v>0.44609665427509293</v>
      </c>
    </row>
    <row r="24" spans="1:56" s="142" customFormat="1" ht="15.75" customHeight="1" x14ac:dyDescent="0.2">
      <c r="A24" s="149" t="s">
        <v>48</v>
      </c>
      <c r="B24" s="189" t="s">
        <v>269</v>
      </c>
      <c r="C24" s="150" t="s">
        <v>266</v>
      </c>
      <c r="D24" s="1221">
        <v>87</v>
      </c>
      <c r="E24" s="1222">
        <v>77</v>
      </c>
      <c r="F24" s="1223">
        <v>73</v>
      </c>
      <c r="G24" s="1222">
        <v>66</v>
      </c>
      <c r="H24" s="1223">
        <v>78</v>
      </c>
      <c r="I24" s="1222">
        <v>67</v>
      </c>
      <c r="J24" s="1223">
        <v>68</v>
      </c>
      <c r="K24" s="1222">
        <v>79</v>
      </c>
      <c r="L24" s="1236">
        <v>62</v>
      </c>
      <c r="M24" s="1236">
        <v>56</v>
      </c>
      <c r="N24" s="1236">
        <v>76</v>
      </c>
      <c r="O24" s="1236">
        <v>46</v>
      </c>
      <c r="P24" s="1237">
        <v>55</v>
      </c>
      <c r="Q24" s="1237">
        <v>48</v>
      </c>
      <c r="R24" s="1510">
        <v>53</v>
      </c>
      <c r="S24" s="1511">
        <f>'Non-marital births'!D25</f>
        <v>63</v>
      </c>
      <c r="T24" s="1858">
        <v>63</v>
      </c>
      <c r="U24" s="1858"/>
      <c r="V24" s="1244">
        <v>36</v>
      </c>
      <c r="W24" s="1245">
        <v>41</v>
      </c>
      <c r="X24" s="1245">
        <v>37</v>
      </c>
      <c r="Y24" s="1245">
        <v>39</v>
      </c>
      <c r="Z24" s="1245">
        <v>32</v>
      </c>
      <c r="AA24" s="1245">
        <v>31</v>
      </c>
      <c r="AB24" s="1245">
        <v>38</v>
      </c>
      <c r="AC24" s="1245">
        <v>40</v>
      </c>
      <c r="AD24" s="1245">
        <v>39</v>
      </c>
      <c r="AE24" s="1245">
        <v>23</v>
      </c>
      <c r="AF24" s="1245">
        <v>44</v>
      </c>
      <c r="AG24" s="1245">
        <v>31</v>
      </c>
      <c r="AH24" s="1245">
        <v>28</v>
      </c>
      <c r="AI24" s="1245">
        <v>28</v>
      </c>
      <c r="AJ24" s="1513">
        <v>30</v>
      </c>
      <c r="AK24" s="1514">
        <f>'Non-marital births'!H25</f>
        <v>36</v>
      </c>
      <c r="AL24" s="1859">
        <v>36</v>
      </c>
      <c r="AM24" s="1859"/>
      <c r="AN24" s="1252">
        <f t="shared" si="0"/>
        <v>0.41379310344827586</v>
      </c>
      <c r="AO24" s="1253">
        <f t="shared" si="2"/>
        <v>0.53246753246753242</v>
      </c>
      <c r="AP24" s="1253">
        <f t="shared" si="3"/>
        <v>0.50684931506849318</v>
      </c>
      <c r="AQ24" s="1253">
        <f t="shared" si="4"/>
        <v>0.59090909090909094</v>
      </c>
      <c r="AR24" s="1253">
        <f t="shared" si="5"/>
        <v>0.41025641025641024</v>
      </c>
      <c r="AS24" s="1253">
        <f t="shared" si="6"/>
        <v>0.46268656716417911</v>
      </c>
      <c r="AT24" s="1253">
        <f t="shared" si="7"/>
        <v>0.55882352941176472</v>
      </c>
      <c r="AU24" s="1253">
        <f t="shared" si="8"/>
        <v>0.50632911392405067</v>
      </c>
      <c r="AV24" s="1253">
        <f t="shared" si="9"/>
        <v>0.62903225806451613</v>
      </c>
      <c r="AW24" s="1253">
        <f t="shared" si="10"/>
        <v>0.4107142857142857</v>
      </c>
      <c r="AX24" s="1253">
        <f t="shared" si="11"/>
        <v>0.57894736842105265</v>
      </c>
      <c r="AY24" s="1253">
        <f t="shared" si="12"/>
        <v>0.67391304347826086</v>
      </c>
      <c r="AZ24" s="1253">
        <f t="shared" si="13"/>
        <v>0.50909090909090904</v>
      </c>
      <c r="BA24" s="1253">
        <f t="shared" si="14"/>
        <v>0.58333333333333337</v>
      </c>
      <c r="BB24" s="1506">
        <f t="shared" si="15"/>
        <v>0.56603773584905659</v>
      </c>
      <c r="BC24" s="1508">
        <f>'Non-marital births'!L25</f>
        <v>0.5714285714285714</v>
      </c>
      <c r="BD24" s="1862">
        <v>0.5714285714285714</v>
      </c>
    </row>
    <row r="25" spans="1:56" s="142" customFormat="1" ht="15.75" customHeight="1" x14ac:dyDescent="0.2">
      <c r="A25" s="149" t="s">
        <v>50</v>
      </c>
      <c r="B25" s="189" t="s">
        <v>51</v>
      </c>
      <c r="C25" s="150" t="s">
        <v>265</v>
      </c>
      <c r="D25" s="1221">
        <v>150</v>
      </c>
      <c r="E25" s="1222">
        <v>161</v>
      </c>
      <c r="F25" s="1223">
        <v>158</v>
      </c>
      <c r="G25" s="1222">
        <v>158</v>
      </c>
      <c r="H25" s="1223">
        <v>145</v>
      </c>
      <c r="I25" s="1222">
        <v>130</v>
      </c>
      <c r="J25" s="1223">
        <v>150</v>
      </c>
      <c r="K25" s="1222">
        <v>138</v>
      </c>
      <c r="L25" s="1236">
        <v>122</v>
      </c>
      <c r="M25" s="1236">
        <v>129</v>
      </c>
      <c r="N25" s="1236">
        <v>170</v>
      </c>
      <c r="O25" s="1236">
        <v>129</v>
      </c>
      <c r="P25" s="1237">
        <v>112</v>
      </c>
      <c r="Q25" s="1237">
        <v>153</v>
      </c>
      <c r="R25" s="1510">
        <v>143</v>
      </c>
      <c r="S25" s="1511">
        <f>'Non-marital births'!D26</f>
        <v>149</v>
      </c>
      <c r="T25" s="1858">
        <v>149</v>
      </c>
      <c r="U25" s="1858"/>
      <c r="V25" s="1244">
        <v>62</v>
      </c>
      <c r="W25" s="1245">
        <v>62</v>
      </c>
      <c r="X25" s="1245">
        <v>55</v>
      </c>
      <c r="Y25" s="1245">
        <v>60</v>
      </c>
      <c r="Z25" s="1245">
        <v>51</v>
      </c>
      <c r="AA25" s="1245">
        <v>51</v>
      </c>
      <c r="AB25" s="1245">
        <v>68</v>
      </c>
      <c r="AC25" s="1245">
        <v>64</v>
      </c>
      <c r="AD25" s="1245">
        <v>49</v>
      </c>
      <c r="AE25" s="1245">
        <v>58</v>
      </c>
      <c r="AF25" s="1245">
        <v>83</v>
      </c>
      <c r="AG25" s="1245">
        <v>52</v>
      </c>
      <c r="AH25" s="1245">
        <v>52</v>
      </c>
      <c r="AI25" s="1245">
        <v>69</v>
      </c>
      <c r="AJ25" s="1513">
        <v>54</v>
      </c>
      <c r="AK25" s="1514">
        <f>'Non-marital births'!H26</f>
        <v>66</v>
      </c>
      <c r="AL25" s="1859">
        <v>66</v>
      </c>
      <c r="AM25" s="1859"/>
      <c r="AN25" s="1252">
        <f t="shared" si="0"/>
        <v>0.41333333333333333</v>
      </c>
      <c r="AO25" s="1253">
        <f t="shared" si="2"/>
        <v>0.38509316770186336</v>
      </c>
      <c r="AP25" s="1253">
        <f t="shared" si="3"/>
        <v>0.34810126582278483</v>
      </c>
      <c r="AQ25" s="1253">
        <f t="shared" si="4"/>
        <v>0.379746835443038</v>
      </c>
      <c r="AR25" s="1253">
        <f t="shared" si="5"/>
        <v>0.35172413793103446</v>
      </c>
      <c r="AS25" s="1253">
        <f t="shared" si="6"/>
        <v>0.3923076923076923</v>
      </c>
      <c r="AT25" s="1253">
        <f t="shared" si="7"/>
        <v>0.45333333333333331</v>
      </c>
      <c r="AU25" s="1253">
        <f t="shared" si="8"/>
        <v>0.46376811594202899</v>
      </c>
      <c r="AV25" s="1253">
        <f t="shared" si="9"/>
        <v>0.40163934426229508</v>
      </c>
      <c r="AW25" s="1253">
        <f t="shared" si="10"/>
        <v>0.44961240310077522</v>
      </c>
      <c r="AX25" s="1253">
        <f t="shared" si="11"/>
        <v>0.48823529411764705</v>
      </c>
      <c r="AY25" s="1253">
        <f t="shared" si="12"/>
        <v>0.40310077519379844</v>
      </c>
      <c r="AZ25" s="1253">
        <f t="shared" si="13"/>
        <v>0.4642857142857143</v>
      </c>
      <c r="BA25" s="1253">
        <f t="shared" si="14"/>
        <v>0.45098039215686275</v>
      </c>
      <c r="BB25" s="1506">
        <f t="shared" si="15"/>
        <v>0.3776223776223776</v>
      </c>
      <c r="BC25" s="1508">
        <f>'Non-marital births'!L26</f>
        <v>0.44295302013422821</v>
      </c>
      <c r="BD25" s="1862">
        <v>0.44295302013422821</v>
      </c>
    </row>
    <row r="26" spans="1:56" s="142" customFormat="1" ht="15.75" customHeight="1" x14ac:dyDescent="0.2">
      <c r="A26" s="149" t="s">
        <v>56</v>
      </c>
      <c r="B26" s="189" t="s">
        <v>295</v>
      </c>
      <c r="C26" s="150" t="s">
        <v>266</v>
      </c>
      <c r="D26" s="1221">
        <v>3603</v>
      </c>
      <c r="E26" s="1222">
        <v>3414</v>
      </c>
      <c r="F26" s="1223">
        <v>3603</v>
      </c>
      <c r="G26" s="1222">
        <v>3548</v>
      </c>
      <c r="H26" s="1223">
        <v>3541</v>
      </c>
      <c r="I26" s="1222">
        <v>3740</v>
      </c>
      <c r="J26" s="1223">
        <v>3871</v>
      </c>
      <c r="K26" s="1222">
        <v>3890</v>
      </c>
      <c r="L26" s="1236">
        <v>4207</v>
      </c>
      <c r="M26" s="1236">
        <v>4138</v>
      </c>
      <c r="N26" s="1236">
        <v>3967</v>
      </c>
      <c r="O26" s="1236">
        <v>3998</v>
      </c>
      <c r="P26" s="1237">
        <v>3921</v>
      </c>
      <c r="Q26" s="1237">
        <v>3903</v>
      </c>
      <c r="R26" s="1510">
        <v>3919</v>
      </c>
      <c r="S26" s="1511">
        <f>'Non-marital births'!D27</f>
        <v>4026</v>
      </c>
      <c r="T26" s="1858">
        <v>4026</v>
      </c>
      <c r="U26" s="1858"/>
      <c r="V26" s="1244">
        <v>832</v>
      </c>
      <c r="W26" s="1245">
        <v>808</v>
      </c>
      <c r="X26" s="1245">
        <v>883</v>
      </c>
      <c r="Y26" s="1245">
        <v>901</v>
      </c>
      <c r="Z26" s="1245">
        <v>929</v>
      </c>
      <c r="AA26" s="1245">
        <v>996</v>
      </c>
      <c r="AB26" s="1245">
        <v>1064</v>
      </c>
      <c r="AC26" s="1245">
        <v>1126</v>
      </c>
      <c r="AD26" s="1245">
        <v>1240</v>
      </c>
      <c r="AE26" s="1245">
        <v>1289</v>
      </c>
      <c r="AF26" s="1245">
        <v>1293</v>
      </c>
      <c r="AG26" s="1245">
        <v>1361</v>
      </c>
      <c r="AH26" s="1245">
        <v>1374</v>
      </c>
      <c r="AI26" s="1245">
        <v>1396</v>
      </c>
      <c r="AJ26" s="1513">
        <v>1437</v>
      </c>
      <c r="AK26" s="1514">
        <f>'Non-marital births'!H27</f>
        <v>1432</v>
      </c>
      <c r="AL26" s="1859">
        <v>1432</v>
      </c>
      <c r="AM26" s="1859"/>
      <c r="AN26" s="1252">
        <f t="shared" si="0"/>
        <v>0.23091867887871217</v>
      </c>
      <c r="AO26" s="1253">
        <f t="shared" si="2"/>
        <v>0.23667252489748097</v>
      </c>
      <c r="AP26" s="1253">
        <f t="shared" si="3"/>
        <v>0.24507354981959478</v>
      </c>
      <c r="AQ26" s="1253">
        <f t="shared" si="4"/>
        <v>0.25394588500563697</v>
      </c>
      <c r="AR26" s="1253">
        <f t="shared" si="5"/>
        <v>0.26235526687376448</v>
      </c>
      <c r="AS26" s="1253">
        <f t="shared" si="6"/>
        <v>0.26631016042780747</v>
      </c>
      <c r="AT26" s="1253">
        <f t="shared" si="7"/>
        <v>0.27486437613019893</v>
      </c>
      <c r="AU26" s="1253">
        <f t="shared" si="8"/>
        <v>0.28946015424164523</v>
      </c>
      <c r="AV26" s="1253">
        <f t="shared" si="9"/>
        <v>0.29474685048728311</v>
      </c>
      <c r="AW26" s="1253">
        <f t="shared" si="10"/>
        <v>0.31150314161430642</v>
      </c>
      <c r="AX26" s="1253">
        <f t="shared" si="11"/>
        <v>0.32593899672296445</v>
      </c>
      <c r="AY26" s="1253">
        <f t="shared" si="12"/>
        <v>0.34042021010505252</v>
      </c>
      <c r="AZ26" s="1253">
        <f t="shared" si="13"/>
        <v>0.35042081101759753</v>
      </c>
      <c r="BA26" s="1253">
        <f t="shared" si="14"/>
        <v>0.35767358442223929</v>
      </c>
      <c r="BB26" s="1506">
        <f t="shared" si="15"/>
        <v>0.36667517223781576</v>
      </c>
      <c r="BC26" s="1508">
        <f>'Non-marital births'!L27</f>
        <v>0.35568802781917536</v>
      </c>
      <c r="BD26" s="1862">
        <v>0.35568802781917536</v>
      </c>
    </row>
    <row r="27" spans="1:56" s="142" customFormat="1" ht="15.75" customHeight="1" x14ac:dyDescent="0.2">
      <c r="A27" s="149" t="s">
        <v>58</v>
      </c>
      <c r="B27" s="189" t="s">
        <v>59</v>
      </c>
      <c r="C27" s="150" t="s">
        <v>267</v>
      </c>
      <c r="D27" s="1221">
        <v>114</v>
      </c>
      <c r="E27" s="1222">
        <v>118</v>
      </c>
      <c r="F27" s="1223">
        <v>112</v>
      </c>
      <c r="G27" s="1222">
        <v>121</v>
      </c>
      <c r="H27" s="1223">
        <v>115</v>
      </c>
      <c r="I27" s="1222">
        <v>132</v>
      </c>
      <c r="J27" s="1223">
        <v>131</v>
      </c>
      <c r="K27" s="1222">
        <v>121</v>
      </c>
      <c r="L27" s="1236">
        <v>148</v>
      </c>
      <c r="M27" s="1236">
        <v>135</v>
      </c>
      <c r="N27" s="1236">
        <v>138</v>
      </c>
      <c r="O27" s="1236">
        <v>123</v>
      </c>
      <c r="P27" s="1237">
        <v>142</v>
      </c>
      <c r="Q27" s="1237">
        <v>126</v>
      </c>
      <c r="R27" s="1510">
        <v>140</v>
      </c>
      <c r="S27" s="1511">
        <f>'Non-marital births'!D28</f>
        <v>132</v>
      </c>
      <c r="T27" s="1858">
        <v>132</v>
      </c>
      <c r="U27" s="1858"/>
      <c r="V27" s="1244">
        <v>24</v>
      </c>
      <c r="W27" s="1245">
        <v>33</v>
      </c>
      <c r="X27" s="1245">
        <v>27</v>
      </c>
      <c r="Y27" s="1245">
        <v>24</v>
      </c>
      <c r="Z27" s="1245">
        <v>26</v>
      </c>
      <c r="AA27" s="1245">
        <v>22</v>
      </c>
      <c r="AB27" s="1245">
        <v>25</v>
      </c>
      <c r="AC27" s="1245">
        <v>25</v>
      </c>
      <c r="AD27" s="1245">
        <v>32</v>
      </c>
      <c r="AE27" s="1245">
        <v>41</v>
      </c>
      <c r="AF27" s="1245">
        <v>38</v>
      </c>
      <c r="AG27" s="1245">
        <v>35</v>
      </c>
      <c r="AH27" s="1245">
        <v>41</v>
      </c>
      <c r="AI27" s="1245">
        <v>47</v>
      </c>
      <c r="AJ27" s="1513">
        <v>46</v>
      </c>
      <c r="AK27" s="1514">
        <f>'Non-marital births'!H28</f>
        <v>34</v>
      </c>
      <c r="AL27" s="1859">
        <v>34</v>
      </c>
      <c r="AM27" s="1859"/>
      <c r="AN27" s="1252">
        <f t="shared" si="0"/>
        <v>0.21052631578947367</v>
      </c>
      <c r="AO27" s="1253">
        <f t="shared" si="2"/>
        <v>0.27966101694915252</v>
      </c>
      <c r="AP27" s="1253">
        <f t="shared" si="3"/>
        <v>0.24107142857142858</v>
      </c>
      <c r="AQ27" s="1253">
        <f t="shared" si="4"/>
        <v>0.19834710743801653</v>
      </c>
      <c r="AR27" s="1253">
        <f t="shared" si="5"/>
        <v>0.22608695652173913</v>
      </c>
      <c r="AS27" s="1253">
        <f t="shared" si="6"/>
        <v>0.16666666666666666</v>
      </c>
      <c r="AT27" s="1253">
        <f t="shared" si="7"/>
        <v>0.19083969465648856</v>
      </c>
      <c r="AU27" s="1253">
        <f t="shared" si="8"/>
        <v>0.20661157024793389</v>
      </c>
      <c r="AV27" s="1253">
        <f t="shared" si="9"/>
        <v>0.21621621621621623</v>
      </c>
      <c r="AW27" s="1253">
        <f t="shared" si="10"/>
        <v>0.3037037037037037</v>
      </c>
      <c r="AX27" s="1253">
        <f t="shared" si="11"/>
        <v>0.27536231884057971</v>
      </c>
      <c r="AY27" s="1253">
        <f t="shared" si="12"/>
        <v>0.28455284552845528</v>
      </c>
      <c r="AZ27" s="1253">
        <f t="shared" si="13"/>
        <v>0.28873239436619719</v>
      </c>
      <c r="BA27" s="1253">
        <f t="shared" si="14"/>
        <v>0.37301587301587302</v>
      </c>
      <c r="BB27" s="1506">
        <f t="shared" si="15"/>
        <v>0.32857142857142857</v>
      </c>
      <c r="BC27" s="1508">
        <f>'Non-marital births'!L28</f>
        <v>0.25757575757575757</v>
      </c>
      <c r="BD27" s="1862">
        <v>0.25757575757575757</v>
      </c>
    </row>
    <row r="28" spans="1:56" s="142" customFormat="1" ht="15.75" customHeight="1" x14ac:dyDescent="0.2">
      <c r="A28" s="149" t="s">
        <v>60</v>
      </c>
      <c r="B28" s="189" t="s">
        <v>61</v>
      </c>
      <c r="C28" s="150" t="s">
        <v>265</v>
      </c>
      <c r="D28" s="1221">
        <v>45</v>
      </c>
      <c r="E28" s="1222">
        <v>54</v>
      </c>
      <c r="F28" s="1223">
        <v>58</v>
      </c>
      <c r="G28" s="1222">
        <v>61</v>
      </c>
      <c r="H28" s="1223">
        <v>49</v>
      </c>
      <c r="I28" s="1222">
        <v>55</v>
      </c>
      <c r="J28" s="1223">
        <v>43</v>
      </c>
      <c r="K28" s="1222">
        <v>46</v>
      </c>
      <c r="L28" s="1236">
        <v>48</v>
      </c>
      <c r="M28" s="1236">
        <v>40</v>
      </c>
      <c r="N28" s="1236">
        <v>38</v>
      </c>
      <c r="O28" s="1236">
        <v>50</v>
      </c>
      <c r="P28" s="1237">
        <v>33</v>
      </c>
      <c r="Q28" s="1237">
        <v>41</v>
      </c>
      <c r="R28" s="1510">
        <v>36</v>
      </c>
      <c r="S28" s="1511">
        <f>'Non-marital births'!D29</f>
        <v>37</v>
      </c>
      <c r="T28" s="1858">
        <v>37</v>
      </c>
      <c r="U28" s="1858"/>
      <c r="V28" s="1244">
        <v>8</v>
      </c>
      <c r="W28" s="1245">
        <v>9</v>
      </c>
      <c r="X28" s="1245">
        <v>10</v>
      </c>
      <c r="Y28" s="1245">
        <v>16</v>
      </c>
      <c r="Z28" s="1245">
        <v>7</v>
      </c>
      <c r="AA28" s="1245">
        <v>12</v>
      </c>
      <c r="AB28" s="1245">
        <v>13</v>
      </c>
      <c r="AC28" s="1245">
        <v>4</v>
      </c>
      <c r="AD28" s="1245">
        <v>13</v>
      </c>
      <c r="AE28" s="1245">
        <v>9</v>
      </c>
      <c r="AF28" s="1245">
        <v>13</v>
      </c>
      <c r="AG28" s="1245">
        <v>17</v>
      </c>
      <c r="AH28" s="1245">
        <v>13</v>
      </c>
      <c r="AI28" s="1245">
        <v>17</v>
      </c>
      <c r="AJ28" s="1513">
        <v>14</v>
      </c>
      <c r="AK28" s="1514">
        <f>'Non-marital births'!H29</f>
        <v>18</v>
      </c>
      <c r="AL28" s="1859">
        <v>18</v>
      </c>
      <c r="AM28" s="1859"/>
      <c r="AN28" s="1252">
        <f t="shared" si="0"/>
        <v>0.17777777777777778</v>
      </c>
      <c r="AO28" s="1253">
        <f t="shared" si="2"/>
        <v>0.16666666666666666</v>
      </c>
      <c r="AP28" s="1253">
        <f t="shared" si="3"/>
        <v>0.17241379310344829</v>
      </c>
      <c r="AQ28" s="1253">
        <f t="shared" si="4"/>
        <v>0.26229508196721313</v>
      </c>
      <c r="AR28" s="1253">
        <f t="shared" si="5"/>
        <v>0.14285714285714285</v>
      </c>
      <c r="AS28" s="1253">
        <f t="shared" si="6"/>
        <v>0.21818181818181817</v>
      </c>
      <c r="AT28" s="1253">
        <f t="shared" si="7"/>
        <v>0.30232558139534882</v>
      </c>
      <c r="AU28" s="1253">
        <f t="shared" si="8"/>
        <v>8.6956521739130432E-2</v>
      </c>
      <c r="AV28" s="1253">
        <f t="shared" si="9"/>
        <v>0.27083333333333331</v>
      </c>
      <c r="AW28" s="1253">
        <f t="shared" si="10"/>
        <v>0.22500000000000001</v>
      </c>
      <c r="AX28" s="1253">
        <f t="shared" si="11"/>
        <v>0.34210526315789475</v>
      </c>
      <c r="AY28" s="1253">
        <f t="shared" si="12"/>
        <v>0.34</v>
      </c>
      <c r="AZ28" s="1253">
        <f t="shared" si="13"/>
        <v>0.39393939393939392</v>
      </c>
      <c r="BA28" s="1253">
        <f t="shared" si="14"/>
        <v>0.41463414634146339</v>
      </c>
      <c r="BB28" s="1506">
        <f t="shared" si="15"/>
        <v>0.3888888888888889</v>
      </c>
      <c r="BC28" s="1508">
        <f>'Non-marital births'!L29</f>
        <v>0.48648648648648651</v>
      </c>
      <c r="BD28" s="1862">
        <v>0.48648648648648651</v>
      </c>
    </row>
    <row r="29" spans="1:56" s="142" customFormat="1" ht="15.75" customHeight="1" x14ac:dyDescent="0.2">
      <c r="A29" s="149" t="s">
        <v>62</v>
      </c>
      <c r="B29" s="189" t="s">
        <v>63</v>
      </c>
      <c r="C29" s="150" t="s">
        <v>267</v>
      </c>
      <c r="D29" s="1221">
        <v>458</v>
      </c>
      <c r="E29" s="1222">
        <v>416</v>
      </c>
      <c r="F29" s="1223">
        <v>481</v>
      </c>
      <c r="G29" s="1222">
        <v>472</v>
      </c>
      <c r="H29" s="1223">
        <v>501</v>
      </c>
      <c r="I29" s="1222">
        <v>519</v>
      </c>
      <c r="J29" s="1223">
        <v>538</v>
      </c>
      <c r="K29" s="1222">
        <v>608</v>
      </c>
      <c r="L29" s="1236">
        <v>686</v>
      </c>
      <c r="M29" s="1236">
        <v>734</v>
      </c>
      <c r="N29" s="1236">
        <v>664</v>
      </c>
      <c r="O29" s="1236">
        <v>641</v>
      </c>
      <c r="P29" s="1237">
        <v>629</v>
      </c>
      <c r="Q29" s="1237">
        <v>627</v>
      </c>
      <c r="R29" s="1510">
        <v>654</v>
      </c>
      <c r="S29" s="1511">
        <f>'Non-marital births'!D30</f>
        <v>650</v>
      </c>
      <c r="T29" s="1858">
        <v>650</v>
      </c>
      <c r="U29" s="1858"/>
      <c r="V29" s="1244">
        <v>170</v>
      </c>
      <c r="W29" s="1245">
        <v>130</v>
      </c>
      <c r="X29" s="1245">
        <v>174</v>
      </c>
      <c r="Y29" s="1245">
        <v>163</v>
      </c>
      <c r="Z29" s="1245">
        <v>173</v>
      </c>
      <c r="AA29" s="1245">
        <v>178</v>
      </c>
      <c r="AB29" s="1245">
        <v>179</v>
      </c>
      <c r="AC29" s="1245">
        <v>217</v>
      </c>
      <c r="AD29" s="1245">
        <v>253</v>
      </c>
      <c r="AE29" s="1245">
        <v>297</v>
      </c>
      <c r="AF29" s="1245">
        <v>281</v>
      </c>
      <c r="AG29" s="1245">
        <v>263</v>
      </c>
      <c r="AH29" s="1245">
        <v>252</v>
      </c>
      <c r="AI29" s="1245">
        <v>276</v>
      </c>
      <c r="AJ29" s="1513">
        <v>270</v>
      </c>
      <c r="AK29" s="1514">
        <f>'Non-marital births'!H30</f>
        <v>267</v>
      </c>
      <c r="AL29" s="1859">
        <v>267</v>
      </c>
      <c r="AM29" s="1859"/>
      <c r="AN29" s="1252">
        <f t="shared" si="0"/>
        <v>0.37117903930131002</v>
      </c>
      <c r="AO29" s="1253">
        <f t="shared" si="2"/>
        <v>0.3125</v>
      </c>
      <c r="AP29" s="1253">
        <f t="shared" si="3"/>
        <v>0.36174636174636177</v>
      </c>
      <c r="AQ29" s="1253">
        <f t="shared" si="4"/>
        <v>0.34533898305084748</v>
      </c>
      <c r="AR29" s="1253">
        <f t="shared" si="5"/>
        <v>0.34530938123752497</v>
      </c>
      <c r="AS29" s="1253">
        <f t="shared" si="6"/>
        <v>0.34296724470134876</v>
      </c>
      <c r="AT29" s="1253">
        <f t="shared" si="7"/>
        <v>0.33271375464684017</v>
      </c>
      <c r="AU29" s="1253">
        <f t="shared" si="8"/>
        <v>0.35690789473684209</v>
      </c>
      <c r="AV29" s="1253">
        <f t="shared" si="9"/>
        <v>0.36880466472303208</v>
      </c>
      <c r="AW29" s="1253">
        <f t="shared" si="10"/>
        <v>0.40463215258855584</v>
      </c>
      <c r="AX29" s="1253">
        <f t="shared" si="11"/>
        <v>0.42319277108433734</v>
      </c>
      <c r="AY29" s="1253">
        <f t="shared" si="12"/>
        <v>0.41029641185647425</v>
      </c>
      <c r="AZ29" s="1253">
        <f t="shared" si="13"/>
        <v>0.40063593004769477</v>
      </c>
      <c r="BA29" s="1253">
        <f t="shared" si="14"/>
        <v>0.44019138755980863</v>
      </c>
      <c r="BB29" s="1506">
        <f t="shared" si="15"/>
        <v>0.41284403669724773</v>
      </c>
      <c r="BC29" s="1508">
        <f>'Non-marital births'!L30</f>
        <v>0.41076923076923078</v>
      </c>
      <c r="BD29" s="1862">
        <v>0.41076923076923078</v>
      </c>
    </row>
    <row r="30" spans="1:56" s="142" customFormat="1" ht="15.75" customHeight="1" x14ac:dyDescent="0.2">
      <c r="A30" s="149" t="s">
        <v>64</v>
      </c>
      <c r="B30" s="189" t="s">
        <v>65</v>
      </c>
      <c r="C30" s="150" t="s">
        <v>266</v>
      </c>
      <c r="D30" s="1221">
        <v>106</v>
      </c>
      <c r="E30" s="1222">
        <v>83</v>
      </c>
      <c r="F30" s="1223">
        <v>90</v>
      </c>
      <c r="G30" s="1222">
        <v>107</v>
      </c>
      <c r="H30" s="1223">
        <v>101</v>
      </c>
      <c r="I30" s="1222">
        <v>100</v>
      </c>
      <c r="J30" s="1223">
        <v>99</v>
      </c>
      <c r="K30" s="1222">
        <v>121</v>
      </c>
      <c r="L30" s="1236">
        <v>110</v>
      </c>
      <c r="M30" s="1236">
        <v>119</v>
      </c>
      <c r="N30" s="1236">
        <v>103</v>
      </c>
      <c r="O30" s="1236">
        <v>118</v>
      </c>
      <c r="P30" s="1237">
        <v>103</v>
      </c>
      <c r="Q30" s="1237">
        <v>116</v>
      </c>
      <c r="R30" s="1510">
        <v>94</v>
      </c>
      <c r="S30" s="1511">
        <f>'Non-marital births'!D31</f>
        <v>89</v>
      </c>
      <c r="T30" s="1858">
        <v>89</v>
      </c>
      <c r="U30" s="1858"/>
      <c r="V30" s="1244">
        <v>42</v>
      </c>
      <c r="W30" s="1245">
        <v>29</v>
      </c>
      <c r="X30" s="1245">
        <v>37</v>
      </c>
      <c r="Y30" s="1245">
        <v>49</v>
      </c>
      <c r="Z30" s="1245">
        <v>43</v>
      </c>
      <c r="AA30" s="1245">
        <v>41</v>
      </c>
      <c r="AB30" s="1245">
        <v>38</v>
      </c>
      <c r="AC30" s="1245">
        <v>59</v>
      </c>
      <c r="AD30" s="1245">
        <v>48</v>
      </c>
      <c r="AE30" s="1245">
        <v>46</v>
      </c>
      <c r="AF30" s="1245">
        <v>47</v>
      </c>
      <c r="AG30" s="1245">
        <v>54</v>
      </c>
      <c r="AH30" s="1245">
        <v>40</v>
      </c>
      <c r="AI30" s="1245">
        <v>62</v>
      </c>
      <c r="AJ30" s="1513">
        <v>47</v>
      </c>
      <c r="AK30" s="1514">
        <f>'Non-marital births'!H31</f>
        <v>43</v>
      </c>
      <c r="AL30" s="1859">
        <v>43</v>
      </c>
      <c r="AM30" s="1859"/>
      <c r="AN30" s="1252">
        <f t="shared" si="0"/>
        <v>0.39622641509433965</v>
      </c>
      <c r="AO30" s="1253">
        <f t="shared" si="2"/>
        <v>0.3493975903614458</v>
      </c>
      <c r="AP30" s="1253">
        <f t="shared" si="3"/>
        <v>0.41111111111111109</v>
      </c>
      <c r="AQ30" s="1253">
        <f t="shared" si="4"/>
        <v>0.45794392523364486</v>
      </c>
      <c r="AR30" s="1253">
        <f t="shared" si="5"/>
        <v>0.42574257425742573</v>
      </c>
      <c r="AS30" s="1253">
        <f t="shared" si="6"/>
        <v>0.41</v>
      </c>
      <c r="AT30" s="1253">
        <f t="shared" si="7"/>
        <v>0.38383838383838381</v>
      </c>
      <c r="AU30" s="1253">
        <f t="shared" si="8"/>
        <v>0.48760330578512395</v>
      </c>
      <c r="AV30" s="1253">
        <f t="shared" si="9"/>
        <v>0.43636363636363634</v>
      </c>
      <c r="AW30" s="1253">
        <f t="shared" si="10"/>
        <v>0.38655462184873951</v>
      </c>
      <c r="AX30" s="1253">
        <f t="shared" si="11"/>
        <v>0.4563106796116505</v>
      </c>
      <c r="AY30" s="1253">
        <f t="shared" si="12"/>
        <v>0.4576271186440678</v>
      </c>
      <c r="AZ30" s="1253">
        <f t="shared" si="13"/>
        <v>0.38834951456310679</v>
      </c>
      <c r="BA30" s="1253">
        <f t="shared" si="14"/>
        <v>0.53448275862068961</v>
      </c>
      <c r="BB30" s="1506">
        <f t="shared" si="15"/>
        <v>0.5</v>
      </c>
      <c r="BC30" s="1508">
        <f>'Non-marital births'!L31</f>
        <v>0.48314606741573035</v>
      </c>
      <c r="BD30" s="1862">
        <v>0.48314606741573035</v>
      </c>
    </row>
    <row r="31" spans="1:56" s="142" customFormat="1" ht="15.75" customHeight="1" x14ac:dyDescent="0.2">
      <c r="A31" s="149" t="s">
        <v>68</v>
      </c>
      <c r="B31" s="189" t="s">
        <v>69</v>
      </c>
      <c r="C31" s="150" t="s">
        <v>268</v>
      </c>
      <c r="D31" s="1221">
        <v>176</v>
      </c>
      <c r="E31" s="1222">
        <v>162</v>
      </c>
      <c r="F31" s="1223">
        <v>143</v>
      </c>
      <c r="G31" s="1222">
        <v>136</v>
      </c>
      <c r="H31" s="1223">
        <v>166</v>
      </c>
      <c r="I31" s="1222">
        <v>178</v>
      </c>
      <c r="J31" s="1223">
        <v>163</v>
      </c>
      <c r="K31" s="1222">
        <v>173</v>
      </c>
      <c r="L31" s="1236">
        <v>186</v>
      </c>
      <c r="M31" s="1236">
        <v>203</v>
      </c>
      <c r="N31" s="1236">
        <v>164</v>
      </c>
      <c r="O31" s="1236">
        <v>158</v>
      </c>
      <c r="P31" s="1237">
        <v>170</v>
      </c>
      <c r="Q31" s="1237">
        <v>183</v>
      </c>
      <c r="R31" s="1510">
        <v>162</v>
      </c>
      <c r="S31" s="1511">
        <f>'Non-marital births'!D32</f>
        <v>145</v>
      </c>
      <c r="T31" s="1858">
        <v>145</v>
      </c>
      <c r="U31" s="1858"/>
      <c r="V31" s="1244">
        <v>49</v>
      </c>
      <c r="W31" s="1245">
        <v>33</v>
      </c>
      <c r="X31" s="1245">
        <v>29</v>
      </c>
      <c r="Y31" s="1245">
        <v>31</v>
      </c>
      <c r="Z31" s="1245">
        <v>43</v>
      </c>
      <c r="AA31" s="1245">
        <v>37</v>
      </c>
      <c r="AB31" s="1245">
        <v>44</v>
      </c>
      <c r="AC31" s="1245">
        <v>52</v>
      </c>
      <c r="AD31" s="1245">
        <v>59</v>
      </c>
      <c r="AE31" s="1245">
        <v>63</v>
      </c>
      <c r="AF31" s="1245">
        <v>46</v>
      </c>
      <c r="AG31" s="1245">
        <v>53</v>
      </c>
      <c r="AH31" s="1245">
        <v>67</v>
      </c>
      <c r="AI31" s="1245">
        <v>66</v>
      </c>
      <c r="AJ31" s="1513">
        <v>50</v>
      </c>
      <c r="AK31" s="1514">
        <f>'Non-marital births'!H32</f>
        <v>52</v>
      </c>
      <c r="AL31" s="1859">
        <v>52</v>
      </c>
      <c r="AM31" s="1859"/>
      <c r="AN31" s="1252">
        <f t="shared" si="0"/>
        <v>0.27840909090909088</v>
      </c>
      <c r="AO31" s="1253">
        <f t="shared" si="2"/>
        <v>0.20370370370370369</v>
      </c>
      <c r="AP31" s="1253">
        <f t="shared" si="3"/>
        <v>0.20279720279720279</v>
      </c>
      <c r="AQ31" s="1253">
        <f t="shared" si="4"/>
        <v>0.22794117647058823</v>
      </c>
      <c r="AR31" s="1253">
        <f t="shared" si="5"/>
        <v>0.25903614457831325</v>
      </c>
      <c r="AS31" s="1253">
        <f t="shared" si="6"/>
        <v>0.20786516853932585</v>
      </c>
      <c r="AT31" s="1253">
        <f t="shared" si="7"/>
        <v>0.26993865030674846</v>
      </c>
      <c r="AU31" s="1253">
        <f t="shared" si="8"/>
        <v>0.30057803468208094</v>
      </c>
      <c r="AV31" s="1253">
        <f t="shared" si="9"/>
        <v>0.31720430107526881</v>
      </c>
      <c r="AW31" s="1253">
        <f t="shared" si="10"/>
        <v>0.31034482758620691</v>
      </c>
      <c r="AX31" s="1253">
        <f t="shared" si="11"/>
        <v>0.28048780487804881</v>
      </c>
      <c r="AY31" s="1253">
        <f t="shared" si="12"/>
        <v>0.33544303797468356</v>
      </c>
      <c r="AZ31" s="1253">
        <f t="shared" si="13"/>
        <v>0.39411764705882352</v>
      </c>
      <c r="BA31" s="1253">
        <f t="shared" si="14"/>
        <v>0.36065573770491804</v>
      </c>
      <c r="BB31" s="1506">
        <f t="shared" si="15"/>
        <v>0.30864197530864196</v>
      </c>
      <c r="BC31" s="1508">
        <f>'Non-marital births'!L32</f>
        <v>0.35862068965517241</v>
      </c>
      <c r="BD31" s="1862">
        <v>0.35862068965517241</v>
      </c>
    </row>
    <row r="32" spans="1:56" s="142" customFormat="1" ht="15.75" customHeight="1" x14ac:dyDescent="0.2">
      <c r="A32" s="149" t="s">
        <v>70</v>
      </c>
      <c r="B32" s="189" t="s">
        <v>71</v>
      </c>
      <c r="C32" s="150" t="s">
        <v>264</v>
      </c>
      <c r="D32" s="1221">
        <v>249</v>
      </c>
      <c r="E32" s="1222">
        <v>239</v>
      </c>
      <c r="F32" s="1223">
        <v>246</v>
      </c>
      <c r="G32" s="1222">
        <v>227</v>
      </c>
      <c r="H32" s="1223">
        <v>256</v>
      </c>
      <c r="I32" s="1222">
        <v>231</v>
      </c>
      <c r="J32" s="1223">
        <v>283</v>
      </c>
      <c r="K32" s="1222">
        <v>267</v>
      </c>
      <c r="L32" s="1236">
        <v>280</v>
      </c>
      <c r="M32" s="1236">
        <v>260</v>
      </c>
      <c r="N32" s="1236">
        <v>268</v>
      </c>
      <c r="O32" s="1236">
        <v>230</v>
      </c>
      <c r="P32" s="1237">
        <v>233</v>
      </c>
      <c r="Q32" s="1237">
        <v>248</v>
      </c>
      <c r="R32" s="1510">
        <v>258</v>
      </c>
      <c r="S32" s="1511">
        <f>'Non-marital births'!D33</f>
        <v>180</v>
      </c>
      <c r="T32" s="1858">
        <v>180</v>
      </c>
      <c r="U32" s="1858"/>
      <c r="V32" s="1244">
        <v>88</v>
      </c>
      <c r="W32" s="1245">
        <v>88</v>
      </c>
      <c r="X32" s="1245">
        <v>97</v>
      </c>
      <c r="Y32" s="1245">
        <v>90</v>
      </c>
      <c r="Z32" s="1245">
        <v>90</v>
      </c>
      <c r="AA32" s="1245">
        <v>96</v>
      </c>
      <c r="AB32" s="1245">
        <v>103</v>
      </c>
      <c r="AC32" s="1245">
        <v>91</v>
      </c>
      <c r="AD32" s="1245">
        <v>122</v>
      </c>
      <c r="AE32" s="1245">
        <v>107</v>
      </c>
      <c r="AF32" s="1245">
        <v>112</v>
      </c>
      <c r="AG32" s="1245">
        <v>106</v>
      </c>
      <c r="AH32" s="1245">
        <v>114</v>
      </c>
      <c r="AI32" s="1245">
        <v>117</v>
      </c>
      <c r="AJ32" s="1513">
        <v>113</v>
      </c>
      <c r="AK32" s="1514">
        <f>'Non-marital births'!H33</f>
        <v>86</v>
      </c>
      <c r="AL32" s="1859">
        <v>86</v>
      </c>
      <c r="AM32" s="1859"/>
      <c r="AN32" s="1252">
        <f t="shared" si="0"/>
        <v>0.3534136546184739</v>
      </c>
      <c r="AO32" s="1253">
        <f t="shared" si="2"/>
        <v>0.3682008368200837</v>
      </c>
      <c r="AP32" s="1253">
        <f t="shared" si="3"/>
        <v>0.39430894308943087</v>
      </c>
      <c r="AQ32" s="1253">
        <f t="shared" si="4"/>
        <v>0.3964757709251101</v>
      </c>
      <c r="AR32" s="1253">
        <f t="shared" si="5"/>
        <v>0.3515625</v>
      </c>
      <c r="AS32" s="1253">
        <f t="shared" si="6"/>
        <v>0.41558441558441561</v>
      </c>
      <c r="AT32" s="1253">
        <f t="shared" si="7"/>
        <v>0.36395759717314485</v>
      </c>
      <c r="AU32" s="1253">
        <f t="shared" si="8"/>
        <v>0.34082397003745318</v>
      </c>
      <c r="AV32" s="1253">
        <f t="shared" si="9"/>
        <v>0.43571428571428572</v>
      </c>
      <c r="AW32" s="1253">
        <f t="shared" si="10"/>
        <v>0.41153846153846152</v>
      </c>
      <c r="AX32" s="1253">
        <f t="shared" si="11"/>
        <v>0.41791044776119401</v>
      </c>
      <c r="AY32" s="1253">
        <f t="shared" si="12"/>
        <v>0.46086956521739131</v>
      </c>
      <c r="AZ32" s="1253">
        <f t="shared" si="13"/>
        <v>0.48927038626609443</v>
      </c>
      <c r="BA32" s="1253">
        <f t="shared" si="14"/>
        <v>0.47177419354838712</v>
      </c>
      <c r="BB32" s="1506">
        <f t="shared" si="15"/>
        <v>0.43798449612403101</v>
      </c>
      <c r="BC32" s="1508">
        <f>'Non-marital births'!L33</f>
        <v>0.4777777777777778</v>
      </c>
      <c r="BD32" s="1862">
        <v>0.4777777777777778</v>
      </c>
    </row>
    <row r="33" spans="1:56" s="142" customFormat="1" ht="15.75" customHeight="1" x14ac:dyDescent="0.2">
      <c r="A33" s="149" t="s">
        <v>72</v>
      </c>
      <c r="B33" s="189" t="s">
        <v>73</v>
      </c>
      <c r="C33" s="150" t="s">
        <v>266</v>
      </c>
      <c r="D33" s="1221">
        <v>110</v>
      </c>
      <c r="E33" s="1222">
        <v>106</v>
      </c>
      <c r="F33" s="1223">
        <v>120</v>
      </c>
      <c r="G33" s="1222">
        <v>110</v>
      </c>
      <c r="H33" s="1223">
        <v>120</v>
      </c>
      <c r="I33" s="1222">
        <v>111</v>
      </c>
      <c r="J33" s="1223">
        <v>136</v>
      </c>
      <c r="K33" s="1222">
        <v>126</v>
      </c>
      <c r="L33" s="1236">
        <v>113</v>
      </c>
      <c r="M33" s="1236">
        <v>137</v>
      </c>
      <c r="N33" s="1236">
        <v>150</v>
      </c>
      <c r="O33" s="1236">
        <v>150</v>
      </c>
      <c r="P33" s="1237">
        <v>142</v>
      </c>
      <c r="Q33" s="1237">
        <v>130</v>
      </c>
      <c r="R33" s="1510">
        <v>127</v>
      </c>
      <c r="S33" s="1511">
        <f>'Non-marital births'!D34</f>
        <v>124</v>
      </c>
      <c r="T33" s="1858">
        <v>124</v>
      </c>
      <c r="U33" s="1858"/>
      <c r="V33" s="1244">
        <v>51</v>
      </c>
      <c r="W33" s="1245">
        <v>48</v>
      </c>
      <c r="X33" s="1245">
        <v>63</v>
      </c>
      <c r="Y33" s="1245">
        <v>54</v>
      </c>
      <c r="Z33" s="1245">
        <v>57</v>
      </c>
      <c r="AA33" s="1245">
        <v>64</v>
      </c>
      <c r="AB33" s="1245">
        <v>66</v>
      </c>
      <c r="AC33" s="1245">
        <v>59</v>
      </c>
      <c r="AD33" s="1245">
        <v>60</v>
      </c>
      <c r="AE33" s="1245">
        <v>71</v>
      </c>
      <c r="AF33" s="1245">
        <v>91</v>
      </c>
      <c r="AG33" s="1245">
        <v>81</v>
      </c>
      <c r="AH33" s="1245">
        <v>82</v>
      </c>
      <c r="AI33" s="1245">
        <v>73</v>
      </c>
      <c r="AJ33" s="1513">
        <v>78</v>
      </c>
      <c r="AK33" s="1514">
        <f>'Non-marital births'!H34</f>
        <v>73</v>
      </c>
      <c r="AL33" s="1859">
        <v>73</v>
      </c>
      <c r="AM33" s="1859"/>
      <c r="AN33" s="1252">
        <f t="shared" si="0"/>
        <v>0.46363636363636362</v>
      </c>
      <c r="AO33" s="1253">
        <f t="shared" si="2"/>
        <v>0.45283018867924529</v>
      </c>
      <c r="AP33" s="1253">
        <f t="shared" si="3"/>
        <v>0.52500000000000002</v>
      </c>
      <c r="AQ33" s="1253">
        <f t="shared" si="4"/>
        <v>0.49090909090909091</v>
      </c>
      <c r="AR33" s="1253">
        <f t="shared" si="5"/>
        <v>0.47499999999999998</v>
      </c>
      <c r="AS33" s="1253">
        <f t="shared" si="6"/>
        <v>0.57657657657657657</v>
      </c>
      <c r="AT33" s="1253">
        <f t="shared" si="7"/>
        <v>0.48529411764705882</v>
      </c>
      <c r="AU33" s="1253">
        <f t="shared" si="8"/>
        <v>0.46825396825396826</v>
      </c>
      <c r="AV33" s="1253">
        <f t="shared" si="9"/>
        <v>0.53097345132743368</v>
      </c>
      <c r="AW33" s="1253">
        <f t="shared" si="10"/>
        <v>0.51824817518248179</v>
      </c>
      <c r="AX33" s="1253">
        <f t="shared" si="11"/>
        <v>0.60666666666666669</v>
      </c>
      <c r="AY33" s="1253">
        <f t="shared" si="12"/>
        <v>0.54</v>
      </c>
      <c r="AZ33" s="1253">
        <f t="shared" si="13"/>
        <v>0.57746478873239437</v>
      </c>
      <c r="BA33" s="1253">
        <f t="shared" si="14"/>
        <v>0.56153846153846154</v>
      </c>
      <c r="BB33" s="1506">
        <f t="shared" si="15"/>
        <v>0.61417322834645671</v>
      </c>
      <c r="BC33" s="1508">
        <f>'Non-marital births'!L34</f>
        <v>0.58870967741935487</v>
      </c>
      <c r="BD33" s="1862">
        <v>0.58870967741935487</v>
      </c>
    </row>
    <row r="34" spans="1:56" s="142" customFormat="1" ht="15.75" customHeight="1" x14ac:dyDescent="0.2">
      <c r="A34" s="149" t="s">
        <v>74</v>
      </c>
      <c r="B34" s="189" t="s">
        <v>609</v>
      </c>
      <c r="C34" s="150" t="s">
        <v>267</v>
      </c>
      <c r="D34" s="1221">
        <v>14018</v>
      </c>
      <c r="E34" s="1222">
        <v>14564</v>
      </c>
      <c r="F34" s="1223">
        <v>15063</v>
      </c>
      <c r="G34" s="1222">
        <v>15157</v>
      </c>
      <c r="H34" s="1223">
        <v>15166</v>
      </c>
      <c r="I34" s="1222">
        <v>15038</v>
      </c>
      <c r="J34" s="1223">
        <v>15564</v>
      </c>
      <c r="K34" s="1222">
        <v>15371</v>
      </c>
      <c r="L34" s="1236">
        <v>15120</v>
      </c>
      <c r="M34" s="1236">
        <v>15789</v>
      </c>
      <c r="N34" s="1236">
        <v>15865</v>
      </c>
      <c r="O34" s="1236">
        <v>16019</v>
      </c>
      <c r="P34" s="1237">
        <v>15702</v>
      </c>
      <c r="Q34" s="1237">
        <v>15792</v>
      </c>
      <c r="R34" s="1510">
        <v>15736</v>
      </c>
      <c r="S34" s="1511">
        <f>'Non-marital births'!D35</f>
        <v>15783</v>
      </c>
      <c r="T34" s="1858">
        <v>15783</v>
      </c>
      <c r="U34" s="1858"/>
      <c r="V34" s="1244">
        <v>2089</v>
      </c>
      <c r="W34" s="1245">
        <v>2234</v>
      </c>
      <c r="X34" s="1245">
        <v>2470</v>
      </c>
      <c r="Y34" s="1245">
        <v>2523</v>
      </c>
      <c r="Z34" s="1245">
        <v>2586</v>
      </c>
      <c r="AA34" s="1245">
        <v>2559</v>
      </c>
      <c r="AB34" s="1245">
        <v>2902</v>
      </c>
      <c r="AC34" s="1245">
        <v>3024</v>
      </c>
      <c r="AD34" s="1245">
        <v>3428</v>
      </c>
      <c r="AE34" s="1245">
        <v>3767</v>
      </c>
      <c r="AF34" s="1245">
        <v>3841</v>
      </c>
      <c r="AG34" s="1245">
        <v>3722</v>
      </c>
      <c r="AH34" s="1245">
        <v>3483</v>
      </c>
      <c r="AI34" s="1245">
        <v>3532</v>
      </c>
      <c r="AJ34" s="1513">
        <v>3375</v>
      </c>
      <c r="AK34" s="1514">
        <f>'Non-marital births'!H35</f>
        <v>3155</v>
      </c>
      <c r="AL34" s="1859">
        <v>3155</v>
      </c>
      <c r="AM34" s="1859"/>
      <c r="AN34" s="1252">
        <f t="shared" si="0"/>
        <v>0.14902268511913255</v>
      </c>
      <c r="AO34" s="1253">
        <f t="shared" si="2"/>
        <v>0.15339192529524856</v>
      </c>
      <c r="AP34" s="1253">
        <f t="shared" si="3"/>
        <v>0.16397795923786762</v>
      </c>
      <c r="AQ34" s="1253">
        <f t="shared" si="4"/>
        <v>0.16645774229728838</v>
      </c>
      <c r="AR34" s="1253">
        <f t="shared" si="5"/>
        <v>0.17051298958195965</v>
      </c>
      <c r="AS34" s="1253">
        <f t="shared" si="6"/>
        <v>0.17016890543955313</v>
      </c>
      <c r="AT34" s="1253">
        <f t="shared" si="7"/>
        <v>0.18645592392701105</v>
      </c>
      <c r="AU34" s="1253">
        <f t="shared" si="8"/>
        <v>0.19673410968707306</v>
      </c>
      <c r="AV34" s="1253">
        <f t="shared" si="9"/>
        <v>0.22671957671957671</v>
      </c>
      <c r="AW34" s="1253">
        <f t="shared" si="10"/>
        <v>0.2385838241813921</v>
      </c>
      <c r="AX34" s="1253">
        <f t="shared" si="11"/>
        <v>0.24210526315789474</v>
      </c>
      <c r="AY34" s="1253">
        <f t="shared" si="12"/>
        <v>0.23234908546101504</v>
      </c>
      <c r="AZ34" s="1253">
        <f t="shared" si="13"/>
        <v>0.22181887657623234</v>
      </c>
      <c r="BA34" s="1253">
        <f t="shared" si="14"/>
        <v>0.22365754812563324</v>
      </c>
      <c r="BB34" s="1506">
        <f t="shared" si="15"/>
        <v>0.21447635993899339</v>
      </c>
      <c r="BC34" s="1508">
        <f>'Non-marital births'!L35</f>
        <v>0.19989862510295889</v>
      </c>
      <c r="BD34" s="1862">
        <v>0.19989862510295889</v>
      </c>
    </row>
    <row r="35" spans="1:56" s="142" customFormat="1" ht="15.75" customHeight="1" x14ac:dyDescent="0.2">
      <c r="A35" s="149" t="s">
        <v>76</v>
      </c>
      <c r="B35" s="189" t="s">
        <v>77</v>
      </c>
      <c r="C35" s="150" t="s">
        <v>267</v>
      </c>
      <c r="D35" s="1221">
        <v>643</v>
      </c>
      <c r="E35" s="1222">
        <v>642</v>
      </c>
      <c r="F35" s="1223">
        <v>704</v>
      </c>
      <c r="G35" s="1222">
        <v>706</v>
      </c>
      <c r="H35" s="1223">
        <v>729</v>
      </c>
      <c r="I35" s="1222">
        <v>719</v>
      </c>
      <c r="J35" s="1223">
        <v>744</v>
      </c>
      <c r="K35" s="1222">
        <v>815</v>
      </c>
      <c r="L35" s="1236">
        <v>795</v>
      </c>
      <c r="M35" s="1236">
        <v>805</v>
      </c>
      <c r="N35" s="1236">
        <v>842</v>
      </c>
      <c r="O35" s="1236">
        <v>750</v>
      </c>
      <c r="P35" s="1237">
        <v>750</v>
      </c>
      <c r="Q35" s="1237">
        <v>769</v>
      </c>
      <c r="R35" s="1510">
        <v>675</v>
      </c>
      <c r="S35" s="1511">
        <f>'Non-marital births'!D36</f>
        <v>743</v>
      </c>
      <c r="T35" s="1858">
        <v>743</v>
      </c>
      <c r="U35" s="1858"/>
      <c r="V35" s="1244">
        <v>165</v>
      </c>
      <c r="W35" s="1245">
        <v>158</v>
      </c>
      <c r="X35" s="1245">
        <v>163</v>
      </c>
      <c r="Y35" s="1245">
        <v>163</v>
      </c>
      <c r="Z35" s="1245">
        <v>177</v>
      </c>
      <c r="AA35" s="1245">
        <v>168</v>
      </c>
      <c r="AB35" s="1245">
        <v>175</v>
      </c>
      <c r="AC35" s="1245">
        <v>204</v>
      </c>
      <c r="AD35" s="1245">
        <v>220</v>
      </c>
      <c r="AE35" s="1245">
        <v>259</v>
      </c>
      <c r="AF35" s="1245">
        <v>269</v>
      </c>
      <c r="AG35" s="1245">
        <v>235</v>
      </c>
      <c r="AH35" s="1245">
        <v>250</v>
      </c>
      <c r="AI35" s="1245">
        <v>242</v>
      </c>
      <c r="AJ35" s="1513">
        <v>208</v>
      </c>
      <c r="AK35" s="1514">
        <f>'Non-marital births'!H36</f>
        <v>234</v>
      </c>
      <c r="AL35" s="1859">
        <v>234</v>
      </c>
      <c r="AM35" s="1859"/>
      <c r="AN35" s="1252">
        <f t="shared" si="0"/>
        <v>0.25660964230171074</v>
      </c>
      <c r="AO35" s="1253">
        <f t="shared" si="2"/>
        <v>0.24610591900311526</v>
      </c>
      <c r="AP35" s="1253">
        <f t="shared" si="3"/>
        <v>0.23153409090909091</v>
      </c>
      <c r="AQ35" s="1253">
        <f t="shared" si="4"/>
        <v>0.23087818696883852</v>
      </c>
      <c r="AR35" s="1253">
        <f t="shared" si="5"/>
        <v>0.24279835390946503</v>
      </c>
      <c r="AS35" s="1253">
        <f t="shared" si="6"/>
        <v>0.23365785813630041</v>
      </c>
      <c r="AT35" s="1253">
        <f t="shared" si="7"/>
        <v>0.23521505376344087</v>
      </c>
      <c r="AU35" s="1253">
        <f t="shared" si="8"/>
        <v>0.25030674846625767</v>
      </c>
      <c r="AV35" s="1253">
        <f t="shared" si="9"/>
        <v>0.27672955974842767</v>
      </c>
      <c r="AW35" s="1253">
        <f t="shared" si="10"/>
        <v>0.32173913043478258</v>
      </c>
      <c r="AX35" s="1253">
        <f t="shared" si="11"/>
        <v>0.31947743467933493</v>
      </c>
      <c r="AY35" s="1253">
        <f t="shared" si="12"/>
        <v>0.31333333333333335</v>
      </c>
      <c r="AZ35" s="1253">
        <f t="shared" si="13"/>
        <v>0.33333333333333331</v>
      </c>
      <c r="BA35" s="1253">
        <f t="shared" si="14"/>
        <v>0.31469440832249673</v>
      </c>
      <c r="BB35" s="1506">
        <f t="shared" si="15"/>
        <v>0.30814814814814817</v>
      </c>
      <c r="BC35" s="1508">
        <f>'Non-marital births'!L36</f>
        <v>0.31493943472409153</v>
      </c>
      <c r="BD35" s="1862">
        <v>0.31493943472409153</v>
      </c>
    </row>
    <row r="36" spans="1:56" s="142" customFormat="1" ht="15.75" customHeight="1" x14ac:dyDescent="0.2">
      <c r="A36" s="149" t="s">
        <v>78</v>
      </c>
      <c r="B36" s="189" t="s">
        <v>79</v>
      </c>
      <c r="C36" s="150" t="s">
        <v>268</v>
      </c>
      <c r="D36" s="1221">
        <v>146</v>
      </c>
      <c r="E36" s="1222">
        <v>152</v>
      </c>
      <c r="F36" s="1223">
        <v>158</v>
      </c>
      <c r="G36" s="1222">
        <v>138</v>
      </c>
      <c r="H36" s="1223">
        <v>158</v>
      </c>
      <c r="I36" s="1222">
        <v>146</v>
      </c>
      <c r="J36" s="1223">
        <v>169</v>
      </c>
      <c r="K36" s="1222">
        <v>159</v>
      </c>
      <c r="L36" s="1236">
        <v>163</v>
      </c>
      <c r="M36" s="1236">
        <v>159</v>
      </c>
      <c r="N36" s="1236">
        <v>164</v>
      </c>
      <c r="O36" s="1236">
        <v>148</v>
      </c>
      <c r="P36" s="1237">
        <v>174</v>
      </c>
      <c r="Q36" s="1237">
        <v>144</v>
      </c>
      <c r="R36" s="1510">
        <v>141</v>
      </c>
      <c r="S36" s="1511">
        <f>'Non-marital births'!D37</f>
        <v>126</v>
      </c>
      <c r="T36" s="1858">
        <v>126</v>
      </c>
      <c r="U36" s="1858"/>
      <c r="V36" s="1244">
        <v>37</v>
      </c>
      <c r="W36" s="1245">
        <v>30</v>
      </c>
      <c r="X36" s="1245">
        <v>38</v>
      </c>
      <c r="Y36" s="1245">
        <v>24</v>
      </c>
      <c r="Z36" s="1245">
        <v>29</v>
      </c>
      <c r="AA36" s="1245">
        <v>30</v>
      </c>
      <c r="AB36" s="1245">
        <v>27</v>
      </c>
      <c r="AC36" s="1245">
        <v>45</v>
      </c>
      <c r="AD36" s="1245">
        <v>44</v>
      </c>
      <c r="AE36" s="1245">
        <v>49</v>
      </c>
      <c r="AF36" s="1245">
        <v>54</v>
      </c>
      <c r="AG36" s="1245">
        <v>47</v>
      </c>
      <c r="AH36" s="1245">
        <v>58</v>
      </c>
      <c r="AI36" s="1245">
        <v>39</v>
      </c>
      <c r="AJ36" s="1513">
        <v>49</v>
      </c>
      <c r="AK36" s="1514">
        <f>'Non-marital births'!H37</f>
        <v>40</v>
      </c>
      <c r="AL36" s="1859">
        <v>40</v>
      </c>
      <c r="AM36" s="1859"/>
      <c r="AN36" s="1252">
        <f t="shared" si="0"/>
        <v>0.25342465753424659</v>
      </c>
      <c r="AO36" s="1253">
        <f t="shared" si="2"/>
        <v>0.19736842105263158</v>
      </c>
      <c r="AP36" s="1253">
        <f t="shared" si="3"/>
        <v>0.24050632911392406</v>
      </c>
      <c r="AQ36" s="1253">
        <f t="shared" si="4"/>
        <v>0.17391304347826086</v>
      </c>
      <c r="AR36" s="1253">
        <f t="shared" si="5"/>
        <v>0.18354430379746836</v>
      </c>
      <c r="AS36" s="1253">
        <f t="shared" si="6"/>
        <v>0.20547945205479451</v>
      </c>
      <c r="AT36" s="1253">
        <f t="shared" si="7"/>
        <v>0.15976331360946747</v>
      </c>
      <c r="AU36" s="1253">
        <f t="shared" si="8"/>
        <v>0.28301886792452829</v>
      </c>
      <c r="AV36" s="1253">
        <f t="shared" si="9"/>
        <v>0.26993865030674846</v>
      </c>
      <c r="AW36" s="1253">
        <f t="shared" si="10"/>
        <v>0.3081761006289308</v>
      </c>
      <c r="AX36" s="1253">
        <f t="shared" si="11"/>
        <v>0.32926829268292684</v>
      </c>
      <c r="AY36" s="1253">
        <f t="shared" si="12"/>
        <v>0.31756756756756754</v>
      </c>
      <c r="AZ36" s="1253">
        <f t="shared" si="13"/>
        <v>0.33333333333333331</v>
      </c>
      <c r="BA36" s="1253">
        <f t="shared" si="14"/>
        <v>0.27083333333333331</v>
      </c>
      <c r="BB36" s="1506">
        <f t="shared" si="15"/>
        <v>0.3475177304964539</v>
      </c>
      <c r="BC36" s="1508">
        <f>'Non-marital births'!L37</f>
        <v>0.31746031746031744</v>
      </c>
      <c r="BD36" s="1862">
        <v>0.31746031746031744</v>
      </c>
    </row>
    <row r="37" spans="1:56" s="142" customFormat="1" ht="15.75" customHeight="1" x14ac:dyDescent="0.2">
      <c r="A37" s="149" t="s">
        <v>80</v>
      </c>
      <c r="B37" s="189" t="s">
        <v>81</v>
      </c>
      <c r="C37" s="150" t="s">
        <v>266</v>
      </c>
      <c r="D37" s="1221">
        <v>202</v>
      </c>
      <c r="E37" s="1222">
        <v>219</v>
      </c>
      <c r="F37" s="1223">
        <v>219</v>
      </c>
      <c r="G37" s="1222">
        <v>227</v>
      </c>
      <c r="H37" s="1223">
        <v>301</v>
      </c>
      <c r="I37" s="1222">
        <v>304</v>
      </c>
      <c r="J37" s="1223">
        <v>349</v>
      </c>
      <c r="K37" s="1222">
        <v>355</v>
      </c>
      <c r="L37" s="1236">
        <v>340</v>
      </c>
      <c r="M37" s="1236">
        <v>352</v>
      </c>
      <c r="N37" s="1236">
        <v>323</v>
      </c>
      <c r="O37" s="1236">
        <v>294</v>
      </c>
      <c r="P37" s="1237">
        <v>300</v>
      </c>
      <c r="Q37" s="1237">
        <v>278</v>
      </c>
      <c r="R37" s="1510">
        <v>258</v>
      </c>
      <c r="S37" s="1511">
        <f>'Non-marital births'!D38</f>
        <v>266</v>
      </c>
      <c r="T37" s="1858">
        <v>266</v>
      </c>
      <c r="U37" s="1858"/>
      <c r="V37" s="1244">
        <v>39</v>
      </c>
      <c r="W37" s="1245">
        <v>56</v>
      </c>
      <c r="X37" s="1245">
        <v>56</v>
      </c>
      <c r="Y37" s="1245">
        <v>54</v>
      </c>
      <c r="Z37" s="1245">
        <v>69</v>
      </c>
      <c r="AA37" s="1245">
        <v>82</v>
      </c>
      <c r="AB37" s="1245">
        <v>96</v>
      </c>
      <c r="AC37" s="1245">
        <v>92</v>
      </c>
      <c r="AD37" s="1245">
        <v>96</v>
      </c>
      <c r="AE37" s="1245">
        <v>96</v>
      </c>
      <c r="AF37" s="1245">
        <v>89</v>
      </c>
      <c r="AG37" s="1245">
        <v>65</v>
      </c>
      <c r="AH37" s="1245">
        <v>94</v>
      </c>
      <c r="AI37" s="1245">
        <v>82</v>
      </c>
      <c r="AJ37" s="1513">
        <v>87</v>
      </c>
      <c r="AK37" s="1514">
        <f>'Non-marital births'!H38</f>
        <v>89</v>
      </c>
      <c r="AL37" s="1859">
        <v>89</v>
      </c>
      <c r="AM37" s="1859"/>
      <c r="AN37" s="1252">
        <f t="shared" ref="AN37:AN68" si="16">V37/D37</f>
        <v>0.19306930693069307</v>
      </c>
      <c r="AO37" s="1253">
        <f t="shared" si="2"/>
        <v>0.25570776255707761</v>
      </c>
      <c r="AP37" s="1253">
        <f t="shared" si="3"/>
        <v>0.25570776255707761</v>
      </c>
      <c r="AQ37" s="1253">
        <f t="shared" si="4"/>
        <v>0.23788546255506607</v>
      </c>
      <c r="AR37" s="1253">
        <f t="shared" si="5"/>
        <v>0.2292358803986711</v>
      </c>
      <c r="AS37" s="1253">
        <f t="shared" si="6"/>
        <v>0.26973684210526316</v>
      </c>
      <c r="AT37" s="1253">
        <f t="shared" si="7"/>
        <v>0.27507163323782235</v>
      </c>
      <c r="AU37" s="1253">
        <f t="shared" si="8"/>
        <v>0.25915492957746478</v>
      </c>
      <c r="AV37" s="1253">
        <f t="shared" si="9"/>
        <v>0.28235294117647058</v>
      </c>
      <c r="AW37" s="1253">
        <f t="shared" si="10"/>
        <v>0.27272727272727271</v>
      </c>
      <c r="AX37" s="1253">
        <f t="shared" si="11"/>
        <v>0.27554179566563469</v>
      </c>
      <c r="AY37" s="1253">
        <f t="shared" si="12"/>
        <v>0.22108843537414966</v>
      </c>
      <c r="AZ37" s="1253">
        <f t="shared" si="13"/>
        <v>0.31333333333333335</v>
      </c>
      <c r="BA37" s="1253">
        <f t="shared" si="14"/>
        <v>0.29496402877697842</v>
      </c>
      <c r="BB37" s="1506">
        <f t="shared" si="15"/>
        <v>0.33720930232558138</v>
      </c>
      <c r="BC37" s="1508">
        <f>'Non-marital births'!L38</f>
        <v>0.33458646616541354</v>
      </c>
      <c r="BD37" s="1862">
        <v>0.33458646616541354</v>
      </c>
    </row>
    <row r="38" spans="1:56" s="142" customFormat="1" ht="15.75" customHeight="1" x14ac:dyDescent="0.2">
      <c r="A38" s="149" t="s">
        <v>84</v>
      </c>
      <c r="B38" s="189" t="s">
        <v>85</v>
      </c>
      <c r="C38" s="150" t="s">
        <v>265</v>
      </c>
      <c r="D38" s="1221">
        <v>460</v>
      </c>
      <c r="E38" s="1222">
        <v>515</v>
      </c>
      <c r="F38" s="1223">
        <v>534</v>
      </c>
      <c r="G38" s="1222">
        <v>552</v>
      </c>
      <c r="H38" s="1223">
        <v>518</v>
      </c>
      <c r="I38" s="1222">
        <v>511</v>
      </c>
      <c r="J38" s="1223">
        <v>530</v>
      </c>
      <c r="K38" s="1222">
        <v>542</v>
      </c>
      <c r="L38" s="1236">
        <v>574</v>
      </c>
      <c r="M38" s="1236">
        <v>599</v>
      </c>
      <c r="N38" s="1236">
        <v>595</v>
      </c>
      <c r="O38" s="1236">
        <v>593</v>
      </c>
      <c r="P38" s="1237">
        <v>512</v>
      </c>
      <c r="Q38" s="1237">
        <v>523</v>
      </c>
      <c r="R38" s="1510">
        <v>533</v>
      </c>
      <c r="S38" s="1511">
        <f>'Non-marital births'!D39</f>
        <v>490</v>
      </c>
      <c r="T38" s="1858">
        <v>490</v>
      </c>
      <c r="U38" s="1858"/>
      <c r="V38" s="1244">
        <v>123</v>
      </c>
      <c r="W38" s="1245">
        <v>150</v>
      </c>
      <c r="X38" s="1245">
        <v>163</v>
      </c>
      <c r="Y38" s="1245">
        <v>168</v>
      </c>
      <c r="Z38" s="1245">
        <v>151</v>
      </c>
      <c r="AA38" s="1245">
        <v>162</v>
      </c>
      <c r="AB38" s="1245">
        <v>165</v>
      </c>
      <c r="AC38" s="1245">
        <v>194</v>
      </c>
      <c r="AD38" s="1245">
        <v>218</v>
      </c>
      <c r="AE38" s="1245">
        <v>219</v>
      </c>
      <c r="AF38" s="1245">
        <v>228</v>
      </c>
      <c r="AG38" s="1245">
        <v>233</v>
      </c>
      <c r="AH38" s="1245">
        <v>191</v>
      </c>
      <c r="AI38" s="1245">
        <v>224</v>
      </c>
      <c r="AJ38" s="1513">
        <v>239</v>
      </c>
      <c r="AK38" s="1514">
        <f>'Non-marital births'!H39</f>
        <v>207</v>
      </c>
      <c r="AL38" s="1859">
        <v>207</v>
      </c>
      <c r="AM38" s="1859"/>
      <c r="AN38" s="1252">
        <f t="shared" si="16"/>
        <v>0.2673913043478261</v>
      </c>
      <c r="AO38" s="1253">
        <f t="shared" ref="AO38:AO69" si="17">W38/E38</f>
        <v>0.29126213592233008</v>
      </c>
      <c r="AP38" s="1253">
        <f t="shared" ref="AP38:AP69" si="18">X38/F38</f>
        <v>0.30524344569288392</v>
      </c>
      <c r="AQ38" s="1253">
        <f t="shared" ref="AQ38:AQ69" si="19">Y38/G38</f>
        <v>0.30434782608695654</v>
      </c>
      <c r="AR38" s="1253">
        <f t="shared" ref="AR38:AR69" si="20">Z38/H38</f>
        <v>0.29150579150579148</v>
      </c>
      <c r="AS38" s="1253">
        <f t="shared" ref="AS38:AS69" si="21">AA38/I38</f>
        <v>0.31702544031311153</v>
      </c>
      <c r="AT38" s="1253">
        <f t="shared" ref="AT38:AT69" si="22">AB38/J38</f>
        <v>0.31132075471698112</v>
      </c>
      <c r="AU38" s="1253">
        <f t="shared" ref="AU38:AU69" si="23">AC38/K38</f>
        <v>0.35793357933579334</v>
      </c>
      <c r="AV38" s="1253">
        <f t="shared" ref="AV38:AV69" si="24">AD38/L38</f>
        <v>0.37979094076655051</v>
      </c>
      <c r="AW38" s="1253">
        <f t="shared" ref="AW38:AW69" si="25">AE38/M38</f>
        <v>0.36560934891485808</v>
      </c>
      <c r="AX38" s="1253">
        <f t="shared" ref="AX38:AX69" si="26">AF38/N38</f>
        <v>0.3831932773109244</v>
      </c>
      <c r="AY38" s="1253">
        <f t="shared" ref="AY38:AY69" si="27">AG38/O38</f>
        <v>0.39291736930860033</v>
      </c>
      <c r="AZ38" s="1253">
        <f t="shared" ref="AZ38:AZ69" si="28">AH38/P38</f>
        <v>0.373046875</v>
      </c>
      <c r="BA38" s="1253">
        <f t="shared" ref="BA38:BA69" si="29">AI38/Q38</f>
        <v>0.42829827915869984</v>
      </c>
      <c r="BB38" s="1506">
        <f t="shared" ref="BB38:BB69" si="30">AJ38/R38</f>
        <v>0.44840525328330205</v>
      </c>
      <c r="BC38" s="1508">
        <f>'Non-marital births'!L39</f>
        <v>0.42244897959183675</v>
      </c>
      <c r="BD38" s="1862">
        <v>0.42244897959183675</v>
      </c>
    </row>
    <row r="39" spans="1:56" s="142" customFormat="1" ht="15.75" customHeight="1" x14ac:dyDescent="0.2">
      <c r="A39" s="149" t="s">
        <v>86</v>
      </c>
      <c r="B39" s="189" t="s">
        <v>87</v>
      </c>
      <c r="C39" s="150" t="s">
        <v>267</v>
      </c>
      <c r="D39" s="1221">
        <v>759</v>
      </c>
      <c r="E39" s="1222">
        <v>724</v>
      </c>
      <c r="F39" s="1223">
        <v>837</v>
      </c>
      <c r="G39" s="1222">
        <v>695</v>
      </c>
      <c r="H39" s="1223">
        <v>822</v>
      </c>
      <c r="I39" s="1222">
        <v>858</v>
      </c>
      <c r="J39" s="1223">
        <v>922</v>
      </c>
      <c r="K39" s="1222">
        <v>920</v>
      </c>
      <c r="L39" s="1236">
        <v>964</v>
      </c>
      <c r="M39" s="1236">
        <v>962</v>
      </c>
      <c r="N39" s="1236">
        <v>984</v>
      </c>
      <c r="O39" s="1236">
        <v>918</v>
      </c>
      <c r="P39" s="1237">
        <v>915</v>
      </c>
      <c r="Q39" s="1237">
        <v>887</v>
      </c>
      <c r="R39" s="1510">
        <v>921</v>
      </c>
      <c r="S39" s="1511">
        <f>'Non-marital births'!D40</f>
        <v>889</v>
      </c>
      <c r="T39" s="1858">
        <v>889</v>
      </c>
      <c r="U39" s="1858"/>
      <c r="V39" s="1244">
        <v>201</v>
      </c>
      <c r="W39" s="1245">
        <v>186</v>
      </c>
      <c r="X39" s="1245">
        <v>220</v>
      </c>
      <c r="Y39" s="1245">
        <v>179</v>
      </c>
      <c r="Z39" s="1245">
        <v>228</v>
      </c>
      <c r="AA39" s="1245">
        <v>254</v>
      </c>
      <c r="AB39" s="1245">
        <v>257</v>
      </c>
      <c r="AC39" s="1245">
        <v>270</v>
      </c>
      <c r="AD39" s="1245">
        <v>315</v>
      </c>
      <c r="AE39" s="1245">
        <v>324</v>
      </c>
      <c r="AF39" s="1245">
        <v>369</v>
      </c>
      <c r="AG39" s="1245">
        <v>341</v>
      </c>
      <c r="AH39" s="1245">
        <v>335</v>
      </c>
      <c r="AI39" s="1245">
        <v>307</v>
      </c>
      <c r="AJ39" s="1513">
        <v>341</v>
      </c>
      <c r="AK39" s="1514">
        <f>'Non-marital births'!H40</f>
        <v>291</v>
      </c>
      <c r="AL39" s="1859">
        <v>291</v>
      </c>
      <c r="AM39" s="1859"/>
      <c r="AN39" s="1252">
        <f t="shared" si="16"/>
        <v>0.2648221343873518</v>
      </c>
      <c r="AO39" s="1253">
        <f t="shared" si="17"/>
        <v>0.25690607734806631</v>
      </c>
      <c r="AP39" s="1253">
        <f t="shared" si="18"/>
        <v>0.26284348864994028</v>
      </c>
      <c r="AQ39" s="1253">
        <f t="shared" si="19"/>
        <v>0.25755395683453236</v>
      </c>
      <c r="AR39" s="1253">
        <f t="shared" si="20"/>
        <v>0.27737226277372262</v>
      </c>
      <c r="AS39" s="1253">
        <f t="shared" si="21"/>
        <v>0.29603729603729606</v>
      </c>
      <c r="AT39" s="1253">
        <f t="shared" si="22"/>
        <v>0.27874186550976138</v>
      </c>
      <c r="AU39" s="1253">
        <f t="shared" si="23"/>
        <v>0.29347826086956524</v>
      </c>
      <c r="AV39" s="1253">
        <f t="shared" si="24"/>
        <v>0.32676348547717843</v>
      </c>
      <c r="AW39" s="1253">
        <f t="shared" si="25"/>
        <v>0.33679833679833682</v>
      </c>
      <c r="AX39" s="1253">
        <f t="shared" si="26"/>
        <v>0.375</v>
      </c>
      <c r="AY39" s="1253">
        <f t="shared" si="27"/>
        <v>0.37145969498910675</v>
      </c>
      <c r="AZ39" s="1253">
        <f t="shared" si="28"/>
        <v>0.36612021857923499</v>
      </c>
      <c r="BA39" s="1253">
        <f t="shared" si="29"/>
        <v>0.34611048478015782</v>
      </c>
      <c r="BB39" s="1506">
        <f t="shared" si="30"/>
        <v>0.37024972855591748</v>
      </c>
      <c r="BC39" s="1508">
        <f>'Non-marital births'!L40</f>
        <v>0.32733408323959506</v>
      </c>
      <c r="BD39" s="1862">
        <v>0.32733408323959506</v>
      </c>
    </row>
    <row r="40" spans="1:56" s="142" customFormat="1" ht="15.75" customHeight="1" x14ac:dyDescent="0.2">
      <c r="A40" s="149" t="s">
        <v>92</v>
      </c>
      <c r="B40" s="189" t="s">
        <v>93</v>
      </c>
      <c r="C40" s="150" t="s">
        <v>268</v>
      </c>
      <c r="D40" s="1221">
        <v>208</v>
      </c>
      <c r="E40" s="1222">
        <v>203</v>
      </c>
      <c r="F40" s="1223">
        <v>254</v>
      </c>
      <c r="G40" s="1222">
        <v>204</v>
      </c>
      <c r="H40" s="1223">
        <v>212</v>
      </c>
      <c r="I40" s="1222">
        <v>178</v>
      </c>
      <c r="J40" s="1223">
        <v>189</v>
      </c>
      <c r="K40" s="1222">
        <v>161</v>
      </c>
      <c r="L40" s="1236">
        <v>181</v>
      </c>
      <c r="M40" s="1236">
        <v>190</v>
      </c>
      <c r="N40" s="1236">
        <v>164</v>
      </c>
      <c r="O40" s="1236">
        <v>173</v>
      </c>
      <c r="P40" s="1237">
        <v>196</v>
      </c>
      <c r="Q40" s="1237">
        <v>179</v>
      </c>
      <c r="R40" s="1510">
        <v>189</v>
      </c>
      <c r="S40" s="1511">
        <f>'Non-marital births'!D41</f>
        <v>185</v>
      </c>
      <c r="T40" s="1858">
        <v>185</v>
      </c>
      <c r="U40" s="1858"/>
      <c r="V40" s="1244">
        <v>50</v>
      </c>
      <c r="W40" s="1245">
        <v>48</v>
      </c>
      <c r="X40" s="1245">
        <v>66</v>
      </c>
      <c r="Y40" s="1245">
        <v>53</v>
      </c>
      <c r="Z40" s="1245">
        <v>53</v>
      </c>
      <c r="AA40" s="1245">
        <v>45</v>
      </c>
      <c r="AB40" s="1245">
        <v>46</v>
      </c>
      <c r="AC40" s="1245">
        <v>41</v>
      </c>
      <c r="AD40" s="1245">
        <v>60</v>
      </c>
      <c r="AE40" s="1245">
        <v>70</v>
      </c>
      <c r="AF40" s="1245">
        <v>70</v>
      </c>
      <c r="AG40" s="1245">
        <v>61</v>
      </c>
      <c r="AH40" s="1245">
        <v>89</v>
      </c>
      <c r="AI40" s="1245">
        <v>74</v>
      </c>
      <c r="AJ40" s="1513">
        <v>75</v>
      </c>
      <c r="AK40" s="1514">
        <f>'Non-marital births'!H41</f>
        <v>82</v>
      </c>
      <c r="AL40" s="1859">
        <v>82</v>
      </c>
      <c r="AM40" s="1859"/>
      <c r="AN40" s="1252">
        <f t="shared" si="16"/>
        <v>0.24038461538461539</v>
      </c>
      <c r="AO40" s="1253">
        <f t="shared" si="17"/>
        <v>0.23645320197044334</v>
      </c>
      <c r="AP40" s="1253">
        <f t="shared" si="18"/>
        <v>0.25984251968503935</v>
      </c>
      <c r="AQ40" s="1253">
        <f t="shared" si="19"/>
        <v>0.25980392156862747</v>
      </c>
      <c r="AR40" s="1253">
        <f t="shared" si="20"/>
        <v>0.25</v>
      </c>
      <c r="AS40" s="1253">
        <f t="shared" si="21"/>
        <v>0.25280898876404495</v>
      </c>
      <c r="AT40" s="1253">
        <f t="shared" si="22"/>
        <v>0.24338624338624337</v>
      </c>
      <c r="AU40" s="1253">
        <f t="shared" si="23"/>
        <v>0.25465838509316768</v>
      </c>
      <c r="AV40" s="1253">
        <f t="shared" si="24"/>
        <v>0.33149171270718231</v>
      </c>
      <c r="AW40" s="1253">
        <f t="shared" si="25"/>
        <v>0.36842105263157893</v>
      </c>
      <c r="AX40" s="1253">
        <f t="shared" si="26"/>
        <v>0.42682926829268292</v>
      </c>
      <c r="AY40" s="1253">
        <f t="shared" si="27"/>
        <v>0.35260115606936415</v>
      </c>
      <c r="AZ40" s="1253">
        <f t="shared" si="28"/>
        <v>0.45408163265306123</v>
      </c>
      <c r="BA40" s="1253">
        <f t="shared" si="29"/>
        <v>0.41340782122905029</v>
      </c>
      <c r="BB40" s="1506">
        <f t="shared" si="30"/>
        <v>0.3968253968253968</v>
      </c>
      <c r="BC40" s="1508">
        <f>'Non-marital births'!L41</f>
        <v>0.44324324324324327</v>
      </c>
      <c r="BD40" s="1862">
        <v>0.44324324324324327</v>
      </c>
    </row>
    <row r="41" spans="1:56" s="142" customFormat="1" ht="15.75" customHeight="1" x14ac:dyDescent="0.2">
      <c r="A41" s="149" t="s">
        <v>94</v>
      </c>
      <c r="B41" s="189" t="s">
        <v>95</v>
      </c>
      <c r="C41" s="150" t="s">
        <v>264</v>
      </c>
      <c r="D41" s="1221">
        <v>386</v>
      </c>
      <c r="E41" s="1222">
        <v>381</v>
      </c>
      <c r="F41" s="1223">
        <v>405</v>
      </c>
      <c r="G41" s="1222">
        <v>399</v>
      </c>
      <c r="H41" s="1223">
        <v>413</v>
      </c>
      <c r="I41" s="1222">
        <v>381</v>
      </c>
      <c r="J41" s="1223">
        <v>417</v>
      </c>
      <c r="K41" s="1222">
        <v>405</v>
      </c>
      <c r="L41" s="1236">
        <v>359</v>
      </c>
      <c r="M41" s="1236">
        <v>393</v>
      </c>
      <c r="N41" s="1236">
        <v>374</v>
      </c>
      <c r="O41" s="1236">
        <v>365</v>
      </c>
      <c r="P41" s="1237">
        <v>359</v>
      </c>
      <c r="Q41" s="1237">
        <v>341</v>
      </c>
      <c r="R41" s="1510">
        <v>355</v>
      </c>
      <c r="S41" s="1511">
        <f>'Non-marital births'!D42</f>
        <v>368</v>
      </c>
      <c r="T41" s="1858">
        <v>368</v>
      </c>
      <c r="U41" s="1858"/>
      <c r="V41" s="1244">
        <v>102</v>
      </c>
      <c r="W41" s="1245">
        <v>101</v>
      </c>
      <c r="X41" s="1245">
        <v>113</v>
      </c>
      <c r="Y41" s="1245">
        <v>130</v>
      </c>
      <c r="Z41" s="1245">
        <v>127</v>
      </c>
      <c r="AA41" s="1245">
        <v>108</v>
      </c>
      <c r="AB41" s="1245">
        <v>142</v>
      </c>
      <c r="AC41" s="1245">
        <v>126</v>
      </c>
      <c r="AD41" s="1245">
        <v>114</v>
      </c>
      <c r="AE41" s="1245">
        <v>115</v>
      </c>
      <c r="AF41" s="1245">
        <v>127</v>
      </c>
      <c r="AG41" s="1245">
        <v>133</v>
      </c>
      <c r="AH41" s="1245">
        <v>133</v>
      </c>
      <c r="AI41" s="1245">
        <v>122</v>
      </c>
      <c r="AJ41" s="1513">
        <v>152</v>
      </c>
      <c r="AK41" s="1514">
        <f>'Non-marital births'!H42</f>
        <v>141</v>
      </c>
      <c r="AL41" s="1859">
        <v>141</v>
      </c>
      <c r="AM41" s="1859"/>
      <c r="AN41" s="1252">
        <f t="shared" si="16"/>
        <v>0.26424870466321243</v>
      </c>
      <c r="AO41" s="1253">
        <f t="shared" si="17"/>
        <v>0.26509186351706038</v>
      </c>
      <c r="AP41" s="1253">
        <f t="shared" si="18"/>
        <v>0.27901234567901234</v>
      </c>
      <c r="AQ41" s="1253">
        <f t="shared" si="19"/>
        <v>0.32581453634085211</v>
      </c>
      <c r="AR41" s="1253">
        <f t="shared" si="20"/>
        <v>0.30750605326876512</v>
      </c>
      <c r="AS41" s="1253">
        <f t="shared" si="21"/>
        <v>0.28346456692913385</v>
      </c>
      <c r="AT41" s="1253">
        <f t="shared" si="22"/>
        <v>0.34052757793764987</v>
      </c>
      <c r="AU41" s="1253">
        <f t="shared" si="23"/>
        <v>0.31111111111111112</v>
      </c>
      <c r="AV41" s="1253">
        <f t="shared" si="24"/>
        <v>0.31754874651810583</v>
      </c>
      <c r="AW41" s="1253">
        <f t="shared" si="25"/>
        <v>0.29262086513994912</v>
      </c>
      <c r="AX41" s="1253">
        <f t="shared" si="26"/>
        <v>0.33957219251336901</v>
      </c>
      <c r="AY41" s="1253">
        <f t="shared" si="27"/>
        <v>0.36438356164383562</v>
      </c>
      <c r="AZ41" s="1253">
        <f t="shared" si="28"/>
        <v>0.37047353760445684</v>
      </c>
      <c r="BA41" s="1253">
        <f t="shared" si="29"/>
        <v>0.35777126099706746</v>
      </c>
      <c r="BB41" s="1506">
        <f t="shared" si="30"/>
        <v>0.42816901408450703</v>
      </c>
      <c r="BC41" s="1508">
        <f>'Non-marital births'!L42</f>
        <v>0.38315217391304346</v>
      </c>
      <c r="BD41" s="1862">
        <v>0.38315217391304346</v>
      </c>
    </row>
    <row r="42" spans="1:56" s="142" customFormat="1" ht="15.75" customHeight="1" x14ac:dyDescent="0.2">
      <c r="A42" s="149" t="s">
        <v>96</v>
      </c>
      <c r="B42" s="189" t="s">
        <v>97</v>
      </c>
      <c r="C42" s="150" t="s">
        <v>266</v>
      </c>
      <c r="D42" s="1221">
        <v>185</v>
      </c>
      <c r="E42" s="1222">
        <v>167</v>
      </c>
      <c r="F42" s="1223">
        <v>203</v>
      </c>
      <c r="G42" s="1222">
        <v>200</v>
      </c>
      <c r="H42" s="1223">
        <v>190</v>
      </c>
      <c r="I42" s="1222">
        <v>174</v>
      </c>
      <c r="J42" s="1223">
        <v>181</v>
      </c>
      <c r="K42" s="1222">
        <v>198</v>
      </c>
      <c r="L42" s="1236">
        <v>213</v>
      </c>
      <c r="M42" s="1236">
        <v>194</v>
      </c>
      <c r="N42" s="1236">
        <v>209</v>
      </c>
      <c r="O42" s="1236">
        <v>179</v>
      </c>
      <c r="P42" s="1237">
        <v>173</v>
      </c>
      <c r="Q42" s="1237">
        <v>151</v>
      </c>
      <c r="R42" s="1510">
        <v>165</v>
      </c>
      <c r="S42" s="1511">
        <f>'Non-marital births'!D43</f>
        <v>185</v>
      </c>
      <c r="T42" s="1858">
        <v>185</v>
      </c>
      <c r="U42" s="1858"/>
      <c r="V42" s="1244">
        <v>43</v>
      </c>
      <c r="W42" s="1245">
        <v>27</v>
      </c>
      <c r="X42" s="1245">
        <v>38</v>
      </c>
      <c r="Y42" s="1245">
        <v>37</v>
      </c>
      <c r="Z42" s="1245">
        <v>34</v>
      </c>
      <c r="AA42" s="1245">
        <v>25</v>
      </c>
      <c r="AB42" s="1245">
        <v>37</v>
      </c>
      <c r="AC42" s="1245">
        <v>35</v>
      </c>
      <c r="AD42" s="1245">
        <v>47</v>
      </c>
      <c r="AE42" s="1245">
        <v>37</v>
      </c>
      <c r="AF42" s="1245">
        <v>47</v>
      </c>
      <c r="AG42" s="1245">
        <v>37</v>
      </c>
      <c r="AH42" s="1245">
        <v>43</v>
      </c>
      <c r="AI42" s="1245">
        <v>36</v>
      </c>
      <c r="AJ42" s="1513">
        <v>36</v>
      </c>
      <c r="AK42" s="1514">
        <f>'Non-marital births'!H43</f>
        <v>58</v>
      </c>
      <c r="AL42" s="1859">
        <v>58</v>
      </c>
      <c r="AM42" s="1859"/>
      <c r="AN42" s="1252">
        <f t="shared" si="16"/>
        <v>0.23243243243243245</v>
      </c>
      <c r="AO42" s="1253">
        <f t="shared" si="17"/>
        <v>0.16167664670658682</v>
      </c>
      <c r="AP42" s="1253">
        <f t="shared" si="18"/>
        <v>0.18719211822660098</v>
      </c>
      <c r="AQ42" s="1253">
        <f t="shared" si="19"/>
        <v>0.185</v>
      </c>
      <c r="AR42" s="1253">
        <f t="shared" si="20"/>
        <v>0.17894736842105263</v>
      </c>
      <c r="AS42" s="1253">
        <f t="shared" si="21"/>
        <v>0.14367816091954022</v>
      </c>
      <c r="AT42" s="1253">
        <f t="shared" si="22"/>
        <v>0.20441988950276244</v>
      </c>
      <c r="AU42" s="1253">
        <f t="shared" si="23"/>
        <v>0.17676767676767677</v>
      </c>
      <c r="AV42" s="1253">
        <f t="shared" si="24"/>
        <v>0.22065727699530516</v>
      </c>
      <c r="AW42" s="1253">
        <f t="shared" si="25"/>
        <v>0.19072164948453607</v>
      </c>
      <c r="AX42" s="1253">
        <f t="shared" si="26"/>
        <v>0.22488038277511962</v>
      </c>
      <c r="AY42" s="1253">
        <f t="shared" si="27"/>
        <v>0.20670391061452514</v>
      </c>
      <c r="AZ42" s="1253">
        <f t="shared" si="28"/>
        <v>0.24855491329479767</v>
      </c>
      <c r="BA42" s="1253">
        <f t="shared" si="29"/>
        <v>0.23841059602649006</v>
      </c>
      <c r="BB42" s="1506">
        <f t="shared" si="30"/>
        <v>0.21818181818181817</v>
      </c>
      <c r="BC42" s="1508">
        <f>'Non-marital births'!L43</f>
        <v>0.31351351351351353</v>
      </c>
      <c r="BD42" s="1862">
        <v>0.31351351351351353</v>
      </c>
    </row>
    <row r="43" spans="1:56" s="142" customFormat="1" ht="15.75" customHeight="1" x14ac:dyDescent="0.2">
      <c r="A43" s="149" t="s">
        <v>98</v>
      </c>
      <c r="B43" s="189" t="s">
        <v>99</v>
      </c>
      <c r="C43" s="150" t="s">
        <v>268</v>
      </c>
      <c r="D43" s="1221">
        <v>151</v>
      </c>
      <c r="E43" s="1222">
        <v>184</v>
      </c>
      <c r="F43" s="1223">
        <v>172</v>
      </c>
      <c r="G43" s="1222">
        <v>154</v>
      </c>
      <c r="H43" s="1223">
        <v>170</v>
      </c>
      <c r="I43" s="1222">
        <v>152</v>
      </c>
      <c r="J43" s="1223">
        <v>130</v>
      </c>
      <c r="K43" s="1222">
        <v>146</v>
      </c>
      <c r="L43" s="1236">
        <v>161</v>
      </c>
      <c r="M43" s="1236">
        <v>157</v>
      </c>
      <c r="N43" s="1236">
        <v>156</v>
      </c>
      <c r="O43" s="1236">
        <v>122</v>
      </c>
      <c r="P43" s="1237">
        <v>139</v>
      </c>
      <c r="Q43" s="1237">
        <v>117</v>
      </c>
      <c r="R43" s="1510">
        <v>142</v>
      </c>
      <c r="S43" s="1511">
        <f>'Non-marital births'!D44</f>
        <v>141</v>
      </c>
      <c r="T43" s="1858">
        <v>141</v>
      </c>
      <c r="U43" s="1858"/>
      <c r="V43" s="1244">
        <v>42</v>
      </c>
      <c r="W43" s="1245">
        <v>47</v>
      </c>
      <c r="X43" s="1245">
        <v>38</v>
      </c>
      <c r="Y43" s="1245">
        <v>35</v>
      </c>
      <c r="Z43" s="1245">
        <v>44</v>
      </c>
      <c r="AA43" s="1245">
        <v>43</v>
      </c>
      <c r="AB43" s="1245">
        <v>39</v>
      </c>
      <c r="AC43" s="1245">
        <v>45</v>
      </c>
      <c r="AD43" s="1245">
        <v>60</v>
      </c>
      <c r="AE43" s="1245">
        <v>55</v>
      </c>
      <c r="AF43" s="1245">
        <v>55</v>
      </c>
      <c r="AG43" s="1245">
        <v>48</v>
      </c>
      <c r="AH43" s="1245">
        <v>50</v>
      </c>
      <c r="AI43" s="1245">
        <v>53</v>
      </c>
      <c r="AJ43" s="1513">
        <v>58</v>
      </c>
      <c r="AK43" s="1514">
        <f>'Non-marital births'!H44</f>
        <v>57</v>
      </c>
      <c r="AL43" s="1859">
        <v>57</v>
      </c>
      <c r="AM43" s="1859"/>
      <c r="AN43" s="1252">
        <f t="shared" si="16"/>
        <v>0.27814569536423839</v>
      </c>
      <c r="AO43" s="1253">
        <f t="shared" si="17"/>
        <v>0.25543478260869568</v>
      </c>
      <c r="AP43" s="1253">
        <f t="shared" si="18"/>
        <v>0.22093023255813954</v>
      </c>
      <c r="AQ43" s="1253">
        <f t="shared" si="19"/>
        <v>0.22727272727272727</v>
      </c>
      <c r="AR43" s="1253">
        <f t="shared" si="20"/>
        <v>0.25882352941176473</v>
      </c>
      <c r="AS43" s="1253">
        <f t="shared" si="21"/>
        <v>0.28289473684210525</v>
      </c>
      <c r="AT43" s="1253">
        <f t="shared" si="22"/>
        <v>0.3</v>
      </c>
      <c r="AU43" s="1253">
        <f t="shared" si="23"/>
        <v>0.30821917808219179</v>
      </c>
      <c r="AV43" s="1253">
        <f t="shared" si="24"/>
        <v>0.37267080745341613</v>
      </c>
      <c r="AW43" s="1253">
        <f t="shared" si="25"/>
        <v>0.3503184713375796</v>
      </c>
      <c r="AX43" s="1253">
        <f t="shared" si="26"/>
        <v>0.35256410256410259</v>
      </c>
      <c r="AY43" s="1253">
        <f t="shared" si="27"/>
        <v>0.39344262295081966</v>
      </c>
      <c r="AZ43" s="1253">
        <f t="shared" si="28"/>
        <v>0.35971223021582732</v>
      </c>
      <c r="BA43" s="1253">
        <f t="shared" si="29"/>
        <v>0.45299145299145299</v>
      </c>
      <c r="BB43" s="1506">
        <f t="shared" si="30"/>
        <v>0.40845070422535212</v>
      </c>
      <c r="BC43" s="1508">
        <f>'Non-marital births'!L44</f>
        <v>0.40425531914893614</v>
      </c>
      <c r="BD43" s="1862">
        <v>0.40425531914893614</v>
      </c>
    </row>
    <row r="44" spans="1:56" s="142" customFormat="1" ht="15.75" customHeight="1" x14ac:dyDescent="0.2">
      <c r="A44" s="149" t="s">
        <v>100</v>
      </c>
      <c r="B44" s="189" t="s">
        <v>101</v>
      </c>
      <c r="C44" s="150" t="s">
        <v>267</v>
      </c>
      <c r="D44" s="1221">
        <v>209</v>
      </c>
      <c r="E44" s="1222">
        <v>243</v>
      </c>
      <c r="F44" s="1223">
        <v>225</v>
      </c>
      <c r="G44" s="1222">
        <v>246</v>
      </c>
      <c r="H44" s="1223">
        <v>245</v>
      </c>
      <c r="I44" s="1222">
        <v>252</v>
      </c>
      <c r="J44" s="1223">
        <v>263</v>
      </c>
      <c r="K44" s="1222">
        <v>270</v>
      </c>
      <c r="L44" s="1236">
        <v>279</v>
      </c>
      <c r="M44" s="1236">
        <v>276</v>
      </c>
      <c r="N44" s="1236">
        <v>245</v>
      </c>
      <c r="O44" s="1236">
        <v>254</v>
      </c>
      <c r="P44" s="1237">
        <v>226</v>
      </c>
      <c r="Q44" s="1237">
        <v>227</v>
      </c>
      <c r="R44" s="1510">
        <v>236</v>
      </c>
      <c r="S44" s="1511">
        <f>'Non-marital births'!D45</f>
        <v>220</v>
      </c>
      <c r="T44" s="1858">
        <v>220</v>
      </c>
      <c r="U44" s="1858"/>
      <c r="V44" s="1244">
        <v>66</v>
      </c>
      <c r="W44" s="1245">
        <v>62</v>
      </c>
      <c r="X44" s="1245">
        <v>62</v>
      </c>
      <c r="Y44" s="1245">
        <v>70</v>
      </c>
      <c r="Z44" s="1245">
        <v>73</v>
      </c>
      <c r="AA44" s="1245">
        <v>79</v>
      </c>
      <c r="AB44" s="1245">
        <v>76</v>
      </c>
      <c r="AC44" s="1245">
        <v>86</v>
      </c>
      <c r="AD44" s="1245">
        <v>92</v>
      </c>
      <c r="AE44" s="1245">
        <v>76</v>
      </c>
      <c r="AF44" s="1245">
        <v>86</v>
      </c>
      <c r="AG44" s="1245">
        <v>90</v>
      </c>
      <c r="AH44" s="1245">
        <v>64</v>
      </c>
      <c r="AI44" s="1245">
        <v>81</v>
      </c>
      <c r="AJ44" s="1513">
        <v>87</v>
      </c>
      <c r="AK44" s="1514">
        <f>'Non-marital births'!H45</f>
        <v>84</v>
      </c>
      <c r="AL44" s="1859">
        <v>84</v>
      </c>
      <c r="AM44" s="1859"/>
      <c r="AN44" s="1252">
        <f t="shared" si="16"/>
        <v>0.31578947368421051</v>
      </c>
      <c r="AO44" s="1253">
        <f t="shared" si="17"/>
        <v>0.2551440329218107</v>
      </c>
      <c r="AP44" s="1253">
        <f t="shared" si="18"/>
        <v>0.27555555555555555</v>
      </c>
      <c r="AQ44" s="1253">
        <f t="shared" si="19"/>
        <v>0.28455284552845528</v>
      </c>
      <c r="AR44" s="1253">
        <f t="shared" si="20"/>
        <v>0.29795918367346941</v>
      </c>
      <c r="AS44" s="1253">
        <f t="shared" si="21"/>
        <v>0.31349206349206349</v>
      </c>
      <c r="AT44" s="1253">
        <f t="shared" si="22"/>
        <v>0.28897338403041822</v>
      </c>
      <c r="AU44" s="1253">
        <f t="shared" si="23"/>
        <v>0.31851851851851853</v>
      </c>
      <c r="AV44" s="1253">
        <f t="shared" si="24"/>
        <v>0.32974910394265233</v>
      </c>
      <c r="AW44" s="1253">
        <f t="shared" si="25"/>
        <v>0.27536231884057971</v>
      </c>
      <c r="AX44" s="1253">
        <f t="shared" si="26"/>
        <v>0.3510204081632653</v>
      </c>
      <c r="AY44" s="1253">
        <f t="shared" si="27"/>
        <v>0.3543307086614173</v>
      </c>
      <c r="AZ44" s="1253">
        <f t="shared" si="28"/>
        <v>0.2831858407079646</v>
      </c>
      <c r="BA44" s="1253">
        <f t="shared" si="29"/>
        <v>0.35682819383259912</v>
      </c>
      <c r="BB44" s="1506">
        <f t="shared" si="30"/>
        <v>0.36864406779661019</v>
      </c>
      <c r="BC44" s="1508">
        <f>'Non-marital births'!L45</f>
        <v>0.38181818181818183</v>
      </c>
      <c r="BD44" s="1862">
        <v>0.38181818181818183</v>
      </c>
    </row>
    <row r="45" spans="1:56" s="142" customFormat="1" ht="15.75" customHeight="1" x14ac:dyDescent="0.2">
      <c r="A45" s="149" t="s">
        <v>102</v>
      </c>
      <c r="B45" s="189" t="s">
        <v>282</v>
      </c>
      <c r="C45" s="150" t="s">
        <v>264</v>
      </c>
      <c r="D45" s="1221">
        <v>168</v>
      </c>
      <c r="E45" s="1222">
        <v>172</v>
      </c>
      <c r="F45" s="1223">
        <v>191</v>
      </c>
      <c r="G45" s="1222">
        <v>193</v>
      </c>
      <c r="H45" s="1223">
        <v>204</v>
      </c>
      <c r="I45" s="1222">
        <v>188</v>
      </c>
      <c r="J45" s="1223">
        <v>187</v>
      </c>
      <c r="K45" s="1222">
        <v>193</v>
      </c>
      <c r="L45" s="1236">
        <v>208</v>
      </c>
      <c r="M45" s="1236">
        <v>200</v>
      </c>
      <c r="N45" s="1236">
        <v>215</v>
      </c>
      <c r="O45" s="1236">
        <v>165</v>
      </c>
      <c r="P45" s="1237">
        <v>179</v>
      </c>
      <c r="Q45" s="1237">
        <v>180</v>
      </c>
      <c r="R45" s="1510">
        <v>162</v>
      </c>
      <c r="S45" s="1511">
        <f>'Non-marital births'!D46</f>
        <v>177</v>
      </c>
      <c r="T45" s="1858">
        <v>177</v>
      </c>
      <c r="U45" s="1858"/>
      <c r="V45" s="1244">
        <v>92</v>
      </c>
      <c r="W45" s="1245">
        <v>100</v>
      </c>
      <c r="X45" s="1245">
        <v>110</v>
      </c>
      <c r="Y45" s="1245">
        <v>117</v>
      </c>
      <c r="Z45" s="1245">
        <v>124</v>
      </c>
      <c r="AA45" s="1245">
        <v>101</v>
      </c>
      <c r="AB45" s="1245">
        <v>111</v>
      </c>
      <c r="AC45" s="1245">
        <v>125</v>
      </c>
      <c r="AD45" s="1245">
        <v>134</v>
      </c>
      <c r="AE45" s="1245">
        <v>135</v>
      </c>
      <c r="AF45" s="1245">
        <v>154</v>
      </c>
      <c r="AG45" s="1245">
        <v>114</v>
      </c>
      <c r="AH45" s="1245">
        <v>121</v>
      </c>
      <c r="AI45" s="1245">
        <v>130</v>
      </c>
      <c r="AJ45" s="1513">
        <v>116</v>
      </c>
      <c r="AK45" s="1514">
        <f>'Non-marital births'!H46</f>
        <v>128</v>
      </c>
      <c r="AL45" s="1859">
        <v>128</v>
      </c>
      <c r="AM45" s="1859"/>
      <c r="AN45" s="1252">
        <f t="shared" si="16"/>
        <v>0.54761904761904767</v>
      </c>
      <c r="AO45" s="1253">
        <f t="shared" si="17"/>
        <v>0.58139534883720934</v>
      </c>
      <c r="AP45" s="1253">
        <f t="shared" si="18"/>
        <v>0.5759162303664922</v>
      </c>
      <c r="AQ45" s="1253">
        <f t="shared" si="19"/>
        <v>0.60621761658031093</v>
      </c>
      <c r="AR45" s="1253">
        <f t="shared" si="20"/>
        <v>0.60784313725490191</v>
      </c>
      <c r="AS45" s="1253">
        <f t="shared" si="21"/>
        <v>0.53723404255319152</v>
      </c>
      <c r="AT45" s="1253">
        <f t="shared" si="22"/>
        <v>0.5935828877005348</v>
      </c>
      <c r="AU45" s="1253">
        <f t="shared" si="23"/>
        <v>0.64766839378238339</v>
      </c>
      <c r="AV45" s="1253">
        <f t="shared" si="24"/>
        <v>0.64423076923076927</v>
      </c>
      <c r="AW45" s="1253">
        <f t="shared" si="25"/>
        <v>0.67500000000000004</v>
      </c>
      <c r="AX45" s="1253">
        <f t="shared" si="26"/>
        <v>0.71627906976744182</v>
      </c>
      <c r="AY45" s="1253">
        <f t="shared" si="27"/>
        <v>0.69090909090909092</v>
      </c>
      <c r="AZ45" s="1253">
        <f t="shared" si="28"/>
        <v>0.67597765363128492</v>
      </c>
      <c r="BA45" s="1253">
        <f t="shared" si="29"/>
        <v>0.72222222222222221</v>
      </c>
      <c r="BB45" s="1506">
        <f t="shared" si="30"/>
        <v>0.71604938271604934</v>
      </c>
      <c r="BC45" s="1508">
        <f>'Non-marital births'!L46</f>
        <v>0.7231638418079096</v>
      </c>
      <c r="BD45" s="1862">
        <v>0.7231638418079096</v>
      </c>
    </row>
    <row r="46" spans="1:56" s="142" customFormat="1" ht="15.75" customHeight="1" x14ac:dyDescent="0.2">
      <c r="A46" s="149" t="s">
        <v>104</v>
      </c>
      <c r="B46" s="189" t="s">
        <v>105</v>
      </c>
      <c r="C46" s="150" t="s">
        <v>265</v>
      </c>
      <c r="D46" s="1221">
        <v>440</v>
      </c>
      <c r="E46" s="1222">
        <v>445</v>
      </c>
      <c r="F46" s="1223">
        <v>473</v>
      </c>
      <c r="G46" s="1222">
        <v>422</v>
      </c>
      <c r="H46" s="1223">
        <v>421</v>
      </c>
      <c r="I46" s="1222">
        <v>439</v>
      </c>
      <c r="J46" s="1223">
        <v>394</v>
      </c>
      <c r="K46" s="1222">
        <v>401</v>
      </c>
      <c r="L46" s="1236">
        <v>399</v>
      </c>
      <c r="M46" s="1236">
        <v>419</v>
      </c>
      <c r="N46" s="1236">
        <v>387</v>
      </c>
      <c r="O46" s="1236">
        <v>388</v>
      </c>
      <c r="P46" s="1237">
        <v>365</v>
      </c>
      <c r="Q46" s="1237">
        <v>316</v>
      </c>
      <c r="R46" s="1510">
        <v>341</v>
      </c>
      <c r="S46" s="1511">
        <f>'Non-marital births'!D47</f>
        <v>360</v>
      </c>
      <c r="T46" s="1858">
        <v>360</v>
      </c>
      <c r="U46" s="1858"/>
      <c r="V46" s="1244">
        <v>187</v>
      </c>
      <c r="W46" s="1245">
        <v>203</v>
      </c>
      <c r="X46" s="1245">
        <v>204</v>
      </c>
      <c r="Y46" s="1245">
        <v>179</v>
      </c>
      <c r="Z46" s="1245">
        <v>183</v>
      </c>
      <c r="AA46" s="1245">
        <v>185</v>
      </c>
      <c r="AB46" s="1245">
        <v>196</v>
      </c>
      <c r="AC46" s="1245">
        <v>177</v>
      </c>
      <c r="AD46" s="1245">
        <v>186</v>
      </c>
      <c r="AE46" s="1245">
        <v>217</v>
      </c>
      <c r="AF46" s="1245">
        <v>194</v>
      </c>
      <c r="AG46" s="1245">
        <v>188</v>
      </c>
      <c r="AH46" s="1245">
        <v>185</v>
      </c>
      <c r="AI46" s="1245">
        <v>157</v>
      </c>
      <c r="AJ46" s="1513">
        <v>173</v>
      </c>
      <c r="AK46" s="1514">
        <f>'Non-marital births'!H47</f>
        <v>190</v>
      </c>
      <c r="AL46" s="1859">
        <v>190</v>
      </c>
      <c r="AM46" s="1859"/>
      <c r="AN46" s="1252">
        <f t="shared" si="16"/>
        <v>0.42499999999999999</v>
      </c>
      <c r="AO46" s="1253">
        <f t="shared" si="17"/>
        <v>0.45617977528089887</v>
      </c>
      <c r="AP46" s="1253">
        <f t="shared" si="18"/>
        <v>0.43128964059196617</v>
      </c>
      <c r="AQ46" s="1253">
        <f t="shared" si="19"/>
        <v>0.42417061611374407</v>
      </c>
      <c r="AR46" s="1253">
        <f t="shared" si="20"/>
        <v>0.43467933491686461</v>
      </c>
      <c r="AS46" s="1253">
        <f t="shared" si="21"/>
        <v>0.42141230068337132</v>
      </c>
      <c r="AT46" s="1253">
        <f t="shared" si="22"/>
        <v>0.49746192893401014</v>
      </c>
      <c r="AU46" s="1253">
        <f t="shared" si="23"/>
        <v>0.44139650872817954</v>
      </c>
      <c r="AV46" s="1253">
        <f t="shared" si="24"/>
        <v>0.46616541353383456</v>
      </c>
      <c r="AW46" s="1253">
        <f t="shared" si="25"/>
        <v>0.5178997613365155</v>
      </c>
      <c r="AX46" s="1253">
        <f t="shared" si="26"/>
        <v>0.50129198966408273</v>
      </c>
      <c r="AY46" s="1253">
        <f t="shared" si="27"/>
        <v>0.4845360824742268</v>
      </c>
      <c r="AZ46" s="1253">
        <f t="shared" si="28"/>
        <v>0.50684931506849318</v>
      </c>
      <c r="BA46" s="1253">
        <f t="shared" si="29"/>
        <v>0.49683544303797467</v>
      </c>
      <c r="BB46" s="1506">
        <f t="shared" si="30"/>
        <v>0.50733137829912023</v>
      </c>
      <c r="BC46" s="1508">
        <f>'Non-marital births'!L47</f>
        <v>0.52777777777777779</v>
      </c>
      <c r="BD46" s="1862">
        <v>0.52777777777777779</v>
      </c>
    </row>
    <row r="47" spans="1:56" s="142" customFormat="1" ht="15.75" customHeight="1" x14ac:dyDescent="0.2">
      <c r="A47" s="149" t="s">
        <v>108</v>
      </c>
      <c r="B47" s="189" t="s">
        <v>109</v>
      </c>
      <c r="C47" s="150" t="s">
        <v>266</v>
      </c>
      <c r="D47" s="1221">
        <v>1004</v>
      </c>
      <c r="E47" s="1222">
        <v>1123</v>
      </c>
      <c r="F47" s="1223">
        <v>1060</v>
      </c>
      <c r="G47" s="1222">
        <v>1091</v>
      </c>
      <c r="H47" s="1223">
        <v>1069</v>
      </c>
      <c r="I47" s="1222">
        <v>1063</v>
      </c>
      <c r="J47" s="1223">
        <v>1131</v>
      </c>
      <c r="K47" s="1222">
        <v>1049</v>
      </c>
      <c r="L47" s="1236">
        <v>1100</v>
      </c>
      <c r="M47" s="1236">
        <v>1004</v>
      </c>
      <c r="N47" s="1236">
        <v>1032</v>
      </c>
      <c r="O47" s="1236">
        <v>970</v>
      </c>
      <c r="P47" s="1237">
        <v>918</v>
      </c>
      <c r="Q47" s="1237">
        <v>877</v>
      </c>
      <c r="R47" s="1510">
        <v>861</v>
      </c>
      <c r="S47" s="1511">
        <f>'Non-marital births'!D48</f>
        <v>936</v>
      </c>
      <c r="T47" s="1858">
        <v>936</v>
      </c>
      <c r="U47" s="1858"/>
      <c r="V47" s="1244">
        <v>155</v>
      </c>
      <c r="W47" s="1245">
        <v>161</v>
      </c>
      <c r="X47" s="1245">
        <v>166</v>
      </c>
      <c r="Y47" s="1245">
        <v>164</v>
      </c>
      <c r="Z47" s="1245">
        <v>179</v>
      </c>
      <c r="AA47" s="1245">
        <v>172</v>
      </c>
      <c r="AB47" s="1245">
        <v>191</v>
      </c>
      <c r="AC47" s="1245">
        <v>207</v>
      </c>
      <c r="AD47" s="1245">
        <v>222</v>
      </c>
      <c r="AE47" s="1245">
        <v>227</v>
      </c>
      <c r="AF47" s="1245">
        <v>248</v>
      </c>
      <c r="AG47" s="1245">
        <v>270</v>
      </c>
      <c r="AH47" s="1245">
        <v>262</v>
      </c>
      <c r="AI47" s="1245">
        <v>237</v>
      </c>
      <c r="AJ47" s="1513">
        <v>228</v>
      </c>
      <c r="AK47" s="1514">
        <f>'Non-marital births'!H48</f>
        <v>249</v>
      </c>
      <c r="AL47" s="1859">
        <v>249</v>
      </c>
      <c r="AM47" s="1859"/>
      <c r="AN47" s="1252">
        <f t="shared" si="16"/>
        <v>0.15438247011952191</v>
      </c>
      <c r="AO47" s="1253">
        <f t="shared" si="17"/>
        <v>0.14336598397150491</v>
      </c>
      <c r="AP47" s="1253">
        <f t="shared" si="18"/>
        <v>0.15660377358490565</v>
      </c>
      <c r="AQ47" s="1253">
        <f t="shared" si="19"/>
        <v>0.15032080659945005</v>
      </c>
      <c r="AR47" s="1253">
        <f t="shared" si="20"/>
        <v>0.16744621141253507</v>
      </c>
      <c r="AS47" s="1253">
        <f t="shared" si="21"/>
        <v>0.16180620884289745</v>
      </c>
      <c r="AT47" s="1253">
        <f t="shared" si="22"/>
        <v>0.16887709991158267</v>
      </c>
      <c r="AU47" s="1253">
        <f t="shared" si="23"/>
        <v>0.19733079122974262</v>
      </c>
      <c r="AV47" s="1253">
        <f t="shared" si="24"/>
        <v>0.20181818181818181</v>
      </c>
      <c r="AW47" s="1253">
        <f t="shared" si="25"/>
        <v>0.22609561752988047</v>
      </c>
      <c r="AX47" s="1253">
        <f t="shared" si="26"/>
        <v>0.24031007751937986</v>
      </c>
      <c r="AY47" s="1253">
        <f t="shared" si="27"/>
        <v>0.27835051546391754</v>
      </c>
      <c r="AZ47" s="1253">
        <f t="shared" si="28"/>
        <v>0.28540305010893247</v>
      </c>
      <c r="BA47" s="1253">
        <f t="shared" si="29"/>
        <v>0.27023945267958949</v>
      </c>
      <c r="BB47" s="1506">
        <f t="shared" si="30"/>
        <v>0.26480836236933797</v>
      </c>
      <c r="BC47" s="1508">
        <f>'Non-marital births'!L48</f>
        <v>0.26602564102564102</v>
      </c>
      <c r="BD47" s="1862">
        <v>0.26602564102564102</v>
      </c>
    </row>
    <row r="48" spans="1:56" s="142" customFormat="1" ht="15.75" customHeight="1" x14ac:dyDescent="0.2">
      <c r="A48" s="149" t="s">
        <v>110</v>
      </c>
      <c r="B48" s="189" t="s">
        <v>111</v>
      </c>
      <c r="C48" s="150" t="s">
        <v>266</v>
      </c>
      <c r="D48" s="1221">
        <v>3545</v>
      </c>
      <c r="E48" s="1222">
        <v>3634</v>
      </c>
      <c r="F48" s="1223">
        <v>3700</v>
      </c>
      <c r="G48" s="1222">
        <v>3574</v>
      </c>
      <c r="H48" s="1223">
        <v>3703</v>
      </c>
      <c r="I48" s="1222">
        <v>3728</v>
      </c>
      <c r="J48" s="1223">
        <v>3951</v>
      </c>
      <c r="K48" s="1222">
        <v>4098</v>
      </c>
      <c r="L48" s="1236">
        <v>4136</v>
      </c>
      <c r="M48" s="1236">
        <v>4098</v>
      </c>
      <c r="N48" s="1236">
        <v>3991</v>
      </c>
      <c r="O48" s="1236">
        <v>4086</v>
      </c>
      <c r="P48" s="1237">
        <v>3890</v>
      </c>
      <c r="Q48" s="1237">
        <v>3939</v>
      </c>
      <c r="R48" s="1510">
        <v>3969</v>
      </c>
      <c r="S48" s="1511">
        <f>'Non-marital births'!D49</f>
        <v>4061</v>
      </c>
      <c r="T48" s="1858">
        <v>4061</v>
      </c>
      <c r="U48" s="1858"/>
      <c r="V48" s="1244">
        <v>1027</v>
      </c>
      <c r="W48" s="1245">
        <v>953</v>
      </c>
      <c r="X48" s="1245">
        <v>1023</v>
      </c>
      <c r="Y48" s="1245">
        <v>956</v>
      </c>
      <c r="Z48" s="1245">
        <v>1035</v>
      </c>
      <c r="AA48" s="1245">
        <v>1120</v>
      </c>
      <c r="AB48" s="1245">
        <v>1194</v>
      </c>
      <c r="AC48" s="1245">
        <v>1321</v>
      </c>
      <c r="AD48" s="1245">
        <v>1374</v>
      </c>
      <c r="AE48" s="1245">
        <v>1378</v>
      </c>
      <c r="AF48" s="1245">
        <v>1482</v>
      </c>
      <c r="AG48" s="1245">
        <v>1456</v>
      </c>
      <c r="AH48" s="1245">
        <v>1358</v>
      </c>
      <c r="AI48" s="1245">
        <v>1354</v>
      </c>
      <c r="AJ48" s="1513">
        <v>1389</v>
      </c>
      <c r="AK48" s="1514">
        <f>'Non-marital births'!H49</f>
        <v>1394</v>
      </c>
      <c r="AL48" s="1859">
        <v>1394</v>
      </c>
      <c r="AM48" s="1859"/>
      <c r="AN48" s="1252">
        <f t="shared" si="16"/>
        <v>0.28970380818053598</v>
      </c>
      <c r="AO48" s="1253">
        <f t="shared" si="17"/>
        <v>0.26224545954870665</v>
      </c>
      <c r="AP48" s="1253">
        <f t="shared" si="18"/>
        <v>0.27648648648648649</v>
      </c>
      <c r="AQ48" s="1253">
        <f t="shared" si="19"/>
        <v>0.26748740906547286</v>
      </c>
      <c r="AR48" s="1253">
        <f t="shared" si="20"/>
        <v>0.27950310559006208</v>
      </c>
      <c r="AS48" s="1253">
        <f t="shared" si="21"/>
        <v>0.30042918454935624</v>
      </c>
      <c r="AT48" s="1253">
        <f t="shared" si="22"/>
        <v>0.30220197418375094</v>
      </c>
      <c r="AU48" s="1253">
        <f t="shared" si="23"/>
        <v>0.32235236700829673</v>
      </c>
      <c r="AV48" s="1253">
        <f t="shared" si="24"/>
        <v>0.33220502901353965</v>
      </c>
      <c r="AW48" s="1253">
        <f t="shared" si="25"/>
        <v>0.33626159102000974</v>
      </c>
      <c r="AX48" s="1253">
        <f t="shared" si="26"/>
        <v>0.37133550488599348</v>
      </c>
      <c r="AY48" s="1253">
        <f t="shared" si="27"/>
        <v>0.35633871757219776</v>
      </c>
      <c r="AZ48" s="1253">
        <f t="shared" si="28"/>
        <v>0.34910025706940873</v>
      </c>
      <c r="BA48" s="1253">
        <f t="shared" si="29"/>
        <v>0.34374206651434375</v>
      </c>
      <c r="BB48" s="1506">
        <f t="shared" si="30"/>
        <v>0.34996220710506426</v>
      </c>
      <c r="BC48" s="1508">
        <f>'Non-marital births'!L49</f>
        <v>0.34326520561438068</v>
      </c>
      <c r="BD48" s="1862">
        <v>0.34326520561438068</v>
      </c>
    </row>
    <row r="49" spans="1:56" s="142" customFormat="1" ht="15.75" customHeight="1" x14ac:dyDescent="0.2">
      <c r="A49" s="149" t="s">
        <v>112</v>
      </c>
      <c r="B49" s="189" t="s">
        <v>300</v>
      </c>
      <c r="C49" s="150" t="s">
        <v>265</v>
      </c>
      <c r="D49" s="1221">
        <v>784</v>
      </c>
      <c r="E49" s="1222">
        <v>827</v>
      </c>
      <c r="F49" s="1223">
        <v>871</v>
      </c>
      <c r="G49" s="1222">
        <v>816</v>
      </c>
      <c r="H49" s="1223">
        <v>791</v>
      </c>
      <c r="I49" s="1222">
        <v>759</v>
      </c>
      <c r="J49" s="1223">
        <v>760</v>
      </c>
      <c r="K49" s="1222">
        <v>777</v>
      </c>
      <c r="L49" s="1236">
        <v>842</v>
      </c>
      <c r="M49" s="1236">
        <v>840</v>
      </c>
      <c r="N49" s="1236">
        <v>816</v>
      </c>
      <c r="O49" s="1236">
        <v>762</v>
      </c>
      <c r="P49" s="1237">
        <v>732</v>
      </c>
      <c r="Q49" s="1237">
        <v>750</v>
      </c>
      <c r="R49" s="1510">
        <v>683</v>
      </c>
      <c r="S49" s="1511">
        <f>'Non-marital births'!D50</f>
        <v>616</v>
      </c>
      <c r="T49" s="1858">
        <v>616</v>
      </c>
      <c r="U49" s="1858"/>
      <c r="V49" s="1244">
        <v>315</v>
      </c>
      <c r="W49" s="1245">
        <v>340</v>
      </c>
      <c r="X49" s="1245">
        <v>356</v>
      </c>
      <c r="Y49" s="1245">
        <v>346</v>
      </c>
      <c r="Z49" s="1245">
        <v>349</v>
      </c>
      <c r="AA49" s="1245">
        <v>369</v>
      </c>
      <c r="AB49" s="1245">
        <v>400</v>
      </c>
      <c r="AC49" s="1245">
        <v>408</v>
      </c>
      <c r="AD49" s="1245">
        <v>460</v>
      </c>
      <c r="AE49" s="1245">
        <v>456</v>
      </c>
      <c r="AF49" s="1245">
        <v>439</v>
      </c>
      <c r="AG49" s="1245">
        <v>433</v>
      </c>
      <c r="AH49" s="1245">
        <v>423</v>
      </c>
      <c r="AI49" s="1245">
        <v>429</v>
      </c>
      <c r="AJ49" s="1513">
        <v>374</v>
      </c>
      <c r="AK49" s="1514">
        <f>'Non-marital births'!H50</f>
        <v>351</v>
      </c>
      <c r="AL49" s="1859">
        <v>351</v>
      </c>
      <c r="AM49" s="1859"/>
      <c r="AN49" s="1252">
        <f t="shared" si="16"/>
        <v>0.4017857142857143</v>
      </c>
      <c r="AO49" s="1253">
        <f t="shared" si="17"/>
        <v>0.41112454655380892</v>
      </c>
      <c r="AP49" s="1253">
        <f t="shared" si="18"/>
        <v>0.4087256027554535</v>
      </c>
      <c r="AQ49" s="1253">
        <f t="shared" si="19"/>
        <v>0.42401960784313725</v>
      </c>
      <c r="AR49" s="1253">
        <f t="shared" si="20"/>
        <v>0.44121365360303416</v>
      </c>
      <c r="AS49" s="1253">
        <f t="shared" si="21"/>
        <v>0.48616600790513836</v>
      </c>
      <c r="AT49" s="1253">
        <f t="shared" si="22"/>
        <v>0.52631578947368418</v>
      </c>
      <c r="AU49" s="1253">
        <f t="shared" si="23"/>
        <v>0.52509652509652505</v>
      </c>
      <c r="AV49" s="1253">
        <f t="shared" si="24"/>
        <v>0.54631828978622332</v>
      </c>
      <c r="AW49" s="1253">
        <f t="shared" si="25"/>
        <v>0.54285714285714282</v>
      </c>
      <c r="AX49" s="1253">
        <f t="shared" si="26"/>
        <v>0.53799019607843135</v>
      </c>
      <c r="AY49" s="1253">
        <f t="shared" si="27"/>
        <v>0.56824146981627299</v>
      </c>
      <c r="AZ49" s="1253">
        <f t="shared" si="28"/>
        <v>0.57786885245901642</v>
      </c>
      <c r="BA49" s="1253">
        <f t="shared" si="29"/>
        <v>0.57199999999999995</v>
      </c>
      <c r="BB49" s="1506">
        <f t="shared" si="30"/>
        <v>0.54758418740849191</v>
      </c>
      <c r="BC49" s="1508">
        <f>'Non-marital births'!L50</f>
        <v>0.56980519480519476</v>
      </c>
      <c r="BD49" s="1862">
        <v>0.56980519480519476</v>
      </c>
    </row>
    <row r="50" spans="1:56" s="142" customFormat="1" ht="15.75" customHeight="1" x14ac:dyDescent="0.2">
      <c r="A50" s="149" t="s">
        <v>114</v>
      </c>
      <c r="B50" s="189" t="s">
        <v>115</v>
      </c>
      <c r="C50" s="150" t="s">
        <v>265</v>
      </c>
      <c r="D50" s="1221">
        <v>11</v>
      </c>
      <c r="E50" s="1222">
        <v>19</v>
      </c>
      <c r="F50" s="1223">
        <v>14</v>
      </c>
      <c r="G50" s="1222">
        <v>20</v>
      </c>
      <c r="H50" s="1223">
        <v>16</v>
      </c>
      <c r="I50" s="1222">
        <v>12</v>
      </c>
      <c r="J50" s="1223">
        <v>14</v>
      </c>
      <c r="K50" s="1222">
        <v>14</v>
      </c>
      <c r="L50" s="1236">
        <v>9</v>
      </c>
      <c r="M50" s="1236">
        <v>20</v>
      </c>
      <c r="N50" s="1236">
        <v>14</v>
      </c>
      <c r="O50" s="1236">
        <v>14</v>
      </c>
      <c r="P50" s="1237">
        <v>16</v>
      </c>
      <c r="Q50" s="1237">
        <v>14</v>
      </c>
      <c r="R50" s="1510">
        <v>12</v>
      </c>
      <c r="S50" s="1511">
        <f>'Non-marital births'!D51</f>
        <v>15</v>
      </c>
      <c r="T50" s="1858">
        <v>15</v>
      </c>
      <c r="U50" s="1858"/>
      <c r="V50" s="1244">
        <v>2</v>
      </c>
      <c r="W50" s="1245">
        <v>2</v>
      </c>
      <c r="X50" s="1245">
        <v>3</v>
      </c>
      <c r="Y50" s="1245">
        <v>6</v>
      </c>
      <c r="Z50" s="1245">
        <v>3</v>
      </c>
      <c r="AA50" s="1245">
        <v>3</v>
      </c>
      <c r="AB50" s="1245">
        <v>5</v>
      </c>
      <c r="AC50" s="1245">
        <v>2</v>
      </c>
      <c r="AD50" s="1245">
        <v>3</v>
      </c>
      <c r="AE50" s="1245">
        <v>5</v>
      </c>
      <c r="AF50" s="1245">
        <v>2</v>
      </c>
      <c r="AG50" s="1245">
        <v>2</v>
      </c>
      <c r="AH50" s="1245">
        <v>2</v>
      </c>
      <c r="AI50" s="1245">
        <v>2</v>
      </c>
      <c r="AJ50" s="1513">
        <v>0</v>
      </c>
      <c r="AK50" s="1514">
        <f>'Non-marital births'!H51</f>
        <v>0</v>
      </c>
      <c r="AL50" s="1859">
        <v>0</v>
      </c>
      <c r="AM50" s="1859"/>
      <c r="AN50" s="1252">
        <f t="shared" si="16"/>
        <v>0.18181818181818182</v>
      </c>
      <c r="AO50" s="1253">
        <f t="shared" si="17"/>
        <v>0.10526315789473684</v>
      </c>
      <c r="AP50" s="1253">
        <f t="shared" si="18"/>
        <v>0.21428571428571427</v>
      </c>
      <c r="AQ50" s="1253">
        <f t="shared" si="19"/>
        <v>0.3</v>
      </c>
      <c r="AR50" s="1253">
        <f t="shared" si="20"/>
        <v>0.1875</v>
      </c>
      <c r="AS50" s="1253">
        <f t="shared" si="21"/>
        <v>0.25</v>
      </c>
      <c r="AT50" s="1253">
        <f t="shared" si="22"/>
        <v>0.35714285714285715</v>
      </c>
      <c r="AU50" s="1253">
        <f t="shared" si="23"/>
        <v>0.14285714285714285</v>
      </c>
      <c r="AV50" s="1253">
        <f t="shared" si="24"/>
        <v>0.33333333333333331</v>
      </c>
      <c r="AW50" s="1253">
        <f t="shared" si="25"/>
        <v>0.25</v>
      </c>
      <c r="AX50" s="1253">
        <f t="shared" si="26"/>
        <v>0.14285714285714285</v>
      </c>
      <c r="AY50" s="1253">
        <f t="shared" si="27"/>
        <v>0.14285714285714285</v>
      </c>
      <c r="AZ50" s="1253">
        <f t="shared" si="28"/>
        <v>0.125</v>
      </c>
      <c r="BA50" s="1253">
        <f t="shared" si="29"/>
        <v>0.14285714285714285</v>
      </c>
      <c r="BB50" s="1506">
        <f t="shared" si="30"/>
        <v>0</v>
      </c>
      <c r="BC50" s="1508">
        <f>'Non-marital births'!L51</f>
        <v>0</v>
      </c>
      <c r="BD50" s="1862">
        <v>0</v>
      </c>
    </row>
    <row r="51" spans="1:56" s="142" customFormat="1" ht="15.75" customHeight="1" x14ac:dyDescent="0.2">
      <c r="A51" s="149" t="s">
        <v>118</v>
      </c>
      <c r="B51" s="189" t="s">
        <v>270</v>
      </c>
      <c r="C51" s="150" t="s">
        <v>264</v>
      </c>
      <c r="D51" s="1221">
        <v>358</v>
      </c>
      <c r="E51" s="1222">
        <v>336</v>
      </c>
      <c r="F51" s="1223">
        <v>364</v>
      </c>
      <c r="G51" s="1222">
        <v>338</v>
      </c>
      <c r="H51" s="1223">
        <v>358</v>
      </c>
      <c r="I51" s="1222">
        <v>322</v>
      </c>
      <c r="J51" s="1223">
        <v>355</v>
      </c>
      <c r="K51" s="1222">
        <v>347</v>
      </c>
      <c r="L51" s="1236">
        <v>390</v>
      </c>
      <c r="M51" s="1236">
        <v>355</v>
      </c>
      <c r="N51" s="1236">
        <v>384</v>
      </c>
      <c r="O51" s="1236">
        <v>370</v>
      </c>
      <c r="P51" s="1237">
        <v>340</v>
      </c>
      <c r="Q51" s="1237">
        <v>319</v>
      </c>
      <c r="R51" s="1510">
        <v>300</v>
      </c>
      <c r="S51" s="1511">
        <f>'Non-marital births'!D52</f>
        <v>372</v>
      </c>
      <c r="T51" s="1858">
        <v>372</v>
      </c>
      <c r="U51" s="1858"/>
      <c r="V51" s="1244">
        <v>107</v>
      </c>
      <c r="W51" s="1245">
        <v>124</v>
      </c>
      <c r="X51" s="1245">
        <v>114</v>
      </c>
      <c r="Y51" s="1245">
        <v>137</v>
      </c>
      <c r="Z51" s="1245">
        <v>128</v>
      </c>
      <c r="AA51" s="1245">
        <v>119</v>
      </c>
      <c r="AB51" s="1245">
        <v>113</v>
      </c>
      <c r="AC51" s="1245">
        <v>127</v>
      </c>
      <c r="AD51" s="1245">
        <v>133</v>
      </c>
      <c r="AE51" s="1245">
        <v>122</v>
      </c>
      <c r="AF51" s="1245">
        <v>138</v>
      </c>
      <c r="AG51" s="1245">
        <v>133</v>
      </c>
      <c r="AH51" s="1245">
        <v>120</v>
      </c>
      <c r="AI51" s="1245">
        <v>129</v>
      </c>
      <c r="AJ51" s="1513">
        <v>107</v>
      </c>
      <c r="AK51" s="1514">
        <f>'Non-marital births'!H52</f>
        <v>139</v>
      </c>
      <c r="AL51" s="1859">
        <v>139</v>
      </c>
      <c r="AM51" s="1859"/>
      <c r="AN51" s="1252">
        <f t="shared" si="16"/>
        <v>0.2988826815642458</v>
      </c>
      <c r="AO51" s="1253">
        <f t="shared" si="17"/>
        <v>0.36904761904761907</v>
      </c>
      <c r="AP51" s="1253">
        <f t="shared" si="18"/>
        <v>0.31318681318681318</v>
      </c>
      <c r="AQ51" s="1253">
        <f t="shared" si="19"/>
        <v>0.40532544378698226</v>
      </c>
      <c r="AR51" s="1253">
        <f t="shared" si="20"/>
        <v>0.35754189944134079</v>
      </c>
      <c r="AS51" s="1253">
        <f t="shared" si="21"/>
        <v>0.36956521739130432</v>
      </c>
      <c r="AT51" s="1253">
        <f t="shared" si="22"/>
        <v>0.3183098591549296</v>
      </c>
      <c r="AU51" s="1253">
        <f t="shared" si="23"/>
        <v>0.36599423631123917</v>
      </c>
      <c r="AV51" s="1253">
        <f t="shared" si="24"/>
        <v>0.34102564102564104</v>
      </c>
      <c r="AW51" s="1253">
        <f t="shared" si="25"/>
        <v>0.3436619718309859</v>
      </c>
      <c r="AX51" s="1253">
        <f t="shared" si="26"/>
        <v>0.359375</v>
      </c>
      <c r="AY51" s="1253">
        <f t="shared" si="27"/>
        <v>0.35945945945945945</v>
      </c>
      <c r="AZ51" s="1253">
        <f t="shared" si="28"/>
        <v>0.35294117647058826</v>
      </c>
      <c r="BA51" s="1253">
        <f t="shared" si="29"/>
        <v>0.40438871473354232</v>
      </c>
      <c r="BB51" s="1506">
        <f t="shared" si="30"/>
        <v>0.35666666666666669</v>
      </c>
      <c r="BC51" s="1508">
        <f>'Non-marital births'!L52</f>
        <v>0.37365591397849462</v>
      </c>
      <c r="BD51" s="1862">
        <v>0.37365591397849462</v>
      </c>
    </row>
    <row r="52" spans="1:56" s="142" customFormat="1" ht="15.75" customHeight="1" x14ac:dyDescent="0.2">
      <c r="A52" s="149" t="s">
        <v>120</v>
      </c>
      <c r="B52" s="189" t="s">
        <v>121</v>
      </c>
      <c r="C52" s="150" t="s">
        <v>264</v>
      </c>
      <c r="D52" s="1221">
        <v>423</v>
      </c>
      <c r="E52" s="1222">
        <v>487</v>
      </c>
      <c r="F52" s="1223">
        <v>487</v>
      </c>
      <c r="G52" s="1222">
        <v>502</v>
      </c>
      <c r="H52" s="1223">
        <v>466</v>
      </c>
      <c r="I52" s="1222">
        <v>532</v>
      </c>
      <c r="J52" s="1223">
        <v>504</v>
      </c>
      <c r="K52" s="1222">
        <v>502</v>
      </c>
      <c r="L52" s="1236">
        <v>576</v>
      </c>
      <c r="M52" s="1236">
        <v>569</v>
      </c>
      <c r="N52" s="1236">
        <v>602</v>
      </c>
      <c r="O52" s="1236">
        <v>644</v>
      </c>
      <c r="P52" s="1237">
        <v>721</v>
      </c>
      <c r="Q52" s="1237">
        <v>735</v>
      </c>
      <c r="R52" s="1510">
        <v>691</v>
      </c>
      <c r="S52" s="1511">
        <f>'Non-marital births'!D53</f>
        <v>729</v>
      </c>
      <c r="T52" s="1858">
        <v>729</v>
      </c>
      <c r="U52" s="1858"/>
      <c r="V52" s="1244">
        <v>119</v>
      </c>
      <c r="W52" s="1245">
        <v>151</v>
      </c>
      <c r="X52" s="1245">
        <v>140</v>
      </c>
      <c r="Y52" s="1245">
        <v>118</v>
      </c>
      <c r="Z52" s="1245">
        <v>110</v>
      </c>
      <c r="AA52" s="1245">
        <v>135</v>
      </c>
      <c r="AB52" s="1245">
        <v>134</v>
      </c>
      <c r="AC52" s="1245">
        <v>151</v>
      </c>
      <c r="AD52" s="1245">
        <v>189</v>
      </c>
      <c r="AE52" s="1245">
        <v>186</v>
      </c>
      <c r="AF52" s="1245">
        <v>192</v>
      </c>
      <c r="AG52" s="1245">
        <v>217</v>
      </c>
      <c r="AH52" s="1245">
        <v>252</v>
      </c>
      <c r="AI52" s="1245">
        <v>247</v>
      </c>
      <c r="AJ52" s="1513">
        <v>239</v>
      </c>
      <c r="AK52" s="1514">
        <f>'Non-marital births'!H53</f>
        <v>200</v>
      </c>
      <c r="AL52" s="1859">
        <v>200</v>
      </c>
      <c r="AM52" s="1859"/>
      <c r="AN52" s="1252">
        <f t="shared" si="16"/>
        <v>0.28132387706855794</v>
      </c>
      <c r="AO52" s="1253">
        <f t="shared" si="17"/>
        <v>0.31006160164271046</v>
      </c>
      <c r="AP52" s="1253">
        <f t="shared" si="18"/>
        <v>0.28747433264887062</v>
      </c>
      <c r="AQ52" s="1253">
        <f t="shared" si="19"/>
        <v>0.23505976095617531</v>
      </c>
      <c r="AR52" s="1253">
        <f t="shared" si="20"/>
        <v>0.23605150214592274</v>
      </c>
      <c r="AS52" s="1253">
        <f t="shared" si="21"/>
        <v>0.25375939849624063</v>
      </c>
      <c r="AT52" s="1253">
        <f t="shared" si="22"/>
        <v>0.26587301587301587</v>
      </c>
      <c r="AU52" s="1253">
        <f t="shared" si="23"/>
        <v>0.30079681274900399</v>
      </c>
      <c r="AV52" s="1253">
        <f t="shared" si="24"/>
        <v>0.328125</v>
      </c>
      <c r="AW52" s="1253">
        <f t="shared" si="25"/>
        <v>0.32688927943760981</v>
      </c>
      <c r="AX52" s="1253">
        <f t="shared" si="26"/>
        <v>0.31893687707641194</v>
      </c>
      <c r="AY52" s="1253">
        <f t="shared" si="27"/>
        <v>0.33695652173913043</v>
      </c>
      <c r="AZ52" s="1253">
        <f t="shared" si="28"/>
        <v>0.34951456310679613</v>
      </c>
      <c r="BA52" s="1253">
        <f t="shared" si="29"/>
        <v>0.33605442176870748</v>
      </c>
      <c r="BB52" s="1506">
        <f t="shared" si="30"/>
        <v>0.34587554269175108</v>
      </c>
      <c r="BC52" s="1508">
        <f>'Non-marital births'!L53</f>
        <v>0.27434842249657065</v>
      </c>
      <c r="BD52" s="1862">
        <v>0.27434842249657065</v>
      </c>
    </row>
    <row r="53" spans="1:56" s="142" customFormat="1" ht="15.75" customHeight="1" x14ac:dyDescent="0.2">
      <c r="A53" s="149" t="s">
        <v>122</v>
      </c>
      <c r="B53" s="189" t="s">
        <v>271</v>
      </c>
      <c r="C53" s="150" t="s">
        <v>266</v>
      </c>
      <c r="D53" s="1221">
        <v>70</v>
      </c>
      <c r="E53" s="1222">
        <v>62</v>
      </c>
      <c r="F53" s="1223">
        <v>63</v>
      </c>
      <c r="G53" s="1222">
        <v>69</v>
      </c>
      <c r="H53" s="1223">
        <v>63</v>
      </c>
      <c r="I53" s="1222">
        <v>74</v>
      </c>
      <c r="J53" s="1223">
        <v>68</v>
      </c>
      <c r="K53" s="1222">
        <v>82</v>
      </c>
      <c r="L53" s="1236">
        <v>75</v>
      </c>
      <c r="M53" s="1236">
        <v>77</v>
      </c>
      <c r="N53" s="1236">
        <v>66</v>
      </c>
      <c r="O53" s="1236">
        <v>52</v>
      </c>
      <c r="P53" s="1237">
        <v>66</v>
      </c>
      <c r="Q53" s="1237">
        <v>70</v>
      </c>
      <c r="R53" s="1510">
        <v>62</v>
      </c>
      <c r="S53" s="1511">
        <f>'Non-marital births'!D54</f>
        <v>73</v>
      </c>
      <c r="T53" s="1858">
        <v>73</v>
      </c>
      <c r="U53" s="1858"/>
      <c r="V53" s="1244">
        <v>20</v>
      </c>
      <c r="W53" s="1245">
        <v>28</v>
      </c>
      <c r="X53" s="1245">
        <v>31</v>
      </c>
      <c r="Y53" s="1245">
        <v>27</v>
      </c>
      <c r="Z53" s="1245">
        <v>24</v>
      </c>
      <c r="AA53" s="1245">
        <v>38</v>
      </c>
      <c r="AB53" s="1245">
        <v>28</v>
      </c>
      <c r="AC53" s="1245">
        <v>40</v>
      </c>
      <c r="AD53" s="1245">
        <v>39</v>
      </c>
      <c r="AE53" s="1245">
        <v>35</v>
      </c>
      <c r="AF53" s="1245">
        <v>30</v>
      </c>
      <c r="AG53" s="1245">
        <v>25</v>
      </c>
      <c r="AH53" s="1245">
        <v>36</v>
      </c>
      <c r="AI53" s="1245">
        <v>37</v>
      </c>
      <c r="AJ53" s="1513">
        <v>31</v>
      </c>
      <c r="AK53" s="1514">
        <f>'Non-marital births'!H54</f>
        <v>35</v>
      </c>
      <c r="AL53" s="1859">
        <v>35</v>
      </c>
      <c r="AM53" s="1859"/>
      <c r="AN53" s="1252">
        <f t="shared" si="16"/>
        <v>0.2857142857142857</v>
      </c>
      <c r="AO53" s="1253">
        <f t="shared" si="17"/>
        <v>0.45161290322580644</v>
      </c>
      <c r="AP53" s="1253">
        <f t="shared" si="18"/>
        <v>0.49206349206349204</v>
      </c>
      <c r="AQ53" s="1253">
        <f t="shared" si="19"/>
        <v>0.39130434782608697</v>
      </c>
      <c r="AR53" s="1253">
        <f t="shared" si="20"/>
        <v>0.38095238095238093</v>
      </c>
      <c r="AS53" s="1253">
        <f t="shared" si="21"/>
        <v>0.51351351351351349</v>
      </c>
      <c r="AT53" s="1253">
        <f t="shared" si="22"/>
        <v>0.41176470588235292</v>
      </c>
      <c r="AU53" s="1253">
        <f t="shared" si="23"/>
        <v>0.48780487804878048</v>
      </c>
      <c r="AV53" s="1253">
        <f t="shared" si="24"/>
        <v>0.52</v>
      </c>
      <c r="AW53" s="1253">
        <f t="shared" si="25"/>
        <v>0.45454545454545453</v>
      </c>
      <c r="AX53" s="1253">
        <f t="shared" si="26"/>
        <v>0.45454545454545453</v>
      </c>
      <c r="AY53" s="1253">
        <f t="shared" si="27"/>
        <v>0.48076923076923078</v>
      </c>
      <c r="AZ53" s="1253">
        <f t="shared" si="28"/>
        <v>0.54545454545454541</v>
      </c>
      <c r="BA53" s="1253">
        <f t="shared" si="29"/>
        <v>0.52857142857142858</v>
      </c>
      <c r="BB53" s="1506">
        <f t="shared" si="30"/>
        <v>0.5</v>
      </c>
      <c r="BC53" s="1508">
        <f>'Non-marital births'!L54</f>
        <v>0.47945205479452052</v>
      </c>
      <c r="BD53" s="1862">
        <v>0.47945205479452052</v>
      </c>
    </row>
    <row r="54" spans="1:56" s="142" customFormat="1" ht="15.75" customHeight="1" x14ac:dyDescent="0.2">
      <c r="A54" s="149" t="s">
        <v>124</v>
      </c>
      <c r="B54" s="189" t="s">
        <v>125</v>
      </c>
      <c r="C54" s="150" t="s">
        <v>267</v>
      </c>
      <c r="D54" s="1221">
        <v>257</v>
      </c>
      <c r="E54" s="1222">
        <v>233</v>
      </c>
      <c r="F54" s="1223">
        <v>243</v>
      </c>
      <c r="G54" s="1222">
        <v>218</v>
      </c>
      <c r="H54" s="1223">
        <v>254</v>
      </c>
      <c r="I54" s="1222">
        <v>275</v>
      </c>
      <c r="J54" s="1223">
        <v>326</v>
      </c>
      <c r="K54" s="1222">
        <v>334</v>
      </c>
      <c r="L54" s="1236">
        <v>288</v>
      </c>
      <c r="M54" s="1236">
        <v>387</v>
      </c>
      <c r="N54" s="1236">
        <v>373</v>
      </c>
      <c r="O54" s="1236">
        <v>288</v>
      </c>
      <c r="P54" s="1237">
        <v>305</v>
      </c>
      <c r="Q54" s="1237">
        <v>312</v>
      </c>
      <c r="R54" s="1510">
        <v>325</v>
      </c>
      <c r="S54" s="1511">
        <f>'Non-marital births'!D55</f>
        <v>292</v>
      </c>
      <c r="T54" s="1858">
        <v>292</v>
      </c>
      <c r="U54" s="1858"/>
      <c r="V54" s="1244">
        <v>75</v>
      </c>
      <c r="W54" s="1245">
        <v>68</v>
      </c>
      <c r="X54" s="1245">
        <v>73</v>
      </c>
      <c r="Y54" s="1245">
        <v>77</v>
      </c>
      <c r="Z54" s="1245">
        <v>95</v>
      </c>
      <c r="AA54" s="1245">
        <v>87</v>
      </c>
      <c r="AB54" s="1245">
        <v>89</v>
      </c>
      <c r="AC54" s="1245">
        <v>75</v>
      </c>
      <c r="AD54" s="1245">
        <v>84</v>
      </c>
      <c r="AE54" s="1245">
        <v>108</v>
      </c>
      <c r="AF54" s="1245">
        <v>106</v>
      </c>
      <c r="AG54" s="1245">
        <v>94</v>
      </c>
      <c r="AH54" s="1245">
        <v>101</v>
      </c>
      <c r="AI54" s="1245">
        <v>94</v>
      </c>
      <c r="AJ54" s="1513">
        <v>108</v>
      </c>
      <c r="AK54" s="1514">
        <f>'Non-marital births'!H55</f>
        <v>97</v>
      </c>
      <c r="AL54" s="1859">
        <v>97</v>
      </c>
      <c r="AM54" s="1859"/>
      <c r="AN54" s="1252">
        <f t="shared" si="16"/>
        <v>0.29182879377431908</v>
      </c>
      <c r="AO54" s="1253">
        <f t="shared" si="17"/>
        <v>0.29184549356223177</v>
      </c>
      <c r="AP54" s="1253">
        <f t="shared" si="18"/>
        <v>0.30041152263374488</v>
      </c>
      <c r="AQ54" s="1253">
        <f t="shared" si="19"/>
        <v>0.35321100917431192</v>
      </c>
      <c r="AR54" s="1253">
        <f t="shared" si="20"/>
        <v>0.37401574803149606</v>
      </c>
      <c r="AS54" s="1253">
        <f t="shared" si="21"/>
        <v>0.31636363636363635</v>
      </c>
      <c r="AT54" s="1253">
        <f t="shared" si="22"/>
        <v>0.27300613496932513</v>
      </c>
      <c r="AU54" s="1253">
        <f t="shared" si="23"/>
        <v>0.22455089820359281</v>
      </c>
      <c r="AV54" s="1253">
        <f t="shared" si="24"/>
        <v>0.29166666666666669</v>
      </c>
      <c r="AW54" s="1253">
        <f t="shared" si="25"/>
        <v>0.27906976744186046</v>
      </c>
      <c r="AX54" s="1253">
        <f t="shared" si="26"/>
        <v>0.28418230563002683</v>
      </c>
      <c r="AY54" s="1253">
        <f t="shared" si="27"/>
        <v>0.3263888888888889</v>
      </c>
      <c r="AZ54" s="1253">
        <f t="shared" si="28"/>
        <v>0.33114754098360655</v>
      </c>
      <c r="BA54" s="1253">
        <f t="shared" si="29"/>
        <v>0.30128205128205127</v>
      </c>
      <c r="BB54" s="1506">
        <f t="shared" si="30"/>
        <v>0.3323076923076923</v>
      </c>
      <c r="BC54" s="1508">
        <f>'Non-marital births'!L55</f>
        <v>0.3321917808219178</v>
      </c>
      <c r="BD54" s="1862">
        <v>0.3321917808219178</v>
      </c>
    </row>
    <row r="55" spans="1:56" s="142" customFormat="1" ht="15.75" customHeight="1" x14ac:dyDescent="0.2">
      <c r="A55" s="149" t="s">
        <v>126</v>
      </c>
      <c r="B55" s="189" t="s">
        <v>127</v>
      </c>
      <c r="C55" s="150" t="s">
        <v>266</v>
      </c>
      <c r="D55" s="1221">
        <v>149</v>
      </c>
      <c r="E55" s="1222">
        <v>187</v>
      </c>
      <c r="F55" s="1223">
        <v>197</v>
      </c>
      <c r="G55" s="1222">
        <v>179</v>
      </c>
      <c r="H55" s="1223">
        <v>194</v>
      </c>
      <c r="I55" s="1222">
        <v>180</v>
      </c>
      <c r="J55" s="1223">
        <v>184</v>
      </c>
      <c r="K55" s="1222">
        <v>189</v>
      </c>
      <c r="L55" s="1236">
        <v>209</v>
      </c>
      <c r="M55" s="1236">
        <v>212</v>
      </c>
      <c r="N55" s="1236">
        <v>207</v>
      </c>
      <c r="O55" s="1236">
        <v>211</v>
      </c>
      <c r="P55" s="1237">
        <v>203</v>
      </c>
      <c r="Q55" s="1237">
        <v>183</v>
      </c>
      <c r="R55" s="1510">
        <v>189</v>
      </c>
      <c r="S55" s="1511">
        <f>'Non-marital births'!D56</f>
        <v>174</v>
      </c>
      <c r="T55" s="1858">
        <v>174</v>
      </c>
      <c r="U55" s="1858"/>
      <c r="V55" s="1244">
        <v>45</v>
      </c>
      <c r="W55" s="1245">
        <v>46</v>
      </c>
      <c r="X55" s="1245">
        <v>65</v>
      </c>
      <c r="Y55" s="1245">
        <v>54</v>
      </c>
      <c r="Z55" s="1245">
        <v>57</v>
      </c>
      <c r="AA55" s="1245">
        <v>59</v>
      </c>
      <c r="AB55" s="1245">
        <v>61</v>
      </c>
      <c r="AC55" s="1245">
        <v>58</v>
      </c>
      <c r="AD55" s="1245">
        <v>56</v>
      </c>
      <c r="AE55" s="1245">
        <v>60</v>
      </c>
      <c r="AF55" s="1245">
        <v>69</v>
      </c>
      <c r="AG55" s="1245">
        <v>66</v>
      </c>
      <c r="AH55" s="1245">
        <v>63</v>
      </c>
      <c r="AI55" s="1245">
        <v>59</v>
      </c>
      <c r="AJ55" s="1513">
        <v>64</v>
      </c>
      <c r="AK55" s="1514">
        <f>'Non-marital births'!H56</f>
        <v>62</v>
      </c>
      <c r="AL55" s="1859">
        <v>62</v>
      </c>
      <c r="AM55" s="1859"/>
      <c r="AN55" s="1252">
        <f t="shared" si="16"/>
        <v>0.30201342281879195</v>
      </c>
      <c r="AO55" s="1253">
        <f t="shared" si="17"/>
        <v>0.24598930481283424</v>
      </c>
      <c r="AP55" s="1253">
        <f t="shared" si="18"/>
        <v>0.32994923857868019</v>
      </c>
      <c r="AQ55" s="1253">
        <f t="shared" si="19"/>
        <v>0.3016759776536313</v>
      </c>
      <c r="AR55" s="1253">
        <f t="shared" si="20"/>
        <v>0.29381443298969073</v>
      </c>
      <c r="AS55" s="1253">
        <f t="shared" si="21"/>
        <v>0.32777777777777778</v>
      </c>
      <c r="AT55" s="1253">
        <f t="shared" si="22"/>
        <v>0.33152173913043476</v>
      </c>
      <c r="AU55" s="1253">
        <f t="shared" si="23"/>
        <v>0.30687830687830686</v>
      </c>
      <c r="AV55" s="1253">
        <f t="shared" si="24"/>
        <v>0.26794258373205743</v>
      </c>
      <c r="AW55" s="1253">
        <f t="shared" si="25"/>
        <v>0.28301886792452829</v>
      </c>
      <c r="AX55" s="1253">
        <f t="shared" si="26"/>
        <v>0.33333333333333331</v>
      </c>
      <c r="AY55" s="1253">
        <f t="shared" si="27"/>
        <v>0.3127962085308057</v>
      </c>
      <c r="AZ55" s="1253">
        <f t="shared" si="28"/>
        <v>0.31034482758620691</v>
      </c>
      <c r="BA55" s="1253">
        <f t="shared" si="29"/>
        <v>0.32240437158469948</v>
      </c>
      <c r="BB55" s="1506">
        <f t="shared" si="30"/>
        <v>0.33862433862433861</v>
      </c>
      <c r="BC55" s="1508">
        <f>'Non-marital births'!L56</f>
        <v>0.35632183908045978</v>
      </c>
      <c r="BD55" s="1862">
        <v>0.35632183908045978</v>
      </c>
    </row>
    <row r="56" spans="1:56" s="142" customFormat="1" ht="15.75" customHeight="1" x14ac:dyDescent="0.2">
      <c r="A56" s="149" t="s">
        <v>128</v>
      </c>
      <c r="B56" s="189" t="s">
        <v>129</v>
      </c>
      <c r="C56" s="150" t="s">
        <v>266</v>
      </c>
      <c r="D56" s="1221">
        <v>117</v>
      </c>
      <c r="E56" s="1222">
        <v>101</v>
      </c>
      <c r="F56" s="1223">
        <v>111</v>
      </c>
      <c r="G56" s="1222">
        <v>110</v>
      </c>
      <c r="H56" s="1223">
        <v>108</v>
      </c>
      <c r="I56" s="1222">
        <v>105</v>
      </c>
      <c r="J56" s="1223">
        <v>96</v>
      </c>
      <c r="K56" s="1222">
        <v>96</v>
      </c>
      <c r="L56" s="1236">
        <v>103</v>
      </c>
      <c r="M56" s="1236">
        <v>125</v>
      </c>
      <c r="N56" s="1236">
        <v>95</v>
      </c>
      <c r="O56" s="1236">
        <v>80</v>
      </c>
      <c r="P56" s="1237">
        <v>100</v>
      </c>
      <c r="Q56" s="1237">
        <v>83</v>
      </c>
      <c r="R56" s="1510">
        <v>84</v>
      </c>
      <c r="S56" s="1511">
        <f>'Non-marital births'!D57</f>
        <v>87</v>
      </c>
      <c r="T56" s="1858">
        <v>87</v>
      </c>
      <c r="U56" s="1858"/>
      <c r="V56" s="1244">
        <v>61</v>
      </c>
      <c r="W56" s="1245">
        <v>55</v>
      </c>
      <c r="X56" s="1245">
        <v>55</v>
      </c>
      <c r="Y56" s="1245">
        <v>52</v>
      </c>
      <c r="Z56" s="1245">
        <v>53</v>
      </c>
      <c r="AA56" s="1245">
        <v>50</v>
      </c>
      <c r="AB56" s="1245">
        <v>49</v>
      </c>
      <c r="AC56" s="1245">
        <v>52</v>
      </c>
      <c r="AD56" s="1245">
        <v>62</v>
      </c>
      <c r="AE56" s="1245">
        <v>78</v>
      </c>
      <c r="AF56" s="1245">
        <v>59</v>
      </c>
      <c r="AG56" s="1245">
        <v>50</v>
      </c>
      <c r="AH56" s="1245">
        <v>58</v>
      </c>
      <c r="AI56" s="1245">
        <v>56</v>
      </c>
      <c r="AJ56" s="1513">
        <v>52</v>
      </c>
      <c r="AK56" s="1514">
        <f>'Non-marital births'!H57</f>
        <v>44</v>
      </c>
      <c r="AL56" s="1859">
        <v>44</v>
      </c>
      <c r="AM56" s="1859"/>
      <c r="AN56" s="1252">
        <f t="shared" si="16"/>
        <v>0.5213675213675214</v>
      </c>
      <c r="AO56" s="1253">
        <f t="shared" si="17"/>
        <v>0.54455445544554459</v>
      </c>
      <c r="AP56" s="1253">
        <f t="shared" si="18"/>
        <v>0.49549549549549549</v>
      </c>
      <c r="AQ56" s="1253">
        <f t="shared" si="19"/>
        <v>0.47272727272727272</v>
      </c>
      <c r="AR56" s="1253">
        <f t="shared" si="20"/>
        <v>0.49074074074074076</v>
      </c>
      <c r="AS56" s="1253">
        <f t="shared" si="21"/>
        <v>0.47619047619047616</v>
      </c>
      <c r="AT56" s="1253">
        <f t="shared" si="22"/>
        <v>0.51041666666666663</v>
      </c>
      <c r="AU56" s="1253">
        <f t="shared" si="23"/>
        <v>0.54166666666666663</v>
      </c>
      <c r="AV56" s="1253">
        <f t="shared" si="24"/>
        <v>0.60194174757281549</v>
      </c>
      <c r="AW56" s="1253">
        <f t="shared" si="25"/>
        <v>0.624</v>
      </c>
      <c r="AX56" s="1253">
        <f t="shared" si="26"/>
        <v>0.62105263157894741</v>
      </c>
      <c r="AY56" s="1253">
        <f t="shared" si="27"/>
        <v>0.625</v>
      </c>
      <c r="AZ56" s="1253">
        <f t="shared" si="28"/>
        <v>0.57999999999999996</v>
      </c>
      <c r="BA56" s="1253">
        <f t="shared" si="29"/>
        <v>0.67469879518072284</v>
      </c>
      <c r="BB56" s="1506">
        <f t="shared" si="30"/>
        <v>0.61904761904761907</v>
      </c>
      <c r="BC56" s="1508">
        <f>'Non-marital births'!L57</f>
        <v>0.50574712643678166</v>
      </c>
      <c r="BD56" s="1862">
        <v>0.50574712643678166</v>
      </c>
    </row>
    <row r="57" spans="1:56" s="142" customFormat="1" ht="15.75" customHeight="1" x14ac:dyDescent="0.2">
      <c r="A57" s="149" t="s">
        <v>130</v>
      </c>
      <c r="B57" s="189" t="s">
        <v>131</v>
      </c>
      <c r="C57" s="150" t="s">
        <v>268</v>
      </c>
      <c r="D57" s="1221">
        <v>252</v>
      </c>
      <c r="E57" s="1222">
        <v>236</v>
      </c>
      <c r="F57" s="1223">
        <v>237</v>
      </c>
      <c r="G57" s="1222">
        <v>240</v>
      </c>
      <c r="H57" s="1223">
        <v>243</v>
      </c>
      <c r="I57" s="1222">
        <v>251</v>
      </c>
      <c r="J57" s="1223">
        <v>234</v>
      </c>
      <c r="K57" s="1222">
        <v>251</v>
      </c>
      <c r="L57" s="1236">
        <v>240</v>
      </c>
      <c r="M57" s="1236">
        <v>265</v>
      </c>
      <c r="N57" s="1236">
        <v>250</v>
      </c>
      <c r="O57" s="1236">
        <v>265</v>
      </c>
      <c r="P57" s="1237">
        <v>250</v>
      </c>
      <c r="Q57" s="1237">
        <v>267</v>
      </c>
      <c r="R57" s="1510">
        <v>267</v>
      </c>
      <c r="S57" s="1511">
        <f>'Non-marital births'!D58</f>
        <v>209</v>
      </c>
      <c r="T57" s="1858">
        <v>209</v>
      </c>
      <c r="U57" s="1858"/>
      <c r="V57" s="1244">
        <v>64</v>
      </c>
      <c r="W57" s="1245">
        <v>76</v>
      </c>
      <c r="X57" s="1245">
        <v>55</v>
      </c>
      <c r="Y57" s="1245">
        <v>60</v>
      </c>
      <c r="Z57" s="1245">
        <v>70</v>
      </c>
      <c r="AA57" s="1245">
        <v>85</v>
      </c>
      <c r="AB57" s="1245">
        <v>66</v>
      </c>
      <c r="AC57" s="1245">
        <v>80</v>
      </c>
      <c r="AD57" s="1245">
        <v>69</v>
      </c>
      <c r="AE57" s="1245">
        <v>86</v>
      </c>
      <c r="AF57" s="1245">
        <v>80</v>
      </c>
      <c r="AG57" s="1245">
        <v>96</v>
      </c>
      <c r="AH57" s="1245">
        <v>95</v>
      </c>
      <c r="AI57" s="1245">
        <v>99</v>
      </c>
      <c r="AJ57" s="1513">
        <v>104</v>
      </c>
      <c r="AK57" s="1514">
        <f>'Non-marital births'!H58</f>
        <v>93</v>
      </c>
      <c r="AL57" s="1859">
        <v>93</v>
      </c>
      <c r="AM57" s="1859"/>
      <c r="AN57" s="1252">
        <f t="shared" si="16"/>
        <v>0.25396825396825395</v>
      </c>
      <c r="AO57" s="1253">
        <f t="shared" si="17"/>
        <v>0.32203389830508472</v>
      </c>
      <c r="AP57" s="1253">
        <f t="shared" si="18"/>
        <v>0.2320675105485232</v>
      </c>
      <c r="AQ57" s="1253">
        <f t="shared" si="19"/>
        <v>0.25</v>
      </c>
      <c r="AR57" s="1253">
        <f t="shared" si="20"/>
        <v>0.2880658436213992</v>
      </c>
      <c r="AS57" s="1253">
        <f t="shared" si="21"/>
        <v>0.3386454183266932</v>
      </c>
      <c r="AT57" s="1253">
        <f t="shared" si="22"/>
        <v>0.28205128205128205</v>
      </c>
      <c r="AU57" s="1253">
        <f t="shared" si="23"/>
        <v>0.31872509960159362</v>
      </c>
      <c r="AV57" s="1253">
        <f t="shared" si="24"/>
        <v>0.28749999999999998</v>
      </c>
      <c r="AW57" s="1253">
        <f t="shared" si="25"/>
        <v>0.32452830188679244</v>
      </c>
      <c r="AX57" s="1253">
        <f t="shared" si="26"/>
        <v>0.32</v>
      </c>
      <c r="AY57" s="1253">
        <f t="shared" si="27"/>
        <v>0.3622641509433962</v>
      </c>
      <c r="AZ57" s="1253">
        <f t="shared" si="28"/>
        <v>0.38</v>
      </c>
      <c r="BA57" s="1253">
        <f t="shared" si="29"/>
        <v>0.3707865168539326</v>
      </c>
      <c r="BB57" s="1506">
        <f t="shared" si="30"/>
        <v>0.38951310861423222</v>
      </c>
      <c r="BC57" s="1508">
        <f>'Non-marital births'!L58</f>
        <v>0.44497607655502391</v>
      </c>
      <c r="BD57" s="1862">
        <v>0.44497607655502391</v>
      </c>
    </row>
    <row r="58" spans="1:56" s="142" customFormat="1" ht="15.75" customHeight="1" x14ac:dyDescent="0.2">
      <c r="A58" s="149" t="s">
        <v>132</v>
      </c>
      <c r="B58" s="189" t="s">
        <v>133</v>
      </c>
      <c r="C58" s="150" t="s">
        <v>267</v>
      </c>
      <c r="D58" s="1221">
        <v>2838</v>
      </c>
      <c r="E58" s="1222">
        <v>3057</v>
      </c>
      <c r="F58" s="1223">
        <v>3646</v>
      </c>
      <c r="G58" s="1222">
        <v>3857</v>
      </c>
      <c r="H58" s="1223">
        <v>4192</v>
      </c>
      <c r="I58" s="1222">
        <v>4444</v>
      </c>
      <c r="J58" s="1223">
        <v>4816</v>
      </c>
      <c r="K58" s="1222">
        <v>5153</v>
      </c>
      <c r="L58" s="1236">
        <v>5076</v>
      </c>
      <c r="M58" s="1236">
        <v>5160</v>
      </c>
      <c r="N58" s="1236">
        <v>5284</v>
      </c>
      <c r="O58" s="1236">
        <v>5030</v>
      </c>
      <c r="P58" s="1237">
        <v>5068</v>
      </c>
      <c r="Q58" s="1237">
        <v>4970</v>
      </c>
      <c r="R58" s="1510">
        <v>4902</v>
      </c>
      <c r="S58" s="1511">
        <f>'Non-marital births'!D59</f>
        <v>5056</v>
      </c>
      <c r="T58" s="1858">
        <v>5056</v>
      </c>
      <c r="U58" s="1858"/>
      <c r="V58" s="1244">
        <v>302</v>
      </c>
      <c r="W58" s="1245">
        <v>344</v>
      </c>
      <c r="X58" s="1245">
        <v>391</v>
      </c>
      <c r="Y58" s="1245">
        <v>392</v>
      </c>
      <c r="Z58" s="1245">
        <v>471</v>
      </c>
      <c r="AA58" s="1245">
        <v>448</v>
      </c>
      <c r="AB58" s="1245">
        <v>555</v>
      </c>
      <c r="AC58" s="1245">
        <v>659</v>
      </c>
      <c r="AD58" s="1245">
        <v>743</v>
      </c>
      <c r="AE58" s="1245">
        <v>837</v>
      </c>
      <c r="AF58" s="1245">
        <v>804</v>
      </c>
      <c r="AG58" s="1245">
        <v>777</v>
      </c>
      <c r="AH58" s="1245">
        <v>824</v>
      </c>
      <c r="AI58" s="1245">
        <v>780</v>
      </c>
      <c r="AJ58" s="1513">
        <v>757</v>
      </c>
      <c r="AK58" s="1514">
        <f>'Non-marital births'!H59</f>
        <v>789</v>
      </c>
      <c r="AL58" s="1859">
        <v>789</v>
      </c>
      <c r="AM58" s="1859"/>
      <c r="AN58" s="1252">
        <f t="shared" si="16"/>
        <v>0.10641296687808316</v>
      </c>
      <c r="AO58" s="1253">
        <f t="shared" si="17"/>
        <v>0.11252862283284265</v>
      </c>
      <c r="AP58" s="1253">
        <f t="shared" si="18"/>
        <v>0.10724081184860121</v>
      </c>
      <c r="AQ58" s="1253">
        <f t="shared" si="19"/>
        <v>0.10163339382940109</v>
      </c>
      <c r="AR58" s="1253">
        <f t="shared" si="20"/>
        <v>0.11235687022900763</v>
      </c>
      <c r="AS58" s="1253">
        <f t="shared" si="21"/>
        <v>0.10081008100810081</v>
      </c>
      <c r="AT58" s="1253">
        <f t="shared" si="22"/>
        <v>0.11524086378737541</v>
      </c>
      <c r="AU58" s="1253">
        <f t="shared" si="23"/>
        <v>0.1278866679604114</v>
      </c>
      <c r="AV58" s="1253">
        <f t="shared" si="24"/>
        <v>0.14637509850275807</v>
      </c>
      <c r="AW58" s="1253">
        <f t="shared" si="25"/>
        <v>0.16220930232558139</v>
      </c>
      <c r="AX58" s="1253">
        <f t="shared" si="26"/>
        <v>0.15215745647236942</v>
      </c>
      <c r="AY58" s="1253">
        <f t="shared" si="27"/>
        <v>0.15447316103379721</v>
      </c>
      <c r="AZ58" s="1253">
        <f t="shared" si="28"/>
        <v>0.16258879242304658</v>
      </c>
      <c r="BA58" s="1253">
        <f t="shared" si="29"/>
        <v>0.15694164989939638</v>
      </c>
      <c r="BB58" s="1506">
        <f t="shared" si="30"/>
        <v>0.15442676458588331</v>
      </c>
      <c r="BC58" s="1508">
        <f>'Non-marital births'!L59</f>
        <v>0.15605221518987342</v>
      </c>
      <c r="BD58" s="1862">
        <v>0.15605221518987342</v>
      </c>
    </row>
    <row r="59" spans="1:56" s="142" customFormat="1" ht="15.75" customHeight="1" x14ac:dyDescent="0.2">
      <c r="A59" s="149" t="s">
        <v>134</v>
      </c>
      <c r="B59" s="189" t="s">
        <v>135</v>
      </c>
      <c r="C59" s="150" t="s">
        <v>267</v>
      </c>
      <c r="D59" s="1221">
        <v>305</v>
      </c>
      <c r="E59" s="1222">
        <v>311</v>
      </c>
      <c r="F59" s="1223">
        <v>328</v>
      </c>
      <c r="G59" s="1222">
        <v>321</v>
      </c>
      <c r="H59" s="1223">
        <v>333</v>
      </c>
      <c r="I59" s="1222">
        <v>295</v>
      </c>
      <c r="J59" s="1223">
        <v>357</v>
      </c>
      <c r="K59" s="1222">
        <v>385</v>
      </c>
      <c r="L59" s="1236">
        <v>372</v>
      </c>
      <c r="M59" s="1236">
        <v>452</v>
      </c>
      <c r="N59" s="1236">
        <v>396</v>
      </c>
      <c r="O59" s="1236">
        <v>399</v>
      </c>
      <c r="P59" s="1237">
        <v>368</v>
      </c>
      <c r="Q59" s="1237">
        <v>374</v>
      </c>
      <c r="R59" s="1510">
        <v>382</v>
      </c>
      <c r="S59" s="1511">
        <f>'Non-marital births'!D60</f>
        <v>359</v>
      </c>
      <c r="T59" s="1858">
        <v>359</v>
      </c>
      <c r="U59" s="1858"/>
      <c r="V59" s="1244">
        <v>120</v>
      </c>
      <c r="W59" s="1245">
        <v>116</v>
      </c>
      <c r="X59" s="1245">
        <v>122</v>
      </c>
      <c r="Y59" s="1245">
        <v>133</v>
      </c>
      <c r="Z59" s="1245">
        <v>115</v>
      </c>
      <c r="AA59" s="1245">
        <v>98</v>
      </c>
      <c r="AB59" s="1245">
        <v>115</v>
      </c>
      <c r="AC59" s="1245">
        <v>129</v>
      </c>
      <c r="AD59" s="1245">
        <v>138</v>
      </c>
      <c r="AE59" s="1245">
        <v>152</v>
      </c>
      <c r="AF59" s="1245">
        <v>165</v>
      </c>
      <c r="AG59" s="1245">
        <v>155</v>
      </c>
      <c r="AH59" s="1245">
        <v>146</v>
      </c>
      <c r="AI59" s="1245">
        <v>138</v>
      </c>
      <c r="AJ59" s="1513">
        <v>162</v>
      </c>
      <c r="AK59" s="1514">
        <f>'Non-marital births'!H60</f>
        <v>151</v>
      </c>
      <c r="AL59" s="1859">
        <v>151</v>
      </c>
      <c r="AM59" s="1859"/>
      <c r="AN59" s="1252">
        <f t="shared" si="16"/>
        <v>0.39344262295081966</v>
      </c>
      <c r="AO59" s="1253">
        <f t="shared" si="17"/>
        <v>0.37299035369774919</v>
      </c>
      <c r="AP59" s="1253">
        <f t="shared" si="18"/>
        <v>0.37195121951219512</v>
      </c>
      <c r="AQ59" s="1253">
        <f t="shared" si="19"/>
        <v>0.41433021806853582</v>
      </c>
      <c r="AR59" s="1253">
        <f t="shared" si="20"/>
        <v>0.34534534534534533</v>
      </c>
      <c r="AS59" s="1253">
        <f t="shared" si="21"/>
        <v>0.33220338983050846</v>
      </c>
      <c r="AT59" s="1253">
        <f t="shared" si="22"/>
        <v>0.32212885154061627</v>
      </c>
      <c r="AU59" s="1253">
        <f t="shared" si="23"/>
        <v>0.33506493506493507</v>
      </c>
      <c r="AV59" s="1253">
        <f t="shared" si="24"/>
        <v>0.37096774193548387</v>
      </c>
      <c r="AW59" s="1253">
        <f t="shared" si="25"/>
        <v>0.33628318584070799</v>
      </c>
      <c r="AX59" s="1253">
        <f t="shared" si="26"/>
        <v>0.41666666666666669</v>
      </c>
      <c r="AY59" s="1253">
        <f t="shared" si="27"/>
        <v>0.38847117794486213</v>
      </c>
      <c r="AZ59" s="1253">
        <f t="shared" si="28"/>
        <v>0.39673913043478259</v>
      </c>
      <c r="BA59" s="1253">
        <f t="shared" si="29"/>
        <v>0.36898395721925131</v>
      </c>
      <c r="BB59" s="1506">
        <f t="shared" si="30"/>
        <v>0.42408376963350786</v>
      </c>
      <c r="BC59" s="1508">
        <f>'Non-marital births'!L60</f>
        <v>0.42061281337047352</v>
      </c>
      <c r="BD59" s="1862">
        <v>0.42061281337047352</v>
      </c>
    </row>
    <row r="60" spans="1:56" s="142" customFormat="1" ht="15.75" customHeight="1" x14ac:dyDescent="0.2">
      <c r="A60" s="149" t="s">
        <v>136</v>
      </c>
      <c r="B60" s="189" t="s">
        <v>137</v>
      </c>
      <c r="C60" s="150" t="s">
        <v>266</v>
      </c>
      <c r="D60" s="1221">
        <v>116</v>
      </c>
      <c r="E60" s="1222">
        <v>106</v>
      </c>
      <c r="F60" s="1223">
        <v>95</v>
      </c>
      <c r="G60" s="1222">
        <v>116</v>
      </c>
      <c r="H60" s="1223">
        <v>109</v>
      </c>
      <c r="I60" s="1222">
        <v>140</v>
      </c>
      <c r="J60" s="1223">
        <v>131</v>
      </c>
      <c r="K60" s="1222">
        <v>156</v>
      </c>
      <c r="L60" s="1236">
        <v>138</v>
      </c>
      <c r="M60" s="1236">
        <v>127</v>
      </c>
      <c r="N60" s="1236">
        <v>128</v>
      </c>
      <c r="O60" s="1236">
        <v>133</v>
      </c>
      <c r="P60" s="1237">
        <v>108</v>
      </c>
      <c r="Q60" s="1237">
        <v>117</v>
      </c>
      <c r="R60" s="1510">
        <v>118</v>
      </c>
      <c r="S60" s="1511">
        <f>'Non-marital births'!D61</f>
        <v>117</v>
      </c>
      <c r="T60" s="1858">
        <v>117</v>
      </c>
      <c r="U60" s="1858"/>
      <c r="V60" s="1244">
        <v>52</v>
      </c>
      <c r="W60" s="1245">
        <v>44</v>
      </c>
      <c r="X60" s="1245">
        <v>35</v>
      </c>
      <c r="Y60" s="1245">
        <v>53</v>
      </c>
      <c r="Z60" s="1245">
        <v>54</v>
      </c>
      <c r="AA60" s="1245">
        <v>73</v>
      </c>
      <c r="AB60" s="1245">
        <v>64</v>
      </c>
      <c r="AC60" s="1245">
        <v>70</v>
      </c>
      <c r="AD60" s="1245">
        <v>69</v>
      </c>
      <c r="AE60" s="1245">
        <v>59</v>
      </c>
      <c r="AF60" s="1245">
        <v>72</v>
      </c>
      <c r="AG60" s="1245">
        <v>68</v>
      </c>
      <c r="AH60" s="1245">
        <v>49</v>
      </c>
      <c r="AI60" s="1245">
        <v>65</v>
      </c>
      <c r="AJ60" s="1513">
        <v>80</v>
      </c>
      <c r="AK60" s="1514">
        <f>'Non-marital births'!H61</f>
        <v>72</v>
      </c>
      <c r="AL60" s="1859">
        <v>72</v>
      </c>
      <c r="AM60" s="1859"/>
      <c r="AN60" s="1252">
        <f t="shared" si="16"/>
        <v>0.44827586206896552</v>
      </c>
      <c r="AO60" s="1253">
        <f t="shared" si="17"/>
        <v>0.41509433962264153</v>
      </c>
      <c r="AP60" s="1253">
        <f t="shared" si="18"/>
        <v>0.36842105263157893</v>
      </c>
      <c r="AQ60" s="1253">
        <f t="shared" si="19"/>
        <v>0.45689655172413796</v>
      </c>
      <c r="AR60" s="1253">
        <f t="shared" si="20"/>
        <v>0.49541284403669728</v>
      </c>
      <c r="AS60" s="1253">
        <f t="shared" si="21"/>
        <v>0.52142857142857146</v>
      </c>
      <c r="AT60" s="1253">
        <f t="shared" si="22"/>
        <v>0.48854961832061067</v>
      </c>
      <c r="AU60" s="1253">
        <f t="shared" si="23"/>
        <v>0.44871794871794873</v>
      </c>
      <c r="AV60" s="1253">
        <f t="shared" si="24"/>
        <v>0.5</v>
      </c>
      <c r="AW60" s="1253">
        <f t="shared" si="25"/>
        <v>0.46456692913385828</v>
      </c>
      <c r="AX60" s="1253">
        <f t="shared" si="26"/>
        <v>0.5625</v>
      </c>
      <c r="AY60" s="1253">
        <f t="shared" si="27"/>
        <v>0.51127819548872178</v>
      </c>
      <c r="AZ60" s="1253">
        <f t="shared" si="28"/>
        <v>0.45370370370370372</v>
      </c>
      <c r="BA60" s="1253">
        <f t="shared" si="29"/>
        <v>0.55555555555555558</v>
      </c>
      <c r="BB60" s="1506">
        <f t="shared" si="30"/>
        <v>0.67796610169491522</v>
      </c>
      <c r="BC60" s="1508">
        <f>'Non-marital births'!L61</f>
        <v>0.61538461538461542</v>
      </c>
      <c r="BD60" s="1862">
        <v>0.61538461538461542</v>
      </c>
    </row>
    <row r="61" spans="1:56" s="142" customFormat="1" ht="15.75" customHeight="1" x14ac:dyDescent="0.2">
      <c r="A61" s="149" t="s">
        <v>140</v>
      </c>
      <c r="B61" s="189" t="s">
        <v>141</v>
      </c>
      <c r="C61" s="150" t="s">
        <v>267</v>
      </c>
      <c r="D61" s="1221">
        <v>132</v>
      </c>
      <c r="E61" s="1222">
        <v>105</v>
      </c>
      <c r="F61" s="1223">
        <v>111</v>
      </c>
      <c r="G61" s="1222">
        <v>133</v>
      </c>
      <c r="H61" s="1223">
        <v>157</v>
      </c>
      <c r="I61" s="1222">
        <v>135</v>
      </c>
      <c r="J61" s="1223">
        <v>135</v>
      </c>
      <c r="K61" s="1222">
        <v>162</v>
      </c>
      <c r="L61" s="1236">
        <v>157</v>
      </c>
      <c r="M61" s="1236">
        <v>154</v>
      </c>
      <c r="N61" s="1236">
        <v>143</v>
      </c>
      <c r="O61" s="1236">
        <v>139</v>
      </c>
      <c r="P61" s="1237">
        <v>146</v>
      </c>
      <c r="Q61" s="1237">
        <v>130</v>
      </c>
      <c r="R61" s="1510">
        <v>121</v>
      </c>
      <c r="S61" s="1511">
        <f>'Non-marital births'!D62</f>
        <v>106</v>
      </c>
      <c r="T61" s="1858">
        <v>106</v>
      </c>
      <c r="U61" s="1858"/>
      <c r="V61" s="1244">
        <v>39</v>
      </c>
      <c r="W61" s="1245">
        <v>29</v>
      </c>
      <c r="X61" s="1245">
        <v>34</v>
      </c>
      <c r="Y61" s="1245">
        <v>43</v>
      </c>
      <c r="Z61" s="1245">
        <v>44</v>
      </c>
      <c r="AA61" s="1245">
        <v>37</v>
      </c>
      <c r="AB61" s="1245">
        <v>39</v>
      </c>
      <c r="AC61" s="1245">
        <v>48</v>
      </c>
      <c r="AD61" s="1245">
        <v>41</v>
      </c>
      <c r="AE61" s="1245">
        <v>47</v>
      </c>
      <c r="AF61" s="1245">
        <v>44</v>
      </c>
      <c r="AG61" s="1245">
        <v>47</v>
      </c>
      <c r="AH61" s="1245">
        <v>51</v>
      </c>
      <c r="AI61" s="1245">
        <v>37</v>
      </c>
      <c r="AJ61" s="1513">
        <v>44</v>
      </c>
      <c r="AK61" s="1514">
        <f>'Non-marital births'!H62</f>
        <v>41</v>
      </c>
      <c r="AL61" s="1859">
        <v>41</v>
      </c>
      <c r="AM61" s="1859"/>
      <c r="AN61" s="1252">
        <f t="shared" si="16"/>
        <v>0.29545454545454547</v>
      </c>
      <c r="AO61" s="1253">
        <f t="shared" si="17"/>
        <v>0.27619047619047621</v>
      </c>
      <c r="AP61" s="1253">
        <f t="shared" si="18"/>
        <v>0.30630630630630629</v>
      </c>
      <c r="AQ61" s="1253">
        <f t="shared" si="19"/>
        <v>0.32330827067669171</v>
      </c>
      <c r="AR61" s="1253">
        <f t="shared" si="20"/>
        <v>0.28025477707006369</v>
      </c>
      <c r="AS61" s="1253">
        <f t="shared" si="21"/>
        <v>0.27407407407407408</v>
      </c>
      <c r="AT61" s="1253">
        <f t="shared" si="22"/>
        <v>0.28888888888888886</v>
      </c>
      <c r="AU61" s="1253">
        <f t="shared" si="23"/>
        <v>0.29629629629629628</v>
      </c>
      <c r="AV61" s="1253">
        <f t="shared" si="24"/>
        <v>0.26114649681528662</v>
      </c>
      <c r="AW61" s="1253">
        <f t="shared" si="25"/>
        <v>0.30519480519480519</v>
      </c>
      <c r="AX61" s="1253">
        <f t="shared" si="26"/>
        <v>0.30769230769230771</v>
      </c>
      <c r="AY61" s="1253">
        <f t="shared" si="27"/>
        <v>0.33812949640287771</v>
      </c>
      <c r="AZ61" s="1253">
        <f t="shared" si="28"/>
        <v>0.34931506849315069</v>
      </c>
      <c r="BA61" s="1253">
        <f t="shared" si="29"/>
        <v>0.2846153846153846</v>
      </c>
      <c r="BB61" s="1506">
        <f t="shared" si="30"/>
        <v>0.36363636363636365</v>
      </c>
      <c r="BC61" s="1508">
        <f>'Non-marital births'!L62</f>
        <v>0.3867924528301887</v>
      </c>
      <c r="BD61" s="1862">
        <v>0.3867924528301887</v>
      </c>
    </row>
    <row r="62" spans="1:56" s="142" customFormat="1" ht="15.75" customHeight="1" x14ac:dyDescent="0.2">
      <c r="A62" s="149" t="s">
        <v>146</v>
      </c>
      <c r="B62" s="189" t="s">
        <v>147</v>
      </c>
      <c r="C62" s="150" t="s">
        <v>264</v>
      </c>
      <c r="D62" s="1221">
        <v>74</v>
      </c>
      <c r="E62" s="1222">
        <v>55</v>
      </c>
      <c r="F62" s="1223">
        <v>75</v>
      </c>
      <c r="G62" s="1222">
        <v>66</v>
      </c>
      <c r="H62" s="1223">
        <v>91</v>
      </c>
      <c r="I62" s="1222">
        <v>71</v>
      </c>
      <c r="J62" s="1223">
        <v>56</v>
      </c>
      <c r="K62" s="1222">
        <v>54</v>
      </c>
      <c r="L62" s="1236">
        <v>80</v>
      </c>
      <c r="M62" s="1236">
        <v>67</v>
      </c>
      <c r="N62" s="1236">
        <v>72</v>
      </c>
      <c r="O62" s="1236">
        <v>68</v>
      </c>
      <c r="P62" s="1237">
        <v>63</v>
      </c>
      <c r="Q62" s="1237">
        <v>64</v>
      </c>
      <c r="R62" s="1510">
        <v>71</v>
      </c>
      <c r="S62" s="1511">
        <f>'Non-marital births'!D63</f>
        <v>60</v>
      </c>
      <c r="T62" s="1858">
        <v>60</v>
      </c>
      <c r="U62" s="1858"/>
      <c r="V62" s="1244">
        <v>19</v>
      </c>
      <c r="W62" s="1245">
        <v>13</v>
      </c>
      <c r="X62" s="1245">
        <v>22</v>
      </c>
      <c r="Y62" s="1245">
        <v>19</v>
      </c>
      <c r="Z62" s="1245">
        <v>27</v>
      </c>
      <c r="AA62" s="1245">
        <v>20</v>
      </c>
      <c r="AB62" s="1245">
        <v>17</v>
      </c>
      <c r="AC62" s="1245">
        <v>22</v>
      </c>
      <c r="AD62" s="1245">
        <v>35</v>
      </c>
      <c r="AE62" s="1245">
        <v>22</v>
      </c>
      <c r="AF62" s="1245">
        <v>27</v>
      </c>
      <c r="AG62" s="1245">
        <v>28</v>
      </c>
      <c r="AH62" s="1245">
        <v>25</v>
      </c>
      <c r="AI62" s="1245">
        <v>25</v>
      </c>
      <c r="AJ62" s="1513">
        <v>24</v>
      </c>
      <c r="AK62" s="1514">
        <f>'Non-marital births'!H63</f>
        <v>23</v>
      </c>
      <c r="AL62" s="1859">
        <v>23</v>
      </c>
      <c r="AM62" s="1859"/>
      <c r="AN62" s="1252">
        <f t="shared" si="16"/>
        <v>0.25675675675675674</v>
      </c>
      <c r="AO62" s="1253">
        <f t="shared" si="17"/>
        <v>0.23636363636363636</v>
      </c>
      <c r="AP62" s="1253">
        <f t="shared" si="18"/>
        <v>0.29333333333333333</v>
      </c>
      <c r="AQ62" s="1253">
        <f t="shared" si="19"/>
        <v>0.2878787878787879</v>
      </c>
      <c r="AR62" s="1253">
        <f t="shared" si="20"/>
        <v>0.2967032967032967</v>
      </c>
      <c r="AS62" s="1253">
        <f t="shared" si="21"/>
        <v>0.28169014084507044</v>
      </c>
      <c r="AT62" s="1253">
        <f t="shared" si="22"/>
        <v>0.30357142857142855</v>
      </c>
      <c r="AU62" s="1253">
        <f t="shared" si="23"/>
        <v>0.40740740740740738</v>
      </c>
      <c r="AV62" s="1253">
        <f t="shared" si="24"/>
        <v>0.4375</v>
      </c>
      <c r="AW62" s="1253">
        <f t="shared" si="25"/>
        <v>0.32835820895522388</v>
      </c>
      <c r="AX62" s="1253">
        <f t="shared" si="26"/>
        <v>0.375</v>
      </c>
      <c r="AY62" s="1253">
        <f t="shared" si="27"/>
        <v>0.41176470588235292</v>
      </c>
      <c r="AZ62" s="1253">
        <f t="shared" si="28"/>
        <v>0.3968253968253968</v>
      </c>
      <c r="BA62" s="1253">
        <f t="shared" si="29"/>
        <v>0.390625</v>
      </c>
      <c r="BB62" s="1506">
        <f t="shared" si="30"/>
        <v>0.3380281690140845</v>
      </c>
      <c r="BC62" s="1508">
        <f>'Non-marital births'!L63</f>
        <v>0.38333333333333336</v>
      </c>
      <c r="BD62" s="1862">
        <v>0.38333333333333336</v>
      </c>
    </row>
    <row r="63" spans="1:56" s="142" customFormat="1" ht="15.75" customHeight="1" x14ac:dyDescent="0.2">
      <c r="A63" s="149" t="s">
        <v>148</v>
      </c>
      <c r="B63" s="189" t="s">
        <v>149</v>
      </c>
      <c r="C63" s="150" t="s">
        <v>265</v>
      </c>
      <c r="D63" s="1221">
        <v>372</v>
      </c>
      <c r="E63" s="1222">
        <v>359</v>
      </c>
      <c r="F63" s="1223">
        <v>332</v>
      </c>
      <c r="G63" s="1222">
        <v>356</v>
      </c>
      <c r="H63" s="1223">
        <v>344</v>
      </c>
      <c r="I63" s="1222">
        <v>383</v>
      </c>
      <c r="J63" s="1223">
        <v>325</v>
      </c>
      <c r="K63" s="1222">
        <v>328</v>
      </c>
      <c r="L63" s="1236">
        <v>347</v>
      </c>
      <c r="M63" s="1236">
        <v>317</v>
      </c>
      <c r="N63" s="1236">
        <v>303</v>
      </c>
      <c r="O63" s="1236">
        <v>313</v>
      </c>
      <c r="P63" s="1237">
        <v>305</v>
      </c>
      <c r="Q63" s="1237">
        <v>294</v>
      </c>
      <c r="R63" s="1510">
        <v>293</v>
      </c>
      <c r="S63" s="1511">
        <f>'Non-marital births'!D64</f>
        <v>288</v>
      </c>
      <c r="T63" s="1858">
        <v>288</v>
      </c>
      <c r="U63" s="1858"/>
      <c r="V63" s="1244">
        <v>197</v>
      </c>
      <c r="W63" s="1245">
        <v>174</v>
      </c>
      <c r="X63" s="1245">
        <v>176</v>
      </c>
      <c r="Y63" s="1245">
        <v>197</v>
      </c>
      <c r="Z63" s="1245">
        <v>178</v>
      </c>
      <c r="AA63" s="1245">
        <v>190</v>
      </c>
      <c r="AB63" s="1245">
        <v>172</v>
      </c>
      <c r="AC63" s="1245">
        <v>167</v>
      </c>
      <c r="AD63" s="1245">
        <v>162</v>
      </c>
      <c r="AE63" s="1245">
        <v>178</v>
      </c>
      <c r="AF63" s="1245">
        <v>163</v>
      </c>
      <c r="AG63" s="1245">
        <v>194</v>
      </c>
      <c r="AH63" s="1245">
        <v>168</v>
      </c>
      <c r="AI63" s="1245">
        <v>178</v>
      </c>
      <c r="AJ63" s="1513">
        <v>168</v>
      </c>
      <c r="AK63" s="1514">
        <f>'Non-marital births'!H64</f>
        <v>149</v>
      </c>
      <c r="AL63" s="1859">
        <v>149</v>
      </c>
      <c r="AM63" s="1859"/>
      <c r="AN63" s="1252">
        <f t="shared" si="16"/>
        <v>0.52956989247311825</v>
      </c>
      <c r="AO63" s="1253">
        <f t="shared" si="17"/>
        <v>0.48467966573816157</v>
      </c>
      <c r="AP63" s="1253">
        <f t="shared" si="18"/>
        <v>0.53012048192771088</v>
      </c>
      <c r="AQ63" s="1253">
        <f t="shared" si="19"/>
        <v>0.5533707865168539</v>
      </c>
      <c r="AR63" s="1253">
        <f t="shared" si="20"/>
        <v>0.51744186046511631</v>
      </c>
      <c r="AS63" s="1253">
        <f t="shared" si="21"/>
        <v>0.4960835509138381</v>
      </c>
      <c r="AT63" s="1253">
        <f t="shared" si="22"/>
        <v>0.52923076923076928</v>
      </c>
      <c r="AU63" s="1253">
        <f t="shared" si="23"/>
        <v>0.50914634146341464</v>
      </c>
      <c r="AV63" s="1253">
        <f t="shared" si="24"/>
        <v>0.4668587896253602</v>
      </c>
      <c r="AW63" s="1253">
        <f t="shared" si="25"/>
        <v>0.56151419558359617</v>
      </c>
      <c r="AX63" s="1253">
        <f t="shared" si="26"/>
        <v>0.53795379537953791</v>
      </c>
      <c r="AY63" s="1253">
        <f t="shared" si="27"/>
        <v>0.61980830670926512</v>
      </c>
      <c r="AZ63" s="1253">
        <f t="shared" si="28"/>
        <v>0.55081967213114758</v>
      </c>
      <c r="BA63" s="1253">
        <f t="shared" si="29"/>
        <v>0.60544217687074831</v>
      </c>
      <c r="BB63" s="1506">
        <f t="shared" si="30"/>
        <v>0.57337883959044367</v>
      </c>
      <c r="BC63" s="1508">
        <f>'Non-marital births'!L64</f>
        <v>0.51736111111111116</v>
      </c>
      <c r="BD63" s="1862">
        <v>0.51736111111111116</v>
      </c>
    </row>
    <row r="64" spans="1:56" s="142" customFormat="1" ht="15.75" customHeight="1" x14ac:dyDescent="0.2">
      <c r="A64" s="149" t="s">
        <v>150</v>
      </c>
      <c r="B64" s="189" t="s">
        <v>151</v>
      </c>
      <c r="C64" s="150" t="s">
        <v>266</v>
      </c>
      <c r="D64" s="1221">
        <v>72</v>
      </c>
      <c r="E64" s="1222">
        <v>85</v>
      </c>
      <c r="F64" s="1223">
        <v>83</v>
      </c>
      <c r="G64" s="1222">
        <v>76</v>
      </c>
      <c r="H64" s="1223">
        <v>76</v>
      </c>
      <c r="I64" s="1222">
        <v>71</v>
      </c>
      <c r="J64" s="1223">
        <v>82</v>
      </c>
      <c r="K64" s="1222">
        <v>75</v>
      </c>
      <c r="L64" s="1236">
        <v>68</v>
      </c>
      <c r="M64" s="1236">
        <v>96</v>
      </c>
      <c r="N64" s="1236">
        <v>87</v>
      </c>
      <c r="O64" s="1236">
        <v>88</v>
      </c>
      <c r="P64" s="1237">
        <v>81</v>
      </c>
      <c r="Q64" s="1237">
        <v>94</v>
      </c>
      <c r="R64" s="1510">
        <v>99</v>
      </c>
      <c r="S64" s="1511">
        <f>'Non-marital births'!D65</f>
        <v>102</v>
      </c>
      <c r="T64" s="1858">
        <v>102</v>
      </c>
      <c r="U64" s="1858"/>
      <c r="V64" s="1244">
        <v>30</v>
      </c>
      <c r="W64" s="1245">
        <v>28</v>
      </c>
      <c r="X64" s="1245">
        <v>21</v>
      </c>
      <c r="Y64" s="1245">
        <v>31</v>
      </c>
      <c r="Z64" s="1245">
        <v>29</v>
      </c>
      <c r="AA64" s="1245">
        <v>34</v>
      </c>
      <c r="AB64" s="1245">
        <v>31</v>
      </c>
      <c r="AC64" s="1245">
        <v>26</v>
      </c>
      <c r="AD64" s="1245">
        <v>28</v>
      </c>
      <c r="AE64" s="1245">
        <v>41</v>
      </c>
      <c r="AF64" s="1245">
        <v>37</v>
      </c>
      <c r="AG64" s="1245">
        <v>38</v>
      </c>
      <c r="AH64" s="1245">
        <v>38</v>
      </c>
      <c r="AI64" s="1245">
        <v>35</v>
      </c>
      <c r="AJ64" s="1513">
        <v>46</v>
      </c>
      <c r="AK64" s="1514">
        <f>'Non-marital births'!H65</f>
        <v>54</v>
      </c>
      <c r="AL64" s="1859">
        <v>54</v>
      </c>
      <c r="AM64" s="1859"/>
      <c r="AN64" s="1252">
        <f t="shared" si="16"/>
        <v>0.41666666666666669</v>
      </c>
      <c r="AO64" s="1253">
        <f t="shared" si="17"/>
        <v>0.32941176470588235</v>
      </c>
      <c r="AP64" s="1253">
        <f t="shared" si="18"/>
        <v>0.25301204819277107</v>
      </c>
      <c r="AQ64" s="1253">
        <f t="shared" si="19"/>
        <v>0.40789473684210525</v>
      </c>
      <c r="AR64" s="1253">
        <f t="shared" si="20"/>
        <v>0.38157894736842107</v>
      </c>
      <c r="AS64" s="1253">
        <f t="shared" si="21"/>
        <v>0.47887323943661969</v>
      </c>
      <c r="AT64" s="1253">
        <f t="shared" si="22"/>
        <v>0.37804878048780488</v>
      </c>
      <c r="AU64" s="1253">
        <f t="shared" si="23"/>
        <v>0.34666666666666668</v>
      </c>
      <c r="AV64" s="1253">
        <f t="shared" si="24"/>
        <v>0.41176470588235292</v>
      </c>
      <c r="AW64" s="1253">
        <f t="shared" si="25"/>
        <v>0.42708333333333331</v>
      </c>
      <c r="AX64" s="1253">
        <f t="shared" si="26"/>
        <v>0.42528735632183906</v>
      </c>
      <c r="AY64" s="1253">
        <f t="shared" si="27"/>
        <v>0.43181818181818182</v>
      </c>
      <c r="AZ64" s="1253">
        <f t="shared" si="28"/>
        <v>0.46913580246913578</v>
      </c>
      <c r="BA64" s="1253">
        <f t="shared" si="29"/>
        <v>0.37234042553191488</v>
      </c>
      <c r="BB64" s="1506">
        <f t="shared" si="30"/>
        <v>0.46464646464646464</v>
      </c>
      <c r="BC64" s="1508">
        <f>'Non-marital births'!L65</f>
        <v>0.52941176470588236</v>
      </c>
      <c r="BD64" s="1862">
        <v>0.52941176470588236</v>
      </c>
    </row>
    <row r="65" spans="1:56" s="142" customFormat="1" ht="15.75" customHeight="1" x14ac:dyDescent="0.2">
      <c r="A65" s="149" t="s">
        <v>152</v>
      </c>
      <c r="B65" s="189" t="s">
        <v>153</v>
      </c>
      <c r="C65" s="150" t="s">
        <v>268</v>
      </c>
      <c r="D65" s="1221">
        <v>791</v>
      </c>
      <c r="E65" s="1222">
        <v>814</v>
      </c>
      <c r="F65" s="1223">
        <v>822</v>
      </c>
      <c r="G65" s="1222">
        <v>782</v>
      </c>
      <c r="H65" s="1223">
        <v>779</v>
      </c>
      <c r="I65" s="1222">
        <v>832</v>
      </c>
      <c r="J65" s="1223">
        <v>840</v>
      </c>
      <c r="K65" s="1222">
        <v>821</v>
      </c>
      <c r="L65" s="1236">
        <v>887</v>
      </c>
      <c r="M65" s="1236">
        <v>967</v>
      </c>
      <c r="N65" s="1236">
        <v>895</v>
      </c>
      <c r="O65" s="1236">
        <v>840</v>
      </c>
      <c r="P65" s="1237">
        <v>877</v>
      </c>
      <c r="Q65" s="1237">
        <v>891</v>
      </c>
      <c r="R65" s="1510">
        <v>961</v>
      </c>
      <c r="S65" s="1511">
        <f>'Non-marital births'!D66</f>
        <v>892</v>
      </c>
      <c r="T65" s="1858">
        <v>892</v>
      </c>
      <c r="U65" s="1858"/>
      <c r="V65" s="1244">
        <v>168</v>
      </c>
      <c r="W65" s="1245">
        <v>168</v>
      </c>
      <c r="X65" s="1245">
        <v>196</v>
      </c>
      <c r="Y65" s="1245">
        <v>158</v>
      </c>
      <c r="Z65" s="1245">
        <v>162</v>
      </c>
      <c r="AA65" s="1245">
        <v>196</v>
      </c>
      <c r="AB65" s="1245">
        <v>193</v>
      </c>
      <c r="AC65" s="1245">
        <v>218</v>
      </c>
      <c r="AD65" s="1245">
        <v>216</v>
      </c>
      <c r="AE65" s="1245">
        <v>265</v>
      </c>
      <c r="AF65" s="1245">
        <v>265</v>
      </c>
      <c r="AG65" s="1245">
        <v>245</v>
      </c>
      <c r="AH65" s="1245">
        <v>243</v>
      </c>
      <c r="AI65" s="1245">
        <v>247</v>
      </c>
      <c r="AJ65" s="1513">
        <v>240</v>
      </c>
      <c r="AK65" s="1514">
        <f>'Non-marital births'!H66</f>
        <v>230</v>
      </c>
      <c r="AL65" s="1859">
        <v>230</v>
      </c>
      <c r="AM65" s="1859"/>
      <c r="AN65" s="1252">
        <f t="shared" si="16"/>
        <v>0.21238938053097345</v>
      </c>
      <c r="AO65" s="1253">
        <f t="shared" si="17"/>
        <v>0.20638820638820637</v>
      </c>
      <c r="AP65" s="1253">
        <f t="shared" si="18"/>
        <v>0.23844282238442821</v>
      </c>
      <c r="AQ65" s="1253">
        <f t="shared" si="19"/>
        <v>0.20204603580562661</v>
      </c>
      <c r="AR65" s="1253">
        <f t="shared" si="20"/>
        <v>0.2079589216944801</v>
      </c>
      <c r="AS65" s="1253">
        <f t="shared" si="21"/>
        <v>0.23557692307692307</v>
      </c>
      <c r="AT65" s="1253">
        <f t="shared" si="22"/>
        <v>0.22976190476190475</v>
      </c>
      <c r="AU65" s="1253">
        <f t="shared" si="23"/>
        <v>0.26552984165651644</v>
      </c>
      <c r="AV65" s="1253">
        <f t="shared" si="24"/>
        <v>0.24351747463359638</v>
      </c>
      <c r="AW65" s="1253">
        <f t="shared" si="25"/>
        <v>0.27404343329886244</v>
      </c>
      <c r="AX65" s="1253">
        <f t="shared" si="26"/>
        <v>0.29608938547486036</v>
      </c>
      <c r="AY65" s="1253">
        <f t="shared" si="27"/>
        <v>0.29166666666666669</v>
      </c>
      <c r="AZ65" s="1253">
        <f t="shared" si="28"/>
        <v>0.27708095781071834</v>
      </c>
      <c r="BA65" s="1253">
        <f t="shared" si="29"/>
        <v>0.2772166105499439</v>
      </c>
      <c r="BB65" s="1506">
        <f t="shared" si="30"/>
        <v>0.2497398543184183</v>
      </c>
      <c r="BC65" s="1508">
        <f>'Non-marital births'!L66</f>
        <v>0.25784753363228702</v>
      </c>
      <c r="BD65" s="1862">
        <v>0.25784753363228702</v>
      </c>
    </row>
    <row r="66" spans="1:56" s="142" customFormat="1" ht="15.75" customHeight="1" x14ac:dyDescent="0.2">
      <c r="A66" s="149" t="s">
        <v>154</v>
      </c>
      <c r="B66" s="189" t="s">
        <v>155</v>
      </c>
      <c r="C66" s="150" t="s">
        <v>265</v>
      </c>
      <c r="D66" s="1221">
        <v>181</v>
      </c>
      <c r="E66" s="1222">
        <v>160</v>
      </c>
      <c r="F66" s="1223">
        <v>158</v>
      </c>
      <c r="G66" s="1222">
        <v>155</v>
      </c>
      <c r="H66" s="1223">
        <v>147</v>
      </c>
      <c r="I66" s="1222">
        <v>164</v>
      </c>
      <c r="J66" s="1223">
        <v>154</v>
      </c>
      <c r="K66" s="1222">
        <v>147</v>
      </c>
      <c r="L66" s="1236">
        <v>143</v>
      </c>
      <c r="M66" s="1236">
        <v>159</v>
      </c>
      <c r="N66" s="1236">
        <v>168</v>
      </c>
      <c r="O66" s="1236">
        <v>141</v>
      </c>
      <c r="P66" s="1237">
        <v>146</v>
      </c>
      <c r="Q66" s="1237">
        <v>125</v>
      </c>
      <c r="R66" s="1510">
        <v>137</v>
      </c>
      <c r="S66" s="1511">
        <f>'Non-marital births'!D67</f>
        <v>136</v>
      </c>
      <c r="T66" s="1858">
        <v>136</v>
      </c>
      <c r="U66" s="1858"/>
      <c r="V66" s="1244">
        <v>63</v>
      </c>
      <c r="W66" s="1245">
        <v>49</v>
      </c>
      <c r="X66" s="1245">
        <v>68</v>
      </c>
      <c r="Y66" s="1245">
        <v>48</v>
      </c>
      <c r="Z66" s="1245">
        <v>47</v>
      </c>
      <c r="AA66" s="1245">
        <v>56</v>
      </c>
      <c r="AB66" s="1245">
        <v>48</v>
      </c>
      <c r="AC66" s="1245">
        <v>56</v>
      </c>
      <c r="AD66" s="1245">
        <v>53</v>
      </c>
      <c r="AE66" s="1245">
        <v>77</v>
      </c>
      <c r="AF66" s="1245">
        <v>63</v>
      </c>
      <c r="AG66" s="1245">
        <v>66</v>
      </c>
      <c r="AH66" s="1245">
        <v>57</v>
      </c>
      <c r="AI66" s="1245">
        <v>54</v>
      </c>
      <c r="AJ66" s="1513">
        <v>52</v>
      </c>
      <c r="AK66" s="1514">
        <f>'Non-marital births'!H67</f>
        <v>56</v>
      </c>
      <c r="AL66" s="1859">
        <v>56</v>
      </c>
      <c r="AM66" s="1859"/>
      <c r="AN66" s="1252">
        <f t="shared" si="16"/>
        <v>0.34806629834254144</v>
      </c>
      <c r="AO66" s="1253">
        <f t="shared" si="17"/>
        <v>0.30625000000000002</v>
      </c>
      <c r="AP66" s="1253">
        <f t="shared" si="18"/>
        <v>0.43037974683544306</v>
      </c>
      <c r="AQ66" s="1253">
        <f t="shared" si="19"/>
        <v>0.30967741935483872</v>
      </c>
      <c r="AR66" s="1253">
        <f t="shared" si="20"/>
        <v>0.31972789115646261</v>
      </c>
      <c r="AS66" s="1253">
        <f t="shared" si="21"/>
        <v>0.34146341463414637</v>
      </c>
      <c r="AT66" s="1253">
        <f t="shared" si="22"/>
        <v>0.31168831168831168</v>
      </c>
      <c r="AU66" s="1253">
        <f t="shared" si="23"/>
        <v>0.38095238095238093</v>
      </c>
      <c r="AV66" s="1253">
        <f t="shared" si="24"/>
        <v>0.37062937062937062</v>
      </c>
      <c r="AW66" s="1253">
        <f t="shared" si="25"/>
        <v>0.48427672955974843</v>
      </c>
      <c r="AX66" s="1253">
        <f t="shared" si="26"/>
        <v>0.375</v>
      </c>
      <c r="AY66" s="1253">
        <f t="shared" si="27"/>
        <v>0.46808510638297873</v>
      </c>
      <c r="AZ66" s="1253">
        <f t="shared" si="28"/>
        <v>0.3904109589041096</v>
      </c>
      <c r="BA66" s="1253">
        <f t="shared" si="29"/>
        <v>0.432</v>
      </c>
      <c r="BB66" s="1506">
        <f t="shared" si="30"/>
        <v>0.37956204379562042</v>
      </c>
      <c r="BC66" s="1508">
        <f>'Non-marital births'!L67</f>
        <v>0.41176470588235292</v>
      </c>
      <c r="BD66" s="1862">
        <v>0.41176470588235292</v>
      </c>
    </row>
    <row r="67" spans="1:56" s="142" customFormat="1" ht="15.75" customHeight="1" x14ac:dyDescent="0.2">
      <c r="A67" s="149" t="s">
        <v>156</v>
      </c>
      <c r="B67" s="189" t="s">
        <v>157</v>
      </c>
      <c r="C67" s="150" t="s">
        <v>266</v>
      </c>
      <c r="D67" s="1221">
        <v>140</v>
      </c>
      <c r="E67" s="1222">
        <v>135</v>
      </c>
      <c r="F67" s="1223">
        <v>157</v>
      </c>
      <c r="G67" s="1222">
        <v>137</v>
      </c>
      <c r="H67" s="1223">
        <v>159</v>
      </c>
      <c r="I67" s="1222">
        <v>141</v>
      </c>
      <c r="J67" s="1223">
        <v>175</v>
      </c>
      <c r="K67" s="1222">
        <v>174</v>
      </c>
      <c r="L67" s="1236">
        <v>172</v>
      </c>
      <c r="M67" s="1236">
        <v>180</v>
      </c>
      <c r="N67" s="1236">
        <v>156</v>
      </c>
      <c r="O67" s="1236">
        <v>172</v>
      </c>
      <c r="P67" s="1237">
        <v>191</v>
      </c>
      <c r="Q67" s="1237">
        <v>191</v>
      </c>
      <c r="R67" s="1510">
        <v>190</v>
      </c>
      <c r="S67" s="1511">
        <f>'Non-marital births'!D68</f>
        <v>192</v>
      </c>
      <c r="T67" s="1858">
        <v>192</v>
      </c>
      <c r="U67" s="1858"/>
      <c r="V67" s="1244">
        <v>34</v>
      </c>
      <c r="W67" s="1245">
        <v>28</v>
      </c>
      <c r="X67" s="1245">
        <v>29</v>
      </c>
      <c r="Y67" s="1245">
        <v>32</v>
      </c>
      <c r="Z67" s="1245">
        <v>39</v>
      </c>
      <c r="AA67" s="1245">
        <v>23</v>
      </c>
      <c r="AB67" s="1245">
        <v>35</v>
      </c>
      <c r="AC67" s="1245">
        <v>43</v>
      </c>
      <c r="AD67" s="1245">
        <v>42</v>
      </c>
      <c r="AE67" s="1245">
        <v>44</v>
      </c>
      <c r="AF67" s="1245">
        <v>45</v>
      </c>
      <c r="AG67" s="1245">
        <v>53</v>
      </c>
      <c r="AH67" s="1245">
        <v>60</v>
      </c>
      <c r="AI67" s="1245">
        <v>49</v>
      </c>
      <c r="AJ67" s="1513">
        <v>49</v>
      </c>
      <c r="AK67" s="1514">
        <f>'Non-marital births'!H68</f>
        <v>61</v>
      </c>
      <c r="AL67" s="1859">
        <v>61</v>
      </c>
      <c r="AM67" s="1859"/>
      <c r="AN67" s="1252">
        <f t="shared" si="16"/>
        <v>0.24285714285714285</v>
      </c>
      <c r="AO67" s="1253">
        <f t="shared" si="17"/>
        <v>0.2074074074074074</v>
      </c>
      <c r="AP67" s="1253">
        <f t="shared" si="18"/>
        <v>0.18471337579617833</v>
      </c>
      <c r="AQ67" s="1253">
        <f t="shared" si="19"/>
        <v>0.23357664233576642</v>
      </c>
      <c r="AR67" s="1253">
        <f t="shared" si="20"/>
        <v>0.24528301886792453</v>
      </c>
      <c r="AS67" s="1253">
        <f t="shared" si="21"/>
        <v>0.16312056737588654</v>
      </c>
      <c r="AT67" s="1253">
        <f t="shared" si="22"/>
        <v>0.2</v>
      </c>
      <c r="AU67" s="1253">
        <f t="shared" si="23"/>
        <v>0.2471264367816092</v>
      </c>
      <c r="AV67" s="1253">
        <f t="shared" si="24"/>
        <v>0.2441860465116279</v>
      </c>
      <c r="AW67" s="1253">
        <f t="shared" si="25"/>
        <v>0.24444444444444444</v>
      </c>
      <c r="AX67" s="1253">
        <f t="shared" si="26"/>
        <v>0.28846153846153844</v>
      </c>
      <c r="AY67" s="1253">
        <f t="shared" si="27"/>
        <v>0.30813953488372092</v>
      </c>
      <c r="AZ67" s="1253">
        <f t="shared" si="28"/>
        <v>0.31413612565445026</v>
      </c>
      <c r="BA67" s="1253">
        <f t="shared" si="29"/>
        <v>0.25654450261780104</v>
      </c>
      <c r="BB67" s="1506">
        <f t="shared" si="30"/>
        <v>0.25789473684210529</v>
      </c>
      <c r="BC67" s="1508">
        <f>'Non-marital births'!L68</f>
        <v>0.31770833333333331</v>
      </c>
      <c r="BD67" s="1862">
        <v>0.31770833333333331</v>
      </c>
    </row>
    <row r="68" spans="1:56" s="142" customFormat="1" ht="15.75" customHeight="1" x14ac:dyDescent="0.2">
      <c r="A68" s="149" t="s">
        <v>162</v>
      </c>
      <c r="B68" s="189" t="s">
        <v>163</v>
      </c>
      <c r="C68" s="150" t="s">
        <v>264</v>
      </c>
      <c r="D68" s="1221">
        <v>147</v>
      </c>
      <c r="E68" s="1222">
        <v>188</v>
      </c>
      <c r="F68" s="1223">
        <v>151</v>
      </c>
      <c r="G68" s="1222">
        <v>188</v>
      </c>
      <c r="H68" s="1223">
        <v>135</v>
      </c>
      <c r="I68" s="1222">
        <v>166</v>
      </c>
      <c r="J68" s="1223">
        <v>162</v>
      </c>
      <c r="K68" s="1222">
        <v>165</v>
      </c>
      <c r="L68" s="1236">
        <v>165</v>
      </c>
      <c r="M68" s="1236">
        <v>173</v>
      </c>
      <c r="N68" s="1236">
        <v>165</v>
      </c>
      <c r="O68" s="1236">
        <v>128</v>
      </c>
      <c r="P68" s="1237">
        <v>159</v>
      </c>
      <c r="Q68" s="1237">
        <v>162</v>
      </c>
      <c r="R68" s="1510">
        <v>118</v>
      </c>
      <c r="S68" s="1511">
        <f>'Non-marital births'!D69</f>
        <v>131</v>
      </c>
      <c r="T68" s="1858">
        <v>131</v>
      </c>
      <c r="U68" s="1858"/>
      <c r="V68" s="1244">
        <v>87</v>
      </c>
      <c r="W68" s="1245">
        <v>94</v>
      </c>
      <c r="X68" s="1245">
        <v>93</v>
      </c>
      <c r="Y68" s="1245">
        <v>102</v>
      </c>
      <c r="Z68" s="1245">
        <v>82</v>
      </c>
      <c r="AA68" s="1245">
        <v>85</v>
      </c>
      <c r="AB68" s="1245">
        <v>86</v>
      </c>
      <c r="AC68" s="1245">
        <v>100</v>
      </c>
      <c r="AD68" s="1245">
        <v>103</v>
      </c>
      <c r="AE68" s="1245">
        <v>100</v>
      </c>
      <c r="AF68" s="1245">
        <v>103</v>
      </c>
      <c r="AG68" s="1245">
        <v>77</v>
      </c>
      <c r="AH68" s="1245">
        <v>95</v>
      </c>
      <c r="AI68" s="1245">
        <v>110</v>
      </c>
      <c r="AJ68" s="1513">
        <v>69</v>
      </c>
      <c r="AK68" s="1514">
        <f>'Non-marital births'!H69</f>
        <v>83</v>
      </c>
      <c r="AL68" s="1859">
        <v>83</v>
      </c>
      <c r="AM68" s="1859"/>
      <c r="AN68" s="1252">
        <f t="shared" si="16"/>
        <v>0.59183673469387754</v>
      </c>
      <c r="AO68" s="1253">
        <f t="shared" si="17"/>
        <v>0.5</v>
      </c>
      <c r="AP68" s="1253">
        <f t="shared" si="18"/>
        <v>0.61589403973509937</v>
      </c>
      <c r="AQ68" s="1253">
        <f t="shared" si="19"/>
        <v>0.54255319148936165</v>
      </c>
      <c r="AR68" s="1253">
        <f t="shared" si="20"/>
        <v>0.6074074074074074</v>
      </c>
      <c r="AS68" s="1253">
        <f t="shared" si="21"/>
        <v>0.51204819277108438</v>
      </c>
      <c r="AT68" s="1253">
        <f t="shared" si="22"/>
        <v>0.53086419753086422</v>
      </c>
      <c r="AU68" s="1253">
        <f t="shared" si="23"/>
        <v>0.60606060606060608</v>
      </c>
      <c r="AV68" s="1253">
        <f t="shared" si="24"/>
        <v>0.62424242424242427</v>
      </c>
      <c r="AW68" s="1253">
        <f t="shared" si="25"/>
        <v>0.5780346820809249</v>
      </c>
      <c r="AX68" s="1253">
        <f t="shared" si="26"/>
        <v>0.62424242424242427</v>
      </c>
      <c r="AY68" s="1253">
        <f t="shared" si="27"/>
        <v>0.6015625</v>
      </c>
      <c r="AZ68" s="1253">
        <f t="shared" si="28"/>
        <v>0.59748427672955973</v>
      </c>
      <c r="BA68" s="1253">
        <f t="shared" si="29"/>
        <v>0.67901234567901236</v>
      </c>
      <c r="BB68" s="1506">
        <f t="shared" si="30"/>
        <v>0.5847457627118644</v>
      </c>
      <c r="BC68" s="1508">
        <f>'Non-marital births'!L69</f>
        <v>0.63358778625954193</v>
      </c>
      <c r="BD68" s="1862">
        <v>0.63358778625954193</v>
      </c>
    </row>
    <row r="69" spans="1:56" s="142" customFormat="1" ht="15.75" customHeight="1" x14ac:dyDescent="0.2">
      <c r="A69" s="149" t="s">
        <v>164</v>
      </c>
      <c r="B69" s="189" t="s">
        <v>165</v>
      </c>
      <c r="C69" s="150" t="s">
        <v>266</v>
      </c>
      <c r="D69" s="1221">
        <v>95</v>
      </c>
      <c r="E69" s="1222">
        <v>118</v>
      </c>
      <c r="F69" s="1223">
        <v>99</v>
      </c>
      <c r="G69" s="1222">
        <v>124</v>
      </c>
      <c r="H69" s="1223">
        <v>108</v>
      </c>
      <c r="I69" s="1222">
        <v>97</v>
      </c>
      <c r="J69" s="1223">
        <v>109</v>
      </c>
      <c r="K69" s="1222">
        <v>121</v>
      </c>
      <c r="L69" s="1236">
        <v>110</v>
      </c>
      <c r="M69" s="1236">
        <v>105</v>
      </c>
      <c r="N69" s="1236">
        <v>101</v>
      </c>
      <c r="O69" s="1236">
        <v>111</v>
      </c>
      <c r="P69" s="1237">
        <v>103</v>
      </c>
      <c r="Q69" s="1237">
        <v>90</v>
      </c>
      <c r="R69" s="1510">
        <v>96</v>
      </c>
      <c r="S69" s="1511">
        <f>'Non-marital births'!D70</f>
        <v>90</v>
      </c>
      <c r="T69" s="1858">
        <v>90</v>
      </c>
      <c r="U69" s="1858"/>
      <c r="V69" s="1244">
        <v>42</v>
      </c>
      <c r="W69" s="1245">
        <v>54</v>
      </c>
      <c r="X69" s="1245">
        <v>47</v>
      </c>
      <c r="Y69" s="1245">
        <v>60</v>
      </c>
      <c r="Z69" s="1245">
        <v>62</v>
      </c>
      <c r="AA69" s="1245">
        <v>50</v>
      </c>
      <c r="AB69" s="1245">
        <v>50</v>
      </c>
      <c r="AC69" s="1245">
        <v>63</v>
      </c>
      <c r="AD69" s="1245">
        <v>60</v>
      </c>
      <c r="AE69" s="1245">
        <v>62</v>
      </c>
      <c r="AF69" s="1245">
        <v>57</v>
      </c>
      <c r="AG69" s="1245">
        <v>67</v>
      </c>
      <c r="AH69" s="1245">
        <v>55</v>
      </c>
      <c r="AI69" s="1245">
        <v>51</v>
      </c>
      <c r="AJ69" s="1513">
        <v>55</v>
      </c>
      <c r="AK69" s="1514">
        <f>'Non-marital births'!H70</f>
        <v>49</v>
      </c>
      <c r="AL69" s="1859">
        <v>49</v>
      </c>
      <c r="AM69" s="1859"/>
      <c r="AN69" s="1252">
        <f t="shared" ref="AN69:AN100" si="31">V69/D69</f>
        <v>0.44210526315789472</v>
      </c>
      <c r="AO69" s="1253">
        <f t="shared" si="17"/>
        <v>0.4576271186440678</v>
      </c>
      <c r="AP69" s="1253">
        <f t="shared" si="18"/>
        <v>0.47474747474747475</v>
      </c>
      <c r="AQ69" s="1253">
        <f t="shared" si="19"/>
        <v>0.4838709677419355</v>
      </c>
      <c r="AR69" s="1253">
        <f t="shared" si="20"/>
        <v>0.57407407407407407</v>
      </c>
      <c r="AS69" s="1253">
        <f t="shared" si="21"/>
        <v>0.51546391752577314</v>
      </c>
      <c r="AT69" s="1253">
        <f t="shared" si="22"/>
        <v>0.45871559633027525</v>
      </c>
      <c r="AU69" s="1253">
        <f t="shared" si="23"/>
        <v>0.52066115702479343</v>
      </c>
      <c r="AV69" s="1253">
        <f t="shared" si="24"/>
        <v>0.54545454545454541</v>
      </c>
      <c r="AW69" s="1253">
        <f t="shared" si="25"/>
        <v>0.59047619047619049</v>
      </c>
      <c r="AX69" s="1253">
        <f t="shared" si="26"/>
        <v>0.5643564356435643</v>
      </c>
      <c r="AY69" s="1253">
        <f t="shared" si="27"/>
        <v>0.60360360360360366</v>
      </c>
      <c r="AZ69" s="1253">
        <f t="shared" si="28"/>
        <v>0.53398058252427183</v>
      </c>
      <c r="BA69" s="1253">
        <f t="shared" si="29"/>
        <v>0.56666666666666665</v>
      </c>
      <c r="BB69" s="1506">
        <f t="shared" si="30"/>
        <v>0.57291666666666663</v>
      </c>
      <c r="BC69" s="1508">
        <f>'Non-marital births'!L70</f>
        <v>0.5444444444444444</v>
      </c>
      <c r="BD69" s="1862">
        <v>0.5444444444444444</v>
      </c>
    </row>
    <row r="70" spans="1:56" s="142" customFormat="1" ht="15.75" customHeight="1" x14ac:dyDescent="0.2">
      <c r="A70" s="149" t="s">
        <v>168</v>
      </c>
      <c r="B70" s="189" t="s">
        <v>169</v>
      </c>
      <c r="C70" s="150" t="s">
        <v>266</v>
      </c>
      <c r="D70" s="1221">
        <v>165</v>
      </c>
      <c r="E70" s="1222">
        <v>193</v>
      </c>
      <c r="F70" s="1223">
        <v>188</v>
      </c>
      <c r="G70" s="1222">
        <v>163</v>
      </c>
      <c r="H70" s="1223">
        <v>196</v>
      </c>
      <c r="I70" s="1222">
        <v>162</v>
      </c>
      <c r="J70" s="1223">
        <v>184</v>
      </c>
      <c r="K70" s="1222">
        <v>181</v>
      </c>
      <c r="L70" s="1236">
        <v>171</v>
      </c>
      <c r="M70" s="1236">
        <v>161</v>
      </c>
      <c r="N70" s="1236">
        <v>192</v>
      </c>
      <c r="O70" s="1236">
        <v>184</v>
      </c>
      <c r="P70" s="1237">
        <v>159</v>
      </c>
      <c r="Q70" s="1237">
        <v>165</v>
      </c>
      <c r="R70" s="1510">
        <v>187</v>
      </c>
      <c r="S70" s="1511">
        <f>'Non-marital births'!D71</f>
        <v>182</v>
      </c>
      <c r="T70" s="1858">
        <v>182</v>
      </c>
      <c r="U70" s="1858"/>
      <c r="V70" s="1244">
        <v>73</v>
      </c>
      <c r="W70" s="1245">
        <v>91</v>
      </c>
      <c r="X70" s="1245">
        <v>88</v>
      </c>
      <c r="Y70" s="1245">
        <v>79</v>
      </c>
      <c r="Z70" s="1245">
        <v>94</v>
      </c>
      <c r="AA70" s="1245">
        <v>78</v>
      </c>
      <c r="AB70" s="1245">
        <v>77</v>
      </c>
      <c r="AC70" s="1245">
        <v>79</v>
      </c>
      <c r="AD70" s="1245">
        <v>92</v>
      </c>
      <c r="AE70" s="1245">
        <v>84</v>
      </c>
      <c r="AF70" s="1245">
        <v>116</v>
      </c>
      <c r="AG70" s="1245">
        <v>106</v>
      </c>
      <c r="AH70" s="1245">
        <v>84</v>
      </c>
      <c r="AI70" s="1245">
        <v>91</v>
      </c>
      <c r="AJ70" s="1513">
        <v>112</v>
      </c>
      <c r="AK70" s="1514">
        <f>'Non-marital births'!H71</f>
        <v>97</v>
      </c>
      <c r="AL70" s="1859">
        <v>97</v>
      </c>
      <c r="AM70" s="1859"/>
      <c r="AN70" s="1252">
        <f t="shared" si="31"/>
        <v>0.44242424242424244</v>
      </c>
      <c r="AO70" s="1253">
        <f t="shared" ref="AO70:AO101" si="32">W70/E70</f>
        <v>0.47150259067357514</v>
      </c>
      <c r="AP70" s="1253">
        <f t="shared" ref="AP70:AP101" si="33">X70/F70</f>
        <v>0.46808510638297873</v>
      </c>
      <c r="AQ70" s="1253">
        <f t="shared" ref="AQ70:AQ101" si="34">Y70/G70</f>
        <v>0.48466257668711654</v>
      </c>
      <c r="AR70" s="1253">
        <f t="shared" ref="AR70:AR101" si="35">Z70/H70</f>
        <v>0.47959183673469385</v>
      </c>
      <c r="AS70" s="1253">
        <f t="shared" ref="AS70:AS101" si="36">AA70/I70</f>
        <v>0.48148148148148145</v>
      </c>
      <c r="AT70" s="1253">
        <f t="shared" ref="AT70:AT101" si="37">AB70/J70</f>
        <v>0.41847826086956524</v>
      </c>
      <c r="AU70" s="1253">
        <f t="shared" ref="AU70:AU101" si="38">AC70/K70</f>
        <v>0.43646408839779005</v>
      </c>
      <c r="AV70" s="1253">
        <f t="shared" ref="AV70:AV101" si="39">AD70/L70</f>
        <v>0.53801169590643272</v>
      </c>
      <c r="AW70" s="1253">
        <f t="shared" ref="AW70:AW101" si="40">AE70/M70</f>
        <v>0.52173913043478259</v>
      </c>
      <c r="AX70" s="1253">
        <f t="shared" ref="AX70:AX101" si="41">AF70/N70</f>
        <v>0.60416666666666663</v>
      </c>
      <c r="AY70" s="1253">
        <f t="shared" ref="AY70:AY101" si="42">AG70/O70</f>
        <v>0.57608695652173914</v>
      </c>
      <c r="AZ70" s="1253">
        <f t="shared" ref="AZ70:AZ101" si="43">AH70/P70</f>
        <v>0.52830188679245282</v>
      </c>
      <c r="BA70" s="1253">
        <f t="shared" ref="BA70:BA101" si="44">AI70/Q70</f>
        <v>0.55151515151515151</v>
      </c>
      <c r="BB70" s="1506">
        <f t="shared" ref="BB70:BB101" si="45">AJ70/R70</f>
        <v>0.59893048128342241</v>
      </c>
      <c r="BC70" s="1508">
        <f>'Non-marital births'!L71</f>
        <v>0.53296703296703296</v>
      </c>
      <c r="BD70" s="1862">
        <v>0.53296703296703296</v>
      </c>
    </row>
    <row r="71" spans="1:56" s="142" customFormat="1" ht="15.75" customHeight="1" x14ac:dyDescent="0.2">
      <c r="A71" s="149" t="s">
        <v>170</v>
      </c>
      <c r="B71" s="189" t="s">
        <v>171</v>
      </c>
      <c r="C71" s="150" t="s">
        <v>267</v>
      </c>
      <c r="D71" s="1221">
        <v>307</v>
      </c>
      <c r="E71" s="1222">
        <v>339</v>
      </c>
      <c r="F71" s="1223">
        <v>324</v>
      </c>
      <c r="G71" s="1222">
        <v>302</v>
      </c>
      <c r="H71" s="1223">
        <v>324</v>
      </c>
      <c r="I71" s="1222">
        <v>301</v>
      </c>
      <c r="J71" s="1223">
        <v>355</v>
      </c>
      <c r="K71" s="1222">
        <v>381</v>
      </c>
      <c r="L71" s="1236">
        <v>374</v>
      </c>
      <c r="M71" s="1236">
        <v>410</v>
      </c>
      <c r="N71" s="1236">
        <v>419</v>
      </c>
      <c r="O71" s="1236">
        <v>351</v>
      </c>
      <c r="P71" s="1237">
        <v>390</v>
      </c>
      <c r="Q71" s="1237">
        <v>413</v>
      </c>
      <c r="R71" s="1510">
        <v>369</v>
      </c>
      <c r="S71" s="1511">
        <f>'Non-marital births'!D72</f>
        <v>403</v>
      </c>
      <c r="T71" s="1858">
        <v>403</v>
      </c>
      <c r="U71" s="1858"/>
      <c r="V71" s="1244">
        <v>105</v>
      </c>
      <c r="W71" s="1245">
        <v>107</v>
      </c>
      <c r="X71" s="1245">
        <v>122</v>
      </c>
      <c r="Y71" s="1245">
        <v>109</v>
      </c>
      <c r="Z71" s="1245">
        <v>115</v>
      </c>
      <c r="AA71" s="1245">
        <v>104</v>
      </c>
      <c r="AB71" s="1245">
        <v>117</v>
      </c>
      <c r="AC71" s="1245">
        <v>133</v>
      </c>
      <c r="AD71" s="1245">
        <v>120</v>
      </c>
      <c r="AE71" s="1245">
        <v>148</v>
      </c>
      <c r="AF71" s="1245">
        <v>161</v>
      </c>
      <c r="AG71" s="1245">
        <v>133</v>
      </c>
      <c r="AH71" s="1245">
        <v>144</v>
      </c>
      <c r="AI71" s="1245">
        <v>159</v>
      </c>
      <c r="AJ71" s="1513">
        <v>135</v>
      </c>
      <c r="AK71" s="1514">
        <f>'Non-marital births'!H72</f>
        <v>165</v>
      </c>
      <c r="AL71" s="1859">
        <v>165</v>
      </c>
      <c r="AM71" s="1859"/>
      <c r="AN71" s="1252">
        <f t="shared" si="31"/>
        <v>0.34201954397394135</v>
      </c>
      <c r="AO71" s="1253">
        <f t="shared" si="32"/>
        <v>0.31563421828908556</v>
      </c>
      <c r="AP71" s="1253">
        <f t="shared" si="33"/>
        <v>0.37654320987654322</v>
      </c>
      <c r="AQ71" s="1253">
        <f t="shared" si="34"/>
        <v>0.36092715231788081</v>
      </c>
      <c r="AR71" s="1253">
        <f t="shared" si="35"/>
        <v>0.35493827160493829</v>
      </c>
      <c r="AS71" s="1253">
        <f t="shared" si="36"/>
        <v>0.34551495016611294</v>
      </c>
      <c r="AT71" s="1253">
        <f t="shared" si="37"/>
        <v>0.3295774647887324</v>
      </c>
      <c r="AU71" s="1253">
        <f t="shared" si="38"/>
        <v>0.34908136482939633</v>
      </c>
      <c r="AV71" s="1253">
        <f t="shared" si="39"/>
        <v>0.32085561497326204</v>
      </c>
      <c r="AW71" s="1253">
        <f t="shared" si="40"/>
        <v>0.36097560975609755</v>
      </c>
      <c r="AX71" s="1253">
        <f t="shared" si="41"/>
        <v>0.38424821002386633</v>
      </c>
      <c r="AY71" s="1253">
        <f t="shared" si="42"/>
        <v>0.37891737891737892</v>
      </c>
      <c r="AZ71" s="1253">
        <f t="shared" si="43"/>
        <v>0.36923076923076925</v>
      </c>
      <c r="BA71" s="1253">
        <f t="shared" si="44"/>
        <v>0.38498789346246975</v>
      </c>
      <c r="BB71" s="1506">
        <f t="shared" si="45"/>
        <v>0.36585365853658536</v>
      </c>
      <c r="BC71" s="1508">
        <f>'Non-marital births'!L72</f>
        <v>0.40942928039702231</v>
      </c>
      <c r="BD71" s="1862">
        <v>0.40942928039702231</v>
      </c>
    </row>
    <row r="72" spans="1:56" s="142" customFormat="1" ht="15.75" customHeight="1" x14ac:dyDescent="0.2">
      <c r="A72" s="149" t="s">
        <v>172</v>
      </c>
      <c r="B72" s="189" t="s">
        <v>173</v>
      </c>
      <c r="C72" s="150" t="s">
        <v>267</v>
      </c>
      <c r="D72" s="1221">
        <v>245</v>
      </c>
      <c r="E72" s="1222">
        <v>256</v>
      </c>
      <c r="F72" s="1223">
        <v>266</v>
      </c>
      <c r="G72" s="1222">
        <v>274</v>
      </c>
      <c r="H72" s="1223">
        <v>284</v>
      </c>
      <c r="I72" s="1222">
        <v>278</v>
      </c>
      <c r="J72" s="1223">
        <v>276</v>
      </c>
      <c r="K72" s="1222">
        <v>252</v>
      </c>
      <c r="L72" s="1236">
        <v>278</v>
      </c>
      <c r="M72" s="1236">
        <v>225</v>
      </c>
      <c r="N72" s="1236">
        <v>264</v>
      </c>
      <c r="O72" s="1236">
        <v>243</v>
      </c>
      <c r="P72" s="1237">
        <v>233</v>
      </c>
      <c r="Q72" s="1237">
        <v>229</v>
      </c>
      <c r="R72" s="1510">
        <v>232</v>
      </c>
      <c r="S72" s="1511">
        <f>'Non-marital births'!D73</f>
        <v>229</v>
      </c>
      <c r="T72" s="1858">
        <v>229</v>
      </c>
      <c r="U72" s="1858"/>
      <c r="V72" s="1244">
        <v>95</v>
      </c>
      <c r="W72" s="1245">
        <v>90</v>
      </c>
      <c r="X72" s="1245">
        <v>94</v>
      </c>
      <c r="Y72" s="1245">
        <v>102</v>
      </c>
      <c r="Z72" s="1245">
        <v>101</v>
      </c>
      <c r="AA72" s="1245">
        <v>94</v>
      </c>
      <c r="AB72" s="1245">
        <v>107</v>
      </c>
      <c r="AC72" s="1245">
        <v>92</v>
      </c>
      <c r="AD72" s="1245">
        <v>115</v>
      </c>
      <c r="AE72" s="1245">
        <v>88</v>
      </c>
      <c r="AF72" s="1245">
        <v>122</v>
      </c>
      <c r="AG72" s="1245">
        <v>106</v>
      </c>
      <c r="AH72" s="1245">
        <v>95</v>
      </c>
      <c r="AI72" s="1245">
        <v>117</v>
      </c>
      <c r="AJ72" s="1513">
        <v>123</v>
      </c>
      <c r="AK72" s="1514">
        <f>'Non-marital births'!H73</f>
        <v>104</v>
      </c>
      <c r="AL72" s="1859">
        <v>104</v>
      </c>
      <c r="AM72" s="1859"/>
      <c r="AN72" s="1252">
        <f t="shared" si="31"/>
        <v>0.38775510204081631</v>
      </c>
      <c r="AO72" s="1253">
        <f t="shared" si="32"/>
        <v>0.3515625</v>
      </c>
      <c r="AP72" s="1253">
        <f t="shared" si="33"/>
        <v>0.35338345864661652</v>
      </c>
      <c r="AQ72" s="1253">
        <f t="shared" si="34"/>
        <v>0.37226277372262773</v>
      </c>
      <c r="AR72" s="1253">
        <f t="shared" si="35"/>
        <v>0.35563380281690143</v>
      </c>
      <c r="AS72" s="1253">
        <f t="shared" si="36"/>
        <v>0.33812949640287771</v>
      </c>
      <c r="AT72" s="1253">
        <f t="shared" si="37"/>
        <v>0.38768115942028986</v>
      </c>
      <c r="AU72" s="1253">
        <f t="shared" si="38"/>
        <v>0.36507936507936506</v>
      </c>
      <c r="AV72" s="1253">
        <f t="shared" si="39"/>
        <v>0.41366906474820142</v>
      </c>
      <c r="AW72" s="1253">
        <f t="shared" si="40"/>
        <v>0.39111111111111113</v>
      </c>
      <c r="AX72" s="1253">
        <f t="shared" si="41"/>
        <v>0.4621212121212121</v>
      </c>
      <c r="AY72" s="1253">
        <f t="shared" si="42"/>
        <v>0.43621399176954734</v>
      </c>
      <c r="AZ72" s="1253">
        <f t="shared" si="43"/>
        <v>0.40772532188841204</v>
      </c>
      <c r="BA72" s="1253">
        <f t="shared" si="44"/>
        <v>0.51091703056768556</v>
      </c>
      <c r="BB72" s="1506">
        <f t="shared" si="45"/>
        <v>0.53017241379310343</v>
      </c>
      <c r="BC72" s="1508">
        <f>'Non-marital births'!L73</f>
        <v>0.45414847161572053</v>
      </c>
      <c r="BD72" s="1862">
        <v>0.45414847161572053</v>
      </c>
    </row>
    <row r="73" spans="1:56" s="142" customFormat="1" ht="15.75" customHeight="1" x14ac:dyDescent="0.2">
      <c r="A73" s="149" t="s">
        <v>174</v>
      </c>
      <c r="B73" s="189" t="s">
        <v>175</v>
      </c>
      <c r="C73" s="150" t="s">
        <v>268</v>
      </c>
      <c r="D73" s="1221">
        <v>192</v>
      </c>
      <c r="E73" s="1222">
        <v>183</v>
      </c>
      <c r="F73" s="1223">
        <v>171</v>
      </c>
      <c r="G73" s="1222">
        <v>160</v>
      </c>
      <c r="H73" s="1223">
        <v>169</v>
      </c>
      <c r="I73" s="1222">
        <v>170</v>
      </c>
      <c r="J73" s="1223">
        <v>184</v>
      </c>
      <c r="K73" s="1222">
        <v>189</v>
      </c>
      <c r="L73" s="1236">
        <v>174</v>
      </c>
      <c r="M73" s="1236">
        <v>154</v>
      </c>
      <c r="N73" s="1236">
        <v>173</v>
      </c>
      <c r="O73" s="1236">
        <v>143</v>
      </c>
      <c r="P73" s="1237">
        <v>173</v>
      </c>
      <c r="Q73" s="1237">
        <v>143</v>
      </c>
      <c r="R73" s="1510">
        <v>156</v>
      </c>
      <c r="S73" s="1511">
        <f>'Non-marital births'!D74</f>
        <v>119</v>
      </c>
      <c r="T73" s="1858">
        <v>119</v>
      </c>
      <c r="U73" s="1858"/>
      <c r="V73" s="1244">
        <v>55</v>
      </c>
      <c r="W73" s="1245">
        <v>38</v>
      </c>
      <c r="X73" s="1245">
        <v>29</v>
      </c>
      <c r="Y73" s="1245">
        <v>48</v>
      </c>
      <c r="Z73" s="1245">
        <v>48</v>
      </c>
      <c r="AA73" s="1245">
        <v>44</v>
      </c>
      <c r="AB73" s="1245">
        <v>46</v>
      </c>
      <c r="AC73" s="1245">
        <v>57</v>
      </c>
      <c r="AD73" s="1245">
        <v>50</v>
      </c>
      <c r="AE73" s="1245">
        <v>39</v>
      </c>
      <c r="AF73" s="1245">
        <v>48</v>
      </c>
      <c r="AG73" s="1245">
        <v>54</v>
      </c>
      <c r="AH73" s="1245">
        <v>57</v>
      </c>
      <c r="AI73" s="1245">
        <v>54</v>
      </c>
      <c r="AJ73" s="1513">
        <v>58</v>
      </c>
      <c r="AK73" s="1514">
        <f>'Non-marital births'!H74</f>
        <v>44</v>
      </c>
      <c r="AL73" s="1859">
        <v>44</v>
      </c>
      <c r="AM73" s="1859"/>
      <c r="AN73" s="1252">
        <f t="shared" si="31"/>
        <v>0.28645833333333331</v>
      </c>
      <c r="AO73" s="1253">
        <f t="shared" si="32"/>
        <v>0.20765027322404372</v>
      </c>
      <c r="AP73" s="1253">
        <f t="shared" si="33"/>
        <v>0.16959064327485379</v>
      </c>
      <c r="AQ73" s="1253">
        <f t="shared" si="34"/>
        <v>0.3</v>
      </c>
      <c r="AR73" s="1253">
        <f t="shared" si="35"/>
        <v>0.28402366863905326</v>
      </c>
      <c r="AS73" s="1253">
        <f t="shared" si="36"/>
        <v>0.25882352941176473</v>
      </c>
      <c r="AT73" s="1253">
        <f t="shared" si="37"/>
        <v>0.25</v>
      </c>
      <c r="AU73" s="1253">
        <f t="shared" si="38"/>
        <v>0.30158730158730157</v>
      </c>
      <c r="AV73" s="1253">
        <f t="shared" si="39"/>
        <v>0.28735632183908044</v>
      </c>
      <c r="AW73" s="1253">
        <f t="shared" si="40"/>
        <v>0.25324675324675322</v>
      </c>
      <c r="AX73" s="1253">
        <f t="shared" si="41"/>
        <v>0.2774566473988439</v>
      </c>
      <c r="AY73" s="1253">
        <f t="shared" si="42"/>
        <v>0.3776223776223776</v>
      </c>
      <c r="AZ73" s="1253">
        <f t="shared" si="43"/>
        <v>0.32947976878612717</v>
      </c>
      <c r="BA73" s="1253">
        <f t="shared" si="44"/>
        <v>0.3776223776223776</v>
      </c>
      <c r="BB73" s="1506">
        <f t="shared" si="45"/>
        <v>0.37179487179487181</v>
      </c>
      <c r="BC73" s="1508">
        <f>'Non-marital births'!L74</f>
        <v>0.36974789915966388</v>
      </c>
      <c r="BD73" s="1862">
        <v>0.36974789915966388</v>
      </c>
    </row>
    <row r="74" spans="1:56" s="142" customFormat="1" ht="15.75" customHeight="1" x14ac:dyDescent="0.2">
      <c r="A74" s="149" t="s">
        <v>178</v>
      </c>
      <c r="B74" s="189" t="s">
        <v>179</v>
      </c>
      <c r="C74" s="150" t="s">
        <v>265</v>
      </c>
      <c r="D74" s="1221">
        <v>671</v>
      </c>
      <c r="E74" s="1222">
        <v>753</v>
      </c>
      <c r="F74" s="1223">
        <v>749</v>
      </c>
      <c r="G74" s="1222">
        <v>699</v>
      </c>
      <c r="H74" s="1223">
        <v>658</v>
      </c>
      <c r="I74" s="1222">
        <v>674</v>
      </c>
      <c r="J74" s="1223">
        <v>652</v>
      </c>
      <c r="K74" s="1222">
        <v>665</v>
      </c>
      <c r="L74" s="1236">
        <v>644</v>
      </c>
      <c r="M74" s="1236">
        <v>638</v>
      </c>
      <c r="N74" s="1236">
        <v>622</v>
      </c>
      <c r="O74" s="1236">
        <v>574</v>
      </c>
      <c r="P74" s="1237">
        <v>508</v>
      </c>
      <c r="Q74" s="1237">
        <v>450</v>
      </c>
      <c r="R74" s="1510">
        <v>540</v>
      </c>
      <c r="S74" s="1511">
        <f>'Non-marital births'!D75</f>
        <v>446</v>
      </c>
      <c r="T74" s="1858">
        <v>446</v>
      </c>
      <c r="U74" s="1858"/>
      <c r="V74" s="1244">
        <v>204</v>
      </c>
      <c r="W74" s="1245">
        <v>252</v>
      </c>
      <c r="X74" s="1245">
        <v>249</v>
      </c>
      <c r="Y74" s="1245">
        <v>223</v>
      </c>
      <c r="Z74" s="1245">
        <v>216</v>
      </c>
      <c r="AA74" s="1245">
        <v>233</v>
      </c>
      <c r="AB74" s="1245">
        <v>234</v>
      </c>
      <c r="AC74" s="1245">
        <v>271</v>
      </c>
      <c r="AD74" s="1245">
        <v>261</v>
      </c>
      <c r="AE74" s="1245">
        <v>285</v>
      </c>
      <c r="AF74" s="1245">
        <v>248</v>
      </c>
      <c r="AG74" s="1245">
        <v>241</v>
      </c>
      <c r="AH74" s="1245">
        <v>216</v>
      </c>
      <c r="AI74" s="1245">
        <v>196</v>
      </c>
      <c r="AJ74" s="1513">
        <v>244</v>
      </c>
      <c r="AK74" s="1514">
        <f>'Non-marital births'!H75</f>
        <v>188</v>
      </c>
      <c r="AL74" s="1859">
        <v>188</v>
      </c>
      <c r="AM74" s="1859"/>
      <c r="AN74" s="1252">
        <f t="shared" si="31"/>
        <v>0.30402384500745155</v>
      </c>
      <c r="AO74" s="1253">
        <f t="shared" si="32"/>
        <v>0.33466135458167329</v>
      </c>
      <c r="AP74" s="1253">
        <f t="shared" si="33"/>
        <v>0.33244325767690253</v>
      </c>
      <c r="AQ74" s="1253">
        <f t="shared" si="34"/>
        <v>0.31902718168812588</v>
      </c>
      <c r="AR74" s="1253">
        <f t="shared" si="35"/>
        <v>0.32826747720364741</v>
      </c>
      <c r="AS74" s="1253">
        <f t="shared" si="36"/>
        <v>0.3456973293768546</v>
      </c>
      <c r="AT74" s="1253">
        <f t="shared" si="37"/>
        <v>0.35889570552147237</v>
      </c>
      <c r="AU74" s="1253">
        <f t="shared" si="38"/>
        <v>0.40751879699248122</v>
      </c>
      <c r="AV74" s="1253">
        <f t="shared" si="39"/>
        <v>0.40527950310559008</v>
      </c>
      <c r="AW74" s="1253">
        <f t="shared" si="40"/>
        <v>0.44670846394984326</v>
      </c>
      <c r="AX74" s="1253">
        <f t="shared" si="41"/>
        <v>0.3987138263665595</v>
      </c>
      <c r="AY74" s="1253">
        <f t="shared" si="42"/>
        <v>0.41986062717770034</v>
      </c>
      <c r="AZ74" s="1253">
        <f t="shared" si="43"/>
        <v>0.42519685039370081</v>
      </c>
      <c r="BA74" s="1253">
        <f t="shared" si="44"/>
        <v>0.43555555555555553</v>
      </c>
      <c r="BB74" s="1506">
        <f t="shared" si="45"/>
        <v>0.45185185185185184</v>
      </c>
      <c r="BC74" s="1508">
        <f>'Non-marital births'!L75</f>
        <v>0.42152466367713004</v>
      </c>
      <c r="BD74" s="1862">
        <v>0.42152466367713004</v>
      </c>
    </row>
    <row r="75" spans="1:56" s="142" customFormat="1" ht="15.75" customHeight="1" x14ac:dyDescent="0.2">
      <c r="A75" s="149" t="s">
        <v>182</v>
      </c>
      <c r="B75" s="189" t="s">
        <v>183</v>
      </c>
      <c r="C75" s="150" t="s">
        <v>266</v>
      </c>
      <c r="D75" s="1221">
        <v>246</v>
      </c>
      <c r="E75" s="1222">
        <v>263</v>
      </c>
      <c r="F75" s="1223">
        <v>259</v>
      </c>
      <c r="G75" s="1222">
        <v>270</v>
      </c>
      <c r="H75" s="1223">
        <v>279</v>
      </c>
      <c r="I75" s="1222">
        <v>264</v>
      </c>
      <c r="J75" s="1223">
        <v>259</v>
      </c>
      <c r="K75" s="1222">
        <v>282</v>
      </c>
      <c r="L75" s="1236">
        <v>247</v>
      </c>
      <c r="M75" s="1236">
        <v>254</v>
      </c>
      <c r="N75" s="1236">
        <v>265</v>
      </c>
      <c r="O75" s="1236">
        <v>243</v>
      </c>
      <c r="P75" s="1237">
        <v>223</v>
      </c>
      <c r="Q75" s="1237">
        <v>233</v>
      </c>
      <c r="R75" s="1510">
        <v>245</v>
      </c>
      <c r="S75" s="1511">
        <f>'Non-marital births'!D76</f>
        <v>236</v>
      </c>
      <c r="T75" s="1858">
        <v>236</v>
      </c>
      <c r="U75" s="1858"/>
      <c r="V75" s="1244">
        <v>44</v>
      </c>
      <c r="W75" s="1245">
        <v>50</v>
      </c>
      <c r="X75" s="1245">
        <v>46</v>
      </c>
      <c r="Y75" s="1245">
        <v>40</v>
      </c>
      <c r="Z75" s="1245">
        <v>44</v>
      </c>
      <c r="AA75" s="1245">
        <v>46</v>
      </c>
      <c r="AB75" s="1245">
        <v>45</v>
      </c>
      <c r="AC75" s="1245">
        <v>45</v>
      </c>
      <c r="AD75" s="1245">
        <v>44</v>
      </c>
      <c r="AE75" s="1245">
        <v>58</v>
      </c>
      <c r="AF75" s="1245">
        <v>63</v>
      </c>
      <c r="AG75" s="1245">
        <v>54</v>
      </c>
      <c r="AH75" s="1245">
        <v>59</v>
      </c>
      <c r="AI75" s="1245">
        <v>63</v>
      </c>
      <c r="AJ75" s="1513">
        <v>67</v>
      </c>
      <c r="AK75" s="1514">
        <f>'Non-marital births'!H76</f>
        <v>61</v>
      </c>
      <c r="AL75" s="1859">
        <v>61</v>
      </c>
      <c r="AM75" s="1859"/>
      <c r="AN75" s="1252">
        <f t="shared" si="31"/>
        <v>0.17886178861788618</v>
      </c>
      <c r="AO75" s="1253">
        <f t="shared" si="32"/>
        <v>0.19011406844106463</v>
      </c>
      <c r="AP75" s="1253">
        <f t="shared" si="33"/>
        <v>0.17760617760617761</v>
      </c>
      <c r="AQ75" s="1253">
        <f t="shared" si="34"/>
        <v>0.14814814814814814</v>
      </c>
      <c r="AR75" s="1253">
        <f t="shared" si="35"/>
        <v>0.15770609318996415</v>
      </c>
      <c r="AS75" s="1253">
        <f t="shared" si="36"/>
        <v>0.17424242424242425</v>
      </c>
      <c r="AT75" s="1253">
        <f t="shared" si="37"/>
        <v>0.17374517374517376</v>
      </c>
      <c r="AU75" s="1253">
        <f t="shared" si="38"/>
        <v>0.15957446808510639</v>
      </c>
      <c r="AV75" s="1253">
        <f t="shared" si="39"/>
        <v>0.17813765182186234</v>
      </c>
      <c r="AW75" s="1253">
        <f t="shared" si="40"/>
        <v>0.2283464566929134</v>
      </c>
      <c r="AX75" s="1253">
        <f t="shared" si="41"/>
        <v>0.23773584905660378</v>
      </c>
      <c r="AY75" s="1253">
        <f t="shared" si="42"/>
        <v>0.22222222222222221</v>
      </c>
      <c r="AZ75" s="1253">
        <f t="shared" si="43"/>
        <v>0.26457399103139012</v>
      </c>
      <c r="BA75" s="1253">
        <f t="shared" si="44"/>
        <v>0.27038626609442062</v>
      </c>
      <c r="BB75" s="1506">
        <f t="shared" si="45"/>
        <v>0.27346938775510204</v>
      </c>
      <c r="BC75" s="1508">
        <f>'Non-marital births'!L76</f>
        <v>0.25847457627118642</v>
      </c>
      <c r="BD75" s="1862">
        <v>0.25847457627118642</v>
      </c>
    </row>
    <row r="76" spans="1:56" s="142" customFormat="1" ht="15.75" customHeight="1" x14ac:dyDescent="0.2">
      <c r="A76" s="149" t="s">
        <v>184</v>
      </c>
      <c r="B76" s="189" t="s">
        <v>185</v>
      </c>
      <c r="C76" s="150" t="s">
        <v>266</v>
      </c>
      <c r="D76" s="1221">
        <v>206</v>
      </c>
      <c r="E76" s="1222">
        <v>211</v>
      </c>
      <c r="F76" s="1223">
        <v>216</v>
      </c>
      <c r="G76" s="1222">
        <v>232</v>
      </c>
      <c r="H76" s="1223">
        <v>195</v>
      </c>
      <c r="I76" s="1222">
        <v>186</v>
      </c>
      <c r="J76" s="1223">
        <v>203</v>
      </c>
      <c r="K76" s="1222">
        <v>195</v>
      </c>
      <c r="L76" s="1236">
        <v>185</v>
      </c>
      <c r="M76" s="1236">
        <v>215</v>
      </c>
      <c r="N76" s="1236">
        <v>215</v>
      </c>
      <c r="O76" s="1236">
        <v>208</v>
      </c>
      <c r="P76" s="1237">
        <v>221</v>
      </c>
      <c r="Q76" s="1237">
        <v>203</v>
      </c>
      <c r="R76" s="1510">
        <v>204</v>
      </c>
      <c r="S76" s="1511">
        <f>'Non-marital births'!D77</f>
        <v>230</v>
      </c>
      <c r="T76" s="1858">
        <v>230</v>
      </c>
      <c r="U76" s="1858"/>
      <c r="V76" s="1244">
        <v>92</v>
      </c>
      <c r="W76" s="1245">
        <v>93</v>
      </c>
      <c r="X76" s="1245">
        <v>84</v>
      </c>
      <c r="Y76" s="1245">
        <v>94</v>
      </c>
      <c r="Z76" s="1245">
        <v>92</v>
      </c>
      <c r="AA76" s="1245">
        <v>84</v>
      </c>
      <c r="AB76" s="1245">
        <v>99</v>
      </c>
      <c r="AC76" s="1245">
        <v>101</v>
      </c>
      <c r="AD76" s="1245">
        <v>98</v>
      </c>
      <c r="AE76" s="1245">
        <v>109</v>
      </c>
      <c r="AF76" s="1245">
        <v>127</v>
      </c>
      <c r="AG76" s="1245">
        <v>104</v>
      </c>
      <c r="AH76" s="1245">
        <v>123</v>
      </c>
      <c r="AI76" s="1245">
        <v>104</v>
      </c>
      <c r="AJ76" s="1513">
        <v>118</v>
      </c>
      <c r="AK76" s="1514">
        <f>'Non-marital births'!H77</f>
        <v>119</v>
      </c>
      <c r="AL76" s="1859">
        <v>119</v>
      </c>
      <c r="AM76" s="1859"/>
      <c r="AN76" s="1252">
        <f t="shared" si="31"/>
        <v>0.44660194174757284</v>
      </c>
      <c r="AO76" s="1253">
        <f t="shared" si="32"/>
        <v>0.44075829383886256</v>
      </c>
      <c r="AP76" s="1253">
        <f t="shared" si="33"/>
        <v>0.3888888888888889</v>
      </c>
      <c r="AQ76" s="1253">
        <f t="shared" si="34"/>
        <v>0.40517241379310343</v>
      </c>
      <c r="AR76" s="1253">
        <f t="shared" si="35"/>
        <v>0.47179487179487178</v>
      </c>
      <c r="AS76" s="1253">
        <f t="shared" si="36"/>
        <v>0.45161290322580644</v>
      </c>
      <c r="AT76" s="1253">
        <f t="shared" si="37"/>
        <v>0.48768472906403942</v>
      </c>
      <c r="AU76" s="1253">
        <f t="shared" si="38"/>
        <v>0.517948717948718</v>
      </c>
      <c r="AV76" s="1253">
        <f t="shared" si="39"/>
        <v>0.52972972972972976</v>
      </c>
      <c r="AW76" s="1253">
        <f t="shared" si="40"/>
        <v>0.50697674418604655</v>
      </c>
      <c r="AX76" s="1253">
        <f t="shared" si="41"/>
        <v>0.59069767441860466</v>
      </c>
      <c r="AY76" s="1253">
        <f t="shared" si="42"/>
        <v>0.5</v>
      </c>
      <c r="AZ76" s="1253">
        <f t="shared" si="43"/>
        <v>0.5565610859728507</v>
      </c>
      <c r="BA76" s="1253">
        <f t="shared" si="44"/>
        <v>0.51231527093596063</v>
      </c>
      <c r="BB76" s="1506">
        <f t="shared" si="45"/>
        <v>0.57843137254901966</v>
      </c>
      <c r="BC76" s="1508">
        <f>'Non-marital births'!L77</f>
        <v>0.5173913043478261</v>
      </c>
      <c r="BD76" s="1862">
        <v>0.5173913043478261</v>
      </c>
    </row>
    <row r="77" spans="1:56" s="142" customFormat="1" ht="15.75" customHeight="1" x14ac:dyDescent="0.2">
      <c r="A77" s="149" t="s">
        <v>186</v>
      </c>
      <c r="B77" s="189" t="s">
        <v>187</v>
      </c>
      <c r="C77" s="150" t="s">
        <v>264</v>
      </c>
      <c r="D77" s="1221">
        <v>345</v>
      </c>
      <c r="E77" s="1222">
        <v>378</v>
      </c>
      <c r="F77" s="1223">
        <v>406</v>
      </c>
      <c r="G77" s="1222">
        <v>379</v>
      </c>
      <c r="H77" s="1223">
        <v>348</v>
      </c>
      <c r="I77" s="1222">
        <v>388</v>
      </c>
      <c r="J77" s="1223">
        <v>368</v>
      </c>
      <c r="K77" s="1222">
        <v>326</v>
      </c>
      <c r="L77" s="1236">
        <v>356</v>
      </c>
      <c r="M77" s="1236">
        <v>375</v>
      </c>
      <c r="N77" s="1236">
        <v>369</v>
      </c>
      <c r="O77" s="1236">
        <v>403</v>
      </c>
      <c r="P77" s="1237">
        <v>344</v>
      </c>
      <c r="Q77" s="1237">
        <v>327</v>
      </c>
      <c r="R77" s="1510">
        <v>344</v>
      </c>
      <c r="S77" s="1511">
        <f>'Non-marital births'!D78</f>
        <v>359</v>
      </c>
      <c r="T77" s="1858">
        <v>359</v>
      </c>
      <c r="U77" s="1858"/>
      <c r="V77" s="1244">
        <v>80</v>
      </c>
      <c r="W77" s="1245">
        <v>92</v>
      </c>
      <c r="X77" s="1245">
        <v>88</v>
      </c>
      <c r="Y77" s="1245">
        <v>83</v>
      </c>
      <c r="Z77" s="1245">
        <v>94</v>
      </c>
      <c r="AA77" s="1245">
        <v>98</v>
      </c>
      <c r="AB77" s="1245">
        <v>98</v>
      </c>
      <c r="AC77" s="1245">
        <v>79</v>
      </c>
      <c r="AD77" s="1245">
        <v>91</v>
      </c>
      <c r="AE77" s="1245">
        <v>129</v>
      </c>
      <c r="AF77" s="1245">
        <v>116</v>
      </c>
      <c r="AG77" s="1245">
        <v>120</v>
      </c>
      <c r="AH77" s="1245">
        <v>92</v>
      </c>
      <c r="AI77" s="1245">
        <v>90</v>
      </c>
      <c r="AJ77" s="1513">
        <v>115</v>
      </c>
      <c r="AK77" s="1514">
        <f>'Non-marital births'!H78</f>
        <v>110</v>
      </c>
      <c r="AL77" s="1859">
        <v>110</v>
      </c>
      <c r="AM77" s="1859"/>
      <c r="AN77" s="1252">
        <f t="shared" si="31"/>
        <v>0.2318840579710145</v>
      </c>
      <c r="AO77" s="1253">
        <f t="shared" si="32"/>
        <v>0.24338624338624337</v>
      </c>
      <c r="AP77" s="1253">
        <f t="shared" si="33"/>
        <v>0.21674876847290642</v>
      </c>
      <c r="AQ77" s="1253">
        <f t="shared" si="34"/>
        <v>0.21899736147757257</v>
      </c>
      <c r="AR77" s="1253">
        <f t="shared" si="35"/>
        <v>0.27011494252873564</v>
      </c>
      <c r="AS77" s="1253">
        <f t="shared" si="36"/>
        <v>0.25257731958762886</v>
      </c>
      <c r="AT77" s="1253">
        <f t="shared" si="37"/>
        <v>0.26630434782608697</v>
      </c>
      <c r="AU77" s="1253">
        <f t="shared" si="38"/>
        <v>0.24233128834355827</v>
      </c>
      <c r="AV77" s="1253">
        <f t="shared" si="39"/>
        <v>0.2556179775280899</v>
      </c>
      <c r="AW77" s="1253">
        <f t="shared" si="40"/>
        <v>0.34399999999999997</v>
      </c>
      <c r="AX77" s="1253">
        <f t="shared" si="41"/>
        <v>0.3143631436314363</v>
      </c>
      <c r="AY77" s="1253">
        <f t="shared" si="42"/>
        <v>0.29776674937965258</v>
      </c>
      <c r="AZ77" s="1253">
        <f t="shared" si="43"/>
        <v>0.26744186046511625</v>
      </c>
      <c r="BA77" s="1253">
        <f t="shared" si="44"/>
        <v>0.27522935779816515</v>
      </c>
      <c r="BB77" s="1506">
        <f t="shared" si="45"/>
        <v>0.33430232558139533</v>
      </c>
      <c r="BC77" s="1508">
        <f>'Non-marital births'!L78</f>
        <v>0.30640668523676878</v>
      </c>
      <c r="BD77" s="1862">
        <v>0.30640668523676878</v>
      </c>
    </row>
    <row r="78" spans="1:56" s="142" customFormat="1" ht="15.75" customHeight="1" x14ac:dyDescent="0.2">
      <c r="A78" s="149" t="s">
        <v>188</v>
      </c>
      <c r="B78" s="189" t="s">
        <v>189</v>
      </c>
      <c r="C78" s="150" t="s">
        <v>267</v>
      </c>
      <c r="D78" s="1221">
        <v>4640</v>
      </c>
      <c r="E78" s="1222">
        <v>4716</v>
      </c>
      <c r="F78" s="1223">
        <v>5046</v>
      </c>
      <c r="G78" s="1222">
        <v>5466</v>
      </c>
      <c r="H78" s="1223">
        <v>5655</v>
      </c>
      <c r="I78" s="1222">
        <v>5958</v>
      </c>
      <c r="J78" s="1223">
        <v>6445</v>
      </c>
      <c r="K78" s="1222">
        <v>6626</v>
      </c>
      <c r="L78" s="1236">
        <v>7042</v>
      </c>
      <c r="M78" s="1236">
        <v>6797</v>
      </c>
      <c r="N78" s="1236">
        <v>6397</v>
      </c>
      <c r="O78" s="1236">
        <v>6622</v>
      </c>
      <c r="P78" s="1237">
        <v>6647</v>
      </c>
      <c r="Q78" s="1237">
        <v>6691</v>
      </c>
      <c r="R78" s="1510">
        <v>6873</v>
      </c>
      <c r="S78" s="1511">
        <f>'Non-marital births'!D79</f>
        <v>6900</v>
      </c>
      <c r="T78" s="1858">
        <v>6900</v>
      </c>
      <c r="U78" s="1858"/>
      <c r="V78" s="1244">
        <v>1099</v>
      </c>
      <c r="W78" s="1245">
        <v>1172</v>
      </c>
      <c r="X78" s="1245">
        <v>1249</v>
      </c>
      <c r="Y78" s="1245">
        <v>1336</v>
      </c>
      <c r="Z78" s="1245">
        <v>1322</v>
      </c>
      <c r="AA78" s="1245">
        <v>1525</v>
      </c>
      <c r="AB78" s="1245">
        <v>1656</v>
      </c>
      <c r="AC78" s="1245">
        <v>1824</v>
      </c>
      <c r="AD78" s="1245">
        <v>2185</v>
      </c>
      <c r="AE78" s="1245">
        <v>2087</v>
      </c>
      <c r="AF78" s="1245">
        <v>1809</v>
      </c>
      <c r="AG78" s="1245">
        <v>1932</v>
      </c>
      <c r="AH78" s="1245">
        <v>1985</v>
      </c>
      <c r="AI78" s="1245">
        <v>1985</v>
      </c>
      <c r="AJ78" s="1513">
        <v>2043</v>
      </c>
      <c r="AK78" s="1514">
        <f>'Non-marital births'!H79</f>
        <v>2018</v>
      </c>
      <c r="AL78" s="1859">
        <v>2018</v>
      </c>
      <c r="AM78" s="1859"/>
      <c r="AN78" s="1252">
        <f t="shared" si="31"/>
        <v>0.23685344827586208</v>
      </c>
      <c r="AO78" s="1253">
        <f t="shared" si="32"/>
        <v>0.24851569126378287</v>
      </c>
      <c r="AP78" s="1253">
        <f t="shared" si="33"/>
        <v>0.24752279032897345</v>
      </c>
      <c r="AQ78" s="1253">
        <f t="shared" si="34"/>
        <v>0.24442005122575924</v>
      </c>
      <c r="AR78" s="1253">
        <f t="shared" si="35"/>
        <v>0.23377541998231655</v>
      </c>
      <c r="AS78" s="1253">
        <f t="shared" si="36"/>
        <v>0.25595837529372273</v>
      </c>
      <c r="AT78" s="1253">
        <f t="shared" si="37"/>
        <v>0.25694336695112491</v>
      </c>
      <c r="AU78" s="1253">
        <f t="shared" si="38"/>
        <v>0.27527920313914883</v>
      </c>
      <c r="AV78" s="1253">
        <f t="shared" si="39"/>
        <v>0.31028117012212442</v>
      </c>
      <c r="AW78" s="1253">
        <f t="shared" si="40"/>
        <v>0.30704722671766954</v>
      </c>
      <c r="AX78" s="1253">
        <f t="shared" si="41"/>
        <v>0.28278880725340005</v>
      </c>
      <c r="AY78" s="1253">
        <f t="shared" si="42"/>
        <v>0.29175475687103591</v>
      </c>
      <c r="AZ78" s="1253">
        <f t="shared" si="43"/>
        <v>0.29863096133594103</v>
      </c>
      <c r="BA78" s="1253">
        <f t="shared" si="44"/>
        <v>0.29666716484830369</v>
      </c>
      <c r="BB78" s="1506">
        <f t="shared" si="45"/>
        <v>0.29725010912265387</v>
      </c>
      <c r="BC78" s="1508">
        <f>'Non-marital births'!L79</f>
        <v>0.29246376811594205</v>
      </c>
      <c r="BD78" s="1862">
        <v>0.29246376811594205</v>
      </c>
    </row>
    <row r="79" spans="1:56" s="142" customFormat="1" ht="15.75" customHeight="1" x14ac:dyDescent="0.2">
      <c r="A79" s="149" t="s">
        <v>190</v>
      </c>
      <c r="B79" s="189" t="s">
        <v>191</v>
      </c>
      <c r="C79" s="150" t="s">
        <v>268</v>
      </c>
      <c r="D79" s="1221">
        <v>419</v>
      </c>
      <c r="E79" s="1222">
        <v>383</v>
      </c>
      <c r="F79" s="1223">
        <v>411</v>
      </c>
      <c r="G79" s="1222">
        <v>369</v>
      </c>
      <c r="H79" s="1223">
        <v>324</v>
      </c>
      <c r="I79" s="1222">
        <v>338</v>
      </c>
      <c r="J79" s="1223">
        <v>345</v>
      </c>
      <c r="K79" s="1222">
        <v>344</v>
      </c>
      <c r="L79" s="1236">
        <v>336</v>
      </c>
      <c r="M79" s="1236">
        <v>358</v>
      </c>
      <c r="N79" s="1236">
        <v>362</v>
      </c>
      <c r="O79" s="1236">
        <v>321</v>
      </c>
      <c r="P79" s="1237">
        <v>281</v>
      </c>
      <c r="Q79" s="1237">
        <v>288</v>
      </c>
      <c r="R79" s="1510">
        <v>348</v>
      </c>
      <c r="S79" s="1511">
        <f>'Non-marital births'!D80</f>
        <v>323</v>
      </c>
      <c r="T79" s="1858">
        <v>323</v>
      </c>
      <c r="U79" s="1858"/>
      <c r="V79" s="1244">
        <v>120</v>
      </c>
      <c r="W79" s="1245">
        <v>111</v>
      </c>
      <c r="X79" s="1245">
        <v>125</v>
      </c>
      <c r="Y79" s="1245">
        <v>115</v>
      </c>
      <c r="Z79" s="1245">
        <v>112</v>
      </c>
      <c r="AA79" s="1245">
        <v>115</v>
      </c>
      <c r="AB79" s="1245">
        <v>106</v>
      </c>
      <c r="AC79" s="1245">
        <v>129</v>
      </c>
      <c r="AD79" s="1245">
        <v>124</v>
      </c>
      <c r="AE79" s="1245">
        <v>155</v>
      </c>
      <c r="AF79" s="1245">
        <v>149</v>
      </c>
      <c r="AG79" s="1245">
        <v>144</v>
      </c>
      <c r="AH79" s="1245">
        <v>116</v>
      </c>
      <c r="AI79" s="1245">
        <v>120</v>
      </c>
      <c r="AJ79" s="1513">
        <v>147</v>
      </c>
      <c r="AK79" s="1514">
        <f>'Non-marital births'!H80</f>
        <v>141</v>
      </c>
      <c r="AL79" s="1859">
        <v>141</v>
      </c>
      <c r="AM79" s="1859"/>
      <c r="AN79" s="1252">
        <f t="shared" si="31"/>
        <v>0.28639618138424822</v>
      </c>
      <c r="AO79" s="1253">
        <f t="shared" si="32"/>
        <v>0.28981723237597912</v>
      </c>
      <c r="AP79" s="1253">
        <f t="shared" si="33"/>
        <v>0.30413625304136255</v>
      </c>
      <c r="AQ79" s="1253">
        <f t="shared" si="34"/>
        <v>0.31165311653116529</v>
      </c>
      <c r="AR79" s="1253">
        <f t="shared" si="35"/>
        <v>0.34567901234567899</v>
      </c>
      <c r="AS79" s="1253">
        <f t="shared" si="36"/>
        <v>0.34023668639053256</v>
      </c>
      <c r="AT79" s="1253">
        <f t="shared" si="37"/>
        <v>0.30724637681159422</v>
      </c>
      <c r="AU79" s="1253">
        <f t="shared" si="38"/>
        <v>0.375</v>
      </c>
      <c r="AV79" s="1253">
        <f t="shared" si="39"/>
        <v>0.36904761904761907</v>
      </c>
      <c r="AW79" s="1253">
        <f t="shared" si="40"/>
        <v>0.43296089385474862</v>
      </c>
      <c r="AX79" s="1253">
        <f t="shared" si="41"/>
        <v>0.41160220994475138</v>
      </c>
      <c r="AY79" s="1253">
        <f t="shared" si="42"/>
        <v>0.44859813084112149</v>
      </c>
      <c r="AZ79" s="1253">
        <f t="shared" si="43"/>
        <v>0.41281138790035588</v>
      </c>
      <c r="BA79" s="1253">
        <f t="shared" si="44"/>
        <v>0.41666666666666669</v>
      </c>
      <c r="BB79" s="1506">
        <f t="shared" si="45"/>
        <v>0.42241379310344829</v>
      </c>
      <c r="BC79" s="1508">
        <f>'Non-marital births'!L80</f>
        <v>0.43653250773993807</v>
      </c>
      <c r="BD79" s="1862">
        <v>0.43653250773993807</v>
      </c>
    </row>
    <row r="80" spans="1:56" s="142" customFormat="1" ht="15.75" customHeight="1" x14ac:dyDescent="0.2">
      <c r="A80" s="149" t="s">
        <v>194</v>
      </c>
      <c r="B80" s="189" t="s">
        <v>195</v>
      </c>
      <c r="C80" s="150" t="s">
        <v>267</v>
      </c>
      <c r="D80" s="1221">
        <v>89</v>
      </c>
      <c r="E80" s="1222">
        <v>105</v>
      </c>
      <c r="F80" s="1223">
        <v>98</v>
      </c>
      <c r="G80" s="1222">
        <v>79</v>
      </c>
      <c r="H80" s="1223">
        <v>77</v>
      </c>
      <c r="I80" s="1222">
        <v>64</v>
      </c>
      <c r="J80" s="1223">
        <v>79</v>
      </c>
      <c r="K80" s="1222">
        <v>69</v>
      </c>
      <c r="L80" s="1236">
        <v>72</v>
      </c>
      <c r="M80" s="1236">
        <v>68</v>
      </c>
      <c r="N80" s="1236">
        <v>77</v>
      </c>
      <c r="O80" s="1236">
        <v>70</v>
      </c>
      <c r="P80" s="1237">
        <v>67</v>
      </c>
      <c r="Q80" s="1237">
        <v>55</v>
      </c>
      <c r="R80" s="1510">
        <v>56</v>
      </c>
      <c r="S80" s="1511">
        <f>'Non-marital births'!D81</f>
        <v>55</v>
      </c>
      <c r="T80" s="1858">
        <v>55</v>
      </c>
      <c r="U80" s="1858"/>
      <c r="V80" s="1244">
        <v>18</v>
      </c>
      <c r="W80" s="1245">
        <v>23</v>
      </c>
      <c r="X80" s="1245">
        <v>15</v>
      </c>
      <c r="Y80" s="1245">
        <v>16</v>
      </c>
      <c r="Z80" s="1245">
        <v>21</v>
      </c>
      <c r="AA80" s="1245">
        <v>12</v>
      </c>
      <c r="AB80" s="1245">
        <v>23</v>
      </c>
      <c r="AC80" s="1245">
        <v>22</v>
      </c>
      <c r="AD80" s="1245">
        <v>30</v>
      </c>
      <c r="AE80" s="1245">
        <v>23</v>
      </c>
      <c r="AF80" s="1245">
        <v>29</v>
      </c>
      <c r="AG80" s="1245">
        <v>22</v>
      </c>
      <c r="AH80" s="1245">
        <v>20</v>
      </c>
      <c r="AI80" s="1245">
        <v>28</v>
      </c>
      <c r="AJ80" s="1513">
        <v>17</v>
      </c>
      <c r="AK80" s="1514">
        <f>'Non-marital births'!H81</f>
        <v>15</v>
      </c>
      <c r="AL80" s="1859">
        <v>15</v>
      </c>
      <c r="AM80" s="1859"/>
      <c r="AN80" s="1252">
        <f t="shared" si="31"/>
        <v>0.20224719101123595</v>
      </c>
      <c r="AO80" s="1253">
        <f t="shared" si="32"/>
        <v>0.21904761904761905</v>
      </c>
      <c r="AP80" s="1253">
        <f t="shared" si="33"/>
        <v>0.15306122448979592</v>
      </c>
      <c r="AQ80" s="1253">
        <f t="shared" si="34"/>
        <v>0.20253164556962025</v>
      </c>
      <c r="AR80" s="1253">
        <f t="shared" si="35"/>
        <v>0.27272727272727271</v>
      </c>
      <c r="AS80" s="1253">
        <f t="shared" si="36"/>
        <v>0.1875</v>
      </c>
      <c r="AT80" s="1253">
        <f t="shared" si="37"/>
        <v>0.29113924050632911</v>
      </c>
      <c r="AU80" s="1253">
        <f t="shared" si="38"/>
        <v>0.3188405797101449</v>
      </c>
      <c r="AV80" s="1253">
        <f t="shared" si="39"/>
        <v>0.41666666666666669</v>
      </c>
      <c r="AW80" s="1253">
        <f t="shared" si="40"/>
        <v>0.33823529411764708</v>
      </c>
      <c r="AX80" s="1253">
        <f t="shared" si="41"/>
        <v>0.37662337662337664</v>
      </c>
      <c r="AY80" s="1253">
        <f t="shared" si="42"/>
        <v>0.31428571428571428</v>
      </c>
      <c r="AZ80" s="1253">
        <f t="shared" si="43"/>
        <v>0.29850746268656714</v>
      </c>
      <c r="BA80" s="1253">
        <f t="shared" si="44"/>
        <v>0.50909090909090904</v>
      </c>
      <c r="BB80" s="1506">
        <f t="shared" si="45"/>
        <v>0.30357142857142855</v>
      </c>
      <c r="BC80" s="1508">
        <f>'Non-marital births'!L81</f>
        <v>0.27272727272727271</v>
      </c>
      <c r="BD80" s="1862">
        <v>0.27272727272727271</v>
      </c>
    </row>
    <row r="81" spans="1:56" s="142" customFormat="1" ht="15.75" customHeight="1" x14ac:dyDescent="0.2">
      <c r="A81" s="149" t="s">
        <v>198</v>
      </c>
      <c r="B81" s="189" t="s">
        <v>272</v>
      </c>
      <c r="C81" s="150" t="s">
        <v>266</v>
      </c>
      <c r="D81" s="1221">
        <v>71</v>
      </c>
      <c r="E81" s="1222">
        <v>79</v>
      </c>
      <c r="F81" s="1223">
        <v>81</v>
      </c>
      <c r="G81" s="1222">
        <v>77</v>
      </c>
      <c r="H81" s="1223">
        <v>92</v>
      </c>
      <c r="I81" s="1222">
        <v>82</v>
      </c>
      <c r="J81" s="1223">
        <v>95</v>
      </c>
      <c r="K81" s="1222">
        <v>90</v>
      </c>
      <c r="L81" s="1236">
        <v>95</v>
      </c>
      <c r="M81" s="1236">
        <v>123</v>
      </c>
      <c r="N81" s="1236">
        <v>69</v>
      </c>
      <c r="O81" s="1236">
        <v>76</v>
      </c>
      <c r="P81" s="1237">
        <v>75</v>
      </c>
      <c r="Q81" s="1237">
        <v>71</v>
      </c>
      <c r="R81" s="1510">
        <v>72</v>
      </c>
      <c r="S81" s="1511">
        <f>'Non-marital births'!D82</f>
        <v>64</v>
      </c>
      <c r="T81" s="1858">
        <v>64</v>
      </c>
      <c r="U81" s="1858"/>
      <c r="V81" s="1244">
        <v>27</v>
      </c>
      <c r="W81" s="1245">
        <v>35</v>
      </c>
      <c r="X81" s="1245">
        <v>33</v>
      </c>
      <c r="Y81" s="1245">
        <v>38</v>
      </c>
      <c r="Z81" s="1245">
        <v>41</v>
      </c>
      <c r="AA81" s="1245">
        <v>27</v>
      </c>
      <c r="AB81" s="1245">
        <v>43</v>
      </c>
      <c r="AC81" s="1245">
        <v>36</v>
      </c>
      <c r="AD81" s="1245">
        <v>52</v>
      </c>
      <c r="AE81" s="1245">
        <v>54</v>
      </c>
      <c r="AF81" s="1245">
        <v>26</v>
      </c>
      <c r="AG81" s="1245">
        <v>40</v>
      </c>
      <c r="AH81" s="1245">
        <v>34</v>
      </c>
      <c r="AI81" s="1245">
        <v>29</v>
      </c>
      <c r="AJ81" s="1513">
        <v>41</v>
      </c>
      <c r="AK81" s="1514">
        <f>'Non-marital births'!H82</f>
        <v>28</v>
      </c>
      <c r="AL81" s="1859">
        <v>28</v>
      </c>
      <c r="AM81" s="1859"/>
      <c r="AN81" s="1252">
        <f t="shared" si="31"/>
        <v>0.38028169014084506</v>
      </c>
      <c r="AO81" s="1253">
        <f t="shared" si="32"/>
        <v>0.44303797468354428</v>
      </c>
      <c r="AP81" s="1253">
        <f t="shared" si="33"/>
        <v>0.40740740740740738</v>
      </c>
      <c r="AQ81" s="1253">
        <f t="shared" si="34"/>
        <v>0.4935064935064935</v>
      </c>
      <c r="AR81" s="1253">
        <f t="shared" si="35"/>
        <v>0.44565217391304346</v>
      </c>
      <c r="AS81" s="1253">
        <f t="shared" si="36"/>
        <v>0.32926829268292684</v>
      </c>
      <c r="AT81" s="1253">
        <f t="shared" si="37"/>
        <v>0.45263157894736844</v>
      </c>
      <c r="AU81" s="1253">
        <f t="shared" si="38"/>
        <v>0.4</v>
      </c>
      <c r="AV81" s="1253">
        <f t="shared" si="39"/>
        <v>0.54736842105263162</v>
      </c>
      <c r="AW81" s="1253">
        <f t="shared" si="40"/>
        <v>0.43902439024390244</v>
      </c>
      <c r="AX81" s="1253">
        <f t="shared" si="41"/>
        <v>0.37681159420289856</v>
      </c>
      <c r="AY81" s="1253">
        <f t="shared" si="42"/>
        <v>0.52631578947368418</v>
      </c>
      <c r="AZ81" s="1253">
        <f t="shared" si="43"/>
        <v>0.45333333333333331</v>
      </c>
      <c r="BA81" s="1253">
        <f t="shared" si="44"/>
        <v>0.40845070422535212</v>
      </c>
      <c r="BB81" s="1506">
        <f t="shared" si="45"/>
        <v>0.56944444444444442</v>
      </c>
      <c r="BC81" s="1508">
        <f>'Non-marital births'!L82</f>
        <v>0.4375</v>
      </c>
      <c r="BD81" s="1862">
        <v>0.4375</v>
      </c>
    </row>
    <row r="82" spans="1:56" s="142" customFormat="1" ht="15.75" customHeight="1" x14ac:dyDescent="0.2">
      <c r="A82" s="149" t="s">
        <v>202</v>
      </c>
      <c r="B82" s="189" t="s">
        <v>301</v>
      </c>
      <c r="C82" s="150" t="s">
        <v>265</v>
      </c>
      <c r="D82" s="1221">
        <v>1112</v>
      </c>
      <c r="E82" s="1222">
        <v>1094</v>
      </c>
      <c r="F82" s="1223">
        <v>1130</v>
      </c>
      <c r="G82" s="1222">
        <v>1246</v>
      </c>
      <c r="H82" s="1223">
        <v>1239</v>
      </c>
      <c r="I82" s="1222">
        <v>1126</v>
      </c>
      <c r="J82" s="1223">
        <v>1621</v>
      </c>
      <c r="K82" s="1222">
        <v>1292</v>
      </c>
      <c r="L82" s="1236">
        <v>1249</v>
      </c>
      <c r="M82" s="1236">
        <v>1130</v>
      </c>
      <c r="N82" s="1236">
        <v>1133</v>
      </c>
      <c r="O82" s="1236">
        <v>1158</v>
      </c>
      <c r="P82" s="1237">
        <v>1045</v>
      </c>
      <c r="Q82" s="1237">
        <v>1128</v>
      </c>
      <c r="R82" s="1510">
        <v>1085</v>
      </c>
      <c r="S82" s="1511">
        <f>'Non-marital births'!D83</f>
        <v>1102</v>
      </c>
      <c r="T82" s="1858">
        <v>1102</v>
      </c>
      <c r="U82" s="1858"/>
      <c r="V82" s="1244">
        <v>210</v>
      </c>
      <c r="W82" s="1245">
        <v>245</v>
      </c>
      <c r="X82" s="1245">
        <v>256</v>
      </c>
      <c r="Y82" s="1245">
        <v>359</v>
      </c>
      <c r="Z82" s="1245">
        <v>305</v>
      </c>
      <c r="AA82" s="1245">
        <v>297</v>
      </c>
      <c r="AB82" s="1245">
        <v>491</v>
      </c>
      <c r="AC82" s="1245">
        <v>385</v>
      </c>
      <c r="AD82" s="1245">
        <v>372</v>
      </c>
      <c r="AE82" s="1245">
        <v>325</v>
      </c>
      <c r="AF82" s="1245">
        <v>381</v>
      </c>
      <c r="AG82" s="1245">
        <v>359</v>
      </c>
      <c r="AH82" s="1245">
        <v>326</v>
      </c>
      <c r="AI82" s="1245">
        <v>357</v>
      </c>
      <c r="AJ82" s="1513">
        <v>361</v>
      </c>
      <c r="AK82" s="1514">
        <f>'Non-marital births'!H83</f>
        <v>377</v>
      </c>
      <c r="AL82" s="1859">
        <v>377</v>
      </c>
      <c r="AM82" s="1859"/>
      <c r="AN82" s="1252">
        <f t="shared" si="31"/>
        <v>0.18884892086330934</v>
      </c>
      <c r="AO82" s="1253">
        <f t="shared" si="32"/>
        <v>0.22394881170018283</v>
      </c>
      <c r="AP82" s="1253">
        <f t="shared" si="33"/>
        <v>0.22654867256637168</v>
      </c>
      <c r="AQ82" s="1253">
        <f t="shared" si="34"/>
        <v>0.2881219903691814</v>
      </c>
      <c r="AR82" s="1253">
        <f t="shared" si="35"/>
        <v>0.24616626311541565</v>
      </c>
      <c r="AS82" s="1253">
        <f t="shared" si="36"/>
        <v>0.26376554174067496</v>
      </c>
      <c r="AT82" s="1253">
        <f t="shared" si="37"/>
        <v>0.3028994447871684</v>
      </c>
      <c r="AU82" s="1253">
        <f t="shared" si="38"/>
        <v>0.29798761609907121</v>
      </c>
      <c r="AV82" s="1253">
        <f t="shared" si="39"/>
        <v>0.29783827061649321</v>
      </c>
      <c r="AW82" s="1253">
        <f t="shared" si="40"/>
        <v>0.28761061946902655</v>
      </c>
      <c r="AX82" s="1253">
        <f t="shared" si="41"/>
        <v>0.33627537511032657</v>
      </c>
      <c r="AY82" s="1253">
        <f t="shared" si="42"/>
        <v>0.31001727115716754</v>
      </c>
      <c r="AZ82" s="1253">
        <f t="shared" si="43"/>
        <v>0.31196172248803827</v>
      </c>
      <c r="BA82" s="1253">
        <f t="shared" si="44"/>
        <v>0.31648936170212766</v>
      </c>
      <c r="BB82" s="1506">
        <f t="shared" si="45"/>
        <v>0.33271889400921661</v>
      </c>
      <c r="BC82" s="1508">
        <f>'Non-marital births'!L83</f>
        <v>0.34210526315789475</v>
      </c>
      <c r="BD82" s="1862">
        <v>0.34210526315789475</v>
      </c>
    </row>
    <row r="83" spans="1:56" s="142" customFormat="1" ht="15.75" customHeight="1" x14ac:dyDescent="0.2">
      <c r="A83" s="149" t="s">
        <v>204</v>
      </c>
      <c r="B83" s="189" t="s">
        <v>293</v>
      </c>
      <c r="C83" s="150" t="s">
        <v>265</v>
      </c>
      <c r="D83" s="1221">
        <v>330</v>
      </c>
      <c r="E83" s="1222">
        <v>351</v>
      </c>
      <c r="F83" s="1223">
        <v>346</v>
      </c>
      <c r="G83" s="1222">
        <v>324</v>
      </c>
      <c r="H83" s="1223">
        <v>308</v>
      </c>
      <c r="I83" s="1222">
        <v>331</v>
      </c>
      <c r="J83" s="1223">
        <v>348</v>
      </c>
      <c r="K83" s="1222">
        <v>345</v>
      </c>
      <c r="L83" s="1236">
        <v>328</v>
      </c>
      <c r="M83" s="1236">
        <v>390</v>
      </c>
      <c r="N83" s="1236">
        <v>322</v>
      </c>
      <c r="O83" s="1236">
        <v>329</v>
      </c>
      <c r="P83" s="1237">
        <v>304</v>
      </c>
      <c r="Q83" s="1237">
        <v>305</v>
      </c>
      <c r="R83" s="1510">
        <v>352</v>
      </c>
      <c r="S83" s="1511">
        <f>'Non-marital births'!D84</f>
        <v>239</v>
      </c>
      <c r="T83" s="1858">
        <v>239</v>
      </c>
      <c r="U83" s="1858"/>
      <c r="V83" s="1244">
        <v>107</v>
      </c>
      <c r="W83" s="1245">
        <v>88</v>
      </c>
      <c r="X83" s="1245">
        <v>86</v>
      </c>
      <c r="Y83" s="1245">
        <v>94</v>
      </c>
      <c r="Z83" s="1245">
        <v>105</v>
      </c>
      <c r="AA83" s="1245">
        <v>105</v>
      </c>
      <c r="AB83" s="1245">
        <v>130</v>
      </c>
      <c r="AC83" s="1245">
        <v>131</v>
      </c>
      <c r="AD83" s="1245">
        <v>108</v>
      </c>
      <c r="AE83" s="1245">
        <v>131</v>
      </c>
      <c r="AF83" s="1245">
        <v>119</v>
      </c>
      <c r="AG83" s="1245">
        <v>123</v>
      </c>
      <c r="AH83" s="1245">
        <v>103</v>
      </c>
      <c r="AI83" s="1245">
        <v>121</v>
      </c>
      <c r="AJ83" s="1513">
        <v>138</v>
      </c>
      <c r="AK83" s="1514">
        <f>'Non-marital births'!H84</f>
        <v>127</v>
      </c>
      <c r="AL83" s="1859">
        <v>127</v>
      </c>
      <c r="AM83" s="1859"/>
      <c r="AN83" s="1252">
        <f t="shared" si="31"/>
        <v>0.32424242424242422</v>
      </c>
      <c r="AO83" s="1253">
        <f t="shared" si="32"/>
        <v>0.25071225071225073</v>
      </c>
      <c r="AP83" s="1253">
        <f t="shared" si="33"/>
        <v>0.24855491329479767</v>
      </c>
      <c r="AQ83" s="1253">
        <f t="shared" si="34"/>
        <v>0.29012345679012347</v>
      </c>
      <c r="AR83" s="1253">
        <f t="shared" si="35"/>
        <v>0.34090909090909088</v>
      </c>
      <c r="AS83" s="1253">
        <f t="shared" si="36"/>
        <v>0.31722054380664655</v>
      </c>
      <c r="AT83" s="1253">
        <f t="shared" si="37"/>
        <v>0.37356321839080459</v>
      </c>
      <c r="AU83" s="1253">
        <f t="shared" si="38"/>
        <v>0.37971014492753624</v>
      </c>
      <c r="AV83" s="1253">
        <f t="shared" si="39"/>
        <v>0.32926829268292684</v>
      </c>
      <c r="AW83" s="1253">
        <f t="shared" si="40"/>
        <v>0.33589743589743587</v>
      </c>
      <c r="AX83" s="1253">
        <f t="shared" si="41"/>
        <v>0.36956521739130432</v>
      </c>
      <c r="AY83" s="1253">
        <f t="shared" si="42"/>
        <v>0.37386018237082069</v>
      </c>
      <c r="AZ83" s="1253">
        <f t="shared" si="43"/>
        <v>0.33881578947368424</v>
      </c>
      <c r="BA83" s="1253">
        <f t="shared" si="44"/>
        <v>0.39672131147540984</v>
      </c>
      <c r="BB83" s="1506">
        <f t="shared" si="45"/>
        <v>0.39204545454545453</v>
      </c>
      <c r="BC83" s="1508">
        <f>'Non-marital births'!L84</f>
        <v>0.53138075313807531</v>
      </c>
      <c r="BD83" s="1862">
        <v>0.53138075313807531</v>
      </c>
    </row>
    <row r="84" spans="1:56" s="142" customFormat="1" ht="15.75" customHeight="1" x14ac:dyDescent="0.2">
      <c r="A84" s="149" t="s">
        <v>206</v>
      </c>
      <c r="B84" s="189" t="s">
        <v>294</v>
      </c>
      <c r="C84" s="150" t="s">
        <v>267</v>
      </c>
      <c r="D84" s="1221">
        <v>1184</v>
      </c>
      <c r="E84" s="1222">
        <v>1312</v>
      </c>
      <c r="F84" s="1223">
        <v>1309</v>
      </c>
      <c r="G84" s="1222">
        <v>1347</v>
      </c>
      <c r="H84" s="1223">
        <v>1404</v>
      </c>
      <c r="I84" s="1222">
        <v>1364</v>
      </c>
      <c r="J84" s="1223">
        <v>1426</v>
      </c>
      <c r="K84" s="1222">
        <v>1423</v>
      </c>
      <c r="L84" s="1236">
        <v>1432</v>
      </c>
      <c r="M84" s="1236">
        <v>1427</v>
      </c>
      <c r="N84" s="1236">
        <v>1340</v>
      </c>
      <c r="O84" s="1236">
        <v>1385</v>
      </c>
      <c r="P84" s="1237">
        <v>1414</v>
      </c>
      <c r="Q84" s="1237">
        <v>1363</v>
      </c>
      <c r="R84" s="1510">
        <v>1392</v>
      </c>
      <c r="S84" s="1511">
        <f>'Non-marital births'!D85</f>
        <v>1544</v>
      </c>
      <c r="T84" s="1858">
        <v>1544</v>
      </c>
      <c r="U84" s="1858"/>
      <c r="V84" s="1244">
        <v>346</v>
      </c>
      <c r="W84" s="1245">
        <v>390</v>
      </c>
      <c r="X84" s="1245">
        <v>390</v>
      </c>
      <c r="Y84" s="1245">
        <v>379</v>
      </c>
      <c r="Z84" s="1245">
        <v>391</v>
      </c>
      <c r="AA84" s="1245">
        <v>423</v>
      </c>
      <c r="AB84" s="1245">
        <v>460</v>
      </c>
      <c r="AC84" s="1245">
        <v>499</v>
      </c>
      <c r="AD84" s="1245">
        <v>493</v>
      </c>
      <c r="AE84" s="1245">
        <v>484</v>
      </c>
      <c r="AF84" s="1245">
        <v>489</v>
      </c>
      <c r="AG84" s="1245">
        <v>498</v>
      </c>
      <c r="AH84" s="1245">
        <v>508</v>
      </c>
      <c r="AI84" s="1245">
        <v>472</v>
      </c>
      <c r="AJ84" s="1513">
        <v>474</v>
      </c>
      <c r="AK84" s="1514">
        <f>'Non-marital births'!H85</f>
        <v>485</v>
      </c>
      <c r="AL84" s="1859">
        <v>485</v>
      </c>
      <c r="AM84" s="1859"/>
      <c r="AN84" s="1252">
        <f t="shared" si="31"/>
        <v>0.29222972972972971</v>
      </c>
      <c r="AO84" s="1253">
        <f t="shared" si="32"/>
        <v>0.2972560975609756</v>
      </c>
      <c r="AP84" s="1253">
        <f t="shared" si="33"/>
        <v>0.29793735676088617</v>
      </c>
      <c r="AQ84" s="1253">
        <f t="shared" si="34"/>
        <v>0.28136599851521898</v>
      </c>
      <c r="AR84" s="1253">
        <f t="shared" si="35"/>
        <v>0.27849002849002846</v>
      </c>
      <c r="AS84" s="1253">
        <f t="shared" si="36"/>
        <v>0.31011730205278593</v>
      </c>
      <c r="AT84" s="1253">
        <f t="shared" si="37"/>
        <v>0.32258064516129031</v>
      </c>
      <c r="AU84" s="1253">
        <f t="shared" si="38"/>
        <v>0.35066760365425159</v>
      </c>
      <c r="AV84" s="1253">
        <f t="shared" si="39"/>
        <v>0.34427374301675978</v>
      </c>
      <c r="AW84" s="1253">
        <f t="shared" si="40"/>
        <v>0.33917309039943938</v>
      </c>
      <c r="AX84" s="1253">
        <f t="shared" si="41"/>
        <v>0.36492537313432838</v>
      </c>
      <c r="AY84" s="1253">
        <f t="shared" si="42"/>
        <v>0.35956678700361011</v>
      </c>
      <c r="AZ84" s="1253">
        <f t="shared" si="43"/>
        <v>0.35926449787835929</v>
      </c>
      <c r="BA84" s="1253">
        <f t="shared" si="44"/>
        <v>0.34629493763756419</v>
      </c>
      <c r="BB84" s="1506">
        <f t="shared" si="45"/>
        <v>0.34051724137931033</v>
      </c>
      <c r="BC84" s="1508">
        <f>'Non-marital births'!L85</f>
        <v>0.31411917098445596</v>
      </c>
      <c r="BD84" s="1862">
        <v>0.31411917098445596</v>
      </c>
    </row>
    <row r="85" spans="1:56" s="142" customFormat="1" ht="15.75" customHeight="1" x14ac:dyDescent="0.2">
      <c r="A85" s="149" t="s">
        <v>208</v>
      </c>
      <c r="B85" s="189" t="s">
        <v>209</v>
      </c>
      <c r="C85" s="150" t="s">
        <v>268</v>
      </c>
      <c r="D85" s="1221">
        <v>293</v>
      </c>
      <c r="E85" s="1222">
        <v>327</v>
      </c>
      <c r="F85" s="1223">
        <v>275</v>
      </c>
      <c r="G85" s="1222">
        <v>319</v>
      </c>
      <c r="H85" s="1223">
        <v>305</v>
      </c>
      <c r="I85" s="1222">
        <v>312</v>
      </c>
      <c r="J85" s="1223">
        <v>262</v>
      </c>
      <c r="K85" s="1222">
        <v>304</v>
      </c>
      <c r="L85" s="1236">
        <v>284</v>
      </c>
      <c r="M85" s="1236">
        <v>298</v>
      </c>
      <c r="N85" s="1236">
        <v>339</v>
      </c>
      <c r="O85" s="1236">
        <v>303</v>
      </c>
      <c r="P85" s="1237">
        <v>278</v>
      </c>
      <c r="Q85" s="1237">
        <v>263</v>
      </c>
      <c r="R85" s="1510">
        <v>277</v>
      </c>
      <c r="S85" s="1511">
        <f>'Non-marital births'!D86</f>
        <v>239</v>
      </c>
      <c r="T85" s="1858">
        <v>239</v>
      </c>
      <c r="U85" s="1858"/>
      <c r="V85" s="1244">
        <v>63</v>
      </c>
      <c r="W85" s="1245">
        <v>83</v>
      </c>
      <c r="X85" s="1245">
        <v>63</v>
      </c>
      <c r="Y85" s="1245">
        <v>76</v>
      </c>
      <c r="Z85" s="1245">
        <v>67</v>
      </c>
      <c r="AA85" s="1245">
        <v>74</v>
      </c>
      <c r="AB85" s="1245">
        <v>56</v>
      </c>
      <c r="AC85" s="1245">
        <v>70</v>
      </c>
      <c r="AD85" s="1245">
        <v>80</v>
      </c>
      <c r="AE85" s="1245">
        <v>84</v>
      </c>
      <c r="AF85" s="1245">
        <v>100</v>
      </c>
      <c r="AG85" s="1245">
        <v>94</v>
      </c>
      <c r="AH85" s="1245">
        <v>98</v>
      </c>
      <c r="AI85" s="1245">
        <v>93</v>
      </c>
      <c r="AJ85" s="1513">
        <v>88</v>
      </c>
      <c r="AK85" s="1514">
        <f>'Non-marital births'!H86</f>
        <v>91</v>
      </c>
      <c r="AL85" s="1859">
        <v>91</v>
      </c>
      <c r="AM85" s="1859"/>
      <c r="AN85" s="1252">
        <f t="shared" si="31"/>
        <v>0.21501706484641639</v>
      </c>
      <c r="AO85" s="1253">
        <f t="shared" si="32"/>
        <v>0.25382262996941896</v>
      </c>
      <c r="AP85" s="1253">
        <f t="shared" si="33"/>
        <v>0.2290909090909091</v>
      </c>
      <c r="AQ85" s="1253">
        <f t="shared" si="34"/>
        <v>0.23824451410658307</v>
      </c>
      <c r="AR85" s="1253">
        <f t="shared" si="35"/>
        <v>0.21967213114754097</v>
      </c>
      <c r="AS85" s="1253">
        <f t="shared" si="36"/>
        <v>0.23717948717948717</v>
      </c>
      <c r="AT85" s="1253">
        <f t="shared" si="37"/>
        <v>0.21374045801526717</v>
      </c>
      <c r="AU85" s="1253">
        <f t="shared" si="38"/>
        <v>0.23026315789473684</v>
      </c>
      <c r="AV85" s="1253">
        <f t="shared" si="39"/>
        <v>0.28169014084507044</v>
      </c>
      <c r="AW85" s="1253">
        <f t="shared" si="40"/>
        <v>0.28187919463087246</v>
      </c>
      <c r="AX85" s="1253">
        <f t="shared" si="41"/>
        <v>0.29498525073746312</v>
      </c>
      <c r="AY85" s="1253">
        <f t="shared" si="42"/>
        <v>0.31023102310231021</v>
      </c>
      <c r="AZ85" s="1253">
        <f t="shared" si="43"/>
        <v>0.35251798561151076</v>
      </c>
      <c r="BA85" s="1253">
        <f t="shared" si="44"/>
        <v>0.35361216730038025</v>
      </c>
      <c r="BB85" s="1506">
        <f t="shared" si="45"/>
        <v>0.3176895306859206</v>
      </c>
      <c r="BC85" s="1508">
        <f>'Non-marital births'!L86</f>
        <v>0.3807531380753138</v>
      </c>
      <c r="BD85" s="1862">
        <v>0.3807531380753138</v>
      </c>
    </row>
    <row r="86" spans="1:56" s="142" customFormat="1" ht="15.75" customHeight="1" x14ac:dyDescent="0.2">
      <c r="A86" s="149" t="s">
        <v>210</v>
      </c>
      <c r="B86" s="189" t="s">
        <v>211</v>
      </c>
      <c r="C86" s="150" t="s">
        <v>268</v>
      </c>
      <c r="D86" s="1221">
        <v>246</v>
      </c>
      <c r="E86" s="1222">
        <v>233</v>
      </c>
      <c r="F86" s="1223">
        <v>248</v>
      </c>
      <c r="G86" s="1222">
        <v>217</v>
      </c>
      <c r="H86" s="1223">
        <v>215</v>
      </c>
      <c r="I86" s="1222">
        <v>215</v>
      </c>
      <c r="J86" s="1223">
        <v>225</v>
      </c>
      <c r="K86" s="1222">
        <v>217</v>
      </c>
      <c r="L86" s="1236">
        <v>241</v>
      </c>
      <c r="M86" s="1236">
        <v>207</v>
      </c>
      <c r="N86" s="1236">
        <v>229</v>
      </c>
      <c r="O86" s="1236">
        <v>224</v>
      </c>
      <c r="P86" s="1237">
        <v>222</v>
      </c>
      <c r="Q86" s="1237">
        <v>205</v>
      </c>
      <c r="R86" s="1510">
        <v>194</v>
      </c>
      <c r="S86" s="1511">
        <f>'Non-marital births'!D87</f>
        <v>154</v>
      </c>
      <c r="T86" s="1858">
        <v>154</v>
      </c>
      <c r="U86" s="1858"/>
      <c r="V86" s="1244">
        <v>57</v>
      </c>
      <c r="W86" s="1245">
        <v>51</v>
      </c>
      <c r="X86" s="1245">
        <v>54</v>
      </c>
      <c r="Y86" s="1245">
        <v>52</v>
      </c>
      <c r="Z86" s="1245">
        <v>58</v>
      </c>
      <c r="AA86" s="1245">
        <v>39</v>
      </c>
      <c r="AB86" s="1245">
        <v>47</v>
      </c>
      <c r="AC86" s="1245">
        <v>58</v>
      </c>
      <c r="AD86" s="1245">
        <v>66</v>
      </c>
      <c r="AE86" s="1245">
        <v>69</v>
      </c>
      <c r="AF86" s="1245">
        <v>71</v>
      </c>
      <c r="AG86" s="1245">
        <v>75</v>
      </c>
      <c r="AH86" s="1245">
        <v>77</v>
      </c>
      <c r="AI86" s="1245">
        <v>93</v>
      </c>
      <c r="AJ86" s="1513">
        <v>73</v>
      </c>
      <c r="AK86" s="1514">
        <f>'Non-marital births'!H87</f>
        <v>50</v>
      </c>
      <c r="AL86" s="1859">
        <v>50</v>
      </c>
      <c r="AM86" s="1859"/>
      <c r="AN86" s="1252">
        <f t="shared" si="31"/>
        <v>0.23170731707317074</v>
      </c>
      <c r="AO86" s="1253">
        <f t="shared" si="32"/>
        <v>0.21888412017167383</v>
      </c>
      <c r="AP86" s="1253">
        <f t="shared" si="33"/>
        <v>0.21774193548387097</v>
      </c>
      <c r="AQ86" s="1253">
        <f t="shared" si="34"/>
        <v>0.23963133640552994</v>
      </c>
      <c r="AR86" s="1253">
        <f t="shared" si="35"/>
        <v>0.26976744186046514</v>
      </c>
      <c r="AS86" s="1253">
        <f t="shared" si="36"/>
        <v>0.18139534883720931</v>
      </c>
      <c r="AT86" s="1253">
        <f t="shared" si="37"/>
        <v>0.2088888888888889</v>
      </c>
      <c r="AU86" s="1253">
        <f t="shared" si="38"/>
        <v>0.26728110599078342</v>
      </c>
      <c r="AV86" s="1253">
        <f t="shared" si="39"/>
        <v>0.27385892116182575</v>
      </c>
      <c r="AW86" s="1253">
        <f t="shared" si="40"/>
        <v>0.33333333333333331</v>
      </c>
      <c r="AX86" s="1253">
        <f t="shared" si="41"/>
        <v>0.31004366812227074</v>
      </c>
      <c r="AY86" s="1253">
        <f t="shared" si="42"/>
        <v>0.33482142857142855</v>
      </c>
      <c r="AZ86" s="1253">
        <f t="shared" si="43"/>
        <v>0.34684684684684686</v>
      </c>
      <c r="BA86" s="1253">
        <f t="shared" si="44"/>
        <v>0.45365853658536587</v>
      </c>
      <c r="BB86" s="1506">
        <f t="shared" si="45"/>
        <v>0.37628865979381443</v>
      </c>
      <c r="BC86" s="1508">
        <f>'Non-marital births'!L87</f>
        <v>0.32467532467532467</v>
      </c>
      <c r="BD86" s="1862">
        <v>0.32467532467532467</v>
      </c>
    </row>
    <row r="87" spans="1:56" s="142" customFormat="1" ht="15.75" customHeight="1" x14ac:dyDescent="0.2">
      <c r="A87" s="149" t="s">
        <v>212</v>
      </c>
      <c r="B87" s="189" t="s">
        <v>213</v>
      </c>
      <c r="C87" s="150" t="s">
        <v>267</v>
      </c>
      <c r="D87" s="1221">
        <v>384</v>
      </c>
      <c r="E87" s="1222">
        <v>375</v>
      </c>
      <c r="F87" s="1223">
        <v>399</v>
      </c>
      <c r="G87" s="1222">
        <v>459</v>
      </c>
      <c r="H87" s="1223">
        <v>412</v>
      </c>
      <c r="I87" s="1222">
        <v>455</v>
      </c>
      <c r="J87" s="1223">
        <v>462</v>
      </c>
      <c r="K87" s="1222">
        <v>480</v>
      </c>
      <c r="L87" s="1236">
        <v>537</v>
      </c>
      <c r="M87" s="1236">
        <v>538</v>
      </c>
      <c r="N87" s="1236">
        <v>491</v>
      </c>
      <c r="O87" s="1236">
        <v>455</v>
      </c>
      <c r="P87" s="1237">
        <v>485</v>
      </c>
      <c r="Q87" s="1237">
        <v>464</v>
      </c>
      <c r="R87" s="1510">
        <v>482</v>
      </c>
      <c r="S87" s="1511">
        <f>'Non-marital births'!D88</f>
        <v>471</v>
      </c>
      <c r="T87" s="1858">
        <v>471</v>
      </c>
      <c r="U87" s="1858"/>
      <c r="V87" s="1244">
        <v>132</v>
      </c>
      <c r="W87" s="1245">
        <v>101</v>
      </c>
      <c r="X87" s="1245">
        <v>108</v>
      </c>
      <c r="Y87" s="1245">
        <v>150</v>
      </c>
      <c r="Z87" s="1245">
        <v>142</v>
      </c>
      <c r="AA87" s="1245">
        <v>158</v>
      </c>
      <c r="AB87" s="1245">
        <v>159</v>
      </c>
      <c r="AC87" s="1245">
        <v>175</v>
      </c>
      <c r="AD87" s="1245">
        <v>217</v>
      </c>
      <c r="AE87" s="1245">
        <v>201</v>
      </c>
      <c r="AF87" s="1245">
        <v>191</v>
      </c>
      <c r="AG87" s="1245">
        <v>181</v>
      </c>
      <c r="AH87" s="1245">
        <v>207</v>
      </c>
      <c r="AI87" s="1245">
        <v>171</v>
      </c>
      <c r="AJ87" s="1513">
        <v>194</v>
      </c>
      <c r="AK87" s="1514">
        <f>'Non-marital births'!H88</f>
        <v>190</v>
      </c>
      <c r="AL87" s="1859">
        <v>190</v>
      </c>
      <c r="AM87" s="1859"/>
      <c r="AN87" s="1252">
        <f t="shared" si="31"/>
        <v>0.34375</v>
      </c>
      <c r="AO87" s="1253">
        <f t="shared" si="32"/>
        <v>0.26933333333333331</v>
      </c>
      <c r="AP87" s="1253">
        <f t="shared" si="33"/>
        <v>0.27067669172932329</v>
      </c>
      <c r="AQ87" s="1253">
        <f t="shared" si="34"/>
        <v>0.32679738562091504</v>
      </c>
      <c r="AR87" s="1253">
        <f t="shared" si="35"/>
        <v>0.3446601941747573</v>
      </c>
      <c r="AS87" s="1253">
        <f t="shared" si="36"/>
        <v>0.34725274725274724</v>
      </c>
      <c r="AT87" s="1253">
        <f t="shared" si="37"/>
        <v>0.34415584415584416</v>
      </c>
      <c r="AU87" s="1253">
        <f t="shared" si="38"/>
        <v>0.36458333333333331</v>
      </c>
      <c r="AV87" s="1253">
        <f t="shared" si="39"/>
        <v>0.40409683426443205</v>
      </c>
      <c r="AW87" s="1253">
        <f t="shared" si="40"/>
        <v>0.37360594795539032</v>
      </c>
      <c r="AX87" s="1253">
        <f t="shared" si="41"/>
        <v>0.38900203665987781</v>
      </c>
      <c r="AY87" s="1253">
        <f t="shared" si="42"/>
        <v>0.39780219780219778</v>
      </c>
      <c r="AZ87" s="1253">
        <f t="shared" si="43"/>
        <v>0.42680412371134019</v>
      </c>
      <c r="BA87" s="1253">
        <f t="shared" si="44"/>
        <v>0.36853448275862066</v>
      </c>
      <c r="BB87" s="1506">
        <f t="shared" si="45"/>
        <v>0.40248962655601661</v>
      </c>
      <c r="BC87" s="1508">
        <f>'Non-marital births'!L88</f>
        <v>0.40339702760084928</v>
      </c>
      <c r="BD87" s="1862">
        <v>0.40339702760084928</v>
      </c>
    </row>
    <row r="88" spans="1:56" s="142" customFormat="1" ht="15.75" customHeight="1" x14ac:dyDescent="0.2">
      <c r="A88" s="149" t="s">
        <v>214</v>
      </c>
      <c r="B88" s="189" t="s">
        <v>215</v>
      </c>
      <c r="C88" s="150" t="s">
        <v>268</v>
      </c>
      <c r="D88" s="1221">
        <v>351</v>
      </c>
      <c r="E88" s="1222">
        <v>365</v>
      </c>
      <c r="F88" s="1223">
        <v>361</v>
      </c>
      <c r="G88" s="1222">
        <v>356</v>
      </c>
      <c r="H88" s="1223">
        <v>320</v>
      </c>
      <c r="I88" s="1222">
        <v>352</v>
      </c>
      <c r="J88" s="1223">
        <v>296</v>
      </c>
      <c r="K88" s="1222">
        <v>347</v>
      </c>
      <c r="L88" s="1236">
        <v>370</v>
      </c>
      <c r="M88" s="1236">
        <v>351</v>
      </c>
      <c r="N88" s="1236">
        <v>369</v>
      </c>
      <c r="O88" s="1236">
        <v>321</v>
      </c>
      <c r="P88" s="1237">
        <v>316</v>
      </c>
      <c r="Q88" s="1237">
        <v>327</v>
      </c>
      <c r="R88" s="1510">
        <v>287</v>
      </c>
      <c r="S88" s="1511">
        <f>'Non-marital births'!D89</f>
        <v>258</v>
      </c>
      <c r="T88" s="1858">
        <v>258</v>
      </c>
      <c r="U88" s="1858"/>
      <c r="V88" s="1244">
        <v>94</v>
      </c>
      <c r="W88" s="1245">
        <v>102</v>
      </c>
      <c r="X88" s="1245">
        <v>94</v>
      </c>
      <c r="Y88" s="1245">
        <v>92</v>
      </c>
      <c r="Z88" s="1245">
        <v>94</v>
      </c>
      <c r="AA88" s="1245">
        <v>129</v>
      </c>
      <c r="AB88" s="1245">
        <v>83</v>
      </c>
      <c r="AC88" s="1245">
        <v>110</v>
      </c>
      <c r="AD88" s="1245">
        <v>141</v>
      </c>
      <c r="AE88" s="1245">
        <v>144</v>
      </c>
      <c r="AF88" s="1245">
        <v>155</v>
      </c>
      <c r="AG88" s="1245">
        <v>137</v>
      </c>
      <c r="AH88" s="1245">
        <v>147</v>
      </c>
      <c r="AI88" s="1245">
        <v>156</v>
      </c>
      <c r="AJ88" s="1513">
        <v>128</v>
      </c>
      <c r="AK88" s="1514">
        <f>'Non-marital births'!H89</f>
        <v>109</v>
      </c>
      <c r="AL88" s="1859">
        <v>109</v>
      </c>
      <c r="AM88" s="1859"/>
      <c r="AN88" s="1252">
        <f t="shared" si="31"/>
        <v>0.26780626780626782</v>
      </c>
      <c r="AO88" s="1253">
        <f t="shared" si="32"/>
        <v>0.27945205479452057</v>
      </c>
      <c r="AP88" s="1253">
        <f t="shared" si="33"/>
        <v>0.26038781163434904</v>
      </c>
      <c r="AQ88" s="1253">
        <f t="shared" si="34"/>
        <v>0.25842696629213485</v>
      </c>
      <c r="AR88" s="1253">
        <f t="shared" si="35"/>
        <v>0.29375000000000001</v>
      </c>
      <c r="AS88" s="1253">
        <f t="shared" si="36"/>
        <v>0.36647727272727271</v>
      </c>
      <c r="AT88" s="1253">
        <f t="shared" si="37"/>
        <v>0.28040540540540543</v>
      </c>
      <c r="AU88" s="1253">
        <f t="shared" si="38"/>
        <v>0.31700288184438041</v>
      </c>
      <c r="AV88" s="1253">
        <f t="shared" si="39"/>
        <v>0.38108108108108107</v>
      </c>
      <c r="AW88" s="1253">
        <f t="shared" si="40"/>
        <v>0.41025641025641024</v>
      </c>
      <c r="AX88" s="1253">
        <f t="shared" si="41"/>
        <v>0.42005420054200543</v>
      </c>
      <c r="AY88" s="1253">
        <f t="shared" si="42"/>
        <v>0.42679127725856697</v>
      </c>
      <c r="AZ88" s="1253">
        <f t="shared" si="43"/>
        <v>0.4651898734177215</v>
      </c>
      <c r="BA88" s="1253">
        <f t="shared" si="44"/>
        <v>0.47706422018348627</v>
      </c>
      <c r="BB88" s="1506">
        <f t="shared" si="45"/>
        <v>0.44599303135888502</v>
      </c>
      <c r="BC88" s="1508">
        <f>'Non-marital births'!L89</f>
        <v>0.42248062015503873</v>
      </c>
      <c r="BD88" s="1862">
        <v>0.42248062015503873</v>
      </c>
    </row>
    <row r="89" spans="1:56" s="142" customFormat="1" ht="15.75" customHeight="1" x14ac:dyDescent="0.2">
      <c r="A89" s="149" t="s">
        <v>216</v>
      </c>
      <c r="B89" s="189" t="s">
        <v>217</v>
      </c>
      <c r="C89" s="150" t="s">
        <v>264</v>
      </c>
      <c r="D89" s="1221">
        <v>184</v>
      </c>
      <c r="E89" s="1222">
        <v>179</v>
      </c>
      <c r="F89" s="1223">
        <v>160</v>
      </c>
      <c r="G89" s="1222">
        <v>207</v>
      </c>
      <c r="H89" s="1223">
        <v>133</v>
      </c>
      <c r="I89" s="1222">
        <v>172</v>
      </c>
      <c r="J89" s="1223">
        <v>172</v>
      </c>
      <c r="K89" s="1222">
        <v>149</v>
      </c>
      <c r="L89" s="1236">
        <v>183</v>
      </c>
      <c r="M89" s="1236">
        <v>171</v>
      </c>
      <c r="N89" s="1236">
        <v>205</v>
      </c>
      <c r="O89" s="1236">
        <v>169</v>
      </c>
      <c r="P89" s="1237">
        <v>144</v>
      </c>
      <c r="Q89" s="1237">
        <v>133</v>
      </c>
      <c r="R89" s="1510">
        <v>141</v>
      </c>
      <c r="S89" s="1511">
        <f>'Non-marital births'!D90</f>
        <v>142</v>
      </c>
      <c r="T89" s="1858">
        <v>142</v>
      </c>
      <c r="U89" s="1858"/>
      <c r="V89" s="1244">
        <v>70</v>
      </c>
      <c r="W89" s="1245">
        <v>69</v>
      </c>
      <c r="X89" s="1245">
        <v>68</v>
      </c>
      <c r="Y89" s="1245">
        <v>84</v>
      </c>
      <c r="Z89" s="1245">
        <v>49</v>
      </c>
      <c r="AA89" s="1245">
        <v>63</v>
      </c>
      <c r="AB89" s="1245">
        <v>71</v>
      </c>
      <c r="AC89" s="1245">
        <v>59</v>
      </c>
      <c r="AD89" s="1245">
        <v>90</v>
      </c>
      <c r="AE89" s="1245">
        <v>84</v>
      </c>
      <c r="AF89" s="1245">
        <v>97</v>
      </c>
      <c r="AG89" s="1245">
        <v>88</v>
      </c>
      <c r="AH89" s="1245">
        <v>61</v>
      </c>
      <c r="AI89" s="1245">
        <v>61</v>
      </c>
      <c r="AJ89" s="1513">
        <v>60</v>
      </c>
      <c r="AK89" s="1514">
        <f>'Non-marital births'!H90</f>
        <v>57</v>
      </c>
      <c r="AL89" s="1859">
        <v>57</v>
      </c>
      <c r="AM89" s="1859"/>
      <c r="AN89" s="1252">
        <f t="shared" si="31"/>
        <v>0.38043478260869568</v>
      </c>
      <c r="AO89" s="1253">
        <f t="shared" si="32"/>
        <v>0.38547486033519551</v>
      </c>
      <c r="AP89" s="1253">
        <f t="shared" si="33"/>
        <v>0.42499999999999999</v>
      </c>
      <c r="AQ89" s="1253">
        <f t="shared" si="34"/>
        <v>0.40579710144927539</v>
      </c>
      <c r="AR89" s="1253">
        <f t="shared" si="35"/>
        <v>0.36842105263157893</v>
      </c>
      <c r="AS89" s="1253">
        <f t="shared" si="36"/>
        <v>0.36627906976744184</v>
      </c>
      <c r="AT89" s="1253">
        <f t="shared" si="37"/>
        <v>0.41279069767441862</v>
      </c>
      <c r="AU89" s="1253">
        <f t="shared" si="38"/>
        <v>0.39597315436241609</v>
      </c>
      <c r="AV89" s="1253">
        <f t="shared" si="39"/>
        <v>0.49180327868852458</v>
      </c>
      <c r="AW89" s="1253">
        <f t="shared" si="40"/>
        <v>0.49122807017543857</v>
      </c>
      <c r="AX89" s="1253">
        <f t="shared" si="41"/>
        <v>0.47317073170731705</v>
      </c>
      <c r="AY89" s="1253">
        <f t="shared" si="42"/>
        <v>0.52071005917159763</v>
      </c>
      <c r="AZ89" s="1253">
        <f t="shared" si="43"/>
        <v>0.4236111111111111</v>
      </c>
      <c r="BA89" s="1253">
        <f t="shared" si="44"/>
        <v>0.45864661654135336</v>
      </c>
      <c r="BB89" s="1506">
        <f t="shared" si="45"/>
        <v>0.42553191489361702</v>
      </c>
      <c r="BC89" s="1508">
        <f>'Non-marital births'!L90</f>
        <v>0.40140845070422537</v>
      </c>
      <c r="BD89" s="1862">
        <v>0.40140845070422537</v>
      </c>
    </row>
    <row r="90" spans="1:56" s="142" customFormat="1" ht="15.75" customHeight="1" x14ac:dyDescent="0.2">
      <c r="A90" s="149" t="s">
        <v>218</v>
      </c>
      <c r="B90" s="189" t="s">
        <v>219</v>
      </c>
      <c r="C90" s="150" t="s">
        <v>267</v>
      </c>
      <c r="D90" s="1221">
        <v>1194</v>
      </c>
      <c r="E90" s="1222">
        <v>1149</v>
      </c>
      <c r="F90" s="1223">
        <v>1309</v>
      </c>
      <c r="G90" s="1222">
        <v>1472</v>
      </c>
      <c r="H90" s="1223">
        <v>1617</v>
      </c>
      <c r="I90" s="1222">
        <v>1597</v>
      </c>
      <c r="J90" s="1223">
        <v>1706</v>
      </c>
      <c r="K90" s="1222">
        <v>1638</v>
      </c>
      <c r="L90" s="1236">
        <v>1749</v>
      </c>
      <c r="M90" s="1236">
        <v>1717</v>
      </c>
      <c r="N90" s="1236">
        <v>1673</v>
      </c>
      <c r="O90" s="1236">
        <v>1552</v>
      </c>
      <c r="P90" s="1237">
        <v>1595</v>
      </c>
      <c r="Q90" s="1237">
        <v>1559</v>
      </c>
      <c r="R90" s="1510">
        <v>1494</v>
      </c>
      <c r="S90" s="1511">
        <f>'Non-marital births'!D91</f>
        <v>1614</v>
      </c>
      <c r="T90" s="1858">
        <v>1614</v>
      </c>
      <c r="U90" s="1858"/>
      <c r="V90" s="1244">
        <v>293</v>
      </c>
      <c r="W90" s="1245">
        <v>330</v>
      </c>
      <c r="X90" s="1245">
        <v>363</v>
      </c>
      <c r="Y90" s="1245">
        <v>394</v>
      </c>
      <c r="Z90" s="1245">
        <v>427</v>
      </c>
      <c r="AA90" s="1245">
        <v>418</v>
      </c>
      <c r="AB90" s="1245">
        <v>477</v>
      </c>
      <c r="AC90" s="1245">
        <v>497</v>
      </c>
      <c r="AD90" s="1245">
        <v>539</v>
      </c>
      <c r="AE90" s="1245">
        <v>628</v>
      </c>
      <c r="AF90" s="1245">
        <v>616</v>
      </c>
      <c r="AG90" s="1245">
        <v>561</v>
      </c>
      <c r="AH90" s="1245">
        <v>580</v>
      </c>
      <c r="AI90" s="1245">
        <v>573</v>
      </c>
      <c r="AJ90" s="1513">
        <v>534</v>
      </c>
      <c r="AK90" s="1514">
        <f>'Non-marital births'!H91</f>
        <v>577</v>
      </c>
      <c r="AL90" s="1859">
        <v>577</v>
      </c>
      <c r="AM90" s="1859"/>
      <c r="AN90" s="1252">
        <f t="shared" si="31"/>
        <v>0.24539363484087101</v>
      </c>
      <c r="AO90" s="1253">
        <f t="shared" si="32"/>
        <v>0.28720626631853785</v>
      </c>
      <c r="AP90" s="1253">
        <f t="shared" si="33"/>
        <v>0.27731092436974791</v>
      </c>
      <c r="AQ90" s="1253">
        <f t="shared" si="34"/>
        <v>0.26766304347826086</v>
      </c>
      <c r="AR90" s="1253">
        <f t="shared" si="35"/>
        <v>0.26406926406926406</v>
      </c>
      <c r="AS90" s="1253">
        <f t="shared" si="36"/>
        <v>0.26174076393237322</v>
      </c>
      <c r="AT90" s="1253">
        <f t="shared" si="37"/>
        <v>0.27960140679953105</v>
      </c>
      <c r="AU90" s="1253">
        <f t="shared" si="38"/>
        <v>0.3034188034188034</v>
      </c>
      <c r="AV90" s="1253">
        <f t="shared" si="39"/>
        <v>0.3081761006289308</v>
      </c>
      <c r="AW90" s="1253">
        <f t="shared" si="40"/>
        <v>0.36575422248107164</v>
      </c>
      <c r="AX90" s="1253">
        <f t="shared" si="41"/>
        <v>0.3682008368200837</v>
      </c>
      <c r="AY90" s="1253">
        <f t="shared" si="42"/>
        <v>0.36146907216494845</v>
      </c>
      <c r="AZ90" s="1253">
        <f t="shared" si="43"/>
        <v>0.36363636363636365</v>
      </c>
      <c r="BA90" s="1253">
        <f t="shared" si="44"/>
        <v>0.36754329698524696</v>
      </c>
      <c r="BB90" s="1506">
        <f t="shared" si="45"/>
        <v>0.35742971887550201</v>
      </c>
      <c r="BC90" s="1508">
        <f>'Non-marital births'!L91</f>
        <v>0.35749690210656754</v>
      </c>
      <c r="BD90" s="1862">
        <v>0.35749690210656754</v>
      </c>
    </row>
    <row r="91" spans="1:56" s="142" customFormat="1" ht="15.75" customHeight="1" x14ac:dyDescent="0.2">
      <c r="A91" s="149" t="s">
        <v>220</v>
      </c>
      <c r="B91" s="189" t="s">
        <v>221</v>
      </c>
      <c r="C91" s="150" t="s">
        <v>267</v>
      </c>
      <c r="D91" s="1221">
        <v>1293</v>
      </c>
      <c r="E91" s="1222">
        <v>1255</v>
      </c>
      <c r="F91" s="1223">
        <v>1379</v>
      </c>
      <c r="G91" s="1222">
        <v>1426</v>
      </c>
      <c r="H91" s="1223">
        <v>1531</v>
      </c>
      <c r="I91" s="1222">
        <v>1567</v>
      </c>
      <c r="J91" s="1223">
        <v>1621</v>
      </c>
      <c r="K91" s="1222">
        <v>1616</v>
      </c>
      <c r="L91" s="1236">
        <v>1694</v>
      </c>
      <c r="M91" s="1236">
        <v>1741</v>
      </c>
      <c r="N91" s="1236">
        <v>1693</v>
      </c>
      <c r="O91" s="1236">
        <v>1698</v>
      </c>
      <c r="P91" s="1237">
        <v>1671</v>
      </c>
      <c r="Q91" s="1237">
        <v>1683</v>
      </c>
      <c r="R91" s="1510">
        <v>1662</v>
      </c>
      <c r="S91" s="1511">
        <f>'Non-marital births'!D92</f>
        <v>1703</v>
      </c>
      <c r="T91" s="1858">
        <v>1703</v>
      </c>
      <c r="U91" s="1858"/>
      <c r="V91" s="1244">
        <v>309</v>
      </c>
      <c r="W91" s="1245">
        <v>297</v>
      </c>
      <c r="X91" s="1245">
        <v>332</v>
      </c>
      <c r="Y91" s="1245">
        <v>349</v>
      </c>
      <c r="Z91" s="1245">
        <v>371</v>
      </c>
      <c r="AA91" s="1245">
        <v>401</v>
      </c>
      <c r="AB91" s="1245">
        <v>410</v>
      </c>
      <c r="AC91" s="1245">
        <v>440</v>
      </c>
      <c r="AD91" s="1245">
        <v>498</v>
      </c>
      <c r="AE91" s="1245">
        <v>522</v>
      </c>
      <c r="AF91" s="1245">
        <v>497</v>
      </c>
      <c r="AG91" s="1245">
        <v>521</v>
      </c>
      <c r="AH91" s="1245">
        <v>481</v>
      </c>
      <c r="AI91" s="1245">
        <v>522</v>
      </c>
      <c r="AJ91" s="1513">
        <v>491</v>
      </c>
      <c r="AK91" s="1514">
        <f>'Non-marital births'!H92</f>
        <v>497</v>
      </c>
      <c r="AL91" s="1859">
        <v>497</v>
      </c>
      <c r="AM91" s="1859"/>
      <c r="AN91" s="1252">
        <f t="shared" si="31"/>
        <v>0.23897911832946636</v>
      </c>
      <c r="AO91" s="1253">
        <f t="shared" si="32"/>
        <v>0.23665338645418327</v>
      </c>
      <c r="AP91" s="1253">
        <f t="shared" si="33"/>
        <v>0.24075416968817984</v>
      </c>
      <c r="AQ91" s="1253">
        <f t="shared" si="34"/>
        <v>0.2447405329593268</v>
      </c>
      <c r="AR91" s="1253">
        <f t="shared" si="35"/>
        <v>0.24232527759634226</v>
      </c>
      <c r="AS91" s="1253">
        <f t="shared" si="36"/>
        <v>0.25590299936183791</v>
      </c>
      <c r="AT91" s="1253">
        <f t="shared" si="37"/>
        <v>0.25293028994447869</v>
      </c>
      <c r="AU91" s="1253">
        <f t="shared" si="38"/>
        <v>0.2722772277227723</v>
      </c>
      <c r="AV91" s="1253">
        <f t="shared" si="39"/>
        <v>0.29397874852420308</v>
      </c>
      <c r="AW91" s="1253">
        <f t="shared" si="40"/>
        <v>0.29982768523836878</v>
      </c>
      <c r="AX91" s="1253">
        <f t="shared" si="41"/>
        <v>0.29356172474896636</v>
      </c>
      <c r="AY91" s="1253">
        <f t="shared" si="42"/>
        <v>0.30683156654888105</v>
      </c>
      <c r="AZ91" s="1253">
        <f t="shared" si="43"/>
        <v>0.28785158587672055</v>
      </c>
      <c r="BA91" s="1253">
        <f t="shared" si="44"/>
        <v>0.31016042780748665</v>
      </c>
      <c r="BB91" s="1506">
        <f t="shared" si="45"/>
        <v>0.29542719614921781</v>
      </c>
      <c r="BC91" s="1508">
        <f>'Non-marital births'!L92</f>
        <v>0.29183793305930711</v>
      </c>
      <c r="BD91" s="1862">
        <v>0.29183793305930711</v>
      </c>
    </row>
    <row r="92" spans="1:56" s="142" customFormat="1" ht="15.75" customHeight="1" x14ac:dyDescent="0.2">
      <c r="A92" s="149" t="s">
        <v>224</v>
      </c>
      <c r="B92" s="189" t="s">
        <v>225</v>
      </c>
      <c r="C92" s="150" t="s">
        <v>264</v>
      </c>
      <c r="D92" s="1221">
        <v>62</v>
      </c>
      <c r="E92" s="1222">
        <v>67</v>
      </c>
      <c r="F92" s="1223">
        <v>79</v>
      </c>
      <c r="G92" s="1222">
        <v>77</v>
      </c>
      <c r="H92" s="1223">
        <v>64</v>
      </c>
      <c r="I92" s="1222">
        <v>71</v>
      </c>
      <c r="J92" s="1223">
        <v>64</v>
      </c>
      <c r="K92" s="1222">
        <v>52</v>
      </c>
      <c r="L92" s="1236">
        <v>85</v>
      </c>
      <c r="M92" s="1236">
        <v>69</v>
      </c>
      <c r="N92" s="1236">
        <v>73</v>
      </c>
      <c r="O92" s="1236">
        <v>78</v>
      </c>
      <c r="P92" s="1237">
        <v>57</v>
      </c>
      <c r="Q92" s="1237">
        <v>58</v>
      </c>
      <c r="R92" s="1510">
        <v>64</v>
      </c>
      <c r="S92" s="1511">
        <f>'Non-marital births'!D93</f>
        <v>50</v>
      </c>
      <c r="T92" s="1858">
        <v>50</v>
      </c>
      <c r="U92" s="1858"/>
      <c r="V92" s="1244">
        <v>27</v>
      </c>
      <c r="W92" s="1245">
        <v>30</v>
      </c>
      <c r="X92" s="1245">
        <v>35</v>
      </c>
      <c r="Y92" s="1245">
        <v>42</v>
      </c>
      <c r="Z92" s="1245">
        <v>31</v>
      </c>
      <c r="AA92" s="1245">
        <v>31</v>
      </c>
      <c r="AB92" s="1245">
        <v>28</v>
      </c>
      <c r="AC92" s="1245">
        <v>24</v>
      </c>
      <c r="AD92" s="1245">
        <v>40</v>
      </c>
      <c r="AE92" s="1245">
        <v>28</v>
      </c>
      <c r="AF92" s="1245">
        <v>30</v>
      </c>
      <c r="AG92" s="1245">
        <v>41</v>
      </c>
      <c r="AH92" s="1245">
        <v>32</v>
      </c>
      <c r="AI92" s="1245">
        <v>28</v>
      </c>
      <c r="AJ92" s="1513">
        <v>33</v>
      </c>
      <c r="AK92" s="1514">
        <f>'Non-marital births'!H93</f>
        <v>24</v>
      </c>
      <c r="AL92" s="1859">
        <v>24</v>
      </c>
      <c r="AM92" s="1859"/>
      <c r="AN92" s="1252">
        <f t="shared" si="31"/>
        <v>0.43548387096774194</v>
      </c>
      <c r="AO92" s="1253">
        <f t="shared" si="32"/>
        <v>0.44776119402985076</v>
      </c>
      <c r="AP92" s="1253">
        <f t="shared" si="33"/>
        <v>0.44303797468354428</v>
      </c>
      <c r="AQ92" s="1253">
        <f t="shared" si="34"/>
        <v>0.54545454545454541</v>
      </c>
      <c r="AR92" s="1253">
        <f t="shared" si="35"/>
        <v>0.484375</v>
      </c>
      <c r="AS92" s="1253">
        <f t="shared" si="36"/>
        <v>0.43661971830985913</v>
      </c>
      <c r="AT92" s="1253">
        <f t="shared" si="37"/>
        <v>0.4375</v>
      </c>
      <c r="AU92" s="1253">
        <f t="shared" si="38"/>
        <v>0.46153846153846156</v>
      </c>
      <c r="AV92" s="1253">
        <f t="shared" si="39"/>
        <v>0.47058823529411764</v>
      </c>
      <c r="AW92" s="1253">
        <f t="shared" si="40"/>
        <v>0.40579710144927539</v>
      </c>
      <c r="AX92" s="1253">
        <f t="shared" si="41"/>
        <v>0.41095890410958902</v>
      </c>
      <c r="AY92" s="1253">
        <f t="shared" si="42"/>
        <v>0.52564102564102566</v>
      </c>
      <c r="AZ92" s="1253">
        <f t="shared" si="43"/>
        <v>0.56140350877192979</v>
      </c>
      <c r="BA92" s="1253">
        <f t="shared" si="44"/>
        <v>0.48275862068965519</v>
      </c>
      <c r="BB92" s="1506">
        <f t="shared" si="45"/>
        <v>0.515625</v>
      </c>
      <c r="BC92" s="1508">
        <f>'Non-marital births'!L93</f>
        <v>0.48</v>
      </c>
      <c r="BD92" s="1862">
        <v>0.48</v>
      </c>
    </row>
    <row r="93" spans="1:56" s="142" customFormat="1" ht="15.75" customHeight="1" x14ac:dyDescent="0.2">
      <c r="A93" s="149" t="s">
        <v>226</v>
      </c>
      <c r="B93" s="189" t="s">
        <v>227</v>
      </c>
      <c r="C93" s="150" t="s">
        <v>264</v>
      </c>
      <c r="D93" s="1221">
        <v>114</v>
      </c>
      <c r="E93" s="1222">
        <v>130</v>
      </c>
      <c r="F93" s="1223">
        <v>138</v>
      </c>
      <c r="G93" s="1222">
        <v>112</v>
      </c>
      <c r="H93" s="1223">
        <v>115</v>
      </c>
      <c r="I93" s="1222">
        <v>114</v>
      </c>
      <c r="J93" s="1223">
        <v>123</v>
      </c>
      <c r="K93" s="1222">
        <v>119</v>
      </c>
      <c r="L93" s="1236">
        <v>106</v>
      </c>
      <c r="M93" s="1236">
        <v>130</v>
      </c>
      <c r="N93" s="1236">
        <v>116</v>
      </c>
      <c r="O93" s="1236">
        <v>117</v>
      </c>
      <c r="P93" s="1237">
        <v>95</v>
      </c>
      <c r="Q93" s="1237">
        <v>126</v>
      </c>
      <c r="R93" s="1510">
        <v>101</v>
      </c>
      <c r="S93" s="1511">
        <f>'Non-marital births'!D94</f>
        <v>100</v>
      </c>
      <c r="T93" s="1858">
        <v>100</v>
      </c>
      <c r="U93" s="1858"/>
      <c r="V93" s="1244">
        <v>55</v>
      </c>
      <c r="W93" s="1245">
        <v>65</v>
      </c>
      <c r="X93" s="1245">
        <v>79</v>
      </c>
      <c r="Y93" s="1245">
        <v>61</v>
      </c>
      <c r="Z93" s="1245">
        <v>65</v>
      </c>
      <c r="AA93" s="1245">
        <v>62</v>
      </c>
      <c r="AB93" s="1245">
        <v>65</v>
      </c>
      <c r="AC93" s="1245">
        <v>74</v>
      </c>
      <c r="AD93" s="1245">
        <v>62</v>
      </c>
      <c r="AE93" s="1245">
        <v>70</v>
      </c>
      <c r="AF93" s="1245">
        <v>68</v>
      </c>
      <c r="AG93" s="1245">
        <v>71</v>
      </c>
      <c r="AH93" s="1245">
        <v>57</v>
      </c>
      <c r="AI93" s="1245">
        <v>75</v>
      </c>
      <c r="AJ93" s="1513">
        <v>63</v>
      </c>
      <c r="AK93" s="1514">
        <f>'Non-marital births'!H94</f>
        <v>60</v>
      </c>
      <c r="AL93" s="1859">
        <v>60</v>
      </c>
      <c r="AM93" s="1859"/>
      <c r="AN93" s="1252">
        <f t="shared" si="31"/>
        <v>0.48245614035087719</v>
      </c>
      <c r="AO93" s="1253">
        <f t="shared" si="32"/>
        <v>0.5</v>
      </c>
      <c r="AP93" s="1253">
        <f t="shared" si="33"/>
        <v>0.57246376811594202</v>
      </c>
      <c r="AQ93" s="1253">
        <f t="shared" si="34"/>
        <v>0.5446428571428571</v>
      </c>
      <c r="AR93" s="1253">
        <f t="shared" si="35"/>
        <v>0.56521739130434778</v>
      </c>
      <c r="AS93" s="1253">
        <f t="shared" si="36"/>
        <v>0.54385964912280704</v>
      </c>
      <c r="AT93" s="1253">
        <f t="shared" si="37"/>
        <v>0.52845528455284552</v>
      </c>
      <c r="AU93" s="1253">
        <f t="shared" si="38"/>
        <v>0.62184873949579833</v>
      </c>
      <c r="AV93" s="1253">
        <f t="shared" si="39"/>
        <v>0.58490566037735847</v>
      </c>
      <c r="AW93" s="1253">
        <f t="shared" si="40"/>
        <v>0.53846153846153844</v>
      </c>
      <c r="AX93" s="1253">
        <f t="shared" si="41"/>
        <v>0.58620689655172409</v>
      </c>
      <c r="AY93" s="1253">
        <f t="shared" si="42"/>
        <v>0.60683760683760679</v>
      </c>
      <c r="AZ93" s="1253">
        <f t="shared" si="43"/>
        <v>0.6</v>
      </c>
      <c r="BA93" s="1253">
        <f t="shared" si="44"/>
        <v>0.59523809523809523</v>
      </c>
      <c r="BB93" s="1506">
        <f t="shared" si="45"/>
        <v>0.62376237623762376</v>
      </c>
      <c r="BC93" s="1508">
        <f>'Non-marital births'!L94</f>
        <v>0.6</v>
      </c>
      <c r="BD93" s="1862">
        <v>0.6</v>
      </c>
    </row>
    <row r="94" spans="1:56" s="142" customFormat="1" ht="15.75" customHeight="1" x14ac:dyDescent="0.2">
      <c r="A94" s="149" t="s">
        <v>228</v>
      </c>
      <c r="B94" s="189" t="s">
        <v>229</v>
      </c>
      <c r="C94" s="150" t="s">
        <v>268</v>
      </c>
      <c r="D94" s="1221">
        <v>472</v>
      </c>
      <c r="E94" s="1222">
        <v>489</v>
      </c>
      <c r="F94" s="1223">
        <v>421</v>
      </c>
      <c r="G94" s="1222">
        <v>447</v>
      </c>
      <c r="H94" s="1223">
        <v>467</v>
      </c>
      <c r="I94" s="1222">
        <v>494</v>
      </c>
      <c r="J94" s="1223">
        <v>469</v>
      </c>
      <c r="K94" s="1222">
        <v>467</v>
      </c>
      <c r="L94" s="1236">
        <v>473</v>
      </c>
      <c r="M94" s="1236">
        <v>468</v>
      </c>
      <c r="N94" s="1236">
        <v>470</v>
      </c>
      <c r="O94" s="1236">
        <v>482</v>
      </c>
      <c r="P94" s="1237">
        <v>490</v>
      </c>
      <c r="Q94" s="1237">
        <v>418</v>
      </c>
      <c r="R94" s="1510">
        <v>457</v>
      </c>
      <c r="S94" s="1511">
        <f>'Non-marital births'!D95</f>
        <v>456</v>
      </c>
      <c r="T94" s="1858">
        <v>456</v>
      </c>
      <c r="U94" s="1858"/>
      <c r="V94" s="1244">
        <v>126</v>
      </c>
      <c r="W94" s="1245">
        <v>138</v>
      </c>
      <c r="X94" s="1245">
        <v>111</v>
      </c>
      <c r="Y94" s="1245">
        <v>113</v>
      </c>
      <c r="Z94" s="1245">
        <v>126</v>
      </c>
      <c r="AA94" s="1245">
        <v>143</v>
      </c>
      <c r="AB94" s="1245">
        <v>132</v>
      </c>
      <c r="AC94" s="1245">
        <v>135</v>
      </c>
      <c r="AD94" s="1245">
        <v>151</v>
      </c>
      <c r="AE94" s="1245">
        <v>159</v>
      </c>
      <c r="AF94" s="1245">
        <v>154</v>
      </c>
      <c r="AG94" s="1245">
        <v>169</v>
      </c>
      <c r="AH94" s="1245">
        <v>184</v>
      </c>
      <c r="AI94" s="1245">
        <v>152</v>
      </c>
      <c r="AJ94" s="1513">
        <v>164</v>
      </c>
      <c r="AK94" s="1514">
        <f>'Non-marital births'!H95</f>
        <v>182</v>
      </c>
      <c r="AL94" s="1859">
        <v>182</v>
      </c>
      <c r="AM94" s="1859"/>
      <c r="AN94" s="1252">
        <f t="shared" si="31"/>
        <v>0.26694915254237289</v>
      </c>
      <c r="AO94" s="1253">
        <f t="shared" si="32"/>
        <v>0.2822085889570552</v>
      </c>
      <c r="AP94" s="1253">
        <f t="shared" si="33"/>
        <v>0.26365795724465557</v>
      </c>
      <c r="AQ94" s="1253">
        <f t="shared" si="34"/>
        <v>0.25279642058165547</v>
      </c>
      <c r="AR94" s="1253">
        <f t="shared" si="35"/>
        <v>0.26980728051391861</v>
      </c>
      <c r="AS94" s="1253">
        <f t="shared" si="36"/>
        <v>0.28947368421052633</v>
      </c>
      <c r="AT94" s="1253">
        <f t="shared" si="37"/>
        <v>0.28144989339019189</v>
      </c>
      <c r="AU94" s="1253">
        <f t="shared" si="38"/>
        <v>0.28907922912205569</v>
      </c>
      <c r="AV94" s="1253">
        <f t="shared" si="39"/>
        <v>0.31923890063424948</v>
      </c>
      <c r="AW94" s="1253">
        <f t="shared" si="40"/>
        <v>0.33974358974358976</v>
      </c>
      <c r="AX94" s="1253">
        <f t="shared" si="41"/>
        <v>0.32765957446808508</v>
      </c>
      <c r="AY94" s="1253">
        <f t="shared" si="42"/>
        <v>0.35062240663900412</v>
      </c>
      <c r="AZ94" s="1253">
        <f t="shared" si="43"/>
        <v>0.37551020408163266</v>
      </c>
      <c r="BA94" s="1253">
        <f t="shared" si="44"/>
        <v>0.36363636363636365</v>
      </c>
      <c r="BB94" s="1506">
        <f t="shared" si="45"/>
        <v>0.35886214442013131</v>
      </c>
      <c r="BC94" s="1508">
        <f>'Non-marital births'!L95</f>
        <v>0.39912280701754388</v>
      </c>
      <c r="BD94" s="1862">
        <v>0.39912280701754388</v>
      </c>
    </row>
    <row r="95" spans="1:56" s="142" customFormat="1" ht="15.75" customHeight="1" x14ac:dyDescent="0.2">
      <c r="A95" s="149" t="s">
        <v>232</v>
      </c>
      <c r="B95" s="189" t="s">
        <v>233</v>
      </c>
      <c r="C95" s="150" t="s">
        <v>267</v>
      </c>
      <c r="D95" s="1221">
        <v>399</v>
      </c>
      <c r="E95" s="1222">
        <v>442</v>
      </c>
      <c r="F95" s="1223">
        <v>426</v>
      </c>
      <c r="G95" s="1222">
        <v>425</v>
      </c>
      <c r="H95" s="1223">
        <v>437</v>
      </c>
      <c r="I95" s="1222">
        <v>481</v>
      </c>
      <c r="J95" s="1223">
        <v>445</v>
      </c>
      <c r="K95" s="1222">
        <v>508</v>
      </c>
      <c r="L95" s="1236">
        <v>520</v>
      </c>
      <c r="M95" s="1236">
        <v>522</v>
      </c>
      <c r="N95" s="1236">
        <v>505</v>
      </c>
      <c r="O95" s="1236">
        <v>454</v>
      </c>
      <c r="P95" s="1237">
        <v>430</v>
      </c>
      <c r="Q95" s="1237">
        <v>432</v>
      </c>
      <c r="R95" s="1510">
        <v>460</v>
      </c>
      <c r="S95" s="1511">
        <f>'Non-marital births'!D96</f>
        <v>495</v>
      </c>
      <c r="T95" s="1858">
        <v>495</v>
      </c>
      <c r="U95" s="1858"/>
      <c r="V95" s="1244">
        <v>119</v>
      </c>
      <c r="W95" s="1245">
        <v>125</v>
      </c>
      <c r="X95" s="1245">
        <v>141</v>
      </c>
      <c r="Y95" s="1245">
        <v>142</v>
      </c>
      <c r="Z95" s="1245">
        <v>157</v>
      </c>
      <c r="AA95" s="1245">
        <v>157</v>
      </c>
      <c r="AB95" s="1245">
        <v>140</v>
      </c>
      <c r="AC95" s="1245">
        <v>173</v>
      </c>
      <c r="AD95" s="1245">
        <v>196</v>
      </c>
      <c r="AE95" s="1245">
        <v>205</v>
      </c>
      <c r="AF95" s="1245">
        <v>197</v>
      </c>
      <c r="AG95" s="1245">
        <v>185</v>
      </c>
      <c r="AH95" s="1245">
        <v>163</v>
      </c>
      <c r="AI95" s="1245">
        <v>189</v>
      </c>
      <c r="AJ95" s="1513">
        <v>191</v>
      </c>
      <c r="AK95" s="1514">
        <f>'Non-marital births'!H96</f>
        <v>210</v>
      </c>
      <c r="AL95" s="1859">
        <v>210</v>
      </c>
      <c r="AM95" s="1859"/>
      <c r="AN95" s="1252">
        <f t="shared" si="31"/>
        <v>0.2982456140350877</v>
      </c>
      <c r="AO95" s="1253">
        <f t="shared" si="32"/>
        <v>0.28280542986425339</v>
      </c>
      <c r="AP95" s="1253">
        <f t="shared" si="33"/>
        <v>0.33098591549295775</v>
      </c>
      <c r="AQ95" s="1253">
        <f t="shared" si="34"/>
        <v>0.33411764705882352</v>
      </c>
      <c r="AR95" s="1253">
        <f t="shared" si="35"/>
        <v>0.35926773455377575</v>
      </c>
      <c r="AS95" s="1253">
        <f t="shared" si="36"/>
        <v>0.32640332640332642</v>
      </c>
      <c r="AT95" s="1253">
        <f t="shared" si="37"/>
        <v>0.3146067415730337</v>
      </c>
      <c r="AU95" s="1253">
        <f t="shared" si="38"/>
        <v>0.34055118110236221</v>
      </c>
      <c r="AV95" s="1253">
        <f t="shared" si="39"/>
        <v>0.37692307692307692</v>
      </c>
      <c r="AW95" s="1253">
        <f t="shared" si="40"/>
        <v>0.39272030651340994</v>
      </c>
      <c r="AX95" s="1253">
        <f t="shared" si="41"/>
        <v>0.39009900990099011</v>
      </c>
      <c r="AY95" s="1253">
        <f t="shared" si="42"/>
        <v>0.40748898678414097</v>
      </c>
      <c r="AZ95" s="1253">
        <f t="shared" si="43"/>
        <v>0.37906976744186044</v>
      </c>
      <c r="BA95" s="1253">
        <f t="shared" si="44"/>
        <v>0.4375</v>
      </c>
      <c r="BB95" s="1506">
        <f t="shared" si="45"/>
        <v>0.41521739130434782</v>
      </c>
      <c r="BC95" s="1508">
        <f>'Non-marital births'!L96</f>
        <v>0.42424242424242425</v>
      </c>
      <c r="BD95" s="1862">
        <v>0.42424242424242425</v>
      </c>
    </row>
    <row r="96" spans="1:56" s="142" customFormat="1" ht="15.75" customHeight="1" x14ac:dyDescent="0.2">
      <c r="A96" s="149" t="s">
        <v>234</v>
      </c>
      <c r="B96" s="189" t="s">
        <v>235</v>
      </c>
      <c r="C96" s="150" t="s">
        <v>268</v>
      </c>
      <c r="D96" s="1221">
        <v>538</v>
      </c>
      <c r="E96" s="1222">
        <v>501</v>
      </c>
      <c r="F96" s="1223">
        <v>492</v>
      </c>
      <c r="G96" s="1222">
        <v>541</v>
      </c>
      <c r="H96" s="1223">
        <v>547</v>
      </c>
      <c r="I96" s="1222">
        <v>508</v>
      </c>
      <c r="J96" s="1223">
        <v>495</v>
      </c>
      <c r="K96" s="1222">
        <v>526</v>
      </c>
      <c r="L96" s="1236">
        <v>491</v>
      </c>
      <c r="M96" s="1236">
        <v>551</v>
      </c>
      <c r="N96" s="1236">
        <v>536</v>
      </c>
      <c r="O96" s="1236">
        <v>517</v>
      </c>
      <c r="P96" s="1237">
        <v>510</v>
      </c>
      <c r="Q96" s="1237">
        <v>539</v>
      </c>
      <c r="R96" s="1510">
        <v>513</v>
      </c>
      <c r="S96" s="1511">
        <f>'Non-marital births'!D97</f>
        <v>426</v>
      </c>
      <c r="T96" s="1858">
        <v>426</v>
      </c>
      <c r="U96" s="1858"/>
      <c r="V96" s="1244">
        <v>134</v>
      </c>
      <c r="W96" s="1245">
        <v>107</v>
      </c>
      <c r="X96" s="1245">
        <v>107</v>
      </c>
      <c r="Y96" s="1245">
        <v>126</v>
      </c>
      <c r="Z96" s="1245">
        <v>136</v>
      </c>
      <c r="AA96" s="1245">
        <v>111</v>
      </c>
      <c r="AB96" s="1245">
        <v>127</v>
      </c>
      <c r="AC96" s="1245">
        <v>155</v>
      </c>
      <c r="AD96" s="1245">
        <v>147</v>
      </c>
      <c r="AE96" s="1245">
        <v>183</v>
      </c>
      <c r="AF96" s="1245">
        <v>175</v>
      </c>
      <c r="AG96" s="1245">
        <v>175</v>
      </c>
      <c r="AH96" s="1245">
        <v>164</v>
      </c>
      <c r="AI96" s="1245">
        <v>197</v>
      </c>
      <c r="AJ96" s="1513">
        <v>186</v>
      </c>
      <c r="AK96" s="1514">
        <f>'Non-marital births'!H97</f>
        <v>148</v>
      </c>
      <c r="AL96" s="1859">
        <v>148</v>
      </c>
      <c r="AM96" s="1859"/>
      <c r="AN96" s="1252">
        <f t="shared" si="31"/>
        <v>0.24907063197026022</v>
      </c>
      <c r="AO96" s="1253">
        <f t="shared" si="32"/>
        <v>0.21357285429141717</v>
      </c>
      <c r="AP96" s="1253">
        <f t="shared" si="33"/>
        <v>0.21747967479674796</v>
      </c>
      <c r="AQ96" s="1253">
        <f t="shared" si="34"/>
        <v>0.23290203327171904</v>
      </c>
      <c r="AR96" s="1253">
        <f t="shared" si="35"/>
        <v>0.24862888482632542</v>
      </c>
      <c r="AS96" s="1253">
        <f t="shared" si="36"/>
        <v>0.21850393700787402</v>
      </c>
      <c r="AT96" s="1253">
        <f t="shared" si="37"/>
        <v>0.25656565656565655</v>
      </c>
      <c r="AU96" s="1253">
        <f t="shared" si="38"/>
        <v>0.29467680608365021</v>
      </c>
      <c r="AV96" s="1253">
        <f t="shared" si="39"/>
        <v>0.29938900203665986</v>
      </c>
      <c r="AW96" s="1253">
        <f t="shared" si="40"/>
        <v>0.33212341197822143</v>
      </c>
      <c r="AX96" s="1253">
        <f t="shared" si="41"/>
        <v>0.32649253731343286</v>
      </c>
      <c r="AY96" s="1253">
        <f t="shared" si="42"/>
        <v>0.33849129593810445</v>
      </c>
      <c r="AZ96" s="1253">
        <f t="shared" si="43"/>
        <v>0.32156862745098042</v>
      </c>
      <c r="BA96" s="1253">
        <f t="shared" si="44"/>
        <v>0.36549165120593691</v>
      </c>
      <c r="BB96" s="1506">
        <f t="shared" si="45"/>
        <v>0.36257309941520466</v>
      </c>
      <c r="BC96" s="1508">
        <f>'Non-marital births'!L97</f>
        <v>0.34741784037558687</v>
      </c>
      <c r="BD96" s="1862">
        <v>0.34741784037558687</v>
      </c>
    </row>
    <row r="97" spans="1:56" s="142" customFormat="1" ht="15.75" customHeight="1" x14ac:dyDescent="0.2">
      <c r="A97" s="149" t="s">
        <v>236</v>
      </c>
      <c r="B97" s="189" t="s">
        <v>237</v>
      </c>
      <c r="C97" s="150" t="s">
        <v>266</v>
      </c>
      <c r="D97" s="1221">
        <v>204</v>
      </c>
      <c r="E97" s="1222">
        <v>201</v>
      </c>
      <c r="F97" s="1223">
        <v>168</v>
      </c>
      <c r="G97" s="1222">
        <v>184</v>
      </c>
      <c r="H97" s="1223">
        <v>204</v>
      </c>
      <c r="I97" s="1222">
        <v>173</v>
      </c>
      <c r="J97" s="1223">
        <v>179</v>
      </c>
      <c r="K97" s="1222">
        <v>183</v>
      </c>
      <c r="L97" s="1236">
        <v>188</v>
      </c>
      <c r="M97" s="1236">
        <v>207</v>
      </c>
      <c r="N97" s="1236">
        <v>194</v>
      </c>
      <c r="O97" s="1236">
        <v>193</v>
      </c>
      <c r="P97" s="1237">
        <v>181</v>
      </c>
      <c r="Q97" s="1237">
        <v>184</v>
      </c>
      <c r="R97" s="1510">
        <v>192</v>
      </c>
      <c r="S97" s="1511">
        <f>'Non-marital births'!D98</f>
        <v>164</v>
      </c>
      <c r="T97" s="1858">
        <v>164</v>
      </c>
      <c r="U97" s="1858"/>
      <c r="V97" s="1244">
        <v>98</v>
      </c>
      <c r="W97" s="1245">
        <v>107</v>
      </c>
      <c r="X97" s="1245">
        <v>92</v>
      </c>
      <c r="Y97" s="1245">
        <v>94</v>
      </c>
      <c r="Z97" s="1245">
        <v>108</v>
      </c>
      <c r="AA97" s="1245">
        <v>84</v>
      </c>
      <c r="AB97" s="1245">
        <v>96</v>
      </c>
      <c r="AC97" s="1245">
        <v>102</v>
      </c>
      <c r="AD97" s="1245">
        <v>96</v>
      </c>
      <c r="AE97" s="1245">
        <v>110</v>
      </c>
      <c r="AF97" s="1245">
        <v>103</v>
      </c>
      <c r="AG97" s="1245">
        <v>124</v>
      </c>
      <c r="AH97" s="1245">
        <v>100</v>
      </c>
      <c r="AI97" s="1245">
        <v>93</v>
      </c>
      <c r="AJ97" s="1513">
        <v>100</v>
      </c>
      <c r="AK97" s="1514">
        <f>'Non-marital births'!H98</f>
        <v>88</v>
      </c>
      <c r="AL97" s="1859">
        <v>88</v>
      </c>
      <c r="AM97" s="1859"/>
      <c r="AN97" s="1252">
        <f t="shared" si="31"/>
        <v>0.48039215686274511</v>
      </c>
      <c r="AO97" s="1253">
        <f t="shared" si="32"/>
        <v>0.53233830845771146</v>
      </c>
      <c r="AP97" s="1253">
        <f t="shared" si="33"/>
        <v>0.54761904761904767</v>
      </c>
      <c r="AQ97" s="1253">
        <f t="shared" si="34"/>
        <v>0.51086956521739135</v>
      </c>
      <c r="AR97" s="1253">
        <f t="shared" si="35"/>
        <v>0.52941176470588236</v>
      </c>
      <c r="AS97" s="1253">
        <f t="shared" si="36"/>
        <v>0.48554913294797686</v>
      </c>
      <c r="AT97" s="1253">
        <f t="shared" si="37"/>
        <v>0.53631284916201116</v>
      </c>
      <c r="AU97" s="1253">
        <f t="shared" si="38"/>
        <v>0.55737704918032782</v>
      </c>
      <c r="AV97" s="1253">
        <f t="shared" si="39"/>
        <v>0.51063829787234039</v>
      </c>
      <c r="AW97" s="1253">
        <f t="shared" si="40"/>
        <v>0.53140096618357491</v>
      </c>
      <c r="AX97" s="1253">
        <f t="shared" si="41"/>
        <v>0.53092783505154639</v>
      </c>
      <c r="AY97" s="1253">
        <f t="shared" si="42"/>
        <v>0.6424870466321243</v>
      </c>
      <c r="AZ97" s="1253">
        <f t="shared" si="43"/>
        <v>0.5524861878453039</v>
      </c>
      <c r="BA97" s="1253">
        <f t="shared" si="44"/>
        <v>0.50543478260869568</v>
      </c>
      <c r="BB97" s="1506">
        <f t="shared" si="45"/>
        <v>0.52083333333333337</v>
      </c>
      <c r="BC97" s="1508">
        <f>'Non-marital births'!L98</f>
        <v>0.53658536585365857</v>
      </c>
      <c r="BD97" s="1862">
        <v>0.53658536585365857</v>
      </c>
    </row>
    <row r="98" spans="1:56" s="142" customFormat="1" ht="15.75" customHeight="1" x14ac:dyDescent="0.2">
      <c r="A98" s="149" t="s">
        <v>242</v>
      </c>
      <c r="B98" s="189" t="s">
        <v>243</v>
      </c>
      <c r="C98" s="150" t="s">
        <v>268</v>
      </c>
      <c r="D98" s="1221">
        <v>559</v>
      </c>
      <c r="E98" s="1222">
        <v>485</v>
      </c>
      <c r="F98" s="1223">
        <v>510</v>
      </c>
      <c r="G98" s="1222">
        <v>504</v>
      </c>
      <c r="H98" s="1223">
        <v>504</v>
      </c>
      <c r="I98" s="1222">
        <v>489</v>
      </c>
      <c r="J98" s="1223">
        <v>502</v>
      </c>
      <c r="K98" s="1222">
        <v>464</v>
      </c>
      <c r="L98" s="1236">
        <v>481</v>
      </c>
      <c r="M98" s="1236">
        <v>498</v>
      </c>
      <c r="N98" s="1236">
        <v>498</v>
      </c>
      <c r="O98" s="1236">
        <v>524</v>
      </c>
      <c r="P98" s="1237">
        <v>457</v>
      </c>
      <c r="Q98" s="1237">
        <v>396</v>
      </c>
      <c r="R98" s="1510">
        <v>419</v>
      </c>
      <c r="S98" s="1511">
        <f>'Non-marital births'!D99</f>
        <v>406</v>
      </c>
      <c r="T98" s="1858">
        <v>406</v>
      </c>
      <c r="U98" s="1858"/>
      <c r="V98" s="1244">
        <v>173</v>
      </c>
      <c r="W98" s="1245">
        <v>141</v>
      </c>
      <c r="X98" s="1245">
        <v>152</v>
      </c>
      <c r="Y98" s="1245">
        <v>153</v>
      </c>
      <c r="Z98" s="1245">
        <v>163</v>
      </c>
      <c r="AA98" s="1245">
        <v>158</v>
      </c>
      <c r="AB98" s="1245">
        <v>174</v>
      </c>
      <c r="AC98" s="1245">
        <v>169</v>
      </c>
      <c r="AD98" s="1245">
        <v>164</v>
      </c>
      <c r="AE98" s="1245">
        <v>190</v>
      </c>
      <c r="AF98" s="1245">
        <v>184</v>
      </c>
      <c r="AG98" s="1245">
        <v>204</v>
      </c>
      <c r="AH98" s="1245">
        <v>211</v>
      </c>
      <c r="AI98" s="1245">
        <v>159</v>
      </c>
      <c r="AJ98" s="1513">
        <v>183</v>
      </c>
      <c r="AK98" s="1514">
        <f>'Non-marital births'!H99</f>
        <v>203</v>
      </c>
      <c r="AL98" s="1859">
        <v>203</v>
      </c>
      <c r="AM98" s="1859"/>
      <c r="AN98" s="1252">
        <f t="shared" si="31"/>
        <v>0.30948121645796062</v>
      </c>
      <c r="AO98" s="1253">
        <f t="shared" si="32"/>
        <v>0.2907216494845361</v>
      </c>
      <c r="AP98" s="1253">
        <f t="shared" si="33"/>
        <v>0.29803921568627451</v>
      </c>
      <c r="AQ98" s="1253">
        <f t="shared" si="34"/>
        <v>0.30357142857142855</v>
      </c>
      <c r="AR98" s="1253">
        <f t="shared" si="35"/>
        <v>0.32341269841269843</v>
      </c>
      <c r="AS98" s="1253">
        <f t="shared" si="36"/>
        <v>0.32310838445807771</v>
      </c>
      <c r="AT98" s="1253">
        <f t="shared" si="37"/>
        <v>0.34661354581673309</v>
      </c>
      <c r="AU98" s="1253">
        <f t="shared" si="38"/>
        <v>0.36422413793103448</v>
      </c>
      <c r="AV98" s="1253">
        <f t="shared" si="39"/>
        <v>0.34095634095634098</v>
      </c>
      <c r="AW98" s="1253">
        <f t="shared" si="40"/>
        <v>0.38152610441767071</v>
      </c>
      <c r="AX98" s="1253">
        <f t="shared" si="41"/>
        <v>0.36947791164658633</v>
      </c>
      <c r="AY98" s="1253">
        <f t="shared" si="42"/>
        <v>0.38931297709923662</v>
      </c>
      <c r="AZ98" s="1253">
        <f t="shared" si="43"/>
        <v>0.46170678336980309</v>
      </c>
      <c r="BA98" s="1253">
        <f t="shared" si="44"/>
        <v>0.40151515151515149</v>
      </c>
      <c r="BB98" s="1506">
        <f t="shared" si="45"/>
        <v>0.43675417661097854</v>
      </c>
      <c r="BC98" s="1508">
        <f>'Non-marital births'!L99</f>
        <v>0.5</v>
      </c>
      <c r="BD98" s="1862">
        <v>0.5</v>
      </c>
    </row>
    <row r="99" spans="1:56" s="142" customFormat="1" ht="15.75" customHeight="1" x14ac:dyDescent="0.2">
      <c r="A99" s="149" t="s">
        <v>244</v>
      </c>
      <c r="B99" s="189" t="s">
        <v>245</v>
      </c>
      <c r="C99" s="150" t="s">
        <v>268</v>
      </c>
      <c r="D99" s="1221">
        <v>276</v>
      </c>
      <c r="E99" s="1222">
        <v>340</v>
      </c>
      <c r="F99" s="1223">
        <v>336</v>
      </c>
      <c r="G99" s="1222">
        <v>315</v>
      </c>
      <c r="H99" s="1223">
        <v>325</v>
      </c>
      <c r="I99" s="1222">
        <v>333</v>
      </c>
      <c r="J99" s="1223">
        <v>332</v>
      </c>
      <c r="K99" s="1222">
        <v>328</v>
      </c>
      <c r="L99" s="1236">
        <v>333</v>
      </c>
      <c r="M99" s="1236">
        <v>321</v>
      </c>
      <c r="N99" s="1236">
        <v>290</v>
      </c>
      <c r="O99" s="1236">
        <v>278</v>
      </c>
      <c r="P99" s="1237">
        <v>281</v>
      </c>
      <c r="Q99" s="1237">
        <v>310</v>
      </c>
      <c r="R99" s="1510">
        <v>293</v>
      </c>
      <c r="S99" s="1511">
        <f>'Non-marital births'!D100</f>
        <v>312</v>
      </c>
      <c r="T99" s="1858">
        <v>312</v>
      </c>
      <c r="U99" s="1858"/>
      <c r="V99" s="1244">
        <v>74</v>
      </c>
      <c r="W99" s="1245">
        <v>78</v>
      </c>
      <c r="X99" s="1245">
        <v>74</v>
      </c>
      <c r="Y99" s="1245">
        <v>84</v>
      </c>
      <c r="Z99" s="1245">
        <v>89</v>
      </c>
      <c r="AA99" s="1245">
        <v>95</v>
      </c>
      <c r="AB99" s="1245">
        <v>106</v>
      </c>
      <c r="AC99" s="1245">
        <v>98</v>
      </c>
      <c r="AD99" s="1245">
        <v>108</v>
      </c>
      <c r="AE99" s="1245">
        <v>113</v>
      </c>
      <c r="AF99" s="1245">
        <v>112</v>
      </c>
      <c r="AG99" s="1245">
        <v>105</v>
      </c>
      <c r="AH99" s="1245">
        <v>96</v>
      </c>
      <c r="AI99" s="1245">
        <v>127</v>
      </c>
      <c r="AJ99" s="1513">
        <v>134</v>
      </c>
      <c r="AK99" s="1514">
        <f>'Non-marital births'!H100</f>
        <v>142</v>
      </c>
      <c r="AL99" s="1859">
        <v>142</v>
      </c>
      <c r="AM99" s="1859"/>
      <c r="AN99" s="1252">
        <f t="shared" si="31"/>
        <v>0.26811594202898553</v>
      </c>
      <c r="AO99" s="1253">
        <f t="shared" si="32"/>
        <v>0.22941176470588234</v>
      </c>
      <c r="AP99" s="1253">
        <f t="shared" si="33"/>
        <v>0.22023809523809523</v>
      </c>
      <c r="AQ99" s="1253">
        <f t="shared" si="34"/>
        <v>0.26666666666666666</v>
      </c>
      <c r="AR99" s="1253">
        <f t="shared" si="35"/>
        <v>0.27384615384615385</v>
      </c>
      <c r="AS99" s="1253">
        <f t="shared" si="36"/>
        <v>0.28528528528528529</v>
      </c>
      <c r="AT99" s="1253">
        <f t="shared" si="37"/>
        <v>0.31927710843373491</v>
      </c>
      <c r="AU99" s="1253">
        <f t="shared" si="38"/>
        <v>0.29878048780487804</v>
      </c>
      <c r="AV99" s="1253">
        <f t="shared" si="39"/>
        <v>0.32432432432432434</v>
      </c>
      <c r="AW99" s="1253">
        <f t="shared" si="40"/>
        <v>0.35202492211838005</v>
      </c>
      <c r="AX99" s="1253">
        <f t="shared" si="41"/>
        <v>0.38620689655172413</v>
      </c>
      <c r="AY99" s="1253">
        <f t="shared" si="42"/>
        <v>0.37769784172661869</v>
      </c>
      <c r="AZ99" s="1253">
        <f t="shared" si="43"/>
        <v>0.34163701067615659</v>
      </c>
      <c r="BA99" s="1253">
        <f t="shared" si="44"/>
        <v>0.4096774193548387</v>
      </c>
      <c r="BB99" s="1506">
        <f t="shared" si="45"/>
        <v>0.45733788395904434</v>
      </c>
      <c r="BC99" s="1508">
        <f>'Non-marital births'!L100</f>
        <v>0.45512820512820512</v>
      </c>
      <c r="BD99" s="1862">
        <v>0.45512820512820512</v>
      </c>
    </row>
    <row r="100" spans="1:56" s="142" customFormat="1" ht="15.75" customHeight="1" x14ac:dyDescent="0.2">
      <c r="A100" s="149" t="s">
        <v>246</v>
      </c>
      <c r="B100" s="189" t="s">
        <v>247</v>
      </c>
      <c r="C100" s="150" t="s">
        <v>264</v>
      </c>
      <c r="D100" s="1221">
        <v>648</v>
      </c>
      <c r="E100" s="1222">
        <v>744</v>
      </c>
      <c r="F100" s="1223">
        <v>823</v>
      </c>
      <c r="G100" s="1222">
        <v>712</v>
      </c>
      <c r="H100" s="1223">
        <v>683</v>
      </c>
      <c r="I100" s="1222">
        <v>670</v>
      </c>
      <c r="J100" s="1223">
        <v>676</v>
      </c>
      <c r="K100" s="1222">
        <v>623</v>
      </c>
      <c r="L100" s="1236">
        <v>633</v>
      </c>
      <c r="M100" s="1236">
        <v>682</v>
      </c>
      <c r="N100" s="1236">
        <v>670</v>
      </c>
      <c r="O100" s="1236">
        <v>702</v>
      </c>
      <c r="P100" s="1237">
        <v>668</v>
      </c>
      <c r="Q100" s="1237">
        <v>678</v>
      </c>
      <c r="R100" s="1510">
        <v>658</v>
      </c>
      <c r="S100" s="1511">
        <f>'Non-marital births'!D101</f>
        <v>803</v>
      </c>
      <c r="T100" s="1858">
        <v>803</v>
      </c>
      <c r="U100" s="1858"/>
      <c r="V100" s="1244">
        <v>114</v>
      </c>
      <c r="W100" s="1245">
        <v>150</v>
      </c>
      <c r="X100" s="1245">
        <v>176</v>
      </c>
      <c r="Y100" s="1245">
        <v>149</v>
      </c>
      <c r="Z100" s="1245">
        <v>120</v>
      </c>
      <c r="AA100" s="1245">
        <v>125</v>
      </c>
      <c r="AB100" s="1245">
        <v>145</v>
      </c>
      <c r="AC100" s="1245">
        <v>120</v>
      </c>
      <c r="AD100" s="1245">
        <v>143</v>
      </c>
      <c r="AE100" s="1245">
        <v>136</v>
      </c>
      <c r="AF100" s="1245">
        <v>162</v>
      </c>
      <c r="AG100" s="1245">
        <v>158</v>
      </c>
      <c r="AH100" s="1245">
        <v>140</v>
      </c>
      <c r="AI100" s="1245">
        <v>163</v>
      </c>
      <c r="AJ100" s="1513">
        <v>142</v>
      </c>
      <c r="AK100" s="1514">
        <f>'Non-marital births'!H101</f>
        <v>175</v>
      </c>
      <c r="AL100" s="1859">
        <v>175</v>
      </c>
      <c r="AM100" s="1859"/>
      <c r="AN100" s="1252">
        <f t="shared" si="31"/>
        <v>0.17592592592592593</v>
      </c>
      <c r="AO100" s="1253">
        <f t="shared" si="32"/>
        <v>0.20161290322580644</v>
      </c>
      <c r="AP100" s="1253">
        <f t="shared" si="33"/>
        <v>0.21385176184690158</v>
      </c>
      <c r="AQ100" s="1253">
        <f t="shared" si="34"/>
        <v>0.20926966292134833</v>
      </c>
      <c r="AR100" s="1253">
        <f t="shared" si="35"/>
        <v>0.17569546120058566</v>
      </c>
      <c r="AS100" s="1253">
        <f t="shared" si="36"/>
        <v>0.18656716417910449</v>
      </c>
      <c r="AT100" s="1253">
        <f t="shared" si="37"/>
        <v>0.21449704142011836</v>
      </c>
      <c r="AU100" s="1253">
        <f t="shared" si="38"/>
        <v>0.1926163723916533</v>
      </c>
      <c r="AV100" s="1253">
        <f t="shared" si="39"/>
        <v>0.2259083728278041</v>
      </c>
      <c r="AW100" s="1253">
        <f t="shared" si="40"/>
        <v>0.19941348973607037</v>
      </c>
      <c r="AX100" s="1253">
        <f t="shared" si="41"/>
        <v>0.2417910447761194</v>
      </c>
      <c r="AY100" s="1253">
        <f t="shared" si="42"/>
        <v>0.22507122507122507</v>
      </c>
      <c r="AZ100" s="1253">
        <f t="shared" si="43"/>
        <v>0.20958083832335328</v>
      </c>
      <c r="BA100" s="1253">
        <f t="shared" si="44"/>
        <v>0.24041297935103245</v>
      </c>
      <c r="BB100" s="1506">
        <f t="shared" si="45"/>
        <v>0.21580547112462006</v>
      </c>
      <c r="BC100" s="1508">
        <f>'Non-marital births'!L101</f>
        <v>0.21793275217932753</v>
      </c>
      <c r="BD100" s="1862">
        <v>0.21793275217932753</v>
      </c>
    </row>
    <row r="101" spans="1:56" s="142" customFormat="1" ht="15.75" customHeight="1" x14ac:dyDescent="0.2">
      <c r="A101" s="149" t="s">
        <v>14</v>
      </c>
      <c r="B101" s="189" t="s">
        <v>15</v>
      </c>
      <c r="C101" s="150" t="s">
        <v>267</v>
      </c>
      <c r="D101" s="1221">
        <v>2110</v>
      </c>
      <c r="E101" s="1222">
        <v>2125</v>
      </c>
      <c r="F101" s="1223">
        <v>2432</v>
      </c>
      <c r="G101" s="1222">
        <v>2424</v>
      </c>
      <c r="H101" s="1223">
        <v>2208</v>
      </c>
      <c r="I101" s="1222">
        <v>2333</v>
      </c>
      <c r="J101" s="1223">
        <v>2375</v>
      </c>
      <c r="K101" s="1222">
        <v>2451</v>
      </c>
      <c r="L101" s="1236">
        <v>2436</v>
      </c>
      <c r="M101" s="1236">
        <v>2525</v>
      </c>
      <c r="N101" s="1236">
        <v>2595</v>
      </c>
      <c r="O101" s="1236">
        <v>2558</v>
      </c>
      <c r="P101" s="1237">
        <v>2667</v>
      </c>
      <c r="Q101" s="1237">
        <v>2632</v>
      </c>
      <c r="R101" s="1510">
        <v>2763</v>
      </c>
      <c r="S101" s="1511">
        <f>'Non-marital births'!D102</f>
        <v>2748</v>
      </c>
      <c r="T101" s="1858">
        <v>2748</v>
      </c>
      <c r="U101" s="1858"/>
      <c r="V101" s="1244">
        <v>566</v>
      </c>
      <c r="W101" s="1245">
        <v>654</v>
      </c>
      <c r="X101" s="1245">
        <v>699</v>
      </c>
      <c r="Y101" s="1245">
        <v>693</v>
      </c>
      <c r="Z101" s="1245">
        <v>586</v>
      </c>
      <c r="AA101" s="1245">
        <v>632</v>
      </c>
      <c r="AB101" s="1245">
        <v>644</v>
      </c>
      <c r="AC101" s="1245">
        <v>739</v>
      </c>
      <c r="AD101" s="1245">
        <v>739</v>
      </c>
      <c r="AE101" s="1245">
        <v>789</v>
      </c>
      <c r="AF101" s="1245">
        <v>760</v>
      </c>
      <c r="AG101" s="1245">
        <v>751</v>
      </c>
      <c r="AH101" s="1245">
        <v>729</v>
      </c>
      <c r="AI101" s="1245">
        <v>746</v>
      </c>
      <c r="AJ101" s="1513">
        <v>677</v>
      </c>
      <c r="AK101" s="1514">
        <f>'Non-marital births'!H102</f>
        <v>636</v>
      </c>
      <c r="AL101" s="1859">
        <v>636</v>
      </c>
      <c r="AM101" s="1859"/>
      <c r="AN101" s="1252">
        <f t="shared" ref="AN101:AN125" si="46">V101/D101</f>
        <v>0.26824644549763033</v>
      </c>
      <c r="AO101" s="1253">
        <f t="shared" si="32"/>
        <v>0.30776470588235294</v>
      </c>
      <c r="AP101" s="1253">
        <f t="shared" si="33"/>
        <v>0.28741776315789475</v>
      </c>
      <c r="AQ101" s="1253">
        <f t="shared" si="34"/>
        <v>0.28589108910891087</v>
      </c>
      <c r="AR101" s="1253">
        <f t="shared" si="35"/>
        <v>0.26539855072463769</v>
      </c>
      <c r="AS101" s="1253">
        <f t="shared" si="36"/>
        <v>0.27089584226318048</v>
      </c>
      <c r="AT101" s="1253">
        <f t="shared" si="37"/>
        <v>0.2711578947368421</v>
      </c>
      <c r="AU101" s="1253">
        <f t="shared" si="38"/>
        <v>0.30150958792329663</v>
      </c>
      <c r="AV101" s="1253">
        <f t="shared" si="39"/>
        <v>0.30336617405582922</v>
      </c>
      <c r="AW101" s="1253">
        <f t="shared" si="40"/>
        <v>0.31247524752475248</v>
      </c>
      <c r="AX101" s="1253">
        <f t="shared" si="41"/>
        <v>0.2928709055876686</v>
      </c>
      <c r="AY101" s="1253">
        <f t="shared" si="42"/>
        <v>0.2935887412040657</v>
      </c>
      <c r="AZ101" s="1253">
        <f t="shared" si="43"/>
        <v>0.27334083239595053</v>
      </c>
      <c r="BA101" s="1253">
        <f t="shared" si="44"/>
        <v>0.28343465045592703</v>
      </c>
      <c r="BB101" s="1506">
        <f t="shared" si="45"/>
        <v>0.24502352515381831</v>
      </c>
      <c r="BC101" s="1508">
        <f>'Non-marital births'!L102</f>
        <v>0.23144104803493451</v>
      </c>
      <c r="BD101" s="1862">
        <v>0.23144104803493451</v>
      </c>
    </row>
    <row r="102" spans="1:56" s="142" customFormat="1" ht="15.75" customHeight="1" x14ac:dyDescent="0.2">
      <c r="A102" s="149" t="s">
        <v>34</v>
      </c>
      <c r="B102" s="189" t="s">
        <v>35</v>
      </c>
      <c r="C102" s="150" t="s">
        <v>268</v>
      </c>
      <c r="D102" s="1221">
        <v>188</v>
      </c>
      <c r="E102" s="1222">
        <v>221</v>
      </c>
      <c r="F102" s="1223">
        <v>211</v>
      </c>
      <c r="G102" s="1222">
        <v>194</v>
      </c>
      <c r="H102" s="1223">
        <v>190</v>
      </c>
      <c r="I102" s="1222">
        <v>162</v>
      </c>
      <c r="J102" s="1223">
        <v>209</v>
      </c>
      <c r="K102" s="1222">
        <v>185</v>
      </c>
      <c r="L102" s="1236">
        <v>205</v>
      </c>
      <c r="M102" s="1236">
        <v>219</v>
      </c>
      <c r="N102" s="1236">
        <v>217</v>
      </c>
      <c r="O102" s="1236">
        <v>218</v>
      </c>
      <c r="P102" s="1237">
        <v>208</v>
      </c>
      <c r="Q102" s="1237">
        <v>143</v>
      </c>
      <c r="R102" s="1510">
        <v>173</v>
      </c>
      <c r="S102" s="1511">
        <f>'Non-marital births'!D103</f>
        <v>158</v>
      </c>
      <c r="T102" s="1858">
        <v>158</v>
      </c>
      <c r="U102" s="1858"/>
      <c r="V102" s="1244">
        <v>58</v>
      </c>
      <c r="W102" s="1245">
        <v>69</v>
      </c>
      <c r="X102" s="1245">
        <v>67</v>
      </c>
      <c r="Y102" s="1245">
        <v>71</v>
      </c>
      <c r="Z102" s="1245">
        <v>73</v>
      </c>
      <c r="AA102" s="1245">
        <v>60</v>
      </c>
      <c r="AB102" s="1245">
        <v>80</v>
      </c>
      <c r="AC102" s="1245">
        <v>85</v>
      </c>
      <c r="AD102" s="1245">
        <v>82</v>
      </c>
      <c r="AE102" s="1245">
        <v>104</v>
      </c>
      <c r="AF102" s="1245">
        <v>103</v>
      </c>
      <c r="AG102" s="1245">
        <v>127</v>
      </c>
      <c r="AH102" s="1245">
        <v>112</v>
      </c>
      <c r="AI102" s="1245">
        <v>66</v>
      </c>
      <c r="AJ102" s="1513">
        <v>96</v>
      </c>
      <c r="AK102" s="1514">
        <f>'Non-marital births'!H103</f>
        <v>76</v>
      </c>
      <c r="AL102" s="1859">
        <v>76</v>
      </c>
      <c r="AM102" s="1859"/>
      <c r="AN102" s="1252">
        <f t="shared" si="46"/>
        <v>0.30851063829787234</v>
      </c>
      <c r="AO102" s="1253">
        <f t="shared" ref="AO102:AO125" si="47">W102/E102</f>
        <v>0.31221719457013575</v>
      </c>
      <c r="AP102" s="1253">
        <f t="shared" ref="AP102:AP125" si="48">X102/F102</f>
        <v>0.31753554502369669</v>
      </c>
      <c r="AQ102" s="1253">
        <f t="shared" ref="AQ102:AQ125" si="49">Y102/G102</f>
        <v>0.36597938144329895</v>
      </c>
      <c r="AR102" s="1253">
        <f t="shared" ref="AR102:AR125" si="50">Z102/H102</f>
        <v>0.38421052631578945</v>
      </c>
      <c r="AS102" s="1253">
        <f t="shared" ref="AS102:AS125" si="51">AA102/I102</f>
        <v>0.37037037037037035</v>
      </c>
      <c r="AT102" s="1253">
        <f t="shared" ref="AT102:AT125" si="52">AB102/J102</f>
        <v>0.38277511961722488</v>
      </c>
      <c r="AU102" s="1253">
        <f t="shared" ref="AU102:AU125" si="53">AC102/K102</f>
        <v>0.45945945945945948</v>
      </c>
      <c r="AV102" s="1253">
        <f t="shared" ref="AV102:AV125" si="54">AD102/L102</f>
        <v>0.4</v>
      </c>
      <c r="AW102" s="1253">
        <f t="shared" ref="AW102:AW125" si="55">AE102/M102</f>
        <v>0.47488584474885842</v>
      </c>
      <c r="AX102" s="1253">
        <f t="shared" ref="AX102:AX125" si="56">AF102/N102</f>
        <v>0.47465437788018433</v>
      </c>
      <c r="AY102" s="1253">
        <f t="shared" ref="AY102:AY125" si="57">AG102/O102</f>
        <v>0.58256880733944949</v>
      </c>
      <c r="AZ102" s="1253">
        <f t="shared" ref="AZ102:AZ125" si="58">AH102/P102</f>
        <v>0.53846153846153844</v>
      </c>
      <c r="BA102" s="1253">
        <f t="shared" ref="BA102:BA125" si="59">AI102/Q102</f>
        <v>0.46153846153846156</v>
      </c>
      <c r="BB102" s="1506">
        <f t="shared" ref="BB102:BB125" si="60">AJ102/R102</f>
        <v>0.55491329479768781</v>
      </c>
      <c r="BC102" s="1508">
        <f>'Non-marital births'!L103</f>
        <v>0.48101265822784811</v>
      </c>
      <c r="BD102" s="1862">
        <v>0.48101265822784811</v>
      </c>
    </row>
    <row r="103" spans="1:56" s="142" customFormat="1" ht="15.75" customHeight="1" x14ac:dyDescent="0.2">
      <c r="A103" s="149" t="s">
        <v>52</v>
      </c>
      <c r="B103" s="189" t="s">
        <v>53</v>
      </c>
      <c r="C103" s="150" t="s">
        <v>265</v>
      </c>
      <c r="D103" s="1221">
        <v>471</v>
      </c>
      <c r="E103" s="1222">
        <v>489</v>
      </c>
      <c r="F103" s="1223">
        <v>550</v>
      </c>
      <c r="G103" s="1222">
        <v>494</v>
      </c>
      <c r="H103" s="1223">
        <v>491</v>
      </c>
      <c r="I103" s="1222">
        <v>531</v>
      </c>
      <c r="J103" s="1223">
        <v>472</v>
      </c>
      <c r="K103" s="1222">
        <v>525</v>
      </c>
      <c r="L103" s="1236">
        <v>498</v>
      </c>
      <c r="M103" s="1236">
        <v>546</v>
      </c>
      <c r="N103" s="1236">
        <v>597</v>
      </c>
      <c r="O103" s="1236">
        <v>571</v>
      </c>
      <c r="P103" s="1237">
        <v>548</v>
      </c>
      <c r="Q103" s="1237">
        <v>499</v>
      </c>
      <c r="R103" s="1510">
        <v>575</v>
      </c>
      <c r="S103" s="1511">
        <f>'Non-marital births'!D104</f>
        <v>625</v>
      </c>
      <c r="T103" s="1858">
        <v>625</v>
      </c>
      <c r="U103" s="1858"/>
      <c r="V103" s="1244">
        <v>192</v>
      </c>
      <c r="W103" s="1245">
        <v>196</v>
      </c>
      <c r="X103" s="1245">
        <v>235</v>
      </c>
      <c r="Y103" s="1245">
        <v>186</v>
      </c>
      <c r="Z103" s="1245">
        <v>189</v>
      </c>
      <c r="AA103" s="1245">
        <v>190</v>
      </c>
      <c r="AB103" s="1245">
        <v>201</v>
      </c>
      <c r="AC103" s="1245">
        <v>218</v>
      </c>
      <c r="AD103" s="1245">
        <v>221</v>
      </c>
      <c r="AE103" s="1245">
        <v>260</v>
      </c>
      <c r="AF103" s="1245">
        <v>261</v>
      </c>
      <c r="AG103" s="1245">
        <v>240</v>
      </c>
      <c r="AH103" s="1245">
        <v>193</v>
      </c>
      <c r="AI103" s="1245">
        <v>175</v>
      </c>
      <c r="AJ103" s="1513">
        <v>192</v>
      </c>
      <c r="AK103" s="1514">
        <f>'Non-marital births'!H104</f>
        <v>177</v>
      </c>
      <c r="AL103" s="1859">
        <v>177</v>
      </c>
      <c r="AM103" s="1859"/>
      <c r="AN103" s="1252">
        <f t="shared" si="46"/>
        <v>0.40764331210191085</v>
      </c>
      <c r="AO103" s="1253">
        <f t="shared" si="47"/>
        <v>0.40081799591002043</v>
      </c>
      <c r="AP103" s="1253">
        <f t="shared" si="48"/>
        <v>0.42727272727272725</v>
      </c>
      <c r="AQ103" s="1253">
        <f t="shared" si="49"/>
        <v>0.37651821862348178</v>
      </c>
      <c r="AR103" s="1253">
        <f t="shared" si="50"/>
        <v>0.38492871690427699</v>
      </c>
      <c r="AS103" s="1253">
        <f t="shared" si="51"/>
        <v>0.35781544256120529</v>
      </c>
      <c r="AT103" s="1253">
        <f t="shared" si="52"/>
        <v>0.42584745762711862</v>
      </c>
      <c r="AU103" s="1253">
        <f t="shared" si="53"/>
        <v>0.41523809523809524</v>
      </c>
      <c r="AV103" s="1253">
        <f t="shared" si="54"/>
        <v>0.44377510040160645</v>
      </c>
      <c r="AW103" s="1253">
        <f t="shared" si="55"/>
        <v>0.47619047619047616</v>
      </c>
      <c r="AX103" s="1253">
        <f t="shared" si="56"/>
        <v>0.43718592964824121</v>
      </c>
      <c r="AY103" s="1253">
        <f t="shared" si="57"/>
        <v>0.42031523642732049</v>
      </c>
      <c r="AZ103" s="1253">
        <f t="shared" si="58"/>
        <v>0.3521897810218978</v>
      </c>
      <c r="BA103" s="1253">
        <f t="shared" si="59"/>
        <v>0.35070140280561124</v>
      </c>
      <c r="BB103" s="1506">
        <f t="shared" si="60"/>
        <v>0.3339130434782609</v>
      </c>
      <c r="BC103" s="1508">
        <f>'Non-marital births'!L104</f>
        <v>0.28320000000000001</v>
      </c>
      <c r="BD103" s="1862">
        <v>0.28320000000000001</v>
      </c>
    </row>
    <row r="104" spans="1:56" s="142" customFormat="1" ht="15.75" customHeight="1" x14ac:dyDescent="0.2">
      <c r="A104" s="149" t="s">
        <v>54</v>
      </c>
      <c r="B104" s="189" t="s">
        <v>55</v>
      </c>
      <c r="C104" s="150" t="s">
        <v>264</v>
      </c>
      <c r="D104" s="1221">
        <v>2818</v>
      </c>
      <c r="E104" s="1222">
        <v>2805</v>
      </c>
      <c r="F104" s="1223">
        <v>2834</v>
      </c>
      <c r="G104" s="1222">
        <v>2741</v>
      </c>
      <c r="H104" s="1223">
        <v>2744</v>
      </c>
      <c r="I104" s="1222">
        <v>2860</v>
      </c>
      <c r="J104" s="1223">
        <v>2975</v>
      </c>
      <c r="K104" s="1222">
        <v>2896</v>
      </c>
      <c r="L104" s="1236">
        <v>2920</v>
      </c>
      <c r="M104" s="1236">
        <v>2996</v>
      </c>
      <c r="N104" s="1236">
        <v>2892</v>
      </c>
      <c r="O104" s="1236">
        <v>2785</v>
      </c>
      <c r="P104" s="1237">
        <v>2830</v>
      </c>
      <c r="Q104" s="1237">
        <v>2748</v>
      </c>
      <c r="R104" s="1510">
        <v>2805</v>
      </c>
      <c r="S104" s="1511">
        <f>'Non-marital births'!D105</f>
        <v>3016</v>
      </c>
      <c r="T104" s="1858">
        <v>3016</v>
      </c>
      <c r="U104" s="1858"/>
      <c r="V104" s="1244">
        <v>848</v>
      </c>
      <c r="W104" s="1245">
        <v>905</v>
      </c>
      <c r="X104" s="1245">
        <v>877</v>
      </c>
      <c r="Y104" s="1245">
        <v>894</v>
      </c>
      <c r="Z104" s="1245">
        <v>926</v>
      </c>
      <c r="AA104" s="1245">
        <v>940</v>
      </c>
      <c r="AB104" s="1245">
        <v>982</v>
      </c>
      <c r="AC104" s="1245">
        <v>939</v>
      </c>
      <c r="AD104" s="1245">
        <v>994</v>
      </c>
      <c r="AE104" s="1245">
        <v>1084</v>
      </c>
      <c r="AF104" s="1245">
        <v>1080</v>
      </c>
      <c r="AG104" s="1245">
        <v>1123</v>
      </c>
      <c r="AH104" s="1245">
        <v>1104</v>
      </c>
      <c r="AI104" s="1245">
        <v>1077</v>
      </c>
      <c r="AJ104" s="1513">
        <v>1053</v>
      </c>
      <c r="AK104" s="1514">
        <f>'Non-marital births'!H105</f>
        <v>1057</v>
      </c>
      <c r="AL104" s="1859">
        <v>1057</v>
      </c>
      <c r="AM104" s="1859"/>
      <c r="AN104" s="1252">
        <f t="shared" si="46"/>
        <v>0.30092264017033354</v>
      </c>
      <c r="AO104" s="1253">
        <f t="shared" si="47"/>
        <v>0.32263814616755793</v>
      </c>
      <c r="AP104" s="1253">
        <f t="shared" si="48"/>
        <v>0.30945659844742412</v>
      </c>
      <c r="AQ104" s="1253">
        <f t="shared" si="49"/>
        <v>0.32615833637358627</v>
      </c>
      <c r="AR104" s="1253">
        <f t="shared" si="50"/>
        <v>0.33746355685131196</v>
      </c>
      <c r="AS104" s="1253">
        <f t="shared" si="51"/>
        <v>0.32867132867132864</v>
      </c>
      <c r="AT104" s="1253">
        <f t="shared" si="52"/>
        <v>0.3300840336134454</v>
      </c>
      <c r="AU104" s="1253">
        <f t="shared" si="53"/>
        <v>0.32424033149171272</v>
      </c>
      <c r="AV104" s="1253">
        <f t="shared" si="54"/>
        <v>0.34041095890410961</v>
      </c>
      <c r="AW104" s="1253">
        <f t="shared" si="55"/>
        <v>0.36181575433911883</v>
      </c>
      <c r="AX104" s="1253">
        <f t="shared" si="56"/>
        <v>0.37344398340248963</v>
      </c>
      <c r="AY104" s="1253">
        <f t="shared" si="57"/>
        <v>0.40323159784560142</v>
      </c>
      <c r="AZ104" s="1253">
        <f t="shared" si="58"/>
        <v>0.39010600706713783</v>
      </c>
      <c r="BA104" s="1253">
        <f t="shared" si="59"/>
        <v>0.39192139737991266</v>
      </c>
      <c r="BB104" s="1506">
        <f t="shared" si="60"/>
        <v>0.3754010695187166</v>
      </c>
      <c r="BC104" s="1508">
        <f>'Non-marital births'!L105</f>
        <v>0.35046419098143233</v>
      </c>
      <c r="BD104" s="1862">
        <v>0.35046419098143233</v>
      </c>
    </row>
    <row r="105" spans="1:56" s="142" customFormat="1" ht="15.75" customHeight="1" x14ac:dyDescent="0.2">
      <c r="A105" s="149" t="s">
        <v>66</v>
      </c>
      <c r="B105" s="189" t="s">
        <v>67</v>
      </c>
      <c r="C105" s="150" t="s">
        <v>265</v>
      </c>
      <c r="D105" s="1221">
        <v>686</v>
      </c>
      <c r="E105" s="1222">
        <v>588</v>
      </c>
      <c r="F105" s="1223">
        <v>585</v>
      </c>
      <c r="G105" s="1222">
        <v>589</v>
      </c>
      <c r="H105" s="1223">
        <v>588</v>
      </c>
      <c r="I105" s="1222">
        <v>583</v>
      </c>
      <c r="J105" s="1223">
        <v>568</v>
      </c>
      <c r="K105" s="1222">
        <v>583</v>
      </c>
      <c r="L105" s="1236">
        <v>650</v>
      </c>
      <c r="M105" s="1236">
        <v>566</v>
      </c>
      <c r="N105" s="1236">
        <v>636</v>
      </c>
      <c r="O105" s="1236">
        <v>640</v>
      </c>
      <c r="P105" s="1237">
        <v>557</v>
      </c>
      <c r="Q105" s="1237">
        <v>585</v>
      </c>
      <c r="R105" s="1510">
        <v>601</v>
      </c>
      <c r="S105" s="1511">
        <f>'Non-marital births'!D106</f>
        <v>583</v>
      </c>
      <c r="T105" s="1858">
        <v>583</v>
      </c>
      <c r="U105" s="1858"/>
      <c r="V105" s="1244">
        <v>379</v>
      </c>
      <c r="W105" s="1245">
        <v>345</v>
      </c>
      <c r="X105" s="1245">
        <v>325</v>
      </c>
      <c r="Y105" s="1245">
        <v>334</v>
      </c>
      <c r="Z105" s="1245">
        <v>345</v>
      </c>
      <c r="AA105" s="1245">
        <v>322</v>
      </c>
      <c r="AB105" s="1245">
        <v>350</v>
      </c>
      <c r="AC105" s="1245">
        <v>336</v>
      </c>
      <c r="AD105" s="1245">
        <v>404</v>
      </c>
      <c r="AE105" s="1245">
        <v>378</v>
      </c>
      <c r="AF105" s="1245">
        <v>412</v>
      </c>
      <c r="AG105" s="1245">
        <v>417</v>
      </c>
      <c r="AH105" s="1245">
        <v>369</v>
      </c>
      <c r="AI105" s="1245">
        <v>370</v>
      </c>
      <c r="AJ105" s="1513">
        <v>385</v>
      </c>
      <c r="AK105" s="1514">
        <f>'Non-marital births'!H106</f>
        <v>380</v>
      </c>
      <c r="AL105" s="1859">
        <v>380</v>
      </c>
      <c r="AM105" s="1859"/>
      <c r="AN105" s="1252">
        <f t="shared" si="46"/>
        <v>0.55247813411078717</v>
      </c>
      <c r="AO105" s="1253">
        <f t="shared" si="47"/>
        <v>0.58673469387755106</v>
      </c>
      <c r="AP105" s="1253">
        <f t="shared" si="48"/>
        <v>0.55555555555555558</v>
      </c>
      <c r="AQ105" s="1253">
        <f t="shared" si="49"/>
        <v>0.56706281833616301</v>
      </c>
      <c r="AR105" s="1253">
        <f t="shared" si="50"/>
        <v>0.58673469387755106</v>
      </c>
      <c r="AS105" s="1253">
        <f t="shared" si="51"/>
        <v>0.55231560891938247</v>
      </c>
      <c r="AT105" s="1253">
        <f t="shared" si="52"/>
        <v>0.61619718309859151</v>
      </c>
      <c r="AU105" s="1253">
        <f t="shared" si="53"/>
        <v>0.57632933104631223</v>
      </c>
      <c r="AV105" s="1253">
        <f t="shared" si="54"/>
        <v>0.62153846153846148</v>
      </c>
      <c r="AW105" s="1253">
        <f t="shared" si="55"/>
        <v>0.66784452296819785</v>
      </c>
      <c r="AX105" s="1253">
        <f t="shared" si="56"/>
        <v>0.64779874213836475</v>
      </c>
      <c r="AY105" s="1253">
        <f t="shared" si="57"/>
        <v>0.65156250000000004</v>
      </c>
      <c r="AZ105" s="1253">
        <f t="shared" si="58"/>
        <v>0.66247755834829447</v>
      </c>
      <c r="BA105" s="1253">
        <f t="shared" si="59"/>
        <v>0.63247863247863245</v>
      </c>
      <c r="BB105" s="1506">
        <f t="shared" si="60"/>
        <v>0.6405990016638935</v>
      </c>
      <c r="BC105" s="1508">
        <f>'Non-marital births'!L106</f>
        <v>0.65180102915951976</v>
      </c>
      <c r="BD105" s="1862">
        <v>0.65180102915951976</v>
      </c>
    </row>
    <row r="106" spans="1:56" s="142" customFormat="1" ht="15.75" customHeight="1" x14ac:dyDescent="0.2">
      <c r="A106" s="149" t="s">
        <v>82</v>
      </c>
      <c r="B106" s="189" t="s">
        <v>83</v>
      </c>
      <c r="C106" s="150" t="s">
        <v>264</v>
      </c>
      <c r="D106" s="1221">
        <v>92</v>
      </c>
      <c r="E106" s="1222">
        <v>102</v>
      </c>
      <c r="F106" s="1223">
        <v>114</v>
      </c>
      <c r="G106" s="1222">
        <v>128</v>
      </c>
      <c r="H106" s="1223">
        <v>137</v>
      </c>
      <c r="I106" s="1222">
        <v>145</v>
      </c>
      <c r="J106" s="1223">
        <v>154</v>
      </c>
      <c r="K106" s="1222">
        <v>150</v>
      </c>
      <c r="L106" s="1236">
        <v>168</v>
      </c>
      <c r="M106" s="1236">
        <v>156</v>
      </c>
      <c r="N106" s="1236">
        <v>133</v>
      </c>
      <c r="O106" s="1236">
        <v>133</v>
      </c>
      <c r="P106" s="1237">
        <v>147</v>
      </c>
      <c r="Q106" s="1237">
        <v>167</v>
      </c>
      <c r="R106" s="1510">
        <v>154</v>
      </c>
      <c r="S106" s="1511">
        <f>'Non-marital births'!D107</f>
        <v>158</v>
      </c>
      <c r="T106" s="1858">
        <v>158</v>
      </c>
      <c r="U106" s="1858"/>
      <c r="V106" s="1244">
        <v>51</v>
      </c>
      <c r="W106" s="1245">
        <v>60</v>
      </c>
      <c r="X106" s="1245">
        <v>67</v>
      </c>
      <c r="Y106" s="1245">
        <v>62</v>
      </c>
      <c r="Z106" s="1245">
        <v>67</v>
      </c>
      <c r="AA106" s="1245">
        <v>78</v>
      </c>
      <c r="AB106" s="1245">
        <v>88</v>
      </c>
      <c r="AC106" s="1245">
        <v>81</v>
      </c>
      <c r="AD106" s="1245">
        <v>93</v>
      </c>
      <c r="AE106" s="1245">
        <v>95</v>
      </c>
      <c r="AF106" s="1245">
        <v>74</v>
      </c>
      <c r="AG106" s="1245">
        <v>92</v>
      </c>
      <c r="AH106" s="1245">
        <v>98</v>
      </c>
      <c r="AI106" s="1245">
        <v>111</v>
      </c>
      <c r="AJ106" s="1513">
        <v>93</v>
      </c>
      <c r="AK106" s="1514">
        <f>'Non-marital births'!H107</f>
        <v>100</v>
      </c>
      <c r="AL106" s="1859">
        <v>100</v>
      </c>
      <c r="AM106" s="1859"/>
      <c r="AN106" s="1252">
        <f t="shared" si="46"/>
        <v>0.55434782608695654</v>
      </c>
      <c r="AO106" s="1253">
        <f t="shared" si="47"/>
        <v>0.58823529411764708</v>
      </c>
      <c r="AP106" s="1253">
        <f t="shared" si="48"/>
        <v>0.58771929824561409</v>
      </c>
      <c r="AQ106" s="1253">
        <f t="shared" si="49"/>
        <v>0.484375</v>
      </c>
      <c r="AR106" s="1253">
        <f t="shared" si="50"/>
        <v>0.48905109489051096</v>
      </c>
      <c r="AS106" s="1253">
        <f t="shared" si="51"/>
        <v>0.53793103448275859</v>
      </c>
      <c r="AT106" s="1253">
        <f t="shared" si="52"/>
        <v>0.5714285714285714</v>
      </c>
      <c r="AU106" s="1253">
        <f t="shared" si="53"/>
        <v>0.54</v>
      </c>
      <c r="AV106" s="1253">
        <f t="shared" si="54"/>
        <v>0.5535714285714286</v>
      </c>
      <c r="AW106" s="1253">
        <f t="shared" si="55"/>
        <v>0.60897435897435892</v>
      </c>
      <c r="AX106" s="1253">
        <f t="shared" si="56"/>
        <v>0.55639097744360899</v>
      </c>
      <c r="AY106" s="1253">
        <f t="shared" si="57"/>
        <v>0.69172932330827064</v>
      </c>
      <c r="AZ106" s="1253">
        <f t="shared" si="58"/>
        <v>0.66666666666666663</v>
      </c>
      <c r="BA106" s="1253">
        <f t="shared" si="59"/>
        <v>0.66467065868263475</v>
      </c>
      <c r="BB106" s="1506">
        <f t="shared" si="60"/>
        <v>0.60389610389610393</v>
      </c>
      <c r="BC106" s="1508">
        <f>'Non-marital births'!L107</f>
        <v>0.63291139240506333</v>
      </c>
      <c r="BD106" s="1862">
        <v>0.63291139240506333</v>
      </c>
    </row>
    <row r="107" spans="1:56" s="142" customFormat="1" ht="15.75" customHeight="1" x14ac:dyDescent="0.2">
      <c r="A107" s="149" t="s">
        <v>88</v>
      </c>
      <c r="B107" s="189" t="s">
        <v>89</v>
      </c>
      <c r="C107" s="150" t="s">
        <v>267</v>
      </c>
      <c r="D107" s="1221">
        <v>302</v>
      </c>
      <c r="E107" s="1222">
        <v>384</v>
      </c>
      <c r="F107" s="1223">
        <v>395</v>
      </c>
      <c r="G107" s="1222">
        <v>352</v>
      </c>
      <c r="H107" s="1223">
        <v>356</v>
      </c>
      <c r="I107" s="1222">
        <v>380</v>
      </c>
      <c r="J107" s="1223">
        <v>397</v>
      </c>
      <c r="K107" s="1222">
        <v>369</v>
      </c>
      <c r="L107" s="1236">
        <v>406</v>
      </c>
      <c r="M107" s="1236">
        <v>413</v>
      </c>
      <c r="N107" s="1236">
        <v>371</v>
      </c>
      <c r="O107" s="1236">
        <v>393</v>
      </c>
      <c r="P107" s="1237">
        <v>385</v>
      </c>
      <c r="Q107" s="1237">
        <v>411</v>
      </c>
      <c r="R107" s="1510">
        <v>425</v>
      </c>
      <c r="S107" s="1511">
        <f>'Non-marital births'!D108</f>
        <v>429</v>
      </c>
      <c r="T107" s="1858">
        <v>429</v>
      </c>
      <c r="U107" s="1858"/>
      <c r="V107" s="1244">
        <v>146</v>
      </c>
      <c r="W107" s="1245">
        <v>178</v>
      </c>
      <c r="X107" s="1245">
        <v>155</v>
      </c>
      <c r="Y107" s="1245">
        <v>164</v>
      </c>
      <c r="Z107" s="1245">
        <v>173</v>
      </c>
      <c r="AA107" s="1245">
        <v>190</v>
      </c>
      <c r="AB107" s="1245">
        <v>222</v>
      </c>
      <c r="AC107" s="1245">
        <v>206</v>
      </c>
      <c r="AD107" s="1245">
        <v>229</v>
      </c>
      <c r="AE107" s="1245">
        <v>223</v>
      </c>
      <c r="AF107" s="1245">
        <v>216</v>
      </c>
      <c r="AG107" s="1245">
        <v>197</v>
      </c>
      <c r="AH107" s="1245">
        <v>209</v>
      </c>
      <c r="AI107" s="1245">
        <v>220</v>
      </c>
      <c r="AJ107" s="1513">
        <v>203</v>
      </c>
      <c r="AK107" s="1514">
        <f>'Non-marital births'!H108</f>
        <v>199</v>
      </c>
      <c r="AL107" s="1859">
        <v>199</v>
      </c>
      <c r="AM107" s="1859"/>
      <c r="AN107" s="1252">
        <f t="shared" si="46"/>
        <v>0.48344370860927155</v>
      </c>
      <c r="AO107" s="1253">
        <f t="shared" si="47"/>
        <v>0.46354166666666669</v>
      </c>
      <c r="AP107" s="1253">
        <f t="shared" si="48"/>
        <v>0.39240506329113922</v>
      </c>
      <c r="AQ107" s="1253">
        <f t="shared" si="49"/>
        <v>0.46590909090909088</v>
      </c>
      <c r="AR107" s="1253">
        <f t="shared" si="50"/>
        <v>0.4859550561797753</v>
      </c>
      <c r="AS107" s="1253">
        <f t="shared" si="51"/>
        <v>0.5</v>
      </c>
      <c r="AT107" s="1253">
        <f t="shared" si="52"/>
        <v>0.55919395465994959</v>
      </c>
      <c r="AU107" s="1253">
        <f t="shared" si="53"/>
        <v>0.5582655826558266</v>
      </c>
      <c r="AV107" s="1253">
        <f t="shared" si="54"/>
        <v>0.56403940886699511</v>
      </c>
      <c r="AW107" s="1253">
        <f t="shared" si="55"/>
        <v>0.53995157384987891</v>
      </c>
      <c r="AX107" s="1253">
        <f t="shared" si="56"/>
        <v>0.58221024258760112</v>
      </c>
      <c r="AY107" s="1253">
        <f t="shared" si="57"/>
        <v>0.50127226463104324</v>
      </c>
      <c r="AZ107" s="1253">
        <f t="shared" si="58"/>
        <v>0.54285714285714282</v>
      </c>
      <c r="BA107" s="1253">
        <f t="shared" si="59"/>
        <v>0.53527980535279807</v>
      </c>
      <c r="BB107" s="1506">
        <f t="shared" si="60"/>
        <v>0.47764705882352942</v>
      </c>
      <c r="BC107" s="1508">
        <f>'Non-marital births'!L108</f>
        <v>0.46386946386946387</v>
      </c>
      <c r="BD107" s="1862">
        <v>0.46386946386946387</v>
      </c>
    </row>
    <row r="108" spans="1:56" s="142" customFormat="1" ht="15.75" customHeight="1" x14ac:dyDescent="0.2">
      <c r="A108" s="149" t="s">
        <v>90</v>
      </c>
      <c r="B108" s="189" t="s">
        <v>91</v>
      </c>
      <c r="C108" s="150" t="s">
        <v>268</v>
      </c>
      <c r="D108" s="1221">
        <v>116</v>
      </c>
      <c r="E108" s="1222">
        <v>117</v>
      </c>
      <c r="F108" s="1223">
        <v>127</v>
      </c>
      <c r="G108" s="1222">
        <v>110</v>
      </c>
      <c r="H108" s="1223">
        <v>111</v>
      </c>
      <c r="I108" s="1222">
        <v>88</v>
      </c>
      <c r="J108" s="1223">
        <v>85</v>
      </c>
      <c r="K108" s="1222">
        <v>78</v>
      </c>
      <c r="L108" s="1236">
        <v>77</v>
      </c>
      <c r="M108" s="1236">
        <v>91</v>
      </c>
      <c r="N108" s="1236">
        <v>83</v>
      </c>
      <c r="O108" s="1236">
        <v>127</v>
      </c>
      <c r="P108" s="1237">
        <v>132</v>
      </c>
      <c r="Q108" s="1237">
        <v>111</v>
      </c>
      <c r="R108" s="1510">
        <v>122</v>
      </c>
      <c r="S108" s="1511">
        <f>'Non-marital births'!D109</f>
        <v>100</v>
      </c>
      <c r="T108" s="1858">
        <v>100</v>
      </c>
      <c r="U108" s="1858"/>
      <c r="V108" s="1244">
        <v>50</v>
      </c>
      <c r="W108" s="1245">
        <v>38</v>
      </c>
      <c r="X108" s="1245">
        <v>51</v>
      </c>
      <c r="Y108" s="1245">
        <v>54</v>
      </c>
      <c r="Z108" s="1245">
        <v>57</v>
      </c>
      <c r="AA108" s="1245">
        <v>48</v>
      </c>
      <c r="AB108" s="1245">
        <v>45</v>
      </c>
      <c r="AC108" s="1245">
        <v>39</v>
      </c>
      <c r="AD108" s="1245">
        <v>39</v>
      </c>
      <c r="AE108" s="1245">
        <v>55</v>
      </c>
      <c r="AF108" s="1245">
        <v>48</v>
      </c>
      <c r="AG108" s="1245">
        <v>81</v>
      </c>
      <c r="AH108" s="1245">
        <v>70</v>
      </c>
      <c r="AI108" s="1245">
        <v>51</v>
      </c>
      <c r="AJ108" s="1513">
        <v>64</v>
      </c>
      <c r="AK108" s="1514">
        <f>'Non-marital births'!H109</f>
        <v>45</v>
      </c>
      <c r="AL108" s="1859">
        <v>45</v>
      </c>
      <c r="AM108" s="1859"/>
      <c r="AN108" s="1252">
        <f t="shared" si="46"/>
        <v>0.43103448275862066</v>
      </c>
      <c r="AO108" s="1253">
        <f t="shared" si="47"/>
        <v>0.3247863247863248</v>
      </c>
      <c r="AP108" s="1253">
        <f t="shared" si="48"/>
        <v>0.40157480314960631</v>
      </c>
      <c r="AQ108" s="1253">
        <f t="shared" si="49"/>
        <v>0.49090909090909091</v>
      </c>
      <c r="AR108" s="1253">
        <f t="shared" si="50"/>
        <v>0.51351351351351349</v>
      </c>
      <c r="AS108" s="1253">
        <f t="shared" si="51"/>
        <v>0.54545454545454541</v>
      </c>
      <c r="AT108" s="1253">
        <f t="shared" si="52"/>
        <v>0.52941176470588236</v>
      </c>
      <c r="AU108" s="1253">
        <f t="shared" si="53"/>
        <v>0.5</v>
      </c>
      <c r="AV108" s="1253">
        <f t="shared" si="54"/>
        <v>0.50649350649350644</v>
      </c>
      <c r="AW108" s="1253">
        <f t="shared" si="55"/>
        <v>0.60439560439560436</v>
      </c>
      <c r="AX108" s="1253">
        <f t="shared" si="56"/>
        <v>0.57831325301204817</v>
      </c>
      <c r="AY108" s="1253">
        <f t="shared" si="57"/>
        <v>0.63779527559055116</v>
      </c>
      <c r="AZ108" s="1253">
        <f t="shared" si="58"/>
        <v>0.53030303030303028</v>
      </c>
      <c r="BA108" s="1253">
        <f t="shared" si="59"/>
        <v>0.45945945945945948</v>
      </c>
      <c r="BB108" s="1506">
        <f t="shared" si="60"/>
        <v>0.52459016393442626</v>
      </c>
      <c r="BC108" s="1508">
        <f>'Non-marital births'!L109</f>
        <v>0.45</v>
      </c>
      <c r="BD108" s="1862">
        <v>0.45</v>
      </c>
    </row>
    <row r="109" spans="1:56" s="142" customFormat="1" ht="15.75" customHeight="1" x14ac:dyDescent="0.2">
      <c r="A109" s="149" t="s">
        <v>106</v>
      </c>
      <c r="B109" s="189" t="s">
        <v>107</v>
      </c>
      <c r="C109" s="150" t="s">
        <v>264</v>
      </c>
      <c r="D109" s="1221">
        <v>2038</v>
      </c>
      <c r="E109" s="1222">
        <v>2026</v>
      </c>
      <c r="F109" s="1223">
        <v>2023</v>
      </c>
      <c r="G109" s="1222">
        <v>1927</v>
      </c>
      <c r="H109" s="1223">
        <v>1867</v>
      </c>
      <c r="I109" s="1222">
        <v>1810</v>
      </c>
      <c r="J109" s="1223">
        <v>1977</v>
      </c>
      <c r="K109" s="1222">
        <v>2026</v>
      </c>
      <c r="L109" s="1236">
        <v>2122</v>
      </c>
      <c r="M109" s="1236">
        <v>2135</v>
      </c>
      <c r="N109" s="1236">
        <v>1978</v>
      </c>
      <c r="O109" s="1236">
        <v>1936</v>
      </c>
      <c r="P109" s="1237">
        <v>1794</v>
      </c>
      <c r="Q109" s="1237">
        <v>1729</v>
      </c>
      <c r="R109" s="1510">
        <v>1825</v>
      </c>
      <c r="S109" s="1511">
        <f>'Non-marital births'!D110</f>
        <v>1765</v>
      </c>
      <c r="T109" s="1858">
        <v>1765</v>
      </c>
      <c r="U109" s="1858"/>
      <c r="V109" s="1244">
        <v>818</v>
      </c>
      <c r="W109" s="1245">
        <v>857</v>
      </c>
      <c r="X109" s="1245">
        <v>845</v>
      </c>
      <c r="Y109" s="1245">
        <v>834</v>
      </c>
      <c r="Z109" s="1245">
        <v>814</v>
      </c>
      <c r="AA109" s="1245">
        <v>777</v>
      </c>
      <c r="AB109" s="1245">
        <v>877</v>
      </c>
      <c r="AC109" s="1245">
        <v>865</v>
      </c>
      <c r="AD109" s="1245">
        <v>883</v>
      </c>
      <c r="AE109" s="1245">
        <v>927</v>
      </c>
      <c r="AF109" s="1245">
        <v>881</v>
      </c>
      <c r="AG109" s="1245">
        <v>866</v>
      </c>
      <c r="AH109" s="1245">
        <v>821</v>
      </c>
      <c r="AI109" s="1245">
        <v>808</v>
      </c>
      <c r="AJ109" s="1513">
        <v>861</v>
      </c>
      <c r="AK109" s="1514">
        <f>'Non-marital births'!H110</f>
        <v>817</v>
      </c>
      <c r="AL109" s="1859">
        <v>817</v>
      </c>
      <c r="AM109" s="1859"/>
      <c r="AN109" s="1252">
        <f t="shared" si="46"/>
        <v>0.40137389597644751</v>
      </c>
      <c r="AO109" s="1253">
        <f t="shared" si="47"/>
        <v>0.42300098716683121</v>
      </c>
      <c r="AP109" s="1253">
        <f t="shared" si="48"/>
        <v>0.41769649036085021</v>
      </c>
      <c r="AQ109" s="1253">
        <f t="shared" si="49"/>
        <v>0.43279709392838611</v>
      </c>
      <c r="AR109" s="1253">
        <f t="shared" si="50"/>
        <v>0.43599357257632565</v>
      </c>
      <c r="AS109" s="1253">
        <f t="shared" si="51"/>
        <v>0.42928176795580109</v>
      </c>
      <c r="AT109" s="1253">
        <f t="shared" si="52"/>
        <v>0.44360141628730398</v>
      </c>
      <c r="AU109" s="1253">
        <f t="shared" si="53"/>
        <v>0.4269496544916091</v>
      </c>
      <c r="AV109" s="1253">
        <f t="shared" si="54"/>
        <v>0.4161168708765316</v>
      </c>
      <c r="AW109" s="1253">
        <f t="shared" si="55"/>
        <v>0.43419203747072599</v>
      </c>
      <c r="AX109" s="1253">
        <f t="shared" si="56"/>
        <v>0.44539939332659251</v>
      </c>
      <c r="AY109" s="1253">
        <f t="shared" si="57"/>
        <v>0.44731404958677684</v>
      </c>
      <c r="AZ109" s="1253">
        <f t="shared" si="58"/>
        <v>0.4576365663322185</v>
      </c>
      <c r="BA109" s="1253">
        <f t="shared" si="59"/>
        <v>0.46732215153267787</v>
      </c>
      <c r="BB109" s="1506">
        <f t="shared" si="60"/>
        <v>0.47178082191780824</v>
      </c>
      <c r="BC109" s="1508">
        <f>'Non-marital births'!L110</f>
        <v>0.46288951841359771</v>
      </c>
      <c r="BD109" s="1862">
        <v>0.46288951841359771</v>
      </c>
    </row>
    <row r="110" spans="1:56" s="142" customFormat="1" ht="15.75" customHeight="1" x14ac:dyDescent="0.2">
      <c r="A110" s="149" t="s">
        <v>116</v>
      </c>
      <c r="B110" s="189" t="s">
        <v>117</v>
      </c>
      <c r="C110" s="150" t="s">
        <v>266</v>
      </c>
      <c r="D110" s="1221">
        <v>365</v>
      </c>
      <c r="E110" s="1222">
        <v>332</v>
      </c>
      <c r="F110" s="1223">
        <v>371</v>
      </c>
      <c r="G110" s="1222">
        <v>355</v>
      </c>
      <c r="H110" s="1223">
        <v>334</v>
      </c>
      <c r="I110" s="1222">
        <v>339</v>
      </c>
      <c r="J110" s="1223">
        <v>336</v>
      </c>
      <c r="K110" s="1222">
        <v>334</v>
      </c>
      <c r="L110" s="1236">
        <v>404</v>
      </c>
      <c r="M110" s="1236">
        <v>396</v>
      </c>
      <c r="N110" s="1236">
        <v>382</v>
      </c>
      <c r="O110" s="1236">
        <v>413</v>
      </c>
      <c r="P110" s="1237">
        <v>385</v>
      </c>
      <c r="Q110" s="1237">
        <v>339</v>
      </c>
      <c r="R110" s="1510">
        <v>367</v>
      </c>
      <c r="S110" s="1511">
        <f>'Non-marital births'!D111</f>
        <v>368</v>
      </c>
      <c r="T110" s="1858">
        <v>368</v>
      </c>
      <c r="U110" s="1858"/>
      <c r="V110" s="1244">
        <v>193</v>
      </c>
      <c r="W110" s="1245">
        <v>190</v>
      </c>
      <c r="X110" s="1245">
        <v>209</v>
      </c>
      <c r="Y110" s="1245">
        <v>177</v>
      </c>
      <c r="Z110" s="1245">
        <v>189</v>
      </c>
      <c r="AA110" s="1245">
        <v>216</v>
      </c>
      <c r="AB110" s="1245">
        <v>198</v>
      </c>
      <c r="AC110" s="1245">
        <v>203</v>
      </c>
      <c r="AD110" s="1245">
        <v>247</v>
      </c>
      <c r="AE110" s="1245">
        <v>248</v>
      </c>
      <c r="AF110" s="1245">
        <v>229</v>
      </c>
      <c r="AG110" s="1245">
        <v>285</v>
      </c>
      <c r="AH110" s="1245">
        <v>252</v>
      </c>
      <c r="AI110" s="1245">
        <v>232</v>
      </c>
      <c r="AJ110" s="1513">
        <v>232</v>
      </c>
      <c r="AK110" s="1514">
        <f>'Non-marital births'!H111</f>
        <v>238</v>
      </c>
      <c r="AL110" s="1859">
        <v>238</v>
      </c>
      <c r="AM110" s="1859"/>
      <c r="AN110" s="1252">
        <f t="shared" si="46"/>
        <v>0.52876712328767128</v>
      </c>
      <c r="AO110" s="1253">
        <f t="shared" si="47"/>
        <v>0.57228915662650603</v>
      </c>
      <c r="AP110" s="1253">
        <f t="shared" si="48"/>
        <v>0.56334231805929924</v>
      </c>
      <c r="AQ110" s="1253">
        <f t="shared" si="49"/>
        <v>0.49859154929577465</v>
      </c>
      <c r="AR110" s="1253">
        <f t="shared" si="50"/>
        <v>0.56586826347305386</v>
      </c>
      <c r="AS110" s="1253">
        <f t="shared" si="51"/>
        <v>0.63716814159292035</v>
      </c>
      <c r="AT110" s="1253">
        <f t="shared" si="52"/>
        <v>0.5892857142857143</v>
      </c>
      <c r="AU110" s="1253">
        <f t="shared" si="53"/>
        <v>0.60778443113772451</v>
      </c>
      <c r="AV110" s="1253">
        <f t="shared" si="54"/>
        <v>0.61138613861386137</v>
      </c>
      <c r="AW110" s="1253">
        <f t="shared" si="55"/>
        <v>0.6262626262626263</v>
      </c>
      <c r="AX110" s="1253">
        <f t="shared" si="56"/>
        <v>0.59947643979057597</v>
      </c>
      <c r="AY110" s="1253">
        <f t="shared" si="57"/>
        <v>0.69007263922518158</v>
      </c>
      <c r="AZ110" s="1253">
        <f t="shared" si="58"/>
        <v>0.65454545454545454</v>
      </c>
      <c r="BA110" s="1253">
        <f t="shared" si="59"/>
        <v>0.68436578171091444</v>
      </c>
      <c r="BB110" s="1506">
        <f t="shared" si="60"/>
        <v>0.63215258855585832</v>
      </c>
      <c r="BC110" s="1508">
        <f>'Non-marital births'!L111</f>
        <v>0.64673913043478259</v>
      </c>
      <c r="BD110" s="1862">
        <v>0.64673913043478259</v>
      </c>
    </row>
    <row r="111" spans="1:56" s="142" customFormat="1" ht="15.75" customHeight="1" x14ac:dyDescent="0.2">
      <c r="A111" s="149" t="s">
        <v>138</v>
      </c>
      <c r="B111" s="189" t="s">
        <v>139</v>
      </c>
      <c r="C111" s="150" t="s">
        <v>265</v>
      </c>
      <c r="D111" s="1221">
        <v>738</v>
      </c>
      <c r="E111" s="1222">
        <v>792</v>
      </c>
      <c r="F111" s="1223">
        <v>845</v>
      </c>
      <c r="G111" s="1222">
        <v>834</v>
      </c>
      <c r="H111" s="1223">
        <v>887</v>
      </c>
      <c r="I111" s="1223">
        <v>861</v>
      </c>
      <c r="J111" s="1223">
        <v>831</v>
      </c>
      <c r="K111" s="1222">
        <v>945</v>
      </c>
      <c r="L111" s="1236">
        <v>964</v>
      </c>
      <c r="M111" s="1236">
        <v>1115</v>
      </c>
      <c r="N111" s="1236">
        <v>1038</v>
      </c>
      <c r="O111" s="1236">
        <v>1023</v>
      </c>
      <c r="P111" s="1237">
        <v>1124</v>
      </c>
      <c r="Q111" s="1237">
        <v>1074</v>
      </c>
      <c r="R111" s="1510">
        <v>1062</v>
      </c>
      <c r="S111" s="1511">
        <f>'Non-marital births'!D112</f>
        <v>1164</v>
      </c>
      <c r="T111" s="1858">
        <v>1164</v>
      </c>
      <c r="U111" s="1858"/>
      <c r="V111" s="1244">
        <v>329</v>
      </c>
      <c r="W111" s="1245">
        <v>331</v>
      </c>
      <c r="X111" s="1245">
        <v>375</v>
      </c>
      <c r="Y111" s="1245">
        <v>379</v>
      </c>
      <c r="Z111" s="1245">
        <v>413</v>
      </c>
      <c r="AA111" s="1245">
        <v>384</v>
      </c>
      <c r="AB111" s="1245">
        <v>362</v>
      </c>
      <c r="AC111" s="1245">
        <v>445</v>
      </c>
      <c r="AD111" s="1245">
        <v>441</v>
      </c>
      <c r="AE111" s="1245">
        <v>519</v>
      </c>
      <c r="AF111" s="1245">
        <v>473</v>
      </c>
      <c r="AG111" s="1245">
        <v>456</v>
      </c>
      <c r="AH111" s="1245">
        <v>495</v>
      </c>
      <c r="AI111" s="1245">
        <v>458</v>
      </c>
      <c r="AJ111" s="1513">
        <v>444</v>
      </c>
      <c r="AK111" s="1514">
        <f>'Non-marital births'!H112</f>
        <v>475</v>
      </c>
      <c r="AL111" s="1859">
        <v>475</v>
      </c>
      <c r="AM111" s="1859"/>
      <c r="AN111" s="1252">
        <f t="shared" si="46"/>
        <v>0.44579945799457993</v>
      </c>
      <c r="AO111" s="1253">
        <f t="shared" si="47"/>
        <v>0.41792929292929293</v>
      </c>
      <c r="AP111" s="1253">
        <f t="shared" si="48"/>
        <v>0.4437869822485207</v>
      </c>
      <c r="AQ111" s="1253">
        <f t="shared" si="49"/>
        <v>0.45443645083932854</v>
      </c>
      <c r="AR111" s="1253">
        <f t="shared" si="50"/>
        <v>0.46561443066516345</v>
      </c>
      <c r="AS111" s="1253">
        <f t="shared" si="51"/>
        <v>0.44599303135888502</v>
      </c>
      <c r="AT111" s="1253">
        <f t="shared" si="52"/>
        <v>0.43561973525872444</v>
      </c>
      <c r="AU111" s="1253">
        <f t="shared" si="53"/>
        <v>0.47089947089947087</v>
      </c>
      <c r="AV111" s="1253">
        <f t="shared" si="54"/>
        <v>0.45746887966804978</v>
      </c>
      <c r="AW111" s="1253">
        <f t="shared" si="55"/>
        <v>0.4654708520179372</v>
      </c>
      <c r="AX111" s="1253">
        <f t="shared" si="56"/>
        <v>0.45568400770712908</v>
      </c>
      <c r="AY111" s="1253">
        <f t="shared" si="57"/>
        <v>0.44574780058651026</v>
      </c>
      <c r="AZ111" s="1253">
        <f t="shared" si="58"/>
        <v>0.44039145907473309</v>
      </c>
      <c r="BA111" s="1253">
        <f t="shared" si="59"/>
        <v>0.42644320297951582</v>
      </c>
      <c r="BB111" s="1506">
        <f t="shared" si="60"/>
        <v>0.41807909604519772</v>
      </c>
      <c r="BC111" s="1508">
        <f>'Non-marital births'!L112</f>
        <v>0.40807560137457044</v>
      </c>
      <c r="BD111" s="1862">
        <v>0.40807560137457044</v>
      </c>
    </row>
    <row r="112" spans="1:56" s="142" customFormat="1" ht="15.75" customHeight="1" x14ac:dyDescent="0.2">
      <c r="A112" s="149" t="s">
        <v>142</v>
      </c>
      <c r="B112" s="189" t="s">
        <v>273</v>
      </c>
      <c r="C112" s="150" t="s">
        <v>267</v>
      </c>
      <c r="D112" s="1221">
        <v>647</v>
      </c>
      <c r="E112" s="1222">
        <v>684</v>
      </c>
      <c r="F112" s="1223">
        <v>772</v>
      </c>
      <c r="G112" s="1222">
        <v>678</v>
      </c>
      <c r="H112" s="1223">
        <v>683</v>
      </c>
      <c r="I112" s="1222">
        <v>686</v>
      </c>
      <c r="J112" s="1223">
        <v>638</v>
      </c>
      <c r="K112" s="1222">
        <v>686</v>
      </c>
      <c r="L112" s="1236">
        <v>767</v>
      </c>
      <c r="M112" s="1236">
        <v>657</v>
      </c>
      <c r="N112" s="1236">
        <v>548</v>
      </c>
      <c r="O112" s="1236">
        <v>580</v>
      </c>
      <c r="P112" s="1237">
        <v>670</v>
      </c>
      <c r="Q112" s="1237">
        <v>721</v>
      </c>
      <c r="R112" s="1510">
        <v>755</v>
      </c>
      <c r="S112" s="1511">
        <f>'Non-marital births'!D113</f>
        <v>759</v>
      </c>
      <c r="T112" s="1858">
        <v>759</v>
      </c>
      <c r="U112" s="1858"/>
      <c r="V112" s="1244">
        <v>164</v>
      </c>
      <c r="W112" s="1245">
        <v>195</v>
      </c>
      <c r="X112" s="1245">
        <v>221</v>
      </c>
      <c r="Y112" s="1245">
        <v>202</v>
      </c>
      <c r="Z112" s="1245">
        <v>205</v>
      </c>
      <c r="AA112" s="1245">
        <v>235</v>
      </c>
      <c r="AB112" s="1245">
        <v>232</v>
      </c>
      <c r="AC112" s="1245">
        <v>248</v>
      </c>
      <c r="AD112" s="1245">
        <v>365</v>
      </c>
      <c r="AE112" s="1245">
        <v>293</v>
      </c>
      <c r="AF112" s="1245">
        <v>231</v>
      </c>
      <c r="AG112" s="1245">
        <v>237</v>
      </c>
      <c r="AH112" s="1245">
        <v>292</v>
      </c>
      <c r="AI112" s="1245">
        <v>292</v>
      </c>
      <c r="AJ112" s="1513">
        <v>313</v>
      </c>
      <c r="AK112" s="1514">
        <f>'Non-marital births'!H113</f>
        <v>315</v>
      </c>
      <c r="AL112" s="1859">
        <v>315</v>
      </c>
      <c r="AM112" s="1859"/>
      <c r="AN112" s="1252">
        <f t="shared" si="46"/>
        <v>0.25347758887171562</v>
      </c>
      <c r="AO112" s="1253">
        <f t="shared" si="47"/>
        <v>0.28508771929824561</v>
      </c>
      <c r="AP112" s="1253">
        <f t="shared" si="48"/>
        <v>0.28626943005181349</v>
      </c>
      <c r="AQ112" s="1253">
        <f t="shared" si="49"/>
        <v>0.29793510324483774</v>
      </c>
      <c r="AR112" s="1253">
        <f t="shared" si="50"/>
        <v>0.3001464128843338</v>
      </c>
      <c r="AS112" s="1253">
        <f t="shared" si="51"/>
        <v>0.3425655976676385</v>
      </c>
      <c r="AT112" s="1253">
        <f t="shared" si="52"/>
        <v>0.36363636363636365</v>
      </c>
      <c r="AU112" s="1253">
        <f t="shared" si="53"/>
        <v>0.36151603498542273</v>
      </c>
      <c r="AV112" s="1253">
        <f t="shared" si="54"/>
        <v>0.47588005215123858</v>
      </c>
      <c r="AW112" s="1253">
        <f t="shared" si="55"/>
        <v>0.44596651445966512</v>
      </c>
      <c r="AX112" s="1253">
        <f t="shared" si="56"/>
        <v>0.42153284671532848</v>
      </c>
      <c r="AY112" s="1253">
        <f t="shared" si="57"/>
        <v>0.4086206896551724</v>
      </c>
      <c r="AZ112" s="1253">
        <f t="shared" si="58"/>
        <v>0.43582089552238806</v>
      </c>
      <c r="BA112" s="1253">
        <f t="shared" si="59"/>
        <v>0.40499306518723993</v>
      </c>
      <c r="BB112" s="1506">
        <f t="shared" si="60"/>
        <v>0.41456953642384103</v>
      </c>
      <c r="BC112" s="1508">
        <f>'Non-marital births'!L113</f>
        <v>0.41501976284584979</v>
      </c>
      <c r="BD112" s="1862">
        <v>0.41501976284584979</v>
      </c>
    </row>
    <row r="113" spans="1:56" s="142" customFormat="1" ht="15.75" customHeight="1" x14ac:dyDescent="0.2">
      <c r="A113" s="149" t="s">
        <v>144</v>
      </c>
      <c r="B113" s="189" t="s">
        <v>145</v>
      </c>
      <c r="C113" s="150" t="s">
        <v>267</v>
      </c>
      <c r="D113" s="1221">
        <v>183</v>
      </c>
      <c r="E113" s="1222">
        <v>207</v>
      </c>
      <c r="F113" s="1223">
        <v>208</v>
      </c>
      <c r="G113" s="1222">
        <v>208</v>
      </c>
      <c r="H113" s="1223">
        <v>241</v>
      </c>
      <c r="I113" s="1222">
        <v>215</v>
      </c>
      <c r="J113" s="1223">
        <v>294</v>
      </c>
      <c r="K113" s="1222">
        <v>277</v>
      </c>
      <c r="L113" s="1236">
        <v>322</v>
      </c>
      <c r="M113" s="1236">
        <v>235</v>
      </c>
      <c r="N113" s="1236">
        <v>226</v>
      </c>
      <c r="O113" s="1236">
        <v>228</v>
      </c>
      <c r="P113" s="1237">
        <v>21</v>
      </c>
      <c r="Q113" s="1237">
        <v>66</v>
      </c>
      <c r="R113" s="1510">
        <v>20</v>
      </c>
      <c r="S113" s="1511">
        <f>'Non-marital births'!D114</f>
        <v>22</v>
      </c>
      <c r="T113" s="1858">
        <v>22</v>
      </c>
      <c r="U113" s="1858"/>
      <c r="V113" s="1244">
        <v>52</v>
      </c>
      <c r="W113" s="1245">
        <v>48</v>
      </c>
      <c r="X113" s="1245">
        <v>49</v>
      </c>
      <c r="Y113" s="1245">
        <v>48</v>
      </c>
      <c r="Z113" s="1245">
        <v>56</v>
      </c>
      <c r="AA113" s="1245">
        <v>58</v>
      </c>
      <c r="AB113" s="1245">
        <v>106</v>
      </c>
      <c r="AC113" s="1245">
        <v>114</v>
      </c>
      <c r="AD113" s="1245">
        <v>134</v>
      </c>
      <c r="AE113" s="1245">
        <v>93</v>
      </c>
      <c r="AF113" s="1245">
        <v>86</v>
      </c>
      <c r="AG113" s="1245">
        <v>83</v>
      </c>
      <c r="AH113" s="1245">
        <v>7</v>
      </c>
      <c r="AI113" s="1245">
        <v>23</v>
      </c>
      <c r="AJ113" s="1513">
        <v>6</v>
      </c>
      <c r="AK113" s="1514">
        <f>'Non-marital births'!H114</f>
        <v>7</v>
      </c>
      <c r="AL113" s="1859">
        <v>7</v>
      </c>
      <c r="AM113" s="1859"/>
      <c r="AN113" s="1252">
        <f t="shared" si="46"/>
        <v>0.28415300546448086</v>
      </c>
      <c r="AO113" s="1253">
        <f t="shared" si="47"/>
        <v>0.2318840579710145</v>
      </c>
      <c r="AP113" s="1253">
        <f t="shared" si="48"/>
        <v>0.23557692307692307</v>
      </c>
      <c r="AQ113" s="1253">
        <f t="shared" si="49"/>
        <v>0.23076923076923078</v>
      </c>
      <c r="AR113" s="1253">
        <f t="shared" si="50"/>
        <v>0.23236514522821577</v>
      </c>
      <c r="AS113" s="1253">
        <f t="shared" si="51"/>
        <v>0.26976744186046514</v>
      </c>
      <c r="AT113" s="1253">
        <f t="shared" si="52"/>
        <v>0.36054421768707484</v>
      </c>
      <c r="AU113" s="1253">
        <f t="shared" si="53"/>
        <v>0.41155234657039713</v>
      </c>
      <c r="AV113" s="1253">
        <f t="shared" si="54"/>
        <v>0.41614906832298137</v>
      </c>
      <c r="AW113" s="1253">
        <f t="shared" si="55"/>
        <v>0.39574468085106385</v>
      </c>
      <c r="AX113" s="1253">
        <f t="shared" si="56"/>
        <v>0.38053097345132741</v>
      </c>
      <c r="AY113" s="1253">
        <f t="shared" si="57"/>
        <v>0.36403508771929827</v>
      </c>
      <c r="AZ113" s="1253">
        <f t="shared" si="58"/>
        <v>0.33333333333333331</v>
      </c>
      <c r="BA113" s="1253">
        <f t="shared" si="59"/>
        <v>0.34848484848484851</v>
      </c>
      <c r="BB113" s="1506">
        <f t="shared" si="60"/>
        <v>0.3</v>
      </c>
      <c r="BC113" s="1508">
        <f>'Non-marital births'!L114</f>
        <v>0.31818181818181818</v>
      </c>
      <c r="BD113" s="1862">
        <v>0.31818181818181818</v>
      </c>
    </row>
    <row r="114" spans="1:56" s="142" customFormat="1" ht="15.75" customHeight="1" x14ac:dyDescent="0.2">
      <c r="A114" s="149" t="s">
        <v>158</v>
      </c>
      <c r="B114" s="189" t="s">
        <v>159</v>
      </c>
      <c r="C114" s="150" t="s">
        <v>264</v>
      </c>
      <c r="D114" s="1221">
        <v>3124</v>
      </c>
      <c r="E114" s="1222">
        <v>3183</v>
      </c>
      <c r="F114" s="1223">
        <v>3126</v>
      </c>
      <c r="G114" s="1222">
        <v>3194</v>
      </c>
      <c r="H114" s="1223">
        <v>3170</v>
      </c>
      <c r="I114" s="1222">
        <v>3212</v>
      </c>
      <c r="J114" s="1223">
        <v>3206</v>
      </c>
      <c r="K114" s="1222">
        <v>3223</v>
      </c>
      <c r="L114" s="1236">
        <v>3233</v>
      </c>
      <c r="M114" s="1236">
        <v>3231</v>
      </c>
      <c r="N114" s="1236">
        <v>3271</v>
      </c>
      <c r="O114" s="1236">
        <v>3206</v>
      </c>
      <c r="P114" s="1237">
        <v>3012</v>
      </c>
      <c r="Q114" s="1237">
        <v>3049</v>
      </c>
      <c r="R114" s="1510">
        <v>2905</v>
      </c>
      <c r="S114" s="1511">
        <f>'Non-marital births'!D115</f>
        <v>2809</v>
      </c>
      <c r="T114" s="1858">
        <v>2809</v>
      </c>
      <c r="U114" s="1858"/>
      <c r="V114" s="1244">
        <v>1309</v>
      </c>
      <c r="W114" s="1245">
        <v>1329</v>
      </c>
      <c r="X114" s="1245">
        <v>1376</v>
      </c>
      <c r="Y114" s="1245">
        <v>1407</v>
      </c>
      <c r="Z114" s="1245">
        <v>1360</v>
      </c>
      <c r="AA114" s="1245">
        <v>1436</v>
      </c>
      <c r="AB114" s="1245">
        <v>1406</v>
      </c>
      <c r="AC114" s="1245">
        <v>1441</v>
      </c>
      <c r="AD114" s="1245">
        <v>1517</v>
      </c>
      <c r="AE114" s="1245">
        <v>1582</v>
      </c>
      <c r="AF114" s="1245">
        <v>1618</v>
      </c>
      <c r="AG114" s="1245">
        <v>1524</v>
      </c>
      <c r="AH114" s="1245">
        <v>1461</v>
      </c>
      <c r="AI114" s="1245">
        <v>1516</v>
      </c>
      <c r="AJ114" s="1513">
        <v>1463</v>
      </c>
      <c r="AK114" s="1514">
        <f>'Non-marital births'!H115</f>
        <v>1339</v>
      </c>
      <c r="AL114" s="1859">
        <v>1339</v>
      </c>
      <c r="AM114" s="1859"/>
      <c r="AN114" s="1252">
        <f t="shared" si="46"/>
        <v>0.41901408450704225</v>
      </c>
      <c r="AO114" s="1253">
        <f t="shared" si="47"/>
        <v>0.41753063147973613</v>
      </c>
      <c r="AP114" s="1253">
        <f t="shared" si="48"/>
        <v>0.44017914267434421</v>
      </c>
      <c r="AQ114" s="1253">
        <f t="shared" si="49"/>
        <v>0.44051346274264247</v>
      </c>
      <c r="AR114" s="1253">
        <f t="shared" si="50"/>
        <v>0.42902208201892744</v>
      </c>
      <c r="AS114" s="1253">
        <f t="shared" si="51"/>
        <v>0.44707347447073476</v>
      </c>
      <c r="AT114" s="1253">
        <f t="shared" si="52"/>
        <v>0.43855271366188397</v>
      </c>
      <c r="AU114" s="1253">
        <f t="shared" si="53"/>
        <v>0.44709897610921501</v>
      </c>
      <c r="AV114" s="1253">
        <f t="shared" si="54"/>
        <v>0.46922363130219608</v>
      </c>
      <c r="AW114" s="1253">
        <f t="shared" si="55"/>
        <v>0.48963169297431136</v>
      </c>
      <c r="AX114" s="1253">
        <f t="shared" si="56"/>
        <v>0.4946499541424641</v>
      </c>
      <c r="AY114" s="1253">
        <f t="shared" si="57"/>
        <v>0.47535870243293826</v>
      </c>
      <c r="AZ114" s="1253">
        <f t="shared" si="58"/>
        <v>0.48505976095617531</v>
      </c>
      <c r="BA114" s="1253">
        <f t="shared" si="59"/>
        <v>0.49721220072154804</v>
      </c>
      <c r="BB114" s="1506">
        <f t="shared" si="60"/>
        <v>0.5036144578313253</v>
      </c>
      <c r="BC114" s="1508">
        <f>'Non-marital births'!L115</f>
        <v>0.47668209327162692</v>
      </c>
      <c r="BD114" s="1862">
        <v>0.47668209327162692</v>
      </c>
    </row>
    <row r="115" spans="1:56" s="142" customFormat="1" ht="15.75" customHeight="1" x14ac:dyDescent="0.2">
      <c r="A115" s="149" t="s">
        <v>160</v>
      </c>
      <c r="B115" s="189" t="s">
        <v>161</v>
      </c>
      <c r="C115" s="150" t="s">
        <v>264</v>
      </c>
      <c r="D115" s="1221">
        <v>4018</v>
      </c>
      <c r="E115" s="1222">
        <v>3843</v>
      </c>
      <c r="F115" s="1223">
        <v>3984</v>
      </c>
      <c r="G115" s="1222">
        <v>4015</v>
      </c>
      <c r="H115" s="1223">
        <v>4119</v>
      </c>
      <c r="I115" s="1222">
        <v>3942</v>
      </c>
      <c r="J115" s="1223">
        <v>4094</v>
      </c>
      <c r="K115" s="1222">
        <v>4097</v>
      </c>
      <c r="L115" s="1236">
        <v>4036</v>
      </c>
      <c r="M115" s="1236">
        <v>4159</v>
      </c>
      <c r="N115" s="1236">
        <v>4088</v>
      </c>
      <c r="O115" s="1236">
        <v>3842</v>
      </c>
      <c r="P115" s="1237">
        <v>3791</v>
      </c>
      <c r="Q115" s="1237">
        <v>3718</v>
      </c>
      <c r="R115" s="1510">
        <v>3773</v>
      </c>
      <c r="S115" s="1511">
        <f>'Non-marital births'!D116</f>
        <v>3620</v>
      </c>
      <c r="T115" s="1858">
        <v>3620</v>
      </c>
      <c r="U115" s="1858"/>
      <c r="V115" s="1244">
        <v>2011</v>
      </c>
      <c r="W115" s="1245">
        <v>1894</v>
      </c>
      <c r="X115" s="1245">
        <v>1876</v>
      </c>
      <c r="Y115" s="1245">
        <v>2026</v>
      </c>
      <c r="Z115" s="1245">
        <v>2003</v>
      </c>
      <c r="AA115" s="1245">
        <v>1887</v>
      </c>
      <c r="AB115" s="1245">
        <v>1877</v>
      </c>
      <c r="AC115" s="1245">
        <v>1937</v>
      </c>
      <c r="AD115" s="1245">
        <v>1873</v>
      </c>
      <c r="AE115" s="1245">
        <v>2019</v>
      </c>
      <c r="AF115" s="1245">
        <v>2103</v>
      </c>
      <c r="AG115" s="1245">
        <v>1892</v>
      </c>
      <c r="AH115" s="1245">
        <v>1946</v>
      </c>
      <c r="AI115" s="1245">
        <v>1893</v>
      </c>
      <c r="AJ115" s="1513">
        <v>1908</v>
      </c>
      <c r="AK115" s="1514">
        <f>'Non-marital births'!H116</f>
        <v>1657</v>
      </c>
      <c r="AL115" s="1859">
        <v>1657</v>
      </c>
      <c r="AM115" s="1859"/>
      <c r="AN115" s="1252">
        <f t="shared" si="46"/>
        <v>0.50049776007964164</v>
      </c>
      <c r="AO115" s="1253">
        <f t="shared" si="47"/>
        <v>0.49284413218839446</v>
      </c>
      <c r="AP115" s="1253">
        <f t="shared" si="48"/>
        <v>0.47088353413654621</v>
      </c>
      <c r="AQ115" s="1253">
        <f t="shared" si="49"/>
        <v>0.50460772104607721</v>
      </c>
      <c r="AR115" s="1253">
        <f t="shared" si="50"/>
        <v>0.48628307841709151</v>
      </c>
      <c r="AS115" s="1253">
        <f t="shared" si="51"/>
        <v>0.4786910197869102</v>
      </c>
      <c r="AT115" s="1253">
        <f t="shared" si="52"/>
        <v>0.45847581827063993</v>
      </c>
      <c r="AU115" s="1253">
        <f t="shared" si="53"/>
        <v>0.47278496460824992</v>
      </c>
      <c r="AV115" s="1253">
        <f t="shared" si="54"/>
        <v>0.46407333994053518</v>
      </c>
      <c r="AW115" s="1253">
        <f t="shared" si="55"/>
        <v>0.48545323395046885</v>
      </c>
      <c r="AX115" s="1253">
        <f t="shared" si="56"/>
        <v>0.51443248532289632</v>
      </c>
      <c r="AY115" s="1253">
        <f t="shared" si="57"/>
        <v>0.49245184799583552</v>
      </c>
      <c r="AZ115" s="1253">
        <f t="shared" si="58"/>
        <v>0.5133210234766552</v>
      </c>
      <c r="BA115" s="1253">
        <f t="shared" si="59"/>
        <v>0.50914470145239377</v>
      </c>
      <c r="BB115" s="1506">
        <f t="shared" si="60"/>
        <v>0.50569838324940364</v>
      </c>
      <c r="BC115" s="1508">
        <f>'Non-marital births'!L116</f>
        <v>0.45773480662983423</v>
      </c>
      <c r="BD115" s="1862">
        <v>0.45773480662983423</v>
      </c>
    </row>
    <row r="116" spans="1:56" s="142" customFormat="1" ht="15.75" customHeight="1" x14ac:dyDescent="0.2">
      <c r="A116" s="149" t="s">
        <v>166</v>
      </c>
      <c r="B116" s="189" t="s">
        <v>167</v>
      </c>
      <c r="C116" s="150" t="s">
        <v>268</v>
      </c>
      <c r="D116" s="1221">
        <v>45</v>
      </c>
      <c r="E116" s="1222">
        <v>59</v>
      </c>
      <c r="F116" s="1223">
        <v>62</v>
      </c>
      <c r="G116" s="1222">
        <v>39</v>
      </c>
      <c r="H116" s="1223">
        <v>23</v>
      </c>
      <c r="I116" s="1222">
        <v>43</v>
      </c>
      <c r="J116" s="1223">
        <v>37</v>
      </c>
      <c r="K116" s="1222">
        <v>30</v>
      </c>
      <c r="L116" s="1236">
        <v>36</v>
      </c>
      <c r="M116" s="1236">
        <v>45</v>
      </c>
      <c r="N116" s="1236">
        <v>41</v>
      </c>
      <c r="O116" s="1236">
        <v>62</v>
      </c>
      <c r="P116" s="1237">
        <v>77</v>
      </c>
      <c r="Q116" s="1237">
        <v>58</v>
      </c>
      <c r="R116" s="1510">
        <v>60</v>
      </c>
      <c r="S116" s="1511">
        <f>'Non-marital births'!D117</f>
        <v>48</v>
      </c>
      <c r="T116" s="1858">
        <v>48</v>
      </c>
      <c r="U116" s="1858"/>
      <c r="V116" s="1244">
        <v>16</v>
      </c>
      <c r="W116" s="1245">
        <v>19</v>
      </c>
      <c r="X116" s="1245">
        <v>18</v>
      </c>
      <c r="Y116" s="1245">
        <v>13</v>
      </c>
      <c r="Z116" s="1245">
        <v>12</v>
      </c>
      <c r="AA116" s="1245">
        <v>22</v>
      </c>
      <c r="AB116" s="1245">
        <v>24</v>
      </c>
      <c r="AC116" s="1245">
        <v>16</v>
      </c>
      <c r="AD116" s="1245">
        <v>18</v>
      </c>
      <c r="AE116" s="1245">
        <v>23</v>
      </c>
      <c r="AF116" s="1245">
        <v>19</v>
      </c>
      <c r="AG116" s="1245">
        <v>30</v>
      </c>
      <c r="AH116" s="1245">
        <v>35</v>
      </c>
      <c r="AI116" s="1245">
        <v>29</v>
      </c>
      <c r="AJ116" s="1513">
        <v>35</v>
      </c>
      <c r="AK116" s="1514">
        <f>'Non-marital births'!H117</f>
        <v>18</v>
      </c>
      <c r="AL116" s="1859">
        <v>18</v>
      </c>
      <c r="AM116" s="1859"/>
      <c r="AN116" s="1252">
        <f t="shared" si="46"/>
        <v>0.35555555555555557</v>
      </c>
      <c r="AO116" s="1253">
        <f t="shared" si="47"/>
        <v>0.32203389830508472</v>
      </c>
      <c r="AP116" s="1253">
        <f t="shared" si="48"/>
        <v>0.29032258064516131</v>
      </c>
      <c r="AQ116" s="1253">
        <f t="shared" si="49"/>
        <v>0.33333333333333331</v>
      </c>
      <c r="AR116" s="1253">
        <f t="shared" si="50"/>
        <v>0.52173913043478259</v>
      </c>
      <c r="AS116" s="1253">
        <f t="shared" si="51"/>
        <v>0.51162790697674421</v>
      </c>
      <c r="AT116" s="1253">
        <f t="shared" si="52"/>
        <v>0.64864864864864868</v>
      </c>
      <c r="AU116" s="1253">
        <f t="shared" si="53"/>
        <v>0.53333333333333333</v>
      </c>
      <c r="AV116" s="1253">
        <f t="shared" si="54"/>
        <v>0.5</v>
      </c>
      <c r="AW116" s="1253">
        <f t="shared" si="55"/>
        <v>0.51111111111111107</v>
      </c>
      <c r="AX116" s="1253">
        <f t="shared" si="56"/>
        <v>0.46341463414634149</v>
      </c>
      <c r="AY116" s="1253">
        <f t="shared" si="57"/>
        <v>0.4838709677419355</v>
      </c>
      <c r="AZ116" s="1253">
        <f t="shared" si="58"/>
        <v>0.45454545454545453</v>
      </c>
      <c r="BA116" s="1253">
        <f t="shared" si="59"/>
        <v>0.5</v>
      </c>
      <c r="BB116" s="1506">
        <f t="shared" si="60"/>
        <v>0.58333333333333337</v>
      </c>
      <c r="BC116" s="1508">
        <f>'Non-marital births'!L117</f>
        <v>0.375</v>
      </c>
      <c r="BD116" s="1862">
        <v>0.375</v>
      </c>
    </row>
    <row r="117" spans="1:56" s="142" customFormat="1" ht="15.75" customHeight="1" x14ac:dyDescent="0.2">
      <c r="A117" s="149" t="s">
        <v>176</v>
      </c>
      <c r="B117" s="189" t="s">
        <v>177</v>
      </c>
      <c r="C117" s="150" t="s">
        <v>266</v>
      </c>
      <c r="D117" s="1221">
        <v>572</v>
      </c>
      <c r="E117" s="1222">
        <v>551</v>
      </c>
      <c r="F117" s="1223">
        <v>526</v>
      </c>
      <c r="G117" s="1222">
        <v>555</v>
      </c>
      <c r="H117" s="1223">
        <v>530</v>
      </c>
      <c r="I117" s="1222">
        <v>543</v>
      </c>
      <c r="J117" s="1223">
        <v>528</v>
      </c>
      <c r="K117" s="1222">
        <v>492</v>
      </c>
      <c r="L117" s="1236">
        <v>568</v>
      </c>
      <c r="M117" s="1236">
        <v>652</v>
      </c>
      <c r="N117" s="1236">
        <v>603</v>
      </c>
      <c r="O117" s="1236">
        <v>667</v>
      </c>
      <c r="P117" s="1237">
        <v>699</v>
      </c>
      <c r="Q117" s="1237">
        <v>659</v>
      </c>
      <c r="R117" s="1510">
        <v>612</v>
      </c>
      <c r="S117" s="1511">
        <f>'Non-marital births'!D118</f>
        <v>686</v>
      </c>
      <c r="T117" s="1858">
        <v>686</v>
      </c>
      <c r="U117" s="1858"/>
      <c r="V117" s="1244">
        <v>376</v>
      </c>
      <c r="W117" s="1245">
        <v>380</v>
      </c>
      <c r="X117" s="1245">
        <v>385</v>
      </c>
      <c r="Y117" s="1245">
        <v>393</v>
      </c>
      <c r="Z117" s="1245">
        <v>377</v>
      </c>
      <c r="AA117" s="1245">
        <v>394</v>
      </c>
      <c r="AB117" s="1245">
        <v>381</v>
      </c>
      <c r="AC117" s="1245">
        <v>362</v>
      </c>
      <c r="AD117" s="1245">
        <v>388</v>
      </c>
      <c r="AE117" s="1245">
        <v>457</v>
      </c>
      <c r="AF117" s="1245">
        <v>453</v>
      </c>
      <c r="AG117" s="1245">
        <v>498</v>
      </c>
      <c r="AH117" s="1245">
        <v>529</v>
      </c>
      <c r="AI117" s="1245">
        <v>489</v>
      </c>
      <c r="AJ117" s="1513">
        <v>471</v>
      </c>
      <c r="AK117" s="1514">
        <f>'Non-marital births'!H118</f>
        <v>513</v>
      </c>
      <c r="AL117" s="1859">
        <v>513</v>
      </c>
      <c r="AM117" s="1859"/>
      <c r="AN117" s="1252">
        <f t="shared" si="46"/>
        <v>0.65734265734265729</v>
      </c>
      <c r="AO117" s="1253">
        <f t="shared" si="47"/>
        <v>0.68965517241379315</v>
      </c>
      <c r="AP117" s="1253">
        <f t="shared" si="48"/>
        <v>0.73193916349809884</v>
      </c>
      <c r="AQ117" s="1253">
        <f t="shared" si="49"/>
        <v>0.70810810810810809</v>
      </c>
      <c r="AR117" s="1253">
        <f t="shared" si="50"/>
        <v>0.71132075471698109</v>
      </c>
      <c r="AS117" s="1253">
        <f t="shared" si="51"/>
        <v>0.72559852670349911</v>
      </c>
      <c r="AT117" s="1253">
        <f t="shared" si="52"/>
        <v>0.72159090909090906</v>
      </c>
      <c r="AU117" s="1253">
        <f t="shared" si="53"/>
        <v>0.73577235772357719</v>
      </c>
      <c r="AV117" s="1253">
        <f t="shared" si="54"/>
        <v>0.68309859154929575</v>
      </c>
      <c r="AW117" s="1253">
        <f t="shared" si="55"/>
        <v>0.70092024539877296</v>
      </c>
      <c r="AX117" s="1253">
        <f t="shared" si="56"/>
        <v>0.75124378109452739</v>
      </c>
      <c r="AY117" s="1253">
        <f t="shared" si="57"/>
        <v>0.74662668665667165</v>
      </c>
      <c r="AZ117" s="1253">
        <f t="shared" si="58"/>
        <v>0.75679542203147354</v>
      </c>
      <c r="BA117" s="1253">
        <f t="shared" si="59"/>
        <v>0.74203338391502272</v>
      </c>
      <c r="BB117" s="1506">
        <f t="shared" si="60"/>
        <v>0.76960784313725494</v>
      </c>
      <c r="BC117" s="1508">
        <f>'Non-marital births'!L118</f>
        <v>0.74781341107871724</v>
      </c>
      <c r="BD117" s="1862">
        <v>0.74781341107871724</v>
      </c>
    </row>
    <row r="118" spans="1:56" s="142" customFormat="1" ht="15.75" customHeight="1" x14ac:dyDescent="0.2">
      <c r="A118" s="149" t="s">
        <v>180</v>
      </c>
      <c r="B118" s="189" t="s">
        <v>181</v>
      </c>
      <c r="C118" s="150" t="s">
        <v>264</v>
      </c>
      <c r="D118" s="1221">
        <v>1644</v>
      </c>
      <c r="E118" s="1222">
        <v>1604</v>
      </c>
      <c r="F118" s="1223">
        <v>1544</v>
      </c>
      <c r="G118" s="1222">
        <v>1585</v>
      </c>
      <c r="H118" s="1223">
        <v>1539</v>
      </c>
      <c r="I118" s="1222">
        <v>1597</v>
      </c>
      <c r="J118" s="1223">
        <v>1647</v>
      </c>
      <c r="K118" s="1222">
        <v>1620</v>
      </c>
      <c r="L118" s="1236">
        <v>1744</v>
      </c>
      <c r="M118" s="1236">
        <v>1642</v>
      </c>
      <c r="N118" s="1236">
        <v>1555</v>
      </c>
      <c r="O118" s="1236">
        <v>1623</v>
      </c>
      <c r="P118" s="1237">
        <v>1590</v>
      </c>
      <c r="Q118" s="1237">
        <v>1580</v>
      </c>
      <c r="R118" s="1510">
        <v>1534</v>
      </c>
      <c r="S118" s="1511">
        <f>'Non-marital births'!D119</f>
        <v>1476</v>
      </c>
      <c r="T118" s="1858">
        <v>1476</v>
      </c>
      <c r="U118" s="1858"/>
      <c r="V118" s="1244">
        <v>865</v>
      </c>
      <c r="W118" s="1245">
        <v>847</v>
      </c>
      <c r="X118" s="1245">
        <v>819</v>
      </c>
      <c r="Y118" s="1245">
        <v>852</v>
      </c>
      <c r="Z118" s="1245">
        <v>795</v>
      </c>
      <c r="AA118" s="1245">
        <v>791</v>
      </c>
      <c r="AB118" s="1245">
        <v>828</v>
      </c>
      <c r="AC118" s="1245">
        <v>815</v>
      </c>
      <c r="AD118" s="1245">
        <v>907</v>
      </c>
      <c r="AE118" s="1245">
        <v>850</v>
      </c>
      <c r="AF118" s="1245">
        <v>844</v>
      </c>
      <c r="AG118" s="1245">
        <v>904</v>
      </c>
      <c r="AH118" s="1245">
        <v>845</v>
      </c>
      <c r="AI118" s="1245">
        <v>898</v>
      </c>
      <c r="AJ118" s="1513">
        <v>835</v>
      </c>
      <c r="AK118" s="1514">
        <f>'Non-marital births'!H119</f>
        <v>822</v>
      </c>
      <c r="AL118" s="1859">
        <v>822</v>
      </c>
      <c r="AM118" s="1859"/>
      <c r="AN118" s="1252">
        <f t="shared" si="46"/>
        <v>0.52615571776155723</v>
      </c>
      <c r="AO118" s="1253">
        <f t="shared" si="47"/>
        <v>0.52805486284289271</v>
      </c>
      <c r="AP118" s="1253">
        <f t="shared" si="48"/>
        <v>0.53044041450777202</v>
      </c>
      <c r="AQ118" s="1253">
        <f t="shared" si="49"/>
        <v>0.53753943217665612</v>
      </c>
      <c r="AR118" s="1253">
        <f t="shared" si="50"/>
        <v>0.51656920077972712</v>
      </c>
      <c r="AS118" s="1253">
        <f t="shared" si="51"/>
        <v>0.49530369442705074</v>
      </c>
      <c r="AT118" s="1253">
        <f t="shared" si="52"/>
        <v>0.50273224043715847</v>
      </c>
      <c r="AU118" s="1253">
        <f t="shared" si="53"/>
        <v>0.50308641975308643</v>
      </c>
      <c r="AV118" s="1253">
        <f t="shared" si="54"/>
        <v>0.52006880733944949</v>
      </c>
      <c r="AW118" s="1253">
        <f t="shared" si="55"/>
        <v>0.51766138855054811</v>
      </c>
      <c r="AX118" s="1253">
        <f t="shared" si="56"/>
        <v>0.54276527331189706</v>
      </c>
      <c r="AY118" s="1253">
        <f t="shared" si="57"/>
        <v>0.55699322242760319</v>
      </c>
      <c r="AZ118" s="1253">
        <f t="shared" si="58"/>
        <v>0.53144654088050314</v>
      </c>
      <c r="BA118" s="1253">
        <f t="shared" si="59"/>
        <v>0.56835443037974687</v>
      </c>
      <c r="BB118" s="1506">
        <f t="shared" si="60"/>
        <v>0.54432855280312908</v>
      </c>
      <c r="BC118" s="1508">
        <f>'Non-marital births'!L119</f>
        <v>0.55691056910569103</v>
      </c>
      <c r="BD118" s="1862">
        <v>0.55691056910569103</v>
      </c>
    </row>
    <row r="119" spans="1:56" s="142" customFormat="1" ht="15.75" customHeight="1" x14ac:dyDescent="0.2">
      <c r="A119" s="149" t="s">
        <v>192</v>
      </c>
      <c r="B119" s="189" t="s">
        <v>193</v>
      </c>
      <c r="C119" s="150" t="s">
        <v>268</v>
      </c>
      <c r="D119" s="1221">
        <v>123</v>
      </c>
      <c r="E119" s="1222">
        <v>146</v>
      </c>
      <c r="F119" s="1223">
        <v>159</v>
      </c>
      <c r="G119" s="1222">
        <v>135</v>
      </c>
      <c r="H119" s="1223">
        <v>127</v>
      </c>
      <c r="I119" s="1222">
        <v>126</v>
      </c>
      <c r="J119" s="1223">
        <v>111</v>
      </c>
      <c r="K119" s="1222">
        <v>129</v>
      </c>
      <c r="L119" s="1236">
        <v>139</v>
      </c>
      <c r="M119" s="1236">
        <v>149</v>
      </c>
      <c r="N119" s="1236">
        <v>127</v>
      </c>
      <c r="O119" s="1236">
        <v>133</v>
      </c>
      <c r="P119" s="1237">
        <v>139</v>
      </c>
      <c r="Q119" s="1237">
        <v>136</v>
      </c>
      <c r="R119" s="1510">
        <v>143</v>
      </c>
      <c r="S119" s="1511">
        <f>'Non-marital births'!D120</f>
        <v>153</v>
      </c>
      <c r="T119" s="1858">
        <v>153</v>
      </c>
      <c r="U119" s="1858"/>
      <c r="V119" s="1244">
        <v>47</v>
      </c>
      <c r="W119" s="1245">
        <v>39</v>
      </c>
      <c r="X119" s="1245">
        <v>53</v>
      </c>
      <c r="Y119" s="1245">
        <v>37</v>
      </c>
      <c r="Z119" s="1245">
        <v>40</v>
      </c>
      <c r="AA119" s="1245">
        <v>41</v>
      </c>
      <c r="AB119" s="1245">
        <v>42</v>
      </c>
      <c r="AC119" s="1245">
        <v>43</v>
      </c>
      <c r="AD119" s="1245">
        <v>55</v>
      </c>
      <c r="AE119" s="1245">
        <v>45</v>
      </c>
      <c r="AF119" s="1245">
        <v>50</v>
      </c>
      <c r="AG119" s="1245">
        <v>48</v>
      </c>
      <c r="AH119" s="1245">
        <v>68</v>
      </c>
      <c r="AI119" s="1245">
        <v>57</v>
      </c>
      <c r="AJ119" s="1513">
        <v>67</v>
      </c>
      <c r="AK119" s="1514">
        <f>'Non-marital births'!H120</f>
        <v>71</v>
      </c>
      <c r="AL119" s="1859">
        <v>71</v>
      </c>
      <c r="AM119" s="1859"/>
      <c r="AN119" s="1252">
        <f t="shared" si="46"/>
        <v>0.38211382113821141</v>
      </c>
      <c r="AO119" s="1253">
        <f t="shared" si="47"/>
        <v>0.26712328767123289</v>
      </c>
      <c r="AP119" s="1253">
        <f t="shared" si="48"/>
        <v>0.33333333333333331</v>
      </c>
      <c r="AQ119" s="1253">
        <f t="shared" si="49"/>
        <v>0.27407407407407408</v>
      </c>
      <c r="AR119" s="1253">
        <f t="shared" si="50"/>
        <v>0.31496062992125984</v>
      </c>
      <c r="AS119" s="1253">
        <f t="shared" si="51"/>
        <v>0.32539682539682541</v>
      </c>
      <c r="AT119" s="1253">
        <f t="shared" si="52"/>
        <v>0.3783783783783784</v>
      </c>
      <c r="AU119" s="1253">
        <f t="shared" si="53"/>
        <v>0.33333333333333331</v>
      </c>
      <c r="AV119" s="1253">
        <f t="shared" si="54"/>
        <v>0.39568345323741005</v>
      </c>
      <c r="AW119" s="1253">
        <f t="shared" si="55"/>
        <v>0.30201342281879195</v>
      </c>
      <c r="AX119" s="1253">
        <f t="shared" si="56"/>
        <v>0.39370078740157483</v>
      </c>
      <c r="AY119" s="1253">
        <f t="shared" si="57"/>
        <v>0.36090225563909772</v>
      </c>
      <c r="AZ119" s="1253">
        <f t="shared" si="58"/>
        <v>0.48920863309352519</v>
      </c>
      <c r="BA119" s="1253">
        <f t="shared" si="59"/>
        <v>0.41911764705882354</v>
      </c>
      <c r="BB119" s="1506">
        <f t="shared" si="60"/>
        <v>0.46853146853146854</v>
      </c>
      <c r="BC119" s="1508">
        <f>'Non-marital births'!L120</f>
        <v>0.46405228758169936</v>
      </c>
      <c r="BD119" s="1862">
        <v>0.46405228758169936</v>
      </c>
    </row>
    <row r="120" spans="1:56" s="142" customFormat="1" ht="15.75" customHeight="1" x14ac:dyDescent="0.2">
      <c r="A120" s="149" t="s">
        <v>196</v>
      </c>
      <c r="B120" s="189" t="s">
        <v>197</v>
      </c>
      <c r="C120" s="150" t="s">
        <v>266</v>
      </c>
      <c r="D120" s="1221">
        <v>2847</v>
      </c>
      <c r="E120" s="1222">
        <v>2934</v>
      </c>
      <c r="F120" s="1223">
        <v>3057</v>
      </c>
      <c r="G120" s="1222">
        <v>3134</v>
      </c>
      <c r="H120" s="1223">
        <v>3081</v>
      </c>
      <c r="I120" s="1222">
        <v>3069</v>
      </c>
      <c r="J120" s="1223">
        <v>3005</v>
      </c>
      <c r="K120" s="1222">
        <v>3023</v>
      </c>
      <c r="L120" s="1236">
        <v>3032</v>
      </c>
      <c r="M120" s="1236">
        <v>3312</v>
      </c>
      <c r="N120" s="1236">
        <v>3306</v>
      </c>
      <c r="O120" s="1236">
        <v>3195</v>
      </c>
      <c r="P120" s="1237">
        <v>2958</v>
      </c>
      <c r="Q120" s="1237">
        <v>2981</v>
      </c>
      <c r="R120" s="1510">
        <v>2939</v>
      </c>
      <c r="S120" s="1511">
        <f>'Non-marital births'!D121</f>
        <v>2917</v>
      </c>
      <c r="T120" s="1858">
        <v>2917</v>
      </c>
      <c r="U120" s="1858"/>
      <c r="V120" s="1244">
        <v>1822</v>
      </c>
      <c r="W120" s="1245">
        <v>1733</v>
      </c>
      <c r="X120" s="1245">
        <v>1876</v>
      </c>
      <c r="Y120" s="1245">
        <v>1899</v>
      </c>
      <c r="Z120" s="1245">
        <v>1848</v>
      </c>
      <c r="AA120" s="1245">
        <v>1866</v>
      </c>
      <c r="AB120" s="1245">
        <v>1833</v>
      </c>
      <c r="AC120" s="1245">
        <v>1849</v>
      </c>
      <c r="AD120" s="1245">
        <v>1892</v>
      </c>
      <c r="AE120" s="1245">
        <v>2104</v>
      </c>
      <c r="AF120" s="1245">
        <v>2105</v>
      </c>
      <c r="AG120" s="1245">
        <v>2061</v>
      </c>
      <c r="AH120" s="1245">
        <v>1908</v>
      </c>
      <c r="AI120" s="1245">
        <v>1905</v>
      </c>
      <c r="AJ120" s="1513">
        <v>1885</v>
      </c>
      <c r="AK120" s="1514">
        <f>'Non-marital births'!H121</f>
        <v>1753</v>
      </c>
      <c r="AL120" s="1859">
        <v>1753</v>
      </c>
      <c r="AM120" s="1859"/>
      <c r="AN120" s="1252">
        <f t="shared" si="46"/>
        <v>0.6399719002458728</v>
      </c>
      <c r="AO120" s="1253">
        <f t="shared" si="47"/>
        <v>0.59066121336059985</v>
      </c>
      <c r="AP120" s="1253">
        <f t="shared" si="48"/>
        <v>0.61367353614654896</v>
      </c>
      <c r="AQ120" s="1253">
        <f t="shared" si="49"/>
        <v>0.60593490746649648</v>
      </c>
      <c r="AR120" s="1253">
        <f t="shared" si="50"/>
        <v>0.59980525803310614</v>
      </c>
      <c r="AS120" s="1253">
        <f t="shared" si="51"/>
        <v>0.6080156402737048</v>
      </c>
      <c r="AT120" s="1253">
        <f t="shared" si="52"/>
        <v>0.60998336106489182</v>
      </c>
      <c r="AU120" s="1253">
        <f t="shared" si="53"/>
        <v>0.61164406218987766</v>
      </c>
      <c r="AV120" s="1253">
        <f t="shared" si="54"/>
        <v>0.62401055408970973</v>
      </c>
      <c r="AW120" s="1253">
        <f t="shared" si="55"/>
        <v>0.63526570048309183</v>
      </c>
      <c r="AX120" s="1253">
        <f t="shared" si="56"/>
        <v>0.63672111312764668</v>
      </c>
      <c r="AY120" s="1253">
        <f t="shared" si="57"/>
        <v>0.6450704225352113</v>
      </c>
      <c r="AZ120" s="1253">
        <f t="shared" si="58"/>
        <v>0.64503042596348881</v>
      </c>
      <c r="BA120" s="1253">
        <f t="shared" si="59"/>
        <v>0.63904729956390471</v>
      </c>
      <c r="BB120" s="1506">
        <f t="shared" si="60"/>
        <v>0.64137461721674038</v>
      </c>
      <c r="BC120" s="1508">
        <f>'Non-marital births'!L121</f>
        <v>0.60095989029825159</v>
      </c>
      <c r="BD120" s="1862">
        <v>0.60095989029825159</v>
      </c>
    </row>
    <row r="121" spans="1:56" s="142" customFormat="1" ht="15.75" customHeight="1" x14ac:dyDescent="0.2">
      <c r="A121" s="149" t="s">
        <v>200</v>
      </c>
      <c r="B121" s="189" t="s">
        <v>201</v>
      </c>
      <c r="C121" s="150" t="s">
        <v>265</v>
      </c>
      <c r="D121" s="1221">
        <v>1350</v>
      </c>
      <c r="E121" s="1222">
        <v>1380</v>
      </c>
      <c r="F121" s="1223">
        <v>1356</v>
      </c>
      <c r="G121" s="1222">
        <v>1276</v>
      </c>
      <c r="H121" s="1223">
        <v>1114</v>
      </c>
      <c r="I121" s="1222">
        <v>1331</v>
      </c>
      <c r="J121" s="1223">
        <v>950</v>
      </c>
      <c r="K121" s="1222">
        <v>1202</v>
      </c>
      <c r="L121" s="1236">
        <v>1422</v>
      </c>
      <c r="M121" s="1236">
        <v>1583</v>
      </c>
      <c r="N121" s="1236">
        <v>1587</v>
      </c>
      <c r="O121" s="1236">
        <v>1541</v>
      </c>
      <c r="P121" s="1237">
        <v>1453</v>
      </c>
      <c r="Q121" s="1237">
        <v>1492</v>
      </c>
      <c r="R121" s="1510">
        <v>1492</v>
      </c>
      <c r="S121" s="1511">
        <f>'Non-marital births'!D122</f>
        <v>1446</v>
      </c>
      <c r="T121" s="1858">
        <v>1446</v>
      </c>
      <c r="U121" s="1858"/>
      <c r="V121" s="1244">
        <v>618</v>
      </c>
      <c r="W121" s="1245">
        <v>620</v>
      </c>
      <c r="X121" s="1245">
        <v>654</v>
      </c>
      <c r="Y121" s="1245">
        <v>565</v>
      </c>
      <c r="Z121" s="1245">
        <v>563</v>
      </c>
      <c r="AA121" s="1245">
        <v>642</v>
      </c>
      <c r="AB121" s="1245">
        <v>487</v>
      </c>
      <c r="AC121" s="1245">
        <v>629</v>
      </c>
      <c r="AD121" s="1245">
        <v>774</v>
      </c>
      <c r="AE121" s="1245">
        <v>902</v>
      </c>
      <c r="AF121" s="1245">
        <v>911</v>
      </c>
      <c r="AG121" s="1245">
        <v>857</v>
      </c>
      <c r="AH121" s="1245">
        <v>815</v>
      </c>
      <c r="AI121" s="1245">
        <v>840</v>
      </c>
      <c r="AJ121" s="1513">
        <v>843</v>
      </c>
      <c r="AK121" s="1514">
        <f>'Non-marital births'!H122</f>
        <v>811</v>
      </c>
      <c r="AL121" s="1859">
        <v>811</v>
      </c>
      <c r="AM121" s="1859"/>
      <c r="AN121" s="1252">
        <f t="shared" si="46"/>
        <v>0.45777777777777778</v>
      </c>
      <c r="AO121" s="1253">
        <f t="shared" si="47"/>
        <v>0.44927536231884058</v>
      </c>
      <c r="AP121" s="1253">
        <f t="shared" si="48"/>
        <v>0.48230088495575218</v>
      </c>
      <c r="AQ121" s="1253">
        <f t="shared" si="49"/>
        <v>0.44278996865203762</v>
      </c>
      <c r="AR121" s="1253">
        <f t="shared" si="50"/>
        <v>0.50538599640933568</v>
      </c>
      <c r="AS121" s="1253">
        <f t="shared" si="51"/>
        <v>0.48234410217881291</v>
      </c>
      <c r="AT121" s="1253">
        <f t="shared" si="52"/>
        <v>0.51263157894736844</v>
      </c>
      <c r="AU121" s="1253">
        <f t="shared" si="53"/>
        <v>0.52329450915141429</v>
      </c>
      <c r="AV121" s="1253">
        <f t="shared" si="54"/>
        <v>0.54430379746835444</v>
      </c>
      <c r="AW121" s="1253">
        <f t="shared" si="55"/>
        <v>0.56980416929879973</v>
      </c>
      <c r="AX121" s="1253">
        <f t="shared" si="56"/>
        <v>0.5740390674228103</v>
      </c>
      <c r="AY121" s="1253">
        <f t="shared" si="57"/>
        <v>0.55613238157040878</v>
      </c>
      <c r="AZ121" s="1253">
        <f t="shared" si="58"/>
        <v>0.56090846524432214</v>
      </c>
      <c r="BA121" s="1253">
        <f t="shared" si="59"/>
        <v>0.5630026809651475</v>
      </c>
      <c r="BB121" s="1506">
        <f t="shared" si="60"/>
        <v>0.56501340482573725</v>
      </c>
      <c r="BC121" s="1508">
        <f>'Non-marital births'!L122</f>
        <v>0.56085753803596128</v>
      </c>
      <c r="BD121" s="1862">
        <v>0.56085753803596128</v>
      </c>
    </row>
    <row r="122" spans="1:56" s="142" customFormat="1" ht="15.75" customHeight="1" x14ac:dyDescent="0.2">
      <c r="A122" s="149" t="s">
        <v>222</v>
      </c>
      <c r="B122" s="189" t="s">
        <v>223</v>
      </c>
      <c r="C122" s="150" t="s">
        <v>264</v>
      </c>
      <c r="D122" s="1221">
        <v>884</v>
      </c>
      <c r="E122" s="1222">
        <v>938</v>
      </c>
      <c r="F122" s="1223">
        <v>1008</v>
      </c>
      <c r="G122" s="1222">
        <v>953</v>
      </c>
      <c r="H122" s="1223">
        <v>1058</v>
      </c>
      <c r="I122" s="1222">
        <v>1087</v>
      </c>
      <c r="J122" s="1223">
        <v>1186</v>
      </c>
      <c r="K122" s="1222">
        <v>1180</v>
      </c>
      <c r="L122" s="1236">
        <v>1190</v>
      </c>
      <c r="M122" s="1236">
        <v>1205</v>
      </c>
      <c r="N122" s="1236">
        <v>1090</v>
      </c>
      <c r="O122" s="1236">
        <v>1158</v>
      </c>
      <c r="P122" s="1237">
        <v>1108</v>
      </c>
      <c r="Q122" s="1237">
        <v>1117</v>
      </c>
      <c r="R122" s="1510">
        <v>1087</v>
      </c>
      <c r="S122" s="1511">
        <f>'Non-marital births'!D123</f>
        <v>1093</v>
      </c>
      <c r="T122" s="1858">
        <v>1093</v>
      </c>
      <c r="U122" s="1858"/>
      <c r="V122" s="1244">
        <v>404</v>
      </c>
      <c r="W122" s="1245">
        <v>370</v>
      </c>
      <c r="X122" s="1245">
        <v>370</v>
      </c>
      <c r="Y122" s="1245">
        <v>370</v>
      </c>
      <c r="Z122" s="1245">
        <v>398</v>
      </c>
      <c r="AA122" s="1245">
        <v>395</v>
      </c>
      <c r="AB122" s="1245">
        <v>408</v>
      </c>
      <c r="AC122" s="1245">
        <v>417</v>
      </c>
      <c r="AD122" s="1245">
        <v>435</v>
      </c>
      <c r="AE122" s="1245">
        <v>453</v>
      </c>
      <c r="AF122" s="1245">
        <v>445</v>
      </c>
      <c r="AG122" s="1245">
        <v>495</v>
      </c>
      <c r="AH122" s="1245">
        <v>480</v>
      </c>
      <c r="AI122" s="1245">
        <v>435</v>
      </c>
      <c r="AJ122" s="1513">
        <v>447</v>
      </c>
      <c r="AK122" s="1514">
        <f>'Non-marital births'!H123</f>
        <v>401</v>
      </c>
      <c r="AL122" s="1859">
        <v>401</v>
      </c>
      <c r="AM122" s="1859"/>
      <c r="AN122" s="1252">
        <f t="shared" si="46"/>
        <v>0.45701357466063347</v>
      </c>
      <c r="AO122" s="1253">
        <f t="shared" si="47"/>
        <v>0.39445628997867804</v>
      </c>
      <c r="AP122" s="1253">
        <f t="shared" si="48"/>
        <v>0.36706349206349204</v>
      </c>
      <c r="AQ122" s="1253">
        <f t="shared" si="49"/>
        <v>0.3882476390346275</v>
      </c>
      <c r="AR122" s="1253">
        <f t="shared" si="50"/>
        <v>0.37618147448015121</v>
      </c>
      <c r="AS122" s="1253">
        <f t="shared" si="51"/>
        <v>0.36338546458141674</v>
      </c>
      <c r="AT122" s="1253">
        <f t="shared" si="52"/>
        <v>0.34401349072512649</v>
      </c>
      <c r="AU122" s="1253">
        <f t="shared" si="53"/>
        <v>0.35338983050847456</v>
      </c>
      <c r="AV122" s="1253">
        <f t="shared" si="54"/>
        <v>0.36554621848739494</v>
      </c>
      <c r="AW122" s="1253">
        <f t="shared" si="55"/>
        <v>0.37593360995850622</v>
      </c>
      <c r="AX122" s="1253">
        <f t="shared" si="56"/>
        <v>0.40825688073394495</v>
      </c>
      <c r="AY122" s="1253">
        <f t="shared" si="57"/>
        <v>0.42746113989637308</v>
      </c>
      <c r="AZ122" s="1253">
        <f t="shared" si="58"/>
        <v>0.43321299638989169</v>
      </c>
      <c r="BA122" s="1253">
        <f t="shared" si="59"/>
        <v>0.38943598925693823</v>
      </c>
      <c r="BB122" s="1506">
        <f t="shared" si="60"/>
        <v>0.41122355105795766</v>
      </c>
      <c r="BC122" s="1508">
        <f>'Non-marital births'!L123</f>
        <v>0.36688014638609334</v>
      </c>
      <c r="BD122" s="1862">
        <v>0.36688014638609334</v>
      </c>
    </row>
    <row r="123" spans="1:56" s="142" customFormat="1" ht="15.75" customHeight="1" x14ac:dyDescent="0.2">
      <c r="A123" s="149" t="s">
        <v>230</v>
      </c>
      <c r="B123" s="189" t="s">
        <v>231</v>
      </c>
      <c r="C123" s="150" t="s">
        <v>264</v>
      </c>
      <c r="D123" s="1221">
        <v>6363</v>
      </c>
      <c r="E123" s="1222">
        <v>6201</v>
      </c>
      <c r="F123" s="1223">
        <v>6455</v>
      </c>
      <c r="G123" s="1222">
        <v>6173</v>
      </c>
      <c r="H123" s="1223">
        <v>6234</v>
      </c>
      <c r="I123" s="1222">
        <v>6370</v>
      </c>
      <c r="J123" s="1223">
        <v>6665</v>
      </c>
      <c r="K123" s="1222">
        <v>6382</v>
      </c>
      <c r="L123" s="1236">
        <v>6567</v>
      </c>
      <c r="M123" s="1236">
        <v>6513</v>
      </c>
      <c r="N123" s="1236">
        <v>6341</v>
      </c>
      <c r="O123" s="1236">
        <v>6324</v>
      </c>
      <c r="P123" s="1237">
        <v>6143</v>
      </c>
      <c r="Q123" s="1237">
        <v>6249</v>
      </c>
      <c r="R123" s="1510">
        <v>6270</v>
      </c>
      <c r="S123" s="1511">
        <f>'Non-marital births'!D124</f>
        <v>6088</v>
      </c>
      <c r="T123" s="1858">
        <v>6088</v>
      </c>
      <c r="U123" s="1858"/>
      <c r="V123" s="1244">
        <v>1644</v>
      </c>
      <c r="W123" s="1245">
        <v>1644</v>
      </c>
      <c r="X123" s="1245">
        <v>1750</v>
      </c>
      <c r="Y123" s="1245">
        <v>1808</v>
      </c>
      <c r="Z123" s="1245">
        <v>1790</v>
      </c>
      <c r="AA123" s="1245">
        <v>1762</v>
      </c>
      <c r="AB123" s="1245">
        <v>1886</v>
      </c>
      <c r="AC123" s="1245">
        <v>1820</v>
      </c>
      <c r="AD123" s="1245">
        <v>2001</v>
      </c>
      <c r="AE123" s="1245">
        <v>1983</v>
      </c>
      <c r="AF123" s="1245">
        <v>2018</v>
      </c>
      <c r="AG123" s="1245">
        <v>2077</v>
      </c>
      <c r="AH123" s="1245">
        <v>1955</v>
      </c>
      <c r="AI123" s="1245">
        <v>1934</v>
      </c>
      <c r="AJ123" s="1513">
        <v>2021</v>
      </c>
      <c r="AK123" s="1514">
        <f>'Non-marital births'!H124</f>
        <v>1836</v>
      </c>
      <c r="AL123" s="1859">
        <v>1836</v>
      </c>
      <c r="AM123" s="1859"/>
      <c r="AN123" s="1252">
        <f t="shared" si="46"/>
        <v>0.25836869401225837</v>
      </c>
      <c r="AO123" s="1253">
        <f t="shared" si="47"/>
        <v>0.26511852926947266</v>
      </c>
      <c r="AP123" s="1253">
        <f t="shared" si="48"/>
        <v>0.2711076684740511</v>
      </c>
      <c r="AQ123" s="1253">
        <f t="shared" si="49"/>
        <v>0.29288838490199254</v>
      </c>
      <c r="AR123" s="1253">
        <f t="shared" si="50"/>
        <v>0.287135065768367</v>
      </c>
      <c r="AS123" s="1253">
        <f t="shared" si="51"/>
        <v>0.27660910518053378</v>
      </c>
      <c r="AT123" s="1253">
        <f t="shared" si="52"/>
        <v>0.28297074268567141</v>
      </c>
      <c r="AU123" s="1253">
        <f t="shared" si="53"/>
        <v>0.28517706048260733</v>
      </c>
      <c r="AV123" s="1253">
        <f t="shared" si="54"/>
        <v>0.30470534490634993</v>
      </c>
      <c r="AW123" s="1253">
        <f t="shared" si="55"/>
        <v>0.30446798710271766</v>
      </c>
      <c r="AX123" s="1253">
        <f t="shared" si="56"/>
        <v>0.3182463333859013</v>
      </c>
      <c r="AY123" s="1253">
        <f t="shared" si="57"/>
        <v>0.32843137254901961</v>
      </c>
      <c r="AZ123" s="1253">
        <f t="shared" si="58"/>
        <v>0.31824841282760868</v>
      </c>
      <c r="BA123" s="1253">
        <f t="shared" si="59"/>
        <v>0.30948951832293164</v>
      </c>
      <c r="BB123" s="1506">
        <f t="shared" si="60"/>
        <v>0.32232854864433813</v>
      </c>
      <c r="BC123" s="1508">
        <f>'Non-marital births'!L124</f>
        <v>0.30157687253613669</v>
      </c>
      <c r="BD123" s="1862">
        <v>0.30157687253613669</v>
      </c>
    </row>
    <row r="124" spans="1:56" s="142" customFormat="1" ht="15.75" customHeight="1" x14ac:dyDescent="0.2">
      <c r="A124" s="149" t="s">
        <v>238</v>
      </c>
      <c r="B124" s="189" t="s">
        <v>239</v>
      </c>
      <c r="C124" s="150" t="s">
        <v>264</v>
      </c>
      <c r="D124" s="1221">
        <v>144</v>
      </c>
      <c r="E124" s="1222">
        <v>72</v>
      </c>
      <c r="F124" s="1223">
        <v>59</v>
      </c>
      <c r="G124" s="1222">
        <v>96</v>
      </c>
      <c r="H124" s="1223">
        <v>129</v>
      </c>
      <c r="I124" s="1222">
        <v>188</v>
      </c>
      <c r="J124" s="1223">
        <v>172</v>
      </c>
      <c r="K124" s="1222">
        <v>233</v>
      </c>
      <c r="L124" s="1236">
        <v>192</v>
      </c>
      <c r="M124" s="1236">
        <v>161</v>
      </c>
      <c r="N124" s="1236">
        <v>186</v>
      </c>
      <c r="O124" s="1236">
        <v>142</v>
      </c>
      <c r="P124" s="1237">
        <v>86</v>
      </c>
      <c r="Q124" s="1237">
        <v>80</v>
      </c>
      <c r="R124" s="1510">
        <v>91</v>
      </c>
      <c r="S124" s="1511">
        <f>'Non-marital births'!D125</f>
        <v>87</v>
      </c>
      <c r="T124" s="1858">
        <v>87</v>
      </c>
      <c r="U124" s="1858"/>
      <c r="V124" s="1244">
        <v>50</v>
      </c>
      <c r="W124" s="1245">
        <v>26</v>
      </c>
      <c r="X124" s="1245">
        <v>18</v>
      </c>
      <c r="Y124" s="1245">
        <v>29</v>
      </c>
      <c r="Z124" s="1245">
        <v>35</v>
      </c>
      <c r="AA124" s="1245">
        <v>70</v>
      </c>
      <c r="AB124" s="1245">
        <v>48</v>
      </c>
      <c r="AC124" s="1245">
        <v>75</v>
      </c>
      <c r="AD124" s="1245">
        <v>72</v>
      </c>
      <c r="AE124" s="1245">
        <v>61</v>
      </c>
      <c r="AF124" s="1245">
        <v>70</v>
      </c>
      <c r="AG124" s="1245">
        <v>58</v>
      </c>
      <c r="AH124" s="1245">
        <v>32</v>
      </c>
      <c r="AI124" s="1245">
        <v>31</v>
      </c>
      <c r="AJ124" s="1513">
        <v>38</v>
      </c>
      <c r="AK124" s="1514">
        <f>'Non-marital births'!H125</f>
        <v>34</v>
      </c>
      <c r="AL124" s="1859">
        <v>34</v>
      </c>
      <c r="AM124" s="1859"/>
      <c r="AN124" s="1252">
        <f t="shared" si="46"/>
        <v>0.34722222222222221</v>
      </c>
      <c r="AO124" s="1253">
        <f t="shared" si="47"/>
        <v>0.3611111111111111</v>
      </c>
      <c r="AP124" s="1253">
        <f t="shared" si="48"/>
        <v>0.30508474576271188</v>
      </c>
      <c r="AQ124" s="1253">
        <f t="shared" si="49"/>
        <v>0.30208333333333331</v>
      </c>
      <c r="AR124" s="1253">
        <f t="shared" si="50"/>
        <v>0.27131782945736432</v>
      </c>
      <c r="AS124" s="1253">
        <f t="shared" si="51"/>
        <v>0.37234042553191488</v>
      </c>
      <c r="AT124" s="1253">
        <f t="shared" si="52"/>
        <v>0.27906976744186046</v>
      </c>
      <c r="AU124" s="1253">
        <f t="shared" si="53"/>
        <v>0.32188841201716739</v>
      </c>
      <c r="AV124" s="1253">
        <f t="shared" si="54"/>
        <v>0.375</v>
      </c>
      <c r="AW124" s="1253">
        <f t="shared" si="55"/>
        <v>0.37888198757763975</v>
      </c>
      <c r="AX124" s="1253">
        <f t="shared" si="56"/>
        <v>0.37634408602150538</v>
      </c>
      <c r="AY124" s="1253">
        <f t="shared" si="57"/>
        <v>0.40845070422535212</v>
      </c>
      <c r="AZ124" s="1253">
        <f t="shared" si="58"/>
        <v>0.37209302325581395</v>
      </c>
      <c r="BA124" s="1253">
        <f t="shared" si="59"/>
        <v>0.38750000000000001</v>
      </c>
      <c r="BB124" s="1506">
        <f t="shared" si="60"/>
        <v>0.4175824175824176</v>
      </c>
      <c r="BC124" s="1508">
        <f>'Non-marital births'!L125</f>
        <v>0.39080459770114945</v>
      </c>
      <c r="BD124" s="1862">
        <v>0.39080459770114945</v>
      </c>
    </row>
    <row r="125" spans="1:56" s="142" customFormat="1" ht="15.75" customHeight="1" x14ac:dyDescent="0.2">
      <c r="A125" s="155" t="s">
        <v>240</v>
      </c>
      <c r="B125" s="191" t="s">
        <v>241</v>
      </c>
      <c r="C125" s="156" t="s">
        <v>267</v>
      </c>
      <c r="D125" s="1224">
        <v>312</v>
      </c>
      <c r="E125" s="1225">
        <v>313</v>
      </c>
      <c r="F125" s="1226">
        <v>335</v>
      </c>
      <c r="G125" s="1225">
        <v>373</v>
      </c>
      <c r="H125" s="1226">
        <v>348</v>
      </c>
      <c r="I125" s="1225">
        <v>398</v>
      </c>
      <c r="J125" s="1226">
        <v>413</v>
      </c>
      <c r="K125" s="1225">
        <v>435</v>
      </c>
      <c r="L125" s="1238">
        <v>434</v>
      </c>
      <c r="M125" s="1238">
        <v>495</v>
      </c>
      <c r="N125" s="1238">
        <v>404</v>
      </c>
      <c r="O125" s="1238">
        <v>392</v>
      </c>
      <c r="P125" s="1237">
        <v>446</v>
      </c>
      <c r="Q125" s="1237">
        <v>404</v>
      </c>
      <c r="R125" s="1510">
        <v>403</v>
      </c>
      <c r="S125" s="1511">
        <f>'Non-marital births'!D126</f>
        <v>423</v>
      </c>
      <c r="T125" s="1858">
        <v>423</v>
      </c>
      <c r="U125" s="1858"/>
      <c r="V125" s="1244">
        <v>125</v>
      </c>
      <c r="W125" s="1245">
        <v>134</v>
      </c>
      <c r="X125" s="1245">
        <v>132</v>
      </c>
      <c r="Y125" s="1245">
        <v>143</v>
      </c>
      <c r="Z125" s="1245">
        <v>173</v>
      </c>
      <c r="AA125" s="1245">
        <v>174</v>
      </c>
      <c r="AB125" s="1245">
        <v>198</v>
      </c>
      <c r="AC125" s="1245">
        <v>208</v>
      </c>
      <c r="AD125" s="1245">
        <v>217</v>
      </c>
      <c r="AE125" s="1245">
        <v>274</v>
      </c>
      <c r="AF125" s="1245">
        <v>212</v>
      </c>
      <c r="AG125" s="1245">
        <v>208</v>
      </c>
      <c r="AH125" s="1245">
        <v>241</v>
      </c>
      <c r="AI125" s="1245">
        <v>194</v>
      </c>
      <c r="AJ125" s="1513">
        <v>200</v>
      </c>
      <c r="AK125" s="1514">
        <f>'Non-marital births'!H126</f>
        <v>214</v>
      </c>
      <c r="AL125" s="1859">
        <v>214</v>
      </c>
      <c r="AM125" s="1859"/>
      <c r="AN125" s="1252">
        <f t="shared" si="46"/>
        <v>0.40064102564102566</v>
      </c>
      <c r="AO125" s="1253">
        <f t="shared" si="47"/>
        <v>0.4281150159744409</v>
      </c>
      <c r="AP125" s="1253">
        <f t="shared" si="48"/>
        <v>0.39402985074626867</v>
      </c>
      <c r="AQ125" s="1253">
        <f t="shared" si="49"/>
        <v>0.38337801608579086</v>
      </c>
      <c r="AR125" s="1253">
        <f t="shared" si="50"/>
        <v>0.49712643678160917</v>
      </c>
      <c r="AS125" s="1253">
        <f t="shared" si="51"/>
        <v>0.43718592964824121</v>
      </c>
      <c r="AT125" s="1253">
        <f t="shared" si="52"/>
        <v>0.47941888619854722</v>
      </c>
      <c r="AU125" s="1253">
        <f t="shared" si="53"/>
        <v>0.47816091954022988</v>
      </c>
      <c r="AV125" s="1253">
        <f t="shared" si="54"/>
        <v>0.5</v>
      </c>
      <c r="AW125" s="1253">
        <f t="shared" si="55"/>
        <v>0.55353535353535355</v>
      </c>
      <c r="AX125" s="1253">
        <f t="shared" si="56"/>
        <v>0.52475247524752477</v>
      </c>
      <c r="AY125" s="1253">
        <f t="shared" si="57"/>
        <v>0.53061224489795922</v>
      </c>
      <c r="AZ125" s="1253">
        <f t="shared" si="58"/>
        <v>0.54035874439461884</v>
      </c>
      <c r="BA125" s="1253">
        <f t="shared" si="59"/>
        <v>0.48019801980198018</v>
      </c>
      <c r="BB125" s="1506">
        <f t="shared" si="60"/>
        <v>0.49627791563275436</v>
      </c>
      <c r="BC125" s="1508">
        <f>'Non-marital births'!L126</f>
        <v>0.50591016548463352</v>
      </c>
      <c r="BD125" s="1862">
        <v>0.50591016548463352</v>
      </c>
    </row>
    <row r="126" spans="1:56" s="142" customFormat="1" ht="15.75" customHeight="1" x14ac:dyDescent="0.2">
      <c r="A126" s="283"/>
      <c r="B126" s="236"/>
      <c r="C126" s="284"/>
      <c r="D126" s="152"/>
      <c r="E126" s="151"/>
      <c r="F126" s="152"/>
      <c r="G126" s="285"/>
      <c r="H126" s="152"/>
      <c r="I126" s="151"/>
      <c r="J126" s="152"/>
      <c r="K126" s="151"/>
      <c r="L126" s="286"/>
      <c r="M126" s="286"/>
      <c r="N126" s="286"/>
      <c r="O126" s="286"/>
    </row>
    <row r="127" spans="1:56" s="142" customFormat="1" ht="15.75" customHeight="1" x14ac:dyDescent="0.2">
      <c r="A127" s="283" t="s">
        <v>266</v>
      </c>
      <c r="B127" s="236"/>
      <c r="C127" s="284"/>
      <c r="D127" s="1257">
        <v>14861</v>
      </c>
      <c r="E127" s="1258">
        <v>14898</v>
      </c>
      <c r="F127" s="1259">
        <v>15254</v>
      </c>
      <c r="G127" s="1258">
        <v>15253</v>
      </c>
      <c r="H127" s="1259">
        <v>15425</v>
      </c>
      <c r="I127" s="1258">
        <v>15516</v>
      </c>
      <c r="J127" s="1259">
        <v>16039</v>
      </c>
      <c r="K127" s="1258">
        <v>16219</v>
      </c>
      <c r="L127" s="1230">
        <v>16766</v>
      </c>
      <c r="M127" s="1230">
        <v>17109</v>
      </c>
      <c r="N127" s="1230">
        <v>16642</v>
      </c>
      <c r="O127" s="1230">
        <v>16614</v>
      </c>
      <c r="P127" s="1245">
        <v>15936</v>
      </c>
      <c r="Q127" s="1245">
        <v>15784</v>
      </c>
      <c r="R127" s="1513">
        <v>15814</v>
      </c>
      <c r="S127" s="1514">
        <f>'Non-marital births'!D128</f>
        <v>16111</v>
      </c>
      <c r="T127" s="1859">
        <v>16111</v>
      </c>
      <c r="U127" s="1859"/>
      <c r="V127" s="1244">
        <v>5447</v>
      </c>
      <c r="W127" s="1245">
        <v>5289</v>
      </c>
      <c r="X127" s="1245">
        <v>5609</v>
      </c>
      <c r="Y127" s="1245">
        <v>5598</v>
      </c>
      <c r="Z127" s="1245">
        <v>5730</v>
      </c>
      <c r="AA127" s="1245">
        <v>5905</v>
      </c>
      <c r="AB127" s="1245">
        <v>6071</v>
      </c>
      <c r="AC127" s="1245">
        <v>6314</v>
      </c>
      <c r="AD127" s="1245">
        <v>6689</v>
      </c>
      <c r="AE127" s="1245">
        <v>7088</v>
      </c>
      <c r="AF127" s="1245">
        <v>7257</v>
      </c>
      <c r="AG127" s="1245">
        <v>7331</v>
      </c>
      <c r="AH127" s="1245">
        <v>7026</v>
      </c>
      <c r="AI127" s="1245">
        <v>6938</v>
      </c>
      <c r="AJ127" s="1513">
        <v>7073</v>
      </c>
      <c r="AK127" s="1514">
        <f>'Non-marital births'!H128</f>
        <v>6940</v>
      </c>
      <c r="AL127" s="1859">
        <v>6940</v>
      </c>
      <c r="AM127" s="1859"/>
      <c r="AN127" s="1252">
        <f t="shared" ref="AN127:AN131" si="61">V127/D127</f>
        <v>0.36652984321378101</v>
      </c>
      <c r="AO127" s="1253">
        <f t="shared" ref="AO127:AO131" si="62">W127/E127</f>
        <v>0.35501409585179217</v>
      </c>
      <c r="AP127" s="1253">
        <f t="shared" ref="AP127:AP131" si="63">X127/F127</f>
        <v>0.36770683099514884</v>
      </c>
      <c r="AQ127" s="1253">
        <f t="shared" ref="AQ127:AQ131" si="64">Y127/G127</f>
        <v>0.36700976857011736</v>
      </c>
      <c r="AR127" s="1253">
        <f t="shared" ref="AR127:AR131" si="65">Z127/H127</f>
        <v>0.37147487844408428</v>
      </c>
      <c r="AS127" s="1253">
        <f t="shared" ref="AS127:AS131" si="66">AA127/I127</f>
        <v>0.38057489043567932</v>
      </c>
      <c r="AT127" s="1253">
        <f t="shared" ref="AT127:AT131" si="67">AB127/J127</f>
        <v>0.37851487000436435</v>
      </c>
      <c r="AU127" s="1253">
        <f t="shared" ref="AU127:AU131" si="68">AC127/K127</f>
        <v>0.3892965041001295</v>
      </c>
      <c r="AV127" s="1253">
        <f t="shared" ref="AV127:AV131" si="69">AD127/L127</f>
        <v>0.39896218537516404</v>
      </c>
      <c r="AW127" s="1253">
        <f t="shared" ref="AW127:AW131" si="70">AE127/M127</f>
        <v>0.41428487930329067</v>
      </c>
      <c r="AX127" s="1253">
        <f t="shared" ref="AX127:AX131" si="71">AF127/N127</f>
        <v>0.43606537675760126</v>
      </c>
      <c r="AY127" s="1253">
        <f t="shared" ref="AY127:AY131" si="72">AG127/O127</f>
        <v>0.44125436378957505</v>
      </c>
      <c r="AZ127" s="1253">
        <f t="shared" ref="AZ127:AZ131" si="73">AH127/P127</f>
        <v>0.44088855421686746</v>
      </c>
      <c r="BA127" s="1253">
        <f t="shared" ref="BA127:BA131" si="74">AI127/Q127</f>
        <v>0.43955904713634059</v>
      </c>
      <c r="BB127" s="1506">
        <f t="shared" ref="BB127:BB131" si="75">AJ127/R127</f>
        <v>0.44726191981788288</v>
      </c>
      <c r="BC127" s="1508">
        <f>'Non-marital births'!L128</f>
        <v>0.43076159145925147</v>
      </c>
      <c r="BD127" s="1862">
        <v>0.43076159145925147</v>
      </c>
    </row>
    <row r="128" spans="1:56" s="142" customFormat="1" ht="15.75" customHeight="1" x14ac:dyDescent="0.2">
      <c r="A128" s="283" t="s">
        <v>264</v>
      </c>
      <c r="B128" s="236"/>
      <c r="C128" s="284"/>
      <c r="D128" s="1257">
        <v>24881</v>
      </c>
      <c r="E128" s="1258">
        <v>24733</v>
      </c>
      <c r="F128" s="1259">
        <v>25322</v>
      </c>
      <c r="G128" s="1258">
        <v>24848</v>
      </c>
      <c r="H128" s="1259">
        <v>24919</v>
      </c>
      <c r="I128" s="1258">
        <v>25143</v>
      </c>
      <c r="J128" s="1259">
        <v>26101</v>
      </c>
      <c r="K128" s="1258">
        <v>25645</v>
      </c>
      <c r="L128" s="1230">
        <v>26221</v>
      </c>
      <c r="M128" s="1230">
        <v>26325</v>
      </c>
      <c r="N128" s="1230">
        <v>25712</v>
      </c>
      <c r="O128" s="1230">
        <v>25179</v>
      </c>
      <c r="P128" s="1245">
        <v>24458</v>
      </c>
      <c r="Q128" s="1245">
        <v>24427</v>
      </c>
      <c r="R128" s="1513">
        <v>24262</v>
      </c>
      <c r="S128" s="1514">
        <f>'Non-marital births'!D129</f>
        <v>24105</v>
      </c>
      <c r="T128" s="1859">
        <v>24105</v>
      </c>
      <c r="U128" s="1859"/>
      <c r="V128" s="1244">
        <v>9291</v>
      </c>
      <c r="W128" s="1245">
        <v>9330</v>
      </c>
      <c r="X128" s="1245">
        <v>9472</v>
      </c>
      <c r="Y128" s="1245">
        <v>9748</v>
      </c>
      <c r="Z128" s="1245">
        <v>9595</v>
      </c>
      <c r="AA128" s="1245">
        <v>9540</v>
      </c>
      <c r="AB128" s="1245">
        <v>9892</v>
      </c>
      <c r="AC128" s="1245">
        <v>9869</v>
      </c>
      <c r="AD128" s="1245">
        <v>10432</v>
      </c>
      <c r="AE128" s="1245">
        <v>10719</v>
      </c>
      <c r="AF128" s="1245">
        <v>10880</v>
      </c>
      <c r="AG128" s="1245">
        <v>10686</v>
      </c>
      <c r="AH128" s="1245">
        <v>10343</v>
      </c>
      <c r="AI128" s="1245">
        <v>10366</v>
      </c>
      <c r="AJ128" s="1513">
        <v>10274</v>
      </c>
      <c r="AK128" s="1514">
        <f>'Non-marital births'!H129</f>
        <v>9595</v>
      </c>
      <c r="AL128" s="1859">
        <v>9595</v>
      </c>
      <c r="AM128" s="1859"/>
      <c r="AN128" s="1252">
        <f t="shared" si="61"/>
        <v>0.37341746714360358</v>
      </c>
      <c r="AO128" s="1253">
        <f t="shared" si="62"/>
        <v>0.37722880362269035</v>
      </c>
      <c r="AP128" s="1253">
        <f t="shared" si="63"/>
        <v>0.37406208040439143</v>
      </c>
      <c r="AQ128" s="1253">
        <f t="shared" si="64"/>
        <v>0.3923052157115261</v>
      </c>
      <c r="AR128" s="1253">
        <f t="shared" si="65"/>
        <v>0.38504755407520364</v>
      </c>
      <c r="AS128" s="1253">
        <f t="shared" si="66"/>
        <v>0.37942966233146402</v>
      </c>
      <c r="AT128" s="1253">
        <f t="shared" si="67"/>
        <v>0.37898931075437725</v>
      </c>
      <c r="AU128" s="1253">
        <f t="shared" si="68"/>
        <v>0.38483135114057321</v>
      </c>
      <c r="AV128" s="1253">
        <f t="shared" si="69"/>
        <v>0.39784905228633538</v>
      </c>
      <c r="AW128" s="1253">
        <f t="shared" si="70"/>
        <v>0.40717948717948715</v>
      </c>
      <c r="AX128" s="1253">
        <f t="shared" si="71"/>
        <v>0.42314872433105166</v>
      </c>
      <c r="AY128" s="1253">
        <f t="shared" si="72"/>
        <v>0.42440128678660788</v>
      </c>
      <c r="AZ128" s="1253">
        <f t="shared" si="73"/>
        <v>0.42288821653446723</v>
      </c>
      <c r="BA128" s="1253">
        <f t="shared" si="74"/>
        <v>0.42436647971506941</v>
      </c>
      <c r="BB128" s="1506">
        <f t="shared" si="75"/>
        <v>0.42346055560135193</v>
      </c>
      <c r="BC128" s="1508">
        <f>'Non-marital births'!L129</f>
        <v>0.39805019705455302</v>
      </c>
      <c r="BD128" s="1862">
        <v>0.39805019705455302</v>
      </c>
    </row>
    <row r="129" spans="1:56" s="142" customFormat="1" ht="15.75" customHeight="1" x14ac:dyDescent="0.2">
      <c r="A129" s="283" t="s">
        <v>267</v>
      </c>
      <c r="B129" s="236"/>
      <c r="C129" s="284"/>
      <c r="D129" s="1257">
        <v>35694</v>
      </c>
      <c r="E129" s="1258">
        <v>36681</v>
      </c>
      <c r="F129" s="1259">
        <v>39163</v>
      </c>
      <c r="G129" s="1258">
        <v>40025</v>
      </c>
      <c r="H129" s="1259">
        <v>40777</v>
      </c>
      <c r="I129" s="1258">
        <v>41403</v>
      </c>
      <c r="J129" s="1259">
        <v>43538</v>
      </c>
      <c r="K129" s="1258">
        <v>44159</v>
      </c>
      <c r="L129" s="1230">
        <v>44509</v>
      </c>
      <c r="M129" s="1230">
        <v>45402</v>
      </c>
      <c r="N129" s="1230">
        <v>44861</v>
      </c>
      <c r="O129" s="1230">
        <v>44477</v>
      </c>
      <c r="P129" s="1245">
        <v>44469</v>
      </c>
      <c r="Q129" s="1245">
        <v>44386</v>
      </c>
      <c r="R129" s="1513">
        <v>44671</v>
      </c>
      <c r="S129" s="1514">
        <f>'Non-marital births'!D130</f>
        <v>45206</v>
      </c>
      <c r="T129" s="1859">
        <v>45206</v>
      </c>
      <c r="U129" s="1859"/>
      <c r="V129" s="1244">
        <v>7391</v>
      </c>
      <c r="W129" s="1245">
        <v>7770</v>
      </c>
      <c r="X129" s="1245">
        <v>8404</v>
      </c>
      <c r="Y129" s="1245">
        <v>8597</v>
      </c>
      <c r="Z129" s="1245">
        <v>8836</v>
      </c>
      <c r="AA129" s="1245">
        <v>9086</v>
      </c>
      <c r="AB129" s="1245">
        <v>9941</v>
      </c>
      <c r="AC129" s="1245">
        <v>10729</v>
      </c>
      <c r="AD129" s="1245">
        <v>12002</v>
      </c>
      <c r="AE129" s="1245">
        <v>12592</v>
      </c>
      <c r="AF129" s="1245">
        <v>12218</v>
      </c>
      <c r="AG129" s="1245">
        <v>11948</v>
      </c>
      <c r="AH129" s="1245">
        <v>11781</v>
      </c>
      <c r="AI129" s="1245">
        <v>11754</v>
      </c>
      <c r="AJ129" s="1513">
        <v>11526</v>
      </c>
      <c r="AK129" s="1514">
        <f>'Non-marital births'!H130</f>
        <v>11267</v>
      </c>
      <c r="AL129" s="1859">
        <v>11267</v>
      </c>
      <c r="AM129" s="1859"/>
      <c r="AN129" s="1252">
        <f t="shared" si="61"/>
        <v>0.20706561326833642</v>
      </c>
      <c r="AO129" s="1253">
        <f t="shared" si="62"/>
        <v>0.21182628608816553</v>
      </c>
      <c r="AP129" s="1253">
        <f t="shared" si="63"/>
        <v>0.21459030207083216</v>
      </c>
      <c r="AQ129" s="1253">
        <f t="shared" si="64"/>
        <v>0.21479075577763898</v>
      </c>
      <c r="AR129" s="1253">
        <f t="shared" si="65"/>
        <v>0.21669078156804081</v>
      </c>
      <c r="AS129" s="1253">
        <f t="shared" si="66"/>
        <v>0.21945269666449291</v>
      </c>
      <c r="AT129" s="1253">
        <f t="shared" si="67"/>
        <v>0.22832927557535945</v>
      </c>
      <c r="AU129" s="1253">
        <f t="shared" si="68"/>
        <v>0.24296292941416245</v>
      </c>
      <c r="AV129" s="1253">
        <f t="shared" si="69"/>
        <v>0.26965332854029522</v>
      </c>
      <c r="AW129" s="1253">
        <f t="shared" si="70"/>
        <v>0.27734461036958724</v>
      </c>
      <c r="AX129" s="1253">
        <f t="shared" si="71"/>
        <v>0.27235237734334944</v>
      </c>
      <c r="AY129" s="1253">
        <f t="shared" si="72"/>
        <v>0.26863322616183644</v>
      </c>
      <c r="AZ129" s="1253">
        <f t="shared" si="73"/>
        <v>0.26492612831410645</v>
      </c>
      <c r="BA129" s="1253">
        <f t="shared" si="74"/>
        <v>0.26481322939665658</v>
      </c>
      <c r="BB129" s="1506">
        <f t="shared" si="75"/>
        <v>0.25801974435315977</v>
      </c>
      <c r="BC129" s="1508">
        <f>'Non-marital births'!L130</f>
        <v>0.24923682696987126</v>
      </c>
      <c r="BD129" s="1862">
        <v>0.24923682696987126</v>
      </c>
    </row>
    <row r="130" spans="1:56" s="142" customFormat="1" ht="15.75" customHeight="1" x14ac:dyDescent="0.2">
      <c r="A130" s="283" t="s">
        <v>265</v>
      </c>
      <c r="B130" s="236"/>
      <c r="C130" s="284"/>
      <c r="D130" s="1257">
        <v>12551</v>
      </c>
      <c r="E130" s="1258">
        <v>12673</v>
      </c>
      <c r="F130" s="1259">
        <v>12972</v>
      </c>
      <c r="G130" s="1258">
        <v>12464</v>
      </c>
      <c r="H130" s="1259">
        <v>12174</v>
      </c>
      <c r="I130" s="1258">
        <v>12548</v>
      </c>
      <c r="J130" s="1259">
        <v>12297</v>
      </c>
      <c r="K130" s="1258">
        <v>12569</v>
      </c>
      <c r="L130" s="1230">
        <v>12953</v>
      </c>
      <c r="M130" s="1230">
        <v>13375</v>
      </c>
      <c r="N130" s="1230">
        <v>13243</v>
      </c>
      <c r="O130" s="1230">
        <v>12806</v>
      </c>
      <c r="P130" s="1245">
        <v>12220</v>
      </c>
      <c r="Q130" s="1245">
        <v>12304</v>
      </c>
      <c r="R130" s="1513">
        <v>12217</v>
      </c>
      <c r="S130" s="1514">
        <f>'Non-marital births'!D131</f>
        <v>12024</v>
      </c>
      <c r="T130" s="1859">
        <v>12024</v>
      </c>
      <c r="U130" s="1859"/>
      <c r="V130" s="1244">
        <v>4302</v>
      </c>
      <c r="W130" s="1245">
        <v>4338</v>
      </c>
      <c r="X130" s="1245">
        <v>4562</v>
      </c>
      <c r="Y130" s="1245">
        <v>4439</v>
      </c>
      <c r="Z130" s="1245">
        <v>4429</v>
      </c>
      <c r="AA130" s="1245">
        <v>4560</v>
      </c>
      <c r="AB130" s="1245">
        <v>4642</v>
      </c>
      <c r="AC130" s="1245">
        <v>4964</v>
      </c>
      <c r="AD130" s="1245">
        <v>5262</v>
      </c>
      <c r="AE130" s="1245">
        <v>5732</v>
      </c>
      <c r="AF130" s="1245">
        <v>5718</v>
      </c>
      <c r="AG130" s="1245">
        <v>5446</v>
      </c>
      <c r="AH130" s="1245">
        <v>5163</v>
      </c>
      <c r="AI130" s="1245">
        <v>5213</v>
      </c>
      <c r="AJ130" s="1513">
        <v>5201</v>
      </c>
      <c r="AK130" s="1514">
        <f>'Non-marital births'!H131</f>
        <v>5075</v>
      </c>
      <c r="AL130" s="1859">
        <v>5075</v>
      </c>
      <c r="AM130" s="1859"/>
      <c r="AN130" s="1252">
        <f t="shared" si="61"/>
        <v>0.34276153294558204</v>
      </c>
      <c r="AO130" s="1253">
        <f t="shared" si="62"/>
        <v>0.34230253294405427</v>
      </c>
      <c r="AP130" s="1253">
        <f t="shared" si="63"/>
        <v>0.3516805427073697</v>
      </c>
      <c r="AQ130" s="1253">
        <f t="shared" si="64"/>
        <v>0.3561456996148909</v>
      </c>
      <c r="AR130" s="1253">
        <f t="shared" si="65"/>
        <v>0.36380811565631677</v>
      </c>
      <c r="AS130" s="1253">
        <f t="shared" si="66"/>
        <v>0.36340452661778772</v>
      </c>
      <c r="AT130" s="1253">
        <f t="shared" si="67"/>
        <v>0.37749044482394079</v>
      </c>
      <c r="AU130" s="1253">
        <f t="shared" si="68"/>
        <v>0.39493993157769114</v>
      </c>
      <c r="AV130" s="1253">
        <f t="shared" si="69"/>
        <v>0.4062379371574153</v>
      </c>
      <c r="AW130" s="1253">
        <f t="shared" si="70"/>
        <v>0.4285607476635514</v>
      </c>
      <c r="AX130" s="1253">
        <f t="shared" si="71"/>
        <v>0.43177527750509703</v>
      </c>
      <c r="AY130" s="1253">
        <f t="shared" si="72"/>
        <v>0.42526940496642202</v>
      </c>
      <c r="AZ130" s="1253">
        <f t="shared" si="73"/>
        <v>0.42250409165302782</v>
      </c>
      <c r="BA130" s="1253">
        <f t="shared" si="74"/>
        <v>0.42368335500650195</v>
      </c>
      <c r="BB130" s="1506">
        <f t="shared" si="75"/>
        <v>0.42571826143897845</v>
      </c>
      <c r="BC130" s="1508">
        <f>'Non-marital births'!L131</f>
        <v>0.42207252162341985</v>
      </c>
      <c r="BD130" s="1862">
        <v>0.42207252162341985</v>
      </c>
    </row>
    <row r="131" spans="1:56" s="142" customFormat="1" ht="15.75" customHeight="1" x14ac:dyDescent="0.2">
      <c r="A131" s="283" t="s">
        <v>268</v>
      </c>
      <c r="B131" s="236"/>
      <c r="C131" s="284"/>
      <c r="D131" s="1257">
        <v>6127</v>
      </c>
      <c r="E131" s="1258">
        <v>6222</v>
      </c>
      <c r="F131" s="1259">
        <v>6151</v>
      </c>
      <c r="G131" s="1258">
        <v>5941</v>
      </c>
      <c r="H131" s="1259">
        <v>5940</v>
      </c>
      <c r="I131" s="1258">
        <v>5951</v>
      </c>
      <c r="J131" s="1259">
        <v>5855</v>
      </c>
      <c r="K131" s="1258">
        <v>5896</v>
      </c>
      <c r="L131" s="1230">
        <v>6025</v>
      </c>
      <c r="M131" s="1230">
        <v>6206</v>
      </c>
      <c r="N131" s="1230">
        <v>6120</v>
      </c>
      <c r="O131" s="1230">
        <v>5903</v>
      </c>
      <c r="P131" s="1245">
        <v>5851</v>
      </c>
      <c r="Q131" s="1245">
        <v>5624</v>
      </c>
      <c r="R131" s="1513">
        <v>5847</v>
      </c>
      <c r="S131" s="1514">
        <f>'Non-marital births'!D132</f>
        <v>5349</v>
      </c>
      <c r="T131" s="1859">
        <v>5349</v>
      </c>
      <c r="U131" s="1859"/>
      <c r="V131" s="1244">
        <v>1626</v>
      </c>
      <c r="W131" s="1245">
        <v>1578</v>
      </c>
      <c r="X131" s="1245">
        <v>1587</v>
      </c>
      <c r="Y131" s="1245">
        <v>1540</v>
      </c>
      <c r="Z131" s="1245">
        <v>1633</v>
      </c>
      <c r="AA131" s="1245">
        <v>1678</v>
      </c>
      <c r="AB131" s="1245">
        <v>1644</v>
      </c>
      <c r="AC131" s="1245">
        <v>1805</v>
      </c>
      <c r="AD131" s="1245">
        <v>1905</v>
      </c>
      <c r="AE131" s="1245">
        <v>2150</v>
      </c>
      <c r="AF131" s="1245">
        <v>2128</v>
      </c>
      <c r="AG131" s="1245">
        <v>2197</v>
      </c>
      <c r="AH131" s="1245">
        <v>2219</v>
      </c>
      <c r="AI131" s="1245">
        <v>2119</v>
      </c>
      <c r="AJ131" s="1513">
        <v>2197</v>
      </c>
      <c r="AK131" s="1514">
        <f>'Non-marital births'!H132</f>
        <v>2078</v>
      </c>
      <c r="AL131" s="1859">
        <v>2078</v>
      </c>
      <c r="AM131" s="1859"/>
      <c r="AN131" s="1252">
        <f t="shared" si="61"/>
        <v>0.26538273216908764</v>
      </c>
      <c r="AO131" s="1253">
        <f t="shared" si="62"/>
        <v>0.25361620057859208</v>
      </c>
      <c r="AP131" s="1253">
        <f t="shared" si="63"/>
        <v>0.25800682815802306</v>
      </c>
      <c r="AQ131" s="1253">
        <f t="shared" si="64"/>
        <v>0.25921562026594852</v>
      </c>
      <c r="AR131" s="1253">
        <f t="shared" si="65"/>
        <v>0.27491582491582489</v>
      </c>
      <c r="AS131" s="1253">
        <f t="shared" si="66"/>
        <v>0.28196941690472188</v>
      </c>
      <c r="AT131" s="1253">
        <f t="shared" si="67"/>
        <v>0.28078565328778821</v>
      </c>
      <c r="AU131" s="1253">
        <f t="shared" si="68"/>
        <v>0.30613975576662145</v>
      </c>
      <c r="AV131" s="1253">
        <f t="shared" si="69"/>
        <v>0.31618257261410787</v>
      </c>
      <c r="AW131" s="1253">
        <f t="shared" si="70"/>
        <v>0.34643893006767645</v>
      </c>
      <c r="AX131" s="1253">
        <f t="shared" si="71"/>
        <v>0.34771241830065358</v>
      </c>
      <c r="AY131" s="1253">
        <f t="shared" si="72"/>
        <v>0.37218363543960697</v>
      </c>
      <c r="AZ131" s="1253">
        <f t="shared" si="73"/>
        <v>0.37925141001538198</v>
      </c>
      <c r="BA131" s="1253">
        <f t="shared" si="74"/>
        <v>0.37677809388335703</v>
      </c>
      <c r="BB131" s="1506">
        <f t="shared" si="75"/>
        <v>0.37574824696425518</v>
      </c>
      <c r="BC131" s="1508">
        <f>'Non-marital births'!L132</f>
        <v>0.38848382875303794</v>
      </c>
      <c r="BD131" s="1862">
        <v>0.38848382875303794</v>
      </c>
    </row>
    <row r="132" spans="1:56" s="142" customFormat="1" ht="15.75" customHeight="1" x14ac:dyDescent="0.2">
      <c r="A132" s="283"/>
      <c r="B132" s="236"/>
      <c r="C132" s="284"/>
      <c r="D132" s="152"/>
      <c r="E132" s="151"/>
      <c r="F132" s="152"/>
      <c r="G132" s="285"/>
      <c r="H132" s="152"/>
      <c r="I132" s="151"/>
      <c r="J132" s="152"/>
      <c r="K132" s="151"/>
      <c r="L132" s="286"/>
      <c r="M132" s="286"/>
      <c r="N132" s="286"/>
      <c r="O132" s="286"/>
    </row>
    <row r="133" spans="1:56" ht="18" customHeight="1" x14ac:dyDescent="0.25">
      <c r="A133" s="2252" t="s">
        <v>659</v>
      </c>
      <c r="B133" s="2252"/>
      <c r="C133" s="2252"/>
      <c r="D133" s="2252"/>
      <c r="E133" s="2252"/>
      <c r="F133" s="2252"/>
      <c r="G133" s="2252"/>
    </row>
    <row r="134" spans="1:56" s="185" customFormat="1" ht="12.75" x14ac:dyDescent="0.2">
      <c r="A134" s="185" t="s">
        <v>248</v>
      </c>
    </row>
    <row r="135" spans="1:56" s="185" customFormat="1" ht="12.75" x14ac:dyDescent="0.2">
      <c r="A135" s="192" t="s">
        <v>249</v>
      </c>
      <c r="B135" s="170" t="s">
        <v>250</v>
      </c>
    </row>
  </sheetData>
  <autoFilter ref="A4:C125"/>
  <sortState ref="A6:AV125">
    <sortCondition ref="A6:A125"/>
  </sortState>
  <mergeCells count="5">
    <mergeCell ref="A133:G133"/>
    <mergeCell ref="E2:G2"/>
    <mergeCell ref="D3:T3"/>
    <mergeCell ref="V3:AL3"/>
    <mergeCell ref="AN3:BD3"/>
  </mergeCells>
  <hyperlinks>
    <hyperlink ref="B135"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135"/>
  <sheetViews>
    <sheetView workbookViewId="0">
      <pane xSplit="3" ySplit="5" topLeftCell="AU103" activePane="bottomRight" state="frozen"/>
      <selection pane="topRight" activeCell="D1" sqref="D1"/>
      <selection pane="bottomLeft" activeCell="A6" sqref="A6"/>
      <selection pane="bottomRight" activeCell="T103" sqref="T103"/>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0" width="8.25" style="134" customWidth="1"/>
    <col min="21" max="21" width="4.25" style="134" customWidth="1"/>
    <col min="22" max="38" width="9" style="134"/>
    <col min="39" max="39" width="4.5" style="134" customWidth="1"/>
    <col min="40" max="16384" width="9" style="134"/>
  </cols>
  <sheetData>
    <row r="1" spans="1:56" x14ac:dyDescent="0.25">
      <c r="A1" s="313" t="s">
        <v>1287</v>
      </c>
      <c r="B1" s="313"/>
      <c r="C1" s="313"/>
      <c r="D1" s="313"/>
      <c r="E1" s="313"/>
      <c r="F1" s="313"/>
      <c r="G1" s="313"/>
      <c r="H1" s="313"/>
      <c r="I1" s="314"/>
      <c r="J1" s="314"/>
      <c r="K1" s="314"/>
      <c r="L1" s="314"/>
      <c r="M1" s="314"/>
      <c r="N1" s="314"/>
      <c r="O1" s="314"/>
    </row>
    <row r="2" spans="1:56" ht="9.75" customHeight="1" x14ac:dyDescent="0.25">
      <c r="A2" s="96"/>
      <c r="B2" s="136"/>
      <c r="C2" s="136"/>
      <c r="D2" s="136"/>
      <c r="E2" s="2265"/>
      <c r="F2" s="2265"/>
      <c r="G2" s="2265"/>
    </row>
    <row r="3" spans="1:56" ht="15.75" customHeight="1" x14ac:dyDescent="0.25">
      <c r="A3" s="96"/>
      <c r="B3" s="136"/>
      <c r="C3" s="136"/>
      <c r="D3" s="2266" t="s">
        <v>886</v>
      </c>
      <c r="E3" s="2266"/>
      <c r="F3" s="2266"/>
      <c r="G3" s="2266"/>
      <c r="H3" s="2266"/>
      <c r="I3" s="2266"/>
      <c r="J3" s="2266"/>
      <c r="K3" s="2266"/>
      <c r="L3" s="2266"/>
      <c r="M3" s="2266"/>
      <c r="N3" s="2266"/>
      <c r="O3" s="2266"/>
      <c r="P3" s="2266"/>
      <c r="Q3" s="2266"/>
      <c r="R3" s="2266"/>
      <c r="S3" s="2266"/>
      <c r="T3" s="2266"/>
      <c r="U3" s="1836"/>
      <c r="V3" s="2267" t="s">
        <v>1098</v>
      </c>
      <c r="W3" s="2267"/>
      <c r="X3" s="2267"/>
      <c r="Y3" s="2267"/>
      <c r="Z3" s="2267"/>
      <c r="AA3" s="2267"/>
      <c r="AB3" s="2267"/>
      <c r="AC3" s="2267"/>
      <c r="AD3" s="2267"/>
      <c r="AE3" s="2267"/>
      <c r="AF3" s="2267"/>
      <c r="AG3" s="2267"/>
      <c r="AH3" s="2267"/>
      <c r="AI3" s="2267"/>
      <c r="AJ3" s="2267"/>
      <c r="AK3" s="2267"/>
      <c r="AL3" s="2267"/>
      <c r="AM3" s="1837"/>
      <c r="AN3" s="2269" t="s">
        <v>887</v>
      </c>
      <c r="AO3" s="2269"/>
      <c r="AP3" s="2269"/>
      <c r="AQ3" s="2269"/>
      <c r="AR3" s="2269"/>
      <c r="AS3" s="2269"/>
      <c r="AT3" s="2269"/>
      <c r="AU3" s="2269"/>
      <c r="AV3" s="2269"/>
      <c r="AW3" s="2269"/>
      <c r="AX3" s="2269"/>
      <c r="AY3" s="2269"/>
      <c r="AZ3" s="2269"/>
      <c r="BA3" s="2269"/>
      <c r="BB3" s="2269"/>
    </row>
    <row r="4" spans="1:56" s="142" customFormat="1" ht="15" customHeight="1" x14ac:dyDescent="0.2">
      <c r="A4" s="1229" t="s">
        <v>4</v>
      </c>
      <c r="B4" s="1228" t="s">
        <v>5</v>
      </c>
      <c r="C4" s="1228" t="s">
        <v>251</v>
      </c>
      <c r="D4" s="1239">
        <v>1998</v>
      </c>
      <c r="E4" s="1240">
        <v>1999</v>
      </c>
      <c r="F4" s="1240">
        <v>2000</v>
      </c>
      <c r="G4" s="1240">
        <v>2001</v>
      </c>
      <c r="H4" s="1240">
        <v>2002</v>
      </c>
      <c r="I4" s="1240">
        <v>2003</v>
      </c>
      <c r="J4" s="1240">
        <v>2004</v>
      </c>
      <c r="K4" s="1240">
        <v>2005</v>
      </c>
      <c r="L4" s="1240">
        <v>2006</v>
      </c>
      <c r="M4" s="1240">
        <v>2007</v>
      </c>
      <c r="N4" s="1240">
        <v>2008</v>
      </c>
      <c r="O4" s="1241">
        <v>2009</v>
      </c>
      <c r="P4" s="1242">
        <v>2010</v>
      </c>
      <c r="Q4" s="1242">
        <v>2011</v>
      </c>
      <c r="R4" s="1503">
        <v>2012</v>
      </c>
      <c r="S4" s="1243">
        <v>2013</v>
      </c>
      <c r="T4" s="1856">
        <v>2014</v>
      </c>
      <c r="U4" s="1856"/>
      <c r="V4" s="1249">
        <v>1998</v>
      </c>
      <c r="W4" s="1242">
        <v>1999</v>
      </c>
      <c r="X4" s="1242">
        <v>2000</v>
      </c>
      <c r="Y4" s="1242">
        <v>2001</v>
      </c>
      <c r="Z4" s="1242">
        <v>2002</v>
      </c>
      <c r="AA4" s="1242">
        <v>2003</v>
      </c>
      <c r="AB4" s="1242">
        <v>2004</v>
      </c>
      <c r="AC4" s="1242">
        <v>2005</v>
      </c>
      <c r="AD4" s="1242">
        <v>2006</v>
      </c>
      <c r="AE4" s="1242">
        <v>2007</v>
      </c>
      <c r="AF4" s="1242">
        <v>2008</v>
      </c>
      <c r="AG4" s="1242">
        <v>2009</v>
      </c>
      <c r="AH4" s="1242">
        <v>2010</v>
      </c>
      <c r="AI4" s="1242">
        <v>2011</v>
      </c>
      <c r="AJ4" s="1503">
        <v>2012</v>
      </c>
      <c r="AK4" s="1243">
        <v>2013</v>
      </c>
      <c r="AL4" s="1856">
        <v>2014</v>
      </c>
      <c r="AM4" s="1856"/>
      <c r="AN4" s="1249">
        <v>1998</v>
      </c>
      <c r="AO4" s="1242">
        <v>1999</v>
      </c>
      <c r="AP4" s="1242">
        <v>2000</v>
      </c>
      <c r="AQ4" s="1242">
        <v>2001</v>
      </c>
      <c r="AR4" s="1242">
        <v>2002</v>
      </c>
      <c r="AS4" s="1242">
        <v>2003</v>
      </c>
      <c r="AT4" s="1242">
        <v>2004</v>
      </c>
      <c r="AU4" s="1242">
        <v>2005</v>
      </c>
      <c r="AV4" s="1242">
        <v>2006</v>
      </c>
      <c r="AW4" s="1242">
        <v>2007</v>
      </c>
      <c r="AX4" s="1242">
        <v>2008</v>
      </c>
      <c r="AY4" s="1242">
        <v>2009</v>
      </c>
      <c r="AZ4" s="1242">
        <v>2010</v>
      </c>
      <c r="BA4" s="1242">
        <v>2011</v>
      </c>
      <c r="BB4" s="1503">
        <v>2012</v>
      </c>
      <c r="BC4" s="1243">
        <v>2013</v>
      </c>
      <c r="BD4" s="1863">
        <v>2014</v>
      </c>
    </row>
    <row r="5" spans="1:56" s="142" customFormat="1" ht="15.75" customHeight="1" x14ac:dyDescent="0.2">
      <c r="A5" s="146" t="s">
        <v>8</v>
      </c>
      <c r="B5" s="147" t="s">
        <v>9</v>
      </c>
      <c r="C5" s="148"/>
      <c r="D5" s="1231">
        <v>10102</v>
      </c>
      <c r="E5" s="1232">
        <v>10090</v>
      </c>
      <c r="F5" s="1232">
        <v>9803</v>
      </c>
      <c r="G5" s="1232">
        <v>9577</v>
      </c>
      <c r="H5" s="1232">
        <v>9195</v>
      </c>
      <c r="I5" s="1232">
        <v>8941</v>
      </c>
      <c r="J5" s="1232">
        <v>8914</v>
      </c>
      <c r="K5" s="1232">
        <v>8905</v>
      </c>
      <c r="L5" s="1233">
        <v>9196</v>
      </c>
      <c r="M5" s="1233">
        <v>9306</v>
      </c>
      <c r="N5" s="1233">
        <v>8902</v>
      </c>
      <c r="O5" s="1233">
        <v>8284</v>
      </c>
      <c r="P5" s="1234">
        <v>7444</v>
      </c>
      <c r="Q5" s="1234">
        <v>6572</v>
      </c>
      <c r="R5" s="1509">
        <v>6134</v>
      </c>
      <c r="S5" s="1235">
        <v>5316</v>
      </c>
      <c r="T5" s="1857">
        <v>4890</v>
      </c>
      <c r="U5" s="1857"/>
      <c r="V5" s="1246">
        <v>459326</v>
      </c>
      <c r="W5" s="1247">
        <v>465568</v>
      </c>
      <c r="X5" s="1247">
        <v>478240</v>
      </c>
      <c r="Y5" s="1247">
        <v>486425</v>
      </c>
      <c r="Z5" s="1247">
        <v>492384</v>
      </c>
      <c r="AA5" s="1247">
        <v>499398</v>
      </c>
      <c r="AB5" s="1247">
        <v>503412</v>
      </c>
      <c r="AC5" s="1247">
        <v>506205</v>
      </c>
      <c r="AD5" s="1247">
        <v>502344</v>
      </c>
      <c r="AE5" s="1247">
        <v>505848</v>
      </c>
      <c r="AF5" s="1247">
        <v>503210</v>
      </c>
      <c r="AG5" s="1247">
        <v>505976</v>
      </c>
      <c r="AH5" s="1247">
        <v>519085</v>
      </c>
      <c r="AI5" s="1247">
        <v>517392</v>
      </c>
      <c r="AJ5" s="1512">
        <v>517793</v>
      </c>
      <c r="AK5" s="1248">
        <v>518354</v>
      </c>
      <c r="AL5" s="1860">
        <v>519897</v>
      </c>
      <c r="AM5" s="1860"/>
      <c r="AN5" s="1266">
        <f t="shared" ref="AN5:BD5" si="0">IF(V5=0,"NA",(D5/V5)*1000)</f>
        <v>21.993094229370861</v>
      </c>
      <c r="AO5" s="1267">
        <f t="shared" si="0"/>
        <v>21.672451714894493</v>
      </c>
      <c r="AP5" s="1267">
        <f t="shared" si="0"/>
        <v>20.498076279692203</v>
      </c>
      <c r="AQ5" s="1267">
        <f t="shared" si="0"/>
        <v>19.688543968751606</v>
      </c>
      <c r="AR5" s="1267">
        <f t="shared" si="0"/>
        <v>18.674449210372391</v>
      </c>
      <c r="AS5" s="1267">
        <f t="shared" si="0"/>
        <v>17.903555881281065</v>
      </c>
      <c r="AT5" s="1267">
        <f t="shared" si="0"/>
        <v>17.707166297187989</v>
      </c>
      <c r="AU5" s="1267">
        <f t="shared" si="0"/>
        <v>17.591687162315662</v>
      </c>
      <c r="AV5" s="1267">
        <f t="shared" si="0"/>
        <v>18.306180625228926</v>
      </c>
      <c r="AW5" s="1267">
        <f t="shared" si="0"/>
        <v>18.39683066850121</v>
      </c>
      <c r="AX5" s="1267">
        <f t="shared" si="0"/>
        <v>17.690427455734188</v>
      </c>
      <c r="AY5" s="1267">
        <f t="shared" si="0"/>
        <v>16.372318054611284</v>
      </c>
      <c r="AZ5" s="1267">
        <f t="shared" si="0"/>
        <v>14.340618588477803</v>
      </c>
      <c r="BA5" s="1267">
        <f t="shared" si="0"/>
        <v>12.702167795404645</v>
      </c>
      <c r="BB5" s="1521">
        <f t="shared" si="0"/>
        <v>11.846432840922917</v>
      </c>
      <c r="BC5" s="1524">
        <f t="shared" si="0"/>
        <v>10.25553965050911</v>
      </c>
      <c r="BD5" s="1870">
        <f t="shared" si="0"/>
        <v>9.405709207785387</v>
      </c>
    </row>
    <row r="6" spans="1:56" s="142" customFormat="1" ht="15.75" customHeight="1" x14ac:dyDescent="0.2">
      <c r="A6" s="149" t="s">
        <v>10</v>
      </c>
      <c r="B6" s="188" t="s">
        <v>11</v>
      </c>
      <c r="C6" s="150" t="s">
        <v>264</v>
      </c>
      <c r="D6" s="1221">
        <v>67</v>
      </c>
      <c r="E6" s="1222">
        <v>81</v>
      </c>
      <c r="F6" s="1223">
        <v>86</v>
      </c>
      <c r="G6" s="1222">
        <v>60</v>
      </c>
      <c r="H6" s="1223">
        <v>85</v>
      </c>
      <c r="I6" s="1222">
        <v>87</v>
      </c>
      <c r="J6" s="1223">
        <v>74</v>
      </c>
      <c r="K6" s="1222">
        <v>86</v>
      </c>
      <c r="L6" s="1236">
        <v>79</v>
      </c>
      <c r="M6" s="1236">
        <v>89</v>
      </c>
      <c r="N6" s="1236">
        <v>76</v>
      </c>
      <c r="O6" s="1236">
        <v>49</v>
      </c>
      <c r="P6" s="1237">
        <v>53</v>
      </c>
      <c r="Q6" s="1237">
        <v>43</v>
      </c>
      <c r="R6" s="1510">
        <v>32</v>
      </c>
      <c r="S6" s="1511">
        <v>23</v>
      </c>
      <c r="T6" s="1858">
        <v>30</v>
      </c>
      <c r="U6" s="1858"/>
      <c r="V6" s="1244">
        <v>2001</v>
      </c>
      <c r="W6" s="1245">
        <v>1999</v>
      </c>
      <c r="X6" s="1245">
        <v>2471</v>
      </c>
      <c r="Y6" s="1245">
        <v>2535</v>
      </c>
      <c r="Z6" s="1245">
        <v>2552</v>
      </c>
      <c r="AA6" s="1245">
        <v>2605</v>
      </c>
      <c r="AB6" s="1245">
        <v>2554</v>
      </c>
      <c r="AC6" s="1245">
        <v>2515</v>
      </c>
      <c r="AD6" s="1245">
        <v>2448</v>
      </c>
      <c r="AE6" s="1245">
        <v>2363</v>
      </c>
      <c r="AF6" s="1245">
        <v>2319</v>
      </c>
      <c r="AG6" s="1245">
        <v>2273</v>
      </c>
      <c r="AH6" s="1245">
        <v>1817</v>
      </c>
      <c r="AI6" s="1245">
        <v>1793</v>
      </c>
      <c r="AJ6" s="1513">
        <v>1757</v>
      </c>
      <c r="AK6" s="1514">
        <v>1736</v>
      </c>
      <c r="AL6" s="1859">
        <v>1686</v>
      </c>
      <c r="AM6" s="1859"/>
      <c r="AN6" s="1268">
        <f t="shared" ref="AN6:AN37" si="1">IF(V6=0,"NA",(D6/V6)*1000)</f>
        <v>33.483258370814596</v>
      </c>
      <c r="AO6" s="1269">
        <f t="shared" ref="AO6:AO37" si="2">IF(W6=0,"NA",(E6/W6)*1000)</f>
        <v>40.520260130065033</v>
      </c>
      <c r="AP6" s="1269">
        <f t="shared" ref="AP6:AP37" si="3">IF(X6=0,"NA",(F6/X6)*1000)</f>
        <v>34.803723188992308</v>
      </c>
      <c r="AQ6" s="1269">
        <f t="shared" ref="AQ6:AQ37" si="4">IF(Y6=0,"NA",(G6/Y6)*1000)</f>
        <v>23.668639053254438</v>
      </c>
      <c r="AR6" s="1269">
        <f t="shared" ref="AR6:AR37" si="5">IF(Z6=0,"NA",(H6/Z6)*1000)</f>
        <v>33.307210031347964</v>
      </c>
      <c r="AS6" s="1269">
        <f t="shared" ref="AS6:AS37" si="6">IF(AA6=0,"NA",(I6/AA6)*1000)</f>
        <v>33.397312859884835</v>
      </c>
      <c r="AT6" s="1269">
        <f t="shared" ref="AT6:AT37" si="7">IF(AB6=0,"NA",(J6/AB6)*1000)</f>
        <v>28.974158183241972</v>
      </c>
      <c r="AU6" s="1269">
        <f t="shared" ref="AU6:AU37" si="8">IF(AC6=0,"NA",(K6/AC6)*1000)</f>
        <v>34.194831013916499</v>
      </c>
      <c r="AV6" s="1269">
        <f t="shared" ref="AV6:AV37" si="9">IF(AD6=0,"NA",(L6/AD6)*1000)</f>
        <v>32.271241830065364</v>
      </c>
      <c r="AW6" s="1269">
        <f t="shared" ref="AW6:AW37" si="10">IF(AE6=0,"NA",(M6/AE6)*1000)</f>
        <v>37.663986457892513</v>
      </c>
      <c r="AX6" s="1269">
        <f t="shared" ref="AX6:AX37" si="11">IF(AF6=0,"NA",(N6/AF6)*1000)</f>
        <v>32.77274687365243</v>
      </c>
      <c r="AY6" s="1269">
        <f t="shared" ref="AY6:AY37" si="12">IF(AG6=0,"NA",(O6/AG6)*1000)</f>
        <v>21.557413110426747</v>
      </c>
      <c r="AZ6" s="1269">
        <f t="shared" ref="AZ6:AZ37" si="13">IF(AH6=0,"NA",(P6/AH6)*1000)</f>
        <v>29.168959823885526</v>
      </c>
      <c r="BA6" s="1269">
        <f t="shared" ref="BA6:BA37" si="14">IF(AI6=0,"NA",(Q6/AI6)*1000)</f>
        <v>23.982152816508645</v>
      </c>
      <c r="BB6" s="1522">
        <f t="shared" ref="BB6:BB37" si="15">IF(AJ6=0,"NA",(R6/AJ6)*1000)</f>
        <v>18.212862834376779</v>
      </c>
      <c r="BC6" s="1525">
        <f t="shared" ref="BC6:BC37" si="16">IF(AK6=0,"NA",(S6/AK6)*1000)</f>
        <v>13.248847926267281</v>
      </c>
      <c r="BD6" s="1866">
        <f t="shared" ref="BD6:BD37" si="17">IF(AL6=0,"NA",(T6/AL6)*1000)</f>
        <v>17.793594306049823</v>
      </c>
    </row>
    <row r="7" spans="1:56" s="142" customFormat="1" ht="15.75" customHeight="1" x14ac:dyDescent="0.2">
      <c r="A7" s="149" t="s">
        <v>12</v>
      </c>
      <c r="B7" s="189" t="s">
        <v>13</v>
      </c>
      <c r="C7" s="150" t="s">
        <v>265</v>
      </c>
      <c r="D7" s="1221">
        <v>77</v>
      </c>
      <c r="E7" s="1222">
        <v>79</v>
      </c>
      <c r="F7" s="1223">
        <v>66</v>
      </c>
      <c r="G7" s="1222">
        <v>65</v>
      </c>
      <c r="H7" s="1223">
        <v>61</v>
      </c>
      <c r="I7" s="1222">
        <v>62</v>
      </c>
      <c r="J7" s="1223">
        <v>50</v>
      </c>
      <c r="K7" s="1222">
        <v>60</v>
      </c>
      <c r="L7" s="1236">
        <v>72</v>
      </c>
      <c r="M7" s="1236">
        <v>72</v>
      </c>
      <c r="N7" s="1236">
        <v>70</v>
      </c>
      <c r="O7" s="1236">
        <v>52</v>
      </c>
      <c r="P7" s="1237">
        <v>56</v>
      </c>
      <c r="Q7" s="1237">
        <v>38</v>
      </c>
      <c r="R7" s="1510">
        <v>40</v>
      </c>
      <c r="S7" s="1511">
        <v>32</v>
      </c>
      <c r="T7" s="1858">
        <v>27</v>
      </c>
      <c r="U7" s="1858"/>
      <c r="V7" s="1244">
        <v>6219</v>
      </c>
      <c r="W7" s="1245">
        <v>6381</v>
      </c>
      <c r="X7" s="1245">
        <v>5216</v>
      </c>
      <c r="Y7" s="1245">
        <v>5412</v>
      </c>
      <c r="Z7" s="1245">
        <v>5524</v>
      </c>
      <c r="AA7" s="1245">
        <v>7381</v>
      </c>
      <c r="AB7" s="1245">
        <v>7374</v>
      </c>
      <c r="AC7" s="1245">
        <v>7398</v>
      </c>
      <c r="AD7" s="1245">
        <v>7290</v>
      </c>
      <c r="AE7" s="1245">
        <v>7247</v>
      </c>
      <c r="AF7" s="1245">
        <v>7138</v>
      </c>
      <c r="AG7" s="1245">
        <v>7239</v>
      </c>
      <c r="AH7" s="1245">
        <v>7598</v>
      </c>
      <c r="AI7" s="1245">
        <v>7757</v>
      </c>
      <c r="AJ7" s="1513">
        <v>7849</v>
      </c>
      <c r="AK7" s="1514">
        <v>7732</v>
      </c>
      <c r="AL7" s="1859">
        <v>7866</v>
      </c>
      <c r="AM7" s="1859"/>
      <c r="AN7" s="1268">
        <f t="shared" si="1"/>
        <v>12.381411802540601</v>
      </c>
      <c r="AO7" s="1269">
        <f t="shared" si="2"/>
        <v>12.380504623099828</v>
      </c>
      <c r="AP7" s="1269">
        <f t="shared" si="3"/>
        <v>12.653374233128835</v>
      </c>
      <c r="AQ7" s="1269">
        <f t="shared" si="4"/>
        <v>12.010347376201034</v>
      </c>
      <c r="AR7" s="1269">
        <f t="shared" si="5"/>
        <v>11.042722664735699</v>
      </c>
      <c r="AS7" s="1269">
        <f t="shared" si="6"/>
        <v>8.3999458068012469</v>
      </c>
      <c r="AT7" s="1269">
        <f t="shared" si="7"/>
        <v>6.7805804176837539</v>
      </c>
      <c r="AU7" s="1269">
        <f t="shared" si="8"/>
        <v>8.1103000811030004</v>
      </c>
      <c r="AV7" s="1269">
        <f t="shared" si="9"/>
        <v>9.8765432098765427</v>
      </c>
      <c r="AW7" s="1269">
        <f t="shared" si="10"/>
        <v>9.9351455774803377</v>
      </c>
      <c r="AX7" s="1269">
        <f t="shared" si="11"/>
        <v>9.8066685346035314</v>
      </c>
      <c r="AY7" s="1269">
        <f t="shared" si="12"/>
        <v>7.1833126122392592</v>
      </c>
      <c r="AZ7" s="1269">
        <f t="shared" si="13"/>
        <v>7.3703606212161095</v>
      </c>
      <c r="BA7" s="1269">
        <f t="shared" si="14"/>
        <v>4.898801082892871</v>
      </c>
      <c r="BB7" s="1522">
        <f t="shared" si="15"/>
        <v>5.0961905975283477</v>
      </c>
      <c r="BC7" s="1525">
        <f t="shared" si="16"/>
        <v>4.1386445938954992</v>
      </c>
      <c r="BD7" s="1866">
        <f t="shared" si="17"/>
        <v>3.432494279176201</v>
      </c>
    </row>
    <row r="8" spans="1:56" s="142" customFormat="1" ht="15.75" customHeight="1" x14ac:dyDescent="0.2">
      <c r="A8" s="149" t="s">
        <v>16</v>
      </c>
      <c r="B8" s="189" t="s">
        <v>297</v>
      </c>
      <c r="C8" s="150" t="s">
        <v>265</v>
      </c>
      <c r="D8" s="1221">
        <v>37</v>
      </c>
      <c r="E8" s="1222">
        <v>40</v>
      </c>
      <c r="F8" s="1223">
        <v>30</v>
      </c>
      <c r="G8" s="1222">
        <v>24</v>
      </c>
      <c r="H8" s="1223">
        <v>21</v>
      </c>
      <c r="I8" s="1222">
        <v>21</v>
      </c>
      <c r="J8" s="1223">
        <v>33</v>
      </c>
      <c r="K8" s="1222">
        <v>22</v>
      </c>
      <c r="L8" s="1236">
        <v>35</v>
      </c>
      <c r="M8" s="1236">
        <v>31</v>
      </c>
      <c r="N8" s="1236">
        <v>36</v>
      </c>
      <c r="O8" s="1236">
        <v>20</v>
      </c>
      <c r="P8" s="1237">
        <v>22</v>
      </c>
      <c r="Q8" s="1237">
        <v>24</v>
      </c>
      <c r="R8" s="1510">
        <v>23</v>
      </c>
      <c r="S8" s="1511">
        <v>12</v>
      </c>
      <c r="T8" s="1858">
        <v>20</v>
      </c>
      <c r="U8" s="1858"/>
      <c r="V8" s="1244">
        <v>1395</v>
      </c>
      <c r="W8" s="1245">
        <v>1375</v>
      </c>
      <c r="X8" s="1245">
        <v>1332</v>
      </c>
      <c r="Y8" s="1245">
        <v>1321</v>
      </c>
      <c r="Z8" s="1245">
        <v>1302</v>
      </c>
      <c r="AA8" s="1245">
        <v>1311</v>
      </c>
      <c r="AB8" s="1245">
        <v>1326</v>
      </c>
      <c r="AC8" s="1245">
        <v>1339</v>
      </c>
      <c r="AD8" s="1245">
        <v>1323</v>
      </c>
      <c r="AE8" s="1245">
        <v>1326</v>
      </c>
      <c r="AF8" s="1245">
        <v>1304</v>
      </c>
      <c r="AG8" s="1245">
        <v>1311</v>
      </c>
      <c r="AH8" s="1245">
        <v>1340</v>
      </c>
      <c r="AI8" s="1245">
        <v>1316</v>
      </c>
      <c r="AJ8" s="1513">
        <v>1324</v>
      </c>
      <c r="AK8" s="1514">
        <v>1295</v>
      </c>
      <c r="AL8" s="1859">
        <v>1245</v>
      </c>
      <c r="AM8" s="1859"/>
      <c r="AN8" s="1270">
        <f t="shared" si="1"/>
        <v>26.523297491039425</v>
      </c>
      <c r="AO8" s="1271">
        <f t="shared" si="2"/>
        <v>29.09090909090909</v>
      </c>
      <c r="AP8" s="1271">
        <f t="shared" si="3"/>
        <v>22.522522522522522</v>
      </c>
      <c r="AQ8" s="1271">
        <f t="shared" si="4"/>
        <v>18.168054504163514</v>
      </c>
      <c r="AR8" s="1271">
        <f t="shared" si="5"/>
        <v>16.129032258064516</v>
      </c>
      <c r="AS8" s="1271">
        <f t="shared" si="6"/>
        <v>16.018306636155607</v>
      </c>
      <c r="AT8" s="1271">
        <f t="shared" si="7"/>
        <v>24.886877828054295</v>
      </c>
      <c r="AU8" s="1271">
        <f t="shared" si="8"/>
        <v>16.430171769977594</v>
      </c>
      <c r="AV8" s="1271">
        <f t="shared" si="9"/>
        <v>26.455026455026452</v>
      </c>
      <c r="AW8" s="1271">
        <f t="shared" si="10"/>
        <v>23.378582202111613</v>
      </c>
      <c r="AX8" s="1271">
        <f t="shared" si="11"/>
        <v>27.607361963190183</v>
      </c>
      <c r="AY8" s="1271">
        <f t="shared" si="12"/>
        <v>15.255530129672005</v>
      </c>
      <c r="AZ8" s="1271">
        <f t="shared" si="13"/>
        <v>16.417910447761194</v>
      </c>
      <c r="BA8" s="1271">
        <f t="shared" si="14"/>
        <v>18.237082066869299</v>
      </c>
      <c r="BB8" s="1523">
        <f t="shared" si="15"/>
        <v>17.371601208459214</v>
      </c>
      <c r="BC8" s="1525">
        <f t="shared" si="16"/>
        <v>9.2664092664092657</v>
      </c>
      <c r="BD8" s="1866">
        <f t="shared" si="17"/>
        <v>16.064257028112447</v>
      </c>
    </row>
    <row r="9" spans="1:56" s="142" customFormat="1" ht="15.75" customHeight="1" x14ac:dyDescent="0.2">
      <c r="A9" s="149" t="s">
        <v>18</v>
      </c>
      <c r="B9" s="189" t="s">
        <v>19</v>
      </c>
      <c r="C9" s="150" t="s">
        <v>266</v>
      </c>
      <c r="D9" s="1221">
        <v>18</v>
      </c>
      <c r="E9" s="1222">
        <v>12</v>
      </c>
      <c r="F9" s="1223">
        <v>24</v>
      </c>
      <c r="G9" s="1222">
        <v>21</v>
      </c>
      <c r="H9" s="1223">
        <v>15</v>
      </c>
      <c r="I9" s="1222">
        <v>15</v>
      </c>
      <c r="J9" s="1223">
        <v>19</v>
      </c>
      <c r="K9" s="1222">
        <v>18</v>
      </c>
      <c r="L9" s="1236">
        <v>16</v>
      </c>
      <c r="M9" s="1236">
        <v>21</v>
      </c>
      <c r="N9" s="1236">
        <v>16</v>
      </c>
      <c r="O9" s="1236">
        <v>20</v>
      </c>
      <c r="P9" s="1237">
        <v>15</v>
      </c>
      <c r="Q9" s="1237">
        <v>6</v>
      </c>
      <c r="R9" s="1510">
        <v>14</v>
      </c>
      <c r="S9" s="1511">
        <v>9</v>
      </c>
      <c r="T9" s="1858">
        <v>8</v>
      </c>
      <c r="U9" s="1858"/>
      <c r="V9" s="1244">
        <v>617</v>
      </c>
      <c r="W9" s="1245">
        <v>616</v>
      </c>
      <c r="X9" s="1245">
        <v>772</v>
      </c>
      <c r="Y9" s="1245">
        <v>790</v>
      </c>
      <c r="Z9" s="1245">
        <v>790</v>
      </c>
      <c r="AA9" s="1245">
        <v>770</v>
      </c>
      <c r="AB9" s="1245">
        <v>776</v>
      </c>
      <c r="AC9" s="1245">
        <v>762</v>
      </c>
      <c r="AD9" s="1245">
        <v>772</v>
      </c>
      <c r="AE9" s="1245">
        <v>752</v>
      </c>
      <c r="AF9" s="1245">
        <v>750</v>
      </c>
      <c r="AG9" s="1245">
        <v>807</v>
      </c>
      <c r="AH9" s="1245">
        <v>771</v>
      </c>
      <c r="AI9" s="1245">
        <v>762</v>
      </c>
      <c r="AJ9" s="1513">
        <v>754</v>
      </c>
      <c r="AK9" s="1514">
        <v>745</v>
      </c>
      <c r="AL9" s="1859">
        <v>750</v>
      </c>
      <c r="AM9" s="1859"/>
      <c r="AN9" s="1270">
        <f t="shared" si="1"/>
        <v>29.173419773095624</v>
      </c>
      <c r="AO9" s="1271">
        <f t="shared" si="2"/>
        <v>19.480519480519479</v>
      </c>
      <c r="AP9" s="1271">
        <f t="shared" si="3"/>
        <v>31.088082901554404</v>
      </c>
      <c r="AQ9" s="1271">
        <f t="shared" si="4"/>
        <v>26.582278481012658</v>
      </c>
      <c r="AR9" s="1271">
        <f t="shared" si="5"/>
        <v>18.9873417721519</v>
      </c>
      <c r="AS9" s="1271">
        <f t="shared" si="6"/>
        <v>19.480519480519479</v>
      </c>
      <c r="AT9" s="1271">
        <f t="shared" si="7"/>
        <v>24.484536082474225</v>
      </c>
      <c r="AU9" s="1271">
        <f t="shared" si="8"/>
        <v>23.622047244094489</v>
      </c>
      <c r="AV9" s="1271">
        <f t="shared" si="9"/>
        <v>20.725388601036268</v>
      </c>
      <c r="AW9" s="1271">
        <f t="shared" si="10"/>
        <v>27.925531914893615</v>
      </c>
      <c r="AX9" s="1271">
        <f t="shared" si="11"/>
        <v>21.333333333333332</v>
      </c>
      <c r="AY9" s="1271">
        <f t="shared" si="12"/>
        <v>24.783147459727388</v>
      </c>
      <c r="AZ9" s="1271">
        <f t="shared" si="13"/>
        <v>19.45525291828794</v>
      </c>
      <c r="BA9" s="1271">
        <f t="shared" si="14"/>
        <v>7.8740157480314963</v>
      </c>
      <c r="BB9" s="1523">
        <f t="shared" si="15"/>
        <v>18.567639257294431</v>
      </c>
      <c r="BC9" s="1525">
        <f t="shared" si="16"/>
        <v>12.080536912751677</v>
      </c>
      <c r="BD9" s="1866">
        <f t="shared" si="17"/>
        <v>10.666666666666666</v>
      </c>
    </row>
    <row r="10" spans="1:56" s="142" customFormat="1" ht="15.75" customHeight="1" x14ac:dyDescent="0.2">
      <c r="A10" s="149" t="s">
        <v>20</v>
      </c>
      <c r="B10" s="189" t="s">
        <v>21</v>
      </c>
      <c r="C10" s="150" t="s">
        <v>265</v>
      </c>
      <c r="D10" s="1221">
        <v>36</v>
      </c>
      <c r="E10" s="1222">
        <v>43</v>
      </c>
      <c r="F10" s="1223">
        <v>46</v>
      </c>
      <c r="G10" s="1222">
        <v>39</v>
      </c>
      <c r="H10" s="1223">
        <v>41</v>
      </c>
      <c r="I10" s="1222">
        <v>39</v>
      </c>
      <c r="J10" s="1223">
        <v>42</v>
      </c>
      <c r="K10" s="1222">
        <v>35</v>
      </c>
      <c r="L10" s="1236">
        <v>35</v>
      </c>
      <c r="M10" s="1236">
        <v>40</v>
      </c>
      <c r="N10" s="1236">
        <v>51</v>
      </c>
      <c r="O10" s="1236">
        <v>46</v>
      </c>
      <c r="P10" s="1237">
        <v>45</v>
      </c>
      <c r="Q10" s="1237">
        <v>30</v>
      </c>
      <c r="R10" s="1510">
        <v>35</v>
      </c>
      <c r="S10" s="1511">
        <v>24</v>
      </c>
      <c r="T10" s="1858">
        <v>27</v>
      </c>
      <c r="U10" s="1858"/>
      <c r="V10" s="1244">
        <v>2061</v>
      </c>
      <c r="W10" s="1245">
        <v>2058</v>
      </c>
      <c r="X10" s="1245">
        <v>2437</v>
      </c>
      <c r="Y10" s="1245">
        <v>2446</v>
      </c>
      <c r="Z10" s="1245">
        <v>2438</v>
      </c>
      <c r="AA10" s="1245">
        <v>2410</v>
      </c>
      <c r="AB10" s="1245">
        <v>2436</v>
      </c>
      <c r="AC10" s="1245">
        <v>2404</v>
      </c>
      <c r="AD10" s="1245">
        <v>2362</v>
      </c>
      <c r="AE10" s="1245">
        <v>2395</v>
      </c>
      <c r="AF10" s="1245">
        <v>2394</v>
      </c>
      <c r="AG10" s="1245">
        <v>2420</v>
      </c>
      <c r="AH10" s="1245">
        <v>2249</v>
      </c>
      <c r="AI10" s="1245">
        <v>2188</v>
      </c>
      <c r="AJ10" s="1513">
        <v>2114</v>
      </c>
      <c r="AK10" s="1514">
        <v>2054</v>
      </c>
      <c r="AL10" s="1859">
        <v>1973</v>
      </c>
      <c r="AM10" s="1859"/>
      <c r="AN10" s="1270">
        <f t="shared" si="1"/>
        <v>17.467248908296941</v>
      </c>
      <c r="AO10" s="1271">
        <f t="shared" si="2"/>
        <v>20.894071914480079</v>
      </c>
      <c r="AP10" s="1271">
        <f t="shared" si="3"/>
        <v>18.875666803446862</v>
      </c>
      <c r="AQ10" s="1271">
        <f t="shared" si="4"/>
        <v>15.944399018806214</v>
      </c>
      <c r="AR10" s="1271">
        <f t="shared" si="5"/>
        <v>16.817063166529941</v>
      </c>
      <c r="AS10" s="1271">
        <f t="shared" si="6"/>
        <v>16.182572614107887</v>
      </c>
      <c r="AT10" s="1271">
        <f t="shared" si="7"/>
        <v>17.241379310344826</v>
      </c>
      <c r="AU10" s="1271">
        <f t="shared" si="8"/>
        <v>14.559068219633943</v>
      </c>
      <c r="AV10" s="1271">
        <f t="shared" si="9"/>
        <v>14.817950889077053</v>
      </c>
      <c r="AW10" s="1271">
        <f t="shared" si="10"/>
        <v>16.701461377870562</v>
      </c>
      <c r="AX10" s="1271">
        <f t="shared" si="11"/>
        <v>21.303258145363408</v>
      </c>
      <c r="AY10" s="1271">
        <f t="shared" si="12"/>
        <v>19.008264462809915</v>
      </c>
      <c r="AZ10" s="1271">
        <f t="shared" si="13"/>
        <v>20.008892841262782</v>
      </c>
      <c r="BA10" s="1271">
        <f t="shared" si="14"/>
        <v>13.711151736745887</v>
      </c>
      <c r="BB10" s="1523">
        <f t="shared" si="15"/>
        <v>16.556291390728479</v>
      </c>
      <c r="BC10" s="1525">
        <f t="shared" si="16"/>
        <v>11.684518013631937</v>
      </c>
      <c r="BD10" s="1866">
        <f t="shared" si="17"/>
        <v>13.684744044602128</v>
      </c>
    </row>
    <row r="11" spans="1:56" s="142" customFormat="1" ht="15.75" customHeight="1" x14ac:dyDescent="0.2">
      <c r="A11" s="149" t="s">
        <v>22</v>
      </c>
      <c r="B11" s="189" t="s">
        <v>23</v>
      </c>
      <c r="C11" s="150" t="s">
        <v>265</v>
      </c>
      <c r="D11" s="1221">
        <v>19</v>
      </c>
      <c r="E11" s="1222">
        <v>23</v>
      </c>
      <c r="F11" s="1223">
        <v>21</v>
      </c>
      <c r="G11" s="1222">
        <v>20</v>
      </c>
      <c r="H11" s="1223">
        <v>21</v>
      </c>
      <c r="I11" s="1222">
        <v>23</v>
      </c>
      <c r="J11" s="1223">
        <v>22</v>
      </c>
      <c r="K11" s="1222">
        <v>20</v>
      </c>
      <c r="L11" s="1236">
        <v>21</v>
      </c>
      <c r="M11" s="1236">
        <v>17</v>
      </c>
      <c r="N11" s="1236">
        <v>20</v>
      </c>
      <c r="O11" s="1236">
        <v>15</v>
      </c>
      <c r="P11" s="1237">
        <v>19</v>
      </c>
      <c r="Q11" s="1237">
        <v>17</v>
      </c>
      <c r="R11" s="1510">
        <v>16</v>
      </c>
      <c r="S11" s="1511">
        <v>11</v>
      </c>
      <c r="T11" s="1858">
        <v>12</v>
      </c>
      <c r="U11" s="1858"/>
      <c r="V11" s="1244">
        <v>853</v>
      </c>
      <c r="W11" s="1245">
        <v>848</v>
      </c>
      <c r="X11" s="1245">
        <v>907</v>
      </c>
      <c r="Y11" s="1245">
        <v>924</v>
      </c>
      <c r="Z11" s="1245">
        <v>912</v>
      </c>
      <c r="AA11" s="1245">
        <v>900</v>
      </c>
      <c r="AB11" s="1245">
        <v>894</v>
      </c>
      <c r="AC11" s="1245">
        <v>894</v>
      </c>
      <c r="AD11" s="1245">
        <v>873</v>
      </c>
      <c r="AE11" s="1245">
        <v>856</v>
      </c>
      <c r="AF11" s="1245">
        <v>861</v>
      </c>
      <c r="AG11" s="1245">
        <v>875</v>
      </c>
      <c r="AH11" s="1245">
        <v>902</v>
      </c>
      <c r="AI11" s="1245">
        <v>905</v>
      </c>
      <c r="AJ11" s="1513">
        <v>907</v>
      </c>
      <c r="AK11" s="1514">
        <v>908</v>
      </c>
      <c r="AL11" s="1859">
        <v>914</v>
      </c>
      <c r="AM11" s="1859"/>
      <c r="AN11" s="1270">
        <f t="shared" si="1"/>
        <v>22.274325908558033</v>
      </c>
      <c r="AO11" s="1271">
        <f t="shared" si="2"/>
        <v>27.122641509433961</v>
      </c>
      <c r="AP11" s="1271">
        <f t="shared" si="3"/>
        <v>23.153252480705625</v>
      </c>
      <c r="AQ11" s="1271">
        <f t="shared" si="4"/>
        <v>21.645021645021643</v>
      </c>
      <c r="AR11" s="1271">
        <f t="shared" si="5"/>
        <v>23.026315789473681</v>
      </c>
      <c r="AS11" s="1271">
        <f t="shared" si="6"/>
        <v>25.555555555555557</v>
      </c>
      <c r="AT11" s="1271">
        <f t="shared" si="7"/>
        <v>24.608501118568235</v>
      </c>
      <c r="AU11" s="1271">
        <f t="shared" si="8"/>
        <v>22.371364653243848</v>
      </c>
      <c r="AV11" s="1271">
        <f t="shared" si="9"/>
        <v>24.054982817869416</v>
      </c>
      <c r="AW11" s="1271">
        <f t="shared" si="10"/>
        <v>19.859813084112147</v>
      </c>
      <c r="AX11" s="1271">
        <f t="shared" si="11"/>
        <v>23.228803716608596</v>
      </c>
      <c r="AY11" s="1271">
        <f t="shared" si="12"/>
        <v>17.142857142857142</v>
      </c>
      <c r="AZ11" s="1271">
        <f t="shared" si="13"/>
        <v>21.064301552106432</v>
      </c>
      <c r="BA11" s="1271">
        <f t="shared" si="14"/>
        <v>18.784530386740332</v>
      </c>
      <c r="BB11" s="1523">
        <f t="shared" si="15"/>
        <v>17.640573318632857</v>
      </c>
      <c r="BC11" s="1525">
        <f t="shared" si="16"/>
        <v>12.114537444933921</v>
      </c>
      <c r="BD11" s="1866">
        <f t="shared" si="17"/>
        <v>13.129102844638949</v>
      </c>
    </row>
    <row r="12" spans="1:56" s="142" customFormat="1" ht="15.75" customHeight="1" x14ac:dyDescent="0.2">
      <c r="A12" s="149" t="s">
        <v>24</v>
      </c>
      <c r="B12" s="189" t="s">
        <v>25</v>
      </c>
      <c r="C12" s="150" t="s">
        <v>267</v>
      </c>
      <c r="D12" s="1221">
        <v>156</v>
      </c>
      <c r="E12" s="1222">
        <v>138</v>
      </c>
      <c r="F12" s="1223">
        <v>130</v>
      </c>
      <c r="G12" s="1222">
        <v>127</v>
      </c>
      <c r="H12" s="1223">
        <v>103</v>
      </c>
      <c r="I12" s="1222">
        <v>91</v>
      </c>
      <c r="J12" s="1223">
        <v>111</v>
      </c>
      <c r="K12" s="1222">
        <v>76</v>
      </c>
      <c r="L12" s="1236">
        <v>89</v>
      </c>
      <c r="M12" s="1236">
        <v>80</v>
      </c>
      <c r="N12" s="1236">
        <v>93</v>
      </c>
      <c r="O12" s="1236">
        <v>65</v>
      </c>
      <c r="P12" s="1237">
        <v>63</v>
      </c>
      <c r="Q12" s="1237">
        <v>53</v>
      </c>
      <c r="R12" s="1510">
        <v>54</v>
      </c>
      <c r="S12" s="1511">
        <v>45</v>
      </c>
      <c r="T12" s="1858">
        <v>40</v>
      </c>
      <c r="U12" s="1858"/>
      <c r="V12" s="1244">
        <v>7605</v>
      </c>
      <c r="W12" s="1245">
        <v>7799</v>
      </c>
      <c r="X12" s="1245">
        <v>7262</v>
      </c>
      <c r="Y12" s="1245">
        <v>7188</v>
      </c>
      <c r="Z12" s="1245">
        <v>7052</v>
      </c>
      <c r="AA12" s="1245">
        <v>6856</v>
      </c>
      <c r="AB12" s="1245">
        <v>7103</v>
      </c>
      <c r="AC12" s="1245">
        <v>7207</v>
      </c>
      <c r="AD12" s="1245">
        <v>7185</v>
      </c>
      <c r="AE12" s="1245">
        <v>8003</v>
      </c>
      <c r="AF12" s="1245">
        <v>8243</v>
      </c>
      <c r="AG12" s="1245">
        <v>7024</v>
      </c>
      <c r="AH12" s="1245">
        <v>6996</v>
      </c>
      <c r="AI12" s="1245">
        <v>7434</v>
      </c>
      <c r="AJ12" s="1513">
        <v>7787</v>
      </c>
      <c r="AK12" s="1514">
        <v>8051</v>
      </c>
      <c r="AL12" s="1859">
        <v>8437</v>
      </c>
      <c r="AM12" s="1859"/>
      <c r="AN12" s="1270">
        <f t="shared" si="1"/>
        <v>20.512820512820515</v>
      </c>
      <c r="AO12" s="1271">
        <f t="shared" si="2"/>
        <v>17.694576227721502</v>
      </c>
      <c r="AP12" s="1271">
        <f t="shared" si="3"/>
        <v>17.901404571743321</v>
      </c>
      <c r="AQ12" s="1271">
        <f t="shared" si="4"/>
        <v>17.66833611574847</v>
      </c>
      <c r="AR12" s="1271">
        <f t="shared" si="5"/>
        <v>14.605785592739648</v>
      </c>
      <c r="AS12" s="1271">
        <f t="shared" si="6"/>
        <v>13.273045507584598</v>
      </c>
      <c r="AT12" s="1271">
        <f t="shared" si="7"/>
        <v>15.627199774743065</v>
      </c>
      <c r="AU12" s="1271">
        <f t="shared" si="8"/>
        <v>10.545303177466351</v>
      </c>
      <c r="AV12" s="1271">
        <f t="shared" si="9"/>
        <v>12.386917188587335</v>
      </c>
      <c r="AW12" s="1271">
        <f t="shared" si="10"/>
        <v>9.9962514057228535</v>
      </c>
      <c r="AX12" s="1271">
        <f t="shared" si="11"/>
        <v>11.282300133446562</v>
      </c>
      <c r="AY12" s="1271">
        <f t="shared" si="12"/>
        <v>9.2539863325740317</v>
      </c>
      <c r="AZ12" s="1271">
        <f t="shared" si="13"/>
        <v>9.0051457975986278</v>
      </c>
      <c r="BA12" s="1271">
        <f t="shared" si="14"/>
        <v>7.12940543449018</v>
      </c>
      <c r="BB12" s="1523">
        <f t="shared" si="15"/>
        <v>6.9346346474894052</v>
      </c>
      <c r="BC12" s="1525">
        <f t="shared" si="16"/>
        <v>5.5893677803999502</v>
      </c>
      <c r="BD12" s="1866">
        <f t="shared" si="17"/>
        <v>4.7410216901742324</v>
      </c>
    </row>
    <row r="13" spans="1:56" s="142" customFormat="1" ht="15.75" customHeight="1" x14ac:dyDescent="0.2">
      <c r="A13" s="149" t="s">
        <v>26</v>
      </c>
      <c r="B13" s="189" t="s">
        <v>298</v>
      </c>
      <c r="C13" s="150" t="s">
        <v>265</v>
      </c>
      <c r="D13" s="1221">
        <v>146</v>
      </c>
      <c r="E13" s="1222">
        <v>154</v>
      </c>
      <c r="F13" s="1223">
        <v>155</v>
      </c>
      <c r="G13" s="1222">
        <v>147</v>
      </c>
      <c r="H13" s="1223">
        <v>159</v>
      </c>
      <c r="I13" s="1222">
        <v>164</v>
      </c>
      <c r="J13" s="1223">
        <v>162</v>
      </c>
      <c r="K13" s="1222">
        <v>153</v>
      </c>
      <c r="L13" s="1236">
        <v>139</v>
      </c>
      <c r="M13" s="1236">
        <v>162</v>
      </c>
      <c r="N13" s="1236">
        <v>161</v>
      </c>
      <c r="O13" s="1236">
        <v>146</v>
      </c>
      <c r="P13" s="1237">
        <v>131</v>
      </c>
      <c r="Q13" s="1237">
        <v>113</v>
      </c>
      <c r="R13" s="1510">
        <v>104</v>
      </c>
      <c r="S13" s="1511">
        <v>80</v>
      </c>
      <c r="T13" s="1858">
        <v>96</v>
      </c>
      <c r="U13" s="1858"/>
      <c r="V13" s="1244">
        <v>6768</v>
      </c>
      <c r="W13" s="1245">
        <v>6812</v>
      </c>
      <c r="X13" s="1245">
        <v>7100</v>
      </c>
      <c r="Y13" s="1245">
        <v>7139</v>
      </c>
      <c r="Z13" s="1245">
        <v>7238</v>
      </c>
      <c r="AA13" s="1245">
        <v>7351</v>
      </c>
      <c r="AB13" s="1245">
        <v>7420</v>
      </c>
      <c r="AC13" s="1245">
        <v>7292</v>
      </c>
      <c r="AD13" s="1245">
        <v>7099</v>
      </c>
      <c r="AE13" s="1245">
        <v>7050</v>
      </c>
      <c r="AF13" s="1245">
        <v>6992</v>
      </c>
      <c r="AG13" s="1245">
        <v>7223</v>
      </c>
      <c r="AH13" s="1245">
        <v>7305</v>
      </c>
      <c r="AI13" s="1245">
        <v>7164</v>
      </c>
      <c r="AJ13" s="1513">
        <v>7006</v>
      </c>
      <c r="AK13" s="1514">
        <v>7109</v>
      </c>
      <c r="AL13" s="1859">
        <v>7026</v>
      </c>
      <c r="AM13" s="1859"/>
      <c r="AN13" s="1270">
        <f t="shared" si="1"/>
        <v>21.57210401891253</v>
      </c>
      <c r="AO13" s="1271">
        <f t="shared" si="2"/>
        <v>22.607163828537875</v>
      </c>
      <c r="AP13" s="1271">
        <f t="shared" si="3"/>
        <v>21.830985915492956</v>
      </c>
      <c r="AQ13" s="1271">
        <f t="shared" si="4"/>
        <v>20.591119204370358</v>
      </c>
      <c r="AR13" s="1271">
        <f t="shared" si="5"/>
        <v>21.967394307819841</v>
      </c>
      <c r="AS13" s="1271">
        <f t="shared" si="6"/>
        <v>22.309889810910082</v>
      </c>
      <c r="AT13" s="1271">
        <f t="shared" si="7"/>
        <v>21.832884097035041</v>
      </c>
      <c r="AU13" s="1271">
        <f t="shared" si="8"/>
        <v>20.981897970378494</v>
      </c>
      <c r="AV13" s="1271">
        <f t="shared" si="9"/>
        <v>19.580222566558668</v>
      </c>
      <c r="AW13" s="1271">
        <f t="shared" si="10"/>
        <v>22.978723404255319</v>
      </c>
      <c r="AX13" s="1271">
        <f t="shared" si="11"/>
        <v>23.026315789473681</v>
      </c>
      <c r="AY13" s="1271">
        <f t="shared" si="12"/>
        <v>20.213207808389868</v>
      </c>
      <c r="AZ13" s="1271">
        <f t="shared" si="13"/>
        <v>17.932922655715263</v>
      </c>
      <c r="BA13" s="1271">
        <f t="shared" si="14"/>
        <v>15.773310999441653</v>
      </c>
      <c r="BB13" s="1523">
        <f t="shared" si="15"/>
        <v>14.844419069369112</v>
      </c>
      <c r="BC13" s="1525">
        <f t="shared" si="16"/>
        <v>11.253340835560557</v>
      </c>
      <c r="BD13" s="1866">
        <f t="shared" si="17"/>
        <v>13.663535439795046</v>
      </c>
    </row>
    <row r="14" spans="1:56" s="142" customFormat="1" ht="15.75" customHeight="1" x14ac:dyDescent="0.2">
      <c r="A14" s="149" t="s">
        <v>27</v>
      </c>
      <c r="B14" s="189" t="s">
        <v>28</v>
      </c>
      <c r="C14" s="150" t="s">
        <v>265</v>
      </c>
      <c r="D14" s="1221">
        <v>6</v>
      </c>
      <c r="E14" s="1222">
        <v>2</v>
      </c>
      <c r="F14" s="1223">
        <v>2</v>
      </c>
      <c r="G14" s="1222">
        <v>1</v>
      </c>
      <c r="H14" s="1223">
        <v>1</v>
      </c>
      <c r="I14" s="1222">
        <v>2</v>
      </c>
      <c r="J14" s="1223">
        <v>1</v>
      </c>
      <c r="K14" s="1222">
        <v>1</v>
      </c>
      <c r="L14" s="1236">
        <v>1</v>
      </c>
      <c r="M14" s="1236">
        <v>1</v>
      </c>
      <c r="N14" s="1236">
        <v>4</v>
      </c>
      <c r="O14" s="1236">
        <v>1</v>
      </c>
      <c r="P14" s="1237">
        <v>6</v>
      </c>
      <c r="Q14" s="1237">
        <v>1</v>
      </c>
      <c r="R14" s="1510">
        <v>4</v>
      </c>
      <c r="S14" s="1511">
        <v>5</v>
      </c>
      <c r="T14" s="1858">
        <v>4</v>
      </c>
      <c r="U14" s="1858"/>
      <c r="V14" s="1244">
        <v>229</v>
      </c>
      <c r="W14" s="1245">
        <v>225</v>
      </c>
      <c r="X14" s="1245">
        <v>302</v>
      </c>
      <c r="Y14" s="1245">
        <v>298</v>
      </c>
      <c r="Z14" s="1245">
        <v>306</v>
      </c>
      <c r="AA14" s="1245">
        <v>307</v>
      </c>
      <c r="AB14" s="1245">
        <v>302</v>
      </c>
      <c r="AC14" s="1245">
        <v>301</v>
      </c>
      <c r="AD14" s="1245">
        <v>290</v>
      </c>
      <c r="AE14" s="1245">
        <v>267</v>
      </c>
      <c r="AF14" s="1245">
        <v>249</v>
      </c>
      <c r="AG14" s="1245">
        <v>272</v>
      </c>
      <c r="AH14" s="1245">
        <v>255</v>
      </c>
      <c r="AI14" s="1245">
        <v>247</v>
      </c>
      <c r="AJ14" s="1513">
        <v>260</v>
      </c>
      <c r="AK14" s="1514">
        <v>228</v>
      </c>
      <c r="AL14" s="1859">
        <v>213</v>
      </c>
      <c r="AM14" s="1859"/>
      <c r="AN14" s="1270">
        <f t="shared" si="1"/>
        <v>26.200873362445414</v>
      </c>
      <c r="AO14" s="1271">
        <f t="shared" si="2"/>
        <v>8.8888888888888893</v>
      </c>
      <c r="AP14" s="1271">
        <f t="shared" si="3"/>
        <v>6.6225165562913908</v>
      </c>
      <c r="AQ14" s="1271">
        <f t="shared" si="4"/>
        <v>3.3557046979865772</v>
      </c>
      <c r="AR14" s="1271">
        <f t="shared" si="5"/>
        <v>3.2679738562091503</v>
      </c>
      <c r="AS14" s="1271">
        <f t="shared" si="6"/>
        <v>6.5146579804560263</v>
      </c>
      <c r="AT14" s="1271">
        <f t="shared" si="7"/>
        <v>3.3112582781456954</v>
      </c>
      <c r="AU14" s="1271">
        <f t="shared" si="8"/>
        <v>3.3222591362126246</v>
      </c>
      <c r="AV14" s="1271">
        <f t="shared" si="9"/>
        <v>3.4482758620689653</v>
      </c>
      <c r="AW14" s="1271">
        <f t="shared" si="10"/>
        <v>3.7453183520599249</v>
      </c>
      <c r="AX14" s="1271">
        <f t="shared" si="11"/>
        <v>16.064257028112447</v>
      </c>
      <c r="AY14" s="1271">
        <f t="shared" si="12"/>
        <v>3.6764705882352939</v>
      </c>
      <c r="AZ14" s="1271">
        <f t="shared" si="13"/>
        <v>23.52941176470588</v>
      </c>
      <c r="BA14" s="1271">
        <f t="shared" si="14"/>
        <v>4.048582995951417</v>
      </c>
      <c r="BB14" s="1523">
        <f t="shared" si="15"/>
        <v>15.384615384615385</v>
      </c>
      <c r="BC14" s="1525">
        <f t="shared" si="16"/>
        <v>21.929824561403507</v>
      </c>
      <c r="BD14" s="1866">
        <f t="shared" si="17"/>
        <v>18.779342723004696</v>
      </c>
    </row>
    <row r="15" spans="1:56" s="142" customFormat="1" ht="15.75" customHeight="1" x14ac:dyDescent="0.2">
      <c r="A15" s="149" t="s">
        <v>29</v>
      </c>
      <c r="B15" s="189" t="s">
        <v>924</v>
      </c>
      <c r="C15" s="150" t="s">
        <v>265</v>
      </c>
      <c r="D15" s="1221">
        <v>70</v>
      </c>
      <c r="E15" s="1222">
        <v>58</v>
      </c>
      <c r="F15" s="1223">
        <v>70</v>
      </c>
      <c r="G15" s="1222">
        <v>52</v>
      </c>
      <c r="H15" s="1223">
        <v>68</v>
      </c>
      <c r="I15" s="1222">
        <v>63</v>
      </c>
      <c r="J15" s="1223">
        <v>73</v>
      </c>
      <c r="K15" s="1222">
        <v>60</v>
      </c>
      <c r="L15" s="1236">
        <v>66</v>
      </c>
      <c r="M15" s="1236">
        <v>64</v>
      </c>
      <c r="N15" s="1236">
        <v>69</v>
      </c>
      <c r="O15" s="1236">
        <v>69</v>
      </c>
      <c r="P15" s="1237">
        <v>45</v>
      </c>
      <c r="Q15" s="1237">
        <v>59</v>
      </c>
      <c r="R15" s="1510">
        <v>44</v>
      </c>
      <c r="S15" s="1511">
        <v>39</v>
      </c>
      <c r="T15" s="1858">
        <v>41</v>
      </c>
      <c r="U15" s="1858"/>
      <c r="V15" s="1244">
        <v>3511</v>
      </c>
      <c r="W15" s="1245">
        <v>3547</v>
      </c>
      <c r="X15" s="1245">
        <v>4207</v>
      </c>
      <c r="Y15" s="1245">
        <v>4351</v>
      </c>
      <c r="Z15" s="1245">
        <v>4474</v>
      </c>
      <c r="AA15" s="1245">
        <v>4552</v>
      </c>
      <c r="AB15" s="1245">
        <v>4610</v>
      </c>
      <c r="AC15" s="1245">
        <v>4536</v>
      </c>
      <c r="AD15" s="1245">
        <v>4477</v>
      </c>
      <c r="AE15" s="1245">
        <v>4422</v>
      </c>
      <c r="AF15" s="1245">
        <v>4347</v>
      </c>
      <c r="AG15" s="1245">
        <v>4815</v>
      </c>
      <c r="AH15" s="1245">
        <v>4789</v>
      </c>
      <c r="AI15" s="1245">
        <v>4775</v>
      </c>
      <c r="AJ15" s="1513">
        <v>4701</v>
      </c>
      <c r="AK15" s="1514">
        <v>4693</v>
      </c>
      <c r="AL15" s="1859">
        <v>4716</v>
      </c>
      <c r="AM15" s="1859"/>
      <c r="AN15" s="1270">
        <f t="shared" si="1"/>
        <v>19.937339789233835</v>
      </c>
      <c r="AO15" s="1271">
        <f t="shared" si="2"/>
        <v>16.351846630955738</v>
      </c>
      <c r="AP15" s="1271">
        <f t="shared" si="3"/>
        <v>16.638935108153078</v>
      </c>
      <c r="AQ15" s="1271">
        <f t="shared" si="4"/>
        <v>11.951275568834751</v>
      </c>
      <c r="AR15" s="1271">
        <f t="shared" si="5"/>
        <v>15.198927134555209</v>
      </c>
      <c r="AS15" s="1271">
        <f t="shared" si="6"/>
        <v>13.840070298769772</v>
      </c>
      <c r="AT15" s="1271">
        <f t="shared" si="7"/>
        <v>15.835140997830802</v>
      </c>
      <c r="AU15" s="1271">
        <f t="shared" si="8"/>
        <v>13.227513227513226</v>
      </c>
      <c r="AV15" s="1271">
        <f t="shared" si="9"/>
        <v>14.742014742014742</v>
      </c>
      <c r="AW15" s="1271">
        <f t="shared" si="10"/>
        <v>14.473089099954771</v>
      </c>
      <c r="AX15" s="1271">
        <f t="shared" si="11"/>
        <v>15.873015873015872</v>
      </c>
      <c r="AY15" s="1271">
        <f t="shared" si="12"/>
        <v>14.330218068535824</v>
      </c>
      <c r="AZ15" s="1271">
        <f t="shared" si="13"/>
        <v>9.3965337231154731</v>
      </c>
      <c r="BA15" s="1271">
        <f t="shared" si="14"/>
        <v>12.356020942408378</v>
      </c>
      <c r="BB15" s="1523">
        <f t="shared" si="15"/>
        <v>9.3597106998510959</v>
      </c>
      <c r="BC15" s="1525">
        <f t="shared" si="16"/>
        <v>8.310249307479225</v>
      </c>
      <c r="BD15" s="1866">
        <f t="shared" si="17"/>
        <v>8.6938083121289225</v>
      </c>
    </row>
    <row r="16" spans="1:56" s="142" customFormat="1" ht="15.75" customHeight="1" x14ac:dyDescent="0.2">
      <c r="A16" s="149" t="s">
        <v>30</v>
      </c>
      <c r="B16" s="189" t="s">
        <v>31</v>
      </c>
      <c r="C16" s="150" t="s">
        <v>268</v>
      </c>
      <c r="D16" s="1221">
        <v>5</v>
      </c>
      <c r="E16" s="1222">
        <v>5</v>
      </c>
      <c r="F16" s="1223">
        <v>7</v>
      </c>
      <c r="G16" s="1222">
        <v>7</v>
      </c>
      <c r="H16" s="1223">
        <v>4</v>
      </c>
      <c r="I16" s="1222">
        <v>1</v>
      </c>
      <c r="J16" s="1223">
        <v>2</v>
      </c>
      <c r="K16" s="1222">
        <v>4</v>
      </c>
      <c r="L16" s="1236">
        <v>5</v>
      </c>
      <c r="M16" s="1236">
        <v>6</v>
      </c>
      <c r="N16" s="1236">
        <v>9</v>
      </c>
      <c r="O16" s="1236">
        <v>2</v>
      </c>
      <c r="P16" s="1237">
        <v>8</v>
      </c>
      <c r="Q16" s="1237">
        <v>10</v>
      </c>
      <c r="R16" s="1510">
        <v>7</v>
      </c>
      <c r="S16" s="1511">
        <v>2</v>
      </c>
      <c r="T16" s="1858">
        <v>3</v>
      </c>
      <c r="U16" s="1858"/>
      <c r="V16" s="1244">
        <v>391</v>
      </c>
      <c r="W16" s="1245">
        <v>385</v>
      </c>
      <c r="X16" s="1245">
        <v>375</v>
      </c>
      <c r="Y16" s="1245">
        <v>377</v>
      </c>
      <c r="Z16" s="1245">
        <v>369</v>
      </c>
      <c r="AA16" s="1245">
        <v>373</v>
      </c>
      <c r="AB16" s="1245">
        <v>370</v>
      </c>
      <c r="AC16" s="1245">
        <v>356</v>
      </c>
      <c r="AD16" s="1245">
        <v>334</v>
      </c>
      <c r="AE16" s="1245">
        <v>330</v>
      </c>
      <c r="AF16" s="1245">
        <v>326</v>
      </c>
      <c r="AG16" s="1245">
        <v>355</v>
      </c>
      <c r="AH16" s="1245">
        <v>347</v>
      </c>
      <c r="AI16" s="1245">
        <v>328</v>
      </c>
      <c r="AJ16" s="1513">
        <v>313</v>
      </c>
      <c r="AK16" s="1514">
        <v>319</v>
      </c>
      <c r="AL16" s="1859">
        <v>294</v>
      </c>
      <c r="AM16" s="1859"/>
      <c r="AN16" s="1270">
        <f t="shared" si="1"/>
        <v>12.787723785166239</v>
      </c>
      <c r="AO16" s="1271">
        <f t="shared" si="2"/>
        <v>12.987012987012989</v>
      </c>
      <c r="AP16" s="1271">
        <f t="shared" si="3"/>
        <v>18.666666666666668</v>
      </c>
      <c r="AQ16" s="1271">
        <f t="shared" si="4"/>
        <v>18.567639257294431</v>
      </c>
      <c r="AR16" s="1271">
        <f t="shared" si="5"/>
        <v>10.840108401084011</v>
      </c>
      <c r="AS16" s="1271">
        <f t="shared" si="6"/>
        <v>2.6809651474530831</v>
      </c>
      <c r="AT16" s="1271">
        <f t="shared" si="7"/>
        <v>5.4054054054054053</v>
      </c>
      <c r="AU16" s="1271">
        <f t="shared" si="8"/>
        <v>11.235955056179774</v>
      </c>
      <c r="AV16" s="1271">
        <f t="shared" si="9"/>
        <v>14.970059880239521</v>
      </c>
      <c r="AW16" s="1271">
        <f t="shared" si="10"/>
        <v>18.18181818181818</v>
      </c>
      <c r="AX16" s="1271">
        <f t="shared" si="11"/>
        <v>27.607361963190183</v>
      </c>
      <c r="AY16" s="1271">
        <f t="shared" si="12"/>
        <v>5.6338028169014089</v>
      </c>
      <c r="AZ16" s="1271">
        <f t="shared" si="13"/>
        <v>23.054755043227665</v>
      </c>
      <c r="BA16" s="1271">
        <f t="shared" si="14"/>
        <v>30.487804878048781</v>
      </c>
      <c r="BB16" s="1523">
        <f t="shared" si="15"/>
        <v>22.364217252396166</v>
      </c>
      <c r="BC16" s="1525">
        <f t="shared" si="16"/>
        <v>6.2695924764890281</v>
      </c>
      <c r="BD16" s="1866">
        <f t="shared" si="17"/>
        <v>10.204081632653061</v>
      </c>
    </row>
    <row r="17" spans="1:56" s="142" customFormat="1" ht="15.75" customHeight="1" x14ac:dyDescent="0.2">
      <c r="A17" s="149" t="s">
        <v>32</v>
      </c>
      <c r="B17" s="189" t="s">
        <v>33</v>
      </c>
      <c r="C17" s="150" t="s">
        <v>265</v>
      </c>
      <c r="D17" s="1221">
        <v>32</v>
      </c>
      <c r="E17" s="1222">
        <v>23</v>
      </c>
      <c r="F17" s="1223">
        <v>23</v>
      </c>
      <c r="G17" s="1222">
        <v>17</v>
      </c>
      <c r="H17" s="1223">
        <v>28</v>
      </c>
      <c r="I17" s="1222">
        <v>21</v>
      </c>
      <c r="J17" s="1223">
        <v>15</v>
      </c>
      <c r="K17" s="1222">
        <v>24</v>
      </c>
      <c r="L17" s="1236">
        <v>14</v>
      </c>
      <c r="M17" s="1236">
        <v>24</v>
      </c>
      <c r="N17" s="1236">
        <v>17</v>
      </c>
      <c r="O17" s="1236">
        <v>21</v>
      </c>
      <c r="P17" s="1237">
        <v>16</v>
      </c>
      <c r="Q17" s="1237">
        <v>12</v>
      </c>
      <c r="R17" s="1510">
        <v>8</v>
      </c>
      <c r="S17" s="1511">
        <v>12</v>
      </c>
      <c r="T17" s="1858">
        <v>13</v>
      </c>
      <c r="U17" s="1858"/>
      <c r="V17" s="1244">
        <v>1630</v>
      </c>
      <c r="W17" s="1245">
        <v>1615</v>
      </c>
      <c r="X17" s="1245">
        <v>1975</v>
      </c>
      <c r="Y17" s="1245">
        <v>2019</v>
      </c>
      <c r="Z17" s="1245">
        <v>2052</v>
      </c>
      <c r="AA17" s="1245">
        <v>2037</v>
      </c>
      <c r="AB17" s="1245">
        <v>2052</v>
      </c>
      <c r="AC17" s="1245">
        <v>2023</v>
      </c>
      <c r="AD17" s="1245">
        <v>1959</v>
      </c>
      <c r="AE17" s="1245">
        <v>1874</v>
      </c>
      <c r="AF17" s="1245">
        <v>1859</v>
      </c>
      <c r="AG17" s="1245">
        <v>2066</v>
      </c>
      <c r="AH17" s="1245">
        <v>2106</v>
      </c>
      <c r="AI17" s="1245">
        <v>2083</v>
      </c>
      <c r="AJ17" s="1513">
        <v>2131</v>
      </c>
      <c r="AK17" s="1514">
        <v>2079</v>
      </c>
      <c r="AL17" s="1859">
        <v>2090</v>
      </c>
      <c r="AM17" s="1859"/>
      <c r="AN17" s="1270">
        <f t="shared" si="1"/>
        <v>19.631901840490798</v>
      </c>
      <c r="AO17" s="1271">
        <f t="shared" si="2"/>
        <v>14.241486068111454</v>
      </c>
      <c r="AP17" s="1271">
        <f t="shared" si="3"/>
        <v>11.645569620253164</v>
      </c>
      <c r="AQ17" s="1271">
        <f t="shared" si="4"/>
        <v>8.4200099058940072</v>
      </c>
      <c r="AR17" s="1271">
        <f t="shared" si="5"/>
        <v>13.64522417153996</v>
      </c>
      <c r="AS17" s="1271">
        <f t="shared" si="6"/>
        <v>10.309278350515465</v>
      </c>
      <c r="AT17" s="1271">
        <f t="shared" si="7"/>
        <v>7.3099415204678362</v>
      </c>
      <c r="AU17" s="1271">
        <f t="shared" si="8"/>
        <v>11.863568956994563</v>
      </c>
      <c r="AV17" s="1271">
        <f t="shared" si="9"/>
        <v>7.1465033180193975</v>
      </c>
      <c r="AW17" s="1271">
        <f t="shared" si="10"/>
        <v>12.8068303094984</v>
      </c>
      <c r="AX17" s="1271">
        <f t="shared" si="11"/>
        <v>9.1447014523937593</v>
      </c>
      <c r="AY17" s="1271">
        <f t="shared" si="12"/>
        <v>10.164569215876089</v>
      </c>
      <c r="AZ17" s="1271">
        <f t="shared" si="13"/>
        <v>7.5973409306742647</v>
      </c>
      <c r="BA17" s="1271">
        <f t="shared" si="14"/>
        <v>5.7609217474795971</v>
      </c>
      <c r="BB17" s="1523">
        <f t="shared" si="15"/>
        <v>3.7541060534960109</v>
      </c>
      <c r="BC17" s="1525">
        <f t="shared" si="16"/>
        <v>5.7720057720057723</v>
      </c>
      <c r="BD17" s="1866">
        <f t="shared" si="17"/>
        <v>6.2200956937799043</v>
      </c>
    </row>
    <row r="18" spans="1:56" s="142" customFormat="1" ht="15.75" customHeight="1" x14ac:dyDescent="0.2">
      <c r="A18" s="149" t="s">
        <v>36</v>
      </c>
      <c r="B18" s="189" t="s">
        <v>37</v>
      </c>
      <c r="C18" s="150" t="s">
        <v>264</v>
      </c>
      <c r="D18" s="1221">
        <v>43</v>
      </c>
      <c r="E18" s="1222">
        <v>24</v>
      </c>
      <c r="F18" s="1223">
        <v>30</v>
      </c>
      <c r="G18" s="1222">
        <v>41</v>
      </c>
      <c r="H18" s="1223">
        <v>31</v>
      </c>
      <c r="I18" s="1222">
        <v>30</v>
      </c>
      <c r="J18" s="1223">
        <v>31</v>
      </c>
      <c r="K18" s="1222">
        <v>31</v>
      </c>
      <c r="L18" s="1236">
        <v>18</v>
      </c>
      <c r="M18" s="1236">
        <v>30</v>
      </c>
      <c r="N18" s="1236">
        <v>29</v>
      </c>
      <c r="O18" s="1236">
        <v>17</v>
      </c>
      <c r="P18" s="1237">
        <v>26</v>
      </c>
      <c r="Q18" s="1237">
        <v>18</v>
      </c>
      <c r="R18" s="1510">
        <v>22</v>
      </c>
      <c r="S18" s="1511">
        <v>14</v>
      </c>
      <c r="T18" s="1858">
        <v>14</v>
      </c>
      <c r="U18" s="1858"/>
      <c r="V18" s="1244">
        <v>1225</v>
      </c>
      <c r="W18" s="1245">
        <v>1218</v>
      </c>
      <c r="X18" s="1245">
        <v>1186</v>
      </c>
      <c r="Y18" s="1245">
        <v>1152</v>
      </c>
      <c r="Z18" s="1245">
        <v>1123</v>
      </c>
      <c r="AA18" s="1245">
        <v>1134</v>
      </c>
      <c r="AB18" s="1245">
        <v>1091</v>
      </c>
      <c r="AC18" s="1245">
        <v>1057</v>
      </c>
      <c r="AD18" s="1245">
        <v>1050</v>
      </c>
      <c r="AE18" s="1245">
        <v>1074</v>
      </c>
      <c r="AF18" s="1245">
        <v>1056</v>
      </c>
      <c r="AG18" s="1245">
        <v>1024</v>
      </c>
      <c r="AH18" s="1245">
        <v>1022</v>
      </c>
      <c r="AI18" s="1245">
        <v>971</v>
      </c>
      <c r="AJ18" s="1513">
        <v>948</v>
      </c>
      <c r="AK18" s="1514">
        <v>904</v>
      </c>
      <c r="AL18" s="1859">
        <v>859</v>
      </c>
      <c r="AM18" s="1859"/>
      <c r="AN18" s="1270">
        <f t="shared" si="1"/>
        <v>35.102040816326529</v>
      </c>
      <c r="AO18" s="1271">
        <f t="shared" si="2"/>
        <v>19.704433497536947</v>
      </c>
      <c r="AP18" s="1271">
        <f t="shared" si="3"/>
        <v>25.295109612141651</v>
      </c>
      <c r="AQ18" s="1271">
        <f t="shared" si="4"/>
        <v>35.590277777777779</v>
      </c>
      <c r="AR18" s="1271">
        <f t="shared" si="5"/>
        <v>27.604630454140697</v>
      </c>
      <c r="AS18" s="1271">
        <f t="shared" si="6"/>
        <v>26.455026455026452</v>
      </c>
      <c r="AT18" s="1271">
        <f t="shared" si="7"/>
        <v>28.41429880843263</v>
      </c>
      <c r="AU18" s="1271">
        <f t="shared" si="8"/>
        <v>29.3282876064333</v>
      </c>
      <c r="AV18" s="1271">
        <f t="shared" si="9"/>
        <v>17.142857142857142</v>
      </c>
      <c r="AW18" s="1271">
        <f t="shared" si="10"/>
        <v>27.932960893854748</v>
      </c>
      <c r="AX18" s="1271">
        <f t="shared" si="11"/>
        <v>27.462121212121211</v>
      </c>
      <c r="AY18" s="1271">
        <f t="shared" si="12"/>
        <v>16.6015625</v>
      </c>
      <c r="AZ18" s="1271">
        <f t="shared" si="13"/>
        <v>25.440313111545986</v>
      </c>
      <c r="BA18" s="1271">
        <f t="shared" si="14"/>
        <v>18.537590113285273</v>
      </c>
      <c r="BB18" s="1523">
        <f t="shared" si="15"/>
        <v>23.206751054852322</v>
      </c>
      <c r="BC18" s="1525">
        <f t="shared" si="16"/>
        <v>15.486725663716815</v>
      </c>
      <c r="BD18" s="1866">
        <f t="shared" si="17"/>
        <v>16.298020954598368</v>
      </c>
    </row>
    <row r="19" spans="1:56" s="142" customFormat="1" ht="15.75" customHeight="1" x14ac:dyDescent="0.2">
      <c r="A19" s="149" t="s">
        <v>38</v>
      </c>
      <c r="B19" s="189" t="s">
        <v>39</v>
      </c>
      <c r="C19" s="150" t="s">
        <v>268</v>
      </c>
      <c r="D19" s="1221">
        <v>59</v>
      </c>
      <c r="E19" s="1222">
        <v>48</v>
      </c>
      <c r="F19" s="1223">
        <v>49</v>
      </c>
      <c r="G19" s="1222">
        <v>50</v>
      </c>
      <c r="H19" s="1223">
        <v>29</v>
      </c>
      <c r="I19" s="1222">
        <v>37</v>
      </c>
      <c r="J19" s="1223">
        <v>29</v>
      </c>
      <c r="K19" s="1222">
        <v>32</v>
      </c>
      <c r="L19" s="1236">
        <v>29</v>
      </c>
      <c r="M19" s="1236">
        <v>34</v>
      </c>
      <c r="N19" s="1236">
        <v>34</v>
      </c>
      <c r="O19" s="1236">
        <v>33</v>
      </c>
      <c r="P19" s="1237">
        <v>31</v>
      </c>
      <c r="Q19" s="1237">
        <v>27</v>
      </c>
      <c r="R19" s="1510">
        <v>26</v>
      </c>
      <c r="S19" s="1511">
        <v>24</v>
      </c>
      <c r="T19" s="1858">
        <v>16</v>
      </c>
      <c r="U19" s="1858"/>
      <c r="V19" s="1244">
        <v>1989</v>
      </c>
      <c r="W19" s="1245">
        <v>1905</v>
      </c>
      <c r="X19" s="1245">
        <v>1762</v>
      </c>
      <c r="Y19" s="1245">
        <v>1705</v>
      </c>
      <c r="Z19" s="1245">
        <v>1622</v>
      </c>
      <c r="AA19" s="1245">
        <v>1538</v>
      </c>
      <c r="AB19" s="1245">
        <v>1504</v>
      </c>
      <c r="AC19" s="1245">
        <v>1437</v>
      </c>
      <c r="AD19" s="1245">
        <v>1397</v>
      </c>
      <c r="AE19" s="1245">
        <v>1345</v>
      </c>
      <c r="AF19" s="1245">
        <v>1287</v>
      </c>
      <c r="AG19" s="1245">
        <v>1254</v>
      </c>
      <c r="AH19" s="1245">
        <v>1284</v>
      </c>
      <c r="AI19" s="1245">
        <v>1206</v>
      </c>
      <c r="AJ19" s="1513">
        <v>1207</v>
      </c>
      <c r="AK19" s="1514">
        <v>1179</v>
      </c>
      <c r="AL19" s="1859">
        <v>1153</v>
      </c>
      <c r="AM19" s="1859"/>
      <c r="AN19" s="1270">
        <f t="shared" si="1"/>
        <v>29.663147310206131</v>
      </c>
      <c r="AO19" s="1271">
        <f t="shared" si="2"/>
        <v>25.196850393700785</v>
      </c>
      <c r="AP19" s="1271">
        <f t="shared" si="3"/>
        <v>27.809307604994324</v>
      </c>
      <c r="AQ19" s="1271">
        <f t="shared" si="4"/>
        <v>29.325513196480941</v>
      </c>
      <c r="AR19" s="1271">
        <f t="shared" si="5"/>
        <v>17.879161528976571</v>
      </c>
      <c r="AS19" s="1271">
        <f t="shared" si="6"/>
        <v>24.057217165149545</v>
      </c>
      <c r="AT19" s="1271">
        <f t="shared" si="7"/>
        <v>19.281914893617021</v>
      </c>
      <c r="AU19" s="1271">
        <f t="shared" si="8"/>
        <v>22.268615170494087</v>
      </c>
      <c r="AV19" s="1271">
        <f t="shared" si="9"/>
        <v>20.758768790264853</v>
      </c>
      <c r="AW19" s="1271">
        <f t="shared" si="10"/>
        <v>25.278810408921935</v>
      </c>
      <c r="AX19" s="1271">
        <f t="shared" si="11"/>
        <v>26.418026418026418</v>
      </c>
      <c r="AY19" s="1271">
        <f t="shared" si="12"/>
        <v>26.315789473684209</v>
      </c>
      <c r="AZ19" s="1271">
        <f t="shared" si="13"/>
        <v>24.143302180685357</v>
      </c>
      <c r="BA19" s="1271">
        <f t="shared" si="14"/>
        <v>22.388059701492537</v>
      </c>
      <c r="BB19" s="1523">
        <f t="shared" si="15"/>
        <v>21.541010770505384</v>
      </c>
      <c r="BC19" s="1525">
        <f t="shared" si="16"/>
        <v>20.356234096692113</v>
      </c>
      <c r="BD19" s="1866">
        <f t="shared" si="17"/>
        <v>13.876843018213355</v>
      </c>
    </row>
    <row r="20" spans="1:56" s="142" customFormat="1" ht="15.75" customHeight="1" x14ac:dyDescent="0.2">
      <c r="A20" s="149" t="s">
        <v>40</v>
      </c>
      <c r="B20" s="189" t="s">
        <v>41</v>
      </c>
      <c r="C20" s="150" t="s">
        <v>266</v>
      </c>
      <c r="D20" s="1221">
        <v>20</v>
      </c>
      <c r="E20" s="1222">
        <v>18</v>
      </c>
      <c r="F20" s="1223">
        <v>12</v>
      </c>
      <c r="G20" s="1222">
        <v>30</v>
      </c>
      <c r="H20" s="1223">
        <v>26</v>
      </c>
      <c r="I20" s="1222">
        <v>21</v>
      </c>
      <c r="J20" s="1223">
        <v>24</v>
      </c>
      <c r="K20" s="1222">
        <v>13</v>
      </c>
      <c r="L20" s="1236">
        <v>27</v>
      </c>
      <c r="M20" s="1236">
        <v>25</v>
      </c>
      <c r="N20" s="1236">
        <v>26</v>
      </c>
      <c r="O20" s="1236">
        <v>23</v>
      </c>
      <c r="P20" s="1237">
        <v>20</v>
      </c>
      <c r="Q20" s="1237">
        <v>14</v>
      </c>
      <c r="R20" s="1510">
        <v>14</v>
      </c>
      <c r="S20" s="1511">
        <v>5</v>
      </c>
      <c r="T20" s="1858">
        <v>10</v>
      </c>
      <c r="U20" s="1858"/>
      <c r="V20" s="1244">
        <v>838</v>
      </c>
      <c r="W20" s="1245">
        <v>842</v>
      </c>
      <c r="X20" s="1245">
        <v>1031</v>
      </c>
      <c r="Y20" s="1245">
        <v>1061</v>
      </c>
      <c r="Z20" s="1245">
        <v>1065</v>
      </c>
      <c r="AA20" s="1245">
        <v>1074</v>
      </c>
      <c r="AB20" s="1245">
        <v>1053</v>
      </c>
      <c r="AC20" s="1245">
        <v>990</v>
      </c>
      <c r="AD20" s="1245">
        <v>936</v>
      </c>
      <c r="AE20" s="1245">
        <v>902</v>
      </c>
      <c r="AF20" s="1245">
        <v>874</v>
      </c>
      <c r="AG20" s="1245">
        <v>890</v>
      </c>
      <c r="AH20" s="1245">
        <v>934</v>
      </c>
      <c r="AI20" s="1245">
        <v>886</v>
      </c>
      <c r="AJ20" s="1513">
        <v>832</v>
      </c>
      <c r="AK20" s="1514">
        <v>805</v>
      </c>
      <c r="AL20" s="1859">
        <v>776</v>
      </c>
      <c r="AM20" s="1859"/>
      <c r="AN20" s="1270">
        <f t="shared" si="1"/>
        <v>23.866348448687351</v>
      </c>
      <c r="AO20" s="1271">
        <f t="shared" si="2"/>
        <v>21.377672209026127</v>
      </c>
      <c r="AP20" s="1271">
        <f t="shared" si="3"/>
        <v>11.639185257032008</v>
      </c>
      <c r="AQ20" s="1271">
        <f t="shared" si="4"/>
        <v>28.275212064090482</v>
      </c>
      <c r="AR20" s="1271">
        <f t="shared" si="5"/>
        <v>24.413145539906104</v>
      </c>
      <c r="AS20" s="1271">
        <f t="shared" si="6"/>
        <v>19.553072625698324</v>
      </c>
      <c r="AT20" s="1271">
        <f t="shared" si="7"/>
        <v>22.792022792022792</v>
      </c>
      <c r="AU20" s="1271">
        <f t="shared" si="8"/>
        <v>13.131313131313131</v>
      </c>
      <c r="AV20" s="1271">
        <f t="shared" si="9"/>
        <v>28.846153846153847</v>
      </c>
      <c r="AW20" s="1271">
        <f t="shared" si="10"/>
        <v>27.716186252771621</v>
      </c>
      <c r="AX20" s="1271">
        <f t="shared" si="11"/>
        <v>29.748283752860413</v>
      </c>
      <c r="AY20" s="1271">
        <f t="shared" si="12"/>
        <v>25.842696629213481</v>
      </c>
      <c r="AZ20" s="1271">
        <f t="shared" si="13"/>
        <v>21.413276231263382</v>
      </c>
      <c r="BA20" s="1271">
        <f t="shared" si="14"/>
        <v>15.80135440180587</v>
      </c>
      <c r="BB20" s="1523">
        <f t="shared" si="15"/>
        <v>16.826923076923077</v>
      </c>
      <c r="BC20" s="1525">
        <f t="shared" si="16"/>
        <v>6.2111801242236018</v>
      </c>
      <c r="BD20" s="1866">
        <f t="shared" si="17"/>
        <v>12.886597938144329</v>
      </c>
    </row>
    <row r="21" spans="1:56" s="142" customFormat="1" ht="15.75" customHeight="1" x14ac:dyDescent="0.2">
      <c r="A21" s="149" t="s">
        <v>42</v>
      </c>
      <c r="B21" s="189" t="s">
        <v>43</v>
      </c>
      <c r="C21" s="150" t="s">
        <v>265</v>
      </c>
      <c r="D21" s="1221">
        <v>92</v>
      </c>
      <c r="E21" s="1222">
        <v>95</v>
      </c>
      <c r="F21" s="1223">
        <v>93</v>
      </c>
      <c r="G21" s="1222">
        <v>69</v>
      </c>
      <c r="H21" s="1223">
        <v>63</v>
      </c>
      <c r="I21" s="1222">
        <v>65</v>
      </c>
      <c r="J21" s="1223">
        <v>74</v>
      </c>
      <c r="K21" s="1222">
        <v>75</v>
      </c>
      <c r="L21" s="1236">
        <v>53</v>
      </c>
      <c r="M21" s="1236">
        <v>67</v>
      </c>
      <c r="N21" s="1236">
        <v>55</v>
      </c>
      <c r="O21" s="1236">
        <v>50</v>
      </c>
      <c r="P21" s="1237">
        <v>55</v>
      </c>
      <c r="Q21" s="1237">
        <v>62</v>
      </c>
      <c r="R21" s="1510">
        <v>41</v>
      </c>
      <c r="S21" s="1511">
        <v>36</v>
      </c>
      <c r="T21" s="1858">
        <v>32</v>
      </c>
      <c r="U21" s="1858"/>
      <c r="V21" s="1244">
        <v>2940</v>
      </c>
      <c r="W21" s="1245">
        <v>2902</v>
      </c>
      <c r="X21" s="1245">
        <v>3326</v>
      </c>
      <c r="Y21" s="1245">
        <v>3304</v>
      </c>
      <c r="Z21" s="1245">
        <v>3308</v>
      </c>
      <c r="AA21" s="1245">
        <v>3327</v>
      </c>
      <c r="AB21" s="1245">
        <v>3345</v>
      </c>
      <c r="AC21" s="1245">
        <v>3432</v>
      </c>
      <c r="AD21" s="1245">
        <v>3318</v>
      </c>
      <c r="AE21" s="1245">
        <v>3311</v>
      </c>
      <c r="AF21" s="1245">
        <v>3240</v>
      </c>
      <c r="AG21" s="1245">
        <v>3311</v>
      </c>
      <c r="AH21" s="1245">
        <v>3610</v>
      </c>
      <c r="AI21" s="1245">
        <v>3465</v>
      </c>
      <c r="AJ21" s="1513">
        <v>3420</v>
      </c>
      <c r="AK21" s="1514">
        <v>3349</v>
      </c>
      <c r="AL21" s="1859">
        <v>3248</v>
      </c>
      <c r="AM21" s="1859"/>
      <c r="AN21" s="1270">
        <f t="shared" si="1"/>
        <v>31.292517006802726</v>
      </c>
      <c r="AO21" s="1271">
        <f t="shared" si="2"/>
        <v>32.736044107512058</v>
      </c>
      <c r="AP21" s="1271">
        <f t="shared" si="3"/>
        <v>27.961515333734216</v>
      </c>
      <c r="AQ21" s="1271">
        <f t="shared" si="4"/>
        <v>20.883777239709442</v>
      </c>
      <c r="AR21" s="1271">
        <f t="shared" si="5"/>
        <v>19.044740024183799</v>
      </c>
      <c r="AS21" s="1271">
        <f t="shared" si="6"/>
        <v>19.537120529005108</v>
      </c>
      <c r="AT21" s="1271">
        <f t="shared" si="7"/>
        <v>22.122571001494766</v>
      </c>
      <c r="AU21" s="1271">
        <f t="shared" si="8"/>
        <v>21.853146853146853</v>
      </c>
      <c r="AV21" s="1271">
        <f t="shared" si="9"/>
        <v>15.973477998794452</v>
      </c>
      <c r="AW21" s="1271">
        <f t="shared" si="10"/>
        <v>20.23557837511326</v>
      </c>
      <c r="AX21" s="1271">
        <f t="shared" si="11"/>
        <v>16.975308641975307</v>
      </c>
      <c r="AY21" s="1271">
        <f t="shared" si="12"/>
        <v>15.101177891875567</v>
      </c>
      <c r="AZ21" s="1271">
        <f t="shared" si="13"/>
        <v>15.235457063711912</v>
      </c>
      <c r="BA21" s="1271">
        <f t="shared" si="14"/>
        <v>17.893217893217894</v>
      </c>
      <c r="BB21" s="1523">
        <f t="shared" si="15"/>
        <v>11.988304093567251</v>
      </c>
      <c r="BC21" s="1525">
        <f t="shared" si="16"/>
        <v>10.749477455957003</v>
      </c>
      <c r="BD21" s="1866">
        <f t="shared" si="17"/>
        <v>9.8522167487684733</v>
      </c>
    </row>
    <row r="22" spans="1:56" s="142" customFormat="1" ht="15.75" customHeight="1" x14ac:dyDescent="0.2">
      <c r="A22" s="149" t="s">
        <v>44</v>
      </c>
      <c r="B22" s="189" t="s">
        <v>45</v>
      </c>
      <c r="C22" s="150" t="s">
        <v>266</v>
      </c>
      <c r="D22" s="1221">
        <v>29</v>
      </c>
      <c r="E22" s="1222">
        <v>41</v>
      </c>
      <c r="F22" s="1223">
        <v>40</v>
      </c>
      <c r="G22" s="1222">
        <v>39</v>
      </c>
      <c r="H22" s="1223">
        <v>36</v>
      </c>
      <c r="I22" s="1222">
        <v>37</v>
      </c>
      <c r="J22" s="1223">
        <v>40</v>
      </c>
      <c r="K22" s="1222">
        <v>45</v>
      </c>
      <c r="L22" s="1236">
        <v>38</v>
      </c>
      <c r="M22" s="1236">
        <v>40</v>
      </c>
      <c r="N22" s="1236">
        <v>37</v>
      </c>
      <c r="O22" s="1236">
        <v>47</v>
      </c>
      <c r="P22" s="1237">
        <v>27</v>
      </c>
      <c r="Q22" s="1237">
        <v>41</v>
      </c>
      <c r="R22" s="1510">
        <v>33</v>
      </c>
      <c r="S22" s="1511">
        <v>28</v>
      </c>
      <c r="T22" s="1858">
        <v>20</v>
      </c>
      <c r="U22" s="1858"/>
      <c r="V22" s="1244">
        <v>1348</v>
      </c>
      <c r="W22" s="1245">
        <v>1350</v>
      </c>
      <c r="X22" s="1245">
        <v>1481</v>
      </c>
      <c r="Y22" s="1245">
        <v>1501</v>
      </c>
      <c r="Z22" s="1245">
        <v>1514</v>
      </c>
      <c r="AA22" s="1245">
        <v>1539</v>
      </c>
      <c r="AB22" s="1245">
        <v>1584</v>
      </c>
      <c r="AC22" s="1245">
        <v>1635</v>
      </c>
      <c r="AD22" s="1245">
        <v>1659</v>
      </c>
      <c r="AE22" s="1245">
        <v>1636</v>
      </c>
      <c r="AF22" s="1245">
        <v>1624</v>
      </c>
      <c r="AG22" s="1245">
        <v>1643</v>
      </c>
      <c r="AH22" s="1245">
        <v>1736</v>
      </c>
      <c r="AI22" s="1245">
        <v>1729</v>
      </c>
      <c r="AJ22" s="1513">
        <v>1754</v>
      </c>
      <c r="AK22" s="1514">
        <v>1723</v>
      </c>
      <c r="AL22" s="1859">
        <v>1733</v>
      </c>
      <c r="AM22" s="1859"/>
      <c r="AN22" s="1270">
        <f t="shared" si="1"/>
        <v>21.513353115727003</v>
      </c>
      <c r="AO22" s="1271">
        <f t="shared" si="2"/>
        <v>30.37037037037037</v>
      </c>
      <c r="AP22" s="1271">
        <f t="shared" si="3"/>
        <v>27.008777852802162</v>
      </c>
      <c r="AQ22" s="1271">
        <f t="shared" si="4"/>
        <v>25.982678214523652</v>
      </c>
      <c r="AR22" s="1271">
        <f t="shared" si="5"/>
        <v>23.778071334214001</v>
      </c>
      <c r="AS22" s="1271">
        <f t="shared" si="6"/>
        <v>24.041585445094217</v>
      </c>
      <c r="AT22" s="1271">
        <f t="shared" si="7"/>
        <v>25.252525252525253</v>
      </c>
      <c r="AU22" s="1271">
        <f t="shared" si="8"/>
        <v>27.522935779816514</v>
      </c>
      <c r="AV22" s="1271">
        <f t="shared" si="9"/>
        <v>22.905364677516577</v>
      </c>
      <c r="AW22" s="1271">
        <f t="shared" si="10"/>
        <v>24.44987775061125</v>
      </c>
      <c r="AX22" s="1271">
        <f t="shared" si="11"/>
        <v>22.783251231527093</v>
      </c>
      <c r="AY22" s="1271">
        <f t="shared" si="12"/>
        <v>28.606208155812539</v>
      </c>
      <c r="AZ22" s="1271">
        <f t="shared" si="13"/>
        <v>15.552995391705069</v>
      </c>
      <c r="BA22" s="1271">
        <f t="shared" si="14"/>
        <v>23.713128976286871</v>
      </c>
      <c r="BB22" s="1523">
        <f t="shared" si="15"/>
        <v>18.81413911060433</v>
      </c>
      <c r="BC22" s="1525">
        <f t="shared" si="16"/>
        <v>16.250725478816019</v>
      </c>
      <c r="BD22" s="1866">
        <f t="shared" si="17"/>
        <v>11.540680900173111</v>
      </c>
    </row>
    <row r="23" spans="1:56" s="142" customFormat="1" ht="15.75" customHeight="1" x14ac:dyDescent="0.2">
      <c r="A23" s="149" t="s">
        <v>46</v>
      </c>
      <c r="B23" s="189" t="s">
        <v>47</v>
      </c>
      <c r="C23" s="150" t="s">
        <v>268</v>
      </c>
      <c r="D23" s="1221">
        <v>33</v>
      </c>
      <c r="E23" s="1222">
        <v>40</v>
      </c>
      <c r="F23" s="1223">
        <v>42</v>
      </c>
      <c r="G23" s="1222">
        <v>34</v>
      </c>
      <c r="H23" s="1223">
        <v>36</v>
      </c>
      <c r="I23" s="1222">
        <v>35</v>
      </c>
      <c r="J23" s="1223">
        <v>35</v>
      </c>
      <c r="K23" s="1222">
        <v>33</v>
      </c>
      <c r="L23" s="1236">
        <v>45</v>
      </c>
      <c r="M23" s="1236">
        <v>42</v>
      </c>
      <c r="N23" s="1236">
        <v>39</v>
      </c>
      <c r="O23" s="1236">
        <v>38</v>
      </c>
      <c r="P23" s="1237">
        <v>33</v>
      </c>
      <c r="Q23" s="1237">
        <v>22</v>
      </c>
      <c r="R23" s="1510">
        <v>35</v>
      </c>
      <c r="S23" s="1511">
        <v>32</v>
      </c>
      <c r="T23" s="1858">
        <v>22</v>
      </c>
      <c r="U23" s="1858"/>
      <c r="V23" s="1244">
        <v>1455</v>
      </c>
      <c r="W23" s="1245">
        <v>1430</v>
      </c>
      <c r="X23" s="1245">
        <v>1639</v>
      </c>
      <c r="Y23" s="1245">
        <v>1646</v>
      </c>
      <c r="Z23" s="1245">
        <v>1616</v>
      </c>
      <c r="AA23" s="1245">
        <v>1630</v>
      </c>
      <c r="AB23" s="1245">
        <v>1631</v>
      </c>
      <c r="AC23" s="1245">
        <v>1607</v>
      </c>
      <c r="AD23" s="1245">
        <v>1606</v>
      </c>
      <c r="AE23" s="1245">
        <v>1572</v>
      </c>
      <c r="AF23" s="1245">
        <v>1554</v>
      </c>
      <c r="AG23" s="1245">
        <v>1596</v>
      </c>
      <c r="AH23" s="1245">
        <v>1704</v>
      </c>
      <c r="AI23" s="1245">
        <v>1653</v>
      </c>
      <c r="AJ23" s="1513">
        <v>1632</v>
      </c>
      <c r="AK23" s="1514">
        <v>1651</v>
      </c>
      <c r="AL23" s="1859">
        <v>1640</v>
      </c>
      <c r="AM23" s="1859"/>
      <c r="AN23" s="1270">
        <f t="shared" si="1"/>
        <v>22.680412371134018</v>
      </c>
      <c r="AO23" s="1271">
        <f t="shared" si="2"/>
        <v>27.972027972027973</v>
      </c>
      <c r="AP23" s="1271">
        <f t="shared" si="3"/>
        <v>25.625381330079318</v>
      </c>
      <c r="AQ23" s="1271">
        <f t="shared" si="4"/>
        <v>20.656136087484814</v>
      </c>
      <c r="AR23" s="1271">
        <f t="shared" si="5"/>
        <v>22.277227722772277</v>
      </c>
      <c r="AS23" s="1271">
        <f t="shared" si="6"/>
        <v>21.472392638036812</v>
      </c>
      <c r="AT23" s="1271">
        <f t="shared" si="7"/>
        <v>21.459227467811157</v>
      </c>
      <c r="AU23" s="1271">
        <f t="shared" si="8"/>
        <v>20.535158680771623</v>
      </c>
      <c r="AV23" s="1271">
        <f t="shared" si="9"/>
        <v>28.019925280199253</v>
      </c>
      <c r="AW23" s="1271">
        <f t="shared" si="10"/>
        <v>26.717557251908396</v>
      </c>
      <c r="AX23" s="1271">
        <f t="shared" si="11"/>
        <v>25.096525096525095</v>
      </c>
      <c r="AY23" s="1271">
        <f t="shared" si="12"/>
        <v>23.809523809523807</v>
      </c>
      <c r="AZ23" s="1271">
        <f t="shared" si="13"/>
        <v>19.366197183098588</v>
      </c>
      <c r="BA23" s="1271">
        <f t="shared" si="14"/>
        <v>13.309134906231096</v>
      </c>
      <c r="BB23" s="1523">
        <f t="shared" si="15"/>
        <v>21.446078431372548</v>
      </c>
      <c r="BC23" s="1525">
        <f t="shared" si="16"/>
        <v>19.382192610539068</v>
      </c>
      <c r="BD23" s="1866">
        <f t="shared" si="17"/>
        <v>13.414634146341463</v>
      </c>
    </row>
    <row r="24" spans="1:56" s="142" customFormat="1" ht="15.75" customHeight="1" x14ac:dyDescent="0.2">
      <c r="A24" s="149" t="s">
        <v>48</v>
      </c>
      <c r="B24" s="189" t="s">
        <v>269</v>
      </c>
      <c r="C24" s="150" t="s">
        <v>266</v>
      </c>
      <c r="D24" s="1221">
        <v>10</v>
      </c>
      <c r="E24" s="1222">
        <v>13</v>
      </c>
      <c r="F24" s="1223">
        <v>12</v>
      </c>
      <c r="G24" s="1222">
        <v>14</v>
      </c>
      <c r="H24" s="1223">
        <v>8</v>
      </c>
      <c r="I24" s="1222">
        <v>7</v>
      </c>
      <c r="J24" s="1223">
        <v>7</v>
      </c>
      <c r="K24" s="1222">
        <v>8</v>
      </c>
      <c r="L24" s="1236">
        <v>9</v>
      </c>
      <c r="M24" s="1236">
        <v>2</v>
      </c>
      <c r="N24" s="1236">
        <v>5</v>
      </c>
      <c r="O24" s="1236">
        <v>3</v>
      </c>
      <c r="P24" s="1237">
        <v>5</v>
      </c>
      <c r="Q24" s="1237">
        <v>3</v>
      </c>
      <c r="R24" s="1510">
        <v>4</v>
      </c>
      <c r="S24" s="1511">
        <v>2</v>
      </c>
      <c r="T24" s="1858">
        <v>6</v>
      </c>
      <c r="U24" s="1858"/>
      <c r="V24" s="1244">
        <v>400</v>
      </c>
      <c r="W24" s="1245">
        <v>398</v>
      </c>
      <c r="X24" s="1245">
        <v>461</v>
      </c>
      <c r="Y24" s="1245">
        <v>435</v>
      </c>
      <c r="Z24" s="1245">
        <v>429</v>
      </c>
      <c r="AA24" s="1245">
        <v>431</v>
      </c>
      <c r="AB24" s="1245">
        <v>394</v>
      </c>
      <c r="AC24" s="1245">
        <v>384</v>
      </c>
      <c r="AD24" s="1245">
        <v>384</v>
      </c>
      <c r="AE24" s="1245">
        <v>373</v>
      </c>
      <c r="AF24" s="1245">
        <v>383</v>
      </c>
      <c r="AG24" s="1245">
        <v>361</v>
      </c>
      <c r="AH24" s="1245">
        <v>370</v>
      </c>
      <c r="AI24" s="1245">
        <v>375</v>
      </c>
      <c r="AJ24" s="1513">
        <v>333</v>
      </c>
      <c r="AK24" s="1514">
        <v>323</v>
      </c>
      <c r="AL24" s="1859">
        <v>307</v>
      </c>
      <c r="AM24" s="1859"/>
      <c r="AN24" s="1270">
        <f t="shared" si="1"/>
        <v>25</v>
      </c>
      <c r="AO24" s="1271">
        <f t="shared" si="2"/>
        <v>32.663316582914575</v>
      </c>
      <c r="AP24" s="1271">
        <f t="shared" si="3"/>
        <v>26.030368763557483</v>
      </c>
      <c r="AQ24" s="1271">
        <f t="shared" si="4"/>
        <v>32.183908045977013</v>
      </c>
      <c r="AR24" s="1271">
        <f t="shared" si="5"/>
        <v>18.648018648018649</v>
      </c>
      <c r="AS24" s="1271">
        <f t="shared" si="6"/>
        <v>16.241299303944317</v>
      </c>
      <c r="AT24" s="1271">
        <f t="shared" si="7"/>
        <v>17.766497461928935</v>
      </c>
      <c r="AU24" s="1271">
        <f t="shared" si="8"/>
        <v>20.833333333333332</v>
      </c>
      <c r="AV24" s="1271">
        <f t="shared" si="9"/>
        <v>23.4375</v>
      </c>
      <c r="AW24" s="1271">
        <f t="shared" si="10"/>
        <v>5.3619302949061662</v>
      </c>
      <c r="AX24" s="1271">
        <f t="shared" si="11"/>
        <v>13.054830287206265</v>
      </c>
      <c r="AY24" s="1271">
        <f t="shared" si="12"/>
        <v>8.310249307479225</v>
      </c>
      <c r="AZ24" s="1271">
        <f t="shared" si="13"/>
        <v>13.513513513513514</v>
      </c>
      <c r="BA24" s="1271">
        <f t="shared" si="14"/>
        <v>8</v>
      </c>
      <c r="BB24" s="1523">
        <f t="shared" si="15"/>
        <v>12.012012012012011</v>
      </c>
      <c r="BC24" s="1525">
        <f t="shared" si="16"/>
        <v>6.1919504643962853</v>
      </c>
      <c r="BD24" s="1866">
        <f t="shared" si="17"/>
        <v>19.543973941368076</v>
      </c>
    </row>
    <row r="25" spans="1:56" s="142" customFormat="1" ht="15.75" customHeight="1" x14ac:dyDescent="0.2">
      <c r="A25" s="149" t="s">
        <v>50</v>
      </c>
      <c r="B25" s="189" t="s">
        <v>51</v>
      </c>
      <c r="C25" s="150" t="s">
        <v>265</v>
      </c>
      <c r="D25" s="1221">
        <v>23</v>
      </c>
      <c r="E25" s="1222">
        <v>27</v>
      </c>
      <c r="F25" s="1223">
        <v>23</v>
      </c>
      <c r="G25" s="1222">
        <v>26</v>
      </c>
      <c r="H25" s="1223">
        <v>17</v>
      </c>
      <c r="I25" s="1222">
        <v>13</v>
      </c>
      <c r="J25" s="1223">
        <v>21</v>
      </c>
      <c r="K25" s="1222">
        <v>15</v>
      </c>
      <c r="L25" s="1236">
        <v>10</v>
      </c>
      <c r="M25" s="1236">
        <v>24</v>
      </c>
      <c r="N25" s="1236">
        <v>22</v>
      </c>
      <c r="O25" s="1236">
        <v>18</v>
      </c>
      <c r="P25" s="1237">
        <v>12</v>
      </c>
      <c r="Q25" s="1237">
        <v>19</v>
      </c>
      <c r="R25" s="1510">
        <v>17</v>
      </c>
      <c r="S25" s="1511">
        <v>15</v>
      </c>
      <c r="T25" s="1858">
        <v>8</v>
      </c>
      <c r="U25" s="1858"/>
      <c r="V25" s="1244">
        <v>762</v>
      </c>
      <c r="W25" s="1245">
        <v>755</v>
      </c>
      <c r="X25" s="1245">
        <v>875</v>
      </c>
      <c r="Y25" s="1245">
        <v>890</v>
      </c>
      <c r="Z25" s="1245">
        <v>895</v>
      </c>
      <c r="AA25" s="1245">
        <v>889</v>
      </c>
      <c r="AB25" s="1245">
        <v>866</v>
      </c>
      <c r="AC25" s="1245">
        <v>888</v>
      </c>
      <c r="AD25" s="1245">
        <v>843</v>
      </c>
      <c r="AE25" s="1245">
        <v>821</v>
      </c>
      <c r="AF25" s="1245">
        <v>785</v>
      </c>
      <c r="AG25" s="1245">
        <v>783</v>
      </c>
      <c r="AH25" s="1245">
        <v>863</v>
      </c>
      <c r="AI25" s="1245">
        <v>814</v>
      </c>
      <c r="AJ25" s="1513">
        <v>773</v>
      </c>
      <c r="AK25" s="1514">
        <v>756</v>
      </c>
      <c r="AL25" s="1859">
        <v>759</v>
      </c>
      <c r="AM25" s="1859"/>
      <c r="AN25" s="1270">
        <f t="shared" si="1"/>
        <v>30.183727034120736</v>
      </c>
      <c r="AO25" s="1271">
        <f t="shared" si="2"/>
        <v>35.76158940397351</v>
      </c>
      <c r="AP25" s="1271">
        <f t="shared" si="3"/>
        <v>26.285714285714288</v>
      </c>
      <c r="AQ25" s="1271">
        <f t="shared" si="4"/>
        <v>29.213483146067418</v>
      </c>
      <c r="AR25" s="1271">
        <f t="shared" si="5"/>
        <v>18.994413407821231</v>
      </c>
      <c r="AS25" s="1271">
        <f t="shared" si="6"/>
        <v>14.623172103487065</v>
      </c>
      <c r="AT25" s="1271">
        <f t="shared" si="7"/>
        <v>24.24942263279446</v>
      </c>
      <c r="AU25" s="1271">
        <f t="shared" si="8"/>
        <v>16.891891891891891</v>
      </c>
      <c r="AV25" s="1271">
        <f t="shared" si="9"/>
        <v>11.862396204033214</v>
      </c>
      <c r="AW25" s="1271">
        <f t="shared" si="10"/>
        <v>29.232643118148598</v>
      </c>
      <c r="AX25" s="1271">
        <f t="shared" si="11"/>
        <v>28.02547770700637</v>
      </c>
      <c r="AY25" s="1271">
        <f t="shared" si="12"/>
        <v>22.988505747126435</v>
      </c>
      <c r="AZ25" s="1271">
        <f t="shared" si="13"/>
        <v>13.904982618771726</v>
      </c>
      <c r="BA25" s="1271">
        <f t="shared" si="14"/>
        <v>23.341523341523342</v>
      </c>
      <c r="BB25" s="1523">
        <f t="shared" si="15"/>
        <v>21.992238033635189</v>
      </c>
      <c r="BC25" s="1525">
        <f t="shared" si="16"/>
        <v>19.841269841269842</v>
      </c>
      <c r="BD25" s="1866">
        <f t="shared" si="17"/>
        <v>10.540184453227932</v>
      </c>
    </row>
    <row r="26" spans="1:56" s="142" customFormat="1" ht="15.75" customHeight="1" x14ac:dyDescent="0.2">
      <c r="A26" s="149" t="s">
        <v>56</v>
      </c>
      <c r="B26" s="189" t="s">
        <v>295</v>
      </c>
      <c r="C26" s="150" t="s">
        <v>266</v>
      </c>
      <c r="D26" s="1221">
        <v>292</v>
      </c>
      <c r="E26" s="1222">
        <v>266</v>
      </c>
      <c r="F26" s="1223">
        <v>276</v>
      </c>
      <c r="G26" s="1222">
        <v>262</v>
      </c>
      <c r="H26" s="1223">
        <v>236</v>
      </c>
      <c r="I26" s="1222">
        <v>273</v>
      </c>
      <c r="J26" s="1223">
        <v>269</v>
      </c>
      <c r="K26" s="1222">
        <v>282</v>
      </c>
      <c r="L26" s="1236">
        <v>284</v>
      </c>
      <c r="M26" s="1236">
        <v>298</v>
      </c>
      <c r="N26" s="1236">
        <v>251</v>
      </c>
      <c r="O26" s="1236">
        <v>274</v>
      </c>
      <c r="P26" s="1237">
        <v>247</v>
      </c>
      <c r="Q26" s="1237">
        <v>250</v>
      </c>
      <c r="R26" s="1510">
        <v>234</v>
      </c>
      <c r="S26" s="1511">
        <v>179</v>
      </c>
      <c r="T26" s="1858">
        <v>193</v>
      </c>
      <c r="U26" s="1858"/>
      <c r="V26" s="1244">
        <v>19556</v>
      </c>
      <c r="W26" s="1245">
        <v>19846</v>
      </c>
      <c r="X26" s="1245">
        <v>21786</v>
      </c>
      <c r="Y26" s="1245">
        <v>22558</v>
      </c>
      <c r="Z26" s="1245">
        <v>22878</v>
      </c>
      <c r="AA26" s="1245">
        <v>23226</v>
      </c>
      <c r="AB26" s="1245">
        <v>23494</v>
      </c>
      <c r="AC26" s="1245">
        <v>23339</v>
      </c>
      <c r="AD26" s="1245">
        <v>23173</v>
      </c>
      <c r="AE26" s="1245">
        <v>23273</v>
      </c>
      <c r="AF26" s="1245">
        <v>23024</v>
      </c>
      <c r="AG26" s="1245">
        <v>24677</v>
      </c>
      <c r="AH26" s="1245">
        <v>25150</v>
      </c>
      <c r="AI26" s="1245">
        <v>25241</v>
      </c>
      <c r="AJ26" s="1513">
        <v>25417</v>
      </c>
      <c r="AK26" s="1514">
        <v>25329</v>
      </c>
      <c r="AL26" s="1859">
        <v>25189</v>
      </c>
      <c r="AM26" s="1859"/>
      <c r="AN26" s="1270">
        <f t="shared" si="1"/>
        <v>14.93147883002659</v>
      </c>
      <c r="AO26" s="1271">
        <f t="shared" si="2"/>
        <v>13.40320467600524</v>
      </c>
      <c r="AP26" s="1271">
        <f t="shared" si="3"/>
        <v>12.668686312310658</v>
      </c>
      <c r="AQ26" s="1271">
        <f t="shared" si="4"/>
        <v>11.614504831988651</v>
      </c>
      <c r="AR26" s="1271">
        <f t="shared" si="5"/>
        <v>10.31558702683801</v>
      </c>
      <c r="AS26" s="1271">
        <f t="shared" si="6"/>
        <v>11.754068716094032</v>
      </c>
      <c r="AT26" s="1271">
        <f t="shared" si="7"/>
        <v>11.449731846428875</v>
      </c>
      <c r="AU26" s="1271">
        <f t="shared" si="8"/>
        <v>12.082779896310896</v>
      </c>
      <c r="AV26" s="1271">
        <f t="shared" si="9"/>
        <v>12.25564234238122</v>
      </c>
      <c r="AW26" s="1271">
        <f t="shared" si="10"/>
        <v>12.804537446826796</v>
      </c>
      <c r="AX26" s="1271">
        <f t="shared" si="11"/>
        <v>10.901667824878388</v>
      </c>
      <c r="AY26" s="1271">
        <f t="shared" si="12"/>
        <v>11.103456660047819</v>
      </c>
      <c r="AZ26" s="1271">
        <f t="shared" si="13"/>
        <v>9.821073558648111</v>
      </c>
      <c r="BA26" s="1271">
        <f t="shared" si="14"/>
        <v>9.904520423121113</v>
      </c>
      <c r="BB26" s="1523">
        <f t="shared" si="15"/>
        <v>9.2064366368965658</v>
      </c>
      <c r="BC26" s="1525">
        <f t="shared" si="16"/>
        <v>7.0669983023411902</v>
      </c>
      <c r="BD26" s="1866">
        <f t="shared" si="17"/>
        <v>7.6620747151534392</v>
      </c>
    </row>
    <row r="27" spans="1:56" s="142" customFormat="1" ht="15.75" customHeight="1" x14ac:dyDescent="0.2">
      <c r="A27" s="149" t="s">
        <v>58</v>
      </c>
      <c r="B27" s="189" t="s">
        <v>59</v>
      </c>
      <c r="C27" s="150" t="s">
        <v>267</v>
      </c>
      <c r="D27" s="1221">
        <v>11</v>
      </c>
      <c r="E27" s="1222">
        <v>15</v>
      </c>
      <c r="F27" s="1223">
        <v>12</v>
      </c>
      <c r="G27" s="1222">
        <v>12</v>
      </c>
      <c r="H27" s="1223">
        <v>11</v>
      </c>
      <c r="I27" s="1222">
        <v>8</v>
      </c>
      <c r="J27" s="1223">
        <v>11</v>
      </c>
      <c r="K27" s="1222">
        <v>8</v>
      </c>
      <c r="L27" s="1236">
        <v>17</v>
      </c>
      <c r="M27" s="1236">
        <v>11</v>
      </c>
      <c r="N27" s="1236">
        <v>6</v>
      </c>
      <c r="O27" s="1236">
        <v>6</v>
      </c>
      <c r="P27" s="1237">
        <v>14</v>
      </c>
      <c r="Q27" s="1237">
        <v>7</v>
      </c>
      <c r="R27" s="1510">
        <v>10</v>
      </c>
      <c r="S27" s="1511">
        <v>7</v>
      </c>
      <c r="T27" s="1858">
        <v>6</v>
      </c>
      <c r="U27" s="1858"/>
      <c r="V27" s="1244">
        <v>799</v>
      </c>
      <c r="W27" s="1245">
        <v>812</v>
      </c>
      <c r="X27" s="1245">
        <v>788</v>
      </c>
      <c r="Y27" s="1245">
        <v>830</v>
      </c>
      <c r="Z27" s="1245">
        <v>856</v>
      </c>
      <c r="AA27" s="1245">
        <v>892</v>
      </c>
      <c r="AB27" s="1245">
        <v>912</v>
      </c>
      <c r="AC27" s="1245">
        <v>941</v>
      </c>
      <c r="AD27" s="1245">
        <v>935</v>
      </c>
      <c r="AE27" s="1245">
        <v>919</v>
      </c>
      <c r="AF27" s="1245">
        <v>885</v>
      </c>
      <c r="AG27" s="1245">
        <v>938</v>
      </c>
      <c r="AH27" s="1245">
        <v>925</v>
      </c>
      <c r="AI27" s="1245">
        <v>964</v>
      </c>
      <c r="AJ27" s="1513">
        <v>970</v>
      </c>
      <c r="AK27" s="1514">
        <v>912</v>
      </c>
      <c r="AL27" s="1859">
        <v>912</v>
      </c>
      <c r="AM27" s="1859"/>
      <c r="AN27" s="1270">
        <f t="shared" si="1"/>
        <v>13.767209011264081</v>
      </c>
      <c r="AO27" s="1271">
        <f t="shared" si="2"/>
        <v>18.47290640394089</v>
      </c>
      <c r="AP27" s="1271">
        <f t="shared" si="3"/>
        <v>15.228426395939087</v>
      </c>
      <c r="AQ27" s="1271">
        <f t="shared" si="4"/>
        <v>14.457831325301205</v>
      </c>
      <c r="AR27" s="1271">
        <f t="shared" si="5"/>
        <v>12.850467289719626</v>
      </c>
      <c r="AS27" s="1271">
        <f t="shared" si="6"/>
        <v>8.9686098654708513</v>
      </c>
      <c r="AT27" s="1271">
        <f t="shared" si="7"/>
        <v>12.06140350877193</v>
      </c>
      <c r="AU27" s="1271">
        <f t="shared" si="8"/>
        <v>8.501594048884165</v>
      </c>
      <c r="AV27" s="1271">
        <f t="shared" si="9"/>
        <v>18.18181818181818</v>
      </c>
      <c r="AW27" s="1271">
        <f t="shared" si="10"/>
        <v>11.969532100108813</v>
      </c>
      <c r="AX27" s="1271">
        <f t="shared" si="11"/>
        <v>6.7796610169491522</v>
      </c>
      <c r="AY27" s="1271">
        <f t="shared" si="12"/>
        <v>6.3965884861407245</v>
      </c>
      <c r="AZ27" s="1271">
        <f t="shared" si="13"/>
        <v>15.135135135135135</v>
      </c>
      <c r="BA27" s="1271">
        <f t="shared" si="14"/>
        <v>7.2614107883817427</v>
      </c>
      <c r="BB27" s="1523">
        <f t="shared" si="15"/>
        <v>10.309278350515465</v>
      </c>
      <c r="BC27" s="1525">
        <f t="shared" si="16"/>
        <v>7.6754385964912277</v>
      </c>
      <c r="BD27" s="1866">
        <f t="shared" si="17"/>
        <v>6.5789473684210522</v>
      </c>
    </row>
    <row r="28" spans="1:56" s="142" customFormat="1" ht="15.75" customHeight="1" x14ac:dyDescent="0.2">
      <c r="A28" s="149" t="s">
        <v>60</v>
      </c>
      <c r="B28" s="189" t="s">
        <v>61</v>
      </c>
      <c r="C28" s="150" t="s">
        <v>265</v>
      </c>
      <c r="D28" s="1221">
        <v>11</v>
      </c>
      <c r="E28" s="1222">
        <v>7</v>
      </c>
      <c r="F28" s="1223">
        <v>5</v>
      </c>
      <c r="G28" s="1222">
        <v>5</v>
      </c>
      <c r="H28" s="1223">
        <v>3</v>
      </c>
      <c r="I28" s="1222">
        <v>4</v>
      </c>
      <c r="J28" s="1223">
        <v>2</v>
      </c>
      <c r="K28" s="1222">
        <v>4</v>
      </c>
      <c r="L28" s="1236">
        <v>5</v>
      </c>
      <c r="M28" s="1236">
        <v>4</v>
      </c>
      <c r="N28" s="1236">
        <v>5</v>
      </c>
      <c r="O28" s="1236">
        <v>10</v>
      </c>
      <c r="P28" s="1237">
        <v>3</v>
      </c>
      <c r="Q28" s="1237">
        <v>4</v>
      </c>
      <c r="R28" s="1510">
        <v>3</v>
      </c>
      <c r="S28" s="1511">
        <v>10</v>
      </c>
      <c r="T28" s="1858">
        <v>3</v>
      </c>
      <c r="U28" s="1858"/>
      <c r="V28" s="1244">
        <v>250</v>
      </c>
      <c r="W28" s="1245">
        <v>248</v>
      </c>
      <c r="X28" s="1245">
        <v>304</v>
      </c>
      <c r="Y28" s="1245">
        <v>329</v>
      </c>
      <c r="Z28" s="1245">
        <v>329</v>
      </c>
      <c r="AA28" s="1245">
        <v>331</v>
      </c>
      <c r="AB28" s="1245">
        <v>339</v>
      </c>
      <c r="AC28" s="1245">
        <v>342</v>
      </c>
      <c r="AD28" s="1245">
        <v>341</v>
      </c>
      <c r="AE28" s="1245">
        <v>321</v>
      </c>
      <c r="AF28" s="1245">
        <v>314</v>
      </c>
      <c r="AG28" s="1245">
        <v>304</v>
      </c>
      <c r="AH28" s="1245">
        <v>325</v>
      </c>
      <c r="AI28" s="1245">
        <v>323</v>
      </c>
      <c r="AJ28" s="1513">
        <v>317</v>
      </c>
      <c r="AK28" s="1514">
        <v>319</v>
      </c>
      <c r="AL28" s="1859">
        <v>309</v>
      </c>
      <c r="AM28" s="1859"/>
      <c r="AN28" s="1270">
        <f t="shared" si="1"/>
        <v>44</v>
      </c>
      <c r="AO28" s="1271">
        <f t="shared" si="2"/>
        <v>28.225806451612904</v>
      </c>
      <c r="AP28" s="1271">
        <f t="shared" si="3"/>
        <v>16.44736842105263</v>
      </c>
      <c r="AQ28" s="1271">
        <f t="shared" si="4"/>
        <v>15.197568389057752</v>
      </c>
      <c r="AR28" s="1271">
        <f t="shared" si="5"/>
        <v>9.1185410334346493</v>
      </c>
      <c r="AS28" s="1271">
        <f t="shared" si="6"/>
        <v>12.084592145015106</v>
      </c>
      <c r="AT28" s="1271">
        <f t="shared" si="7"/>
        <v>5.8997050147492622</v>
      </c>
      <c r="AU28" s="1271">
        <f t="shared" si="8"/>
        <v>11.695906432748536</v>
      </c>
      <c r="AV28" s="1271">
        <f t="shared" si="9"/>
        <v>14.66275659824047</v>
      </c>
      <c r="AW28" s="1271">
        <f t="shared" si="10"/>
        <v>12.461059190031152</v>
      </c>
      <c r="AX28" s="1271">
        <f t="shared" si="11"/>
        <v>15.923566878980891</v>
      </c>
      <c r="AY28" s="1271">
        <f t="shared" si="12"/>
        <v>32.89473684210526</v>
      </c>
      <c r="AZ28" s="1271">
        <f t="shared" si="13"/>
        <v>9.2307692307692317</v>
      </c>
      <c r="BA28" s="1271">
        <f t="shared" si="14"/>
        <v>12.383900928792571</v>
      </c>
      <c r="BB28" s="1523">
        <f t="shared" si="15"/>
        <v>9.4637223974763405</v>
      </c>
      <c r="BC28" s="1525">
        <f t="shared" si="16"/>
        <v>31.347962382445139</v>
      </c>
      <c r="BD28" s="1866">
        <f t="shared" si="17"/>
        <v>9.7087378640776691</v>
      </c>
    </row>
    <row r="29" spans="1:56" s="142" customFormat="1" ht="15.75" customHeight="1" x14ac:dyDescent="0.2">
      <c r="A29" s="149" t="s">
        <v>62</v>
      </c>
      <c r="B29" s="189" t="s">
        <v>63</v>
      </c>
      <c r="C29" s="150" t="s">
        <v>267</v>
      </c>
      <c r="D29" s="1221">
        <v>69</v>
      </c>
      <c r="E29" s="1222">
        <v>53</v>
      </c>
      <c r="F29" s="1223">
        <v>65</v>
      </c>
      <c r="G29" s="1222">
        <v>45</v>
      </c>
      <c r="H29" s="1223">
        <v>45</v>
      </c>
      <c r="I29" s="1222">
        <v>59</v>
      </c>
      <c r="J29" s="1223">
        <v>51</v>
      </c>
      <c r="K29" s="1222">
        <v>54</v>
      </c>
      <c r="L29" s="1236">
        <v>63</v>
      </c>
      <c r="M29" s="1236">
        <v>67</v>
      </c>
      <c r="N29" s="1236">
        <v>61</v>
      </c>
      <c r="O29" s="1236">
        <v>55</v>
      </c>
      <c r="P29" s="1237">
        <v>48</v>
      </c>
      <c r="Q29" s="1237">
        <v>44</v>
      </c>
      <c r="R29" s="1510">
        <v>48</v>
      </c>
      <c r="S29" s="1511">
        <v>33</v>
      </c>
      <c r="T29" s="1858">
        <v>27</v>
      </c>
      <c r="U29" s="1858"/>
      <c r="V29" s="1244">
        <v>2245</v>
      </c>
      <c r="W29" s="1245">
        <v>2294</v>
      </c>
      <c r="X29" s="1245">
        <v>2384</v>
      </c>
      <c r="Y29" s="1245">
        <v>2513</v>
      </c>
      <c r="Z29" s="1245">
        <v>2570</v>
      </c>
      <c r="AA29" s="1245">
        <v>2674</v>
      </c>
      <c r="AB29" s="1245">
        <v>2765</v>
      </c>
      <c r="AC29" s="1245">
        <v>2841</v>
      </c>
      <c r="AD29" s="1245">
        <v>2885</v>
      </c>
      <c r="AE29" s="1245">
        <v>2878</v>
      </c>
      <c r="AF29" s="1245">
        <v>2846</v>
      </c>
      <c r="AG29" s="1245">
        <v>3047</v>
      </c>
      <c r="AH29" s="1245">
        <v>3118</v>
      </c>
      <c r="AI29" s="1245">
        <v>3137</v>
      </c>
      <c r="AJ29" s="1513">
        <v>3228</v>
      </c>
      <c r="AK29" s="1514">
        <v>3240</v>
      </c>
      <c r="AL29" s="1859">
        <v>3218</v>
      </c>
      <c r="AM29" s="1859"/>
      <c r="AN29" s="1270">
        <f t="shared" si="1"/>
        <v>30.734966592427618</v>
      </c>
      <c r="AO29" s="1271">
        <f t="shared" si="2"/>
        <v>23.103748910200522</v>
      </c>
      <c r="AP29" s="1271">
        <f t="shared" si="3"/>
        <v>27.265100671140939</v>
      </c>
      <c r="AQ29" s="1271">
        <f t="shared" si="4"/>
        <v>17.906884202148827</v>
      </c>
      <c r="AR29" s="1271">
        <f t="shared" si="5"/>
        <v>17.509727626459146</v>
      </c>
      <c r="AS29" s="1271">
        <f t="shared" si="6"/>
        <v>22.064323111443532</v>
      </c>
      <c r="AT29" s="1271">
        <f t="shared" si="7"/>
        <v>18.44484629294756</v>
      </c>
      <c r="AU29" s="1271">
        <f t="shared" si="8"/>
        <v>19.00739176346357</v>
      </c>
      <c r="AV29" s="1271">
        <f t="shared" si="9"/>
        <v>21.837088388214905</v>
      </c>
      <c r="AW29" s="1271">
        <f t="shared" si="10"/>
        <v>23.280055594162611</v>
      </c>
      <c r="AX29" s="1271">
        <f t="shared" si="11"/>
        <v>21.433591004919187</v>
      </c>
      <c r="AY29" s="1271">
        <f t="shared" si="12"/>
        <v>18.050541516245488</v>
      </c>
      <c r="AZ29" s="1271">
        <f t="shared" si="13"/>
        <v>15.394483643361129</v>
      </c>
      <c r="BA29" s="1271">
        <f t="shared" si="14"/>
        <v>14.026139623844438</v>
      </c>
      <c r="BB29" s="1523">
        <f t="shared" si="15"/>
        <v>14.869888475836431</v>
      </c>
      <c r="BC29" s="1525">
        <f t="shared" si="16"/>
        <v>10.185185185185187</v>
      </c>
      <c r="BD29" s="1866">
        <f t="shared" si="17"/>
        <v>8.3903045369794906</v>
      </c>
    </row>
    <row r="30" spans="1:56" s="142" customFormat="1" ht="15.75" customHeight="1" x14ac:dyDescent="0.2">
      <c r="A30" s="149" t="s">
        <v>64</v>
      </c>
      <c r="B30" s="189" t="s">
        <v>65</v>
      </c>
      <c r="C30" s="150" t="s">
        <v>266</v>
      </c>
      <c r="D30" s="1221">
        <v>17</v>
      </c>
      <c r="E30" s="1222">
        <v>13</v>
      </c>
      <c r="F30" s="1223">
        <v>8</v>
      </c>
      <c r="G30" s="1222">
        <v>21</v>
      </c>
      <c r="H30" s="1223">
        <v>13</v>
      </c>
      <c r="I30" s="1222">
        <v>19</v>
      </c>
      <c r="J30" s="1223">
        <v>13</v>
      </c>
      <c r="K30" s="1222">
        <v>11</v>
      </c>
      <c r="L30" s="1236">
        <v>8</v>
      </c>
      <c r="M30" s="1236">
        <v>11</v>
      </c>
      <c r="N30" s="1236">
        <v>5</v>
      </c>
      <c r="O30" s="1236">
        <v>10</v>
      </c>
      <c r="P30" s="1237">
        <v>12</v>
      </c>
      <c r="Q30" s="1237">
        <v>11</v>
      </c>
      <c r="R30" s="1510">
        <v>8</v>
      </c>
      <c r="S30" s="1511">
        <v>3</v>
      </c>
      <c r="T30" s="1858">
        <v>8</v>
      </c>
      <c r="U30" s="1858"/>
      <c r="V30" s="1244">
        <v>558</v>
      </c>
      <c r="W30" s="1245">
        <v>558</v>
      </c>
      <c r="X30" s="1245">
        <v>585</v>
      </c>
      <c r="Y30" s="1245">
        <v>597</v>
      </c>
      <c r="Z30" s="1245">
        <v>604</v>
      </c>
      <c r="AA30" s="1245">
        <v>618</v>
      </c>
      <c r="AB30" s="1245">
        <v>622</v>
      </c>
      <c r="AC30" s="1245">
        <v>630</v>
      </c>
      <c r="AD30" s="1245">
        <v>610</v>
      </c>
      <c r="AE30" s="1245">
        <v>608</v>
      </c>
      <c r="AF30" s="1245">
        <v>612</v>
      </c>
      <c r="AG30" s="1245">
        <v>645</v>
      </c>
      <c r="AH30" s="1245">
        <v>666</v>
      </c>
      <c r="AI30" s="1245">
        <v>637</v>
      </c>
      <c r="AJ30" s="1513">
        <v>617</v>
      </c>
      <c r="AK30" s="1514">
        <v>590</v>
      </c>
      <c r="AL30" s="1859">
        <v>612</v>
      </c>
      <c r="AM30" s="1859"/>
      <c r="AN30" s="1270">
        <f t="shared" si="1"/>
        <v>30.465949820788531</v>
      </c>
      <c r="AO30" s="1271">
        <f t="shared" si="2"/>
        <v>23.297491039426525</v>
      </c>
      <c r="AP30" s="1271">
        <f t="shared" si="3"/>
        <v>13.675213675213675</v>
      </c>
      <c r="AQ30" s="1271">
        <f t="shared" si="4"/>
        <v>35.175879396984925</v>
      </c>
      <c r="AR30" s="1271">
        <f t="shared" si="5"/>
        <v>21.523178807947019</v>
      </c>
      <c r="AS30" s="1271">
        <f t="shared" si="6"/>
        <v>30.744336569579286</v>
      </c>
      <c r="AT30" s="1271">
        <f t="shared" si="7"/>
        <v>20.90032154340836</v>
      </c>
      <c r="AU30" s="1271">
        <f t="shared" si="8"/>
        <v>17.460317460317462</v>
      </c>
      <c r="AV30" s="1271">
        <f t="shared" si="9"/>
        <v>13.114754098360656</v>
      </c>
      <c r="AW30" s="1271">
        <f t="shared" si="10"/>
        <v>18.092105263157894</v>
      </c>
      <c r="AX30" s="1271">
        <f t="shared" si="11"/>
        <v>8.169934640522877</v>
      </c>
      <c r="AY30" s="1271">
        <f t="shared" si="12"/>
        <v>15.503875968992247</v>
      </c>
      <c r="AZ30" s="1271">
        <f t="shared" si="13"/>
        <v>18.018018018018019</v>
      </c>
      <c r="BA30" s="1271">
        <f t="shared" si="14"/>
        <v>17.26844583987441</v>
      </c>
      <c r="BB30" s="1523">
        <f t="shared" si="15"/>
        <v>12.965964343598054</v>
      </c>
      <c r="BC30" s="1525">
        <f t="shared" si="16"/>
        <v>5.0847457627118642</v>
      </c>
      <c r="BD30" s="1866">
        <f t="shared" si="17"/>
        <v>13.071895424836601</v>
      </c>
    </row>
    <row r="31" spans="1:56" s="142" customFormat="1" ht="15.75" customHeight="1" x14ac:dyDescent="0.2">
      <c r="A31" s="149" t="s">
        <v>68</v>
      </c>
      <c r="B31" s="189" t="s">
        <v>69</v>
      </c>
      <c r="C31" s="150" t="s">
        <v>268</v>
      </c>
      <c r="D31" s="1221">
        <v>29</v>
      </c>
      <c r="E31" s="1222">
        <v>29</v>
      </c>
      <c r="F31" s="1223">
        <v>20</v>
      </c>
      <c r="G31" s="1222">
        <v>14</v>
      </c>
      <c r="H31" s="1223">
        <v>24</v>
      </c>
      <c r="I31" s="1222">
        <v>19</v>
      </c>
      <c r="J31" s="1223">
        <v>20</v>
      </c>
      <c r="K31" s="1222">
        <v>21</v>
      </c>
      <c r="L31" s="1236">
        <v>27</v>
      </c>
      <c r="M31" s="1236">
        <v>27</v>
      </c>
      <c r="N31" s="1236">
        <v>22</v>
      </c>
      <c r="O31" s="1236">
        <v>24</v>
      </c>
      <c r="P31" s="1237">
        <v>25</v>
      </c>
      <c r="Q31" s="1237">
        <v>27</v>
      </c>
      <c r="R31" s="1510">
        <v>20</v>
      </c>
      <c r="S31" s="1511">
        <v>20</v>
      </c>
      <c r="T31" s="1858">
        <v>15</v>
      </c>
      <c r="U31" s="1858"/>
      <c r="V31" s="1244">
        <v>1107</v>
      </c>
      <c r="W31" s="1245">
        <v>1063</v>
      </c>
      <c r="X31" s="1245">
        <v>1096</v>
      </c>
      <c r="Y31" s="1245">
        <v>1040</v>
      </c>
      <c r="Z31" s="1245">
        <v>1015</v>
      </c>
      <c r="AA31" s="1245">
        <v>999</v>
      </c>
      <c r="AB31" s="1245">
        <v>975</v>
      </c>
      <c r="AC31" s="1245">
        <v>962</v>
      </c>
      <c r="AD31" s="1245">
        <v>917</v>
      </c>
      <c r="AE31" s="1245">
        <v>875</v>
      </c>
      <c r="AF31" s="1245">
        <v>879</v>
      </c>
      <c r="AG31" s="1245">
        <v>905</v>
      </c>
      <c r="AH31" s="1245">
        <v>959</v>
      </c>
      <c r="AI31" s="1245">
        <v>905</v>
      </c>
      <c r="AJ31" s="1513">
        <v>887</v>
      </c>
      <c r="AK31" s="1514">
        <v>864</v>
      </c>
      <c r="AL31" s="1859">
        <v>866</v>
      </c>
      <c r="AM31" s="1859"/>
      <c r="AN31" s="1270">
        <f t="shared" si="1"/>
        <v>26.196928635953029</v>
      </c>
      <c r="AO31" s="1271">
        <f t="shared" si="2"/>
        <v>27.281279397930383</v>
      </c>
      <c r="AP31" s="1271">
        <f t="shared" si="3"/>
        <v>18.248175182481749</v>
      </c>
      <c r="AQ31" s="1271">
        <f t="shared" si="4"/>
        <v>13.461538461538462</v>
      </c>
      <c r="AR31" s="1271">
        <f t="shared" si="5"/>
        <v>23.645320197044338</v>
      </c>
      <c r="AS31" s="1271">
        <f t="shared" si="6"/>
        <v>19.019019019019019</v>
      </c>
      <c r="AT31" s="1271">
        <f t="shared" si="7"/>
        <v>20.512820512820515</v>
      </c>
      <c r="AU31" s="1271">
        <f t="shared" si="8"/>
        <v>21.829521829521831</v>
      </c>
      <c r="AV31" s="1271">
        <f t="shared" si="9"/>
        <v>29.443838604143945</v>
      </c>
      <c r="AW31" s="1271">
        <f t="shared" si="10"/>
        <v>30.857142857142858</v>
      </c>
      <c r="AX31" s="1271">
        <f t="shared" si="11"/>
        <v>25.028441410693972</v>
      </c>
      <c r="AY31" s="1271">
        <f t="shared" si="12"/>
        <v>26.519337016574585</v>
      </c>
      <c r="AZ31" s="1271">
        <f t="shared" si="13"/>
        <v>26.068821689259646</v>
      </c>
      <c r="BA31" s="1271">
        <f t="shared" si="14"/>
        <v>29.834254143646408</v>
      </c>
      <c r="BB31" s="1523">
        <f t="shared" si="15"/>
        <v>22.547914317925592</v>
      </c>
      <c r="BC31" s="1525">
        <f t="shared" si="16"/>
        <v>23.148148148148145</v>
      </c>
      <c r="BD31" s="1866">
        <f t="shared" si="17"/>
        <v>17.321016166281755</v>
      </c>
    </row>
    <row r="32" spans="1:56" s="142" customFormat="1" ht="15.75" customHeight="1" x14ac:dyDescent="0.2">
      <c r="A32" s="149" t="s">
        <v>70</v>
      </c>
      <c r="B32" s="189" t="s">
        <v>71</v>
      </c>
      <c r="C32" s="150" t="s">
        <v>264</v>
      </c>
      <c r="D32" s="1221">
        <v>30</v>
      </c>
      <c r="E32" s="1222">
        <v>33</v>
      </c>
      <c r="F32" s="1223">
        <v>29</v>
      </c>
      <c r="G32" s="1222">
        <v>33</v>
      </c>
      <c r="H32" s="1223">
        <v>32</v>
      </c>
      <c r="I32" s="1222">
        <v>33</v>
      </c>
      <c r="J32" s="1223">
        <v>32</v>
      </c>
      <c r="K32" s="1222">
        <v>28</v>
      </c>
      <c r="L32" s="1236">
        <v>41</v>
      </c>
      <c r="M32" s="1236">
        <v>37</v>
      </c>
      <c r="N32" s="1236">
        <v>35</v>
      </c>
      <c r="O32" s="1236">
        <v>20</v>
      </c>
      <c r="P32" s="1237">
        <v>29</v>
      </c>
      <c r="Q32" s="1237">
        <v>31</v>
      </c>
      <c r="R32" s="1510">
        <v>25</v>
      </c>
      <c r="S32" s="1511">
        <v>16</v>
      </c>
      <c r="T32" s="1858">
        <v>13</v>
      </c>
      <c r="U32" s="1858"/>
      <c r="V32" s="1244">
        <v>1476</v>
      </c>
      <c r="W32" s="1245">
        <v>1476</v>
      </c>
      <c r="X32" s="1245">
        <v>1587</v>
      </c>
      <c r="Y32" s="1245">
        <v>1614</v>
      </c>
      <c r="Z32" s="1245">
        <v>1639</v>
      </c>
      <c r="AA32" s="1245">
        <v>1700</v>
      </c>
      <c r="AB32" s="1245">
        <v>1740</v>
      </c>
      <c r="AC32" s="1245">
        <v>1738</v>
      </c>
      <c r="AD32" s="1245">
        <v>1688</v>
      </c>
      <c r="AE32" s="1245">
        <v>1664</v>
      </c>
      <c r="AF32" s="1245">
        <v>1662</v>
      </c>
      <c r="AG32" s="1245">
        <v>1816</v>
      </c>
      <c r="AH32" s="1245">
        <v>1897</v>
      </c>
      <c r="AI32" s="1245">
        <v>1828</v>
      </c>
      <c r="AJ32" s="1513">
        <v>1830</v>
      </c>
      <c r="AK32" s="1514">
        <v>1741</v>
      </c>
      <c r="AL32" s="1859">
        <v>1753</v>
      </c>
      <c r="AM32" s="1859"/>
      <c r="AN32" s="1270">
        <f t="shared" si="1"/>
        <v>20.325203252032519</v>
      </c>
      <c r="AO32" s="1271">
        <f t="shared" si="2"/>
        <v>22.357723577235774</v>
      </c>
      <c r="AP32" s="1271">
        <f t="shared" si="3"/>
        <v>18.273471959672339</v>
      </c>
      <c r="AQ32" s="1271">
        <f t="shared" si="4"/>
        <v>20.446096654275092</v>
      </c>
      <c r="AR32" s="1271">
        <f t="shared" si="5"/>
        <v>19.524100061012813</v>
      </c>
      <c r="AS32" s="1271">
        <f t="shared" si="6"/>
        <v>19.411764705882355</v>
      </c>
      <c r="AT32" s="1271">
        <f t="shared" si="7"/>
        <v>18.390804597701148</v>
      </c>
      <c r="AU32" s="1271">
        <f t="shared" si="8"/>
        <v>16.11047180667434</v>
      </c>
      <c r="AV32" s="1271">
        <f t="shared" si="9"/>
        <v>24.289099526066352</v>
      </c>
      <c r="AW32" s="1271">
        <f t="shared" si="10"/>
        <v>22.235576923076923</v>
      </c>
      <c r="AX32" s="1271">
        <f t="shared" si="11"/>
        <v>21.0589651022864</v>
      </c>
      <c r="AY32" s="1271">
        <f t="shared" si="12"/>
        <v>11.013215859030838</v>
      </c>
      <c r="AZ32" s="1271">
        <f t="shared" si="13"/>
        <v>15.287295730100158</v>
      </c>
      <c r="BA32" s="1271">
        <f t="shared" si="14"/>
        <v>16.958424507658645</v>
      </c>
      <c r="BB32" s="1523">
        <f t="shared" si="15"/>
        <v>13.66120218579235</v>
      </c>
      <c r="BC32" s="1525">
        <f t="shared" si="16"/>
        <v>9.1901206203331416</v>
      </c>
      <c r="BD32" s="1866">
        <f t="shared" si="17"/>
        <v>7.4158585282373073</v>
      </c>
    </row>
    <row r="33" spans="1:56" s="142" customFormat="1" ht="15.75" customHeight="1" x14ac:dyDescent="0.2">
      <c r="A33" s="149" t="s">
        <v>72</v>
      </c>
      <c r="B33" s="189" t="s">
        <v>73</v>
      </c>
      <c r="C33" s="150" t="s">
        <v>266</v>
      </c>
      <c r="D33" s="1221">
        <v>16</v>
      </c>
      <c r="E33" s="1222">
        <v>17</v>
      </c>
      <c r="F33" s="1223">
        <v>25</v>
      </c>
      <c r="G33" s="1222">
        <v>7</v>
      </c>
      <c r="H33" s="1223">
        <v>17</v>
      </c>
      <c r="I33" s="1222">
        <v>19</v>
      </c>
      <c r="J33" s="1223">
        <v>12</v>
      </c>
      <c r="K33" s="1222">
        <v>11</v>
      </c>
      <c r="L33" s="1236">
        <v>24</v>
      </c>
      <c r="M33" s="1236">
        <v>14</v>
      </c>
      <c r="N33" s="1236">
        <v>22</v>
      </c>
      <c r="O33" s="1236">
        <v>23</v>
      </c>
      <c r="P33" s="1237">
        <v>18</v>
      </c>
      <c r="Q33" s="1237">
        <v>14</v>
      </c>
      <c r="R33" s="1510">
        <v>17</v>
      </c>
      <c r="S33" s="1511">
        <v>6</v>
      </c>
      <c r="T33" s="1858">
        <v>5</v>
      </c>
      <c r="U33" s="1858"/>
      <c r="V33" s="1244">
        <v>569</v>
      </c>
      <c r="W33" s="1245">
        <v>566</v>
      </c>
      <c r="X33" s="1245">
        <v>653</v>
      </c>
      <c r="Y33" s="1245">
        <v>688</v>
      </c>
      <c r="Z33" s="1245">
        <v>689</v>
      </c>
      <c r="AA33" s="1245">
        <v>720</v>
      </c>
      <c r="AB33" s="1245">
        <v>719</v>
      </c>
      <c r="AC33" s="1245">
        <v>699</v>
      </c>
      <c r="AD33" s="1245">
        <v>670</v>
      </c>
      <c r="AE33" s="1245">
        <v>654</v>
      </c>
      <c r="AF33" s="1245">
        <v>635</v>
      </c>
      <c r="AG33" s="1245">
        <v>670</v>
      </c>
      <c r="AH33" s="1245">
        <v>771</v>
      </c>
      <c r="AI33" s="1245">
        <v>775</v>
      </c>
      <c r="AJ33" s="1513">
        <v>739</v>
      </c>
      <c r="AK33" s="1514">
        <v>696</v>
      </c>
      <c r="AL33" s="1859">
        <v>681</v>
      </c>
      <c r="AM33" s="1859"/>
      <c r="AN33" s="1270">
        <f t="shared" si="1"/>
        <v>28.119507908611599</v>
      </c>
      <c r="AO33" s="1271">
        <f t="shared" si="2"/>
        <v>30.035335689045933</v>
      </c>
      <c r="AP33" s="1271">
        <f t="shared" si="3"/>
        <v>38.28483920367534</v>
      </c>
      <c r="AQ33" s="1271">
        <f t="shared" si="4"/>
        <v>10.174418604651164</v>
      </c>
      <c r="AR33" s="1271">
        <f t="shared" si="5"/>
        <v>24.673439767779392</v>
      </c>
      <c r="AS33" s="1271">
        <f t="shared" si="6"/>
        <v>26.388888888888889</v>
      </c>
      <c r="AT33" s="1271">
        <f t="shared" si="7"/>
        <v>16.689847009735743</v>
      </c>
      <c r="AU33" s="1271">
        <f t="shared" si="8"/>
        <v>15.736766809728183</v>
      </c>
      <c r="AV33" s="1271">
        <f t="shared" si="9"/>
        <v>35.820895522388064</v>
      </c>
      <c r="AW33" s="1271">
        <f t="shared" si="10"/>
        <v>21.406727828746178</v>
      </c>
      <c r="AX33" s="1271">
        <f t="shared" si="11"/>
        <v>34.645669291338585</v>
      </c>
      <c r="AY33" s="1271">
        <f t="shared" si="12"/>
        <v>34.328358208955223</v>
      </c>
      <c r="AZ33" s="1271">
        <f t="shared" si="13"/>
        <v>23.346303501945524</v>
      </c>
      <c r="BA33" s="1271">
        <f t="shared" si="14"/>
        <v>18.06451612903226</v>
      </c>
      <c r="BB33" s="1523">
        <f t="shared" si="15"/>
        <v>23.004059539918806</v>
      </c>
      <c r="BC33" s="1525">
        <f t="shared" si="16"/>
        <v>8.6206896551724128</v>
      </c>
      <c r="BD33" s="1866">
        <f t="shared" si="17"/>
        <v>7.3421439060205582</v>
      </c>
    </row>
    <row r="34" spans="1:56" s="142" customFormat="1" ht="15.75" customHeight="1" x14ac:dyDescent="0.2">
      <c r="A34" s="149" t="s">
        <v>74</v>
      </c>
      <c r="B34" s="189" t="s">
        <v>609</v>
      </c>
      <c r="C34" s="150" t="s">
        <v>267</v>
      </c>
      <c r="D34" s="1221">
        <v>542</v>
      </c>
      <c r="E34" s="1222">
        <v>588</v>
      </c>
      <c r="F34" s="1223">
        <v>616</v>
      </c>
      <c r="G34" s="1222">
        <v>584</v>
      </c>
      <c r="H34" s="1223">
        <v>565</v>
      </c>
      <c r="I34" s="1222">
        <v>547</v>
      </c>
      <c r="J34" s="1223">
        <v>571</v>
      </c>
      <c r="K34" s="1222">
        <v>596</v>
      </c>
      <c r="L34" s="1236">
        <v>626</v>
      </c>
      <c r="M34" s="1236">
        <v>591</v>
      </c>
      <c r="N34" s="1236">
        <v>583</v>
      </c>
      <c r="O34" s="1236">
        <v>504</v>
      </c>
      <c r="P34" s="1237">
        <v>394</v>
      </c>
      <c r="Q34" s="1237">
        <v>399</v>
      </c>
      <c r="R34" s="1510">
        <v>381</v>
      </c>
      <c r="S34" s="1511">
        <v>314</v>
      </c>
      <c r="T34" s="1858">
        <v>341</v>
      </c>
      <c r="U34" s="1858"/>
      <c r="V34" s="1244">
        <v>64605</v>
      </c>
      <c r="W34" s="1245">
        <v>65953</v>
      </c>
      <c r="X34" s="1245">
        <v>63467</v>
      </c>
      <c r="Y34" s="1245">
        <v>66451</v>
      </c>
      <c r="Z34" s="1245">
        <v>67592</v>
      </c>
      <c r="AA34" s="1245">
        <v>67911</v>
      </c>
      <c r="AB34" s="1245">
        <v>67862</v>
      </c>
      <c r="AC34" s="1245">
        <v>68131</v>
      </c>
      <c r="AD34" s="1245">
        <v>67569</v>
      </c>
      <c r="AE34" s="1245">
        <v>68401</v>
      </c>
      <c r="AF34" s="1245">
        <v>67702</v>
      </c>
      <c r="AG34" s="1245">
        <v>67346</v>
      </c>
      <c r="AH34" s="1245">
        <v>69287</v>
      </c>
      <c r="AI34" s="1245">
        <v>70994</v>
      </c>
      <c r="AJ34" s="1513">
        <v>72210</v>
      </c>
      <c r="AK34" s="1514">
        <v>73224</v>
      </c>
      <c r="AL34" s="1859">
        <v>73896</v>
      </c>
      <c r="AM34" s="1859"/>
      <c r="AN34" s="1270">
        <f t="shared" si="1"/>
        <v>8.3894435415215529</v>
      </c>
      <c r="AO34" s="1271">
        <f t="shared" si="2"/>
        <v>8.9154397828756835</v>
      </c>
      <c r="AP34" s="1271">
        <f t="shared" si="3"/>
        <v>9.7058313769360449</v>
      </c>
      <c r="AQ34" s="1271">
        <f t="shared" si="4"/>
        <v>8.7884305729033425</v>
      </c>
      <c r="AR34" s="1271">
        <f t="shared" si="5"/>
        <v>8.3589773937744098</v>
      </c>
      <c r="AS34" s="1271">
        <f t="shared" si="6"/>
        <v>8.0546597752941356</v>
      </c>
      <c r="AT34" s="1271">
        <f t="shared" si="7"/>
        <v>8.4141345672099259</v>
      </c>
      <c r="AU34" s="1271">
        <f t="shared" si="8"/>
        <v>8.7478534000675179</v>
      </c>
      <c r="AV34" s="1271">
        <f t="shared" si="9"/>
        <v>9.2646035904038833</v>
      </c>
      <c r="AW34" s="1271">
        <f t="shared" si="10"/>
        <v>8.6402245581204955</v>
      </c>
      <c r="AX34" s="1271">
        <f t="shared" si="11"/>
        <v>8.6112670231307789</v>
      </c>
      <c r="AY34" s="1271">
        <f t="shared" si="12"/>
        <v>7.4837406824458768</v>
      </c>
      <c r="AZ34" s="1271">
        <f t="shared" si="13"/>
        <v>5.6864924156046586</v>
      </c>
      <c r="BA34" s="1271">
        <f t="shared" si="14"/>
        <v>5.6201932557680934</v>
      </c>
      <c r="BB34" s="1523">
        <f t="shared" si="15"/>
        <v>5.2762775238886581</v>
      </c>
      <c r="BC34" s="1525">
        <f t="shared" si="16"/>
        <v>4.2882115153501585</v>
      </c>
      <c r="BD34" s="1866">
        <f t="shared" si="17"/>
        <v>4.6145934827324888</v>
      </c>
    </row>
    <row r="35" spans="1:56" s="142" customFormat="1" ht="15.75" customHeight="1" x14ac:dyDescent="0.2">
      <c r="A35" s="149" t="s">
        <v>76</v>
      </c>
      <c r="B35" s="189" t="s">
        <v>77</v>
      </c>
      <c r="C35" s="150" t="s">
        <v>267</v>
      </c>
      <c r="D35" s="1221">
        <v>46</v>
      </c>
      <c r="E35" s="1222">
        <v>67</v>
      </c>
      <c r="F35" s="1223">
        <v>57</v>
      </c>
      <c r="G35" s="1222">
        <v>63</v>
      </c>
      <c r="H35" s="1223">
        <v>60</v>
      </c>
      <c r="I35" s="1222">
        <v>48</v>
      </c>
      <c r="J35" s="1223">
        <v>54</v>
      </c>
      <c r="K35" s="1222">
        <v>59</v>
      </c>
      <c r="L35" s="1236">
        <v>63</v>
      </c>
      <c r="M35" s="1236">
        <v>62</v>
      </c>
      <c r="N35" s="1236">
        <v>55</v>
      </c>
      <c r="O35" s="1236">
        <v>40</v>
      </c>
      <c r="P35" s="1237">
        <v>53</v>
      </c>
      <c r="Q35" s="1237">
        <v>46</v>
      </c>
      <c r="R35" s="1510">
        <v>41</v>
      </c>
      <c r="S35" s="1511">
        <v>26</v>
      </c>
      <c r="T35" s="1858">
        <v>29</v>
      </c>
      <c r="U35" s="1858"/>
      <c r="V35" s="1244">
        <v>4252</v>
      </c>
      <c r="W35" s="1245">
        <v>4388</v>
      </c>
      <c r="X35" s="1245">
        <v>4115</v>
      </c>
      <c r="Y35" s="1245">
        <v>4312</v>
      </c>
      <c r="Z35" s="1245">
        <v>4406</v>
      </c>
      <c r="AA35" s="1245">
        <v>4509</v>
      </c>
      <c r="AB35" s="1245">
        <v>4593</v>
      </c>
      <c r="AC35" s="1245">
        <v>4642</v>
      </c>
      <c r="AD35" s="1245">
        <v>4576</v>
      </c>
      <c r="AE35" s="1245">
        <v>4481</v>
      </c>
      <c r="AF35" s="1245">
        <v>4420</v>
      </c>
      <c r="AG35" s="1245">
        <v>4799</v>
      </c>
      <c r="AH35" s="1245">
        <v>4732</v>
      </c>
      <c r="AI35" s="1245">
        <v>4740</v>
      </c>
      <c r="AJ35" s="1513">
        <v>4722</v>
      </c>
      <c r="AK35" s="1514">
        <v>4699</v>
      </c>
      <c r="AL35" s="1859">
        <v>4743</v>
      </c>
      <c r="AM35" s="1859"/>
      <c r="AN35" s="1270">
        <f t="shared" si="1"/>
        <v>10.818438381937911</v>
      </c>
      <c r="AO35" s="1271">
        <f t="shared" si="2"/>
        <v>15.268915223336371</v>
      </c>
      <c r="AP35" s="1271">
        <f t="shared" si="3"/>
        <v>13.85176184690158</v>
      </c>
      <c r="AQ35" s="1271">
        <f t="shared" si="4"/>
        <v>14.61038961038961</v>
      </c>
      <c r="AR35" s="1271">
        <f t="shared" si="5"/>
        <v>13.617793917385384</v>
      </c>
      <c r="AS35" s="1271">
        <f t="shared" si="6"/>
        <v>10.645375914836993</v>
      </c>
      <c r="AT35" s="1271">
        <f t="shared" si="7"/>
        <v>11.757021554539516</v>
      </c>
      <c r="AU35" s="1271">
        <f t="shared" si="8"/>
        <v>12.710038776389487</v>
      </c>
      <c r="AV35" s="1271">
        <f t="shared" si="9"/>
        <v>13.767482517482518</v>
      </c>
      <c r="AW35" s="1271">
        <f t="shared" si="10"/>
        <v>13.83619727739344</v>
      </c>
      <c r="AX35" s="1271">
        <f t="shared" si="11"/>
        <v>12.443438914027148</v>
      </c>
      <c r="AY35" s="1271">
        <f t="shared" si="12"/>
        <v>8.3350698062096278</v>
      </c>
      <c r="AZ35" s="1271">
        <f t="shared" si="13"/>
        <v>11.200338123415046</v>
      </c>
      <c r="BA35" s="1271">
        <f t="shared" si="14"/>
        <v>9.7046413502109719</v>
      </c>
      <c r="BB35" s="1523">
        <f t="shared" si="15"/>
        <v>8.6827615417196107</v>
      </c>
      <c r="BC35" s="1525">
        <f t="shared" si="16"/>
        <v>5.5330921472653758</v>
      </c>
      <c r="BD35" s="1866">
        <f t="shared" si="17"/>
        <v>6.1142736664558299</v>
      </c>
    </row>
    <row r="36" spans="1:56" s="142" customFormat="1" ht="15.75" customHeight="1" x14ac:dyDescent="0.2">
      <c r="A36" s="149" t="s">
        <v>78</v>
      </c>
      <c r="B36" s="189" t="s">
        <v>79</v>
      </c>
      <c r="C36" s="150" t="s">
        <v>268</v>
      </c>
      <c r="D36" s="1221">
        <v>16</v>
      </c>
      <c r="E36" s="1222">
        <v>20</v>
      </c>
      <c r="F36" s="1223">
        <v>15</v>
      </c>
      <c r="G36" s="1222">
        <v>18</v>
      </c>
      <c r="H36" s="1223">
        <v>11</v>
      </c>
      <c r="I36" s="1222">
        <v>13</v>
      </c>
      <c r="J36" s="1223">
        <v>9</v>
      </c>
      <c r="K36" s="1222">
        <v>11</v>
      </c>
      <c r="L36" s="1236">
        <v>13</v>
      </c>
      <c r="M36" s="1236">
        <v>12</v>
      </c>
      <c r="N36" s="1236">
        <v>12</v>
      </c>
      <c r="O36" s="1236">
        <v>18</v>
      </c>
      <c r="P36" s="1237">
        <v>14</v>
      </c>
      <c r="Q36" s="1237">
        <v>14</v>
      </c>
      <c r="R36" s="1510">
        <v>11</v>
      </c>
      <c r="S36" s="1511">
        <v>12</v>
      </c>
      <c r="T36" s="1858">
        <v>7</v>
      </c>
      <c r="U36" s="1858"/>
      <c r="V36" s="1244">
        <v>726</v>
      </c>
      <c r="W36" s="1245">
        <v>721</v>
      </c>
      <c r="X36" s="1245">
        <v>838</v>
      </c>
      <c r="Y36" s="1245">
        <v>854</v>
      </c>
      <c r="Z36" s="1245">
        <v>866</v>
      </c>
      <c r="AA36" s="1245">
        <v>877</v>
      </c>
      <c r="AB36" s="1245">
        <v>892</v>
      </c>
      <c r="AC36" s="1245">
        <v>900</v>
      </c>
      <c r="AD36" s="1245">
        <v>900</v>
      </c>
      <c r="AE36" s="1245">
        <v>879</v>
      </c>
      <c r="AF36" s="1245">
        <v>866</v>
      </c>
      <c r="AG36" s="1245">
        <v>871</v>
      </c>
      <c r="AH36" s="1245">
        <v>910</v>
      </c>
      <c r="AI36" s="1245">
        <v>906</v>
      </c>
      <c r="AJ36" s="1513">
        <v>911</v>
      </c>
      <c r="AK36" s="1514">
        <v>892</v>
      </c>
      <c r="AL36" s="1859">
        <v>874</v>
      </c>
      <c r="AM36" s="1859"/>
      <c r="AN36" s="1270">
        <f t="shared" si="1"/>
        <v>22.03856749311295</v>
      </c>
      <c r="AO36" s="1271">
        <f t="shared" si="2"/>
        <v>27.739251040221916</v>
      </c>
      <c r="AP36" s="1271">
        <f t="shared" si="3"/>
        <v>17.899761336515514</v>
      </c>
      <c r="AQ36" s="1271">
        <f t="shared" si="4"/>
        <v>21.07728337236534</v>
      </c>
      <c r="AR36" s="1271">
        <f t="shared" si="5"/>
        <v>12.702078521939953</v>
      </c>
      <c r="AS36" s="1271">
        <f t="shared" si="6"/>
        <v>14.823261117445838</v>
      </c>
      <c r="AT36" s="1271">
        <f t="shared" si="7"/>
        <v>10.089686098654708</v>
      </c>
      <c r="AU36" s="1271">
        <f t="shared" si="8"/>
        <v>12.222222222222223</v>
      </c>
      <c r="AV36" s="1271">
        <f t="shared" si="9"/>
        <v>14.444444444444445</v>
      </c>
      <c r="AW36" s="1271">
        <f t="shared" si="10"/>
        <v>13.651877133105803</v>
      </c>
      <c r="AX36" s="1271">
        <f t="shared" si="11"/>
        <v>13.856812933025404</v>
      </c>
      <c r="AY36" s="1271">
        <f t="shared" si="12"/>
        <v>20.66590126291619</v>
      </c>
      <c r="AZ36" s="1271">
        <f t="shared" si="13"/>
        <v>15.384615384615385</v>
      </c>
      <c r="BA36" s="1271">
        <f t="shared" si="14"/>
        <v>15.452538631346579</v>
      </c>
      <c r="BB36" s="1523">
        <f t="shared" si="15"/>
        <v>12.074643249176729</v>
      </c>
      <c r="BC36" s="1525">
        <f t="shared" si="16"/>
        <v>13.45291479820628</v>
      </c>
      <c r="BD36" s="1866">
        <f t="shared" si="17"/>
        <v>8.0091533180778036</v>
      </c>
    </row>
    <row r="37" spans="1:56" s="142" customFormat="1" ht="15.75" customHeight="1" x14ac:dyDescent="0.2">
      <c r="A37" s="149" t="s">
        <v>80</v>
      </c>
      <c r="B37" s="189" t="s">
        <v>81</v>
      </c>
      <c r="C37" s="150" t="s">
        <v>266</v>
      </c>
      <c r="D37" s="1221">
        <v>15</v>
      </c>
      <c r="E37" s="1222">
        <v>22</v>
      </c>
      <c r="F37" s="1223">
        <v>13</v>
      </c>
      <c r="G37" s="1222">
        <v>13</v>
      </c>
      <c r="H37" s="1223">
        <v>30</v>
      </c>
      <c r="I37" s="1222">
        <v>20</v>
      </c>
      <c r="J37" s="1223">
        <v>22</v>
      </c>
      <c r="K37" s="1222">
        <v>21</v>
      </c>
      <c r="L37" s="1236">
        <v>16</v>
      </c>
      <c r="M37" s="1236">
        <v>20</v>
      </c>
      <c r="N37" s="1236">
        <v>22</v>
      </c>
      <c r="O37" s="1236">
        <v>14</v>
      </c>
      <c r="P37" s="1237">
        <v>16</v>
      </c>
      <c r="Q37" s="1237">
        <v>10</v>
      </c>
      <c r="R37" s="1510">
        <v>11</v>
      </c>
      <c r="S37" s="1511">
        <v>12</v>
      </c>
      <c r="T37" s="1858">
        <v>11</v>
      </c>
      <c r="U37" s="1858"/>
      <c r="V37" s="1244">
        <v>941</v>
      </c>
      <c r="W37" s="1245">
        <v>960</v>
      </c>
      <c r="X37" s="1245">
        <v>1180</v>
      </c>
      <c r="Y37" s="1245">
        <v>1261</v>
      </c>
      <c r="Z37" s="1245">
        <v>1339</v>
      </c>
      <c r="AA37" s="1245">
        <v>1422</v>
      </c>
      <c r="AB37" s="1245">
        <v>1484</v>
      </c>
      <c r="AC37" s="1245">
        <v>1560</v>
      </c>
      <c r="AD37" s="1245">
        <v>1565</v>
      </c>
      <c r="AE37" s="1245">
        <v>1564</v>
      </c>
      <c r="AF37" s="1245">
        <v>1596</v>
      </c>
      <c r="AG37" s="1245">
        <v>1579</v>
      </c>
      <c r="AH37" s="1245">
        <v>1600</v>
      </c>
      <c r="AI37" s="1245">
        <v>1642</v>
      </c>
      <c r="AJ37" s="1513">
        <v>1606</v>
      </c>
      <c r="AK37" s="1514">
        <v>1626</v>
      </c>
      <c r="AL37" s="1859">
        <v>1619</v>
      </c>
      <c r="AM37" s="1859"/>
      <c r="AN37" s="1270">
        <f t="shared" si="1"/>
        <v>15.940488841657812</v>
      </c>
      <c r="AO37" s="1271">
        <f t="shared" si="2"/>
        <v>22.916666666666664</v>
      </c>
      <c r="AP37" s="1271">
        <f t="shared" si="3"/>
        <v>11.016949152542372</v>
      </c>
      <c r="AQ37" s="1271">
        <f t="shared" si="4"/>
        <v>10.309278350515465</v>
      </c>
      <c r="AR37" s="1271">
        <f t="shared" si="5"/>
        <v>22.404779686333082</v>
      </c>
      <c r="AS37" s="1271">
        <f t="shared" si="6"/>
        <v>14.064697609001406</v>
      </c>
      <c r="AT37" s="1271">
        <f t="shared" si="7"/>
        <v>14.824797843665769</v>
      </c>
      <c r="AU37" s="1271">
        <f t="shared" si="8"/>
        <v>13.461538461538462</v>
      </c>
      <c r="AV37" s="1271">
        <f t="shared" si="9"/>
        <v>10.223642172523961</v>
      </c>
      <c r="AW37" s="1271">
        <f t="shared" si="10"/>
        <v>12.787723785166239</v>
      </c>
      <c r="AX37" s="1271">
        <f t="shared" si="11"/>
        <v>13.784461152882205</v>
      </c>
      <c r="AY37" s="1271">
        <f t="shared" si="12"/>
        <v>8.8663711209626346</v>
      </c>
      <c r="AZ37" s="1271">
        <f t="shared" si="13"/>
        <v>10</v>
      </c>
      <c r="BA37" s="1271">
        <f t="shared" si="14"/>
        <v>6.0901339829476244</v>
      </c>
      <c r="BB37" s="1523">
        <f t="shared" si="15"/>
        <v>6.8493150684931505</v>
      </c>
      <c r="BC37" s="1525">
        <f t="shared" si="16"/>
        <v>7.3800738007380069</v>
      </c>
      <c r="BD37" s="1866">
        <f t="shared" si="17"/>
        <v>6.7943174799258808</v>
      </c>
    </row>
    <row r="38" spans="1:56" s="142" customFormat="1" ht="15.75" customHeight="1" x14ac:dyDescent="0.2">
      <c r="A38" s="149" t="s">
        <v>84</v>
      </c>
      <c r="B38" s="189" t="s">
        <v>85</v>
      </c>
      <c r="C38" s="150" t="s">
        <v>265</v>
      </c>
      <c r="D38" s="1221">
        <v>58</v>
      </c>
      <c r="E38" s="1222">
        <v>68</v>
      </c>
      <c r="F38" s="1223">
        <v>74</v>
      </c>
      <c r="G38" s="1222">
        <v>62</v>
      </c>
      <c r="H38" s="1223">
        <v>60</v>
      </c>
      <c r="I38" s="1222">
        <v>65</v>
      </c>
      <c r="J38" s="1223">
        <v>53</v>
      </c>
      <c r="K38" s="1222">
        <v>55</v>
      </c>
      <c r="L38" s="1236">
        <v>76</v>
      </c>
      <c r="M38" s="1236">
        <v>60</v>
      </c>
      <c r="N38" s="1236">
        <v>88</v>
      </c>
      <c r="O38" s="1236">
        <v>65</v>
      </c>
      <c r="P38" s="1237">
        <v>59</v>
      </c>
      <c r="Q38" s="1237">
        <v>57</v>
      </c>
      <c r="R38" s="1510">
        <v>51</v>
      </c>
      <c r="S38" s="1511">
        <v>38</v>
      </c>
      <c r="T38" s="1858">
        <v>31</v>
      </c>
      <c r="U38" s="1858"/>
      <c r="V38" s="1244">
        <v>2903</v>
      </c>
      <c r="W38" s="1245">
        <v>2913</v>
      </c>
      <c r="X38" s="1245">
        <v>3101</v>
      </c>
      <c r="Y38" s="1245">
        <v>3148</v>
      </c>
      <c r="Z38" s="1245">
        <v>3180</v>
      </c>
      <c r="AA38" s="1245">
        <v>3246</v>
      </c>
      <c r="AB38" s="1245">
        <v>3280</v>
      </c>
      <c r="AC38" s="1245">
        <v>3253</v>
      </c>
      <c r="AD38" s="1245">
        <v>3190</v>
      </c>
      <c r="AE38" s="1245">
        <v>3167</v>
      </c>
      <c r="AF38" s="1245">
        <v>3148</v>
      </c>
      <c r="AG38" s="1245">
        <v>3238</v>
      </c>
      <c r="AH38" s="1245">
        <v>3518</v>
      </c>
      <c r="AI38" s="1245">
        <v>3545</v>
      </c>
      <c r="AJ38" s="1513">
        <v>3478</v>
      </c>
      <c r="AK38" s="1514">
        <v>3416</v>
      </c>
      <c r="AL38" s="1859">
        <v>3431</v>
      </c>
      <c r="AM38" s="1859"/>
      <c r="AN38" s="1270">
        <f t="shared" ref="AN38:AN69" si="18">IF(V38=0,"NA",(D38/V38)*1000)</f>
        <v>19.979331725800893</v>
      </c>
      <c r="AO38" s="1271">
        <f t="shared" ref="AO38:AO69" si="19">IF(W38=0,"NA",(E38/W38)*1000)</f>
        <v>23.34363199450738</v>
      </c>
      <c r="AP38" s="1271">
        <f t="shared" ref="AP38:AP69" si="20">IF(X38=0,"NA",(F38/X38)*1000)</f>
        <v>23.863269912931312</v>
      </c>
      <c r="AQ38" s="1271">
        <f t="shared" ref="AQ38:AQ69" si="21">IF(Y38=0,"NA",(G38/Y38)*1000)</f>
        <v>19.695044472681065</v>
      </c>
      <c r="AR38" s="1271">
        <f t="shared" ref="AR38:AR69" si="22">IF(Z38=0,"NA",(H38/Z38)*1000)</f>
        <v>18.867924528301884</v>
      </c>
      <c r="AS38" s="1271">
        <f t="shared" ref="AS38:AS69" si="23">IF(AA38=0,"NA",(I38/AA38)*1000)</f>
        <v>20.024645717806528</v>
      </c>
      <c r="AT38" s="1271">
        <f t="shared" ref="AT38:AT69" si="24">IF(AB38=0,"NA",(J38/AB38)*1000)</f>
        <v>16.158536585365855</v>
      </c>
      <c r="AU38" s="1271">
        <f t="shared" ref="AU38:AU69" si="25">IF(AC38=0,"NA",(K38/AC38)*1000)</f>
        <v>16.907470027666768</v>
      </c>
      <c r="AV38" s="1271">
        <f t="shared" ref="AV38:AV69" si="26">IF(AD38=0,"NA",(L38/AD38)*1000)</f>
        <v>23.824451410658305</v>
      </c>
      <c r="AW38" s="1271">
        <f t="shared" ref="AW38:AW69" si="27">IF(AE38=0,"NA",(M38/AE38)*1000)</f>
        <v>18.945374171139882</v>
      </c>
      <c r="AX38" s="1271">
        <f t="shared" ref="AX38:AX69" si="28">IF(AF38=0,"NA",(N38/AF38)*1000)</f>
        <v>27.954256670902161</v>
      </c>
      <c r="AY38" s="1271">
        <f t="shared" ref="AY38:AY69" si="29">IF(AG38=0,"NA",(O38/AG38)*1000)</f>
        <v>20.074119827053735</v>
      </c>
      <c r="AZ38" s="1271">
        <f t="shared" ref="AZ38:AZ69" si="30">IF(AH38=0,"NA",(P38/AH38)*1000)</f>
        <v>16.770892552586698</v>
      </c>
      <c r="BA38" s="1271">
        <f t="shared" ref="BA38:BA69" si="31">IF(AI38=0,"NA",(Q38/AI38)*1000)</f>
        <v>16.078984485190411</v>
      </c>
      <c r="BB38" s="1523">
        <f t="shared" ref="BB38:BB69" si="32">IF(AJ38=0,"NA",(R38/AJ38)*1000)</f>
        <v>14.663599769982749</v>
      </c>
      <c r="BC38" s="1525">
        <f t="shared" ref="BC38:BC69" si="33">IF(AK38=0,"NA",(S38/AK38)*1000)</f>
        <v>11.124121779859484</v>
      </c>
      <c r="BD38" s="1866">
        <f t="shared" ref="BD38:BD69" si="34">IF(AL38=0,"NA",(T38/AL38)*1000)</f>
        <v>9.0352666860973478</v>
      </c>
    </row>
    <row r="39" spans="1:56" s="142" customFormat="1" ht="15.75" customHeight="1" x14ac:dyDescent="0.2">
      <c r="A39" s="149" t="s">
        <v>86</v>
      </c>
      <c r="B39" s="189" t="s">
        <v>87</v>
      </c>
      <c r="C39" s="150" t="s">
        <v>267</v>
      </c>
      <c r="D39" s="1221">
        <v>89</v>
      </c>
      <c r="E39" s="1222">
        <v>81</v>
      </c>
      <c r="F39" s="1223">
        <v>90</v>
      </c>
      <c r="G39" s="1222">
        <v>81</v>
      </c>
      <c r="H39" s="1223">
        <v>75</v>
      </c>
      <c r="I39" s="1222">
        <v>88</v>
      </c>
      <c r="J39" s="1223">
        <v>75</v>
      </c>
      <c r="K39" s="1222">
        <v>99</v>
      </c>
      <c r="L39" s="1236">
        <v>81</v>
      </c>
      <c r="M39" s="1236">
        <v>103</v>
      </c>
      <c r="N39" s="1236">
        <v>89</v>
      </c>
      <c r="O39" s="1236">
        <v>96</v>
      </c>
      <c r="P39" s="1237">
        <v>74</v>
      </c>
      <c r="Q39" s="1237">
        <v>84</v>
      </c>
      <c r="R39" s="1510">
        <v>56</v>
      </c>
      <c r="S39" s="1511">
        <v>47</v>
      </c>
      <c r="T39" s="1858">
        <v>55</v>
      </c>
      <c r="U39" s="1858"/>
      <c r="V39" s="1244">
        <v>3704</v>
      </c>
      <c r="W39" s="1245">
        <v>3779</v>
      </c>
      <c r="X39" s="1245">
        <v>4091</v>
      </c>
      <c r="Y39" s="1245">
        <v>4162</v>
      </c>
      <c r="Z39" s="1245">
        <v>4289</v>
      </c>
      <c r="AA39" s="1245">
        <v>4403</v>
      </c>
      <c r="AB39" s="1245">
        <v>4510</v>
      </c>
      <c r="AC39" s="1245">
        <v>4593</v>
      </c>
      <c r="AD39" s="1245">
        <v>4559</v>
      </c>
      <c r="AE39" s="1245">
        <v>4524</v>
      </c>
      <c r="AF39" s="1245">
        <v>4519</v>
      </c>
      <c r="AG39" s="1245">
        <v>5053</v>
      </c>
      <c r="AH39" s="1245">
        <v>5417</v>
      </c>
      <c r="AI39" s="1245">
        <v>5426</v>
      </c>
      <c r="AJ39" s="1513">
        <v>5367</v>
      </c>
      <c r="AK39" s="1514">
        <v>5392</v>
      </c>
      <c r="AL39" s="1859">
        <v>5351</v>
      </c>
      <c r="AM39" s="1859"/>
      <c r="AN39" s="1270">
        <f t="shared" si="18"/>
        <v>24.028077753779698</v>
      </c>
      <c r="AO39" s="1271">
        <f t="shared" si="19"/>
        <v>21.434241862926697</v>
      </c>
      <c r="AP39" s="1271">
        <f t="shared" si="20"/>
        <v>21.999511121975068</v>
      </c>
      <c r="AQ39" s="1271">
        <f t="shared" si="21"/>
        <v>19.461797212878423</v>
      </c>
      <c r="AR39" s="1271">
        <f t="shared" si="22"/>
        <v>17.486593611564466</v>
      </c>
      <c r="AS39" s="1271">
        <f t="shared" si="23"/>
        <v>19.986372927549397</v>
      </c>
      <c r="AT39" s="1271">
        <f t="shared" si="24"/>
        <v>16.62971175166297</v>
      </c>
      <c r="AU39" s="1271">
        <f t="shared" si="25"/>
        <v>21.554539516655783</v>
      </c>
      <c r="AV39" s="1271">
        <f t="shared" si="26"/>
        <v>17.767054178547927</v>
      </c>
      <c r="AW39" s="1271">
        <f t="shared" si="27"/>
        <v>22.767462422634836</v>
      </c>
      <c r="AX39" s="1271">
        <f t="shared" si="28"/>
        <v>19.694622704138084</v>
      </c>
      <c r="AY39" s="1271">
        <f t="shared" si="29"/>
        <v>18.998614684345934</v>
      </c>
      <c r="AZ39" s="1271">
        <f t="shared" si="30"/>
        <v>13.660697803212111</v>
      </c>
      <c r="BA39" s="1271">
        <f t="shared" si="31"/>
        <v>15.481017323995577</v>
      </c>
      <c r="BB39" s="1523">
        <f t="shared" si="32"/>
        <v>10.434134525805851</v>
      </c>
      <c r="BC39" s="1525">
        <f t="shared" si="33"/>
        <v>8.7166172106824931</v>
      </c>
      <c r="BD39" s="1866">
        <f t="shared" si="34"/>
        <v>10.278452625677444</v>
      </c>
    </row>
    <row r="40" spans="1:56" s="142" customFormat="1" ht="15.75" customHeight="1" x14ac:dyDescent="0.2">
      <c r="A40" s="149" t="s">
        <v>92</v>
      </c>
      <c r="B40" s="189" t="s">
        <v>93</v>
      </c>
      <c r="C40" s="150" t="s">
        <v>268</v>
      </c>
      <c r="D40" s="1221">
        <v>32</v>
      </c>
      <c r="E40" s="1222">
        <v>24</v>
      </c>
      <c r="F40" s="1223">
        <v>32</v>
      </c>
      <c r="G40" s="1222">
        <v>23</v>
      </c>
      <c r="H40" s="1223">
        <v>26</v>
      </c>
      <c r="I40" s="1222">
        <v>20</v>
      </c>
      <c r="J40" s="1223">
        <v>23</v>
      </c>
      <c r="K40" s="1222">
        <v>9</v>
      </c>
      <c r="L40" s="1236">
        <v>20</v>
      </c>
      <c r="M40" s="1236">
        <v>25</v>
      </c>
      <c r="N40" s="1236">
        <v>28</v>
      </c>
      <c r="O40" s="1236">
        <v>22</v>
      </c>
      <c r="P40" s="1237">
        <v>27</v>
      </c>
      <c r="Q40" s="1237">
        <v>17</v>
      </c>
      <c r="R40" s="1510">
        <v>20</v>
      </c>
      <c r="S40" s="1511">
        <v>8</v>
      </c>
      <c r="T40" s="1858">
        <v>21</v>
      </c>
      <c r="U40" s="1858"/>
      <c r="V40" s="1244">
        <v>905</v>
      </c>
      <c r="W40" s="1245">
        <v>889</v>
      </c>
      <c r="X40" s="1245">
        <v>977</v>
      </c>
      <c r="Y40" s="1245">
        <v>982</v>
      </c>
      <c r="Z40" s="1245">
        <v>990</v>
      </c>
      <c r="AA40" s="1245">
        <v>991</v>
      </c>
      <c r="AB40" s="1245">
        <v>999</v>
      </c>
      <c r="AC40" s="1245">
        <v>992</v>
      </c>
      <c r="AD40" s="1245">
        <v>972</v>
      </c>
      <c r="AE40" s="1245">
        <v>956</v>
      </c>
      <c r="AF40" s="1245">
        <v>931</v>
      </c>
      <c r="AG40" s="1245">
        <v>985</v>
      </c>
      <c r="AH40" s="1245">
        <v>1027</v>
      </c>
      <c r="AI40" s="1245">
        <v>970</v>
      </c>
      <c r="AJ40" s="1513">
        <v>972</v>
      </c>
      <c r="AK40" s="1514">
        <v>1021</v>
      </c>
      <c r="AL40" s="1859">
        <v>1005</v>
      </c>
      <c r="AM40" s="1859"/>
      <c r="AN40" s="1270">
        <f t="shared" si="18"/>
        <v>35.35911602209945</v>
      </c>
      <c r="AO40" s="1271">
        <f t="shared" si="19"/>
        <v>26.996625421822273</v>
      </c>
      <c r="AP40" s="1271">
        <f t="shared" si="20"/>
        <v>32.753326509723642</v>
      </c>
      <c r="AQ40" s="1271">
        <f t="shared" si="21"/>
        <v>23.421588594704684</v>
      </c>
      <c r="AR40" s="1271">
        <f t="shared" si="22"/>
        <v>26.262626262626263</v>
      </c>
      <c r="AS40" s="1271">
        <f t="shared" si="23"/>
        <v>20.181634712411707</v>
      </c>
      <c r="AT40" s="1271">
        <f t="shared" si="24"/>
        <v>23.023023023023026</v>
      </c>
      <c r="AU40" s="1271">
        <f t="shared" si="25"/>
        <v>9.0725806451612918</v>
      </c>
      <c r="AV40" s="1271">
        <f t="shared" si="26"/>
        <v>20.5761316872428</v>
      </c>
      <c r="AW40" s="1271">
        <f t="shared" si="27"/>
        <v>26.15062761506276</v>
      </c>
      <c r="AX40" s="1271">
        <f t="shared" si="28"/>
        <v>30.075187969924812</v>
      </c>
      <c r="AY40" s="1271">
        <f t="shared" si="29"/>
        <v>22.335025380710658</v>
      </c>
      <c r="AZ40" s="1271">
        <f t="shared" si="30"/>
        <v>26.29016553067186</v>
      </c>
      <c r="BA40" s="1271">
        <f t="shared" si="31"/>
        <v>17.52577319587629</v>
      </c>
      <c r="BB40" s="1523">
        <f t="shared" si="32"/>
        <v>20.5761316872428</v>
      </c>
      <c r="BC40" s="1525">
        <f t="shared" si="33"/>
        <v>7.8354554358472086</v>
      </c>
      <c r="BD40" s="1866">
        <f t="shared" si="34"/>
        <v>20.895522388059703</v>
      </c>
    </row>
    <row r="41" spans="1:56" s="142" customFormat="1" ht="15.75" customHeight="1" x14ac:dyDescent="0.2">
      <c r="A41" s="149" t="s">
        <v>94</v>
      </c>
      <c r="B41" s="189" t="s">
        <v>95</v>
      </c>
      <c r="C41" s="150" t="s">
        <v>264</v>
      </c>
      <c r="D41" s="1221">
        <v>50</v>
      </c>
      <c r="E41" s="1222">
        <v>42</v>
      </c>
      <c r="F41" s="1223">
        <v>41</v>
      </c>
      <c r="G41" s="1222">
        <v>39</v>
      </c>
      <c r="H41" s="1223">
        <v>47</v>
      </c>
      <c r="I41" s="1222">
        <v>36</v>
      </c>
      <c r="J41" s="1223">
        <v>48</v>
      </c>
      <c r="K41" s="1222">
        <v>31</v>
      </c>
      <c r="L41" s="1236">
        <v>38</v>
      </c>
      <c r="M41" s="1236">
        <v>37</v>
      </c>
      <c r="N41" s="1236">
        <v>30</v>
      </c>
      <c r="O41" s="1236">
        <v>28</v>
      </c>
      <c r="P41" s="1237">
        <v>33</v>
      </c>
      <c r="Q41" s="1237">
        <v>28</v>
      </c>
      <c r="R41" s="1510">
        <v>26</v>
      </c>
      <c r="S41" s="1511">
        <v>21</v>
      </c>
      <c r="T41" s="1858">
        <v>15</v>
      </c>
      <c r="U41" s="1858"/>
      <c r="V41" s="1244">
        <v>2873</v>
      </c>
      <c r="W41" s="1245">
        <v>2967</v>
      </c>
      <c r="X41" s="1245">
        <v>2600</v>
      </c>
      <c r="Y41" s="1245">
        <v>2649</v>
      </c>
      <c r="Z41" s="1245">
        <v>2649</v>
      </c>
      <c r="AA41" s="1245">
        <v>2660</v>
      </c>
      <c r="AB41" s="1245">
        <v>2679</v>
      </c>
      <c r="AC41" s="1245">
        <v>2623</v>
      </c>
      <c r="AD41" s="1245">
        <v>2521</v>
      </c>
      <c r="AE41" s="1245">
        <v>2476</v>
      </c>
      <c r="AF41" s="1245">
        <v>2424</v>
      </c>
      <c r="AG41" s="1245">
        <v>2565</v>
      </c>
      <c r="AH41" s="1245">
        <v>2374</v>
      </c>
      <c r="AI41" s="1245">
        <v>2313</v>
      </c>
      <c r="AJ41" s="1513">
        <v>2240</v>
      </c>
      <c r="AK41" s="1514">
        <v>2127</v>
      </c>
      <c r="AL41" s="1859">
        <v>2129</v>
      </c>
      <c r="AM41" s="1859"/>
      <c r="AN41" s="1270">
        <f t="shared" si="18"/>
        <v>17.40341106856944</v>
      </c>
      <c r="AO41" s="1271">
        <f t="shared" si="19"/>
        <v>14.155712841253791</v>
      </c>
      <c r="AP41" s="1271">
        <f t="shared" si="20"/>
        <v>15.769230769230768</v>
      </c>
      <c r="AQ41" s="1271">
        <f t="shared" si="21"/>
        <v>14.722536806342015</v>
      </c>
      <c r="AR41" s="1271">
        <f t="shared" si="22"/>
        <v>17.742544356360892</v>
      </c>
      <c r="AS41" s="1271">
        <f t="shared" si="23"/>
        <v>13.533834586466165</v>
      </c>
      <c r="AT41" s="1271">
        <f t="shared" si="24"/>
        <v>17.917133258678611</v>
      </c>
      <c r="AU41" s="1271">
        <f t="shared" si="25"/>
        <v>11.818528402592451</v>
      </c>
      <c r="AV41" s="1271">
        <f t="shared" si="26"/>
        <v>15.073383577945261</v>
      </c>
      <c r="AW41" s="1271">
        <f t="shared" si="27"/>
        <v>14.94345718901454</v>
      </c>
      <c r="AX41" s="1271">
        <f t="shared" si="28"/>
        <v>12.376237623762377</v>
      </c>
      <c r="AY41" s="1271">
        <f t="shared" si="29"/>
        <v>10.91617933723197</v>
      </c>
      <c r="AZ41" s="1271">
        <f t="shared" si="30"/>
        <v>13.900589721988204</v>
      </c>
      <c r="BA41" s="1271">
        <f t="shared" si="31"/>
        <v>12.105490704712494</v>
      </c>
      <c r="BB41" s="1523">
        <f t="shared" si="32"/>
        <v>11.607142857142858</v>
      </c>
      <c r="BC41" s="1525">
        <f t="shared" si="33"/>
        <v>9.873060648801129</v>
      </c>
      <c r="BD41" s="1866">
        <f t="shared" si="34"/>
        <v>7.045561296383279</v>
      </c>
    </row>
    <row r="42" spans="1:56" s="142" customFormat="1" ht="15.75" customHeight="1" x14ac:dyDescent="0.2">
      <c r="A42" s="149" t="s">
        <v>96</v>
      </c>
      <c r="B42" s="189" t="s">
        <v>97</v>
      </c>
      <c r="C42" s="150" t="s">
        <v>266</v>
      </c>
      <c r="D42" s="1221">
        <v>13</v>
      </c>
      <c r="E42" s="1222">
        <v>10</v>
      </c>
      <c r="F42" s="1223">
        <v>12</v>
      </c>
      <c r="G42" s="1222">
        <v>12</v>
      </c>
      <c r="H42" s="1223">
        <v>8</v>
      </c>
      <c r="I42" s="1222">
        <v>8</v>
      </c>
      <c r="J42" s="1223">
        <v>4</v>
      </c>
      <c r="K42" s="1222">
        <v>11</v>
      </c>
      <c r="L42" s="1236">
        <v>16</v>
      </c>
      <c r="M42" s="1236">
        <v>7</v>
      </c>
      <c r="N42" s="1236">
        <v>10</v>
      </c>
      <c r="O42" s="1236">
        <v>10</v>
      </c>
      <c r="P42" s="1237">
        <v>8</v>
      </c>
      <c r="Q42" s="1237">
        <v>4</v>
      </c>
      <c r="R42" s="1510">
        <v>4</v>
      </c>
      <c r="S42" s="1511">
        <v>7</v>
      </c>
      <c r="T42" s="1858">
        <v>6</v>
      </c>
      <c r="U42" s="1858"/>
      <c r="V42" s="1244">
        <v>862</v>
      </c>
      <c r="W42" s="1245">
        <v>874</v>
      </c>
      <c r="X42" s="1245">
        <v>934</v>
      </c>
      <c r="Y42" s="1245">
        <v>967</v>
      </c>
      <c r="Z42" s="1245">
        <v>999</v>
      </c>
      <c r="AA42" s="1245">
        <v>1030</v>
      </c>
      <c r="AB42" s="1245">
        <v>1055</v>
      </c>
      <c r="AC42" s="1245">
        <v>1067</v>
      </c>
      <c r="AD42" s="1245">
        <v>1097</v>
      </c>
      <c r="AE42" s="1245">
        <v>1116</v>
      </c>
      <c r="AF42" s="1245">
        <v>1103</v>
      </c>
      <c r="AG42" s="1245">
        <v>1163</v>
      </c>
      <c r="AH42" s="1245">
        <v>1204</v>
      </c>
      <c r="AI42" s="1245">
        <v>1229</v>
      </c>
      <c r="AJ42" s="1513">
        <v>1258</v>
      </c>
      <c r="AK42" s="1514">
        <v>1271</v>
      </c>
      <c r="AL42" s="1859">
        <v>1271</v>
      </c>
      <c r="AM42" s="1859"/>
      <c r="AN42" s="1270">
        <f t="shared" si="18"/>
        <v>15.081206496519721</v>
      </c>
      <c r="AO42" s="1271">
        <f t="shared" si="19"/>
        <v>11.441647597254004</v>
      </c>
      <c r="AP42" s="1271">
        <f t="shared" si="20"/>
        <v>12.847965738758029</v>
      </c>
      <c r="AQ42" s="1271">
        <f t="shared" si="21"/>
        <v>12.409513960703205</v>
      </c>
      <c r="AR42" s="1271">
        <f t="shared" si="22"/>
        <v>8.0080080080080087</v>
      </c>
      <c r="AS42" s="1271">
        <f t="shared" si="23"/>
        <v>7.766990291262136</v>
      </c>
      <c r="AT42" s="1271">
        <f t="shared" si="24"/>
        <v>3.7914691943127963</v>
      </c>
      <c r="AU42" s="1271">
        <f t="shared" si="25"/>
        <v>10.309278350515465</v>
      </c>
      <c r="AV42" s="1271">
        <f t="shared" si="26"/>
        <v>14.585232452142206</v>
      </c>
      <c r="AW42" s="1271">
        <f t="shared" si="27"/>
        <v>6.2724014336917566</v>
      </c>
      <c r="AX42" s="1271">
        <f t="shared" si="28"/>
        <v>9.0661831368993653</v>
      </c>
      <c r="AY42" s="1271">
        <f t="shared" si="29"/>
        <v>8.5984522785898534</v>
      </c>
      <c r="AZ42" s="1271">
        <f t="shared" si="30"/>
        <v>6.6445182724252492</v>
      </c>
      <c r="BA42" s="1271">
        <f t="shared" si="31"/>
        <v>3.2546786004882016</v>
      </c>
      <c r="BB42" s="1523">
        <f t="shared" si="32"/>
        <v>3.1796502384737679</v>
      </c>
      <c r="BC42" s="1525">
        <f t="shared" si="33"/>
        <v>5.5074744295830058</v>
      </c>
      <c r="BD42" s="1866">
        <f t="shared" si="34"/>
        <v>4.7206923682140047</v>
      </c>
    </row>
    <row r="43" spans="1:56" s="142" customFormat="1" ht="15.75" customHeight="1" x14ac:dyDescent="0.2">
      <c r="A43" s="149" t="s">
        <v>98</v>
      </c>
      <c r="B43" s="189" t="s">
        <v>99</v>
      </c>
      <c r="C43" s="150" t="s">
        <v>268</v>
      </c>
      <c r="D43" s="1221">
        <v>28</v>
      </c>
      <c r="E43" s="1222">
        <v>22</v>
      </c>
      <c r="F43" s="1223">
        <v>22</v>
      </c>
      <c r="G43" s="1222">
        <v>18</v>
      </c>
      <c r="H43" s="1223">
        <v>22</v>
      </c>
      <c r="I43" s="1222">
        <v>17</v>
      </c>
      <c r="J43" s="1223">
        <v>20</v>
      </c>
      <c r="K43" s="1222">
        <v>23</v>
      </c>
      <c r="L43" s="1236">
        <v>28</v>
      </c>
      <c r="M43" s="1236">
        <v>26</v>
      </c>
      <c r="N43" s="1236">
        <v>26</v>
      </c>
      <c r="O43" s="1236">
        <v>17</v>
      </c>
      <c r="P43" s="1237">
        <v>22</v>
      </c>
      <c r="Q43" s="1237">
        <v>13</v>
      </c>
      <c r="R43" s="1510">
        <v>12</v>
      </c>
      <c r="S43" s="1511">
        <v>20</v>
      </c>
      <c r="T43" s="1858">
        <v>16</v>
      </c>
      <c r="U43" s="1858"/>
      <c r="V43" s="1244">
        <v>950</v>
      </c>
      <c r="W43" s="1245">
        <v>935</v>
      </c>
      <c r="X43" s="1245">
        <v>950</v>
      </c>
      <c r="Y43" s="1245">
        <v>974</v>
      </c>
      <c r="Z43" s="1245">
        <v>962</v>
      </c>
      <c r="AA43" s="1245">
        <v>974</v>
      </c>
      <c r="AB43" s="1245">
        <v>986</v>
      </c>
      <c r="AC43" s="1245">
        <v>965</v>
      </c>
      <c r="AD43" s="1245">
        <v>933</v>
      </c>
      <c r="AE43" s="1245">
        <v>906</v>
      </c>
      <c r="AF43" s="1245">
        <v>884</v>
      </c>
      <c r="AG43" s="1245">
        <v>895</v>
      </c>
      <c r="AH43" s="1245">
        <v>930</v>
      </c>
      <c r="AI43" s="1245">
        <v>883</v>
      </c>
      <c r="AJ43" s="1513">
        <v>836</v>
      </c>
      <c r="AK43" s="1514">
        <v>821</v>
      </c>
      <c r="AL43" s="1859">
        <v>818</v>
      </c>
      <c r="AM43" s="1859"/>
      <c r="AN43" s="1270">
        <f t="shared" si="18"/>
        <v>29.473684210526315</v>
      </c>
      <c r="AO43" s="1271">
        <f t="shared" si="19"/>
        <v>23.52941176470588</v>
      </c>
      <c r="AP43" s="1271">
        <f t="shared" si="20"/>
        <v>23.157894736842106</v>
      </c>
      <c r="AQ43" s="1271">
        <f t="shared" si="21"/>
        <v>18.480492813141684</v>
      </c>
      <c r="AR43" s="1271">
        <f t="shared" si="22"/>
        <v>22.869022869022871</v>
      </c>
      <c r="AS43" s="1271">
        <f t="shared" si="23"/>
        <v>17.453798767967143</v>
      </c>
      <c r="AT43" s="1271">
        <f t="shared" si="24"/>
        <v>20.28397565922921</v>
      </c>
      <c r="AU43" s="1271">
        <f t="shared" si="25"/>
        <v>23.834196891191709</v>
      </c>
      <c r="AV43" s="1271">
        <f t="shared" si="26"/>
        <v>30.010718113612004</v>
      </c>
      <c r="AW43" s="1271">
        <f t="shared" si="27"/>
        <v>28.697571743929359</v>
      </c>
      <c r="AX43" s="1271">
        <f t="shared" si="28"/>
        <v>29.411764705882351</v>
      </c>
      <c r="AY43" s="1271">
        <f t="shared" si="29"/>
        <v>18.994413407821231</v>
      </c>
      <c r="AZ43" s="1271">
        <f t="shared" si="30"/>
        <v>23.655913978494624</v>
      </c>
      <c r="BA43" s="1271">
        <f t="shared" si="31"/>
        <v>14.722536806342015</v>
      </c>
      <c r="BB43" s="1523">
        <f t="shared" si="32"/>
        <v>14.354066985645934</v>
      </c>
      <c r="BC43" s="1525">
        <f t="shared" si="33"/>
        <v>24.360535931790498</v>
      </c>
      <c r="BD43" s="1866">
        <f t="shared" si="34"/>
        <v>19.559902200488999</v>
      </c>
    </row>
    <row r="44" spans="1:56" s="142" customFormat="1" ht="15.75" customHeight="1" x14ac:dyDescent="0.2">
      <c r="A44" s="149" t="s">
        <v>100</v>
      </c>
      <c r="B44" s="189" t="s">
        <v>101</v>
      </c>
      <c r="C44" s="150" t="s">
        <v>267</v>
      </c>
      <c r="D44" s="1221">
        <v>22</v>
      </c>
      <c r="E44" s="1222">
        <v>22</v>
      </c>
      <c r="F44" s="1223">
        <v>25</v>
      </c>
      <c r="G44" s="1222">
        <v>27</v>
      </c>
      <c r="H44" s="1223">
        <v>29</v>
      </c>
      <c r="I44" s="1222">
        <v>30</v>
      </c>
      <c r="J44" s="1223">
        <v>21</v>
      </c>
      <c r="K44" s="1222">
        <v>26</v>
      </c>
      <c r="L44" s="1236">
        <v>38</v>
      </c>
      <c r="M44" s="1236">
        <v>18</v>
      </c>
      <c r="N44" s="1236">
        <v>20</v>
      </c>
      <c r="O44" s="1236">
        <v>16</v>
      </c>
      <c r="P44" s="1237">
        <v>11</v>
      </c>
      <c r="Q44" s="1237">
        <v>20</v>
      </c>
      <c r="R44" s="1510">
        <v>6</v>
      </c>
      <c r="S44" s="1511">
        <v>10</v>
      </c>
      <c r="T44" s="1858">
        <v>11</v>
      </c>
      <c r="U44" s="1858"/>
      <c r="V44" s="1244">
        <v>811</v>
      </c>
      <c r="W44" s="1245">
        <v>832</v>
      </c>
      <c r="X44" s="1245">
        <v>1020</v>
      </c>
      <c r="Y44" s="1245">
        <v>1063</v>
      </c>
      <c r="Z44" s="1245">
        <v>1120</v>
      </c>
      <c r="AA44" s="1245">
        <v>1166</v>
      </c>
      <c r="AB44" s="1245">
        <v>1209</v>
      </c>
      <c r="AC44" s="1245">
        <v>1231</v>
      </c>
      <c r="AD44" s="1245">
        <v>1215</v>
      </c>
      <c r="AE44" s="1245">
        <v>1203</v>
      </c>
      <c r="AF44" s="1245">
        <v>1175</v>
      </c>
      <c r="AG44" s="1245">
        <v>1170</v>
      </c>
      <c r="AH44" s="1245">
        <v>1104</v>
      </c>
      <c r="AI44" s="1245">
        <v>1113</v>
      </c>
      <c r="AJ44" s="1513">
        <v>1090</v>
      </c>
      <c r="AK44" s="1514">
        <v>1078</v>
      </c>
      <c r="AL44" s="1859">
        <v>1100</v>
      </c>
      <c r="AM44" s="1859"/>
      <c r="AN44" s="1270">
        <f t="shared" si="18"/>
        <v>27.127003699136868</v>
      </c>
      <c r="AO44" s="1271">
        <f t="shared" si="19"/>
        <v>26.442307692307693</v>
      </c>
      <c r="AP44" s="1271">
        <f t="shared" si="20"/>
        <v>24.509803921568626</v>
      </c>
      <c r="AQ44" s="1271">
        <f t="shared" si="21"/>
        <v>25.399811853245531</v>
      </c>
      <c r="AR44" s="1271">
        <f t="shared" si="22"/>
        <v>25.892857142857146</v>
      </c>
      <c r="AS44" s="1271">
        <f t="shared" si="23"/>
        <v>25.728987993138936</v>
      </c>
      <c r="AT44" s="1271">
        <f t="shared" si="24"/>
        <v>17.369727047146402</v>
      </c>
      <c r="AU44" s="1271">
        <f t="shared" si="25"/>
        <v>21.121039805036556</v>
      </c>
      <c r="AV44" s="1271">
        <f t="shared" si="26"/>
        <v>31.275720164609055</v>
      </c>
      <c r="AW44" s="1271">
        <f t="shared" si="27"/>
        <v>14.962593516209475</v>
      </c>
      <c r="AX44" s="1271">
        <f t="shared" si="28"/>
        <v>17.021276595744681</v>
      </c>
      <c r="AY44" s="1271">
        <f t="shared" si="29"/>
        <v>13.675213675213675</v>
      </c>
      <c r="AZ44" s="1271">
        <f t="shared" si="30"/>
        <v>9.9637681159420275</v>
      </c>
      <c r="BA44" s="1271">
        <f t="shared" si="31"/>
        <v>17.969451931716083</v>
      </c>
      <c r="BB44" s="1523">
        <f t="shared" si="32"/>
        <v>5.5045871559633035</v>
      </c>
      <c r="BC44" s="1525">
        <f t="shared" si="33"/>
        <v>9.2764378478664202</v>
      </c>
      <c r="BD44" s="1866">
        <f t="shared" si="34"/>
        <v>10</v>
      </c>
    </row>
    <row r="45" spans="1:56" s="142" customFormat="1" ht="15.75" customHeight="1" x14ac:dyDescent="0.2">
      <c r="A45" s="149" t="s">
        <v>102</v>
      </c>
      <c r="B45" s="189" t="s">
        <v>282</v>
      </c>
      <c r="C45" s="150" t="s">
        <v>264</v>
      </c>
      <c r="D45" s="1221">
        <v>32</v>
      </c>
      <c r="E45" s="1222">
        <v>31</v>
      </c>
      <c r="F45" s="1223">
        <v>31</v>
      </c>
      <c r="G45" s="1222">
        <v>25</v>
      </c>
      <c r="H45" s="1223">
        <v>45</v>
      </c>
      <c r="I45" s="1222">
        <v>23</v>
      </c>
      <c r="J45" s="1223">
        <v>25</v>
      </c>
      <c r="K45" s="1222">
        <v>39</v>
      </c>
      <c r="L45" s="1236">
        <v>44</v>
      </c>
      <c r="M45" s="1236">
        <v>42</v>
      </c>
      <c r="N45" s="1236">
        <v>44</v>
      </c>
      <c r="O45" s="1236">
        <v>31</v>
      </c>
      <c r="P45" s="1237">
        <v>38</v>
      </c>
      <c r="Q45" s="1237">
        <v>33</v>
      </c>
      <c r="R45" s="1510">
        <v>21</v>
      </c>
      <c r="S45" s="1511">
        <v>25</v>
      </c>
      <c r="T45" s="1858">
        <v>18</v>
      </c>
      <c r="U45" s="1858"/>
      <c r="V45" s="1244">
        <v>994</v>
      </c>
      <c r="W45" s="1245">
        <v>991</v>
      </c>
      <c r="X45" s="1245">
        <v>1043</v>
      </c>
      <c r="Y45" s="1245">
        <v>992</v>
      </c>
      <c r="Z45" s="1245">
        <v>1005</v>
      </c>
      <c r="AA45" s="1245">
        <v>1011</v>
      </c>
      <c r="AB45" s="1245">
        <v>979</v>
      </c>
      <c r="AC45" s="1245">
        <v>936</v>
      </c>
      <c r="AD45" s="1245">
        <v>921</v>
      </c>
      <c r="AE45" s="1245">
        <v>882</v>
      </c>
      <c r="AF45" s="1245">
        <v>843</v>
      </c>
      <c r="AG45" s="1245">
        <v>916</v>
      </c>
      <c r="AH45" s="1245">
        <v>966</v>
      </c>
      <c r="AI45" s="1245">
        <v>946</v>
      </c>
      <c r="AJ45" s="1513">
        <v>936</v>
      </c>
      <c r="AK45" s="1514">
        <v>919</v>
      </c>
      <c r="AL45" s="1859">
        <v>913</v>
      </c>
      <c r="AM45" s="1859"/>
      <c r="AN45" s="1270">
        <f t="shared" si="18"/>
        <v>32.193158953722339</v>
      </c>
      <c r="AO45" s="1271">
        <f t="shared" si="19"/>
        <v>31.281533804238141</v>
      </c>
      <c r="AP45" s="1271">
        <f t="shared" si="20"/>
        <v>29.721955896452542</v>
      </c>
      <c r="AQ45" s="1271">
        <f t="shared" si="21"/>
        <v>25.201612903225804</v>
      </c>
      <c r="AR45" s="1271">
        <f t="shared" si="22"/>
        <v>44.776119402985074</v>
      </c>
      <c r="AS45" s="1271">
        <f t="shared" si="23"/>
        <v>22.74975272007913</v>
      </c>
      <c r="AT45" s="1271">
        <f t="shared" si="24"/>
        <v>25.536261491317671</v>
      </c>
      <c r="AU45" s="1271">
        <f t="shared" si="25"/>
        <v>41.666666666666664</v>
      </c>
      <c r="AV45" s="1271">
        <f t="shared" si="26"/>
        <v>47.774158523344191</v>
      </c>
      <c r="AW45" s="1271">
        <f t="shared" si="27"/>
        <v>47.619047619047613</v>
      </c>
      <c r="AX45" s="1271">
        <f t="shared" si="28"/>
        <v>52.194543297746144</v>
      </c>
      <c r="AY45" s="1271">
        <f t="shared" si="29"/>
        <v>33.842794759825331</v>
      </c>
      <c r="AZ45" s="1271">
        <f t="shared" si="30"/>
        <v>39.337474120082817</v>
      </c>
      <c r="BA45" s="1271">
        <f t="shared" si="31"/>
        <v>34.883720930232556</v>
      </c>
      <c r="BB45" s="1523">
        <f t="shared" si="32"/>
        <v>22.435897435897434</v>
      </c>
      <c r="BC45" s="1525">
        <f t="shared" si="33"/>
        <v>27.20348204570185</v>
      </c>
      <c r="BD45" s="1866">
        <f t="shared" si="34"/>
        <v>19.715224534501644</v>
      </c>
    </row>
    <row r="46" spans="1:56" s="142" customFormat="1" ht="15.75" customHeight="1" x14ac:dyDescent="0.2">
      <c r="A46" s="149" t="s">
        <v>104</v>
      </c>
      <c r="B46" s="189" t="s">
        <v>105</v>
      </c>
      <c r="C46" s="150" t="s">
        <v>265</v>
      </c>
      <c r="D46" s="1221">
        <v>65</v>
      </c>
      <c r="E46" s="1222">
        <v>84</v>
      </c>
      <c r="F46" s="1223">
        <v>68</v>
      </c>
      <c r="G46" s="1222">
        <v>51</v>
      </c>
      <c r="H46" s="1223">
        <v>55</v>
      </c>
      <c r="I46" s="1222">
        <v>69</v>
      </c>
      <c r="J46" s="1223">
        <v>66</v>
      </c>
      <c r="K46" s="1222">
        <v>44</v>
      </c>
      <c r="L46" s="1236">
        <v>52</v>
      </c>
      <c r="M46" s="1236">
        <v>65</v>
      </c>
      <c r="N46" s="1236">
        <v>54</v>
      </c>
      <c r="O46" s="1236">
        <v>51</v>
      </c>
      <c r="P46" s="1237">
        <v>52</v>
      </c>
      <c r="Q46" s="1237">
        <v>42</v>
      </c>
      <c r="R46" s="1510">
        <v>41</v>
      </c>
      <c r="S46" s="1511">
        <v>52</v>
      </c>
      <c r="T46" s="1858">
        <v>42</v>
      </c>
      <c r="U46" s="1858"/>
      <c r="V46" s="1244">
        <v>2265</v>
      </c>
      <c r="W46" s="1245">
        <v>2235</v>
      </c>
      <c r="X46" s="1245">
        <v>2309</v>
      </c>
      <c r="Y46" s="1245">
        <v>2286</v>
      </c>
      <c r="Z46" s="1245">
        <v>2314</v>
      </c>
      <c r="AA46" s="1245">
        <v>2318</v>
      </c>
      <c r="AB46" s="1245">
        <v>2301</v>
      </c>
      <c r="AC46" s="1245">
        <v>2296</v>
      </c>
      <c r="AD46" s="1245">
        <v>2289</v>
      </c>
      <c r="AE46" s="1245">
        <v>2214</v>
      </c>
      <c r="AF46" s="1245">
        <v>2180</v>
      </c>
      <c r="AG46" s="1245">
        <v>2173</v>
      </c>
      <c r="AH46" s="1245">
        <v>2305</v>
      </c>
      <c r="AI46" s="1245">
        <v>2282</v>
      </c>
      <c r="AJ46" s="1513">
        <v>2250</v>
      </c>
      <c r="AK46" s="1514">
        <v>2139</v>
      </c>
      <c r="AL46" s="1859">
        <v>2123</v>
      </c>
      <c r="AM46" s="1859"/>
      <c r="AN46" s="1270">
        <f t="shared" si="18"/>
        <v>28.697571743929359</v>
      </c>
      <c r="AO46" s="1271">
        <f t="shared" si="19"/>
        <v>37.583892617449663</v>
      </c>
      <c r="AP46" s="1271">
        <f t="shared" si="20"/>
        <v>29.449978345604158</v>
      </c>
      <c r="AQ46" s="1271">
        <f t="shared" si="21"/>
        <v>22.309711286089239</v>
      </c>
      <c r="AR46" s="1271">
        <f t="shared" si="22"/>
        <v>23.76836646499568</v>
      </c>
      <c r="AS46" s="1271">
        <f t="shared" si="23"/>
        <v>29.767040552200172</v>
      </c>
      <c r="AT46" s="1271">
        <f t="shared" si="24"/>
        <v>28.683181225554105</v>
      </c>
      <c r="AU46" s="1271">
        <f t="shared" si="25"/>
        <v>19.16376306620209</v>
      </c>
      <c r="AV46" s="1271">
        <f t="shared" si="26"/>
        <v>22.717343818261249</v>
      </c>
      <c r="AW46" s="1271">
        <f t="shared" si="27"/>
        <v>29.358626919602528</v>
      </c>
      <c r="AX46" s="1271">
        <f t="shared" si="28"/>
        <v>24.770642201834864</v>
      </c>
      <c r="AY46" s="1271">
        <f t="shared" si="29"/>
        <v>23.469857340082832</v>
      </c>
      <c r="AZ46" s="1271">
        <f t="shared" si="30"/>
        <v>22.559652928416487</v>
      </c>
      <c r="BA46" s="1271">
        <f t="shared" si="31"/>
        <v>18.404907975460123</v>
      </c>
      <c r="BB46" s="1523">
        <f t="shared" si="32"/>
        <v>18.222222222222221</v>
      </c>
      <c r="BC46" s="1525">
        <f t="shared" si="33"/>
        <v>24.310425432445069</v>
      </c>
      <c r="BD46" s="1866">
        <f t="shared" si="34"/>
        <v>19.783325482807346</v>
      </c>
    </row>
    <row r="47" spans="1:56" s="142" customFormat="1" ht="15.75" customHeight="1" x14ac:dyDescent="0.2">
      <c r="A47" s="149" t="s">
        <v>108</v>
      </c>
      <c r="B47" s="189" t="s">
        <v>109</v>
      </c>
      <c r="C47" s="150" t="s">
        <v>266</v>
      </c>
      <c r="D47" s="1221">
        <v>59</v>
      </c>
      <c r="E47" s="1222">
        <v>64</v>
      </c>
      <c r="F47" s="1223">
        <v>56</v>
      </c>
      <c r="G47" s="1222">
        <v>45</v>
      </c>
      <c r="H47" s="1223">
        <v>49</v>
      </c>
      <c r="I47" s="1222">
        <v>39</v>
      </c>
      <c r="J47" s="1223">
        <v>50</v>
      </c>
      <c r="K47" s="1222">
        <v>57</v>
      </c>
      <c r="L47" s="1236">
        <v>68</v>
      </c>
      <c r="M47" s="1236">
        <v>54</v>
      </c>
      <c r="N47" s="1236">
        <v>62</v>
      </c>
      <c r="O47" s="1236">
        <v>66</v>
      </c>
      <c r="P47" s="1237">
        <v>48</v>
      </c>
      <c r="Q47" s="1237">
        <v>41</v>
      </c>
      <c r="R47" s="1510">
        <v>39</v>
      </c>
      <c r="S47" s="1511">
        <v>45</v>
      </c>
      <c r="T47" s="1858">
        <v>28</v>
      </c>
      <c r="U47" s="1858"/>
      <c r="V47" s="1244">
        <v>5327</v>
      </c>
      <c r="W47" s="1245">
        <v>5453</v>
      </c>
      <c r="X47" s="1245">
        <v>6290</v>
      </c>
      <c r="Y47" s="1245">
        <v>6618</v>
      </c>
      <c r="Z47" s="1245">
        <v>6797</v>
      </c>
      <c r="AA47" s="1245">
        <v>6917</v>
      </c>
      <c r="AB47" s="1245">
        <v>7073</v>
      </c>
      <c r="AC47" s="1245">
        <v>7144</v>
      </c>
      <c r="AD47" s="1245">
        <v>7059</v>
      </c>
      <c r="AE47" s="1245">
        <v>6982</v>
      </c>
      <c r="AF47" s="1245">
        <v>6835</v>
      </c>
      <c r="AG47" s="1245">
        <v>7327</v>
      </c>
      <c r="AH47" s="1245">
        <v>7287</v>
      </c>
      <c r="AI47" s="1245">
        <v>7272</v>
      </c>
      <c r="AJ47" s="1513">
        <v>7304</v>
      </c>
      <c r="AK47" s="1514">
        <v>7330</v>
      </c>
      <c r="AL47" s="1859">
        <v>7304</v>
      </c>
      <c r="AM47" s="1859"/>
      <c r="AN47" s="1270">
        <f t="shared" si="18"/>
        <v>11.075652337150366</v>
      </c>
      <c r="AO47" s="1271">
        <f t="shared" si="19"/>
        <v>11.736658719970658</v>
      </c>
      <c r="AP47" s="1271">
        <f t="shared" si="20"/>
        <v>8.9030206677265511</v>
      </c>
      <c r="AQ47" s="1271">
        <f t="shared" si="21"/>
        <v>6.799637352674524</v>
      </c>
      <c r="AR47" s="1271">
        <f t="shared" si="22"/>
        <v>7.2090628218331618</v>
      </c>
      <c r="AS47" s="1271">
        <f t="shared" si="23"/>
        <v>5.6382824924100037</v>
      </c>
      <c r="AT47" s="1271">
        <f t="shared" si="24"/>
        <v>7.0691361515622795</v>
      </c>
      <c r="AU47" s="1271">
        <f t="shared" si="25"/>
        <v>7.9787234042553186</v>
      </c>
      <c r="AV47" s="1271">
        <f t="shared" si="26"/>
        <v>9.6330925060206827</v>
      </c>
      <c r="AW47" s="1271">
        <f t="shared" si="27"/>
        <v>7.7341735892294468</v>
      </c>
      <c r="AX47" s="1271">
        <f t="shared" si="28"/>
        <v>9.0709583028529615</v>
      </c>
      <c r="AY47" s="1271">
        <f t="shared" si="29"/>
        <v>9.0077794458850828</v>
      </c>
      <c r="AZ47" s="1271">
        <f t="shared" si="30"/>
        <v>6.5870728694936185</v>
      </c>
      <c r="BA47" s="1271">
        <f t="shared" si="31"/>
        <v>5.6380638063806376</v>
      </c>
      <c r="BB47" s="1523">
        <f t="shared" si="32"/>
        <v>5.3395399780941952</v>
      </c>
      <c r="BC47" s="1525">
        <f t="shared" si="33"/>
        <v>6.1391541609822644</v>
      </c>
      <c r="BD47" s="1866">
        <f t="shared" si="34"/>
        <v>3.8335158817086525</v>
      </c>
    </row>
    <row r="48" spans="1:56" s="142" customFormat="1" ht="15.75" customHeight="1" x14ac:dyDescent="0.2">
      <c r="A48" s="149" t="s">
        <v>110</v>
      </c>
      <c r="B48" s="189" t="s">
        <v>111</v>
      </c>
      <c r="C48" s="150" t="s">
        <v>266</v>
      </c>
      <c r="D48" s="1221">
        <v>278</v>
      </c>
      <c r="E48" s="1222">
        <v>299</v>
      </c>
      <c r="F48" s="1223">
        <v>288</v>
      </c>
      <c r="G48" s="1222">
        <v>232</v>
      </c>
      <c r="H48" s="1223">
        <v>241</v>
      </c>
      <c r="I48" s="1222">
        <v>251</v>
      </c>
      <c r="J48" s="1223">
        <v>246</v>
      </c>
      <c r="K48" s="1222">
        <v>255</v>
      </c>
      <c r="L48" s="1236">
        <v>288</v>
      </c>
      <c r="M48" s="1236">
        <v>250</v>
      </c>
      <c r="N48" s="1236">
        <v>277</v>
      </c>
      <c r="O48" s="1236">
        <v>261</v>
      </c>
      <c r="P48" s="1237">
        <v>229</v>
      </c>
      <c r="Q48" s="1237">
        <v>193</v>
      </c>
      <c r="R48" s="1510">
        <v>171</v>
      </c>
      <c r="S48" s="1511">
        <v>156</v>
      </c>
      <c r="T48" s="1858">
        <v>135</v>
      </c>
      <c r="U48" s="1858"/>
      <c r="V48" s="1244">
        <v>14928</v>
      </c>
      <c r="W48" s="1245">
        <v>15182</v>
      </c>
      <c r="X48" s="1245">
        <v>16294</v>
      </c>
      <c r="Y48" s="1245">
        <v>16692</v>
      </c>
      <c r="Z48" s="1245">
        <v>17018</v>
      </c>
      <c r="AA48" s="1245">
        <v>17379</v>
      </c>
      <c r="AB48" s="1245">
        <v>17843</v>
      </c>
      <c r="AC48" s="1245">
        <v>18146</v>
      </c>
      <c r="AD48" s="1245">
        <v>18174</v>
      </c>
      <c r="AE48" s="1245">
        <v>18477</v>
      </c>
      <c r="AF48" s="1245">
        <v>18441</v>
      </c>
      <c r="AG48" s="1245">
        <v>18333</v>
      </c>
      <c r="AH48" s="1245">
        <v>19484</v>
      </c>
      <c r="AI48" s="1245">
        <v>19490</v>
      </c>
      <c r="AJ48" s="1513">
        <v>19605</v>
      </c>
      <c r="AK48" s="1514">
        <v>19774</v>
      </c>
      <c r="AL48" s="1859">
        <v>19718</v>
      </c>
      <c r="AM48" s="1859"/>
      <c r="AN48" s="1270">
        <f t="shared" si="18"/>
        <v>18.622722400857448</v>
      </c>
      <c r="AO48" s="1271">
        <f t="shared" si="19"/>
        <v>19.694374917665655</v>
      </c>
      <c r="AP48" s="1271">
        <f t="shared" si="20"/>
        <v>17.675217871609181</v>
      </c>
      <c r="AQ48" s="1271">
        <f t="shared" si="21"/>
        <v>13.898873711957823</v>
      </c>
      <c r="AR48" s="1271">
        <f t="shared" si="22"/>
        <v>14.161476084146198</v>
      </c>
      <c r="AS48" s="1271">
        <f t="shared" si="23"/>
        <v>14.442718223142874</v>
      </c>
      <c r="AT48" s="1271">
        <f t="shared" si="24"/>
        <v>13.786919240038111</v>
      </c>
      <c r="AU48" s="1271">
        <f t="shared" si="25"/>
        <v>14.052683787060509</v>
      </c>
      <c r="AV48" s="1271">
        <f t="shared" si="26"/>
        <v>15.846814130075934</v>
      </c>
      <c r="AW48" s="1271">
        <f t="shared" si="27"/>
        <v>13.530335011094873</v>
      </c>
      <c r="AX48" s="1271">
        <f t="shared" si="28"/>
        <v>15.020877392766119</v>
      </c>
      <c r="AY48" s="1271">
        <f t="shared" si="29"/>
        <v>14.236622484045164</v>
      </c>
      <c r="AZ48" s="1271">
        <f t="shared" si="30"/>
        <v>11.753233422295216</v>
      </c>
      <c r="BA48" s="1271">
        <f t="shared" si="31"/>
        <v>9.9025141097998972</v>
      </c>
      <c r="BB48" s="1523">
        <f t="shared" si="32"/>
        <v>8.7222647283856158</v>
      </c>
      <c r="BC48" s="1525">
        <f t="shared" si="33"/>
        <v>7.8891473652270667</v>
      </c>
      <c r="BD48" s="1866">
        <f t="shared" si="34"/>
        <v>6.8465361598539403</v>
      </c>
    </row>
    <row r="49" spans="1:56" s="142" customFormat="1" ht="15.75" customHeight="1" x14ac:dyDescent="0.2">
      <c r="A49" s="149" t="s">
        <v>112</v>
      </c>
      <c r="B49" s="189" t="s">
        <v>300</v>
      </c>
      <c r="C49" s="150" t="s">
        <v>265</v>
      </c>
      <c r="D49" s="1221">
        <v>143</v>
      </c>
      <c r="E49" s="1222">
        <v>146</v>
      </c>
      <c r="F49" s="1223">
        <v>129</v>
      </c>
      <c r="G49" s="1222">
        <v>137</v>
      </c>
      <c r="H49" s="1223">
        <v>134</v>
      </c>
      <c r="I49" s="1222">
        <v>135</v>
      </c>
      <c r="J49" s="1223">
        <v>122</v>
      </c>
      <c r="K49" s="1222">
        <v>126</v>
      </c>
      <c r="L49" s="1236">
        <v>161</v>
      </c>
      <c r="M49" s="1236">
        <v>167</v>
      </c>
      <c r="N49" s="1236">
        <v>127</v>
      </c>
      <c r="O49" s="1236">
        <v>122</v>
      </c>
      <c r="P49" s="1237">
        <v>95</v>
      </c>
      <c r="Q49" s="1237">
        <v>82</v>
      </c>
      <c r="R49" s="1510">
        <v>71</v>
      </c>
      <c r="S49" s="1511">
        <v>70</v>
      </c>
      <c r="T49" s="1858">
        <v>64</v>
      </c>
      <c r="U49" s="1858"/>
      <c r="V49" s="1244">
        <v>4535</v>
      </c>
      <c r="W49" s="1245">
        <v>4514</v>
      </c>
      <c r="X49" s="1245">
        <v>4685</v>
      </c>
      <c r="Y49" s="1245">
        <v>4609</v>
      </c>
      <c r="Z49" s="1245">
        <v>4566</v>
      </c>
      <c r="AA49" s="1245">
        <v>4484</v>
      </c>
      <c r="AB49" s="1245">
        <v>4445</v>
      </c>
      <c r="AC49" s="1245">
        <v>4461</v>
      </c>
      <c r="AD49" s="1245">
        <v>4357</v>
      </c>
      <c r="AE49" s="1245">
        <v>4171</v>
      </c>
      <c r="AF49" s="1245">
        <v>4053</v>
      </c>
      <c r="AG49" s="1245">
        <v>3913</v>
      </c>
      <c r="AH49" s="1245">
        <v>3941</v>
      </c>
      <c r="AI49" s="1245">
        <v>3777</v>
      </c>
      <c r="AJ49" s="1513">
        <v>3765</v>
      </c>
      <c r="AK49" s="1514">
        <v>3706</v>
      </c>
      <c r="AL49" s="1859">
        <v>3645</v>
      </c>
      <c r="AM49" s="1859"/>
      <c r="AN49" s="1270">
        <f t="shared" si="18"/>
        <v>31.532524807056227</v>
      </c>
      <c r="AO49" s="1271">
        <f t="shared" si="19"/>
        <v>32.343819229065133</v>
      </c>
      <c r="AP49" s="1271">
        <f t="shared" si="20"/>
        <v>27.534685165421557</v>
      </c>
      <c r="AQ49" s="1271">
        <f t="shared" si="21"/>
        <v>29.724452158819698</v>
      </c>
      <c r="AR49" s="1271">
        <f t="shared" si="22"/>
        <v>29.347349978098993</v>
      </c>
      <c r="AS49" s="1271">
        <f t="shared" si="23"/>
        <v>30.107047279214985</v>
      </c>
      <c r="AT49" s="1271">
        <f t="shared" si="24"/>
        <v>27.446569178852645</v>
      </c>
      <c r="AU49" s="1271">
        <f t="shared" si="25"/>
        <v>28.244788164088771</v>
      </c>
      <c r="AV49" s="1271">
        <f t="shared" si="26"/>
        <v>36.952031214138167</v>
      </c>
      <c r="AW49" s="1271">
        <f t="shared" si="27"/>
        <v>40.038360105490291</v>
      </c>
      <c r="AX49" s="1271">
        <f t="shared" si="28"/>
        <v>31.334813718233406</v>
      </c>
      <c r="AY49" s="1271">
        <f t="shared" si="29"/>
        <v>31.178124201380015</v>
      </c>
      <c r="AZ49" s="1271">
        <f t="shared" si="30"/>
        <v>24.105556965237248</v>
      </c>
      <c r="BA49" s="1271">
        <f t="shared" si="31"/>
        <v>21.710352131321155</v>
      </c>
      <c r="BB49" s="1523">
        <f t="shared" si="32"/>
        <v>18.857901726427624</v>
      </c>
      <c r="BC49" s="1525">
        <f t="shared" si="33"/>
        <v>18.888289260658393</v>
      </c>
      <c r="BD49" s="1866">
        <f t="shared" si="34"/>
        <v>17.558299039780522</v>
      </c>
    </row>
    <row r="50" spans="1:56" s="142" customFormat="1" ht="15.75" customHeight="1" x14ac:dyDescent="0.2">
      <c r="A50" s="149" t="s">
        <v>114</v>
      </c>
      <c r="B50" s="189" t="s">
        <v>115</v>
      </c>
      <c r="C50" s="150" t="s">
        <v>265</v>
      </c>
      <c r="D50" s="1221">
        <v>0</v>
      </c>
      <c r="E50" s="1222">
        <v>0</v>
      </c>
      <c r="F50" s="1223">
        <v>0</v>
      </c>
      <c r="G50" s="1222">
        <v>0</v>
      </c>
      <c r="H50" s="1223">
        <v>1</v>
      </c>
      <c r="I50" s="1222">
        <v>0</v>
      </c>
      <c r="J50" s="1223">
        <v>1</v>
      </c>
      <c r="K50" s="1222">
        <v>1</v>
      </c>
      <c r="L50" s="1236">
        <v>0</v>
      </c>
      <c r="M50" s="1236">
        <v>0</v>
      </c>
      <c r="N50" s="1236">
        <v>2</v>
      </c>
      <c r="O50" s="1236">
        <v>0</v>
      </c>
      <c r="P50" s="1237">
        <v>0</v>
      </c>
      <c r="Q50" s="1237">
        <v>0</v>
      </c>
      <c r="R50" s="1510">
        <v>0</v>
      </c>
      <c r="S50" s="1511">
        <v>0</v>
      </c>
      <c r="T50" s="1858">
        <v>0</v>
      </c>
      <c r="U50" s="1858"/>
      <c r="V50" s="1244">
        <v>133</v>
      </c>
      <c r="W50" s="1245">
        <v>130</v>
      </c>
      <c r="X50" s="1245">
        <v>143</v>
      </c>
      <c r="Y50" s="1245">
        <v>150</v>
      </c>
      <c r="Z50" s="1245">
        <v>151</v>
      </c>
      <c r="AA50" s="1245">
        <v>157</v>
      </c>
      <c r="AB50" s="1245">
        <v>149</v>
      </c>
      <c r="AC50" s="1245">
        <v>138</v>
      </c>
      <c r="AD50" s="1245">
        <v>135</v>
      </c>
      <c r="AE50" s="1245">
        <v>122</v>
      </c>
      <c r="AF50" s="1245">
        <v>119</v>
      </c>
      <c r="AG50" s="1245">
        <v>129</v>
      </c>
      <c r="AH50" s="1245">
        <v>114</v>
      </c>
      <c r="AI50" s="1245">
        <v>108</v>
      </c>
      <c r="AJ50" s="1513">
        <v>99</v>
      </c>
      <c r="AK50" s="1514">
        <v>93</v>
      </c>
      <c r="AL50" s="1859">
        <v>93</v>
      </c>
      <c r="AM50" s="1859"/>
      <c r="AN50" s="1270">
        <f t="shared" si="18"/>
        <v>0</v>
      </c>
      <c r="AO50" s="1271">
        <f t="shared" si="19"/>
        <v>0</v>
      </c>
      <c r="AP50" s="1271">
        <f t="shared" si="20"/>
        <v>0</v>
      </c>
      <c r="AQ50" s="1271">
        <f t="shared" si="21"/>
        <v>0</v>
      </c>
      <c r="AR50" s="1271">
        <f t="shared" si="22"/>
        <v>6.6225165562913908</v>
      </c>
      <c r="AS50" s="1271">
        <f t="shared" si="23"/>
        <v>0</v>
      </c>
      <c r="AT50" s="1271">
        <f t="shared" si="24"/>
        <v>6.7114093959731544</v>
      </c>
      <c r="AU50" s="1271">
        <f t="shared" si="25"/>
        <v>7.2463768115942031</v>
      </c>
      <c r="AV50" s="1271">
        <f t="shared" si="26"/>
        <v>0</v>
      </c>
      <c r="AW50" s="1271">
        <f t="shared" si="27"/>
        <v>0</v>
      </c>
      <c r="AX50" s="1271">
        <f t="shared" si="28"/>
        <v>16.806722689075631</v>
      </c>
      <c r="AY50" s="1271">
        <f t="shared" si="29"/>
        <v>0</v>
      </c>
      <c r="AZ50" s="1271">
        <f t="shared" si="30"/>
        <v>0</v>
      </c>
      <c r="BA50" s="1271">
        <f t="shared" si="31"/>
        <v>0</v>
      </c>
      <c r="BB50" s="1523">
        <f t="shared" si="32"/>
        <v>0</v>
      </c>
      <c r="BC50" s="1525">
        <f t="shared" si="33"/>
        <v>0</v>
      </c>
      <c r="BD50" s="1866">
        <f t="shared" si="34"/>
        <v>0</v>
      </c>
    </row>
    <row r="51" spans="1:56" s="142" customFormat="1" ht="15.75" customHeight="1" x14ac:dyDescent="0.2">
      <c r="A51" s="149" t="s">
        <v>118</v>
      </c>
      <c r="B51" s="189" t="s">
        <v>270</v>
      </c>
      <c r="C51" s="150" t="s">
        <v>264</v>
      </c>
      <c r="D51" s="1221">
        <v>39</v>
      </c>
      <c r="E51" s="1222">
        <v>43</v>
      </c>
      <c r="F51" s="1223">
        <v>35</v>
      </c>
      <c r="G51" s="1222">
        <v>31</v>
      </c>
      <c r="H51" s="1223">
        <v>44</v>
      </c>
      <c r="I51" s="1222">
        <v>40</v>
      </c>
      <c r="J51" s="1223">
        <v>34</v>
      </c>
      <c r="K51" s="1222">
        <v>40</v>
      </c>
      <c r="L51" s="1236">
        <v>33</v>
      </c>
      <c r="M51" s="1236">
        <v>26</v>
      </c>
      <c r="N51" s="1236">
        <v>24</v>
      </c>
      <c r="O51" s="1236">
        <v>32</v>
      </c>
      <c r="P51" s="1237">
        <v>25</v>
      </c>
      <c r="Q51" s="1237">
        <v>19</v>
      </c>
      <c r="R51" s="1510">
        <v>12</v>
      </c>
      <c r="S51" s="1511">
        <v>14</v>
      </c>
      <c r="T51" s="1858">
        <v>13</v>
      </c>
      <c r="U51" s="1858"/>
      <c r="V51" s="1244">
        <v>1977</v>
      </c>
      <c r="W51" s="1245">
        <v>2019</v>
      </c>
      <c r="X51" s="1245">
        <v>1978</v>
      </c>
      <c r="Y51" s="1245">
        <v>2030</v>
      </c>
      <c r="Z51" s="1245">
        <v>2088</v>
      </c>
      <c r="AA51" s="1245">
        <v>2152</v>
      </c>
      <c r="AB51" s="1245">
        <v>2176</v>
      </c>
      <c r="AC51" s="1245">
        <v>2177</v>
      </c>
      <c r="AD51" s="1245">
        <v>2183</v>
      </c>
      <c r="AE51" s="1245">
        <v>2180</v>
      </c>
      <c r="AF51" s="1245">
        <v>2162</v>
      </c>
      <c r="AG51" s="1245">
        <v>2336</v>
      </c>
      <c r="AH51" s="1245">
        <v>2303</v>
      </c>
      <c r="AI51" s="1245">
        <v>2240</v>
      </c>
      <c r="AJ51" s="1513">
        <v>2216</v>
      </c>
      <c r="AK51" s="1514">
        <v>2194</v>
      </c>
      <c r="AL51" s="1859">
        <v>2249</v>
      </c>
      <c r="AM51" s="1859"/>
      <c r="AN51" s="1270">
        <f t="shared" si="18"/>
        <v>19.726858877086492</v>
      </c>
      <c r="AO51" s="1271">
        <f t="shared" si="19"/>
        <v>21.297672114908369</v>
      </c>
      <c r="AP51" s="1271">
        <f t="shared" si="20"/>
        <v>17.694641051567242</v>
      </c>
      <c r="AQ51" s="1271">
        <f t="shared" si="21"/>
        <v>15.270935960591133</v>
      </c>
      <c r="AR51" s="1271">
        <f t="shared" si="22"/>
        <v>21.072796934865902</v>
      </c>
      <c r="AS51" s="1271">
        <f t="shared" si="23"/>
        <v>18.587360594795541</v>
      </c>
      <c r="AT51" s="1271">
        <f t="shared" si="24"/>
        <v>15.625</v>
      </c>
      <c r="AU51" s="1271">
        <f t="shared" si="25"/>
        <v>18.373909049150207</v>
      </c>
      <c r="AV51" s="1271">
        <f t="shared" si="26"/>
        <v>15.116811726981219</v>
      </c>
      <c r="AW51" s="1271">
        <f t="shared" si="27"/>
        <v>11.926605504587156</v>
      </c>
      <c r="AX51" s="1271">
        <f t="shared" si="28"/>
        <v>11.100832562442182</v>
      </c>
      <c r="AY51" s="1271">
        <f t="shared" si="29"/>
        <v>13.698630136986301</v>
      </c>
      <c r="AZ51" s="1271">
        <f t="shared" si="30"/>
        <v>10.855405992184108</v>
      </c>
      <c r="BA51" s="1271">
        <f t="shared" si="31"/>
        <v>8.4821428571428559</v>
      </c>
      <c r="BB51" s="1523">
        <f t="shared" si="32"/>
        <v>5.4151624548736459</v>
      </c>
      <c r="BC51" s="1525">
        <f t="shared" si="33"/>
        <v>6.381039197812215</v>
      </c>
      <c r="BD51" s="1866">
        <f t="shared" si="34"/>
        <v>5.7803468208092479</v>
      </c>
    </row>
    <row r="52" spans="1:56" s="142" customFormat="1" ht="15.75" customHeight="1" x14ac:dyDescent="0.2">
      <c r="A52" s="149" t="s">
        <v>120</v>
      </c>
      <c r="B52" s="189" t="s">
        <v>121</v>
      </c>
      <c r="C52" s="150" t="s">
        <v>264</v>
      </c>
      <c r="D52" s="1221">
        <v>36</v>
      </c>
      <c r="E52" s="1222">
        <v>50</v>
      </c>
      <c r="F52" s="1223">
        <v>44</v>
      </c>
      <c r="G52" s="1222">
        <v>36</v>
      </c>
      <c r="H52" s="1223">
        <v>37</v>
      </c>
      <c r="I52" s="1222">
        <v>31</v>
      </c>
      <c r="J52" s="1223">
        <v>36</v>
      </c>
      <c r="K52" s="1222">
        <v>45</v>
      </c>
      <c r="L52" s="1236">
        <v>48</v>
      </c>
      <c r="M52" s="1236">
        <v>37</v>
      </c>
      <c r="N52" s="1236">
        <v>42</v>
      </c>
      <c r="O52" s="1236">
        <v>43</v>
      </c>
      <c r="P52" s="1237">
        <v>49</v>
      </c>
      <c r="Q52" s="1237">
        <v>41</v>
      </c>
      <c r="R52" s="1510">
        <v>36</v>
      </c>
      <c r="S52" s="1511">
        <v>33</v>
      </c>
      <c r="T52" s="1858">
        <v>25</v>
      </c>
      <c r="U52" s="1858"/>
      <c r="V52" s="1244">
        <v>2769</v>
      </c>
      <c r="W52" s="1245">
        <v>2829</v>
      </c>
      <c r="X52" s="1245">
        <v>3000</v>
      </c>
      <c r="Y52" s="1245">
        <v>3181</v>
      </c>
      <c r="Z52" s="1245">
        <v>3293</v>
      </c>
      <c r="AA52" s="1245">
        <v>3365</v>
      </c>
      <c r="AB52" s="1245">
        <v>3483</v>
      </c>
      <c r="AC52" s="1245">
        <v>3470</v>
      </c>
      <c r="AD52" s="1245">
        <v>3452</v>
      </c>
      <c r="AE52" s="1245">
        <v>3519</v>
      </c>
      <c r="AF52" s="1245">
        <v>3505</v>
      </c>
      <c r="AG52" s="1245">
        <v>3940</v>
      </c>
      <c r="AH52" s="1245">
        <v>4025</v>
      </c>
      <c r="AI52" s="1245">
        <v>4099</v>
      </c>
      <c r="AJ52" s="1513">
        <v>4102</v>
      </c>
      <c r="AK52" s="1514">
        <v>4220</v>
      </c>
      <c r="AL52" s="1859">
        <v>4345</v>
      </c>
      <c r="AM52" s="1859"/>
      <c r="AN52" s="1270">
        <f t="shared" si="18"/>
        <v>13.001083423618635</v>
      </c>
      <c r="AO52" s="1271">
        <f t="shared" si="19"/>
        <v>17.674089784376108</v>
      </c>
      <c r="AP52" s="1271">
        <f t="shared" si="20"/>
        <v>14.666666666666666</v>
      </c>
      <c r="AQ52" s="1271">
        <f t="shared" si="21"/>
        <v>11.317195850361522</v>
      </c>
      <c r="AR52" s="1271">
        <f t="shared" si="22"/>
        <v>11.235955056179774</v>
      </c>
      <c r="AS52" s="1271">
        <f t="shared" si="23"/>
        <v>9.212481426448738</v>
      </c>
      <c r="AT52" s="1271">
        <f t="shared" si="24"/>
        <v>10.335917312661499</v>
      </c>
      <c r="AU52" s="1271">
        <f t="shared" si="25"/>
        <v>12.968299711815563</v>
      </c>
      <c r="AV52" s="1271">
        <f t="shared" si="26"/>
        <v>13.904982618771726</v>
      </c>
      <c r="AW52" s="1271">
        <f t="shared" si="27"/>
        <v>10.514350667803352</v>
      </c>
      <c r="AX52" s="1271">
        <f t="shared" si="28"/>
        <v>11.982881597717546</v>
      </c>
      <c r="AY52" s="1271">
        <f t="shared" si="29"/>
        <v>10.913705583756345</v>
      </c>
      <c r="AZ52" s="1271">
        <f t="shared" si="30"/>
        <v>12.17391304347826</v>
      </c>
      <c r="BA52" s="1271">
        <f t="shared" si="31"/>
        <v>10.00243961941937</v>
      </c>
      <c r="BB52" s="1523">
        <f t="shared" si="32"/>
        <v>8.7762067284251586</v>
      </c>
      <c r="BC52" s="1525">
        <f t="shared" si="33"/>
        <v>7.8199052132701414</v>
      </c>
      <c r="BD52" s="1866">
        <f t="shared" si="34"/>
        <v>5.7537399309551214</v>
      </c>
    </row>
    <row r="53" spans="1:56" s="142" customFormat="1" ht="15.75" customHeight="1" x14ac:dyDescent="0.2">
      <c r="A53" s="149" t="s">
        <v>122</v>
      </c>
      <c r="B53" s="189" t="s">
        <v>271</v>
      </c>
      <c r="C53" s="150" t="s">
        <v>266</v>
      </c>
      <c r="D53" s="1221">
        <v>9</v>
      </c>
      <c r="E53" s="1222">
        <v>6</v>
      </c>
      <c r="F53" s="1223">
        <v>12</v>
      </c>
      <c r="G53" s="1222">
        <v>1</v>
      </c>
      <c r="H53" s="1223">
        <v>8</v>
      </c>
      <c r="I53" s="1222">
        <v>8</v>
      </c>
      <c r="J53" s="1223">
        <v>9</v>
      </c>
      <c r="K53" s="1222">
        <v>10</v>
      </c>
      <c r="L53" s="1236">
        <v>15</v>
      </c>
      <c r="M53" s="1236">
        <v>7</v>
      </c>
      <c r="N53" s="1236">
        <v>13</v>
      </c>
      <c r="O53" s="1236">
        <v>4</v>
      </c>
      <c r="P53" s="1237">
        <v>8</v>
      </c>
      <c r="Q53" s="1237">
        <v>7</v>
      </c>
      <c r="R53" s="1510">
        <v>7</v>
      </c>
      <c r="S53" s="1511">
        <v>7</v>
      </c>
      <c r="T53" s="1858">
        <v>4</v>
      </c>
      <c r="U53" s="1858"/>
      <c r="V53" s="1244">
        <v>408</v>
      </c>
      <c r="W53" s="1245">
        <v>405</v>
      </c>
      <c r="X53" s="1245">
        <v>411</v>
      </c>
      <c r="Y53" s="1245">
        <v>405</v>
      </c>
      <c r="Z53" s="1245">
        <v>401</v>
      </c>
      <c r="AA53" s="1245">
        <v>405</v>
      </c>
      <c r="AB53" s="1245">
        <v>404</v>
      </c>
      <c r="AC53" s="1245">
        <v>392</v>
      </c>
      <c r="AD53" s="1245">
        <v>393</v>
      </c>
      <c r="AE53" s="1245">
        <v>364</v>
      </c>
      <c r="AF53" s="1245">
        <v>355</v>
      </c>
      <c r="AG53" s="1245">
        <v>372</v>
      </c>
      <c r="AH53" s="1245">
        <v>388</v>
      </c>
      <c r="AI53" s="1245">
        <v>367</v>
      </c>
      <c r="AJ53" s="1513">
        <v>366</v>
      </c>
      <c r="AK53" s="1514">
        <v>386</v>
      </c>
      <c r="AL53" s="1859">
        <v>391</v>
      </c>
      <c r="AM53" s="1859"/>
      <c r="AN53" s="1270">
        <f t="shared" si="18"/>
        <v>22.058823529411764</v>
      </c>
      <c r="AO53" s="1271">
        <f t="shared" si="19"/>
        <v>14.814814814814815</v>
      </c>
      <c r="AP53" s="1271">
        <f t="shared" si="20"/>
        <v>29.197080291970803</v>
      </c>
      <c r="AQ53" s="1271">
        <f t="shared" si="21"/>
        <v>2.4691358024691357</v>
      </c>
      <c r="AR53" s="1271">
        <f t="shared" si="22"/>
        <v>19.950124688279303</v>
      </c>
      <c r="AS53" s="1271">
        <f t="shared" si="23"/>
        <v>19.753086419753085</v>
      </c>
      <c r="AT53" s="1271">
        <f t="shared" si="24"/>
        <v>22.277227722772277</v>
      </c>
      <c r="AU53" s="1271">
        <f t="shared" si="25"/>
        <v>25.510204081632654</v>
      </c>
      <c r="AV53" s="1271">
        <f t="shared" si="26"/>
        <v>38.167938931297712</v>
      </c>
      <c r="AW53" s="1271">
        <f t="shared" si="27"/>
        <v>19.230769230769234</v>
      </c>
      <c r="AX53" s="1271">
        <f t="shared" si="28"/>
        <v>36.619718309859152</v>
      </c>
      <c r="AY53" s="1271">
        <f t="shared" si="29"/>
        <v>10.752688172043012</v>
      </c>
      <c r="AZ53" s="1271">
        <f t="shared" si="30"/>
        <v>20.618556701030929</v>
      </c>
      <c r="BA53" s="1271">
        <f t="shared" si="31"/>
        <v>19.073569482288828</v>
      </c>
      <c r="BB53" s="1523">
        <f t="shared" si="32"/>
        <v>19.125683060109289</v>
      </c>
      <c r="BC53" s="1525">
        <f t="shared" si="33"/>
        <v>18.134715025906733</v>
      </c>
      <c r="BD53" s="1866">
        <f t="shared" si="34"/>
        <v>10.230179028132993</v>
      </c>
    </row>
    <row r="54" spans="1:56" s="142" customFormat="1" ht="15.75" customHeight="1" x14ac:dyDescent="0.2">
      <c r="A54" s="149" t="s">
        <v>124</v>
      </c>
      <c r="B54" s="189" t="s">
        <v>125</v>
      </c>
      <c r="C54" s="150" t="s">
        <v>267</v>
      </c>
      <c r="D54" s="1221">
        <v>25</v>
      </c>
      <c r="E54" s="1222">
        <v>25</v>
      </c>
      <c r="F54" s="1223">
        <v>26</v>
      </c>
      <c r="G54" s="1222">
        <v>27</v>
      </c>
      <c r="H54" s="1223">
        <v>29</v>
      </c>
      <c r="I54" s="1222">
        <v>35</v>
      </c>
      <c r="J54" s="1223">
        <v>29</v>
      </c>
      <c r="K54" s="1222">
        <v>26</v>
      </c>
      <c r="L54" s="1236">
        <v>20</v>
      </c>
      <c r="M54" s="1236">
        <v>24</v>
      </c>
      <c r="N54" s="1236">
        <v>38</v>
      </c>
      <c r="O54" s="1236">
        <v>20</v>
      </c>
      <c r="P54" s="1237">
        <v>18</v>
      </c>
      <c r="Q54" s="1237">
        <v>23</v>
      </c>
      <c r="R54" s="1510">
        <v>28</v>
      </c>
      <c r="S54" s="1511">
        <v>14</v>
      </c>
      <c r="T54" s="1858">
        <v>14</v>
      </c>
      <c r="U54" s="1858"/>
      <c r="V54" s="1244">
        <v>1213</v>
      </c>
      <c r="W54" s="1245">
        <v>1245</v>
      </c>
      <c r="X54" s="1245">
        <v>1181</v>
      </c>
      <c r="Y54" s="1245">
        <v>1228</v>
      </c>
      <c r="Z54" s="1245">
        <v>1241</v>
      </c>
      <c r="AA54" s="1245">
        <v>1277</v>
      </c>
      <c r="AB54" s="1245">
        <v>1354</v>
      </c>
      <c r="AC54" s="1245">
        <v>1400</v>
      </c>
      <c r="AD54" s="1245">
        <v>1446</v>
      </c>
      <c r="AE54" s="1245">
        <v>1517</v>
      </c>
      <c r="AF54" s="1245">
        <v>1526</v>
      </c>
      <c r="AG54" s="1245">
        <v>1679</v>
      </c>
      <c r="AH54" s="1245">
        <v>1660</v>
      </c>
      <c r="AI54" s="1245">
        <v>1718</v>
      </c>
      <c r="AJ54" s="1513">
        <v>1687</v>
      </c>
      <c r="AK54" s="1514">
        <v>1716</v>
      </c>
      <c r="AL54" s="1859">
        <v>1736</v>
      </c>
      <c r="AM54" s="1859"/>
      <c r="AN54" s="1270">
        <f t="shared" si="18"/>
        <v>20.610057708161584</v>
      </c>
      <c r="AO54" s="1271">
        <f t="shared" si="19"/>
        <v>20.080321285140563</v>
      </c>
      <c r="AP54" s="1271">
        <f t="shared" si="20"/>
        <v>22.01524132091448</v>
      </c>
      <c r="AQ54" s="1271">
        <f t="shared" si="21"/>
        <v>21.986970684039086</v>
      </c>
      <c r="AR54" s="1271">
        <f t="shared" si="22"/>
        <v>23.368251410153103</v>
      </c>
      <c r="AS54" s="1271">
        <f t="shared" si="23"/>
        <v>27.4079874706343</v>
      </c>
      <c r="AT54" s="1271">
        <f t="shared" si="24"/>
        <v>21.418020679468242</v>
      </c>
      <c r="AU54" s="1271">
        <f t="shared" si="25"/>
        <v>18.571428571428573</v>
      </c>
      <c r="AV54" s="1271">
        <f t="shared" si="26"/>
        <v>13.831258644536652</v>
      </c>
      <c r="AW54" s="1271">
        <f t="shared" si="27"/>
        <v>15.820698747528017</v>
      </c>
      <c r="AX54" s="1271">
        <f t="shared" si="28"/>
        <v>24.901703800786368</v>
      </c>
      <c r="AY54" s="1271">
        <f t="shared" si="29"/>
        <v>11.911852293031567</v>
      </c>
      <c r="AZ54" s="1271">
        <f t="shared" si="30"/>
        <v>10.843373493975903</v>
      </c>
      <c r="BA54" s="1271">
        <f t="shared" si="31"/>
        <v>13.387660069848661</v>
      </c>
      <c r="BB54" s="1523">
        <f t="shared" si="32"/>
        <v>16.597510373443985</v>
      </c>
      <c r="BC54" s="1525">
        <f t="shared" si="33"/>
        <v>8.1585081585081589</v>
      </c>
      <c r="BD54" s="1866">
        <f t="shared" si="34"/>
        <v>8.064516129032258</v>
      </c>
    </row>
    <row r="55" spans="1:56" s="142" customFormat="1" ht="15.75" customHeight="1" x14ac:dyDescent="0.2">
      <c r="A55" s="149" t="s">
        <v>126</v>
      </c>
      <c r="B55" s="189" t="s">
        <v>127</v>
      </c>
      <c r="C55" s="150" t="s">
        <v>266</v>
      </c>
      <c r="D55" s="1221">
        <v>17</v>
      </c>
      <c r="E55" s="1222">
        <v>18</v>
      </c>
      <c r="F55" s="1223">
        <v>30</v>
      </c>
      <c r="G55" s="1222">
        <v>11</v>
      </c>
      <c r="H55" s="1223">
        <v>18</v>
      </c>
      <c r="I55" s="1222">
        <v>15</v>
      </c>
      <c r="J55" s="1223">
        <v>17</v>
      </c>
      <c r="K55" s="1222">
        <v>12</v>
      </c>
      <c r="L55" s="1236">
        <v>10</v>
      </c>
      <c r="M55" s="1236">
        <v>14</v>
      </c>
      <c r="N55" s="1236">
        <v>13</v>
      </c>
      <c r="O55" s="1236">
        <v>23</v>
      </c>
      <c r="P55" s="1237">
        <v>17</v>
      </c>
      <c r="Q55" s="1237">
        <v>13</v>
      </c>
      <c r="R55" s="1510">
        <v>7</v>
      </c>
      <c r="S55" s="1511">
        <v>10</v>
      </c>
      <c r="T55" s="1858">
        <v>6</v>
      </c>
      <c r="U55" s="1858"/>
      <c r="V55" s="1244">
        <v>882</v>
      </c>
      <c r="W55" s="1245">
        <v>898</v>
      </c>
      <c r="X55" s="1245">
        <v>895</v>
      </c>
      <c r="Y55" s="1245">
        <v>914</v>
      </c>
      <c r="Z55" s="1245">
        <v>934</v>
      </c>
      <c r="AA55" s="1245">
        <v>944</v>
      </c>
      <c r="AB55" s="1245">
        <v>943</v>
      </c>
      <c r="AC55" s="1245">
        <v>961</v>
      </c>
      <c r="AD55" s="1245">
        <v>962</v>
      </c>
      <c r="AE55" s="1245">
        <v>981</v>
      </c>
      <c r="AF55" s="1245">
        <v>974</v>
      </c>
      <c r="AG55" s="1245">
        <v>1081</v>
      </c>
      <c r="AH55" s="1245">
        <v>1069</v>
      </c>
      <c r="AI55" s="1245">
        <v>1075</v>
      </c>
      <c r="AJ55" s="1513">
        <v>1032</v>
      </c>
      <c r="AK55" s="1514">
        <v>1020</v>
      </c>
      <c r="AL55" s="1859">
        <v>1014</v>
      </c>
      <c r="AM55" s="1859"/>
      <c r="AN55" s="1270">
        <f t="shared" si="18"/>
        <v>19.274376417233558</v>
      </c>
      <c r="AO55" s="1271">
        <f t="shared" si="19"/>
        <v>20.044543429844101</v>
      </c>
      <c r="AP55" s="1271">
        <f t="shared" si="20"/>
        <v>33.519553072625698</v>
      </c>
      <c r="AQ55" s="1271">
        <f t="shared" si="21"/>
        <v>12.035010940919038</v>
      </c>
      <c r="AR55" s="1271">
        <f t="shared" si="22"/>
        <v>19.271948608137045</v>
      </c>
      <c r="AS55" s="1271">
        <f t="shared" si="23"/>
        <v>15.889830508474576</v>
      </c>
      <c r="AT55" s="1271">
        <f t="shared" si="24"/>
        <v>18.027571580063629</v>
      </c>
      <c r="AU55" s="1271">
        <f t="shared" si="25"/>
        <v>12.486992715920914</v>
      </c>
      <c r="AV55" s="1271">
        <f t="shared" si="26"/>
        <v>10.395010395010395</v>
      </c>
      <c r="AW55" s="1271">
        <f t="shared" si="27"/>
        <v>14.271151885830784</v>
      </c>
      <c r="AX55" s="1271">
        <f t="shared" si="28"/>
        <v>13.347022587268993</v>
      </c>
      <c r="AY55" s="1271">
        <f t="shared" si="29"/>
        <v>21.276595744680851</v>
      </c>
      <c r="AZ55" s="1271">
        <f t="shared" si="30"/>
        <v>15.902712815715622</v>
      </c>
      <c r="BA55" s="1271">
        <f t="shared" si="31"/>
        <v>12.093023255813954</v>
      </c>
      <c r="BB55" s="1523">
        <f t="shared" si="32"/>
        <v>6.7829457364341081</v>
      </c>
      <c r="BC55" s="1525">
        <f t="shared" si="33"/>
        <v>9.8039215686274517</v>
      </c>
      <c r="BD55" s="1866">
        <f t="shared" si="34"/>
        <v>5.9171597633136095</v>
      </c>
    </row>
    <row r="56" spans="1:56" s="142" customFormat="1" ht="15.75" customHeight="1" x14ac:dyDescent="0.2">
      <c r="A56" s="149" t="s">
        <v>128</v>
      </c>
      <c r="B56" s="189" t="s">
        <v>129</v>
      </c>
      <c r="C56" s="150" t="s">
        <v>266</v>
      </c>
      <c r="D56" s="1221">
        <v>22</v>
      </c>
      <c r="E56" s="1222">
        <v>19</v>
      </c>
      <c r="F56" s="1223">
        <v>23</v>
      </c>
      <c r="G56" s="1222">
        <v>25</v>
      </c>
      <c r="H56" s="1223">
        <v>20</v>
      </c>
      <c r="I56" s="1222">
        <v>12</v>
      </c>
      <c r="J56" s="1223">
        <v>16</v>
      </c>
      <c r="K56" s="1222">
        <v>13</v>
      </c>
      <c r="L56" s="1236">
        <v>11</v>
      </c>
      <c r="M56" s="1236">
        <v>12</v>
      </c>
      <c r="N56" s="1236">
        <v>9</v>
      </c>
      <c r="O56" s="1236">
        <v>9</v>
      </c>
      <c r="P56" s="1237">
        <v>9</v>
      </c>
      <c r="Q56" s="1237">
        <v>12</v>
      </c>
      <c r="R56" s="1510">
        <v>4</v>
      </c>
      <c r="S56" s="1511">
        <v>8</v>
      </c>
      <c r="T56" s="1858">
        <v>5</v>
      </c>
      <c r="U56" s="1858"/>
      <c r="V56" s="1244">
        <v>651</v>
      </c>
      <c r="W56" s="1245">
        <v>656</v>
      </c>
      <c r="X56" s="1245">
        <v>639</v>
      </c>
      <c r="Y56" s="1245">
        <v>651</v>
      </c>
      <c r="Z56" s="1245">
        <v>638</v>
      </c>
      <c r="AA56" s="1245">
        <v>627</v>
      </c>
      <c r="AB56" s="1245">
        <v>598</v>
      </c>
      <c r="AC56" s="1245">
        <v>557</v>
      </c>
      <c r="AD56" s="1245">
        <v>532</v>
      </c>
      <c r="AE56" s="1245">
        <v>531</v>
      </c>
      <c r="AF56" s="1245">
        <v>512</v>
      </c>
      <c r="AG56" s="1245">
        <v>494</v>
      </c>
      <c r="AH56" s="1245">
        <v>510</v>
      </c>
      <c r="AI56" s="1245">
        <v>505</v>
      </c>
      <c r="AJ56" s="1513">
        <v>480</v>
      </c>
      <c r="AK56" s="1514">
        <v>474</v>
      </c>
      <c r="AL56" s="1859">
        <v>471</v>
      </c>
      <c r="AM56" s="1859"/>
      <c r="AN56" s="1270">
        <f t="shared" si="18"/>
        <v>33.794162826420894</v>
      </c>
      <c r="AO56" s="1271">
        <f t="shared" si="19"/>
        <v>28.963414634146343</v>
      </c>
      <c r="AP56" s="1271">
        <f t="shared" si="20"/>
        <v>35.993740219092331</v>
      </c>
      <c r="AQ56" s="1271">
        <f t="shared" si="21"/>
        <v>38.402457757296467</v>
      </c>
      <c r="AR56" s="1271">
        <f t="shared" si="22"/>
        <v>31.347962382445139</v>
      </c>
      <c r="AS56" s="1271">
        <f t="shared" si="23"/>
        <v>19.138755980861244</v>
      </c>
      <c r="AT56" s="1271">
        <f t="shared" si="24"/>
        <v>26.755852842809364</v>
      </c>
      <c r="AU56" s="1271">
        <f t="shared" si="25"/>
        <v>23.339317773788149</v>
      </c>
      <c r="AV56" s="1271">
        <f t="shared" si="26"/>
        <v>20.676691729323306</v>
      </c>
      <c r="AW56" s="1271">
        <f t="shared" si="27"/>
        <v>22.598870056497177</v>
      </c>
      <c r="AX56" s="1271">
        <f t="shared" si="28"/>
        <v>17.578125</v>
      </c>
      <c r="AY56" s="1271">
        <f t="shared" si="29"/>
        <v>18.218623481781375</v>
      </c>
      <c r="AZ56" s="1271">
        <f t="shared" si="30"/>
        <v>17.647058823529413</v>
      </c>
      <c r="BA56" s="1271">
        <f t="shared" si="31"/>
        <v>23.762376237623762</v>
      </c>
      <c r="BB56" s="1523">
        <f t="shared" si="32"/>
        <v>8.3333333333333339</v>
      </c>
      <c r="BC56" s="1525">
        <f t="shared" si="33"/>
        <v>16.877637130801688</v>
      </c>
      <c r="BD56" s="1866">
        <f t="shared" si="34"/>
        <v>10.615711252653927</v>
      </c>
    </row>
    <row r="57" spans="1:56" s="142" customFormat="1" ht="15.75" customHeight="1" x14ac:dyDescent="0.2">
      <c r="A57" s="149" t="s">
        <v>130</v>
      </c>
      <c r="B57" s="189" t="s">
        <v>131</v>
      </c>
      <c r="C57" s="150" t="s">
        <v>268</v>
      </c>
      <c r="D57" s="1221">
        <v>52</v>
      </c>
      <c r="E57" s="1222">
        <v>41</v>
      </c>
      <c r="F57" s="1223">
        <v>37</v>
      </c>
      <c r="G57" s="1222">
        <v>28</v>
      </c>
      <c r="H57" s="1223">
        <v>31</v>
      </c>
      <c r="I57" s="1222">
        <v>33</v>
      </c>
      <c r="J57" s="1223">
        <v>38</v>
      </c>
      <c r="K57" s="1222">
        <v>37</v>
      </c>
      <c r="L57" s="1236">
        <v>40</v>
      </c>
      <c r="M57" s="1236">
        <v>50</v>
      </c>
      <c r="N57" s="1236">
        <v>37</v>
      </c>
      <c r="O57" s="1236">
        <v>40</v>
      </c>
      <c r="P57" s="1237">
        <v>42</v>
      </c>
      <c r="Q57" s="1237">
        <v>38</v>
      </c>
      <c r="R57" s="1510">
        <v>42</v>
      </c>
      <c r="S57" s="1511">
        <v>25</v>
      </c>
      <c r="T57" s="1858">
        <v>26</v>
      </c>
      <c r="U57" s="1858"/>
      <c r="V57" s="1244">
        <v>1639</v>
      </c>
      <c r="W57" s="1245">
        <v>1597</v>
      </c>
      <c r="X57" s="1245">
        <v>1533</v>
      </c>
      <c r="Y57" s="1245">
        <v>1505</v>
      </c>
      <c r="Z57" s="1245">
        <v>1496</v>
      </c>
      <c r="AA57" s="1245">
        <v>1501</v>
      </c>
      <c r="AB57" s="1245">
        <v>1494</v>
      </c>
      <c r="AC57" s="1245">
        <v>1487</v>
      </c>
      <c r="AD57" s="1245">
        <v>1427</v>
      </c>
      <c r="AE57" s="1245">
        <v>1382</v>
      </c>
      <c r="AF57" s="1245">
        <v>1342</v>
      </c>
      <c r="AG57" s="1245">
        <v>1427</v>
      </c>
      <c r="AH57" s="1245">
        <v>1452</v>
      </c>
      <c r="AI57" s="1245">
        <v>1382</v>
      </c>
      <c r="AJ57" s="1513">
        <v>1350</v>
      </c>
      <c r="AK57" s="1514">
        <v>1280</v>
      </c>
      <c r="AL57" s="1859">
        <v>1272</v>
      </c>
      <c r="AM57" s="1859"/>
      <c r="AN57" s="1270">
        <f t="shared" si="18"/>
        <v>31.726662599145818</v>
      </c>
      <c r="AO57" s="1271">
        <f t="shared" si="19"/>
        <v>25.673137132122733</v>
      </c>
      <c r="AP57" s="1271">
        <f t="shared" si="20"/>
        <v>24.135681669928243</v>
      </c>
      <c r="AQ57" s="1271">
        <f t="shared" si="21"/>
        <v>18.604651162790699</v>
      </c>
      <c r="AR57" s="1271">
        <f t="shared" si="22"/>
        <v>20.72192513368984</v>
      </c>
      <c r="AS57" s="1271">
        <f t="shared" si="23"/>
        <v>21.985343104596936</v>
      </c>
      <c r="AT57" s="1271">
        <f t="shared" si="24"/>
        <v>25.435073627844712</v>
      </c>
      <c r="AU57" s="1271">
        <f t="shared" si="25"/>
        <v>24.882313382649631</v>
      </c>
      <c r="AV57" s="1271">
        <f t="shared" si="26"/>
        <v>28.030833917309039</v>
      </c>
      <c r="AW57" s="1271">
        <f t="shared" si="27"/>
        <v>36.179450072358897</v>
      </c>
      <c r="AX57" s="1271">
        <f t="shared" si="28"/>
        <v>27.570789865871834</v>
      </c>
      <c r="AY57" s="1271">
        <f t="shared" si="29"/>
        <v>28.030833917309039</v>
      </c>
      <c r="AZ57" s="1271">
        <f t="shared" si="30"/>
        <v>28.925619834710744</v>
      </c>
      <c r="BA57" s="1271">
        <f t="shared" si="31"/>
        <v>27.496382054992765</v>
      </c>
      <c r="BB57" s="1523">
        <f t="shared" si="32"/>
        <v>31.111111111111111</v>
      </c>
      <c r="BC57" s="1525">
        <f t="shared" si="33"/>
        <v>19.53125</v>
      </c>
      <c r="BD57" s="1866">
        <f t="shared" si="34"/>
        <v>20.440251572327043</v>
      </c>
    </row>
    <row r="58" spans="1:56" s="142" customFormat="1" ht="15.75" customHeight="1" x14ac:dyDescent="0.2">
      <c r="A58" s="149" t="s">
        <v>132</v>
      </c>
      <c r="B58" s="189" t="s">
        <v>133</v>
      </c>
      <c r="C58" s="150" t="s">
        <v>267</v>
      </c>
      <c r="D58" s="1221">
        <v>91</v>
      </c>
      <c r="E58" s="1222">
        <v>107</v>
      </c>
      <c r="F58" s="1223">
        <v>105</v>
      </c>
      <c r="G58" s="1222">
        <v>93</v>
      </c>
      <c r="H58" s="1223">
        <v>103</v>
      </c>
      <c r="I58" s="1222">
        <v>88</v>
      </c>
      <c r="J58" s="1223">
        <v>120</v>
      </c>
      <c r="K58" s="1222">
        <v>117</v>
      </c>
      <c r="L58" s="1236">
        <v>125</v>
      </c>
      <c r="M58" s="1236">
        <v>146</v>
      </c>
      <c r="N58" s="1236">
        <v>110</v>
      </c>
      <c r="O58" s="1236">
        <v>110</v>
      </c>
      <c r="P58" s="1237">
        <v>95</v>
      </c>
      <c r="Q58" s="1237">
        <v>82</v>
      </c>
      <c r="R58" s="1510">
        <v>109</v>
      </c>
      <c r="S58" s="1511">
        <v>85</v>
      </c>
      <c r="T58" s="1858">
        <v>83</v>
      </c>
      <c r="U58" s="1858"/>
      <c r="V58" s="1244">
        <v>7056</v>
      </c>
      <c r="W58" s="1245">
        <v>7253</v>
      </c>
      <c r="X58" s="1245">
        <v>10496</v>
      </c>
      <c r="Y58" s="1245">
        <v>12325</v>
      </c>
      <c r="Z58" s="1245">
        <v>13499</v>
      </c>
      <c r="AA58" s="1245">
        <v>14909</v>
      </c>
      <c r="AB58" s="1245">
        <v>16258</v>
      </c>
      <c r="AC58" s="1245">
        <v>17149</v>
      </c>
      <c r="AD58" s="1245">
        <v>17671</v>
      </c>
      <c r="AE58" s="1245">
        <v>18501</v>
      </c>
      <c r="AF58" s="1245">
        <v>19322</v>
      </c>
      <c r="AG58" s="1245">
        <v>20223</v>
      </c>
      <c r="AH58" s="1245">
        <v>21819</v>
      </c>
      <c r="AI58" s="1245">
        <v>23326</v>
      </c>
      <c r="AJ58" s="1513">
        <v>24410</v>
      </c>
      <c r="AK58" s="1514">
        <v>26063</v>
      </c>
      <c r="AL58" s="1859">
        <v>27190</v>
      </c>
      <c r="AM58" s="1859"/>
      <c r="AN58" s="1270">
        <f t="shared" si="18"/>
        <v>12.896825396825395</v>
      </c>
      <c r="AO58" s="1271">
        <f t="shared" si="19"/>
        <v>14.752516200193023</v>
      </c>
      <c r="AP58" s="1271">
        <f t="shared" si="20"/>
        <v>10.003810975609756</v>
      </c>
      <c r="AQ58" s="1271">
        <f t="shared" si="21"/>
        <v>7.5456389452332662</v>
      </c>
      <c r="AR58" s="1271">
        <f t="shared" si="22"/>
        <v>7.6301948292466104</v>
      </c>
      <c r="AS58" s="1271">
        <f t="shared" si="23"/>
        <v>5.9024750150915555</v>
      </c>
      <c r="AT58" s="1271">
        <f t="shared" si="24"/>
        <v>7.3809816705621847</v>
      </c>
      <c r="AU58" s="1271">
        <f t="shared" si="25"/>
        <v>6.8225552510350465</v>
      </c>
      <c r="AV58" s="1271">
        <f t="shared" si="26"/>
        <v>7.073736630637768</v>
      </c>
      <c r="AW58" s="1271">
        <f t="shared" si="27"/>
        <v>7.8914653261985839</v>
      </c>
      <c r="AX58" s="1271">
        <f t="shared" si="28"/>
        <v>5.6929924438463928</v>
      </c>
      <c r="AY58" s="1271">
        <f t="shared" si="29"/>
        <v>5.4393512337437571</v>
      </c>
      <c r="AZ58" s="1271">
        <f t="shared" si="30"/>
        <v>4.3540033915394831</v>
      </c>
      <c r="BA58" s="1271">
        <f t="shared" si="31"/>
        <v>3.5153905513161279</v>
      </c>
      <c r="BB58" s="1523">
        <f t="shared" si="32"/>
        <v>4.4653830397378131</v>
      </c>
      <c r="BC58" s="1525">
        <f t="shared" si="33"/>
        <v>3.2613283198403868</v>
      </c>
      <c r="BD58" s="1866">
        <f t="shared" si="34"/>
        <v>3.052592865023906</v>
      </c>
    </row>
    <row r="59" spans="1:56" s="142" customFormat="1" ht="15.75" customHeight="1" x14ac:dyDescent="0.2">
      <c r="A59" s="149" t="s">
        <v>134</v>
      </c>
      <c r="B59" s="189" t="s">
        <v>135</v>
      </c>
      <c r="C59" s="150" t="s">
        <v>267</v>
      </c>
      <c r="D59" s="1221">
        <v>53</v>
      </c>
      <c r="E59" s="1222">
        <v>42</v>
      </c>
      <c r="F59" s="1223">
        <v>46</v>
      </c>
      <c r="G59" s="1222">
        <v>45</v>
      </c>
      <c r="H59" s="1223">
        <v>40</v>
      </c>
      <c r="I59" s="1222">
        <v>37</v>
      </c>
      <c r="J59" s="1223">
        <v>36</v>
      </c>
      <c r="K59" s="1222">
        <v>37</v>
      </c>
      <c r="L59" s="1236">
        <v>46</v>
      </c>
      <c r="M59" s="1236">
        <v>40</v>
      </c>
      <c r="N59" s="1236">
        <v>40</v>
      </c>
      <c r="O59" s="1236">
        <v>34</v>
      </c>
      <c r="P59" s="1237">
        <v>40</v>
      </c>
      <c r="Q59" s="1237">
        <v>27</v>
      </c>
      <c r="R59" s="1510">
        <v>29</v>
      </c>
      <c r="S59" s="1511">
        <v>25</v>
      </c>
      <c r="T59" s="1858">
        <v>25</v>
      </c>
      <c r="U59" s="1858"/>
      <c r="V59" s="1244">
        <v>1489</v>
      </c>
      <c r="W59" s="1245">
        <v>1508</v>
      </c>
      <c r="X59" s="1245">
        <v>1675</v>
      </c>
      <c r="Y59" s="1245">
        <v>1731</v>
      </c>
      <c r="Z59" s="1245">
        <v>1791</v>
      </c>
      <c r="AA59" s="1245">
        <v>1852</v>
      </c>
      <c r="AB59" s="1245">
        <v>1882</v>
      </c>
      <c r="AC59" s="1245">
        <v>1913</v>
      </c>
      <c r="AD59" s="1245">
        <v>1892</v>
      </c>
      <c r="AE59" s="1245">
        <v>1847</v>
      </c>
      <c r="AF59" s="1245">
        <v>1881</v>
      </c>
      <c r="AG59" s="1245">
        <v>1976</v>
      </c>
      <c r="AH59" s="1245">
        <v>1944</v>
      </c>
      <c r="AI59" s="1245">
        <v>1897</v>
      </c>
      <c r="AJ59" s="1513">
        <v>1858</v>
      </c>
      <c r="AK59" s="1514">
        <v>1861</v>
      </c>
      <c r="AL59" s="1859">
        <v>1895</v>
      </c>
      <c r="AM59" s="1859"/>
      <c r="AN59" s="1270">
        <f t="shared" si="18"/>
        <v>35.594358629952985</v>
      </c>
      <c r="AO59" s="1271">
        <f t="shared" si="19"/>
        <v>27.851458885941646</v>
      </c>
      <c r="AP59" s="1271">
        <f t="shared" si="20"/>
        <v>27.46268656716418</v>
      </c>
      <c r="AQ59" s="1271">
        <f t="shared" si="21"/>
        <v>25.996533795493935</v>
      </c>
      <c r="AR59" s="1271">
        <f t="shared" si="22"/>
        <v>22.333891680625349</v>
      </c>
      <c r="AS59" s="1271">
        <f t="shared" si="23"/>
        <v>19.978401727861769</v>
      </c>
      <c r="AT59" s="1271">
        <f t="shared" si="24"/>
        <v>19.128586609989373</v>
      </c>
      <c r="AU59" s="1271">
        <f t="shared" si="25"/>
        <v>19.341348667015161</v>
      </c>
      <c r="AV59" s="1271">
        <f t="shared" si="26"/>
        <v>24.312896405919663</v>
      </c>
      <c r="AW59" s="1271">
        <f t="shared" si="27"/>
        <v>21.656740660530588</v>
      </c>
      <c r="AX59" s="1271">
        <f t="shared" si="28"/>
        <v>21.26528442317916</v>
      </c>
      <c r="AY59" s="1271">
        <f t="shared" si="29"/>
        <v>17.206477732793523</v>
      </c>
      <c r="AZ59" s="1271">
        <f t="shared" si="30"/>
        <v>20.5761316872428</v>
      </c>
      <c r="BA59" s="1271">
        <f t="shared" si="31"/>
        <v>14.232999472851873</v>
      </c>
      <c r="BB59" s="1523">
        <f t="shared" si="32"/>
        <v>15.608180839612487</v>
      </c>
      <c r="BC59" s="1525">
        <f t="shared" si="33"/>
        <v>13.433637829124127</v>
      </c>
      <c r="BD59" s="1866">
        <f t="shared" si="34"/>
        <v>13.192612137203167</v>
      </c>
    </row>
    <row r="60" spans="1:56" s="142" customFormat="1" ht="15.75" customHeight="1" x14ac:dyDescent="0.2">
      <c r="A60" s="149" t="s">
        <v>136</v>
      </c>
      <c r="B60" s="189" t="s">
        <v>137</v>
      </c>
      <c r="C60" s="150" t="s">
        <v>266</v>
      </c>
      <c r="D60" s="1221">
        <v>27</v>
      </c>
      <c r="E60" s="1222">
        <v>20</v>
      </c>
      <c r="F60" s="1223">
        <v>13</v>
      </c>
      <c r="G60" s="1222">
        <v>14</v>
      </c>
      <c r="H60" s="1223">
        <v>17</v>
      </c>
      <c r="I60" s="1222">
        <v>20</v>
      </c>
      <c r="J60" s="1223">
        <v>18</v>
      </c>
      <c r="K60" s="1222">
        <v>29</v>
      </c>
      <c r="L60" s="1236">
        <v>24</v>
      </c>
      <c r="M60" s="1236">
        <v>17</v>
      </c>
      <c r="N60" s="1236">
        <v>19</v>
      </c>
      <c r="O60" s="1236">
        <v>16</v>
      </c>
      <c r="P60" s="1237">
        <v>21</v>
      </c>
      <c r="Q60" s="1237">
        <v>16</v>
      </c>
      <c r="R60" s="1510">
        <v>22</v>
      </c>
      <c r="S60" s="1511">
        <v>7</v>
      </c>
      <c r="T60" s="1858">
        <v>9</v>
      </c>
      <c r="U60" s="1858"/>
      <c r="V60" s="1244">
        <v>769</v>
      </c>
      <c r="W60" s="1245">
        <v>770</v>
      </c>
      <c r="X60" s="1245">
        <v>821</v>
      </c>
      <c r="Y60" s="1245">
        <v>830</v>
      </c>
      <c r="Z60" s="1245">
        <v>835</v>
      </c>
      <c r="AA60" s="1245">
        <v>805</v>
      </c>
      <c r="AB60" s="1245">
        <v>784</v>
      </c>
      <c r="AC60" s="1245">
        <v>791</v>
      </c>
      <c r="AD60" s="1245">
        <v>749</v>
      </c>
      <c r="AE60" s="1245">
        <v>697</v>
      </c>
      <c r="AF60" s="1245">
        <v>669</v>
      </c>
      <c r="AG60" s="1245">
        <v>674</v>
      </c>
      <c r="AH60" s="1245">
        <v>689</v>
      </c>
      <c r="AI60" s="1245">
        <v>662</v>
      </c>
      <c r="AJ60" s="1513">
        <v>652</v>
      </c>
      <c r="AK60" s="1514">
        <v>627</v>
      </c>
      <c r="AL60" s="1859">
        <v>645</v>
      </c>
      <c r="AM60" s="1859"/>
      <c r="AN60" s="1270">
        <f t="shared" si="18"/>
        <v>35.110533159947984</v>
      </c>
      <c r="AO60" s="1271">
        <f t="shared" si="19"/>
        <v>25.974025974025977</v>
      </c>
      <c r="AP60" s="1271">
        <f t="shared" si="20"/>
        <v>15.834348355663822</v>
      </c>
      <c r="AQ60" s="1271">
        <f t="shared" si="21"/>
        <v>16.867469879518072</v>
      </c>
      <c r="AR60" s="1271">
        <f t="shared" si="22"/>
        <v>20.359281437125748</v>
      </c>
      <c r="AS60" s="1271">
        <f t="shared" si="23"/>
        <v>24.844720496894407</v>
      </c>
      <c r="AT60" s="1271">
        <f t="shared" si="24"/>
        <v>22.95918367346939</v>
      </c>
      <c r="AU60" s="1271">
        <f t="shared" si="25"/>
        <v>36.662452591656134</v>
      </c>
      <c r="AV60" s="1271">
        <f t="shared" si="26"/>
        <v>32.042723631508679</v>
      </c>
      <c r="AW60" s="1271">
        <f t="shared" si="27"/>
        <v>24.390243902439025</v>
      </c>
      <c r="AX60" s="1271">
        <f t="shared" si="28"/>
        <v>28.400597907324364</v>
      </c>
      <c r="AY60" s="1271">
        <f t="shared" si="29"/>
        <v>23.738872403560833</v>
      </c>
      <c r="AZ60" s="1271">
        <f t="shared" si="30"/>
        <v>30.478955007256896</v>
      </c>
      <c r="BA60" s="1271">
        <f t="shared" si="31"/>
        <v>24.169184290030213</v>
      </c>
      <c r="BB60" s="1523">
        <f t="shared" si="32"/>
        <v>33.742331288343557</v>
      </c>
      <c r="BC60" s="1525">
        <f t="shared" si="33"/>
        <v>11.164274322169058</v>
      </c>
      <c r="BD60" s="1866">
        <f t="shared" si="34"/>
        <v>13.953488372093023</v>
      </c>
    </row>
    <row r="61" spans="1:56" s="142" customFormat="1" ht="15.75" customHeight="1" x14ac:dyDescent="0.2">
      <c r="A61" s="149" t="s">
        <v>140</v>
      </c>
      <c r="B61" s="189" t="s">
        <v>141</v>
      </c>
      <c r="C61" s="150" t="s">
        <v>267</v>
      </c>
      <c r="D61" s="1221">
        <v>8</v>
      </c>
      <c r="E61" s="1222">
        <v>15</v>
      </c>
      <c r="F61" s="1223">
        <v>15</v>
      </c>
      <c r="G61" s="1222">
        <v>23</v>
      </c>
      <c r="H61" s="1223">
        <v>8</v>
      </c>
      <c r="I61" s="1222">
        <v>12</v>
      </c>
      <c r="J61" s="1223">
        <v>16</v>
      </c>
      <c r="K61" s="1222">
        <v>20</v>
      </c>
      <c r="L61" s="1236">
        <v>20</v>
      </c>
      <c r="M61" s="1236">
        <v>14</v>
      </c>
      <c r="N61" s="1236">
        <v>14</v>
      </c>
      <c r="O61" s="1236">
        <v>13</v>
      </c>
      <c r="P61" s="1237">
        <v>9</v>
      </c>
      <c r="Q61" s="1237">
        <v>8</v>
      </c>
      <c r="R61" s="1510">
        <v>11</v>
      </c>
      <c r="S61" s="1511">
        <v>4</v>
      </c>
      <c r="T61" s="1858">
        <v>1</v>
      </c>
      <c r="U61" s="1858"/>
      <c r="V61" s="1244">
        <v>889</v>
      </c>
      <c r="W61" s="1245">
        <v>902</v>
      </c>
      <c r="X61" s="1245">
        <v>871</v>
      </c>
      <c r="Y61" s="1245">
        <v>895</v>
      </c>
      <c r="Z61" s="1245">
        <v>910</v>
      </c>
      <c r="AA61" s="1245">
        <v>918</v>
      </c>
      <c r="AB61" s="1245">
        <v>908</v>
      </c>
      <c r="AC61" s="1245">
        <v>902</v>
      </c>
      <c r="AD61" s="1245">
        <v>884</v>
      </c>
      <c r="AE61" s="1245">
        <v>875</v>
      </c>
      <c r="AF61" s="1245">
        <v>863</v>
      </c>
      <c r="AG61" s="1245">
        <v>891</v>
      </c>
      <c r="AH61" s="1245">
        <v>834</v>
      </c>
      <c r="AI61" s="1245">
        <v>827</v>
      </c>
      <c r="AJ61" s="1513">
        <v>838</v>
      </c>
      <c r="AK61" s="1514">
        <v>832</v>
      </c>
      <c r="AL61" s="1859">
        <v>844</v>
      </c>
      <c r="AM61" s="1859"/>
      <c r="AN61" s="1270">
        <f t="shared" si="18"/>
        <v>8.9988751406074243</v>
      </c>
      <c r="AO61" s="1271">
        <f t="shared" si="19"/>
        <v>16.62971175166297</v>
      </c>
      <c r="AP61" s="1271">
        <f t="shared" si="20"/>
        <v>17.221584385763489</v>
      </c>
      <c r="AQ61" s="1271">
        <f t="shared" si="21"/>
        <v>25.69832402234637</v>
      </c>
      <c r="AR61" s="1271">
        <f t="shared" si="22"/>
        <v>8.791208791208792</v>
      </c>
      <c r="AS61" s="1271">
        <f t="shared" si="23"/>
        <v>13.071895424836601</v>
      </c>
      <c r="AT61" s="1271">
        <f t="shared" si="24"/>
        <v>17.621145374449341</v>
      </c>
      <c r="AU61" s="1271">
        <f t="shared" si="25"/>
        <v>22.172949002217297</v>
      </c>
      <c r="AV61" s="1271">
        <f t="shared" si="26"/>
        <v>22.624434389140269</v>
      </c>
      <c r="AW61" s="1271">
        <f t="shared" si="27"/>
        <v>16</v>
      </c>
      <c r="AX61" s="1271">
        <f t="shared" si="28"/>
        <v>16.222479721900346</v>
      </c>
      <c r="AY61" s="1271">
        <f t="shared" si="29"/>
        <v>14.590347923681257</v>
      </c>
      <c r="AZ61" s="1271">
        <f t="shared" si="30"/>
        <v>10.791366906474821</v>
      </c>
      <c r="BA61" s="1271">
        <f t="shared" si="31"/>
        <v>9.6735187424425622</v>
      </c>
      <c r="BB61" s="1523">
        <f t="shared" si="32"/>
        <v>13.126491646778042</v>
      </c>
      <c r="BC61" s="1525">
        <f t="shared" si="33"/>
        <v>4.8076923076923084</v>
      </c>
      <c r="BD61" s="1866">
        <f t="shared" si="34"/>
        <v>1.1848341232227488</v>
      </c>
    </row>
    <row r="62" spans="1:56" s="142" customFormat="1" ht="15.75" customHeight="1" x14ac:dyDescent="0.2">
      <c r="A62" s="149" t="s">
        <v>146</v>
      </c>
      <c r="B62" s="189" t="s">
        <v>147</v>
      </c>
      <c r="C62" s="150" t="s">
        <v>264</v>
      </c>
      <c r="D62" s="1221">
        <v>10</v>
      </c>
      <c r="E62" s="1222">
        <v>5</v>
      </c>
      <c r="F62" s="1223">
        <v>10</v>
      </c>
      <c r="G62" s="1222">
        <v>7</v>
      </c>
      <c r="H62" s="1223">
        <v>8</v>
      </c>
      <c r="I62" s="1222">
        <v>6</v>
      </c>
      <c r="J62" s="1223">
        <v>5</v>
      </c>
      <c r="K62" s="1222">
        <v>6</v>
      </c>
      <c r="L62" s="1236">
        <v>9</v>
      </c>
      <c r="M62" s="1236">
        <v>5</v>
      </c>
      <c r="N62" s="1236">
        <v>9</v>
      </c>
      <c r="O62" s="1236">
        <v>5</v>
      </c>
      <c r="P62" s="1237">
        <v>2</v>
      </c>
      <c r="Q62" s="1237">
        <v>5</v>
      </c>
      <c r="R62" s="1510">
        <v>2</v>
      </c>
      <c r="S62" s="1511">
        <v>3</v>
      </c>
      <c r="T62" s="1858">
        <v>8</v>
      </c>
      <c r="U62" s="1858"/>
      <c r="V62" s="1244">
        <v>505</v>
      </c>
      <c r="W62" s="1245">
        <v>511</v>
      </c>
      <c r="X62" s="1245">
        <v>520</v>
      </c>
      <c r="Y62" s="1245">
        <v>535</v>
      </c>
      <c r="Z62" s="1245">
        <v>533</v>
      </c>
      <c r="AA62" s="1245">
        <v>525</v>
      </c>
      <c r="AB62" s="1245">
        <v>528</v>
      </c>
      <c r="AC62" s="1245">
        <v>510</v>
      </c>
      <c r="AD62" s="1245">
        <v>515</v>
      </c>
      <c r="AE62" s="1245">
        <v>483</v>
      </c>
      <c r="AF62" s="1245">
        <v>485</v>
      </c>
      <c r="AG62" s="1245">
        <v>509</v>
      </c>
      <c r="AH62" s="1245">
        <v>502</v>
      </c>
      <c r="AI62" s="1245">
        <v>499</v>
      </c>
      <c r="AJ62" s="1513">
        <v>502</v>
      </c>
      <c r="AK62" s="1514">
        <v>509</v>
      </c>
      <c r="AL62" s="1859">
        <v>468</v>
      </c>
      <c r="AM62" s="1859"/>
      <c r="AN62" s="1270">
        <f t="shared" si="18"/>
        <v>19.801980198019802</v>
      </c>
      <c r="AO62" s="1271">
        <f t="shared" si="19"/>
        <v>9.7847358121330714</v>
      </c>
      <c r="AP62" s="1271">
        <f t="shared" si="20"/>
        <v>19.230769230769234</v>
      </c>
      <c r="AQ62" s="1271">
        <f t="shared" si="21"/>
        <v>13.084112149532711</v>
      </c>
      <c r="AR62" s="1271">
        <f t="shared" si="22"/>
        <v>15.0093808630394</v>
      </c>
      <c r="AS62" s="1271">
        <f t="shared" si="23"/>
        <v>11.428571428571429</v>
      </c>
      <c r="AT62" s="1271">
        <f t="shared" si="24"/>
        <v>9.4696969696969706</v>
      </c>
      <c r="AU62" s="1271">
        <f t="shared" si="25"/>
        <v>11.76470588235294</v>
      </c>
      <c r="AV62" s="1271">
        <f t="shared" si="26"/>
        <v>17.475728155339805</v>
      </c>
      <c r="AW62" s="1271">
        <f t="shared" si="27"/>
        <v>10.351966873706004</v>
      </c>
      <c r="AX62" s="1271">
        <f t="shared" si="28"/>
        <v>18.556701030927837</v>
      </c>
      <c r="AY62" s="1271">
        <f t="shared" si="29"/>
        <v>9.8231827111984273</v>
      </c>
      <c r="AZ62" s="1271">
        <f t="shared" si="30"/>
        <v>3.9840637450199203</v>
      </c>
      <c r="BA62" s="1271">
        <f t="shared" si="31"/>
        <v>10.020040080160321</v>
      </c>
      <c r="BB62" s="1523">
        <f t="shared" si="32"/>
        <v>3.9840637450199203</v>
      </c>
      <c r="BC62" s="1525">
        <f t="shared" si="33"/>
        <v>5.8939096267190569</v>
      </c>
      <c r="BD62" s="1866">
        <f t="shared" si="34"/>
        <v>17.094017094017097</v>
      </c>
    </row>
    <row r="63" spans="1:56" s="142" customFormat="1" ht="15.75" customHeight="1" x14ac:dyDescent="0.2">
      <c r="A63" s="149" t="s">
        <v>148</v>
      </c>
      <c r="B63" s="189" t="s">
        <v>149</v>
      </c>
      <c r="C63" s="150" t="s">
        <v>265</v>
      </c>
      <c r="D63" s="1221">
        <v>70</v>
      </c>
      <c r="E63" s="1222">
        <v>57</v>
      </c>
      <c r="F63" s="1223">
        <v>52</v>
      </c>
      <c r="G63" s="1222">
        <v>57</v>
      </c>
      <c r="H63" s="1223">
        <v>58</v>
      </c>
      <c r="I63" s="1222">
        <v>63</v>
      </c>
      <c r="J63" s="1223">
        <v>43</v>
      </c>
      <c r="K63" s="1222">
        <v>45</v>
      </c>
      <c r="L63" s="1236">
        <v>43</v>
      </c>
      <c r="M63" s="1236">
        <v>37</v>
      </c>
      <c r="N63" s="1236">
        <v>53</v>
      </c>
      <c r="O63" s="1236">
        <v>50</v>
      </c>
      <c r="P63" s="1237">
        <v>36</v>
      </c>
      <c r="Q63" s="1237">
        <v>33</v>
      </c>
      <c r="R63" s="1510">
        <v>35</v>
      </c>
      <c r="S63" s="1511">
        <v>23</v>
      </c>
      <c r="T63" s="1858">
        <v>30</v>
      </c>
      <c r="U63" s="1858"/>
      <c r="V63" s="1244">
        <v>1765</v>
      </c>
      <c r="W63" s="1245">
        <v>1747</v>
      </c>
      <c r="X63" s="1245">
        <v>1975</v>
      </c>
      <c r="Y63" s="1245">
        <v>2008</v>
      </c>
      <c r="Z63" s="1245">
        <v>1965</v>
      </c>
      <c r="AA63" s="1245">
        <v>1958</v>
      </c>
      <c r="AB63" s="1245">
        <v>1928</v>
      </c>
      <c r="AC63" s="1245">
        <v>1942</v>
      </c>
      <c r="AD63" s="1245">
        <v>1905</v>
      </c>
      <c r="AE63" s="1245">
        <v>1865</v>
      </c>
      <c r="AF63" s="1245">
        <v>1828</v>
      </c>
      <c r="AG63" s="1245">
        <v>1798</v>
      </c>
      <c r="AH63" s="1245">
        <v>1836</v>
      </c>
      <c r="AI63" s="1245">
        <v>1819</v>
      </c>
      <c r="AJ63" s="1513">
        <v>1779</v>
      </c>
      <c r="AK63" s="1514">
        <v>1768</v>
      </c>
      <c r="AL63" s="1859">
        <v>1737</v>
      </c>
      <c r="AM63" s="1859"/>
      <c r="AN63" s="1270">
        <f t="shared" si="18"/>
        <v>39.660056657223798</v>
      </c>
      <c r="AO63" s="1271">
        <f t="shared" si="19"/>
        <v>32.627361190612476</v>
      </c>
      <c r="AP63" s="1271">
        <f t="shared" si="20"/>
        <v>26.329113924050631</v>
      </c>
      <c r="AQ63" s="1271">
        <f t="shared" si="21"/>
        <v>28.386454183266931</v>
      </c>
      <c r="AR63" s="1271">
        <f t="shared" si="22"/>
        <v>29.516539440203562</v>
      </c>
      <c r="AS63" s="1271">
        <f t="shared" si="23"/>
        <v>32.175689479060267</v>
      </c>
      <c r="AT63" s="1271">
        <f t="shared" si="24"/>
        <v>22.302904564315352</v>
      </c>
      <c r="AU63" s="1271">
        <f t="shared" si="25"/>
        <v>23.171987641606592</v>
      </c>
      <c r="AV63" s="1271">
        <f t="shared" si="26"/>
        <v>22.57217847769029</v>
      </c>
      <c r="AW63" s="1271">
        <f t="shared" si="27"/>
        <v>19.839142091152816</v>
      </c>
      <c r="AX63" s="1271">
        <f t="shared" si="28"/>
        <v>28.993435448577682</v>
      </c>
      <c r="AY63" s="1271">
        <f t="shared" si="29"/>
        <v>27.808676307007786</v>
      </c>
      <c r="AZ63" s="1271">
        <f t="shared" si="30"/>
        <v>19.607843137254903</v>
      </c>
      <c r="BA63" s="1271">
        <f t="shared" si="31"/>
        <v>18.141836173721828</v>
      </c>
      <c r="BB63" s="1523">
        <f t="shared" si="32"/>
        <v>19.673974142776839</v>
      </c>
      <c r="BC63" s="1525">
        <f t="shared" si="33"/>
        <v>13.009049773755656</v>
      </c>
      <c r="BD63" s="1866">
        <f t="shared" si="34"/>
        <v>17.271157167530223</v>
      </c>
    </row>
    <row r="64" spans="1:56" s="142" customFormat="1" ht="15.75" customHeight="1" x14ac:dyDescent="0.2">
      <c r="A64" s="149" t="s">
        <v>150</v>
      </c>
      <c r="B64" s="189" t="s">
        <v>151</v>
      </c>
      <c r="C64" s="150" t="s">
        <v>266</v>
      </c>
      <c r="D64" s="1221">
        <v>10</v>
      </c>
      <c r="E64" s="1222">
        <v>16</v>
      </c>
      <c r="F64" s="1223">
        <v>5</v>
      </c>
      <c r="G64" s="1222">
        <v>12</v>
      </c>
      <c r="H64" s="1223">
        <v>11</v>
      </c>
      <c r="I64" s="1222">
        <v>13</v>
      </c>
      <c r="J64" s="1223">
        <v>7</v>
      </c>
      <c r="K64" s="1222">
        <v>9</v>
      </c>
      <c r="L64" s="1236">
        <v>7</v>
      </c>
      <c r="M64" s="1236">
        <v>17</v>
      </c>
      <c r="N64" s="1236">
        <v>8</v>
      </c>
      <c r="O64" s="1236">
        <v>9</v>
      </c>
      <c r="P64" s="1237">
        <v>6</v>
      </c>
      <c r="Q64" s="1237">
        <v>6</v>
      </c>
      <c r="R64" s="1510">
        <v>4</v>
      </c>
      <c r="S64" s="1511">
        <v>10</v>
      </c>
      <c r="T64" s="1858">
        <v>7</v>
      </c>
      <c r="U64" s="1858"/>
      <c r="V64" s="1244">
        <v>521</v>
      </c>
      <c r="W64" s="1245">
        <v>530</v>
      </c>
      <c r="X64" s="1245">
        <v>583</v>
      </c>
      <c r="Y64" s="1245">
        <v>603</v>
      </c>
      <c r="Z64" s="1245">
        <v>618</v>
      </c>
      <c r="AA64" s="1245">
        <v>620</v>
      </c>
      <c r="AB64" s="1245">
        <v>616</v>
      </c>
      <c r="AC64" s="1245">
        <v>604</v>
      </c>
      <c r="AD64" s="1245">
        <v>593</v>
      </c>
      <c r="AE64" s="1245">
        <v>562</v>
      </c>
      <c r="AF64" s="1245">
        <v>546</v>
      </c>
      <c r="AG64" s="1245">
        <v>521</v>
      </c>
      <c r="AH64" s="1245">
        <v>501</v>
      </c>
      <c r="AI64" s="1245">
        <v>494</v>
      </c>
      <c r="AJ64" s="1513">
        <v>472</v>
      </c>
      <c r="AK64" s="1514">
        <v>459</v>
      </c>
      <c r="AL64" s="1859">
        <v>466</v>
      </c>
      <c r="AM64" s="1859"/>
      <c r="AN64" s="1270">
        <f t="shared" si="18"/>
        <v>19.193857965451055</v>
      </c>
      <c r="AO64" s="1271">
        <f t="shared" si="19"/>
        <v>30.188679245283019</v>
      </c>
      <c r="AP64" s="1271">
        <f t="shared" si="20"/>
        <v>8.5763293310463133</v>
      </c>
      <c r="AQ64" s="1271">
        <f t="shared" si="21"/>
        <v>19.900497512437809</v>
      </c>
      <c r="AR64" s="1271">
        <f t="shared" si="22"/>
        <v>17.79935275080906</v>
      </c>
      <c r="AS64" s="1271">
        <f t="shared" si="23"/>
        <v>20.967741935483872</v>
      </c>
      <c r="AT64" s="1271">
        <f t="shared" si="24"/>
        <v>11.363636363636363</v>
      </c>
      <c r="AU64" s="1271">
        <f t="shared" si="25"/>
        <v>14.900662251655628</v>
      </c>
      <c r="AV64" s="1271">
        <f t="shared" si="26"/>
        <v>11.804384485666104</v>
      </c>
      <c r="AW64" s="1271">
        <f t="shared" si="27"/>
        <v>30.249110320284696</v>
      </c>
      <c r="AX64" s="1271">
        <f t="shared" si="28"/>
        <v>14.652014652014651</v>
      </c>
      <c r="AY64" s="1271">
        <f t="shared" si="29"/>
        <v>17.274472168905952</v>
      </c>
      <c r="AZ64" s="1271">
        <f t="shared" si="30"/>
        <v>11.976047904191617</v>
      </c>
      <c r="BA64" s="1271">
        <f t="shared" si="31"/>
        <v>12.145748987854251</v>
      </c>
      <c r="BB64" s="1523">
        <f t="shared" si="32"/>
        <v>8.4745762711864412</v>
      </c>
      <c r="BC64" s="1525">
        <f t="shared" si="33"/>
        <v>21.786492374727668</v>
      </c>
      <c r="BD64" s="1866">
        <f t="shared" si="34"/>
        <v>15.021459227467812</v>
      </c>
    </row>
    <row r="65" spans="1:56" s="142" customFormat="1" ht="15.75" customHeight="1" x14ac:dyDescent="0.2">
      <c r="A65" s="149" t="s">
        <v>152</v>
      </c>
      <c r="B65" s="189" t="s">
        <v>153</v>
      </c>
      <c r="C65" s="150" t="s">
        <v>268</v>
      </c>
      <c r="D65" s="1221">
        <v>58</v>
      </c>
      <c r="E65" s="1222">
        <v>71</v>
      </c>
      <c r="F65" s="1223">
        <v>94</v>
      </c>
      <c r="G65" s="1222">
        <v>53</v>
      </c>
      <c r="H65" s="1223">
        <v>56</v>
      </c>
      <c r="I65" s="1222">
        <v>67</v>
      </c>
      <c r="J65" s="1223">
        <v>75</v>
      </c>
      <c r="K65" s="1222">
        <v>81</v>
      </c>
      <c r="L65" s="1236">
        <v>49</v>
      </c>
      <c r="M65" s="1236">
        <v>79</v>
      </c>
      <c r="N65" s="1236">
        <v>106</v>
      </c>
      <c r="O65" s="1236">
        <v>66</v>
      </c>
      <c r="P65" s="1237">
        <v>60</v>
      </c>
      <c r="Q65" s="1237">
        <v>51</v>
      </c>
      <c r="R65" s="1510">
        <v>54</v>
      </c>
      <c r="S65" s="1511">
        <v>56</v>
      </c>
      <c r="T65" s="1858">
        <v>55</v>
      </c>
      <c r="U65" s="1858"/>
      <c r="V65" s="1244">
        <v>6434</v>
      </c>
      <c r="W65" s="1245">
        <v>6481</v>
      </c>
      <c r="X65" s="1245">
        <v>6679</v>
      </c>
      <c r="Y65" s="1245">
        <v>6151</v>
      </c>
      <c r="Z65" s="1245">
        <v>6161</v>
      </c>
      <c r="AA65" s="1245">
        <v>6015</v>
      </c>
      <c r="AB65" s="1245">
        <v>5988</v>
      </c>
      <c r="AC65" s="1245">
        <v>6272</v>
      </c>
      <c r="AD65" s="1245">
        <v>6553</v>
      </c>
      <c r="AE65" s="1245">
        <v>6799</v>
      </c>
      <c r="AF65" s="1245">
        <v>6886</v>
      </c>
      <c r="AG65" s="1245">
        <v>7131</v>
      </c>
      <c r="AH65" s="1245">
        <v>7319</v>
      </c>
      <c r="AI65" s="1245">
        <v>7096</v>
      </c>
      <c r="AJ65" s="1513">
        <v>6757</v>
      </c>
      <c r="AK65" s="1514">
        <v>6914</v>
      </c>
      <c r="AL65" s="1859">
        <v>6896</v>
      </c>
      <c r="AM65" s="1859"/>
      <c r="AN65" s="1270">
        <f t="shared" si="18"/>
        <v>9.0146098849860117</v>
      </c>
      <c r="AO65" s="1271">
        <f t="shared" si="19"/>
        <v>10.955099521678754</v>
      </c>
      <c r="AP65" s="1271">
        <f t="shared" si="20"/>
        <v>14.073963168138942</v>
      </c>
      <c r="AQ65" s="1271">
        <f t="shared" si="21"/>
        <v>8.6164851243700209</v>
      </c>
      <c r="AR65" s="1271">
        <f t="shared" si="22"/>
        <v>9.0894335335172869</v>
      </c>
      <c r="AS65" s="1271">
        <f t="shared" si="23"/>
        <v>11.138819617622611</v>
      </c>
      <c r="AT65" s="1271">
        <f t="shared" si="24"/>
        <v>12.525050100200401</v>
      </c>
      <c r="AU65" s="1271">
        <f t="shared" si="25"/>
        <v>12.914540816326531</v>
      </c>
      <c r="AV65" s="1271">
        <f t="shared" si="26"/>
        <v>7.4774912253929502</v>
      </c>
      <c r="AW65" s="1271">
        <f t="shared" si="27"/>
        <v>11.619355787615826</v>
      </c>
      <c r="AX65" s="1271">
        <f t="shared" si="28"/>
        <v>15.393552134766193</v>
      </c>
      <c r="AY65" s="1271">
        <f t="shared" si="29"/>
        <v>9.2553639040807738</v>
      </c>
      <c r="AZ65" s="1271">
        <f t="shared" si="30"/>
        <v>8.1978412351414125</v>
      </c>
      <c r="BA65" s="1271">
        <f t="shared" si="31"/>
        <v>7.1871476888387829</v>
      </c>
      <c r="BB65" s="1523">
        <f t="shared" si="32"/>
        <v>7.9917122983572586</v>
      </c>
      <c r="BC65" s="1525">
        <f t="shared" si="33"/>
        <v>8.099508244142319</v>
      </c>
      <c r="BD65" s="1866">
        <f t="shared" si="34"/>
        <v>7.9756380510440836</v>
      </c>
    </row>
    <row r="66" spans="1:56" s="142" customFormat="1" ht="15.75" customHeight="1" x14ac:dyDescent="0.2">
      <c r="A66" s="149" t="s">
        <v>154</v>
      </c>
      <c r="B66" s="189" t="s">
        <v>155</v>
      </c>
      <c r="C66" s="150" t="s">
        <v>265</v>
      </c>
      <c r="D66" s="1221">
        <v>33</v>
      </c>
      <c r="E66" s="1222">
        <v>21</v>
      </c>
      <c r="F66" s="1223">
        <v>27</v>
      </c>
      <c r="G66" s="1222">
        <v>21</v>
      </c>
      <c r="H66" s="1223">
        <v>13</v>
      </c>
      <c r="I66" s="1222">
        <v>23</v>
      </c>
      <c r="J66" s="1223">
        <v>10</v>
      </c>
      <c r="K66" s="1222">
        <v>22</v>
      </c>
      <c r="L66" s="1236">
        <v>14</v>
      </c>
      <c r="M66" s="1236">
        <v>21</v>
      </c>
      <c r="N66" s="1236">
        <v>14</v>
      </c>
      <c r="O66" s="1236">
        <v>15</v>
      </c>
      <c r="P66" s="1237">
        <v>11</v>
      </c>
      <c r="Q66" s="1237">
        <v>8</v>
      </c>
      <c r="R66" s="1510">
        <v>8</v>
      </c>
      <c r="S66" s="1511">
        <v>9</v>
      </c>
      <c r="T66" s="1858">
        <v>7</v>
      </c>
      <c r="U66" s="1858"/>
      <c r="V66" s="1244">
        <v>850</v>
      </c>
      <c r="W66" s="1245">
        <v>855</v>
      </c>
      <c r="X66" s="1245">
        <v>907</v>
      </c>
      <c r="Y66" s="1245">
        <v>918</v>
      </c>
      <c r="Z66" s="1245">
        <v>911</v>
      </c>
      <c r="AA66" s="1245">
        <v>890</v>
      </c>
      <c r="AB66" s="1245">
        <v>877</v>
      </c>
      <c r="AC66" s="1245">
        <v>844</v>
      </c>
      <c r="AD66" s="1245">
        <v>795</v>
      </c>
      <c r="AE66" s="1245">
        <v>764</v>
      </c>
      <c r="AF66" s="1245">
        <v>760</v>
      </c>
      <c r="AG66" s="1245">
        <v>770</v>
      </c>
      <c r="AH66" s="1245">
        <v>796</v>
      </c>
      <c r="AI66" s="1245">
        <v>806</v>
      </c>
      <c r="AJ66" s="1513">
        <v>760</v>
      </c>
      <c r="AK66" s="1514">
        <v>751</v>
      </c>
      <c r="AL66" s="1859">
        <v>747</v>
      </c>
      <c r="AM66" s="1859"/>
      <c r="AN66" s="1270">
        <f t="shared" si="18"/>
        <v>38.82352941176471</v>
      </c>
      <c r="AO66" s="1271">
        <f t="shared" si="19"/>
        <v>24.561403508771932</v>
      </c>
      <c r="AP66" s="1271">
        <f t="shared" si="20"/>
        <v>29.768467475192942</v>
      </c>
      <c r="AQ66" s="1271">
        <f t="shared" si="21"/>
        <v>22.875816993464049</v>
      </c>
      <c r="AR66" s="1271">
        <f t="shared" si="22"/>
        <v>14.270032930845225</v>
      </c>
      <c r="AS66" s="1271">
        <f t="shared" si="23"/>
        <v>25.842696629213481</v>
      </c>
      <c r="AT66" s="1271">
        <f t="shared" si="24"/>
        <v>11.402508551881414</v>
      </c>
      <c r="AU66" s="1271">
        <f t="shared" si="25"/>
        <v>26.066350710900473</v>
      </c>
      <c r="AV66" s="1271">
        <f t="shared" si="26"/>
        <v>17.610062893081761</v>
      </c>
      <c r="AW66" s="1271">
        <f t="shared" si="27"/>
        <v>27.486910994764401</v>
      </c>
      <c r="AX66" s="1271">
        <f t="shared" si="28"/>
        <v>18.421052631578945</v>
      </c>
      <c r="AY66" s="1271">
        <f t="shared" si="29"/>
        <v>19.480519480519479</v>
      </c>
      <c r="AZ66" s="1271">
        <f t="shared" si="30"/>
        <v>13.819095477386936</v>
      </c>
      <c r="BA66" s="1271">
        <f t="shared" si="31"/>
        <v>9.9255583126550864</v>
      </c>
      <c r="BB66" s="1523">
        <f t="shared" si="32"/>
        <v>10.526315789473683</v>
      </c>
      <c r="BC66" s="1525">
        <f t="shared" si="33"/>
        <v>11.984021304926763</v>
      </c>
      <c r="BD66" s="1866">
        <f t="shared" si="34"/>
        <v>9.3708165997322634</v>
      </c>
    </row>
    <row r="67" spans="1:56" s="142" customFormat="1" ht="15.75" customHeight="1" x14ac:dyDescent="0.2">
      <c r="A67" s="149" t="s">
        <v>156</v>
      </c>
      <c r="B67" s="189" t="s">
        <v>157</v>
      </c>
      <c r="C67" s="150" t="s">
        <v>266</v>
      </c>
      <c r="D67" s="1221">
        <v>7</v>
      </c>
      <c r="E67" s="1222">
        <v>13</v>
      </c>
      <c r="F67" s="1223">
        <v>6</v>
      </c>
      <c r="G67" s="1222">
        <v>11</v>
      </c>
      <c r="H67" s="1223">
        <v>16</v>
      </c>
      <c r="I67" s="1222">
        <v>10</v>
      </c>
      <c r="J67" s="1223">
        <v>14</v>
      </c>
      <c r="K67" s="1222">
        <v>10</v>
      </c>
      <c r="L67" s="1236">
        <v>16</v>
      </c>
      <c r="M67" s="1236">
        <v>9</v>
      </c>
      <c r="N67" s="1236">
        <v>11</v>
      </c>
      <c r="O67" s="1236">
        <v>11</v>
      </c>
      <c r="P67" s="1237">
        <v>12</v>
      </c>
      <c r="Q67" s="1237">
        <v>13</v>
      </c>
      <c r="R67" s="1510">
        <v>12</v>
      </c>
      <c r="S67" s="1511">
        <v>10</v>
      </c>
      <c r="T67" s="1858">
        <v>11</v>
      </c>
      <c r="U67" s="1858"/>
      <c r="V67" s="1244">
        <v>748</v>
      </c>
      <c r="W67" s="1245">
        <v>757</v>
      </c>
      <c r="X67" s="1245">
        <v>908</v>
      </c>
      <c r="Y67" s="1245">
        <v>951</v>
      </c>
      <c r="Z67" s="1245">
        <v>968</v>
      </c>
      <c r="AA67" s="1245">
        <v>1010</v>
      </c>
      <c r="AB67" s="1245">
        <v>1051</v>
      </c>
      <c r="AC67" s="1245">
        <v>1035</v>
      </c>
      <c r="AD67" s="1245">
        <v>1043</v>
      </c>
      <c r="AE67" s="1245">
        <v>1031</v>
      </c>
      <c r="AF67" s="1245">
        <v>1034</v>
      </c>
      <c r="AG67" s="1245">
        <v>1120</v>
      </c>
      <c r="AH67" s="1245">
        <v>1179</v>
      </c>
      <c r="AI67" s="1245">
        <v>1183</v>
      </c>
      <c r="AJ67" s="1513">
        <v>1159</v>
      </c>
      <c r="AK67" s="1514">
        <v>1181</v>
      </c>
      <c r="AL67" s="1859">
        <v>1201</v>
      </c>
      <c r="AM67" s="1859"/>
      <c r="AN67" s="1270">
        <f t="shared" si="18"/>
        <v>9.3582887700534751</v>
      </c>
      <c r="AO67" s="1271">
        <f t="shared" si="19"/>
        <v>17.173051519154559</v>
      </c>
      <c r="AP67" s="1271">
        <f t="shared" si="20"/>
        <v>6.607929515418502</v>
      </c>
      <c r="AQ67" s="1271">
        <f t="shared" si="21"/>
        <v>11.566771819137749</v>
      </c>
      <c r="AR67" s="1271">
        <f t="shared" si="22"/>
        <v>16.528925619834713</v>
      </c>
      <c r="AS67" s="1271">
        <f t="shared" si="23"/>
        <v>9.9009900990099009</v>
      </c>
      <c r="AT67" s="1271">
        <f t="shared" si="24"/>
        <v>13.320647002854425</v>
      </c>
      <c r="AU67" s="1271">
        <f t="shared" si="25"/>
        <v>9.6618357487922708</v>
      </c>
      <c r="AV67" s="1271">
        <f t="shared" si="26"/>
        <v>15.340364333652923</v>
      </c>
      <c r="AW67" s="1271">
        <f t="shared" si="27"/>
        <v>8.7293889427740066</v>
      </c>
      <c r="AX67" s="1271">
        <f t="shared" si="28"/>
        <v>10.638297872340425</v>
      </c>
      <c r="AY67" s="1271">
        <f t="shared" si="29"/>
        <v>9.8214285714285712</v>
      </c>
      <c r="AZ67" s="1271">
        <f t="shared" si="30"/>
        <v>10.178117048346056</v>
      </c>
      <c r="BA67" s="1271">
        <f t="shared" si="31"/>
        <v>10.989010989010989</v>
      </c>
      <c r="BB67" s="1523">
        <f t="shared" si="32"/>
        <v>10.353753235547885</v>
      </c>
      <c r="BC67" s="1525">
        <f t="shared" si="33"/>
        <v>8.4674005080440296</v>
      </c>
      <c r="BD67" s="1866">
        <f t="shared" si="34"/>
        <v>9.1590341382181517</v>
      </c>
    </row>
    <row r="68" spans="1:56" s="142" customFormat="1" ht="15.75" customHeight="1" x14ac:dyDescent="0.2">
      <c r="A68" s="149" t="s">
        <v>162</v>
      </c>
      <c r="B68" s="189" t="s">
        <v>163</v>
      </c>
      <c r="C68" s="150" t="s">
        <v>264</v>
      </c>
      <c r="D68" s="1221">
        <v>24</v>
      </c>
      <c r="E68" s="1222">
        <v>30</v>
      </c>
      <c r="F68" s="1223">
        <v>34</v>
      </c>
      <c r="G68" s="1222">
        <v>40</v>
      </c>
      <c r="H68" s="1223">
        <v>29</v>
      </c>
      <c r="I68" s="1222">
        <v>23</v>
      </c>
      <c r="J68" s="1223">
        <v>27</v>
      </c>
      <c r="K68" s="1222">
        <v>26</v>
      </c>
      <c r="L68" s="1236">
        <v>23</v>
      </c>
      <c r="M68" s="1236">
        <v>19</v>
      </c>
      <c r="N68" s="1236">
        <v>32</v>
      </c>
      <c r="O68" s="1236">
        <v>16</v>
      </c>
      <c r="P68" s="1237">
        <v>21</v>
      </c>
      <c r="Q68" s="1237">
        <v>23</v>
      </c>
      <c r="R68" s="1510">
        <v>9</v>
      </c>
      <c r="S68" s="1511">
        <v>13</v>
      </c>
      <c r="T68" s="1858">
        <v>10</v>
      </c>
      <c r="U68" s="1858"/>
      <c r="V68" s="1244">
        <v>894</v>
      </c>
      <c r="W68" s="1245">
        <v>896</v>
      </c>
      <c r="X68" s="1245">
        <v>883</v>
      </c>
      <c r="Y68" s="1245">
        <v>888</v>
      </c>
      <c r="Z68" s="1245">
        <v>884</v>
      </c>
      <c r="AA68" s="1245">
        <v>910</v>
      </c>
      <c r="AB68" s="1245">
        <v>892</v>
      </c>
      <c r="AC68" s="1245">
        <v>906</v>
      </c>
      <c r="AD68" s="1245">
        <v>884</v>
      </c>
      <c r="AE68" s="1245">
        <v>838</v>
      </c>
      <c r="AF68" s="1245">
        <v>827</v>
      </c>
      <c r="AG68" s="1245">
        <v>802</v>
      </c>
      <c r="AH68" s="1245">
        <v>655</v>
      </c>
      <c r="AI68" s="1245">
        <v>649</v>
      </c>
      <c r="AJ68" s="1513">
        <v>606</v>
      </c>
      <c r="AK68" s="1514">
        <v>576</v>
      </c>
      <c r="AL68" s="1859">
        <v>591</v>
      </c>
      <c r="AM68" s="1859"/>
      <c r="AN68" s="1270">
        <f t="shared" si="18"/>
        <v>26.845637583892618</v>
      </c>
      <c r="AO68" s="1271">
        <f t="shared" si="19"/>
        <v>33.482142857142854</v>
      </c>
      <c r="AP68" s="1271">
        <f t="shared" si="20"/>
        <v>38.505096262740658</v>
      </c>
      <c r="AQ68" s="1271">
        <f t="shared" si="21"/>
        <v>45.045045045045043</v>
      </c>
      <c r="AR68" s="1271">
        <f t="shared" si="22"/>
        <v>32.805429864253398</v>
      </c>
      <c r="AS68" s="1271">
        <f t="shared" si="23"/>
        <v>25.274725274725274</v>
      </c>
      <c r="AT68" s="1271">
        <f t="shared" si="24"/>
        <v>30.269058295964125</v>
      </c>
      <c r="AU68" s="1271">
        <f t="shared" si="25"/>
        <v>28.697571743929359</v>
      </c>
      <c r="AV68" s="1271">
        <f t="shared" si="26"/>
        <v>26.018099547511312</v>
      </c>
      <c r="AW68" s="1271">
        <f t="shared" si="27"/>
        <v>22.673031026252982</v>
      </c>
      <c r="AX68" s="1271">
        <f t="shared" si="28"/>
        <v>38.694074969770249</v>
      </c>
      <c r="AY68" s="1271">
        <f t="shared" si="29"/>
        <v>19.950124688279303</v>
      </c>
      <c r="AZ68" s="1271">
        <f t="shared" si="30"/>
        <v>32.061068702290079</v>
      </c>
      <c r="BA68" s="1271">
        <f t="shared" si="31"/>
        <v>35.439137134052388</v>
      </c>
      <c r="BB68" s="1523">
        <f t="shared" si="32"/>
        <v>14.85148514851485</v>
      </c>
      <c r="BC68" s="1525">
        <f t="shared" si="33"/>
        <v>22.569444444444443</v>
      </c>
      <c r="BD68" s="1866">
        <f t="shared" si="34"/>
        <v>16.920473773265652</v>
      </c>
    </row>
    <row r="69" spans="1:56" s="142" customFormat="1" ht="15.75" customHeight="1" x14ac:dyDescent="0.2">
      <c r="A69" s="149" t="s">
        <v>164</v>
      </c>
      <c r="B69" s="189" t="s">
        <v>165</v>
      </c>
      <c r="C69" s="150" t="s">
        <v>266</v>
      </c>
      <c r="D69" s="1221">
        <v>14</v>
      </c>
      <c r="E69" s="1222">
        <v>18</v>
      </c>
      <c r="F69" s="1223">
        <v>11</v>
      </c>
      <c r="G69" s="1222">
        <v>27</v>
      </c>
      <c r="H69" s="1223">
        <v>24</v>
      </c>
      <c r="I69" s="1222">
        <v>20</v>
      </c>
      <c r="J69" s="1223">
        <v>14</v>
      </c>
      <c r="K69" s="1222">
        <v>21</v>
      </c>
      <c r="L69" s="1236">
        <v>20</v>
      </c>
      <c r="M69" s="1236">
        <v>20</v>
      </c>
      <c r="N69" s="1236">
        <v>16</v>
      </c>
      <c r="O69" s="1236">
        <v>16</v>
      </c>
      <c r="P69" s="1237">
        <v>13</v>
      </c>
      <c r="Q69" s="1237">
        <v>7</v>
      </c>
      <c r="R69" s="1510">
        <v>4</v>
      </c>
      <c r="S69" s="1511">
        <v>9</v>
      </c>
      <c r="T69" s="1858">
        <v>6</v>
      </c>
      <c r="U69" s="1858"/>
      <c r="V69" s="1244">
        <v>635</v>
      </c>
      <c r="W69" s="1245">
        <v>645</v>
      </c>
      <c r="X69" s="1245">
        <v>654</v>
      </c>
      <c r="Y69" s="1245">
        <v>656</v>
      </c>
      <c r="Z69" s="1245">
        <v>673</v>
      </c>
      <c r="AA69" s="1245">
        <v>656</v>
      </c>
      <c r="AB69" s="1245">
        <v>660</v>
      </c>
      <c r="AC69" s="1245">
        <v>612</v>
      </c>
      <c r="AD69" s="1245">
        <v>598</v>
      </c>
      <c r="AE69" s="1245">
        <v>607</v>
      </c>
      <c r="AF69" s="1245">
        <v>594</v>
      </c>
      <c r="AG69" s="1245">
        <v>604</v>
      </c>
      <c r="AH69" s="1245">
        <v>540</v>
      </c>
      <c r="AI69" s="1245">
        <v>548</v>
      </c>
      <c r="AJ69" s="1513">
        <v>518</v>
      </c>
      <c r="AK69" s="1514">
        <v>507</v>
      </c>
      <c r="AL69" s="1859">
        <v>512</v>
      </c>
      <c r="AM69" s="1859"/>
      <c r="AN69" s="1270">
        <f t="shared" si="18"/>
        <v>22.047244094488189</v>
      </c>
      <c r="AO69" s="1271">
        <f t="shared" si="19"/>
        <v>27.906976744186046</v>
      </c>
      <c r="AP69" s="1271">
        <f t="shared" si="20"/>
        <v>16.819571865443425</v>
      </c>
      <c r="AQ69" s="1271">
        <f t="shared" si="21"/>
        <v>41.158536585365859</v>
      </c>
      <c r="AR69" s="1271">
        <f t="shared" si="22"/>
        <v>35.661218424962854</v>
      </c>
      <c r="AS69" s="1271">
        <f t="shared" si="23"/>
        <v>30.487804878048781</v>
      </c>
      <c r="AT69" s="1271">
        <f t="shared" si="24"/>
        <v>21.212121212121215</v>
      </c>
      <c r="AU69" s="1271">
        <f t="shared" si="25"/>
        <v>34.313725490196084</v>
      </c>
      <c r="AV69" s="1271">
        <f t="shared" si="26"/>
        <v>33.444816053511701</v>
      </c>
      <c r="AW69" s="1271">
        <f t="shared" si="27"/>
        <v>32.948929159802304</v>
      </c>
      <c r="AX69" s="1271">
        <f t="shared" si="28"/>
        <v>26.936026936026934</v>
      </c>
      <c r="AY69" s="1271">
        <f t="shared" si="29"/>
        <v>26.490066225165563</v>
      </c>
      <c r="AZ69" s="1271">
        <f t="shared" si="30"/>
        <v>24.074074074074073</v>
      </c>
      <c r="BA69" s="1271">
        <f t="shared" si="31"/>
        <v>12.773722627737227</v>
      </c>
      <c r="BB69" s="1523">
        <f t="shared" si="32"/>
        <v>7.7220077220077226</v>
      </c>
      <c r="BC69" s="1525">
        <f t="shared" si="33"/>
        <v>17.751479289940828</v>
      </c>
      <c r="BD69" s="1866">
        <f t="shared" si="34"/>
        <v>11.71875</v>
      </c>
    </row>
    <row r="70" spans="1:56" s="142" customFormat="1" ht="15.75" customHeight="1" x14ac:dyDescent="0.2">
      <c r="A70" s="149" t="s">
        <v>168</v>
      </c>
      <c r="B70" s="189" t="s">
        <v>169</v>
      </c>
      <c r="C70" s="150" t="s">
        <v>266</v>
      </c>
      <c r="D70" s="1221">
        <v>25</v>
      </c>
      <c r="E70" s="1222">
        <v>41</v>
      </c>
      <c r="F70" s="1223">
        <v>21</v>
      </c>
      <c r="G70" s="1222">
        <v>26</v>
      </c>
      <c r="H70" s="1223">
        <v>28</v>
      </c>
      <c r="I70" s="1222">
        <v>33</v>
      </c>
      <c r="J70" s="1223">
        <v>21</v>
      </c>
      <c r="K70" s="1222">
        <v>26</v>
      </c>
      <c r="L70" s="1236">
        <v>22</v>
      </c>
      <c r="M70" s="1236">
        <v>19</v>
      </c>
      <c r="N70" s="1236">
        <v>31</v>
      </c>
      <c r="O70" s="1236">
        <v>36</v>
      </c>
      <c r="P70" s="1237">
        <v>16</v>
      </c>
      <c r="Q70" s="1237">
        <v>16</v>
      </c>
      <c r="R70" s="1510">
        <v>27</v>
      </c>
      <c r="S70" s="1511">
        <v>14</v>
      </c>
      <c r="T70" s="1858">
        <v>25</v>
      </c>
      <c r="U70" s="1858"/>
      <c r="V70" s="1244">
        <v>905</v>
      </c>
      <c r="W70" s="1245">
        <v>901</v>
      </c>
      <c r="X70" s="1245">
        <v>981</v>
      </c>
      <c r="Y70" s="1245">
        <v>995</v>
      </c>
      <c r="Z70" s="1245">
        <v>1012</v>
      </c>
      <c r="AA70" s="1245">
        <v>1000</v>
      </c>
      <c r="AB70" s="1245">
        <v>974</v>
      </c>
      <c r="AC70" s="1245">
        <v>927</v>
      </c>
      <c r="AD70" s="1245">
        <v>892</v>
      </c>
      <c r="AE70" s="1245">
        <v>881</v>
      </c>
      <c r="AF70" s="1245">
        <v>872</v>
      </c>
      <c r="AG70" s="1245">
        <v>927</v>
      </c>
      <c r="AH70" s="1245">
        <v>889</v>
      </c>
      <c r="AI70" s="1245">
        <v>866</v>
      </c>
      <c r="AJ70" s="1513">
        <v>859</v>
      </c>
      <c r="AK70" s="1514">
        <v>836</v>
      </c>
      <c r="AL70" s="1859">
        <v>828</v>
      </c>
      <c r="AM70" s="1859"/>
      <c r="AN70" s="1270">
        <f t="shared" ref="AN70:AN101" si="35">IF(V70=0,"NA",(D70/V70)*1000)</f>
        <v>27.624309392265193</v>
      </c>
      <c r="AO70" s="1271">
        <f t="shared" ref="AO70:AO101" si="36">IF(W70=0,"NA",(E70/W70)*1000)</f>
        <v>45.504994450610432</v>
      </c>
      <c r="AP70" s="1271">
        <f t="shared" ref="AP70:AP101" si="37">IF(X70=0,"NA",(F70/X70)*1000)</f>
        <v>21.406727828746178</v>
      </c>
      <c r="AQ70" s="1271">
        <f t="shared" ref="AQ70:AQ101" si="38">IF(Y70=0,"NA",(G70/Y70)*1000)</f>
        <v>26.13065326633166</v>
      </c>
      <c r="AR70" s="1271">
        <f t="shared" ref="AR70:AR101" si="39">IF(Z70=0,"NA",(H70/Z70)*1000)</f>
        <v>27.66798418972332</v>
      </c>
      <c r="AS70" s="1271">
        <f t="shared" ref="AS70:AS101" si="40">IF(AA70=0,"NA",(I70/AA70)*1000)</f>
        <v>33</v>
      </c>
      <c r="AT70" s="1271">
        <f t="shared" ref="AT70:AT101" si="41">IF(AB70=0,"NA",(J70/AB70)*1000)</f>
        <v>21.560574948665298</v>
      </c>
      <c r="AU70" s="1271">
        <f t="shared" ref="AU70:AU101" si="42">IF(AC70=0,"NA",(K70/AC70)*1000)</f>
        <v>28.047464940668824</v>
      </c>
      <c r="AV70" s="1271">
        <f t="shared" ref="AV70:AV101" si="43">IF(AD70=0,"NA",(L70/AD70)*1000)</f>
        <v>24.663677130044842</v>
      </c>
      <c r="AW70" s="1271">
        <f t="shared" ref="AW70:AW101" si="44">IF(AE70=0,"NA",(M70/AE70)*1000)</f>
        <v>21.566401816118049</v>
      </c>
      <c r="AX70" s="1271">
        <f t="shared" ref="AX70:AX101" si="45">IF(AF70=0,"NA",(N70/AF70)*1000)</f>
        <v>35.550458715596335</v>
      </c>
      <c r="AY70" s="1271">
        <f t="shared" ref="AY70:AY101" si="46">IF(AG70=0,"NA",(O70/AG70)*1000)</f>
        <v>38.834951456310677</v>
      </c>
      <c r="AZ70" s="1271">
        <f t="shared" ref="AZ70:AZ101" si="47">IF(AH70=0,"NA",(P70/AH70)*1000)</f>
        <v>17.997750281214849</v>
      </c>
      <c r="BA70" s="1271">
        <f t="shared" ref="BA70:BA101" si="48">IF(AI70=0,"NA",(Q70/AI70)*1000)</f>
        <v>18.475750577367204</v>
      </c>
      <c r="BB70" s="1523">
        <f t="shared" ref="BB70:BB101" si="49">IF(AJ70=0,"NA",(R70/AJ70)*1000)</f>
        <v>31.431897555296857</v>
      </c>
      <c r="BC70" s="1525">
        <f t="shared" ref="BC70:BC101" si="50">IF(AK70=0,"NA",(S70/AK70)*1000)</f>
        <v>16.746411483253588</v>
      </c>
      <c r="BD70" s="1866">
        <f t="shared" ref="BD70:BD101" si="51">IF(AL70=0,"NA",(T70/AL70)*1000)</f>
        <v>30.193236714975843</v>
      </c>
    </row>
    <row r="71" spans="1:56" s="142" customFormat="1" ht="15.75" customHeight="1" x14ac:dyDescent="0.2">
      <c r="A71" s="149" t="s">
        <v>170</v>
      </c>
      <c r="B71" s="189" t="s">
        <v>171</v>
      </c>
      <c r="C71" s="150" t="s">
        <v>267</v>
      </c>
      <c r="D71" s="1221">
        <v>40</v>
      </c>
      <c r="E71" s="1222">
        <v>45</v>
      </c>
      <c r="F71" s="1223">
        <v>35</v>
      </c>
      <c r="G71" s="1222">
        <v>31</v>
      </c>
      <c r="H71" s="1223">
        <v>37</v>
      </c>
      <c r="I71" s="1222">
        <v>42</v>
      </c>
      <c r="J71" s="1223">
        <v>33</v>
      </c>
      <c r="K71" s="1222">
        <v>32</v>
      </c>
      <c r="L71" s="1236">
        <v>35</v>
      </c>
      <c r="M71" s="1236">
        <v>35</v>
      </c>
      <c r="N71" s="1236">
        <v>40</v>
      </c>
      <c r="O71" s="1236">
        <v>28</v>
      </c>
      <c r="P71" s="1237">
        <v>34</v>
      </c>
      <c r="Q71" s="1237">
        <v>35</v>
      </c>
      <c r="R71" s="1510">
        <v>22</v>
      </c>
      <c r="S71" s="1511">
        <v>26</v>
      </c>
      <c r="T71" s="1858">
        <v>20</v>
      </c>
      <c r="U71" s="1858"/>
      <c r="V71" s="1244">
        <v>1515</v>
      </c>
      <c r="W71" s="1245">
        <v>1532</v>
      </c>
      <c r="X71" s="1245">
        <v>1645</v>
      </c>
      <c r="Y71" s="1245">
        <v>1664</v>
      </c>
      <c r="Z71" s="1245">
        <v>1703</v>
      </c>
      <c r="AA71" s="1245">
        <v>1723</v>
      </c>
      <c r="AB71" s="1245">
        <v>1755</v>
      </c>
      <c r="AC71" s="1245">
        <v>1783</v>
      </c>
      <c r="AD71" s="1245">
        <v>1811</v>
      </c>
      <c r="AE71" s="1245">
        <v>1795</v>
      </c>
      <c r="AF71" s="1245">
        <v>1802</v>
      </c>
      <c r="AG71" s="1245">
        <v>2075</v>
      </c>
      <c r="AH71" s="1245">
        <v>2074</v>
      </c>
      <c r="AI71" s="1245">
        <v>2034</v>
      </c>
      <c r="AJ71" s="1513">
        <v>2043</v>
      </c>
      <c r="AK71" s="1514">
        <v>2059</v>
      </c>
      <c r="AL71" s="1859">
        <v>2054</v>
      </c>
      <c r="AM71" s="1859"/>
      <c r="AN71" s="1270">
        <f t="shared" si="35"/>
        <v>26.402640264026402</v>
      </c>
      <c r="AO71" s="1271">
        <f t="shared" si="36"/>
        <v>29.373368146214101</v>
      </c>
      <c r="AP71" s="1271">
        <f t="shared" si="37"/>
        <v>21.276595744680851</v>
      </c>
      <c r="AQ71" s="1271">
        <f t="shared" si="38"/>
        <v>18.629807692307693</v>
      </c>
      <c r="AR71" s="1271">
        <f t="shared" si="39"/>
        <v>21.726365237815617</v>
      </c>
      <c r="AS71" s="1271">
        <f t="shared" si="40"/>
        <v>24.376088218224027</v>
      </c>
      <c r="AT71" s="1271">
        <f t="shared" si="41"/>
        <v>18.803418803418804</v>
      </c>
      <c r="AU71" s="1271">
        <f t="shared" si="42"/>
        <v>17.947279865395402</v>
      </c>
      <c r="AV71" s="1271">
        <f t="shared" si="43"/>
        <v>19.326339039204861</v>
      </c>
      <c r="AW71" s="1271">
        <f t="shared" si="44"/>
        <v>19.498607242339833</v>
      </c>
      <c r="AX71" s="1271">
        <f t="shared" si="45"/>
        <v>22.197558268590456</v>
      </c>
      <c r="AY71" s="1271">
        <f t="shared" si="46"/>
        <v>13.493975903614457</v>
      </c>
      <c r="AZ71" s="1271">
        <f t="shared" si="47"/>
        <v>16.393442622950822</v>
      </c>
      <c r="BA71" s="1271">
        <f t="shared" si="48"/>
        <v>17.207472959685351</v>
      </c>
      <c r="BB71" s="1523">
        <f t="shared" si="49"/>
        <v>10.768477728830151</v>
      </c>
      <c r="BC71" s="1525">
        <f t="shared" si="50"/>
        <v>12.627489072365226</v>
      </c>
      <c r="BD71" s="1866">
        <f t="shared" si="51"/>
        <v>9.7370983446932815</v>
      </c>
    </row>
    <row r="72" spans="1:56" s="142" customFormat="1" ht="15.75" customHeight="1" x14ac:dyDescent="0.2">
      <c r="A72" s="149" t="s">
        <v>172</v>
      </c>
      <c r="B72" s="189" t="s">
        <v>173</v>
      </c>
      <c r="C72" s="150" t="s">
        <v>267</v>
      </c>
      <c r="D72" s="1221">
        <v>43</v>
      </c>
      <c r="E72" s="1222">
        <v>43</v>
      </c>
      <c r="F72" s="1223">
        <v>52</v>
      </c>
      <c r="G72" s="1222">
        <v>45</v>
      </c>
      <c r="H72" s="1223">
        <v>49</v>
      </c>
      <c r="I72" s="1222">
        <v>41</v>
      </c>
      <c r="J72" s="1223">
        <v>45</v>
      </c>
      <c r="K72" s="1222">
        <v>32</v>
      </c>
      <c r="L72" s="1236">
        <v>31</v>
      </c>
      <c r="M72" s="1236">
        <v>32</v>
      </c>
      <c r="N72" s="1236">
        <v>27</v>
      </c>
      <c r="O72" s="1236">
        <v>34</v>
      </c>
      <c r="P72" s="1237">
        <v>26</v>
      </c>
      <c r="Q72" s="1237">
        <v>33</v>
      </c>
      <c r="R72" s="1510">
        <v>26</v>
      </c>
      <c r="S72" s="1511">
        <v>23</v>
      </c>
      <c r="T72" s="1858">
        <v>21</v>
      </c>
      <c r="U72" s="1858"/>
      <c r="V72" s="1244">
        <v>1495</v>
      </c>
      <c r="W72" s="1245">
        <v>1507</v>
      </c>
      <c r="X72" s="1245">
        <v>1495</v>
      </c>
      <c r="Y72" s="1245">
        <v>1463</v>
      </c>
      <c r="Z72" s="1245">
        <v>1471</v>
      </c>
      <c r="AA72" s="1245">
        <v>1472</v>
      </c>
      <c r="AB72" s="1245">
        <v>1473</v>
      </c>
      <c r="AC72" s="1245">
        <v>1476</v>
      </c>
      <c r="AD72" s="1245">
        <v>1437</v>
      </c>
      <c r="AE72" s="1245">
        <v>1432</v>
      </c>
      <c r="AF72" s="1245">
        <v>1405</v>
      </c>
      <c r="AG72" s="1245">
        <v>1408</v>
      </c>
      <c r="AH72" s="1245">
        <v>1450</v>
      </c>
      <c r="AI72" s="1245">
        <v>1422</v>
      </c>
      <c r="AJ72" s="1513">
        <v>1400</v>
      </c>
      <c r="AK72" s="1514">
        <v>1364</v>
      </c>
      <c r="AL72" s="1859">
        <v>1384</v>
      </c>
      <c r="AM72" s="1859"/>
      <c r="AN72" s="1270">
        <f t="shared" si="35"/>
        <v>28.762541806020067</v>
      </c>
      <c r="AO72" s="1271">
        <f t="shared" si="36"/>
        <v>28.533510285335105</v>
      </c>
      <c r="AP72" s="1271">
        <f t="shared" si="37"/>
        <v>34.782608695652172</v>
      </c>
      <c r="AQ72" s="1271">
        <f t="shared" si="38"/>
        <v>30.758714969241282</v>
      </c>
      <c r="AR72" s="1271">
        <f t="shared" si="39"/>
        <v>33.310673011556759</v>
      </c>
      <c r="AS72" s="1271">
        <f t="shared" si="40"/>
        <v>27.853260869565215</v>
      </c>
      <c r="AT72" s="1271">
        <f t="shared" si="41"/>
        <v>30.549898167006109</v>
      </c>
      <c r="AU72" s="1271">
        <f t="shared" si="42"/>
        <v>21.680216802168022</v>
      </c>
      <c r="AV72" s="1271">
        <f t="shared" si="43"/>
        <v>21.572720946416144</v>
      </c>
      <c r="AW72" s="1271">
        <f t="shared" si="44"/>
        <v>22.346368715083798</v>
      </c>
      <c r="AX72" s="1271">
        <f t="shared" si="45"/>
        <v>19.217081850533805</v>
      </c>
      <c r="AY72" s="1271">
        <f t="shared" si="46"/>
        <v>24.147727272727273</v>
      </c>
      <c r="AZ72" s="1271">
        <f t="shared" si="47"/>
        <v>17.931034482758619</v>
      </c>
      <c r="BA72" s="1271">
        <f t="shared" si="48"/>
        <v>23.206751054852322</v>
      </c>
      <c r="BB72" s="1523">
        <f t="shared" si="49"/>
        <v>18.571428571428573</v>
      </c>
      <c r="BC72" s="1525">
        <f t="shared" si="50"/>
        <v>16.862170087976537</v>
      </c>
      <c r="BD72" s="1866">
        <f t="shared" si="51"/>
        <v>15.173410404624278</v>
      </c>
    </row>
    <row r="73" spans="1:56" s="142" customFormat="1" ht="15.75" customHeight="1" x14ac:dyDescent="0.2">
      <c r="A73" s="149" t="s">
        <v>174</v>
      </c>
      <c r="B73" s="189" t="s">
        <v>175</v>
      </c>
      <c r="C73" s="150" t="s">
        <v>268</v>
      </c>
      <c r="D73" s="1221">
        <v>23</v>
      </c>
      <c r="E73" s="1222">
        <v>29</v>
      </c>
      <c r="F73" s="1223">
        <v>22</v>
      </c>
      <c r="G73" s="1222">
        <v>21</v>
      </c>
      <c r="H73" s="1223">
        <v>24</v>
      </c>
      <c r="I73" s="1222">
        <v>21</v>
      </c>
      <c r="J73" s="1223">
        <v>15</v>
      </c>
      <c r="K73" s="1222">
        <v>28</v>
      </c>
      <c r="L73" s="1236">
        <v>13</v>
      </c>
      <c r="M73" s="1236">
        <v>15</v>
      </c>
      <c r="N73" s="1236">
        <v>21</v>
      </c>
      <c r="O73" s="1236">
        <v>15</v>
      </c>
      <c r="P73" s="1237">
        <v>20</v>
      </c>
      <c r="Q73" s="1237">
        <v>10</v>
      </c>
      <c r="R73" s="1510">
        <v>15</v>
      </c>
      <c r="S73" s="1511">
        <v>13</v>
      </c>
      <c r="T73" s="1858">
        <v>15</v>
      </c>
      <c r="U73" s="1858"/>
      <c r="V73" s="1244">
        <v>1010</v>
      </c>
      <c r="W73" s="1245">
        <v>994</v>
      </c>
      <c r="X73" s="1245">
        <v>1118</v>
      </c>
      <c r="Y73" s="1245">
        <v>1112</v>
      </c>
      <c r="Z73" s="1245">
        <v>1109</v>
      </c>
      <c r="AA73" s="1245">
        <v>1090</v>
      </c>
      <c r="AB73" s="1245">
        <v>1100</v>
      </c>
      <c r="AC73" s="1245">
        <v>1085</v>
      </c>
      <c r="AD73" s="1245">
        <v>1067</v>
      </c>
      <c r="AE73" s="1245">
        <v>1044</v>
      </c>
      <c r="AF73" s="1245">
        <v>1022</v>
      </c>
      <c r="AG73" s="1245">
        <v>1060</v>
      </c>
      <c r="AH73" s="1245">
        <v>1049</v>
      </c>
      <c r="AI73" s="1245">
        <v>994</v>
      </c>
      <c r="AJ73" s="1513">
        <v>1006</v>
      </c>
      <c r="AK73" s="1514">
        <v>984</v>
      </c>
      <c r="AL73" s="1859">
        <v>986</v>
      </c>
      <c r="AM73" s="1859"/>
      <c r="AN73" s="1270">
        <f t="shared" si="35"/>
        <v>22.772277227722771</v>
      </c>
      <c r="AO73" s="1271">
        <f t="shared" si="36"/>
        <v>29.175050301810867</v>
      </c>
      <c r="AP73" s="1271">
        <f t="shared" si="37"/>
        <v>19.677996422182471</v>
      </c>
      <c r="AQ73" s="1271">
        <f t="shared" si="38"/>
        <v>18.884892086330936</v>
      </c>
      <c r="AR73" s="1271">
        <f t="shared" si="39"/>
        <v>21.641118124436431</v>
      </c>
      <c r="AS73" s="1271">
        <f t="shared" si="40"/>
        <v>19.26605504587156</v>
      </c>
      <c r="AT73" s="1271">
        <f t="shared" si="41"/>
        <v>13.636363636363635</v>
      </c>
      <c r="AU73" s="1271">
        <f t="shared" si="42"/>
        <v>25.806451612903224</v>
      </c>
      <c r="AV73" s="1271">
        <f t="shared" si="43"/>
        <v>12.183692596063731</v>
      </c>
      <c r="AW73" s="1271">
        <f t="shared" si="44"/>
        <v>14.367816091954023</v>
      </c>
      <c r="AX73" s="1271">
        <f t="shared" si="45"/>
        <v>20.547945205479451</v>
      </c>
      <c r="AY73" s="1271">
        <f t="shared" si="46"/>
        <v>14.150943396226415</v>
      </c>
      <c r="AZ73" s="1271">
        <f t="shared" si="47"/>
        <v>19.065776930409914</v>
      </c>
      <c r="BA73" s="1271">
        <f t="shared" si="48"/>
        <v>10.060362173038229</v>
      </c>
      <c r="BB73" s="1523">
        <f t="shared" si="49"/>
        <v>14.910536779324055</v>
      </c>
      <c r="BC73" s="1525">
        <f t="shared" si="50"/>
        <v>13.21138211382114</v>
      </c>
      <c r="BD73" s="1866">
        <f t="shared" si="51"/>
        <v>15.212981744421906</v>
      </c>
    </row>
    <row r="74" spans="1:56" s="142" customFormat="1" ht="15.75" customHeight="1" x14ac:dyDescent="0.2">
      <c r="A74" s="149" t="s">
        <v>178</v>
      </c>
      <c r="B74" s="189" t="s">
        <v>179</v>
      </c>
      <c r="C74" s="150" t="s">
        <v>265</v>
      </c>
      <c r="D74" s="1221">
        <v>105</v>
      </c>
      <c r="E74" s="1222">
        <v>123</v>
      </c>
      <c r="F74" s="1223">
        <v>115</v>
      </c>
      <c r="G74" s="1222">
        <v>89</v>
      </c>
      <c r="H74" s="1223">
        <v>70</v>
      </c>
      <c r="I74" s="1222">
        <v>92</v>
      </c>
      <c r="J74" s="1223">
        <v>70</v>
      </c>
      <c r="K74" s="1222">
        <v>90</v>
      </c>
      <c r="L74" s="1236">
        <v>68</v>
      </c>
      <c r="M74" s="1236">
        <v>72</v>
      </c>
      <c r="N74" s="1236">
        <v>69</v>
      </c>
      <c r="O74" s="1236">
        <v>63</v>
      </c>
      <c r="P74" s="1237">
        <v>56</v>
      </c>
      <c r="Q74" s="1237">
        <v>42</v>
      </c>
      <c r="R74" s="1510">
        <v>48</v>
      </c>
      <c r="S74" s="1511">
        <v>36</v>
      </c>
      <c r="T74" s="1858">
        <v>37</v>
      </c>
      <c r="U74" s="1858"/>
      <c r="V74" s="1244">
        <v>3613</v>
      </c>
      <c r="W74" s="1245">
        <v>3601</v>
      </c>
      <c r="X74" s="1245">
        <v>4068</v>
      </c>
      <c r="Y74" s="1245">
        <v>4021</v>
      </c>
      <c r="Z74" s="1245">
        <v>3989</v>
      </c>
      <c r="AA74" s="1245">
        <v>3909</v>
      </c>
      <c r="AB74" s="1245">
        <v>3873</v>
      </c>
      <c r="AC74" s="1245">
        <v>3776</v>
      </c>
      <c r="AD74" s="1245">
        <v>3690</v>
      </c>
      <c r="AE74" s="1245">
        <v>3598</v>
      </c>
      <c r="AF74" s="1245">
        <v>3536</v>
      </c>
      <c r="AG74" s="1245">
        <v>3670</v>
      </c>
      <c r="AH74" s="1245">
        <v>3759</v>
      </c>
      <c r="AI74" s="1245">
        <v>3736</v>
      </c>
      <c r="AJ74" s="1513">
        <v>3668</v>
      </c>
      <c r="AK74" s="1514">
        <v>3669</v>
      </c>
      <c r="AL74" s="1859">
        <v>3631</v>
      </c>
      <c r="AM74" s="1859"/>
      <c r="AN74" s="1270">
        <f t="shared" si="35"/>
        <v>29.061721561029614</v>
      </c>
      <c r="AO74" s="1271">
        <f t="shared" si="36"/>
        <v>34.15717856151069</v>
      </c>
      <c r="AP74" s="1271">
        <f t="shared" si="37"/>
        <v>28.269419862340218</v>
      </c>
      <c r="AQ74" s="1271">
        <f t="shared" si="38"/>
        <v>22.133797562795323</v>
      </c>
      <c r="AR74" s="1271">
        <f t="shared" si="39"/>
        <v>17.548257708698923</v>
      </c>
      <c r="AS74" s="1271">
        <f t="shared" si="40"/>
        <v>23.535431056536197</v>
      </c>
      <c r="AT74" s="1271">
        <f t="shared" si="41"/>
        <v>18.073844564936742</v>
      </c>
      <c r="AU74" s="1271">
        <f t="shared" si="42"/>
        <v>23.834745762711865</v>
      </c>
      <c r="AV74" s="1271">
        <f t="shared" si="43"/>
        <v>18.428184281842821</v>
      </c>
      <c r="AW74" s="1271">
        <f t="shared" si="44"/>
        <v>20.011117287381879</v>
      </c>
      <c r="AX74" s="1271">
        <f t="shared" si="45"/>
        <v>19.513574660633484</v>
      </c>
      <c r="AY74" s="1271">
        <f t="shared" si="46"/>
        <v>17.166212534059945</v>
      </c>
      <c r="AZ74" s="1271">
        <f t="shared" si="47"/>
        <v>14.8975791433892</v>
      </c>
      <c r="BA74" s="1271">
        <f t="shared" si="48"/>
        <v>11.241970021413277</v>
      </c>
      <c r="BB74" s="1523">
        <f t="shared" si="49"/>
        <v>13.086150490730644</v>
      </c>
      <c r="BC74" s="1525">
        <f t="shared" si="50"/>
        <v>9.8119378577269014</v>
      </c>
      <c r="BD74" s="1866">
        <f t="shared" si="51"/>
        <v>10.190030294684659</v>
      </c>
    </row>
    <row r="75" spans="1:56" s="142" customFormat="1" ht="15.75" customHeight="1" x14ac:dyDescent="0.2">
      <c r="A75" s="149" t="s">
        <v>182</v>
      </c>
      <c r="B75" s="189" t="s">
        <v>183</v>
      </c>
      <c r="C75" s="150" t="s">
        <v>266</v>
      </c>
      <c r="D75" s="1221">
        <v>7</v>
      </c>
      <c r="E75" s="1222">
        <v>17</v>
      </c>
      <c r="F75" s="1223">
        <v>20</v>
      </c>
      <c r="G75" s="1222">
        <v>17</v>
      </c>
      <c r="H75" s="1223">
        <v>12</v>
      </c>
      <c r="I75" s="1222">
        <v>12</v>
      </c>
      <c r="J75" s="1223">
        <v>14</v>
      </c>
      <c r="K75" s="1222">
        <v>13</v>
      </c>
      <c r="L75" s="1236">
        <v>11</v>
      </c>
      <c r="M75" s="1236">
        <v>10</v>
      </c>
      <c r="N75" s="1236">
        <v>11</v>
      </c>
      <c r="O75" s="1236">
        <v>7</v>
      </c>
      <c r="P75" s="1237">
        <v>14</v>
      </c>
      <c r="Q75" s="1237">
        <v>8</v>
      </c>
      <c r="R75" s="1510">
        <v>15</v>
      </c>
      <c r="S75" s="1511">
        <v>10</v>
      </c>
      <c r="T75" s="1858">
        <v>7</v>
      </c>
      <c r="U75" s="1858"/>
      <c r="V75" s="1244">
        <v>1014</v>
      </c>
      <c r="W75" s="1245">
        <v>1028</v>
      </c>
      <c r="X75" s="1245">
        <v>1370</v>
      </c>
      <c r="Y75" s="1245">
        <v>1429</v>
      </c>
      <c r="Z75" s="1245">
        <v>1497</v>
      </c>
      <c r="AA75" s="1245">
        <v>1545</v>
      </c>
      <c r="AB75" s="1245">
        <v>1620</v>
      </c>
      <c r="AC75" s="1245">
        <v>1620</v>
      </c>
      <c r="AD75" s="1245">
        <v>1628</v>
      </c>
      <c r="AE75" s="1245">
        <v>1589</v>
      </c>
      <c r="AF75" s="1245">
        <v>1596</v>
      </c>
      <c r="AG75" s="1245">
        <v>1770</v>
      </c>
      <c r="AH75" s="1245">
        <v>1793</v>
      </c>
      <c r="AI75" s="1245">
        <v>1792</v>
      </c>
      <c r="AJ75" s="1513">
        <v>1719</v>
      </c>
      <c r="AK75" s="1514">
        <v>1617</v>
      </c>
      <c r="AL75" s="1859">
        <v>1579</v>
      </c>
      <c r="AM75" s="1859"/>
      <c r="AN75" s="1270">
        <f t="shared" si="35"/>
        <v>6.9033530571992108</v>
      </c>
      <c r="AO75" s="1271">
        <f t="shared" si="36"/>
        <v>16.536964980544749</v>
      </c>
      <c r="AP75" s="1271">
        <f t="shared" si="37"/>
        <v>14.598540145985401</v>
      </c>
      <c r="AQ75" s="1271">
        <f t="shared" si="38"/>
        <v>11.896431070678798</v>
      </c>
      <c r="AR75" s="1271">
        <f t="shared" si="39"/>
        <v>8.0160320641282556</v>
      </c>
      <c r="AS75" s="1271">
        <f t="shared" si="40"/>
        <v>7.766990291262136</v>
      </c>
      <c r="AT75" s="1271">
        <f t="shared" si="41"/>
        <v>8.6419753086419746</v>
      </c>
      <c r="AU75" s="1271">
        <f t="shared" si="42"/>
        <v>8.0246913580246915</v>
      </c>
      <c r="AV75" s="1271">
        <f t="shared" si="43"/>
        <v>6.756756756756757</v>
      </c>
      <c r="AW75" s="1271">
        <f t="shared" si="44"/>
        <v>6.2932662051604789</v>
      </c>
      <c r="AX75" s="1271">
        <f t="shared" si="45"/>
        <v>6.8922305764411025</v>
      </c>
      <c r="AY75" s="1271">
        <f t="shared" si="46"/>
        <v>3.9548022598870056</v>
      </c>
      <c r="AZ75" s="1271">
        <f t="shared" si="47"/>
        <v>7.8081427774679311</v>
      </c>
      <c r="BA75" s="1271">
        <f t="shared" si="48"/>
        <v>4.4642857142857144</v>
      </c>
      <c r="BB75" s="1523">
        <f t="shared" si="49"/>
        <v>8.7260034904013963</v>
      </c>
      <c r="BC75" s="1525">
        <f t="shared" si="50"/>
        <v>6.1842918985776132</v>
      </c>
      <c r="BD75" s="1866">
        <f t="shared" si="51"/>
        <v>4.4331855604813173</v>
      </c>
    </row>
    <row r="76" spans="1:56" s="142" customFormat="1" ht="15.75" customHeight="1" x14ac:dyDescent="0.2">
      <c r="A76" s="149" t="s">
        <v>184</v>
      </c>
      <c r="B76" s="189" t="s">
        <v>185</v>
      </c>
      <c r="C76" s="150" t="s">
        <v>266</v>
      </c>
      <c r="D76" s="1221">
        <v>38</v>
      </c>
      <c r="E76" s="1222">
        <v>37</v>
      </c>
      <c r="F76" s="1223">
        <v>44</v>
      </c>
      <c r="G76" s="1222">
        <v>32</v>
      </c>
      <c r="H76" s="1223">
        <v>25</v>
      </c>
      <c r="I76" s="1222">
        <v>21</v>
      </c>
      <c r="J76" s="1223">
        <v>23</v>
      </c>
      <c r="K76" s="1222">
        <v>26</v>
      </c>
      <c r="L76" s="1236">
        <v>25</v>
      </c>
      <c r="M76" s="1236">
        <v>25</v>
      </c>
      <c r="N76" s="1236">
        <v>34</v>
      </c>
      <c r="O76" s="1236">
        <v>27</v>
      </c>
      <c r="P76" s="1237">
        <v>25</v>
      </c>
      <c r="Q76" s="1237">
        <v>23</v>
      </c>
      <c r="R76" s="1510">
        <v>16</v>
      </c>
      <c r="S76" s="1511">
        <v>12</v>
      </c>
      <c r="T76" s="1858">
        <v>19</v>
      </c>
      <c r="U76" s="1858"/>
      <c r="V76" s="1244">
        <v>1670</v>
      </c>
      <c r="W76" s="1245">
        <v>1667</v>
      </c>
      <c r="X76" s="1245">
        <v>1854</v>
      </c>
      <c r="Y76" s="1245">
        <v>1867</v>
      </c>
      <c r="Z76" s="1245">
        <v>1910</v>
      </c>
      <c r="AA76" s="1245">
        <v>1933</v>
      </c>
      <c r="AB76" s="1245">
        <v>1924</v>
      </c>
      <c r="AC76" s="1245">
        <v>1890</v>
      </c>
      <c r="AD76" s="1245">
        <v>1875</v>
      </c>
      <c r="AE76" s="1245">
        <v>1936</v>
      </c>
      <c r="AF76" s="1245">
        <v>1978</v>
      </c>
      <c r="AG76" s="1245">
        <v>2049</v>
      </c>
      <c r="AH76" s="1245">
        <v>2030</v>
      </c>
      <c r="AI76" s="1245">
        <v>1994</v>
      </c>
      <c r="AJ76" s="1513">
        <v>1969</v>
      </c>
      <c r="AK76" s="1514">
        <v>2019</v>
      </c>
      <c r="AL76" s="1859">
        <v>2048</v>
      </c>
      <c r="AM76" s="1859"/>
      <c r="AN76" s="1270">
        <f t="shared" si="35"/>
        <v>22.754491017964074</v>
      </c>
      <c r="AO76" s="1271">
        <f t="shared" si="36"/>
        <v>22.195560887822438</v>
      </c>
      <c r="AP76" s="1271">
        <f t="shared" si="37"/>
        <v>23.732470334412085</v>
      </c>
      <c r="AQ76" s="1271">
        <f t="shared" si="38"/>
        <v>17.13979646491698</v>
      </c>
      <c r="AR76" s="1271">
        <f t="shared" si="39"/>
        <v>13.089005235602095</v>
      </c>
      <c r="AS76" s="1271">
        <f t="shared" si="40"/>
        <v>10.863942058975685</v>
      </c>
      <c r="AT76" s="1271">
        <f t="shared" si="41"/>
        <v>11.954261954261955</v>
      </c>
      <c r="AU76" s="1271">
        <f t="shared" si="42"/>
        <v>13.756613756613756</v>
      </c>
      <c r="AV76" s="1271">
        <f t="shared" si="43"/>
        <v>13.333333333333334</v>
      </c>
      <c r="AW76" s="1271">
        <f t="shared" si="44"/>
        <v>12.913223140495868</v>
      </c>
      <c r="AX76" s="1271">
        <f t="shared" si="45"/>
        <v>17.189079878665318</v>
      </c>
      <c r="AY76" s="1271">
        <f t="shared" si="46"/>
        <v>13.177159590043924</v>
      </c>
      <c r="AZ76" s="1271">
        <f t="shared" si="47"/>
        <v>12.315270935960593</v>
      </c>
      <c r="BA76" s="1271">
        <f t="shared" si="48"/>
        <v>11.534603811434303</v>
      </c>
      <c r="BB76" s="1523">
        <f t="shared" si="49"/>
        <v>8.1259522600304717</v>
      </c>
      <c r="BC76" s="1525">
        <f t="shared" si="50"/>
        <v>5.9435364041604748</v>
      </c>
      <c r="BD76" s="1866">
        <f t="shared" si="51"/>
        <v>9.27734375</v>
      </c>
    </row>
    <row r="77" spans="1:56" s="142" customFormat="1" ht="15.75" customHeight="1" x14ac:dyDescent="0.2">
      <c r="A77" s="149" t="s">
        <v>186</v>
      </c>
      <c r="B77" s="189" t="s">
        <v>187</v>
      </c>
      <c r="C77" s="150" t="s">
        <v>264</v>
      </c>
      <c r="D77" s="1221">
        <v>29</v>
      </c>
      <c r="E77" s="1222">
        <v>38</v>
      </c>
      <c r="F77" s="1223">
        <v>34</v>
      </c>
      <c r="G77" s="1222">
        <v>29</v>
      </c>
      <c r="H77" s="1223">
        <v>29</v>
      </c>
      <c r="I77" s="1222">
        <v>42</v>
      </c>
      <c r="J77" s="1223">
        <v>37</v>
      </c>
      <c r="K77" s="1222">
        <v>30</v>
      </c>
      <c r="L77" s="1236">
        <v>21</v>
      </c>
      <c r="M77" s="1236">
        <v>32</v>
      </c>
      <c r="N77" s="1236">
        <v>23</v>
      </c>
      <c r="O77" s="1236">
        <v>38</v>
      </c>
      <c r="P77" s="1237">
        <v>30</v>
      </c>
      <c r="Q77" s="1237">
        <v>27</v>
      </c>
      <c r="R77" s="1510">
        <v>24</v>
      </c>
      <c r="S77" s="1511">
        <v>19</v>
      </c>
      <c r="T77" s="1858">
        <v>13</v>
      </c>
      <c r="U77" s="1858"/>
      <c r="V77" s="1244">
        <v>2054</v>
      </c>
      <c r="W77" s="1245">
        <v>2064</v>
      </c>
      <c r="X77" s="1245">
        <v>2544</v>
      </c>
      <c r="Y77" s="1245">
        <v>2647</v>
      </c>
      <c r="Z77" s="1245">
        <v>2695</v>
      </c>
      <c r="AA77" s="1245">
        <v>2727</v>
      </c>
      <c r="AB77" s="1245">
        <v>2712</v>
      </c>
      <c r="AC77" s="1245">
        <v>2654</v>
      </c>
      <c r="AD77" s="1245">
        <v>2573</v>
      </c>
      <c r="AE77" s="1245">
        <v>2554</v>
      </c>
      <c r="AF77" s="1245">
        <v>2484</v>
      </c>
      <c r="AG77" s="1245">
        <v>2716</v>
      </c>
      <c r="AH77" s="1245">
        <v>2312</v>
      </c>
      <c r="AI77" s="1245">
        <v>2343</v>
      </c>
      <c r="AJ77" s="1513">
        <v>2278</v>
      </c>
      <c r="AK77" s="1514">
        <v>2237</v>
      </c>
      <c r="AL77" s="1859">
        <v>2204</v>
      </c>
      <c r="AM77" s="1859"/>
      <c r="AN77" s="1270">
        <f t="shared" si="35"/>
        <v>14.118792599805257</v>
      </c>
      <c r="AO77" s="1271">
        <f t="shared" si="36"/>
        <v>18.410852713178297</v>
      </c>
      <c r="AP77" s="1271">
        <f t="shared" si="37"/>
        <v>13.364779874213838</v>
      </c>
      <c r="AQ77" s="1271">
        <f t="shared" si="38"/>
        <v>10.95579901775595</v>
      </c>
      <c r="AR77" s="1271">
        <f t="shared" si="39"/>
        <v>10.760667903525047</v>
      </c>
      <c r="AS77" s="1271">
        <f t="shared" si="40"/>
        <v>15.401540154015402</v>
      </c>
      <c r="AT77" s="1271">
        <f t="shared" si="41"/>
        <v>13.64306784660767</v>
      </c>
      <c r="AU77" s="1271">
        <f t="shared" si="42"/>
        <v>11.303692539562924</v>
      </c>
      <c r="AV77" s="1271">
        <f t="shared" si="43"/>
        <v>8.1616789739603579</v>
      </c>
      <c r="AW77" s="1271">
        <f t="shared" si="44"/>
        <v>12.529365700861394</v>
      </c>
      <c r="AX77" s="1271">
        <f t="shared" si="45"/>
        <v>9.2592592592592595</v>
      </c>
      <c r="AY77" s="1271">
        <f t="shared" si="46"/>
        <v>13.991163475699558</v>
      </c>
      <c r="AZ77" s="1271">
        <f t="shared" si="47"/>
        <v>12.975778546712801</v>
      </c>
      <c r="BA77" s="1271">
        <f t="shared" si="48"/>
        <v>11.523687580025609</v>
      </c>
      <c r="BB77" s="1523">
        <f t="shared" si="49"/>
        <v>10.535557506584723</v>
      </c>
      <c r="BC77" s="1525">
        <f t="shared" si="50"/>
        <v>8.4935181046043802</v>
      </c>
      <c r="BD77" s="1866">
        <f t="shared" si="51"/>
        <v>5.8983666061705993</v>
      </c>
    </row>
    <row r="78" spans="1:56" s="142" customFormat="1" ht="15.75" customHeight="1" x14ac:dyDescent="0.2">
      <c r="A78" s="149" t="s">
        <v>188</v>
      </c>
      <c r="B78" s="189" t="s">
        <v>189</v>
      </c>
      <c r="C78" s="150" t="s">
        <v>267</v>
      </c>
      <c r="D78" s="1221">
        <v>405</v>
      </c>
      <c r="E78" s="1222">
        <v>426</v>
      </c>
      <c r="F78" s="1223">
        <v>404</v>
      </c>
      <c r="G78" s="1222">
        <v>451</v>
      </c>
      <c r="H78" s="1223">
        <v>420</v>
      </c>
      <c r="I78" s="1222">
        <v>386</v>
      </c>
      <c r="J78" s="1223">
        <v>439</v>
      </c>
      <c r="K78" s="1222">
        <v>447</v>
      </c>
      <c r="L78" s="1236">
        <v>479</v>
      </c>
      <c r="M78" s="1236">
        <v>474</v>
      </c>
      <c r="N78" s="1236">
        <v>408</v>
      </c>
      <c r="O78" s="1236">
        <v>404</v>
      </c>
      <c r="P78" s="1237">
        <v>380</v>
      </c>
      <c r="Q78" s="1237">
        <v>325</v>
      </c>
      <c r="R78" s="1510">
        <v>325</v>
      </c>
      <c r="S78" s="1511">
        <v>275</v>
      </c>
      <c r="T78" s="1858">
        <v>246</v>
      </c>
      <c r="U78" s="1858"/>
      <c r="V78" s="1244">
        <v>19321</v>
      </c>
      <c r="W78" s="1245">
        <v>19752</v>
      </c>
      <c r="X78" s="1245">
        <v>21315</v>
      </c>
      <c r="Y78" s="1245">
        <v>22796</v>
      </c>
      <c r="Z78" s="1245">
        <v>23735</v>
      </c>
      <c r="AA78" s="1245">
        <v>24592</v>
      </c>
      <c r="AB78" s="1245">
        <v>25136</v>
      </c>
      <c r="AC78" s="1245">
        <v>25705</v>
      </c>
      <c r="AD78" s="1245">
        <v>25596</v>
      </c>
      <c r="AE78" s="1245">
        <v>25690</v>
      </c>
      <c r="AF78" s="1245">
        <v>25773</v>
      </c>
      <c r="AG78" s="1245">
        <v>27037</v>
      </c>
      <c r="AH78" s="1245">
        <v>29106</v>
      </c>
      <c r="AI78" s="1245">
        <v>29815</v>
      </c>
      <c r="AJ78" s="1513">
        <v>30602</v>
      </c>
      <c r="AK78" s="1514">
        <v>31274</v>
      </c>
      <c r="AL78" s="1859">
        <v>31783</v>
      </c>
      <c r="AM78" s="1859"/>
      <c r="AN78" s="1270">
        <f t="shared" si="35"/>
        <v>20.961647947828787</v>
      </c>
      <c r="AO78" s="1271">
        <f t="shared" si="36"/>
        <v>21.567436208991491</v>
      </c>
      <c r="AP78" s="1271">
        <f t="shared" si="37"/>
        <v>18.953788411916491</v>
      </c>
      <c r="AQ78" s="1271">
        <f t="shared" si="38"/>
        <v>19.784172661870503</v>
      </c>
      <c r="AR78" s="1271">
        <f t="shared" si="39"/>
        <v>17.69538655993259</v>
      </c>
      <c r="AS78" s="1271">
        <f t="shared" si="40"/>
        <v>15.696161353285619</v>
      </c>
      <c r="AT78" s="1271">
        <f t="shared" si="41"/>
        <v>17.464990451941439</v>
      </c>
      <c r="AU78" s="1271">
        <f t="shared" si="42"/>
        <v>17.389612915775142</v>
      </c>
      <c r="AV78" s="1271">
        <f t="shared" si="43"/>
        <v>18.713861540865761</v>
      </c>
      <c r="AW78" s="1271">
        <f t="shared" si="44"/>
        <v>18.450759050214092</v>
      </c>
      <c r="AX78" s="1271">
        <f t="shared" si="45"/>
        <v>15.83052031195437</v>
      </c>
      <c r="AY78" s="1271">
        <f t="shared" si="46"/>
        <v>14.942486222583867</v>
      </c>
      <c r="AZ78" s="1271">
        <f t="shared" si="47"/>
        <v>13.055727341441626</v>
      </c>
      <c r="BA78" s="1271">
        <f t="shared" si="48"/>
        <v>10.900553412711723</v>
      </c>
      <c r="BB78" s="1523">
        <f t="shared" si="49"/>
        <v>10.620220900594733</v>
      </c>
      <c r="BC78" s="1525">
        <f t="shared" si="50"/>
        <v>8.7932467864679928</v>
      </c>
      <c r="BD78" s="1866">
        <f t="shared" si="51"/>
        <v>7.7399867853884148</v>
      </c>
    </row>
    <row r="79" spans="1:56" s="142" customFormat="1" ht="15.75" customHeight="1" x14ac:dyDescent="0.2">
      <c r="A79" s="149" t="s">
        <v>190</v>
      </c>
      <c r="B79" s="189" t="s">
        <v>191</v>
      </c>
      <c r="C79" s="150" t="s">
        <v>268</v>
      </c>
      <c r="D79" s="1221">
        <v>70</v>
      </c>
      <c r="E79" s="1222">
        <v>58</v>
      </c>
      <c r="F79" s="1223">
        <v>50</v>
      </c>
      <c r="G79" s="1222">
        <v>65</v>
      </c>
      <c r="H79" s="1223">
        <v>47</v>
      </c>
      <c r="I79" s="1222">
        <v>36</v>
      </c>
      <c r="J79" s="1223">
        <v>44</v>
      </c>
      <c r="K79" s="1222">
        <v>47</v>
      </c>
      <c r="L79" s="1236">
        <v>44</v>
      </c>
      <c r="M79" s="1236">
        <v>43</v>
      </c>
      <c r="N79" s="1236">
        <v>51</v>
      </c>
      <c r="O79" s="1236">
        <v>65</v>
      </c>
      <c r="P79" s="1237">
        <v>42</v>
      </c>
      <c r="Q79" s="1237">
        <v>36</v>
      </c>
      <c r="R79" s="1510">
        <v>48</v>
      </c>
      <c r="S79" s="1511">
        <v>40</v>
      </c>
      <c r="T79" s="1858">
        <v>32</v>
      </c>
      <c r="U79" s="1858"/>
      <c r="V79" s="1244">
        <v>1944</v>
      </c>
      <c r="W79" s="1245">
        <v>1894</v>
      </c>
      <c r="X79" s="1245">
        <v>1914</v>
      </c>
      <c r="Y79" s="1245">
        <v>1923</v>
      </c>
      <c r="Z79" s="1245">
        <v>1907</v>
      </c>
      <c r="AA79" s="1245">
        <v>1920</v>
      </c>
      <c r="AB79" s="1245">
        <v>1900</v>
      </c>
      <c r="AC79" s="1245">
        <v>1846</v>
      </c>
      <c r="AD79" s="1245">
        <v>1830</v>
      </c>
      <c r="AE79" s="1245">
        <v>1810</v>
      </c>
      <c r="AF79" s="1245">
        <v>1813</v>
      </c>
      <c r="AG79" s="1245">
        <v>1821</v>
      </c>
      <c r="AH79" s="1245">
        <v>1908</v>
      </c>
      <c r="AI79" s="1245">
        <v>1826</v>
      </c>
      <c r="AJ79" s="1513">
        <v>1805</v>
      </c>
      <c r="AK79" s="1514">
        <v>1738</v>
      </c>
      <c r="AL79" s="1859">
        <v>1670</v>
      </c>
      <c r="AM79" s="1859"/>
      <c r="AN79" s="1270">
        <f t="shared" si="35"/>
        <v>36.008230452674901</v>
      </c>
      <c r="AO79" s="1271">
        <f t="shared" si="36"/>
        <v>30.623020063357973</v>
      </c>
      <c r="AP79" s="1271">
        <f t="shared" si="37"/>
        <v>26.123301985370951</v>
      </c>
      <c r="AQ79" s="1271">
        <f t="shared" si="38"/>
        <v>33.801352054082159</v>
      </c>
      <c r="AR79" s="1271">
        <f t="shared" si="39"/>
        <v>24.646040901940221</v>
      </c>
      <c r="AS79" s="1271">
        <f t="shared" si="40"/>
        <v>18.75</v>
      </c>
      <c r="AT79" s="1271">
        <f t="shared" si="41"/>
        <v>23.157894736842106</v>
      </c>
      <c r="AU79" s="1271">
        <f t="shared" si="42"/>
        <v>25.460455037919829</v>
      </c>
      <c r="AV79" s="1271">
        <f t="shared" si="43"/>
        <v>24.043715846994537</v>
      </c>
      <c r="AW79" s="1271">
        <f t="shared" si="44"/>
        <v>23.756906077348066</v>
      </c>
      <c r="AX79" s="1271">
        <f t="shared" si="45"/>
        <v>28.130170987313846</v>
      </c>
      <c r="AY79" s="1271">
        <f t="shared" si="46"/>
        <v>35.694673256452504</v>
      </c>
      <c r="AZ79" s="1271">
        <f t="shared" si="47"/>
        <v>22.012578616352201</v>
      </c>
      <c r="BA79" s="1271">
        <f t="shared" si="48"/>
        <v>19.715224534501644</v>
      </c>
      <c r="BB79" s="1523">
        <f t="shared" si="49"/>
        <v>26.592797783933516</v>
      </c>
      <c r="BC79" s="1525">
        <f t="shared" si="50"/>
        <v>23.014959723820485</v>
      </c>
      <c r="BD79" s="1866">
        <f t="shared" si="51"/>
        <v>19.161676646706585</v>
      </c>
    </row>
    <row r="80" spans="1:56" s="142" customFormat="1" ht="15.75" customHeight="1" x14ac:dyDescent="0.2">
      <c r="A80" s="149" t="s">
        <v>194</v>
      </c>
      <c r="B80" s="189" t="s">
        <v>195</v>
      </c>
      <c r="C80" s="150" t="s">
        <v>267</v>
      </c>
      <c r="D80" s="1221">
        <v>8</v>
      </c>
      <c r="E80" s="1222">
        <v>9</v>
      </c>
      <c r="F80" s="1223">
        <v>5</v>
      </c>
      <c r="G80" s="1222">
        <v>11</v>
      </c>
      <c r="H80" s="1223">
        <v>6</v>
      </c>
      <c r="I80" s="1222">
        <v>2</v>
      </c>
      <c r="J80" s="1223">
        <v>4</v>
      </c>
      <c r="K80" s="1222">
        <v>8</v>
      </c>
      <c r="L80" s="1236">
        <v>5</v>
      </c>
      <c r="M80" s="1236">
        <v>6</v>
      </c>
      <c r="N80" s="1236">
        <v>6</v>
      </c>
      <c r="O80" s="1236">
        <v>4</v>
      </c>
      <c r="P80" s="1237">
        <v>3</v>
      </c>
      <c r="Q80" s="1237">
        <v>6</v>
      </c>
      <c r="R80" s="1510">
        <v>4</v>
      </c>
      <c r="S80" s="1511">
        <v>1</v>
      </c>
      <c r="T80" s="1858">
        <v>3</v>
      </c>
      <c r="U80" s="1858"/>
      <c r="V80" s="1244">
        <v>465</v>
      </c>
      <c r="W80" s="1245">
        <v>473</v>
      </c>
      <c r="X80" s="1245">
        <v>462</v>
      </c>
      <c r="Y80" s="1245">
        <v>469</v>
      </c>
      <c r="Z80" s="1245">
        <v>459</v>
      </c>
      <c r="AA80" s="1245">
        <v>471</v>
      </c>
      <c r="AB80" s="1245">
        <v>476</v>
      </c>
      <c r="AC80" s="1245">
        <v>455</v>
      </c>
      <c r="AD80" s="1245">
        <v>436</v>
      </c>
      <c r="AE80" s="1245">
        <v>415</v>
      </c>
      <c r="AF80" s="1245">
        <v>404</v>
      </c>
      <c r="AG80" s="1245">
        <v>407</v>
      </c>
      <c r="AH80" s="1245">
        <v>438</v>
      </c>
      <c r="AI80" s="1245">
        <v>439</v>
      </c>
      <c r="AJ80" s="1513">
        <v>420</v>
      </c>
      <c r="AK80" s="1514">
        <v>421</v>
      </c>
      <c r="AL80" s="1859">
        <v>397</v>
      </c>
      <c r="AM80" s="1859"/>
      <c r="AN80" s="1270">
        <f t="shared" si="35"/>
        <v>17.204301075268816</v>
      </c>
      <c r="AO80" s="1271">
        <f t="shared" si="36"/>
        <v>19.027484143763214</v>
      </c>
      <c r="AP80" s="1271">
        <f t="shared" si="37"/>
        <v>10.822510822510822</v>
      </c>
      <c r="AQ80" s="1271">
        <f t="shared" si="38"/>
        <v>23.454157782515992</v>
      </c>
      <c r="AR80" s="1271">
        <f t="shared" si="39"/>
        <v>13.071895424836601</v>
      </c>
      <c r="AS80" s="1271">
        <f t="shared" si="40"/>
        <v>4.2462845010615711</v>
      </c>
      <c r="AT80" s="1271">
        <f t="shared" si="41"/>
        <v>8.4033613445378155</v>
      </c>
      <c r="AU80" s="1271">
        <f t="shared" si="42"/>
        <v>17.582417582417584</v>
      </c>
      <c r="AV80" s="1271">
        <f t="shared" si="43"/>
        <v>11.467889908256881</v>
      </c>
      <c r="AW80" s="1271">
        <f t="shared" si="44"/>
        <v>14.457831325301205</v>
      </c>
      <c r="AX80" s="1271">
        <f t="shared" si="45"/>
        <v>14.85148514851485</v>
      </c>
      <c r="AY80" s="1271">
        <f t="shared" si="46"/>
        <v>9.8280098280098276</v>
      </c>
      <c r="AZ80" s="1271">
        <f t="shared" si="47"/>
        <v>6.8493150684931505</v>
      </c>
      <c r="BA80" s="1271">
        <f t="shared" si="48"/>
        <v>13.66742596810934</v>
      </c>
      <c r="BB80" s="1523">
        <f t="shared" si="49"/>
        <v>9.5238095238095255</v>
      </c>
      <c r="BC80" s="1525">
        <f t="shared" si="50"/>
        <v>2.3752969121140142</v>
      </c>
      <c r="BD80" s="1866">
        <f t="shared" si="51"/>
        <v>7.5566750629722916</v>
      </c>
    </row>
    <row r="81" spans="1:56" s="142" customFormat="1" ht="15.75" customHeight="1" x14ac:dyDescent="0.2">
      <c r="A81" s="149" t="s">
        <v>198</v>
      </c>
      <c r="B81" s="189" t="s">
        <v>272</v>
      </c>
      <c r="C81" s="150" t="s">
        <v>266</v>
      </c>
      <c r="D81" s="1221">
        <v>10</v>
      </c>
      <c r="E81" s="1222">
        <v>7</v>
      </c>
      <c r="F81" s="1223">
        <v>12</v>
      </c>
      <c r="G81" s="1222">
        <v>10</v>
      </c>
      <c r="H81" s="1223">
        <v>10</v>
      </c>
      <c r="I81" s="1222">
        <v>8</v>
      </c>
      <c r="J81" s="1223">
        <v>8</v>
      </c>
      <c r="K81" s="1222">
        <v>10</v>
      </c>
      <c r="L81" s="1236">
        <v>11</v>
      </c>
      <c r="M81" s="1236">
        <v>14</v>
      </c>
      <c r="N81" s="1236">
        <v>6</v>
      </c>
      <c r="O81" s="1236">
        <v>12</v>
      </c>
      <c r="P81" s="1237">
        <v>11</v>
      </c>
      <c r="Q81" s="1237">
        <v>6</v>
      </c>
      <c r="R81" s="1510">
        <v>1</v>
      </c>
      <c r="S81" s="1511">
        <v>5</v>
      </c>
      <c r="T81" s="1858">
        <v>6</v>
      </c>
      <c r="U81" s="1858"/>
      <c r="V81" s="1244">
        <v>463</v>
      </c>
      <c r="W81" s="1245">
        <v>468</v>
      </c>
      <c r="X81" s="1245">
        <v>466</v>
      </c>
      <c r="Y81" s="1245">
        <v>464</v>
      </c>
      <c r="Z81" s="1245">
        <v>462</v>
      </c>
      <c r="AA81" s="1245">
        <v>454</v>
      </c>
      <c r="AB81" s="1245">
        <v>441</v>
      </c>
      <c r="AC81" s="1245">
        <v>394</v>
      </c>
      <c r="AD81" s="1245">
        <v>382</v>
      </c>
      <c r="AE81" s="1245">
        <v>369</v>
      </c>
      <c r="AF81" s="1245">
        <v>366</v>
      </c>
      <c r="AG81" s="1245">
        <v>378</v>
      </c>
      <c r="AH81" s="1245">
        <v>454</v>
      </c>
      <c r="AI81" s="1245">
        <v>435</v>
      </c>
      <c r="AJ81" s="1513">
        <v>444</v>
      </c>
      <c r="AK81" s="1514">
        <v>419</v>
      </c>
      <c r="AL81" s="1859">
        <v>411</v>
      </c>
      <c r="AM81" s="1859"/>
      <c r="AN81" s="1270">
        <f t="shared" si="35"/>
        <v>21.598272138228939</v>
      </c>
      <c r="AO81" s="1271">
        <f t="shared" si="36"/>
        <v>14.957264957264957</v>
      </c>
      <c r="AP81" s="1271">
        <f t="shared" si="37"/>
        <v>25.751072961373392</v>
      </c>
      <c r="AQ81" s="1271">
        <f t="shared" si="38"/>
        <v>21.551724137931036</v>
      </c>
      <c r="AR81" s="1271">
        <f t="shared" si="39"/>
        <v>21.645021645021643</v>
      </c>
      <c r="AS81" s="1271">
        <f t="shared" si="40"/>
        <v>17.621145374449341</v>
      </c>
      <c r="AT81" s="1271">
        <f t="shared" si="41"/>
        <v>18.140589569160998</v>
      </c>
      <c r="AU81" s="1271">
        <f t="shared" si="42"/>
        <v>25.380710659898476</v>
      </c>
      <c r="AV81" s="1271">
        <f t="shared" si="43"/>
        <v>28.795811518324605</v>
      </c>
      <c r="AW81" s="1271">
        <f t="shared" si="44"/>
        <v>37.940379403794033</v>
      </c>
      <c r="AX81" s="1271">
        <f t="shared" si="45"/>
        <v>16.393442622950822</v>
      </c>
      <c r="AY81" s="1271">
        <f t="shared" si="46"/>
        <v>31.746031746031743</v>
      </c>
      <c r="AZ81" s="1271">
        <f t="shared" si="47"/>
        <v>24.229074889867842</v>
      </c>
      <c r="BA81" s="1271">
        <f t="shared" si="48"/>
        <v>13.793103448275861</v>
      </c>
      <c r="BB81" s="1523">
        <f t="shared" si="49"/>
        <v>2.2522522522522523</v>
      </c>
      <c r="BC81" s="1525">
        <f t="shared" si="50"/>
        <v>11.933174224343675</v>
      </c>
      <c r="BD81" s="1866">
        <f t="shared" si="51"/>
        <v>14.598540145985401</v>
      </c>
    </row>
    <row r="82" spans="1:56" s="142" customFormat="1" ht="15.75" customHeight="1" x14ac:dyDescent="0.2">
      <c r="A82" s="149" t="s">
        <v>202</v>
      </c>
      <c r="B82" s="189" t="s">
        <v>301</v>
      </c>
      <c r="C82" s="150" t="s">
        <v>265</v>
      </c>
      <c r="D82" s="1221">
        <v>83</v>
      </c>
      <c r="E82" s="1222">
        <v>93</v>
      </c>
      <c r="F82" s="1223">
        <v>99</v>
      </c>
      <c r="G82" s="1222">
        <v>123</v>
      </c>
      <c r="H82" s="1223">
        <v>107</v>
      </c>
      <c r="I82" s="1222">
        <v>116</v>
      </c>
      <c r="J82" s="1223">
        <v>150</v>
      </c>
      <c r="K82" s="1222">
        <v>111</v>
      </c>
      <c r="L82" s="1236">
        <v>107</v>
      </c>
      <c r="M82" s="1236">
        <v>78</v>
      </c>
      <c r="N82" s="1236">
        <v>98</v>
      </c>
      <c r="O82" s="1236">
        <v>104</v>
      </c>
      <c r="P82" s="1237">
        <v>85</v>
      </c>
      <c r="Q82" s="1237">
        <v>72</v>
      </c>
      <c r="R82" s="1510">
        <v>65</v>
      </c>
      <c r="S82" s="1511">
        <v>68</v>
      </c>
      <c r="T82" s="1858">
        <v>53</v>
      </c>
      <c r="U82" s="1858"/>
      <c r="V82" s="1244">
        <v>7163</v>
      </c>
      <c r="W82" s="1245">
        <v>7170</v>
      </c>
      <c r="X82" s="1245">
        <v>7461</v>
      </c>
      <c r="Y82" s="1245">
        <v>7559</v>
      </c>
      <c r="Z82" s="1245">
        <v>7620</v>
      </c>
      <c r="AA82" s="1245">
        <v>7653</v>
      </c>
      <c r="AB82" s="1245">
        <v>7624</v>
      </c>
      <c r="AC82" s="1245">
        <v>7534</v>
      </c>
      <c r="AD82" s="1245">
        <v>7471</v>
      </c>
      <c r="AE82" s="1245">
        <v>7395</v>
      </c>
      <c r="AF82" s="1245">
        <v>7252</v>
      </c>
      <c r="AG82" s="1245">
        <v>7712</v>
      </c>
      <c r="AH82" s="1245">
        <v>7852</v>
      </c>
      <c r="AI82" s="1245">
        <v>7724</v>
      </c>
      <c r="AJ82" s="1513">
        <v>7605</v>
      </c>
      <c r="AK82" s="1514">
        <v>7659</v>
      </c>
      <c r="AL82" s="1859">
        <v>7586</v>
      </c>
      <c r="AM82" s="1859"/>
      <c r="AN82" s="1270">
        <f t="shared" si="35"/>
        <v>11.587323747033366</v>
      </c>
      <c r="AO82" s="1271">
        <f t="shared" si="36"/>
        <v>12.97071129707113</v>
      </c>
      <c r="AP82" s="1271">
        <f t="shared" si="37"/>
        <v>13.268998793727382</v>
      </c>
      <c r="AQ82" s="1271">
        <f t="shared" si="38"/>
        <v>16.271993649953696</v>
      </c>
      <c r="AR82" s="1271">
        <f t="shared" si="39"/>
        <v>14.041994750656167</v>
      </c>
      <c r="AS82" s="1271">
        <f t="shared" si="40"/>
        <v>15.157454592970076</v>
      </c>
      <c r="AT82" s="1271">
        <f t="shared" si="41"/>
        <v>19.67471143756558</v>
      </c>
      <c r="AU82" s="1271">
        <f t="shared" si="42"/>
        <v>14.733209450491106</v>
      </c>
      <c r="AV82" s="1271">
        <f t="shared" si="43"/>
        <v>14.322045241600856</v>
      </c>
      <c r="AW82" s="1271">
        <f t="shared" si="44"/>
        <v>10.547667342799189</v>
      </c>
      <c r="AX82" s="1271">
        <f t="shared" si="45"/>
        <v>13.513513513513514</v>
      </c>
      <c r="AY82" s="1271">
        <f t="shared" si="46"/>
        <v>13.485477178423237</v>
      </c>
      <c r="AZ82" s="1271">
        <f t="shared" si="47"/>
        <v>10.825267447784004</v>
      </c>
      <c r="BA82" s="1271">
        <f t="shared" si="48"/>
        <v>9.321595028482653</v>
      </c>
      <c r="BB82" s="1523">
        <f t="shared" si="49"/>
        <v>8.5470085470085486</v>
      </c>
      <c r="BC82" s="1525">
        <f t="shared" si="50"/>
        <v>8.8784436610523567</v>
      </c>
      <c r="BD82" s="1866">
        <f t="shared" si="51"/>
        <v>6.9865541787503291</v>
      </c>
    </row>
    <row r="83" spans="1:56" s="142" customFormat="1" ht="15.75" customHeight="1" x14ac:dyDescent="0.2">
      <c r="A83" s="149" t="s">
        <v>204</v>
      </c>
      <c r="B83" s="189" t="s">
        <v>293</v>
      </c>
      <c r="C83" s="150" t="s">
        <v>265</v>
      </c>
      <c r="D83" s="1221">
        <v>46</v>
      </c>
      <c r="E83" s="1222">
        <v>29</v>
      </c>
      <c r="F83" s="1223">
        <v>31</v>
      </c>
      <c r="G83" s="1222">
        <v>36</v>
      </c>
      <c r="H83" s="1223">
        <v>35</v>
      </c>
      <c r="I83" s="1222">
        <v>32</v>
      </c>
      <c r="J83" s="1223">
        <v>44</v>
      </c>
      <c r="K83" s="1222">
        <v>38</v>
      </c>
      <c r="L83" s="1236">
        <v>28</v>
      </c>
      <c r="M83" s="1236">
        <v>41</v>
      </c>
      <c r="N83" s="1236">
        <v>44</v>
      </c>
      <c r="O83" s="1236">
        <v>44</v>
      </c>
      <c r="P83" s="1237">
        <v>36</v>
      </c>
      <c r="Q83" s="1237">
        <v>33</v>
      </c>
      <c r="R83" s="1510">
        <v>25</v>
      </c>
      <c r="S83" s="1511">
        <v>18</v>
      </c>
      <c r="T83" s="1858">
        <v>31</v>
      </c>
      <c r="U83" s="1858"/>
      <c r="V83" s="1244">
        <v>2089</v>
      </c>
      <c r="W83" s="1245">
        <v>2084</v>
      </c>
      <c r="X83" s="1245">
        <v>2310</v>
      </c>
      <c r="Y83" s="1245">
        <v>2279</v>
      </c>
      <c r="Z83" s="1245">
        <v>2250</v>
      </c>
      <c r="AA83" s="1245">
        <v>2247</v>
      </c>
      <c r="AB83" s="1245">
        <v>2213</v>
      </c>
      <c r="AC83" s="1245">
        <v>2229</v>
      </c>
      <c r="AD83" s="1245">
        <v>2211</v>
      </c>
      <c r="AE83" s="1245">
        <v>2213</v>
      </c>
      <c r="AF83" s="1245">
        <v>2199</v>
      </c>
      <c r="AG83" s="1245">
        <v>2135</v>
      </c>
      <c r="AH83" s="1245">
        <v>2275</v>
      </c>
      <c r="AI83" s="1245">
        <v>2244</v>
      </c>
      <c r="AJ83" s="1513">
        <v>2268</v>
      </c>
      <c r="AK83" s="1514">
        <v>2267</v>
      </c>
      <c r="AL83" s="1859">
        <v>2289</v>
      </c>
      <c r="AM83" s="1859"/>
      <c r="AN83" s="1270">
        <f t="shared" si="35"/>
        <v>22.020105313547152</v>
      </c>
      <c r="AO83" s="1271">
        <f t="shared" si="36"/>
        <v>13.915547024952014</v>
      </c>
      <c r="AP83" s="1271">
        <f t="shared" si="37"/>
        <v>13.419913419913421</v>
      </c>
      <c r="AQ83" s="1271">
        <f t="shared" si="38"/>
        <v>15.796401930671347</v>
      </c>
      <c r="AR83" s="1271">
        <f t="shared" si="39"/>
        <v>15.555555555555555</v>
      </c>
      <c r="AS83" s="1271">
        <f t="shared" si="40"/>
        <v>14.241210502892745</v>
      </c>
      <c r="AT83" s="1271">
        <f t="shared" si="41"/>
        <v>19.882512426570266</v>
      </c>
      <c r="AU83" s="1271">
        <f t="shared" si="42"/>
        <v>17.048003589053387</v>
      </c>
      <c r="AV83" s="1271">
        <f t="shared" si="43"/>
        <v>12.663952962460424</v>
      </c>
      <c r="AW83" s="1271">
        <f t="shared" si="44"/>
        <v>18.526886579304112</v>
      </c>
      <c r="AX83" s="1271">
        <f t="shared" si="45"/>
        <v>20.009095043201455</v>
      </c>
      <c r="AY83" s="1271">
        <f t="shared" si="46"/>
        <v>20.608899297423889</v>
      </c>
      <c r="AZ83" s="1271">
        <f t="shared" si="47"/>
        <v>15.824175824175825</v>
      </c>
      <c r="BA83" s="1271">
        <f t="shared" si="48"/>
        <v>14.705882352941176</v>
      </c>
      <c r="BB83" s="1523">
        <f t="shared" si="49"/>
        <v>11.022927689594356</v>
      </c>
      <c r="BC83" s="1525">
        <f t="shared" si="50"/>
        <v>7.9400088222320235</v>
      </c>
      <c r="BD83" s="1866">
        <f t="shared" si="51"/>
        <v>13.543031891655744</v>
      </c>
    </row>
    <row r="84" spans="1:56" s="142" customFormat="1" ht="15.75" customHeight="1" x14ac:dyDescent="0.2">
      <c r="A84" s="149" t="s">
        <v>206</v>
      </c>
      <c r="B84" s="189" t="s">
        <v>294</v>
      </c>
      <c r="C84" s="150" t="s">
        <v>267</v>
      </c>
      <c r="D84" s="1221">
        <v>166</v>
      </c>
      <c r="E84" s="1222">
        <v>179</v>
      </c>
      <c r="F84" s="1223">
        <v>150</v>
      </c>
      <c r="G84" s="1222">
        <v>165</v>
      </c>
      <c r="H84" s="1223">
        <v>138</v>
      </c>
      <c r="I84" s="1222">
        <v>160</v>
      </c>
      <c r="J84" s="1223">
        <v>159</v>
      </c>
      <c r="K84" s="1222">
        <v>141</v>
      </c>
      <c r="L84" s="1236">
        <v>155</v>
      </c>
      <c r="M84" s="1236">
        <v>138</v>
      </c>
      <c r="N84" s="1236">
        <v>145</v>
      </c>
      <c r="O84" s="1236">
        <v>120</v>
      </c>
      <c r="P84" s="1237">
        <v>133</v>
      </c>
      <c r="Q84" s="1237">
        <v>124</v>
      </c>
      <c r="R84" s="1510">
        <v>90</v>
      </c>
      <c r="S84" s="1511">
        <v>110</v>
      </c>
      <c r="T84" s="1858">
        <v>96</v>
      </c>
      <c r="U84" s="1858"/>
      <c r="V84" s="1244">
        <v>7556</v>
      </c>
      <c r="W84" s="1245">
        <v>7629</v>
      </c>
      <c r="X84" s="1245">
        <v>9246</v>
      </c>
      <c r="Y84" s="1245">
        <v>8922</v>
      </c>
      <c r="Z84" s="1245">
        <v>8890</v>
      </c>
      <c r="AA84" s="1245">
        <v>8966</v>
      </c>
      <c r="AB84" s="1245">
        <v>8982</v>
      </c>
      <c r="AC84" s="1245">
        <v>8971</v>
      </c>
      <c r="AD84" s="1245">
        <v>9080</v>
      </c>
      <c r="AE84" s="1245">
        <v>9420</v>
      </c>
      <c r="AF84" s="1245">
        <v>9278</v>
      </c>
      <c r="AG84" s="1245">
        <v>9613</v>
      </c>
      <c r="AH84" s="1245">
        <v>10756</v>
      </c>
      <c r="AI84" s="1245">
        <v>10625</v>
      </c>
      <c r="AJ84" s="1513">
        <v>10687</v>
      </c>
      <c r="AK84" s="1514">
        <v>10758</v>
      </c>
      <c r="AL84" s="1859">
        <v>10786</v>
      </c>
      <c r="AM84" s="1859"/>
      <c r="AN84" s="1270">
        <f t="shared" si="35"/>
        <v>21.969295923769188</v>
      </c>
      <c r="AO84" s="1271">
        <f t="shared" si="36"/>
        <v>23.46310132389566</v>
      </c>
      <c r="AP84" s="1271">
        <f t="shared" si="37"/>
        <v>16.223231667748216</v>
      </c>
      <c r="AQ84" s="1271">
        <f t="shared" si="38"/>
        <v>18.493611297915265</v>
      </c>
      <c r="AR84" s="1271">
        <f t="shared" si="39"/>
        <v>15.523059617547807</v>
      </c>
      <c r="AS84" s="1271">
        <f t="shared" si="40"/>
        <v>17.845192951148785</v>
      </c>
      <c r="AT84" s="1271">
        <f t="shared" si="41"/>
        <v>17.702070808283231</v>
      </c>
      <c r="AU84" s="1271">
        <f t="shared" si="42"/>
        <v>15.717311336528816</v>
      </c>
      <c r="AV84" s="1271">
        <f t="shared" si="43"/>
        <v>17.070484581497798</v>
      </c>
      <c r="AW84" s="1271">
        <f t="shared" si="44"/>
        <v>14.64968152866242</v>
      </c>
      <c r="AX84" s="1271">
        <f t="shared" si="45"/>
        <v>15.628368182798017</v>
      </c>
      <c r="AY84" s="1271">
        <f t="shared" si="46"/>
        <v>12.483095807760325</v>
      </c>
      <c r="AZ84" s="1271">
        <f t="shared" si="47"/>
        <v>12.365191521011528</v>
      </c>
      <c r="BA84" s="1271">
        <f t="shared" si="48"/>
        <v>11.670588235294119</v>
      </c>
      <c r="BB84" s="1523">
        <f t="shared" si="49"/>
        <v>8.4214466173856088</v>
      </c>
      <c r="BC84" s="1525">
        <f t="shared" si="50"/>
        <v>10.224948875255624</v>
      </c>
      <c r="BD84" s="1866">
        <f t="shared" si="51"/>
        <v>8.9004264787687735</v>
      </c>
    </row>
    <row r="85" spans="1:56" s="142" customFormat="1" ht="15.75" customHeight="1" x14ac:dyDescent="0.2">
      <c r="A85" s="149" t="s">
        <v>208</v>
      </c>
      <c r="B85" s="189" t="s">
        <v>209</v>
      </c>
      <c r="C85" s="150" t="s">
        <v>268</v>
      </c>
      <c r="D85" s="1221">
        <v>56</v>
      </c>
      <c r="E85" s="1222">
        <v>51</v>
      </c>
      <c r="F85" s="1223">
        <v>42</v>
      </c>
      <c r="G85" s="1222">
        <v>47</v>
      </c>
      <c r="H85" s="1223">
        <v>34</v>
      </c>
      <c r="I85" s="1222">
        <v>41</v>
      </c>
      <c r="J85" s="1223">
        <v>34</v>
      </c>
      <c r="K85" s="1222">
        <v>25</v>
      </c>
      <c r="L85" s="1236">
        <v>41</v>
      </c>
      <c r="M85" s="1236">
        <v>27</v>
      </c>
      <c r="N85" s="1236">
        <v>48</v>
      </c>
      <c r="O85" s="1236">
        <v>39</v>
      </c>
      <c r="P85" s="1237">
        <v>45</v>
      </c>
      <c r="Q85" s="1237">
        <v>32</v>
      </c>
      <c r="R85" s="1510">
        <v>36</v>
      </c>
      <c r="S85" s="1511">
        <v>47</v>
      </c>
      <c r="T85" s="1858">
        <v>31</v>
      </c>
      <c r="U85" s="1858"/>
      <c r="V85" s="1244">
        <v>1787</v>
      </c>
      <c r="W85" s="1245">
        <v>1739</v>
      </c>
      <c r="X85" s="1245">
        <v>1824</v>
      </c>
      <c r="Y85" s="1245">
        <v>1765</v>
      </c>
      <c r="Z85" s="1245">
        <v>1739</v>
      </c>
      <c r="AA85" s="1245">
        <v>1726</v>
      </c>
      <c r="AB85" s="1245">
        <v>1724</v>
      </c>
      <c r="AC85" s="1245">
        <v>1711</v>
      </c>
      <c r="AD85" s="1245">
        <v>1699</v>
      </c>
      <c r="AE85" s="1245">
        <v>1680</v>
      </c>
      <c r="AF85" s="1245">
        <v>1674</v>
      </c>
      <c r="AG85" s="1245">
        <v>1683</v>
      </c>
      <c r="AH85" s="1245">
        <v>1697</v>
      </c>
      <c r="AI85" s="1245">
        <v>1628</v>
      </c>
      <c r="AJ85" s="1513">
        <v>1558</v>
      </c>
      <c r="AK85" s="1514">
        <v>1534</v>
      </c>
      <c r="AL85" s="1859">
        <v>1544</v>
      </c>
      <c r="AM85" s="1859"/>
      <c r="AN85" s="1270">
        <f t="shared" si="35"/>
        <v>31.337437045327363</v>
      </c>
      <c r="AO85" s="1271">
        <f t="shared" si="36"/>
        <v>29.327199539965498</v>
      </c>
      <c r="AP85" s="1271">
        <f t="shared" si="37"/>
        <v>23.026315789473681</v>
      </c>
      <c r="AQ85" s="1271">
        <f t="shared" si="38"/>
        <v>26.628895184135978</v>
      </c>
      <c r="AR85" s="1271">
        <f t="shared" si="39"/>
        <v>19.551466359976999</v>
      </c>
      <c r="AS85" s="1271">
        <f t="shared" si="40"/>
        <v>23.754345307068366</v>
      </c>
      <c r="AT85" s="1271">
        <f t="shared" si="41"/>
        <v>19.721577726218097</v>
      </c>
      <c r="AU85" s="1271">
        <f t="shared" si="42"/>
        <v>14.611338398597312</v>
      </c>
      <c r="AV85" s="1271">
        <f t="shared" si="43"/>
        <v>24.131842260153032</v>
      </c>
      <c r="AW85" s="1271">
        <f t="shared" si="44"/>
        <v>16.071428571428569</v>
      </c>
      <c r="AX85" s="1271">
        <f t="shared" si="45"/>
        <v>28.673835125448029</v>
      </c>
      <c r="AY85" s="1271">
        <f t="shared" si="46"/>
        <v>23.172905525846705</v>
      </c>
      <c r="AZ85" s="1271">
        <f t="shared" si="47"/>
        <v>26.517383618149676</v>
      </c>
      <c r="BA85" s="1271">
        <f t="shared" si="48"/>
        <v>19.656019656019655</v>
      </c>
      <c r="BB85" s="1523">
        <f t="shared" si="49"/>
        <v>23.106546854942234</v>
      </c>
      <c r="BC85" s="1525">
        <f t="shared" si="50"/>
        <v>30.638852672750978</v>
      </c>
      <c r="BD85" s="1866">
        <f t="shared" si="51"/>
        <v>20.077720207253883</v>
      </c>
    </row>
    <row r="86" spans="1:56" s="142" customFormat="1" ht="15.75" customHeight="1" x14ac:dyDescent="0.2">
      <c r="A86" s="149" t="s">
        <v>210</v>
      </c>
      <c r="B86" s="189" t="s">
        <v>211</v>
      </c>
      <c r="C86" s="150" t="s">
        <v>268</v>
      </c>
      <c r="D86" s="1221">
        <v>39</v>
      </c>
      <c r="E86" s="1222">
        <v>34</v>
      </c>
      <c r="F86" s="1223">
        <v>34</v>
      </c>
      <c r="G86" s="1222">
        <v>42</v>
      </c>
      <c r="H86" s="1223">
        <v>27</v>
      </c>
      <c r="I86" s="1222">
        <v>26</v>
      </c>
      <c r="J86" s="1223">
        <v>32</v>
      </c>
      <c r="K86" s="1222">
        <v>29</v>
      </c>
      <c r="L86" s="1236">
        <v>30</v>
      </c>
      <c r="M86" s="1236">
        <v>26</v>
      </c>
      <c r="N86" s="1236">
        <v>29</v>
      </c>
      <c r="O86" s="1236">
        <v>33</v>
      </c>
      <c r="P86" s="1237">
        <v>29</v>
      </c>
      <c r="Q86" s="1237">
        <v>34</v>
      </c>
      <c r="R86" s="1510">
        <v>19</v>
      </c>
      <c r="S86" s="1511">
        <v>19</v>
      </c>
      <c r="T86" s="1858">
        <v>15</v>
      </c>
      <c r="U86" s="1858"/>
      <c r="V86" s="1244">
        <v>1341</v>
      </c>
      <c r="W86" s="1245">
        <v>1316</v>
      </c>
      <c r="X86" s="1245">
        <v>1391</v>
      </c>
      <c r="Y86" s="1245">
        <v>1363</v>
      </c>
      <c r="Z86" s="1245">
        <v>1318</v>
      </c>
      <c r="AA86" s="1245">
        <v>1289</v>
      </c>
      <c r="AB86" s="1245">
        <v>1291</v>
      </c>
      <c r="AC86" s="1245">
        <v>1274</v>
      </c>
      <c r="AD86" s="1245">
        <v>1230</v>
      </c>
      <c r="AE86" s="1245">
        <v>1201</v>
      </c>
      <c r="AF86" s="1245">
        <v>1189</v>
      </c>
      <c r="AG86" s="1245">
        <v>1195</v>
      </c>
      <c r="AH86" s="1245">
        <v>1275</v>
      </c>
      <c r="AI86" s="1245">
        <v>1243</v>
      </c>
      <c r="AJ86" s="1513">
        <v>1243</v>
      </c>
      <c r="AK86" s="1514">
        <v>1228</v>
      </c>
      <c r="AL86" s="1859">
        <v>1214</v>
      </c>
      <c r="AM86" s="1859"/>
      <c r="AN86" s="1270">
        <f t="shared" si="35"/>
        <v>29.082774049217001</v>
      </c>
      <c r="AO86" s="1271">
        <f t="shared" si="36"/>
        <v>25.835866261398177</v>
      </c>
      <c r="AP86" s="1271">
        <f t="shared" si="37"/>
        <v>24.442846872753414</v>
      </c>
      <c r="AQ86" s="1271">
        <f t="shared" si="38"/>
        <v>30.814380044020542</v>
      </c>
      <c r="AR86" s="1271">
        <f t="shared" si="39"/>
        <v>20.485584218512901</v>
      </c>
      <c r="AS86" s="1271">
        <f t="shared" si="40"/>
        <v>20.17067494181536</v>
      </c>
      <c r="AT86" s="1271">
        <f t="shared" si="41"/>
        <v>24.786986831913246</v>
      </c>
      <c r="AU86" s="1271">
        <f t="shared" si="42"/>
        <v>22.762951334379906</v>
      </c>
      <c r="AV86" s="1271">
        <f t="shared" si="43"/>
        <v>24.390243902439025</v>
      </c>
      <c r="AW86" s="1271">
        <f t="shared" si="44"/>
        <v>21.64862614487927</v>
      </c>
      <c r="AX86" s="1271">
        <f t="shared" si="45"/>
        <v>24.390243902439025</v>
      </c>
      <c r="AY86" s="1271">
        <f t="shared" si="46"/>
        <v>27.615062761506277</v>
      </c>
      <c r="AZ86" s="1271">
        <f t="shared" si="47"/>
        <v>22.745098039215684</v>
      </c>
      <c r="BA86" s="1271">
        <f t="shared" si="48"/>
        <v>27.353177795655672</v>
      </c>
      <c r="BB86" s="1523">
        <f t="shared" si="49"/>
        <v>15.285599356395815</v>
      </c>
      <c r="BC86" s="1525">
        <f t="shared" si="50"/>
        <v>15.472312703583063</v>
      </c>
      <c r="BD86" s="1866">
        <f t="shared" si="51"/>
        <v>12.355848434925866</v>
      </c>
    </row>
    <row r="87" spans="1:56" s="142" customFormat="1" ht="15.75" customHeight="1" x14ac:dyDescent="0.2">
      <c r="A87" s="149" t="s">
        <v>212</v>
      </c>
      <c r="B87" s="189" t="s">
        <v>213</v>
      </c>
      <c r="C87" s="150" t="s">
        <v>267</v>
      </c>
      <c r="D87" s="1221">
        <v>50</v>
      </c>
      <c r="E87" s="1222">
        <v>43</v>
      </c>
      <c r="F87" s="1223">
        <v>54</v>
      </c>
      <c r="G87" s="1222">
        <v>52</v>
      </c>
      <c r="H87" s="1223">
        <v>56</v>
      </c>
      <c r="I87" s="1222">
        <v>54</v>
      </c>
      <c r="J87" s="1223">
        <v>49</v>
      </c>
      <c r="K87" s="1222">
        <v>60</v>
      </c>
      <c r="L87" s="1236">
        <v>60</v>
      </c>
      <c r="M87" s="1236">
        <v>65</v>
      </c>
      <c r="N87" s="1236">
        <v>52</v>
      </c>
      <c r="O87" s="1236">
        <v>48</v>
      </c>
      <c r="P87" s="1237">
        <v>54</v>
      </c>
      <c r="Q87" s="1237">
        <v>26</v>
      </c>
      <c r="R87" s="1510">
        <v>42</v>
      </c>
      <c r="S87" s="1511">
        <v>43</v>
      </c>
      <c r="T87" s="1858">
        <v>41</v>
      </c>
      <c r="U87" s="1858"/>
      <c r="V87" s="1244">
        <v>2065</v>
      </c>
      <c r="W87" s="1245">
        <v>2088</v>
      </c>
      <c r="X87" s="1245">
        <v>2170</v>
      </c>
      <c r="Y87" s="1245">
        <v>2236</v>
      </c>
      <c r="Z87" s="1245">
        <v>2230</v>
      </c>
      <c r="AA87" s="1245">
        <v>2255</v>
      </c>
      <c r="AB87" s="1245">
        <v>2314</v>
      </c>
      <c r="AC87" s="1245">
        <v>2351</v>
      </c>
      <c r="AD87" s="1245">
        <v>2343</v>
      </c>
      <c r="AE87" s="1245">
        <v>2345</v>
      </c>
      <c r="AF87" s="1245">
        <v>2335</v>
      </c>
      <c r="AG87" s="1245">
        <v>2409</v>
      </c>
      <c r="AH87" s="1245">
        <v>2519</v>
      </c>
      <c r="AI87" s="1245">
        <v>2519</v>
      </c>
      <c r="AJ87" s="1513">
        <v>2509</v>
      </c>
      <c r="AK87" s="1514">
        <v>2513</v>
      </c>
      <c r="AL87" s="1859">
        <v>2543</v>
      </c>
      <c r="AM87" s="1859"/>
      <c r="AN87" s="1270">
        <f t="shared" si="35"/>
        <v>24.213075060532688</v>
      </c>
      <c r="AO87" s="1271">
        <f t="shared" si="36"/>
        <v>20.593869731800766</v>
      </c>
      <c r="AP87" s="1271">
        <f t="shared" si="37"/>
        <v>24.88479262672811</v>
      </c>
      <c r="AQ87" s="1271">
        <f t="shared" si="38"/>
        <v>23.255813953488371</v>
      </c>
      <c r="AR87" s="1271">
        <f t="shared" si="39"/>
        <v>25.112107623318384</v>
      </c>
      <c r="AS87" s="1271">
        <f t="shared" si="40"/>
        <v>23.946784922394681</v>
      </c>
      <c r="AT87" s="1271">
        <f t="shared" si="41"/>
        <v>21.175453759723425</v>
      </c>
      <c r="AU87" s="1271">
        <f t="shared" si="42"/>
        <v>25.521054870267971</v>
      </c>
      <c r="AV87" s="1271">
        <f t="shared" si="43"/>
        <v>25.608194622279129</v>
      </c>
      <c r="AW87" s="1271">
        <f t="shared" si="44"/>
        <v>27.718550106609808</v>
      </c>
      <c r="AX87" s="1271">
        <f t="shared" si="45"/>
        <v>22.26980728051392</v>
      </c>
      <c r="AY87" s="1271">
        <f t="shared" si="46"/>
        <v>19.925280199252803</v>
      </c>
      <c r="AZ87" s="1271">
        <f t="shared" si="47"/>
        <v>21.437078205637157</v>
      </c>
      <c r="BA87" s="1271">
        <f t="shared" si="48"/>
        <v>10.321556173084558</v>
      </c>
      <c r="BB87" s="1523">
        <f t="shared" si="49"/>
        <v>16.739736946990835</v>
      </c>
      <c r="BC87" s="1525">
        <f t="shared" si="50"/>
        <v>17.111022682053324</v>
      </c>
      <c r="BD87" s="1866">
        <f t="shared" si="51"/>
        <v>16.122689736531655</v>
      </c>
    </row>
    <row r="88" spans="1:56" s="142" customFormat="1" ht="15.75" customHeight="1" x14ac:dyDescent="0.2">
      <c r="A88" s="149" t="s">
        <v>214</v>
      </c>
      <c r="B88" s="189" t="s">
        <v>215</v>
      </c>
      <c r="C88" s="150" t="s">
        <v>268</v>
      </c>
      <c r="D88" s="1221">
        <v>65</v>
      </c>
      <c r="E88" s="1222">
        <v>54</v>
      </c>
      <c r="F88" s="1223">
        <v>56</v>
      </c>
      <c r="G88" s="1222">
        <v>56</v>
      </c>
      <c r="H88" s="1223">
        <v>57</v>
      </c>
      <c r="I88" s="1222">
        <v>73</v>
      </c>
      <c r="J88" s="1223">
        <v>39</v>
      </c>
      <c r="K88" s="1222">
        <v>57</v>
      </c>
      <c r="L88" s="1236">
        <v>58</v>
      </c>
      <c r="M88" s="1236">
        <v>70</v>
      </c>
      <c r="N88" s="1236">
        <v>69</v>
      </c>
      <c r="O88" s="1236">
        <v>47</v>
      </c>
      <c r="P88" s="1237">
        <v>66</v>
      </c>
      <c r="Q88" s="1237">
        <v>65</v>
      </c>
      <c r="R88" s="1510">
        <v>51</v>
      </c>
      <c r="S88" s="1511">
        <v>34</v>
      </c>
      <c r="T88" s="1858">
        <v>37</v>
      </c>
      <c r="U88" s="1858"/>
      <c r="V88" s="1244">
        <v>2121</v>
      </c>
      <c r="W88" s="1245">
        <v>2102</v>
      </c>
      <c r="X88" s="1245">
        <v>2006</v>
      </c>
      <c r="Y88" s="1245">
        <v>1959</v>
      </c>
      <c r="Z88" s="1245">
        <v>1963</v>
      </c>
      <c r="AA88" s="1245">
        <v>1999</v>
      </c>
      <c r="AB88" s="1245">
        <v>2006</v>
      </c>
      <c r="AC88" s="1245">
        <v>2095</v>
      </c>
      <c r="AD88" s="1245">
        <v>2053</v>
      </c>
      <c r="AE88" s="1245">
        <v>1999</v>
      </c>
      <c r="AF88" s="1245">
        <v>1948</v>
      </c>
      <c r="AG88" s="1245">
        <v>1848</v>
      </c>
      <c r="AH88" s="1245">
        <v>1952</v>
      </c>
      <c r="AI88" s="1245">
        <v>1860</v>
      </c>
      <c r="AJ88" s="1513">
        <v>1833</v>
      </c>
      <c r="AK88" s="1514">
        <v>1775</v>
      </c>
      <c r="AL88" s="1859">
        <v>1756</v>
      </c>
      <c r="AM88" s="1859"/>
      <c r="AN88" s="1270">
        <f t="shared" si="35"/>
        <v>30.645921735030647</v>
      </c>
      <c r="AO88" s="1271">
        <f t="shared" si="36"/>
        <v>25.689819219790675</v>
      </c>
      <c r="AP88" s="1271">
        <f t="shared" si="37"/>
        <v>27.916251246261215</v>
      </c>
      <c r="AQ88" s="1271">
        <f t="shared" si="38"/>
        <v>28.58601327207759</v>
      </c>
      <c r="AR88" s="1271">
        <f t="shared" si="39"/>
        <v>29.037187977585329</v>
      </c>
      <c r="AS88" s="1271">
        <f t="shared" si="40"/>
        <v>36.518259129564782</v>
      </c>
      <c r="AT88" s="1271">
        <f t="shared" si="41"/>
        <v>19.441674975074775</v>
      </c>
      <c r="AU88" s="1271">
        <f t="shared" si="42"/>
        <v>27.207637231503579</v>
      </c>
      <c r="AV88" s="1271">
        <f t="shared" si="43"/>
        <v>28.251339503166101</v>
      </c>
      <c r="AW88" s="1271">
        <f t="shared" si="44"/>
        <v>35.017508754377189</v>
      </c>
      <c r="AX88" s="1271">
        <f t="shared" si="45"/>
        <v>35.420944558521555</v>
      </c>
      <c r="AY88" s="1271">
        <f t="shared" si="46"/>
        <v>25.432900432900432</v>
      </c>
      <c r="AZ88" s="1271">
        <f t="shared" si="47"/>
        <v>33.811475409836071</v>
      </c>
      <c r="BA88" s="1271">
        <f t="shared" si="48"/>
        <v>34.946236559139784</v>
      </c>
      <c r="BB88" s="1523">
        <f t="shared" si="49"/>
        <v>27.823240589198036</v>
      </c>
      <c r="BC88" s="1525">
        <f t="shared" si="50"/>
        <v>19.154929577464788</v>
      </c>
      <c r="BD88" s="1866">
        <f t="shared" si="51"/>
        <v>21.070615034168565</v>
      </c>
    </row>
    <row r="89" spans="1:56" s="142" customFormat="1" ht="15.75" customHeight="1" x14ac:dyDescent="0.2">
      <c r="A89" s="149" t="s">
        <v>216</v>
      </c>
      <c r="B89" s="189" t="s">
        <v>217</v>
      </c>
      <c r="C89" s="150" t="s">
        <v>264</v>
      </c>
      <c r="D89" s="1221">
        <v>28</v>
      </c>
      <c r="E89" s="1222">
        <v>24</v>
      </c>
      <c r="F89" s="1223">
        <v>29</v>
      </c>
      <c r="G89" s="1222">
        <v>31</v>
      </c>
      <c r="H89" s="1223">
        <v>23</v>
      </c>
      <c r="I89" s="1222">
        <v>19</v>
      </c>
      <c r="J89" s="1223">
        <v>20</v>
      </c>
      <c r="K89" s="1222">
        <v>19</v>
      </c>
      <c r="L89" s="1236">
        <v>23</v>
      </c>
      <c r="M89" s="1236">
        <v>26</v>
      </c>
      <c r="N89" s="1236">
        <v>25</v>
      </c>
      <c r="O89" s="1236">
        <v>21</v>
      </c>
      <c r="P89" s="1237">
        <v>14</v>
      </c>
      <c r="Q89" s="1237">
        <v>8</v>
      </c>
      <c r="R89" s="1510">
        <v>7</v>
      </c>
      <c r="S89" s="1511">
        <v>4</v>
      </c>
      <c r="T89" s="1858">
        <v>4</v>
      </c>
      <c r="U89" s="1858"/>
      <c r="V89" s="1244">
        <v>1004</v>
      </c>
      <c r="W89" s="1245">
        <v>996</v>
      </c>
      <c r="X89" s="1245">
        <v>1115</v>
      </c>
      <c r="Y89" s="1245">
        <v>1123</v>
      </c>
      <c r="Z89" s="1245">
        <v>1099</v>
      </c>
      <c r="AA89" s="1245">
        <v>1084</v>
      </c>
      <c r="AB89" s="1245">
        <v>1089</v>
      </c>
      <c r="AC89" s="1245">
        <v>1101</v>
      </c>
      <c r="AD89" s="1245">
        <v>1086</v>
      </c>
      <c r="AE89" s="1245">
        <v>1058</v>
      </c>
      <c r="AF89" s="1245">
        <v>1026</v>
      </c>
      <c r="AG89" s="1245">
        <v>1062</v>
      </c>
      <c r="AH89" s="1245">
        <v>1116</v>
      </c>
      <c r="AI89" s="1245">
        <v>1114</v>
      </c>
      <c r="AJ89" s="1513">
        <v>1099</v>
      </c>
      <c r="AK89" s="1514">
        <v>1082</v>
      </c>
      <c r="AL89" s="1859">
        <v>1017</v>
      </c>
      <c r="AM89" s="1859"/>
      <c r="AN89" s="1270">
        <f t="shared" si="35"/>
        <v>27.888446215139442</v>
      </c>
      <c r="AO89" s="1271">
        <f t="shared" si="36"/>
        <v>24.096385542168676</v>
      </c>
      <c r="AP89" s="1271">
        <f t="shared" si="37"/>
        <v>26.00896860986547</v>
      </c>
      <c r="AQ89" s="1271">
        <f t="shared" si="38"/>
        <v>27.604630454140697</v>
      </c>
      <c r="AR89" s="1271">
        <f t="shared" si="39"/>
        <v>20.928116469517743</v>
      </c>
      <c r="AS89" s="1271">
        <f t="shared" si="40"/>
        <v>17.527675276752767</v>
      </c>
      <c r="AT89" s="1271">
        <f t="shared" si="41"/>
        <v>18.365472910927455</v>
      </c>
      <c r="AU89" s="1271">
        <f t="shared" si="42"/>
        <v>17.257039055404178</v>
      </c>
      <c r="AV89" s="1271">
        <f t="shared" si="43"/>
        <v>21.178637200736649</v>
      </c>
      <c r="AW89" s="1271">
        <f t="shared" si="44"/>
        <v>24.574669187145556</v>
      </c>
      <c r="AX89" s="1271">
        <f t="shared" si="45"/>
        <v>24.366471734892787</v>
      </c>
      <c r="AY89" s="1271">
        <f t="shared" si="46"/>
        <v>19.774011299435031</v>
      </c>
      <c r="AZ89" s="1271">
        <f t="shared" si="47"/>
        <v>12.544802867383513</v>
      </c>
      <c r="BA89" s="1271">
        <f t="shared" si="48"/>
        <v>7.1813285457809695</v>
      </c>
      <c r="BB89" s="1523">
        <f t="shared" si="49"/>
        <v>6.369426751592357</v>
      </c>
      <c r="BC89" s="1525">
        <f t="shared" si="50"/>
        <v>3.6968576709796674</v>
      </c>
      <c r="BD89" s="1866">
        <f t="shared" si="51"/>
        <v>3.9331366764995086</v>
      </c>
    </row>
    <row r="90" spans="1:56" s="142" customFormat="1" ht="15.75" customHeight="1" x14ac:dyDescent="0.2">
      <c r="A90" s="149" t="s">
        <v>218</v>
      </c>
      <c r="B90" s="189" t="s">
        <v>219</v>
      </c>
      <c r="C90" s="150" t="s">
        <v>267</v>
      </c>
      <c r="D90" s="1221">
        <v>105</v>
      </c>
      <c r="E90" s="1222">
        <v>113</v>
      </c>
      <c r="F90" s="1223">
        <v>125</v>
      </c>
      <c r="G90" s="1222">
        <v>139</v>
      </c>
      <c r="H90" s="1223">
        <v>134</v>
      </c>
      <c r="I90" s="1222">
        <v>140</v>
      </c>
      <c r="J90" s="1223">
        <v>158</v>
      </c>
      <c r="K90" s="1222">
        <v>130</v>
      </c>
      <c r="L90" s="1236">
        <v>139</v>
      </c>
      <c r="M90" s="1236">
        <v>171</v>
      </c>
      <c r="N90" s="1236">
        <v>150</v>
      </c>
      <c r="O90" s="1236">
        <v>133</v>
      </c>
      <c r="P90" s="1237">
        <v>127</v>
      </c>
      <c r="Q90" s="1237">
        <v>107</v>
      </c>
      <c r="R90" s="1510">
        <v>100</v>
      </c>
      <c r="S90" s="1511">
        <v>94</v>
      </c>
      <c r="T90" s="1858">
        <v>75</v>
      </c>
      <c r="U90" s="1858"/>
      <c r="V90" s="1244">
        <v>5497</v>
      </c>
      <c r="W90" s="1245">
        <v>5632</v>
      </c>
      <c r="X90" s="1245">
        <v>6964</v>
      </c>
      <c r="Y90" s="1245">
        <v>7535</v>
      </c>
      <c r="Z90" s="1245">
        <v>7898</v>
      </c>
      <c r="AA90" s="1245">
        <v>8256</v>
      </c>
      <c r="AB90" s="1245">
        <v>8502</v>
      </c>
      <c r="AC90" s="1245">
        <v>8705</v>
      </c>
      <c r="AD90" s="1245">
        <v>8634</v>
      </c>
      <c r="AE90" s="1245">
        <v>8566</v>
      </c>
      <c r="AF90" s="1245">
        <v>8507</v>
      </c>
      <c r="AG90" s="1245">
        <v>9462</v>
      </c>
      <c r="AH90" s="1245">
        <v>9560</v>
      </c>
      <c r="AI90" s="1245">
        <v>9426</v>
      </c>
      <c r="AJ90" s="1513">
        <v>9326</v>
      </c>
      <c r="AK90" s="1514">
        <v>9421</v>
      </c>
      <c r="AL90" s="1859">
        <v>9376</v>
      </c>
      <c r="AM90" s="1859"/>
      <c r="AN90" s="1270">
        <f t="shared" si="35"/>
        <v>19.101327997089321</v>
      </c>
      <c r="AO90" s="1271">
        <f t="shared" si="36"/>
        <v>20.063920454545457</v>
      </c>
      <c r="AP90" s="1271">
        <f t="shared" si="37"/>
        <v>17.949454336588168</v>
      </c>
      <c r="AQ90" s="1271">
        <f t="shared" si="38"/>
        <v>18.447246184472462</v>
      </c>
      <c r="AR90" s="1271">
        <f t="shared" si="39"/>
        <v>16.966320587490504</v>
      </c>
      <c r="AS90" s="1271">
        <f t="shared" si="40"/>
        <v>16.95736434108527</v>
      </c>
      <c r="AT90" s="1271">
        <f t="shared" si="41"/>
        <v>18.583862620559866</v>
      </c>
      <c r="AU90" s="1271">
        <f t="shared" si="42"/>
        <v>14.933946008041357</v>
      </c>
      <c r="AV90" s="1271">
        <f t="shared" si="43"/>
        <v>16.099142923326383</v>
      </c>
      <c r="AW90" s="1271">
        <f t="shared" si="44"/>
        <v>19.962643007237919</v>
      </c>
      <c r="AX90" s="1271">
        <f t="shared" si="45"/>
        <v>17.632537909956508</v>
      </c>
      <c r="AY90" s="1271">
        <f t="shared" si="46"/>
        <v>14.056224899598392</v>
      </c>
      <c r="AZ90" s="1271">
        <f t="shared" si="47"/>
        <v>13.284518828451882</v>
      </c>
      <c r="BA90" s="1271">
        <f t="shared" si="48"/>
        <v>11.351580734139613</v>
      </c>
      <c r="BB90" s="1523">
        <f t="shared" si="49"/>
        <v>10.72271070126528</v>
      </c>
      <c r="BC90" s="1525">
        <f t="shared" si="50"/>
        <v>9.9777093726780599</v>
      </c>
      <c r="BD90" s="1866">
        <f t="shared" si="51"/>
        <v>7.9991467576791804</v>
      </c>
    </row>
    <row r="91" spans="1:56" s="142" customFormat="1" ht="15.75" customHeight="1" x14ac:dyDescent="0.2">
      <c r="A91" s="149" t="s">
        <v>220</v>
      </c>
      <c r="B91" s="189" t="s">
        <v>221</v>
      </c>
      <c r="C91" s="150" t="s">
        <v>267</v>
      </c>
      <c r="D91" s="1221">
        <v>131</v>
      </c>
      <c r="E91" s="1222">
        <v>123</v>
      </c>
      <c r="F91" s="1223">
        <v>99</v>
      </c>
      <c r="G91" s="1222">
        <v>112</v>
      </c>
      <c r="H91" s="1223">
        <v>118</v>
      </c>
      <c r="I91" s="1222">
        <v>134</v>
      </c>
      <c r="J91" s="1223">
        <v>119</v>
      </c>
      <c r="K91" s="1222">
        <v>124</v>
      </c>
      <c r="L91" s="1236">
        <v>134</v>
      </c>
      <c r="M91" s="1236">
        <v>133</v>
      </c>
      <c r="N91" s="1236">
        <v>120</v>
      </c>
      <c r="O91" s="1236">
        <v>111</v>
      </c>
      <c r="P91" s="1237">
        <v>82</v>
      </c>
      <c r="Q91" s="1237">
        <v>89</v>
      </c>
      <c r="R91" s="1510">
        <v>103</v>
      </c>
      <c r="S91" s="1511">
        <v>59</v>
      </c>
      <c r="T91" s="1858">
        <v>76</v>
      </c>
      <c r="U91" s="1858"/>
      <c r="V91" s="1244">
        <v>5888</v>
      </c>
      <c r="W91" s="1245">
        <v>6049</v>
      </c>
      <c r="X91" s="1245">
        <v>7564</v>
      </c>
      <c r="Y91" s="1245">
        <v>8188</v>
      </c>
      <c r="Z91" s="1245">
        <v>8624</v>
      </c>
      <c r="AA91" s="1245">
        <v>9085</v>
      </c>
      <c r="AB91" s="1245">
        <v>9313</v>
      </c>
      <c r="AC91" s="1245">
        <v>9440</v>
      </c>
      <c r="AD91" s="1245">
        <v>9376</v>
      </c>
      <c r="AE91" s="1245">
        <v>9393</v>
      </c>
      <c r="AF91" s="1245">
        <v>9346</v>
      </c>
      <c r="AG91" s="1245">
        <v>10621</v>
      </c>
      <c r="AH91" s="1245">
        <v>10676</v>
      </c>
      <c r="AI91" s="1245">
        <v>10874</v>
      </c>
      <c r="AJ91" s="1513">
        <v>10966</v>
      </c>
      <c r="AK91" s="1514">
        <v>11025</v>
      </c>
      <c r="AL91" s="1859">
        <v>11120</v>
      </c>
      <c r="AM91" s="1859"/>
      <c r="AN91" s="1270">
        <f t="shared" si="35"/>
        <v>22.248641304347828</v>
      </c>
      <c r="AO91" s="1271">
        <f t="shared" si="36"/>
        <v>20.333939494131261</v>
      </c>
      <c r="AP91" s="1271">
        <f t="shared" si="37"/>
        <v>13.088313061872025</v>
      </c>
      <c r="AQ91" s="1271">
        <f t="shared" si="38"/>
        <v>13.678553981436249</v>
      </c>
      <c r="AR91" s="1271">
        <f t="shared" si="39"/>
        <v>13.68274582560297</v>
      </c>
      <c r="AS91" s="1271">
        <f t="shared" si="40"/>
        <v>14.749587231700605</v>
      </c>
      <c r="AT91" s="1271">
        <f t="shared" si="41"/>
        <v>12.777837431547299</v>
      </c>
      <c r="AU91" s="1271">
        <f t="shared" si="42"/>
        <v>13.135593220338983</v>
      </c>
      <c r="AV91" s="1271">
        <f t="shared" si="43"/>
        <v>14.291808873720136</v>
      </c>
      <c r="AW91" s="1271">
        <f t="shared" si="44"/>
        <v>14.15948046417545</v>
      </c>
      <c r="AX91" s="1271">
        <f t="shared" si="45"/>
        <v>12.839717526214423</v>
      </c>
      <c r="AY91" s="1271">
        <f t="shared" si="46"/>
        <v>10.450993315130402</v>
      </c>
      <c r="AZ91" s="1271">
        <f t="shared" si="47"/>
        <v>7.6807793180966657</v>
      </c>
      <c r="BA91" s="1271">
        <f t="shared" si="48"/>
        <v>8.184660658451353</v>
      </c>
      <c r="BB91" s="1523">
        <f t="shared" si="49"/>
        <v>9.3926682473098673</v>
      </c>
      <c r="BC91" s="1525">
        <f t="shared" si="50"/>
        <v>5.3514739229024944</v>
      </c>
      <c r="BD91" s="1866">
        <f t="shared" si="51"/>
        <v>6.8345323741007187</v>
      </c>
    </row>
    <row r="92" spans="1:56" s="142" customFormat="1" ht="15.75" customHeight="1" x14ac:dyDescent="0.2">
      <c r="A92" s="149" t="s">
        <v>224</v>
      </c>
      <c r="B92" s="189" t="s">
        <v>225</v>
      </c>
      <c r="C92" s="150" t="s">
        <v>264</v>
      </c>
      <c r="D92" s="1221">
        <v>12</v>
      </c>
      <c r="E92" s="1222">
        <v>11</v>
      </c>
      <c r="F92" s="1223">
        <v>13</v>
      </c>
      <c r="G92" s="1222">
        <v>15</v>
      </c>
      <c r="H92" s="1223">
        <v>9</v>
      </c>
      <c r="I92" s="1222">
        <v>6</v>
      </c>
      <c r="J92" s="1223">
        <v>4</v>
      </c>
      <c r="K92" s="1222">
        <v>9</v>
      </c>
      <c r="L92" s="1236">
        <v>13</v>
      </c>
      <c r="M92" s="1236">
        <v>3</v>
      </c>
      <c r="N92" s="1236">
        <v>12</v>
      </c>
      <c r="O92" s="1236">
        <v>6</v>
      </c>
      <c r="P92" s="1237">
        <v>4</v>
      </c>
      <c r="Q92" s="1237">
        <v>5</v>
      </c>
      <c r="R92" s="1510">
        <v>1</v>
      </c>
      <c r="S92" s="1511">
        <v>2</v>
      </c>
      <c r="T92" s="1858">
        <v>3</v>
      </c>
      <c r="U92" s="1858"/>
      <c r="V92" s="1244">
        <v>465</v>
      </c>
      <c r="W92" s="1245">
        <v>466</v>
      </c>
      <c r="X92" s="1245">
        <v>526</v>
      </c>
      <c r="Y92" s="1245">
        <v>530</v>
      </c>
      <c r="Z92" s="1245">
        <v>520</v>
      </c>
      <c r="AA92" s="1245">
        <v>522</v>
      </c>
      <c r="AB92" s="1245">
        <v>519</v>
      </c>
      <c r="AC92" s="1245">
        <v>484</v>
      </c>
      <c r="AD92" s="1245">
        <v>478</v>
      </c>
      <c r="AE92" s="1245">
        <v>459</v>
      </c>
      <c r="AF92" s="1245">
        <v>447</v>
      </c>
      <c r="AG92" s="1245">
        <v>412</v>
      </c>
      <c r="AH92" s="1245">
        <v>431</v>
      </c>
      <c r="AI92" s="1245">
        <v>424</v>
      </c>
      <c r="AJ92" s="1513">
        <v>410</v>
      </c>
      <c r="AK92" s="1514">
        <v>387</v>
      </c>
      <c r="AL92" s="1859">
        <v>379</v>
      </c>
      <c r="AM92" s="1859"/>
      <c r="AN92" s="1270">
        <f t="shared" si="35"/>
        <v>25.806451612903224</v>
      </c>
      <c r="AO92" s="1271">
        <f t="shared" si="36"/>
        <v>23.605150214592275</v>
      </c>
      <c r="AP92" s="1271">
        <f t="shared" si="37"/>
        <v>24.714828897338403</v>
      </c>
      <c r="AQ92" s="1271">
        <f t="shared" si="38"/>
        <v>28.30188679245283</v>
      </c>
      <c r="AR92" s="1271">
        <f t="shared" si="39"/>
        <v>17.30769230769231</v>
      </c>
      <c r="AS92" s="1271">
        <f t="shared" si="40"/>
        <v>11.494252873563218</v>
      </c>
      <c r="AT92" s="1271">
        <f t="shared" si="41"/>
        <v>7.7071290944123314</v>
      </c>
      <c r="AU92" s="1271">
        <f t="shared" si="42"/>
        <v>18.595041322314049</v>
      </c>
      <c r="AV92" s="1271">
        <f t="shared" si="43"/>
        <v>27.196652719665273</v>
      </c>
      <c r="AW92" s="1271">
        <f t="shared" si="44"/>
        <v>6.5359477124183005</v>
      </c>
      <c r="AX92" s="1271">
        <f t="shared" si="45"/>
        <v>26.845637583892618</v>
      </c>
      <c r="AY92" s="1271">
        <f t="shared" si="46"/>
        <v>14.563106796116505</v>
      </c>
      <c r="AZ92" s="1271">
        <f t="shared" si="47"/>
        <v>9.2807424593967518</v>
      </c>
      <c r="BA92" s="1271">
        <f t="shared" si="48"/>
        <v>11.79245283018868</v>
      </c>
      <c r="BB92" s="1523">
        <f t="shared" si="49"/>
        <v>2.4390243902439024</v>
      </c>
      <c r="BC92" s="1525">
        <f t="shared" si="50"/>
        <v>5.1679586563307494</v>
      </c>
      <c r="BD92" s="1866">
        <f t="shared" si="51"/>
        <v>7.9155672823219003</v>
      </c>
    </row>
    <row r="93" spans="1:56" s="142" customFormat="1" ht="15.75" customHeight="1" x14ac:dyDescent="0.2">
      <c r="A93" s="149" t="s">
        <v>226</v>
      </c>
      <c r="B93" s="189" t="s">
        <v>227</v>
      </c>
      <c r="C93" s="150" t="s">
        <v>264</v>
      </c>
      <c r="D93" s="1221">
        <v>21</v>
      </c>
      <c r="E93" s="1222">
        <v>30</v>
      </c>
      <c r="F93" s="1223">
        <v>29</v>
      </c>
      <c r="G93" s="1222">
        <v>19</v>
      </c>
      <c r="H93" s="1223">
        <v>18</v>
      </c>
      <c r="I93" s="1222">
        <v>19</v>
      </c>
      <c r="J93" s="1223">
        <v>21</v>
      </c>
      <c r="K93" s="1222">
        <v>25</v>
      </c>
      <c r="L93" s="1236">
        <v>18</v>
      </c>
      <c r="M93" s="1236">
        <v>18</v>
      </c>
      <c r="N93" s="1236">
        <v>19</v>
      </c>
      <c r="O93" s="1236">
        <v>18</v>
      </c>
      <c r="P93" s="1237">
        <v>15</v>
      </c>
      <c r="Q93" s="1237">
        <v>18</v>
      </c>
      <c r="R93" s="1510">
        <v>10</v>
      </c>
      <c r="S93" s="1511">
        <v>12</v>
      </c>
      <c r="T93" s="1858">
        <v>6</v>
      </c>
      <c r="U93" s="1858"/>
      <c r="V93" s="1244">
        <v>696</v>
      </c>
      <c r="W93" s="1245">
        <v>696</v>
      </c>
      <c r="X93" s="1245">
        <v>633</v>
      </c>
      <c r="Y93" s="1245">
        <v>641</v>
      </c>
      <c r="Z93" s="1245">
        <v>651</v>
      </c>
      <c r="AA93" s="1245">
        <v>645</v>
      </c>
      <c r="AB93" s="1245">
        <v>635</v>
      </c>
      <c r="AC93" s="1245">
        <v>600</v>
      </c>
      <c r="AD93" s="1245">
        <v>599</v>
      </c>
      <c r="AE93" s="1245">
        <v>561</v>
      </c>
      <c r="AF93" s="1245">
        <v>545</v>
      </c>
      <c r="AG93" s="1245">
        <v>539</v>
      </c>
      <c r="AH93" s="1245">
        <v>557</v>
      </c>
      <c r="AI93" s="1245">
        <v>548</v>
      </c>
      <c r="AJ93" s="1513">
        <v>541</v>
      </c>
      <c r="AK93" s="1514">
        <v>518</v>
      </c>
      <c r="AL93" s="1859">
        <v>524</v>
      </c>
      <c r="AM93" s="1859"/>
      <c r="AN93" s="1270">
        <f t="shared" si="35"/>
        <v>30.172413793103448</v>
      </c>
      <c r="AO93" s="1271">
        <f t="shared" si="36"/>
        <v>43.103448275862071</v>
      </c>
      <c r="AP93" s="1271">
        <f t="shared" si="37"/>
        <v>45.813586097946285</v>
      </c>
      <c r="AQ93" s="1271">
        <f t="shared" si="38"/>
        <v>29.6411856474259</v>
      </c>
      <c r="AR93" s="1271">
        <f t="shared" si="39"/>
        <v>27.649769585253459</v>
      </c>
      <c r="AS93" s="1271">
        <f t="shared" si="40"/>
        <v>29.45736434108527</v>
      </c>
      <c r="AT93" s="1271">
        <f t="shared" si="41"/>
        <v>33.070866141732282</v>
      </c>
      <c r="AU93" s="1271">
        <f t="shared" si="42"/>
        <v>41.666666666666664</v>
      </c>
      <c r="AV93" s="1271">
        <f t="shared" si="43"/>
        <v>30.050083472454091</v>
      </c>
      <c r="AW93" s="1271">
        <f t="shared" si="44"/>
        <v>32.085561497326204</v>
      </c>
      <c r="AX93" s="1271">
        <f t="shared" si="45"/>
        <v>34.862385321100916</v>
      </c>
      <c r="AY93" s="1271">
        <f t="shared" si="46"/>
        <v>33.395176252319111</v>
      </c>
      <c r="AZ93" s="1271">
        <f t="shared" si="47"/>
        <v>26.929982046678635</v>
      </c>
      <c r="BA93" s="1271">
        <f t="shared" si="48"/>
        <v>32.846715328467155</v>
      </c>
      <c r="BB93" s="1523">
        <f t="shared" si="49"/>
        <v>18.484288354898339</v>
      </c>
      <c r="BC93" s="1525">
        <f t="shared" si="50"/>
        <v>23.166023166023166</v>
      </c>
      <c r="BD93" s="1866">
        <f t="shared" si="51"/>
        <v>11.450381679389313</v>
      </c>
    </row>
    <row r="94" spans="1:56" s="142" customFormat="1" ht="15.75" customHeight="1" x14ac:dyDescent="0.2">
      <c r="A94" s="149" t="s">
        <v>228</v>
      </c>
      <c r="B94" s="189" t="s">
        <v>229</v>
      </c>
      <c r="C94" s="150" t="s">
        <v>268</v>
      </c>
      <c r="D94" s="1221">
        <v>46</v>
      </c>
      <c r="E94" s="1222">
        <v>57</v>
      </c>
      <c r="F94" s="1223">
        <v>61</v>
      </c>
      <c r="G94" s="1222">
        <v>74</v>
      </c>
      <c r="H94" s="1223">
        <v>64</v>
      </c>
      <c r="I94" s="1222">
        <v>36</v>
      </c>
      <c r="J94" s="1223">
        <v>51</v>
      </c>
      <c r="K94" s="1222">
        <v>59</v>
      </c>
      <c r="L94" s="1236">
        <v>66</v>
      </c>
      <c r="M94" s="1236">
        <v>73</v>
      </c>
      <c r="N94" s="1236">
        <v>60</v>
      </c>
      <c r="O94" s="1236">
        <v>51</v>
      </c>
      <c r="P94" s="1237">
        <v>75</v>
      </c>
      <c r="Q94" s="1237">
        <v>42</v>
      </c>
      <c r="R94" s="1510">
        <v>54</v>
      </c>
      <c r="S94" s="1511">
        <v>55</v>
      </c>
      <c r="T94" s="1858">
        <v>60</v>
      </c>
      <c r="U94" s="1858"/>
      <c r="V94" s="1244">
        <v>2798</v>
      </c>
      <c r="W94" s="1245">
        <v>2713</v>
      </c>
      <c r="X94" s="1245">
        <v>2798</v>
      </c>
      <c r="Y94" s="1245">
        <v>2725</v>
      </c>
      <c r="Z94" s="1245">
        <v>2606</v>
      </c>
      <c r="AA94" s="1245">
        <v>2598</v>
      </c>
      <c r="AB94" s="1245">
        <v>2582</v>
      </c>
      <c r="AC94" s="1245">
        <v>2632</v>
      </c>
      <c r="AD94" s="1245">
        <v>2610</v>
      </c>
      <c r="AE94" s="1245">
        <v>2571</v>
      </c>
      <c r="AF94" s="1245">
        <v>2548</v>
      </c>
      <c r="AG94" s="1245">
        <v>2629</v>
      </c>
      <c r="AH94" s="1245">
        <v>2609</v>
      </c>
      <c r="AI94" s="1245">
        <v>2500</v>
      </c>
      <c r="AJ94" s="1513">
        <v>2478</v>
      </c>
      <c r="AK94" s="1514">
        <v>2461</v>
      </c>
      <c r="AL94" s="1859">
        <v>2401</v>
      </c>
      <c r="AM94" s="1859"/>
      <c r="AN94" s="1270">
        <f t="shared" si="35"/>
        <v>16.440314510364548</v>
      </c>
      <c r="AO94" s="1271">
        <f t="shared" si="36"/>
        <v>21.009952082565427</v>
      </c>
      <c r="AP94" s="1271">
        <f t="shared" si="37"/>
        <v>21.801286633309505</v>
      </c>
      <c r="AQ94" s="1271">
        <f t="shared" si="38"/>
        <v>27.155963302752294</v>
      </c>
      <c r="AR94" s="1271">
        <f t="shared" si="39"/>
        <v>24.558710667689947</v>
      </c>
      <c r="AS94" s="1271">
        <f t="shared" si="40"/>
        <v>13.856812933025404</v>
      </c>
      <c r="AT94" s="1271">
        <f t="shared" si="41"/>
        <v>19.752130131680868</v>
      </c>
      <c r="AU94" s="1271">
        <f t="shared" si="42"/>
        <v>22.416413373860181</v>
      </c>
      <c r="AV94" s="1271">
        <f t="shared" si="43"/>
        <v>25.287356321839081</v>
      </c>
      <c r="AW94" s="1271">
        <f t="shared" si="44"/>
        <v>28.393621159082066</v>
      </c>
      <c r="AX94" s="1271">
        <f t="shared" si="45"/>
        <v>23.547880690737834</v>
      </c>
      <c r="AY94" s="1271">
        <f t="shared" si="46"/>
        <v>19.399011030810197</v>
      </c>
      <c r="AZ94" s="1271">
        <f t="shared" si="47"/>
        <v>28.746646224607129</v>
      </c>
      <c r="BA94" s="1271">
        <f t="shared" si="48"/>
        <v>16.8</v>
      </c>
      <c r="BB94" s="1523">
        <f t="shared" si="49"/>
        <v>21.791767554479417</v>
      </c>
      <c r="BC94" s="1525">
        <f t="shared" si="50"/>
        <v>22.348638764729785</v>
      </c>
      <c r="BD94" s="1866">
        <f t="shared" si="51"/>
        <v>24.989587671803417</v>
      </c>
    </row>
    <row r="95" spans="1:56" s="142" customFormat="1" ht="15.75" customHeight="1" x14ac:dyDescent="0.2">
      <c r="A95" s="149" t="s">
        <v>232</v>
      </c>
      <c r="B95" s="189" t="s">
        <v>233</v>
      </c>
      <c r="C95" s="150" t="s">
        <v>267</v>
      </c>
      <c r="D95" s="1221">
        <v>51</v>
      </c>
      <c r="E95" s="1222">
        <v>51</v>
      </c>
      <c r="F95" s="1223">
        <v>47</v>
      </c>
      <c r="G95" s="1222">
        <v>60</v>
      </c>
      <c r="H95" s="1223">
        <v>52</v>
      </c>
      <c r="I95" s="1222">
        <v>46</v>
      </c>
      <c r="J95" s="1223">
        <v>48</v>
      </c>
      <c r="K95" s="1222">
        <v>46</v>
      </c>
      <c r="L95" s="1236">
        <v>56</v>
      </c>
      <c r="M95" s="1236">
        <v>46</v>
      </c>
      <c r="N95" s="1236">
        <v>41</v>
      </c>
      <c r="O95" s="1236">
        <v>37</v>
      </c>
      <c r="P95" s="1237">
        <v>37</v>
      </c>
      <c r="Q95" s="1237">
        <v>35</v>
      </c>
      <c r="R95" s="1510">
        <v>33</v>
      </c>
      <c r="S95" s="1511">
        <v>39</v>
      </c>
      <c r="T95" s="1858">
        <v>47</v>
      </c>
      <c r="U95" s="1858"/>
      <c r="V95" s="1244">
        <v>2025</v>
      </c>
      <c r="W95" s="1245">
        <v>2079</v>
      </c>
      <c r="X95" s="1245">
        <v>2168</v>
      </c>
      <c r="Y95" s="1245">
        <v>2268</v>
      </c>
      <c r="Z95" s="1245">
        <v>2342</v>
      </c>
      <c r="AA95" s="1245">
        <v>2429</v>
      </c>
      <c r="AB95" s="1245">
        <v>2472</v>
      </c>
      <c r="AC95" s="1245">
        <v>2476</v>
      </c>
      <c r="AD95" s="1245">
        <v>2428</v>
      </c>
      <c r="AE95" s="1245">
        <v>2370</v>
      </c>
      <c r="AF95" s="1245">
        <v>2360</v>
      </c>
      <c r="AG95" s="1245">
        <v>2336</v>
      </c>
      <c r="AH95" s="1245">
        <v>2588</v>
      </c>
      <c r="AI95" s="1245">
        <v>2527</v>
      </c>
      <c r="AJ95" s="1513">
        <v>2516</v>
      </c>
      <c r="AK95" s="1514">
        <v>2521</v>
      </c>
      <c r="AL95" s="1859">
        <v>2493</v>
      </c>
      <c r="AM95" s="1859"/>
      <c r="AN95" s="1270">
        <f t="shared" si="35"/>
        <v>25.185185185185187</v>
      </c>
      <c r="AO95" s="1271">
        <f t="shared" si="36"/>
        <v>24.531024531024531</v>
      </c>
      <c r="AP95" s="1271">
        <f t="shared" si="37"/>
        <v>21.678966789667896</v>
      </c>
      <c r="AQ95" s="1271">
        <f t="shared" si="38"/>
        <v>26.455026455026452</v>
      </c>
      <c r="AR95" s="1271">
        <f t="shared" si="39"/>
        <v>22.20324508966695</v>
      </c>
      <c r="AS95" s="1271">
        <f t="shared" si="40"/>
        <v>18.937834499794153</v>
      </c>
      <c r="AT95" s="1271">
        <f t="shared" si="41"/>
        <v>19.417475728155338</v>
      </c>
      <c r="AU95" s="1271">
        <f t="shared" si="42"/>
        <v>18.578352180936992</v>
      </c>
      <c r="AV95" s="1271">
        <f t="shared" si="43"/>
        <v>23.064250411861615</v>
      </c>
      <c r="AW95" s="1271">
        <f t="shared" si="44"/>
        <v>19.409282700421944</v>
      </c>
      <c r="AX95" s="1271">
        <f t="shared" si="45"/>
        <v>17.372881355932204</v>
      </c>
      <c r="AY95" s="1271">
        <f t="shared" si="46"/>
        <v>15.839041095890412</v>
      </c>
      <c r="AZ95" s="1271">
        <f t="shared" si="47"/>
        <v>14.2967542503864</v>
      </c>
      <c r="BA95" s="1271">
        <f t="shared" si="48"/>
        <v>13.850415512465373</v>
      </c>
      <c r="BB95" s="1523">
        <f t="shared" si="49"/>
        <v>13.116057233704293</v>
      </c>
      <c r="BC95" s="1525">
        <f t="shared" si="50"/>
        <v>15.470051566838556</v>
      </c>
      <c r="BD95" s="1866">
        <f t="shared" si="51"/>
        <v>18.852787805856398</v>
      </c>
    </row>
    <row r="96" spans="1:56" s="142" customFormat="1" ht="15.75" customHeight="1" x14ac:dyDescent="0.2">
      <c r="A96" s="149" t="s">
        <v>234</v>
      </c>
      <c r="B96" s="189" t="s">
        <v>235</v>
      </c>
      <c r="C96" s="150" t="s">
        <v>268</v>
      </c>
      <c r="D96" s="1221">
        <v>77</v>
      </c>
      <c r="E96" s="1222">
        <v>71</v>
      </c>
      <c r="F96" s="1223">
        <v>68</v>
      </c>
      <c r="G96" s="1222">
        <v>64</v>
      </c>
      <c r="H96" s="1223">
        <v>62</v>
      </c>
      <c r="I96" s="1222">
        <v>51</v>
      </c>
      <c r="J96" s="1223">
        <v>57</v>
      </c>
      <c r="K96" s="1222">
        <v>66</v>
      </c>
      <c r="L96" s="1236">
        <v>53</v>
      </c>
      <c r="M96" s="1236">
        <v>68</v>
      </c>
      <c r="N96" s="1236">
        <v>66</v>
      </c>
      <c r="O96" s="1236">
        <v>67</v>
      </c>
      <c r="P96" s="1237">
        <v>77</v>
      </c>
      <c r="Q96" s="1237">
        <v>56</v>
      </c>
      <c r="R96" s="1510">
        <v>54</v>
      </c>
      <c r="S96" s="1511">
        <v>52</v>
      </c>
      <c r="T96" s="1858">
        <v>35</v>
      </c>
      <c r="U96" s="1858"/>
      <c r="V96" s="1244">
        <v>2715</v>
      </c>
      <c r="W96" s="1245">
        <v>2658</v>
      </c>
      <c r="X96" s="1245">
        <v>3179</v>
      </c>
      <c r="Y96" s="1245">
        <v>3116</v>
      </c>
      <c r="Z96" s="1245">
        <v>3070</v>
      </c>
      <c r="AA96" s="1245">
        <v>3058</v>
      </c>
      <c r="AB96" s="1245">
        <v>3083</v>
      </c>
      <c r="AC96" s="1245">
        <v>3109</v>
      </c>
      <c r="AD96" s="1245">
        <v>3007</v>
      </c>
      <c r="AE96" s="1245">
        <v>2971</v>
      </c>
      <c r="AF96" s="1245">
        <v>2937</v>
      </c>
      <c r="AG96" s="1245">
        <v>2948</v>
      </c>
      <c r="AH96" s="1245">
        <v>3083</v>
      </c>
      <c r="AI96" s="1245">
        <v>3056</v>
      </c>
      <c r="AJ96" s="1513">
        <v>3116</v>
      </c>
      <c r="AK96" s="1514">
        <v>3077</v>
      </c>
      <c r="AL96" s="1859">
        <v>3039</v>
      </c>
      <c r="AM96" s="1859"/>
      <c r="AN96" s="1270">
        <f t="shared" si="35"/>
        <v>28.360957642725598</v>
      </c>
      <c r="AO96" s="1271">
        <f t="shared" si="36"/>
        <v>26.711813393528971</v>
      </c>
      <c r="AP96" s="1271">
        <f t="shared" si="37"/>
        <v>21.390374331550802</v>
      </c>
      <c r="AQ96" s="1271">
        <f t="shared" si="38"/>
        <v>20.539152759948649</v>
      </c>
      <c r="AR96" s="1271">
        <f t="shared" si="39"/>
        <v>20.195439739413683</v>
      </c>
      <c r="AS96" s="1271">
        <f t="shared" si="40"/>
        <v>16.677567037279267</v>
      </c>
      <c r="AT96" s="1271">
        <f t="shared" si="41"/>
        <v>18.488485241647744</v>
      </c>
      <c r="AU96" s="1271">
        <f t="shared" si="42"/>
        <v>21.22869089739466</v>
      </c>
      <c r="AV96" s="1271">
        <f t="shared" si="43"/>
        <v>17.625540405719988</v>
      </c>
      <c r="AW96" s="1271">
        <f t="shared" si="44"/>
        <v>22.887916526422082</v>
      </c>
      <c r="AX96" s="1271">
        <f t="shared" si="45"/>
        <v>22.471910112359549</v>
      </c>
      <c r="AY96" s="1271">
        <f t="shared" si="46"/>
        <v>22.727272727272727</v>
      </c>
      <c r="AZ96" s="1271">
        <f t="shared" si="47"/>
        <v>24.975673045734673</v>
      </c>
      <c r="BA96" s="1271">
        <f t="shared" si="48"/>
        <v>18.32460732984293</v>
      </c>
      <c r="BB96" s="1523">
        <f t="shared" si="49"/>
        <v>17.329910141206675</v>
      </c>
      <c r="BC96" s="1525">
        <f t="shared" si="50"/>
        <v>16.899577510562239</v>
      </c>
      <c r="BD96" s="1866">
        <f t="shared" si="51"/>
        <v>11.516946363935505</v>
      </c>
    </row>
    <row r="97" spans="1:56" s="142" customFormat="1" ht="15.75" customHeight="1" x14ac:dyDescent="0.2">
      <c r="A97" s="149" t="s">
        <v>236</v>
      </c>
      <c r="B97" s="189" t="s">
        <v>237</v>
      </c>
      <c r="C97" s="150" t="s">
        <v>266</v>
      </c>
      <c r="D97" s="1221">
        <v>36</v>
      </c>
      <c r="E97" s="1222">
        <v>38</v>
      </c>
      <c r="F97" s="1223">
        <v>24</v>
      </c>
      <c r="G97" s="1222">
        <v>38</v>
      </c>
      <c r="H97" s="1223">
        <v>34</v>
      </c>
      <c r="I97" s="1222">
        <v>25</v>
      </c>
      <c r="J97" s="1223">
        <v>36</v>
      </c>
      <c r="K97" s="1222">
        <v>31</v>
      </c>
      <c r="L97" s="1236">
        <v>28</v>
      </c>
      <c r="M97" s="1236">
        <v>18</v>
      </c>
      <c r="N97" s="1236">
        <v>29</v>
      </c>
      <c r="O97" s="1236">
        <v>28</v>
      </c>
      <c r="P97" s="1237">
        <v>30</v>
      </c>
      <c r="Q97" s="1237">
        <v>22</v>
      </c>
      <c r="R97" s="1510">
        <v>14</v>
      </c>
      <c r="S97" s="1511">
        <v>20</v>
      </c>
      <c r="T97" s="1858">
        <v>13</v>
      </c>
      <c r="U97" s="1858"/>
      <c r="V97" s="1244">
        <v>915</v>
      </c>
      <c r="W97" s="1245">
        <v>914</v>
      </c>
      <c r="X97" s="1245">
        <v>1097</v>
      </c>
      <c r="Y97" s="1245">
        <v>1110</v>
      </c>
      <c r="Z97" s="1245">
        <v>1129</v>
      </c>
      <c r="AA97" s="1245">
        <v>1125</v>
      </c>
      <c r="AB97" s="1245">
        <v>1118</v>
      </c>
      <c r="AC97" s="1245">
        <v>1073</v>
      </c>
      <c r="AD97" s="1245">
        <v>1026</v>
      </c>
      <c r="AE97" s="1245">
        <v>985</v>
      </c>
      <c r="AF97" s="1245">
        <v>993</v>
      </c>
      <c r="AG97" s="1245">
        <v>986</v>
      </c>
      <c r="AH97" s="1245">
        <v>996</v>
      </c>
      <c r="AI97" s="1245">
        <v>948</v>
      </c>
      <c r="AJ97" s="1513">
        <v>930</v>
      </c>
      <c r="AK97" s="1514">
        <v>902</v>
      </c>
      <c r="AL97" s="1859">
        <v>887</v>
      </c>
      <c r="AM97" s="1859"/>
      <c r="AN97" s="1270">
        <f t="shared" si="35"/>
        <v>39.344262295081968</v>
      </c>
      <c r="AO97" s="1271">
        <f t="shared" si="36"/>
        <v>41.575492341356671</v>
      </c>
      <c r="AP97" s="1271">
        <f t="shared" si="37"/>
        <v>21.877848678213311</v>
      </c>
      <c r="AQ97" s="1271">
        <f t="shared" si="38"/>
        <v>34.234234234234229</v>
      </c>
      <c r="AR97" s="1271">
        <f t="shared" si="39"/>
        <v>30.115146147032775</v>
      </c>
      <c r="AS97" s="1271">
        <f t="shared" si="40"/>
        <v>22.222222222222221</v>
      </c>
      <c r="AT97" s="1271">
        <f t="shared" si="41"/>
        <v>32.200357781753134</v>
      </c>
      <c r="AU97" s="1271">
        <f t="shared" si="42"/>
        <v>28.890959925442687</v>
      </c>
      <c r="AV97" s="1271">
        <f t="shared" si="43"/>
        <v>27.29044834307992</v>
      </c>
      <c r="AW97" s="1271">
        <f t="shared" si="44"/>
        <v>18.274111675126903</v>
      </c>
      <c r="AX97" s="1271">
        <f t="shared" si="45"/>
        <v>29.204431017119841</v>
      </c>
      <c r="AY97" s="1271">
        <f t="shared" si="46"/>
        <v>28.397565922920894</v>
      </c>
      <c r="AZ97" s="1271">
        <f t="shared" si="47"/>
        <v>30.120481927710845</v>
      </c>
      <c r="BA97" s="1271">
        <f t="shared" si="48"/>
        <v>23.206751054852322</v>
      </c>
      <c r="BB97" s="1523">
        <f t="shared" si="49"/>
        <v>15.053763440860216</v>
      </c>
      <c r="BC97" s="1525">
        <f t="shared" si="50"/>
        <v>22.172949002217297</v>
      </c>
      <c r="BD97" s="1866">
        <f t="shared" si="51"/>
        <v>14.656144306651633</v>
      </c>
    </row>
    <row r="98" spans="1:56" s="142" customFormat="1" ht="15.75" customHeight="1" x14ac:dyDescent="0.2">
      <c r="A98" s="149" t="s">
        <v>242</v>
      </c>
      <c r="B98" s="189" t="s">
        <v>243</v>
      </c>
      <c r="C98" s="150" t="s">
        <v>268</v>
      </c>
      <c r="D98" s="1221">
        <v>107</v>
      </c>
      <c r="E98" s="1222">
        <v>80</v>
      </c>
      <c r="F98" s="1223">
        <v>95</v>
      </c>
      <c r="G98" s="1222">
        <v>79</v>
      </c>
      <c r="H98" s="1223">
        <v>83</v>
      </c>
      <c r="I98" s="1222">
        <v>65</v>
      </c>
      <c r="J98" s="1223">
        <v>80</v>
      </c>
      <c r="K98" s="1222">
        <v>66</v>
      </c>
      <c r="L98" s="1236">
        <v>81</v>
      </c>
      <c r="M98" s="1236">
        <v>78</v>
      </c>
      <c r="N98" s="1236">
        <v>83</v>
      </c>
      <c r="O98" s="1236">
        <v>98</v>
      </c>
      <c r="P98" s="1237">
        <v>94</v>
      </c>
      <c r="Q98" s="1237">
        <v>69</v>
      </c>
      <c r="R98" s="1510">
        <v>58</v>
      </c>
      <c r="S98" s="1511">
        <v>59</v>
      </c>
      <c r="T98" s="1858">
        <v>59</v>
      </c>
      <c r="U98" s="1858"/>
      <c r="V98" s="1244">
        <v>2668</v>
      </c>
      <c r="W98" s="1245">
        <v>2602</v>
      </c>
      <c r="X98" s="1245">
        <v>2764</v>
      </c>
      <c r="Y98" s="1245">
        <v>2687</v>
      </c>
      <c r="Z98" s="1245">
        <v>2611</v>
      </c>
      <c r="AA98" s="1245">
        <v>2572</v>
      </c>
      <c r="AB98" s="1245">
        <v>2569</v>
      </c>
      <c r="AC98" s="1245">
        <v>2634</v>
      </c>
      <c r="AD98" s="1245">
        <v>2618</v>
      </c>
      <c r="AE98" s="1245">
        <v>2578</v>
      </c>
      <c r="AF98" s="1245">
        <v>2537</v>
      </c>
      <c r="AG98" s="1245">
        <v>2464</v>
      </c>
      <c r="AH98" s="1245">
        <v>2505</v>
      </c>
      <c r="AI98" s="1245">
        <v>2418</v>
      </c>
      <c r="AJ98" s="1513">
        <v>2410</v>
      </c>
      <c r="AK98" s="1514">
        <v>2376</v>
      </c>
      <c r="AL98" s="1859">
        <v>2257</v>
      </c>
      <c r="AM98" s="1859"/>
      <c r="AN98" s="1270">
        <f t="shared" si="35"/>
        <v>40.104947526236884</v>
      </c>
      <c r="AO98" s="1271">
        <f t="shared" si="36"/>
        <v>30.745580322828591</v>
      </c>
      <c r="AP98" s="1271">
        <f t="shared" si="37"/>
        <v>34.370477568740952</v>
      </c>
      <c r="AQ98" s="1271">
        <f t="shared" si="38"/>
        <v>29.40081875697804</v>
      </c>
      <c r="AR98" s="1271">
        <f t="shared" si="39"/>
        <v>31.788586748372275</v>
      </c>
      <c r="AS98" s="1271">
        <f t="shared" si="40"/>
        <v>25.272161741835145</v>
      </c>
      <c r="AT98" s="1271">
        <f t="shared" si="41"/>
        <v>31.140521603736865</v>
      </c>
      <c r="AU98" s="1271">
        <f t="shared" si="42"/>
        <v>25.056947608200456</v>
      </c>
      <c r="AV98" s="1271">
        <f t="shared" si="43"/>
        <v>30.939648586707413</v>
      </c>
      <c r="AW98" s="1271">
        <f t="shared" si="44"/>
        <v>30.256012412723042</v>
      </c>
      <c r="AX98" s="1271">
        <f t="shared" si="45"/>
        <v>32.715806070161605</v>
      </c>
      <c r="AY98" s="1271">
        <f t="shared" si="46"/>
        <v>39.772727272727273</v>
      </c>
      <c r="AZ98" s="1271">
        <f t="shared" si="47"/>
        <v>37.5249500998004</v>
      </c>
      <c r="BA98" s="1271">
        <f t="shared" si="48"/>
        <v>28.535980148883372</v>
      </c>
      <c r="BB98" s="1523">
        <f t="shared" si="49"/>
        <v>24.066390041493776</v>
      </c>
      <c r="BC98" s="1525">
        <f t="shared" si="50"/>
        <v>24.831649831649834</v>
      </c>
      <c r="BD98" s="1866">
        <f t="shared" si="51"/>
        <v>26.140894993354006</v>
      </c>
    </row>
    <row r="99" spans="1:56" s="142" customFormat="1" ht="15.75" customHeight="1" x14ac:dyDescent="0.2">
      <c r="A99" s="149" t="s">
        <v>244</v>
      </c>
      <c r="B99" s="189" t="s">
        <v>245</v>
      </c>
      <c r="C99" s="150" t="s">
        <v>268</v>
      </c>
      <c r="D99" s="1221">
        <v>33</v>
      </c>
      <c r="E99" s="1222">
        <v>45</v>
      </c>
      <c r="F99" s="1223">
        <v>46</v>
      </c>
      <c r="G99" s="1222">
        <v>40</v>
      </c>
      <c r="H99" s="1223">
        <v>38</v>
      </c>
      <c r="I99" s="1222">
        <v>36</v>
      </c>
      <c r="J99" s="1223">
        <v>43</v>
      </c>
      <c r="K99" s="1222">
        <v>38</v>
      </c>
      <c r="L99" s="1236">
        <v>33</v>
      </c>
      <c r="M99" s="1236">
        <v>36</v>
      </c>
      <c r="N99" s="1236">
        <v>34</v>
      </c>
      <c r="O99" s="1236">
        <v>42</v>
      </c>
      <c r="P99" s="1237">
        <v>33</v>
      </c>
      <c r="Q99" s="1237">
        <v>47</v>
      </c>
      <c r="R99" s="1510">
        <v>40</v>
      </c>
      <c r="S99" s="1511">
        <v>37</v>
      </c>
      <c r="T99" s="1858">
        <v>33</v>
      </c>
      <c r="U99" s="1858"/>
      <c r="V99" s="1244">
        <v>1626</v>
      </c>
      <c r="W99" s="1245">
        <v>1611</v>
      </c>
      <c r="X99" s="1245">
        <v>1721</v>
      </c>
      <c r="Y99" s="1245">
        <v>1711</v>
      </c>
      <c r="Z99" s="1245">
        <v>1709</v>
      </c>
      <c r="AA99" s="1245">
        <v>1697</v>
      </c>
      <c r="AB99" s="1245">
        <v>1694</v>
      </c>
      <c r="AC99" s="1245">
        <v>1646</v>
      </c>
      <c r="AD99" s="1245">
        <v>1583</v>
      </c>
      <c r="AE99" s="1245">
        <v>1557</v>
      </c>
      <c r="AF99" s="1245">
        <v>1522</v>
      </c>
      <c r="AG99" s="1245">
        <v>1575</v>
      </c>
      <c r="AH99" s="1245">
        <v>1601</v>
      </c>
      <c r="AI99" s="1245">
        <v>1590</v>
      </c>
      <c r="AJ99" s="1513">
        <v>1620</v>
      </c>
      <c r="AK99" s="1514">
        <v>1581</v>
      </c>
      <c r="AL99" s="1859">
        <v>1549</v>
      </c>
      <c r="AM99" s="1859"/>
      <c r="AN99" s="1270">
        <f t="shared" si="35"/>
        <v>20.29520295202952</v>
      </c>
      <c r="AO99" s="1271">
        <f t="shared" si="36"/>
        <v>27.932960893854748</v>
      </c>
      <c r="AP99" s="1271">
        <f t="shared" si="37"/>
        <v>26.728646135967463</v>
      </c>
      <c r="AQ99" s="1271">
        <f t="shared" si="38"/>
        <v>23.378141437755698</v>
      </c>
      <c r="AR99" s="1271">
        <f t="shared" si="39"/>
        <v>22.235225277940316</v>
      </c>
      <c r="AS99" s="1271">
        <f t="shared" si="40"/>
        <v>21.213906894519742</v>
      </c>
      <c r="AT99" s="1271">
        <f t="shared" si="41"/>
        <v>25.38370720188902</v>
      </c>
      <c r="AU99" s="1271">
        <f t="shared" si="42"/>
        <v>23.086269744835967</v>
      </c>
      <c r="AV99" s="1271">
        <f t="shared" si="43"/>
        <v>20.846493998736577</v>
      </c>
      <c r="AW99" s="1271">
        <f t="shared" si="44"/>
        <v>23.121387283236992</v>
      </c>
      <c r="AX99" s="1271">
        <f t="shared" si="45"/>
        <v>22.339027595269382</v>
      </c>
      <c r="AY99" s="1271">
        <f t="shared" si="46"/>
        <v>26.666666666666668</v>
      </c>
      <c r="AZ99" s="1271">
        <f t="shared" si="47"/>
        <v>20.612117426608368</v>
      </c>
      <c r="BA99" s="1271">
        <f t="shared" si="48"/>
        <v>29.559748427672957</v>
      </c>
      <c r="BB99" s="1523">
        <f t="shared" si="49"/>
        <v>24.691358024691358</v>
      </c>
      <c r="BC99" s="1525">
        <f t="shared" si="50"/>
        <v>23.402909550917141</v>
      </c>
      <c r="BD99" s="1866">
        <f t="shared" si="51"/>
        <v>21.304067140090378</v>
      </c>
    </row>
    <row r="100" spans="1:56" s="142" customFormat="1" ht="15.75" customHeight="1" x14ac:dyDescent="0.2">
      <c r="A100" s="149" t="s">
        <v>246</v>
      </c>
      <c r="B100" s="189" t="s">
        <v>247</v>
      </c>
      <c r="C100" s="150" t="s">
        <v>264</v>
      </c>
      <c r="D100" s="1221">
        <v>46</v>
      </c>
      <c r="E100" s="1222">
        <v>59</v>
      </c>
      <c r="F100" s="1223">
        <v>66</v>
      </c>
      <c r="G100" s="1222">
        <v>49</v>
      </c>
      <c r="H100" s="1223">
        <v>44</v>
      </c>
      <c r="I100" s="1222">
        <v>48</v>
      </c>
      <c r="J100" s="1223">
        <v>52</v>
      </c>
      <c r="K100" s="1222">
        <v>34</v>
      </c>
      <c r="L100" s="1236">
        <v>33</v>
      </c>
      <c r="M100" s="1236">
        <v>41</v>
      </c>
      <c r="N100" s="1236">
        <v>36</v>
      </c>
      <c r="O100" s="1236">
        <v>37</v>
      </c>
      <c r="P100" s="1237">
        <v>30</v>
      </c>
      <c r="Q100" s="1237">
        <v>25</v>
      </c>
      <c r="R100" s="1510">
        <v>20</v>
      </c>
      <c r="S100" s="1511">
        <v>22</v>
      </c>
      <c r="T100" s="1858">
        <v>21</v>
      </c>
      <c r="U100" s="1858"/>
      <c r="V100" s="1244">
        <v>4874</v>
      </c>
      <c r="W100" s="1245">
        <v>4943</v>
      </c>
      <c r="X100" s="1245">
        <v>5437</v>
      </c>
      <c r="Y100" s="1245">
        <v>5696</v>
      </c>
      <c r="Z100" s="1245">
        <v>5813</v>
      </c>
      <c r="AA100" s="1245">
        <v>5917</v>
      </c>
      <c r="AB100" s="1245">
        <v>5811</v>
      </c>
      <c r="AC100" s="1245">
        <v>5731</v>
      </c>
      <c r="AD100" s="1245">
        <v>5572</v>
      </c>
      <c r="AE100" s="1245">
        <v>5410</v>
      </c>
      <c r="AF100" s="1245">
        <v>5218</v>
      </c>
      <c r="AG100" s="1245">
        <v>5734</v>
      </c>
      <c r="AH100" s="1245">
        <v>5939</v>
      </c>
      <c r="AI100" s="1245">
        <v>5929</v>
      </c>
      <c r="AJ100" s="1513">
        <v>5779</v>
      </c>
      <c r="AK100" s="1514">
        <v>5707</v>
      </c>
      <c r="AL100" s="1859">
        <v>5620</v>
      </c>
      <c r="AM100" s="1859"/>
      <c r="AN100" s="1270">
        <f t="shared" si="35"/>
        <v>9.4378334017234309</v>
      </c>
      <c r="AO100" s="1271">
        <f t="shared" si="36"/>
        <v>11.936071211814687</v>
      </c>
      <c r="AP100" s="1271">
        <f t="shared" si="37"/>
        <v>12.139047268714364</v>
      </c>
      <c r="AQ100" s="1271">
        <f t="shared" si="38"/>
        <v>8.60252808988764</v>
      </c>
      <c r="AR100" s="1271">
        <f t="shared" si="39"/>
        <v>7.5692413555823155</v>
      </c>
      <c r="AS100" s="1271">
        <f t="shared" si="40"/>
        <v>8.1122190299138079</v>
      </c>
      <c r="AT100" s="1271">
        <f t="shared" si="41"/>
        <v>8.9485458612975393</v>
      </c>
      <c r="AU100" s="1271">
        <f t="shared" si="42"/>
        <v>5.9326470075030535</v>
      </c>
      <c r="AV100" s="1271">
        <f t="shared" si="43"/>
        <v>5.9224694903086865</v>
      </c>
      <c r="AW100" s="1271">
        <f t="shared" si="44"/>
        <v>7.5785582255083179</v>
      </c>
      <c r="AX100" s="1271">
        <f t="shared" si="45"/>
        <v>6.8991950939057105</v>
      </c>
      <c r="AY100" s="1271">
        <f t="shared" si="46"/>
        <v>6.4527380537146843</v>
      </c>
      <c r="AZ100" s="1271">
        <f t="shared" si="47"/>
        <v>5.0513554470449566</v>
      </c>
      <c r="BA100" s="1271">
        <f t="shared" si="48"/>
        <v>4.2165626581210995</v>
      </c>
      <c r="BB100" s="1523">
        <f t="shared" si="49"/>
        <v>3.4608063678837166</v>
      </c>
      <c r="BC100" s="1525">
        <f t="shared" si="50"/>
        <v>3.854915016646224</v>
      </c>
      <c r="BD100" s="1866">
        <f t="shared" si="51"/>
        <v>3.7366548042704624</v>
      </c>
    </row>
    <row r="101" spans="1:56" s="142" customFormat="1" ht="15.75" customHeight="1" x14ac:dyDescent="0.2">
      <c r="A101" s="149" t="s">
        <v>14</v>
      </c>
      <c r="B101" s="189" t="s">
        <v>15</v>
      </c>
      <c r="C101" s="150" t="s">
        <v>267</v>
      </c>
      <c r="D101" s="1221">
        <v>111</v>
      </c>
      <c r="E101" s="1222">
        <v>123</v>
      </c>
      <c r="F101" s="1223">
        <v>122</v>
      </c>
      <c r="G101" s="1222">
        <v>113</v>
      </c>
      <c r="H101" s="1223">
        <v>107</v>
      </c>
      <c r="I101" s="1222">
        <v>121</v>
      </c>
      <c r="J101" s="1223">
        <v>105</v>
      </c>
      <c r="K101" s="1222">
        <v>135</v>
      </c>
      <c r="L101" s="1236">
        <v>102</v>
      </c>
      <c r="M101" s="1236">
        <v>117</v>
      </c>
      <c r="N101" s="1236">
        <v>100</v>
      </c>
      <c r="O101" s="1236">
        <v>86</v>
      </c>
      <c r="P101" s="1237">
        <v>106</v>
      </c>
      <c r="Q101" s="1237">
        <v>76</v>
      </c>
      <c r="R101" s="1510">
        <v>72</v>
      </c>
      <c r="S101" s="1511">
        <v>60</v>
      </c>
      <c r="T101" s="1858">
        <v>69</v>
      </c>
      <c r="U101" s="1858"/>
      <c r="V101" s="1244">
        <v>4716</v>
      </c>
      <c r="W101" s="1245">
        <v>4794</v>
      </c>
      <c r="X101" s="1245">
        <v>4606</v>
      </c>
      <c r="Y101" s="1245">
        <v>4488</v>
      </c>
      <c r="Z101" s="1245">
        <v>4231</v>
      </c>
      <c r="AA101" s="1245">
        <v>3935</v>
      </c>
      <c r="AB101" s="1245">
        <v>4061</v>
      </c>
      <c r="AC101" s="1245">
        <v>4282</v>
      </c>
      <c r="AD101" s="1245">
        <v>4244</v>
      </c>
      <c r="AE101" s="1245">
        <v>4924</v>
      </c>
      <c r="AF101" s="1245">
        <v>5183</v>
      </c>
      <c r="AG101" s="1245">
        <v>4357</v>
      </c>
      <c r="AH101" s="1245">
        <v>4687</v>
      </c>
      <c r="AI101" s="1245">
        <v>4707</v>
      </c>
      <c r="AJ101" s="1513">
        <v>4789</v>
      </c>
      <c r="AK101" s="1514">
        <v>4840</v>
      </c>
      <c r="AL101" s="1859">
        <v>4983</v>
      </c>
      <c r="AM101" s="1859"/>
      <c r="AN101" s="1270">
        <f t="shared" si="35"/>
        <v>23.536895674300254</v>
      </c>
      <c r="AO101" s="1271">
        <f t="shared" si="36"/>
        <v>25.657071339173967</v>
      </c>
      <c r="AP101" s="1271">
        <f t="shared" si="37"/>
        <v>26.487190620929223</v>
      </c>
      <c r="AQ101" s="1271">
        <f t="shared" si="38"/>
        <v>25.178253119429588</v>
      </c>
      <c r="AR101" s="1271">
        <f t="shared" si="39"/>
        <v>25.289529662018435</v>
      </c>
      <c r="AS101" s="1271">
        <f t="shared" si="40"/>
        <v>30.749682337992379</v>
      </c>
      <c r="AT101" s="1271">
        <f t="shared" si="41"/>
        <v>25.855700566362966</v>
      </c>
      <c r="AU101" s="1271">
        <f t="shared" si="42"/>
        <v>31.527323680523121</v>
      </c>
      <c r="AV101" s="1271">
        <f t="shared" si="43"/>
        <v>24.03393025447691</v>
      </c>
      <c r="AW101" s="1271">
        <f t="shared" si="44"/>
        <v>23.761169780666123</v>
      </c>
      <c r="AX101" s="1271">
        <f t="shared" si="45"/>
        <v>19.293845263360986</v>
      </c>
      <c r="AY101" s="1271">
        <f t="shared" si="46"/>
        <v>19.73835207711728</v>
      </c>
      <c r="AZ101" s="1271">
        <f t="shared" si="47"/>
        <v>22.615745679539149</v>
      </c>
      <c r="BA101" s="1271">
        <f t="shared" si="48"/>
        <v>16.146165285744637</v>
      </c>
      <c r="BB101" s="1523">
        <f t="shared" si="49"/>
        <v>15.034453956984757</v>
      </c>
      <c r="BC101" s="1525">
        <f t="shared" si="50"/>
        <v>12.396694214876034</v>
      </c>
      <c r="BD101" s="1866">
        <f t="shared" si="51"/>
        <v>13.847080072245635</v>
      </c>
    </row>
    <row r="102" spans="1:56" s="142" customFormat="1" ht="15.75" customHeight="1" x14ac:dyDescent="0.2">
      <c r="A102" s="149" t="s">
        <v>34</v>
      </c>
      <c r="B102" s="189" t="s">
        <v>35</v>
      </c>
      <c r="C102" s="150" t="s">
        <v>268</v>
      </c>
      <c r="D102" s="1221">
        <v>30</v>
      </c>
      <c r="E102" s="1222">
        <v>43</v>
      </c>
      <c r="F102" s="1223">
        <v>25</v>
      </c>
      <c r="G102" s="1222">
        <v>29</v>
      </c>
      <c r="H102" s="1223">
        <v>27</v>
      </c>
      <c r="I102" s="1222">
        <v>22</v>
      </c>
      <c r="J102" s="1223">
        <v>24</v>
      </c>
      <c r="K102" s="1222">
        <v>20</v>
      </c>
      <c r="L102" s="1236">
        <v>20</v>
      </c>
      <c r="M102" s="1236">
        <v>37</v>
      </c>
      <c r="N102" s="1236">
        <v>30</v>
      </c>
      <c r="O102" s="1236">
        <v>39</v>
      </c>
      <c r="P102" s="1237">
        <v>34</v>
      </c>
      <c r="Q102" s="1237">
        <v>21</v>
      </c>
      <c r="R102" s="1510">
        <v>19</v>
      </c>
      <c r="S102" s="1511">
        <v>26</v>
      </c>
      <c r="T102" s="1858">
        <v>17</v>
      </c>
      <c r="U102" s="1858"/>
      <c r="V102" s="1244">
        <v>1235</v>
      </c>
      <c r="W102" s="1245">
        <v>1232</v>
      </c>
      <c r="X102" s="1245">
        <v>1013</v>
      </c>
      <c r="Y102" s="1245">
        <v>978</v>
      </c>
      <c r="Z102" s="1245">
        <v>974</v>
      </c>
      <c r="AA102" s="1245">
        <v>985</v>
      </c>
      <c r="AB102" s="1245">
        <v>982</v>
      </c>
      <c r="AC102" s="1245">
        <v>974</v>
      </c>
      <c r="AD102" s="1245">
        <v>976</v>
      </c>
      <c r="AE102" s="1245">
        <v>949</v>
      </c>
      <c r="AF102" s="1245">
        <v>901</v>
      </c>
      <c r="AG102" s="1245">
        <v>921</v>
      </c>
      <c r="AH102" s="1245">
        <v>1006</v>
      </c>
      <c r="AI102" s="1245">
        <v>970</v>
      </c>
      <c r="AJ102" s="1513">
        <v>1013</v>
      </c>
      <c r="AK102" s="1514">
        <v>954</v>
      </c>
      <c r="AL102" s="1859">
        <v>911</v>
      </c>
      <c r="AM102" s="1859"/>
      <c r="AN102" s="1270">
        <f t="shared" ref="AN102:AN125" si="52">IF(V102=0,"NA",(D102/V102)*1000)</f>
        <v>24.291497975708502</v>
      </c>
      <c r="AO102" s="1271">
        <f t="shared" ref="AO102:AO125" si="53">IF(W102=0,"NA",(E102/W102)*1000)</f>
        <v>34.902597402597401</v>
      </c>
      <c r="AP102" s="1271">
        <f t="shared" ref="AP102:AP125" si="54">IF(X102=0,"NA",(F102/X102)*1000)</f>
        <v>24.679170779861796</v>
      </c>
      <c r="AQ102" s="1271">
        <f t="shared" ref="AQ102:AQ125" si="55">IF(Y102=0,"NA",(G102/Y102)*1000)</f>
        <v>29.652351738241308</v>
      </c>
      <c r="AR102" s="1271">
        <f t="shared" ref="AR102:AR125" si="56">IF(Z102=0,"NA",(H102/Z102)*1000)</f>
        <v>27.720739219712527</v>
      </c>
      <c r="AS102" s="1271">
        <f t="shared" ref="AS102:AS125" si="57">IF(AA102=0,"NA",(I102/AA102)*1000)</f>
        <v>22.335025380710658</v>
      </c>
      <c r="AT102" s="1271">
        <f t="shared" ref="AT102:AT125" si="58">IF(AB102=0,"NA",(J102/AB102)*1000)</f>
        <v>24.439918533604889</v>
      </c>
      <c r="AU102" s="1271">
        <f t="shared" ref="AU102:AU125" si="59">IF(AC102=0,"NA",(K102/AC102)*1000)</f>
        <v>20.533880903490758</v>
      </c>
      <c r="AV102" s="1271">
        <f t="shared" ref="AV102:AV125" si="60">IF(AD102=0,"NA",(L102/AD102)*1000)</f>
        <v>20.491803278688522</v>
      </c>
      <c r="AW102" s="1271">
        <f t="shared" ref="AW102:AW125" si="61">IF(AE102=0,"NA",(M102/AE102)*1000)</f>
        <v>38.988408851422555</v>
      </c>
      <c r="AX102" s="1271">
        <f t="shared" ref="AX102:AX125" si="62">IF(AF102=0,"NA",(N102/AF102)*1000)</f>
        <v>33.296337402885683</v>
      </c>
      <c r="AY102" s="1271">
        <f t="shared" ref="AY102:AY125" si="63">IF(AG102=0,"NA",(O102/AG102)*1000)</f>
        <v>42.34527687296417</v>
      </c>
      <c r="AZ102" s="1271">
        <f t="shared" ref="AZ102:AZ125" si="64">IF(AH102=0,"NA",(P102/AH102)*1000)</f>
        <v>33.797216699801197</v>
      </c>
      <c r="BA102" s="1271">
        <f t="shared" ref="BA102:BA125" si="65">IF(AI102=0,"NA",(Q102/AI102)*1000)</f>
        <v>21.649484536082472</v>
      </c>
      <c r="BB102" s="1523">
        <f t="shared" ref="BB102:BB125" si="66">IF(AJ102=0,"NA",(R102/AJ102)*1000)</f>
        <v>18.756169792694966</v>
      </c>
      <c r="BC102" s="1525">
        <f t="shared" ref="BC102:BC125" si="67">IF(AK102=0,"NA",(S102/AK102)*1000)</f>
        <v>27.253668763102723</v>
      </c>
      <c r="BD102" s="1866">
        <f t="shared" ref="BD102:BD125" si="68">IF(AL102=0,"NA",(T102/AL102)*1000)</f>
        <v>18.660812294182215</v>
      </c>
    </row>
    <row r="103" spans="1:56" s="142" customFormat="1" ht="15.75" customHeight="1" x14ac:dyDescent="0.2">
      <c r="A103" s="149" t="s">
        <v>52</v>
      </c>
      <c r="B103" s="189" t="s">
        <v>53</v>
      </c>
      <c r="C103" s="150" t="s">
        <v>265</v>
      </c>
      <c r="D103" s="1221">
        <v>65</v>
      </c>
      <c r="E103" s="1222">
        <v>52</v>
      </c>
      <c r="F103" s="1223">
        <v>62</v>
      </c>
      <c r="G103" s="1222">
        <v>41</v>
      </c>
      <c r="H103" s="1223">
        <v>49</v>
      </c>
      <c r="I103" s="1222">
        <v>48</v>
      </c>
      <c r="J103" s="1223">
        <v>54</v>
      </c>
      <c r="K103" s="1222">
        <v>49</v>
      </c>
      <c r="L103" s="1236">
        <v>48</v>
      </c>
      <c r="M103" s="1236">
        <v>49</v>
      </c>
      <c r="N103" s="1236">
        <v>51</v>
      </c>
      <c r="O103" s="1236">
        <v>35</v>
      </c>
      <c r="P103" s="1237">
        <v>24</v>
      </c>
      <c r="Q103" s="1237">
        <v>25</v>
      </c>
      <c r="R103" s="1510">
        <v>30</v>
      </c>
      <c r="S103" s="1511">
        <v>24</v>
      </c>
      <c r="T103" s="1858">
        <v>16</v>
      </c>
      <c r="U103" s="1858"/>
      <c r="V103" s="1244">
        <v>2530</v>
      </c>
      <c r="W103" s="1245">
        <v>2564</v>
      </c>
      <c r="X103" s="1245">
        <v>4348</v>
      </c>
      <c r="Y103" s="1245">
        <v>3394</v>
      </c>
      <c r="Z103" s="1245">
        <v>3349</v>
      </c>
      <c r="AA103" s="1245">
        <v>1751</v>
      </c>
      <c r="AB103" s="1245">
        <v>1639</v>
      </c>
      <c r="AC103" s="1245">
        <v>2076</v>
      </c>
      <c r="AD103" s="1245">
        <v>2259</v>
      </c>
      <c r="AE103" s="1245">
        <v>2303</v>
      </c>
      <c r="AF103" s="1245">
        <v>2317</v>
      </c>
      <c r="AG103" s="1245">
        <v>2342</v>
      </c>
      <c r="AH103" s="1245">
        <v>2175</v>
      </c>
      <c r="AI103" s="1245">
        <v>2335</v>
      </c>
      <c r="AJ103" s="1513">
        <v>2061</v>
      </c>
      <c r="AK103" s="1514">
        <v>1985</v>
      </c>
      <c r="AL103" s="1859">
        <v>2022</v>
      </c>
      <c r="AM103" s="1859"/>
      <c r="AN103" s="1270">
        <f t="shared" si="52"/>
        <v>25.691699604743082</v>
      </c>
      <c r="AO103" s="1271">
        <f t="shared" si="53"/>
        <v>20.280811232449299</v>
      </c>
      <c r="AP103" s="1271">
        <f t="shared" si="54"/>
        <v>14.259429622815087</v>
      </c>
      <c r="AQ103" s="1271">
        <f t="shared" si="55"/>
        <v>12.080141426045964</v>
      </c>
      <c r="AR103" s="1271">
        <f t="shared" si="56"/>
        <v>14.631233203941475</v>
      </c>
      <c r="AS103" s="1271">
        <f t="shared" si="57"/>
        <v>27.41290691033695</v>
      </c>
      <c r="AT103" s="1271">
        <f t="shared" si="58"/>
        <v>32.946918852959122</v>
      </c>
      <c r="AU103" s="1271">
        <f t="shared" si="59"/>
        <v>23.603082851637765</v>
      </c>
      <c r="AV103" s="1271">
        <f t="shared" si="60"/>
        <v>21.248339973439574</v>
      </c>
      <c r="AW103" s="1271">
        <f t="shared" si="61"/>
        <v>21.276595744680851</v>
      </c>
      <c r="AX103" s="1271">
        <f t="shared" si="62"/>
        <v>22.011221406991798</v>
      </c>
      <c r="AY103" s="1271">
        <f t="shared" si="63"/>
        <v>14.944491887275833</v>
      </c>
      <c r="AZ103" s="1271">
        <f t="shared" si="64"/>
        <v>11.034482758620689</v>
      </c>
      <c r="BA103" s="1271">
        <f t="shared" si="65"/>
        <v>10.706638115631691</v>
      </c>
      <c r="BB103" s="1523">
        <f t="shared" si="66"/>
        <v>14.556040756914118</v>
      </c>
      <c r="BC103" s="1525">
        <f t="shared" si="67"/>
        <v>12.090680100755668</v>
      </c>
      <c r="BD103" s="1866">
        <f t="shared" si="68"/>
        <v>7.9129574678536096</v>
      </c>
    </row>
    <row r="104" spans="1:56" s="142" customFormat="1" ht="15.75" customHeight="1" x14ac:dyDescent="0.2">
      <c r="A104" s="149" t="s">
        <v>54</v>
      </c>
      <c r="B104" s="189" t="s">
        <v>55</v>
      </c>
      <c r="C104" s="150" t="s">
        <v>264</v>
      </c>
      <c r="D104" s="1221">
        <v>327</v>
      </c>
      <c r="E104" s="1222">
        <v>350</v>
      </c>
      <c r="F104" s="1223">
        <v>326</v>
      </c>
      <c r="G104" s="1222">
        <v>326</v>
      </c>
      <c r="H104" s="1223">
        <v>280</v>
      </c>
      <c r="I104" s="1222">
        <v>274</v>
      </c>
      <c r="J104" s="1223">
        <v>288</v>
      </c>
      <c r="K104" s="1222">
        <v>276</v>
      </c>
      <c r="L104" s="1236">
        <v>286</v>
      </c>
      <c r="M104" s="1236">
        <v>311</v>
      </c>
      <c r="N104" s="1236">
        <v>278</v>
      </c>
      <c r="O104" s="1236">
        <v>245</v>
      </c>
      <c r="P104" s="1237">
        <v>216</v>
      </c>
      <c r="Q104" s="1237">
        <v>209</v>
      </c>
      <c r="R104" s="1510">
        <v>165</v>
      </c>
      <c r="S104" s="1511">
        <v>131</v>
      </c>
      <c r="T104" s="1858">
        <v>139</v>
      </c>
      <c r="U104" s="1858"/>
      <c r="V104" s="1244">
        <v>13930</v>
      </c>
      <c r="W104" s="1245">
        <v>14290</v>
      </c>
      <c r="X104" s="1245">
        <v>15678</v>
      </c>
      <c r="Y104" s="1245">
        <v>16061</v>
      </c>
      <c r="Z104" s="1245">
        <v>16243</v>
      </c>
      <c r="AA104" s="1245">
        <v>16526</v>
      </c>
      <c r="AB104" s="1245">
        <v>16631</v>
      </c>
      <c r="AC104" s="1245">
        <v>16618</v>
      </c>
      <c r="AD104" s="1245">
        <v>16437</v>
      </c>
      <c r="AE104" s="1245">
        <v>16067</v>
      </c>
      <c r="AF104" s="1245">
        <v>15790</v>
      </c>
      <c r="AG104" s="1245">
        <v>16550</v>
      </c>
      <c r="AH104" s="1245">
        <v>16318</v>
      </c>
      <c r="AI104" s="1245">
        <v>16191</v>
      </c>
      <c r="AJ104" s="1513">
        <v>15992</v>
      </c>
      <c r="AK104" s="1514">
        <v>15924</v>
      </c>
      <c r="AL104" s="1859">
        <v>15859</v>
      </c>
      <c r="AM104" s="1859"/>
      <c r="AN104" s="1270">
        <f t="shared" si="52"/>
        <v>23.47451543431443</v>
      </c>
      <c r="AO104" s="1271">
        <f t="shared" si="53"/>
        <v>24.4926522043387</v>
      </c>
      <c r="AP104" s="1271">
        <f t="shared" si="54"/>
        <v>20.793468554662585</v>
      </c>
      <c r="AQ104" s="1271">
        <f t="shared" si="55"/>
        <v>20.297615341510493</v>
      </c>
      <c r="AR104" s="1271">
        <f t="shared" si="56"/>
        <v>17.2381949147325</v>
      </c>
      <c r="AS104" s="1271">
        <f t="shared" si="57"/>
        <v>16.579934648432772</v>
      </c>
      <c r="AT104" s="1271">
        <f t="shared" si="58"/>
        <v>17.317058505201132</v>
      </c>
      <c r="AU104" s="1271">
        <f t="shared" si="59"/>
        <v>16.608496810687207</v>
      </c>
      <c r="AV104" s="1271">
        <f t="shared" si="60"/>
        <v>17.399768814260508</v>
      </c>
      <c r="AW104" s="1271">
        <f t="shared" si="61"/>
        <v>19.35644488703554</v>
      </c>
      <c r="AX104" s="1271">
        <f t="shared" si="62"/>
        <v>17.60607979734009</v>
      </c>
      <c r="AY104" s="1271">
        <f t="shared" si="63"/>
        <v>14.803625377643504</v>
      </c>
      <c r="AZ104" s="1271">
        <f t="shared" si="64"/>
        <v>13.236916288760877</v>
      </c>
      <c r="BA104" s="1271">
        <f t="shared" si="65"/>
        <v>12.908405904514852</v>
      </c>
      <c r="BB104" s="1523">
        <f t="shared" si="66"/>
        <v>10.317658829414707</v>
      </c>
      <c r="BC104" s="1525">
        <f t="shared" si="67"/>
        <v>8.2265762371263502</v>
      </c>
      <c r="BD104" s="1866">
        <f t="shared" si="68"/>
        <v>8.7647392647707925</v>
      </c>
    </row>
    <row r="105" spans="1:56" s="142" customFormat="1" ht="15.75" customHeight="1" x14ac:dyDescent="0.2">
      <c r="A105" s="149" t="s">
        <v>66</v>
      </c>
      <c r="B105" s="189" t="s">
        <v>67</v>
      </c>
      <c r="C105" s="150" t="s">
        <v>265</v>
      </c>
      <c r="D105" s="1221">
        <v>126</v>
      </c>
      <c r="E105" s="1222">
        <v>123</v>
      </c>
      <c r="F105" s="1223">
        <v>120</v>
      </c>
      <c r="G105" s="1222">
        <v>111</v>
      </c>
      <c r="H105" s="1223">
        <v>103</v>
      </c>
      <c r="I105" s="1222">
        <v>114</v>
      </c>
      <c r="J105" s="1223">
        <v>109</v>
      </c>
      <c r="K105" s="1222">
        <v>80</v>
      </c>
      <c r="L105" s="1236">
        <v>116</v>
      </c>
      <c r="M105" s="1236">
        <v>100</v>
      </c>
      <c r="N105" s="1236">
        <v>103</v>
      </c>
      <c r="O105" s="1236">
        <v>109</v>
      </c>
      <c r="P105" s="1237">
        <v>79</v>
      </c>
      <c r="Q105" s="1237">
        <v>60</v>
      </c>
      <c r="R105" s="1510">
        <v>49</v>
      </c>
      <c r="S105" s="1511">
        <v>64</v>
      </c>
      <c r="T105" s="1858">
        <v>57</v>
      </c>
      <c r="U105" s="1858"/>
      <c r="V105" s="1244">
        <v>3290</v>
      </c>
      <c r="W105" s="1245">
        <v>3280</v>
      </c>
      <c r="X105" s="1245">
        <v>3155</v>
      </c>
      <c r="Y105" s="1245">
        <v>3116</v>
      </c>
      <c r="Z105" s="1245">
        <v>3075</v>
      </c>
      <c r="AA105" s="1245">
        <v>3043</v>
      </c>
      <c r="AB105" s="1245">
        <v>2956</v>
      </c>
      <c r="AC105" s="1245">
        <v>2910</v>
      </c>
      <c r="AD105" s="1245">
        <v>2849</v>
      </c>
      <c r="AE105" s="1245">
        <v>2801</v>
      </c>
      <c r="AF105" s="1245">
        <v>2716</v>
      </c>
      <c r="AG105" s="1245">
        <v>2529</v>
      </c>
      <c r="AH105" s="1245">
        <v>2599</v>
      </c>
      <c r="AI105" s="1245">
        <v>2511</v>
      </c>
      <c r="AJ105" s="1513">
        <v>2486</v>
      </c>
      <c r="AK105" s="1514">
        <v>2415</v>
      </c>
      <c r="AL105" s="1859">
        <v>2377</v>
      </c>
      <c r="AM105" s="1859"/>
      <c r="AN105" s="1270">
        <f t="shared" si="52"/>
        <v>38.297872340425535</v>
      </c>
      <c r="AO105" s="1271">
        <f t="shared" si="53"/>
        <v>37.5</v>
      </c>
      <c r="AP105" s="1271">
        <f t="shared" si="54"/>
        <v>38.034865293185419</v>
      </c>
      <c r="AQ105" s="1271">
        <f t="shared" si="55"/>
        <v>35.622593068035947</v>
      </c>
      <c r="AR105" s="1271">
        <f t="shared" si="56"/>
        <v>33.49593495934959</v>
      </c>
      <c r="AS105" s="1271">
        <f t="shared" si="57"/>
        <v>37.463029904699312</v>
      </c>
      <c r="AT105" s="1271">
        <f t="shared" si="58"/>
        <v>36.874154262516917</v>
      </c>
      <c r="AU105" s="1271">
        <f t="shared" si="59"/>
        <v>27.491408934707902</v>
      </c>
      <c r="AV105" s="1271">
        <f t="shared" si="60"/>
        <v>40.716040716040716</v>
      </c>
      <c r="AW105" s="1271">
        <f t="shared" si="61"/>
        <v>35.701535166012142</v>
      </c>
      <c r="AX105" s="1271">
        <f t="shared" si="62"/>
        <v>37.923416789396171</v>
      </c>
      <c r="AY105" s="1271">
        <f t="shared" si="63"/>
        <v>43.100039541320683</v>
      </c>
      <c r="AZ105" s="1271">
        <f t="shared" si="64"/>
        <v>30.396306271642938</v>
      </c>
      <c r="BA105" s="1271">
        <f t="shared" si="65"/>
        <v>23.894862604540027</v>
      </c>
      <c r="BB105" s="1523">
        <f t="shared" si="66"/>
        <v>19.710378117457761</v>
      </c>
      <c r="BC105" s="1525">
        <f t="shared" si="67"/>
        <v>26.501035196687372</v>
      </c>
      <c r="BD105" s="1866">
        <f t="shared" si="68"/>
        <v>23.979806478754732</v>
      </c>
    </row>
    <row r="106" spans="1:56" s="142" customFormat="1" ht="15.75" customHeight="1" x14ac:dyDescent="0.2">
      <c r="A106" s="149" t="s">
        <v>82</v>
      </c>
      <c r="B106" s="189" t="s">
        <v>83</v>
      </c>
      <c r="C106" s="150" t="s">
        <v>264</v>
      </c>
      <c r="D106" s="1221">
        <v>20</v>
      </c>
      <c r="E106" s="1222">
        <v>15</v>
      </c>
      <c r="F106" s="1223">
        <v>22</v>
      </c>
      <c r="G106" s="1222">
        <v>15</v>
      </c>
      <c r="H106" s="1223">
        <v>22</v>
      </c>
      <c r="I106" s="1222">
        <v>24</v>
      </c>
      <c r="J106" s="1223">
        <v>30</v>
      </c>
      <c r="K106" s="1222">
        <v>21</v>
      </c>
      <c r="L106" s="1236">
        <v>26</v>
      </c>
      <c r="M106" s="1236">
        <v>23</v>
      </c>
      <c r="N106" s="1236">
        <v>20</v>
      </c>
      <c r="O106" s="1236">
        <v>12</v>
      </c>
      <c r="P106" s="1237">
        <v>11</v>
      </c>
      <c r="Q106" s="1237">
        <v>13</v>
      </c>
      <c r="R106" s="1510">
        <v>19</v>
      </c>
      <c r="S106" s="1511">
        <v>19</v>
      </c>
      <c r="T106" s="1858">
        <v>9</v>
      </c>
      <c r="U106" s="1858"/>
      <c r="V106" s="1244">
        <v>587</v>
      </c>
      <c r="W106" s="1245">
        <v>594</v>
      </c>
      <c r="X106" s="1245">
        <v>648</v>
      </c>
      <c r="Y106" s="1245">
        <v>658</v>
      </c>
      <c r="Z106" s="1245">
        <v>633</v>
      </c>
      <c r="AA106" s="1245">
        <v>630</v>
      </c>
      <c r="AB106" s="1245">
        <v>632</v>
      </c>
      <c r="AC106" s="1245">
        <v>625</v>
      </c>
      <c r="AD106" s="1245">
        <v>598</v>
      </c>
      <c r="AE106" s="1245">
        <v>546</v>
      </c>
      <c r="AF106" s="1245">
        <v>503</v>
      </c>
      <c r="AG106" s="1245">
        <v>515</v>
      </c>
      <c r="AH106" s="1245">
        <v>550</v>
      </c>
      <c r="AI106" s="1245">
        <v>509</v>
      </c>
      <c r="AJ106" s="1513">
        <v>489</v>
      </c>
      <c r="AK106" s="1514">
        <v>539</v>
      </c>
      <c r="AL106" s="1859">
        <v>536</v>
      </c>
      <c r="AM106" s="1859"/>
      <c r="AN106" s="1270">
        <f t="shared" si="52"/>
        <v>34.071550255536629</v>
      </c>
      <c r="AO106" s="1271">
        <f t="shared" si="53"/>
        <v>25.252525252525253</v>
      </c>
      <c r="AP106" s="1271">
        <f t="shared" si="54"/>
        <v>33.950617283950614</v>
      </c>
      <c r="AQ106" s="1271">
        <f t="shared" si="55"/>
        <v>22.796352583586625</v>
      </c>
      <c r="AR106" s="1271">
        <f t="shared" si="56"/>
        <v>34.755134281200633</v>
      </c>
      <c r="AS106" s="1271">
        <f t="shared" si="57"/>
        <v>38.095238095238102</v>
      </c>
      <c r="AT106" s="1271">
        <f t="shared" si="58"/>
        <v>47.468354430379748</v>
      </c>
      <c r="AU106" s="1271">
        <f t="shared" si="59"/>
        <v>33.6</v>
      </c>
      <c r="AV106" s="1271">
        <f t="shared" si="60"/>
        <v>43.478260869565219</v>
      </c>
      <c r="AW106" s="1271">
        <f t="shared" si="61"/>
        <v>42.124542124542124</v>
      </c>
      <c r="AX106" s="1271">
        <f t="shared" si="62"/>
        <v>39.761431411530815</v>
      </c>
      <c r="AY106" s="1271">
        <f t="shared" si="63"/>
        <v>23.300970873786408</v>
      </c>
      <c r="AZ106" s="1271">
        <f t="shared" si="64"/>
        <v>20</v>
      </c>
      <c r="BA106" s="1271">
        <f t="shared" si="65"/>
        <v>25.540275049115913</v>
      </c>
      <c r="BB106" s="1523">
        <f t="shared" si="66"/>
        <v>38.854805725971374</v>
      </c>
      <c r="BC106" s="1525">
        <f t="shared" si="67"/>
        <v>35.250463821892389</v>
      </c>
      <c r="BD106" s="1866">
        <f t="shared" si="68"/>
        <v>16.791044776119403</v>
      </c>
    </row>
    <row r="107" spans="1:56" s="142" customFormat="1" ht="15.75" customHeight="1" x14ac:dyDescent="0.2">
      <c r="A107" s="149" t="s">
        <v>88</v>
      </c>
      <c r="B107" s="189" t="s">
        <v>89</v>
      </c>
      <c r="C107" s="150" t="s">
        <v>267</v>
      </c>
      <c r="D107" s="1221">
        <v>46</v>
      </c>
      <c r="E107" s="1222">
        <v>53</v>
      </c>
      <c r="F107" s="1223">
        <v>43</v>
      </c>
      <c r="G107" s="1222">
        <v>38</v>
      </c>
      <c r="H107" s="1223">
        <v>45</v>
      </c>
      <c r="I107" s="1222">
        <v>50</v>
      </c>
      <c r="J107" s="1223">
        <v>49</v>
      </c>
      <c r="K107" s="1222">
        <v>48</v>
      </c>
      <c r="L107" s="1236">
        <v>60</v>
      </c>
      <c r="M107" s="1236">
        <v>44</v>
      </c>
      <c r="N107" s="1236">
        <v>37</v>
      </c>
      <c r="O107" s="1236">
        <v>37</v>
      </c>
      <c r="P107" s="1237">
        <v>34</v>
      </c>
      <c r="Q107" s="1237">
        <v>31</v>
      </c>
      <c r="R107" s="1510">
        <v>30</v>
      </c>
      <c r="S107" s="1511">
        <v>26</v>
      </c>
      <c r="T107" s="1858">
        <v>27</v>
      </c>
      <c r="U107" s="1858"/>
      <c r="V107" s="1244">
        <v>1725</v>
      </c>
      <c r="W107" s="1245">
        <v>1746</v>
      </c>
      <c r="X107" s="1245">
        <v>1780</v>
      </c>
      <c r="Y107" s="1245">
        <v>1715</v>
      </c>
      <c r="Z107" s="1245">
        <v>1716</v>
      </c>
      <c r="AA107" s="1245">
        <v>1734</v>
      </c>
      <c r="AB107" s="1245">
        <v>1752</v>
      </c>
      <c r="AC107" s="1245">
        <v>1863</v>
      </c>
      <c r="AD107" s="1245">
        <v>1868</v>
      </c>
      <c r="AE107" s="1245">
        <v>1930</v>
      </c>
      <c r="AF107" s="1245">
        <v>1939</v>
      </c>
      <c r="AG107" s="1245">
        <v>1871</v>
      </c>
      <c r="AH107" s="1245">
        <v>1940</v>
      </c>
      <c r="AI107" s="1245">
        <v>1972</v>
      </c>
      <c r="AJ107" s="1513">
        <v>2134</v>
      </c>
      <c r="AK107" s="1514">
        <v>2208</v>
      </c>
      <c r="AL107" s="1859">
        <v>2167</v>
      </c>
      <c r="AM107" s="1859"/>
      <c r="AN107" s="1270">
        <f t="shared" si="52"/>
        <v>26.666666666666668</v>
      </c>
      <c r="AO107" s="1271">
        <f t="shared" si="53"/>
        <v>30.355097365406642</v>
      </c>
      <c r="AP107" s="1271">
        <f t="shared" si="54"/>
        <v>24.157303370786519</v>
      </c>
      <c r="AQ107" s="1271">
        <f t="shared" si="55"/>
        <v>22.157434402332363</v>
      </c>
      <c r="AR107" s="1271">
        <f t="shared" si="56"/>
        <v>26.223776223776223</v>
      </c>
      <c r="AS107" s="1271">
        <f t="shared" si="57"/>
        <v>28.83506343713956</v>
      </c>
      <c r="AT107" s="1271">
        <f t="shared" si="58"/>
        <v>27.968036529680365</v>
      </c>
      <c r="AU107" s="1271">
        <f t="shared" si="59"/>
        <v>25.764895330112722</v>
      </c>
      <c r="AV107" s="1271">
        <f t="shared" si="60"/>
        <v>32.119914346895072</v>
      </c>
      <c r="AW107" s="1271">
        <f t="shared" si="61"/>
        <v>22.797927461139896</v>
      </c>
      <c r="AX107" s="1271">
        <f t="shared" si="62"/>
        <v>19.082001031459516</v>
      </c>
      <c r="AY107" s="1271">
        <f t="shared" si="63"/>
        <v>19.775521111704968</v>
      </c>
      <c r="AZ107" s="1271">
        <f t="shared" si="64"/>
        <v>17.52577319587629</v>
      </c>
      <c r="BA107" s="1271">
        <f t="shared" si="65"/>
        <v>15.720081135902637</v>
      </c>
      <c r="BB107" s="1523">
        <f t="shared" si="66"/>
        <v>14.058106841611997</v>
      </c>
      <c r="BC107" s="1525">
        <f t="shared" si="67"/>
        <v>11.77536231884058</v>
      </c>
      <c r="BD107" s="1866">
        <f t="shared" si="68"/>
        <v>12.459621596677433</v>
      </c>
    </row>
    <row r="108" spans="1:56" s="142" customFormat="1" ht="15.75" customHeight="1" x14ac:dyDescent="0.2">
      <c r="A108" s="149" t="s">
        <v>90</v>
      </c>
      <c r="B108" s="189" t="s">
        <v>91</v>
      </c>
      <c r="C108" s="150" t="s">
        <v>268</v>
      </c>
      <c r="D108" s="1221">
        <v>21</v>
      </c>
      <c r="E108" s="1222">
        <v>26</v>
      </c>
      <c r="F108" s="1223">
        <v>19</v>
      </c>
      <c r="G108" s="1222">
        <v>24</v>
      </c>
      <c r="H108" s="1223">
        <v>21</v>
      </c>
      <c r="I108" s="1222">
        <v>9</v>
      </c>
      <c r="J108" s="1223">
        <v>17</v>
      </c>
      <c r="K108" s="1222">
        <v>18</v>
      </c>
      <c r="L108" s="1236">
        <v>13</v>
      </c>
      <c r="M108" s="1236">
        <v>19</v>
      </c>
      <c r="N108" s="1236">
        <v>18</v>
      </c>
      <c r="O108" s="1236">
        <v>24</v>
      </c>
      <c r="P108" s="1237">
        <v>17</v>
      </c>
      <c r="Q108" s="1237">
        <v>18</v>
      </c>
      <c r="R108" s="1510">
        <v>20</v>
      </c>
      <c r="S108" s="1511">
        <v>16</v>
      </c>
      <c r="T108" s="1858">
        <v>11</v>
      </c>
      <c r="U108" s="1858"/>
      <c r="V108" s="1244">
        <v>422</v>
      </c>
      <c r="W108" s="1245">
        <v>428</v>
      </c>
      <c r="X108" s="1245">
        <v>406</v>
      </c>
      <c r="Y108" s="1245">
        <v>387</v>
      </c>
      <c r="Z108" s="1245">
        <v>375</v>
      </c>
      <c r="AA108" s="1245">
        <v>359</v>
      </c>
      <c r="AB108" s="1245">
        <v>370</v>
      </c>
      <c r="AC108" s="1245">
        <v>360</v>
      </c>
      <c r="AD108" s="1245">
        <v>367</v>
      </c>
      <c r="AE108" s="1245">
        <v>364</v>
      </c>
      <c r="AF108" s="1245">
        <v>357</v>
      </c>
      <c r="AG108" s="1245">
        <v>344</v>
      </c>
      <c r="AH108" s="1245">
        <v>406</v>
      </c>
      <c r="AI108" s="1245">
        <v>415</v>
      </c>
      <c r="AJ108" s="1513">
        <v>435</v>
      </c>
      <c r="AK108" s="1514">
        <v>438</v>
      </c>
      <c r="AL108" s="1859">
        <v>440</v>
      </c>
      <c r="AM108" s="1859"/>
      <c r="AN108" s="1270">
        <f t="shared" si="52"/>
        <v>49.763033175355453</v>
      </c>
      <c r="AO108" s="1271">
        <f t="shared" si="53"/>
        <v>60.747663551401871</v>
      </c>
      <c r="AP108" s="1271">
        <f t="shared" si="54"/>
        <v>46.798029556650242</v>
      </c>
      <c r="AQ108" s="1271">
        <f t="shared" si="55"/>
        <v>62.015503875968989</v>
      </c>
      <c r="AR108" s="1271">
        <f t="shared" si="56"/>
        <v>56</v>
      </c>
      <c r="AS108" s="1271">
        <f t="shared" si="57"/>
        <v>25.069637883008355</v>
      </c>
      <c r="AT108" s="1271">
        <f t="shared" si="58"/>
        <v>45.945945945945951</v>
      </c>
      <c r="AU108" s="1271">
        <f t="shared" si="59"/>
        <v>50</v>
      </c>
      <c r="AV108" s="1271">
        <f t="shared" si="60"/>
        <v>35.422343324250683</v>
      </c>
      <c r="AW108" s="1271">
        <f t="shared" si="61"/>
        <v>52.197802197802197</v>
      </c>
      <c r="AX108" s="1271">
        <f t="shared" si="62"/>
        <v>50.420168067226889</v>
      </c>
      <c r="AY108" s="1271">
        <f t="shared" si="63"/>
        <v>69.767441860465112</v>
      </c>
      <c r="AZ108" s="1271">
        <f t="shared" si="64"/>
        <v>41.871921182266007</v>
      </c>
      <c r="BA108" s="1271">
        <f t="shared" si="65"/>
        <v>43.373493975903614</v>
      </c>
      <c r="BB108" s="1523">
        <f t="shared" si="66"/>
        <v>45.977011494252871</v>
      </c>
      <c r="BC108" s="1525">
        <f t="shared" si="67"/>
        <v>36.529680365296798</v>
      </c>
      <c r="BD108" s="1866">
        <f t="shared" si="68"/>
        <v>25</v>
      </c>
    </row>
    <row r="109" spans="1:56" s="142" customFormat="1" ht="15.75" customHeight="1" x14ac:dyDescent="0.2">
      <c r="A109" s="149" t="s">
        <v>106</v>
      </c>
      <c r="B109" s="189" t="s">
        <v>107</v>
      </c>
      <c r="C109" s="150" t="s">
        <v>264</v>
      </c>
      <c r="D109" s="1221">
        <v>276</v>
      </c>
      <c r="E109" s="1222">
        <v>297</v>
      </c>
      <c r="F109" s="1223">
        <v>272</v>
      </c>
      <c r="G109" s="1222">
        <v>274</v>
      </c>
      <c r="H109" s="1223">
        <v>238</v>
      </c>
      <c r="I109" s="1222">
        <v>203</v>
      </c>
      <c r="J109" s="1223">
        <v>221</v>
      </c>
      <c r="K109" s="1222">
        <v>247</v>
      </c>
      <c r="L109" s="1236">
        <v>226</v>
      </c>
      <c r="M109" s="1236">
        <v>256</v>
      </c>
      <c r="N109" s="1236">
        <v>189</v>
      </c>
      <c r="O109" s="1236">
        <v>188</v>
      </c>
      <c r="P109" s="1237">
        <v>177</v>
      </c>
      <c r="Q109" s="1237">
        <v>144</v>
      </c>
      <c r="R109" s="1510">
        <v>145</v>
      </c>
      <c r="S109" s="1511">
        <v>122</v>
      </c>
      <c r="T109" s="1858">
        <v>123</v>
      </c>
      <c r="U109" s="1858"/>
      <c r="V109" s="1244">
        <v>10507</v>
      </c>
      <c r="W109" s="1245">
        <v>10640</v>
      </c>
      <c r="X109" s="1245">
        <v>10952</v>
      </c>
      <c r="Y109" s="1245">
        <v>10727</v>
      </c>
      <c r="Z109" s="1245">
        <v>10660</v>
      </c>
      <c r="AA109" s="1245">
        <v>10790</v>
      </c>
      <c r="AB109" s="1245">
        <v>10593</v>
      </c>
      <c r="AC109" s="1245">
        <v>10346</v>
      </c>
      <c r="AD109" s="1245">
        <v>10181</v>
      </c>
      <c r="AE109" s="1245">
        <v>10345</v>
      </c>
      <c r="AF109" s="1245">
        <v>10046</v>
      </c>
      <c r="AG109" s="1245">
        <v>9446</v>
      </c>
      <c r="AH109" s="1245">
        <v>9459</v>
      </c>
      <c r="AI109" s="1245">
        <v>9212</v>
      </c>
      <c r="AJ109" s="1513">
        <v>8917</v>
      </c>
      <c r="AK109" s="1514">
        <v>8669</v>
      </c>
      <c r="AL109" s="1859">
        <v>8503</v>
      </c>
      <c r="AM109" s="1859"/>
      <c r="AN109" s="1270">
        <f t="shared" si="52"/>
        <v>26.268202150946987</v>
      </c>
      <c r="AO109" s="1271">
        <f t="shared" si="53"/>
        <v>27.913533834586467</v>
      </c>
      <c r="AP109" s="1271">
        <f t="shared" si="54"/>
        <v>24.83564645726808</v>
      </c>
      <c r="AQ109" s="1271">
        <f t="shared" si="55"/>
        <v>25.543022280227465</v>
      </c>
      <c r="AR109" s="1271">
        <f t="shared" si="56"/>
        <v>22.326454033771107</v>
      </c>
      <c r="AS109" s="1271">
        <f t="shared" si="57"/>
        <v>18.813716404077848</v>
      </c>
      <c r="AT109" s="1271">
        <f t="shared" si="58"/>
        <v>20.862833946946097</v>
      </c>
      <c r="AU109" s="1271">
        <f t="shared" si="59"/>
        <v>23.873960951092208</v>
      </c>
      <c r="AV109" s="1271">
        <f t="shared" si="60"/>
        <v>22.198212356350062</v>
      </c>
      <c r="AW109" s="1271">
        <f t="shared" si="61"/>
        <v>24.746254229096181</v>
      </c>
      <c r="AX109" s="1271">
        <f t="shared" si="62"/>
        <v>18.813458092773242</v>
      </c>
      <c r="AY109" s="1271">
        <f t="shared" si="63"/>
        <v>19.902604276942622</v>
      </c>
      <c r="AZ109" s="1271">
        <f t="shared" si="64"/>
        <v>18.712337456390742</v>
      </c>
      <c r="BA109" s="1271">
        <f t="shared" si="65"/>
        <v>15.631784628745114</v>
      </c>
      <c r="BB109" s="1523">
        <f t="shared" si="66"/>
        <v>16.261074352360659</v>
      </c>
      <c r="BC109" s="1525">
        <f t="shared" si="67"/>
        <v>14.073134156188718</v>
      </c>
      <c r="BD109" s="1866">
        <f t="shared" si="68"/>
        <v>14.465482770786782</v>
      </c>
    </row>
    <row r="110" spans="1:56" s="142" customFormat="1" ht="15.75" customHeight="1" x14ac:dyDescent="0.2">
      <c r="A110" s="149" t="s">
        <v>116</v>
      </c>
      <c r="B110" s="189" t="s">
        <v>117</v>
      </c>
      <c r="C110" s="150" t="s">
        <v>266</v>
      </c>
      <c r="D110" s="1221">
        <v>62</v>
      </c>
      <c r="E110" s="1222">
        <v>71</v>
      </c>
      <c r="F110" s="1223">
        <v>68</v>
      </c>
      <c r="G110" s="1222">
        <v>78</v>
      </c>
      <c r="H110" s="1223">
        <v>71</v>
      </c>
      <c r="I110" s="1222">
        <v>68</v>
      </c>
      <c r="J110" s="1223">
        <v>50</v>
      </c>
      <c r="K110" s="1222">
        <v>55</v>
      </c>
      <c r="L110" s="1236">
        <v>67</v>
      </c>
      <c r="M110" s="1236">
        <v>71</v>
      </c>
      <c r="N110" s="1236">
        <v>64</v>
      </c>
      <c r="O110" s="1236">
        <v>73</v>
      </c>
      <c r="P110" s="1237">
        <v>59</v>
      </c>
      <c r="Q110" s="1237">
        <v>48</v>
      </c>
      <c r="R110" s="1510">
        <v>47</v>
      </c>
      <c r="S110" s="1511">
        <v>35</v>
      </c>
      <c r="T110" s="1858">
        <v>39</v>
      </c>
      <c r="U110" s="1858"/>
      <c r="V110" s="1244">
        <v>1671</v>
      </c>
      <c r="W110" s="1245">
        <v>1686</v>
      </c>
      <c r="X110" s="1245">
        <v>1503</v>
      </c>
      <c r="Y110" s="1245">
        <v>1509</v>
      </c>
      <c r="Z110" s="1245">
        <v>1523</v>
      </c>
      <c r="AA110" s="1245">
        <v>1543</v>
      </c>
      <c r="AB110" s="1245">
        <v>1556</v>
      </c>
      <c r="AC110" s="1245">
        <v>1590</v>
      </c>
      <c r="AD110" s="1245">
        <v>1579</v>
      </c>
      <c r="AE110" s="1245">
        <v>1638</v>
      </c>
      <c r="AF110" s="1245">
        <v>1629</v>
      </c>
      <c r="AG110" s="1245">
        <v>1483</v>
      </c>
      <c r="AH110" s="1245">
        <v>1489</v>
      </c>
      <c r="AI110" s="1245">
        <v>1418</v>
      </c>
      <c r="AJ110" s="1513">
        <v>1354</v>
      </c>
      <c r="AK110" s="1514">
        <v>1315</v>
      </c>
      <c r="AL110" s="1859">
        <v>1332</v>
      </c>
      <c r="AM110" s="1859"/>
      <c r="AN110" s="1270">
        <f t="shared" si="52"/>
        <v>37.10353081986834</v>
      </c>
      <c r="AO110" s="1271">
        <f t="shared" si="53"/>
        <v>42.111506524317917</v>
      </c>
      <c r="AP110" s="1271">
        <f t="shared" si="54"/>
        <v>45.242847638057221</v>
      </c>
      <c r="AQ110" s="1271">
        <f t="shared" si="55"/>
        <v>51.689860834990057</v>
      </c>
      <c r="AR110" s="1271">
        <f t="shared" si="56"/>
        <v>46.618516086671043</v>
      </c>
      <c r="AS110" s="1271">
        <f t="shared" si="57"/>
        <v>44.069993519118597</v>
      </c>
      <c r="AT110" s="1271">
        <f t="shared" si="58"/>
        <v>32.133676092544988</v>
      </c>
      <c r="AU110" s="1271">
        <f t="shared" si="59"/>
        <v>34.591194968553459</v>
      </c>
      <c r="AV110" s="1271">
        <f t="shared" si="60"/>
        <v>42.431918936035466</v>
      </c>
      <c r="AW110" s="1271">
        <f t="shared" si="61"/>
        <v>43.345543345543341</v>
      </c>
      <c r="AX110" s="1271">
        <f t="shared" si="62"/>
        <v>39.287906691221608</v>
      </c>
      <c r="AY110" s="1271">
        <f t="shared" si="63"/>
        <v>49.224544841537423</v>
      </c>
      <c r="AZ110" s="1271">
        <f t="shared" si="64"/>
        <v>39.623908663532575</v>
      </c>
      <c r="BA110" s="1271">
        <f t="shared" si="65"/>
        <v>33.850493653032444</v>
      </c>
      <c r="BB110" s="1523">
        <f t="shared" si="66"/>
        <v>34.711964549483014</v>
      </c>
      <c r="BC110" s="1525">
        <f t="shared" si="67"/>
        <v>26.615969581749049</v>
      </c>
      <c r="BD110" s="1866">
        <f t="shared" si="68"/>
        <v>29.27927927927928</v>
      </c>
    </row>
    <row r="111" spans="1:56" s="142" customFormat="1" ht="15.75" customHeight="1" x14ac:dyDescent="0.2">
      <c r="A111" s="149" t="s">
        <v>138</v>
      </c>
      <c r="B111" s="189" t="s">
        <v>139</v>
      </c>
      <c r="C111" s="150" t="s">
        <v>265</v>
      </c>
      <c r="D111" s="1221">
        <v>116</v>
      </c>
      <c r="E111" s="1222">
        <v>106</v>
      </c>
      <c r="F111" s="1223">
        <v>121</v>
      </c>
      <c r="G111" s="1222">
        <v>138</v>
      </c>
      <c r="H111" s="1223">
        <v>130</v>
      </c>
      <c r="I111" s="1223">
        <v>120</v>
      </c>
      <c r="J111" s="1223">
        <v>120</v>
      </c>
      <c r="K111" s="1222">
        <v>133</v>
      </c>
      <c r="L111" s="1236">
        <v>139</v>
      </c>
      <c r="M111" s="1236">
        <v>150</v>
      </c>
      <c r="N111" s="1236">
        <v>119</v>
      </c>
      <c r="O111" s="1236">
        <v>102</v>
      </c>
      <c r="P111" s="1237">
        <v>108</v>
      </c>
      <c r="Q111" s="1237">
        <v>78</v>
      </c>
      <c r="R111" s="1510">
        <v>61</v>
      </c>
      <c r="S111" s="1511">
        <v>66</v>
      </c>
      <c r="T111" s="1858">
        <v>76</v>
      </c>
      <c r="U111" s="1858"/>
      <c r="V111" s="1244">
        <v>5632</v>
      </c>
      <c r="W111" s="1245">
        <v>5669</v>
      </c>
      <c r="X111" s="1245">
        <v>5181</v>
      </c>
      <c r="Y111" s="1245">
        <v>5080</v>
      </c>
      <c r="Z111" s="1245">
        <v>5057</v>
      </c>
      <c r="AA111" s="1245">
        <v>5232</v>
      </c>
      <c r="AB111" s="1245">
        <v>5208</v>
      </c>
      <c r="AC111" s="1245">
        <v>5575</v>
      </c>
      <c r="AD111" s="1245">
        <v>5500</v>
      </c>
      <c r="AE111" s="1245">
        <v>5895</v>
      </c>
      <c r="AF111" s="1245">
        <v>6014</v>
      </c>
      <c r="AG111" s="1245">
        <v>5921</v>
      </c>
      <c r="AH111" s="1245">
        <v>6221</v>
      </c>
      <c r="AI111" s="1245">
        <v>6095</v>
      </c>
      <c r="AJ111" s="1513">
        <v>6114</v>
      </c>
      <c r="AK111" s="1514">
        <v>6275</v>
      </c>
      <c r="AL111" s="1859">
        <v>6427</v>
      </c>
      <c r="AM111" s="1859"/>
      <c r="AN111" s="1270">
        <f t="shared" si="52"/>
        <v>20.596590909090907</v>
      </c>
      <c r="AO111" s="1271">
        <f t="shared" si="53"/>
        <v>18.698183101076026</v>
      </c>
      <c r="AP111" s="1271">
        <f t="shared" si="54"/>
        <v>23.354564755838638</v>
      </c>
      <c r="AQ111" s="1271">
        <f t="shared" si="55"/>
        <v>27.165354330708659</v>
      </c>
      <c r="AR111" s="1271">
        <f t="shared" si="56"/>
        <v>25.70694087403599</v>
      </c>
      <c r="AS111" s="1271">
        <f t="shared" si="57"/>
        <v>22.935779816513762</v>
      </c>
      <c r="AT111" s="1271">
        <f t="shared" si="58"/>
        <v>23.041474654377883</v>
      </c>
      <c r="AU111" s="1271">
        <f t="shared" si="59"/>
        <v>23.856502242152466</v>
      </c>
      <c r="AV111" s="1271">
        <f t="shared" si="60"/>
        <v>25.272727272727273</v>
      </c>
      <c r="AW111" s="1271">
        <f t="shared" si="61"/>
        <v>25.445292620865139</v>
      </c>
      <c r="AX111" s="1271">
        <f t="shared" si="62"/>
        <v>19.787163285666779</v>
      </c>
      <c r="AY111" s="1271">
        <f t="shared" si="63"/>
        <v>17.226819793953723</v>
      </c>
      <c r="AZ111" s="1271">
        <f t="shared" si="64"/>
        <v>17.360552965761133</v>
      </c>
      <c r="BA111" s="1271">
        <f t="shared" si="65"/>
        <v>12.797374897456931</v>
      </c>
      <c r="BB111" s="1523">
        <f t="shared" si="66"/>
        <v>9.9771017337258758</v>
      </c>
      <c r="BC111" s="1525">
        <f t="shared" si="67"/>
        <v>10.517928286852589</v>
      </c>
      <c r="BD111" s="1866">
        <f t="shared" si="68"/>
        <v>11.825112805352418</v>
      </c>
    </row>
    <row r="112" spans="1:56" s="142" customFormat="1" ht="15.75" customHeight="1" x14ac:dyDescent="0.2">
      <c r="A112" s="149" t="s">
        <v>142</v>
      </c>
      <c r="B112" s="189" t="s">
        <v>273</v>
      </c>
      <c r="C112" s="150" t="s">
        <v>267</v>
      </c>
      <c r="D112" s="1221">
        <v>59</v>
      </c>
      <c r="E112" s="1222">
        <v>60</v>
      </c>
      <c r="F112" s="1223">
        <v>67</v>
      </c>
      <c r="G112" s="1222">
        <v>74</v>
      </c>
      <c r="H112" s="1223">
        <v>59</v>
      </c>
      <c r="I112" s="1222">
        <v>61</v>
      </c>
      <c r="J112" s="1223">
        <v>67</v>
      </c>
      <c r="K112" s="1222">
        <v>58</v>
      </c>
      <c r="L112" s="1236">
        <v>83</v>
      </c>
      <c r="M112" s="1236">
        <v>66</v>
      </c>
      <c r="N112" s="1236">
        <v>50</v>
      </c>
      <c r="O112" s="1236">
        <v>51</v>
      </c>
      <c r="P112" s="1237">
        <v>50</v>
      </c>
      <c r="Q112" s="1237">
        <v>78</v>
      </c>
      <c r="R112" s="1510">
        <v>59</v>
      </c>
      <c r="S112" s="1511">
        <v>50</v>
      </c>
      <c r="T112" s="1858">
        <v>50</v>
      </c>
      <c r="U112" s="1858"/>
      <c r="V112" s="1244">
        <v>2247</v>
      </c>
      <c r="W112" s="1245">
        <v>2305</v>
      </c>
      <c r="X112" s="1245">
        <v>2531</v>
      </c>
      <c r="Y112" s="1245">
        <v>2608</v>
      </c>
      <c r="Z112" s="1245">
        <v>2647</v>
      </c>
      <c r="AA112" s="1245">
        <v>2679</v>
      </c>
      <c r="AB112" s="1245">
        <v>2737</v>
      </c>
      <c r="AC112" s="1245">
        <v>2758</v>
      </c>
      <c r="AD112" s="1245">
        <v>2631</v>
      </c>
      <c r="AE112" s="1245">
        <v>2565</v>
      </c>
      <c r="AF112" s="1245">
        <v>2502</v>
      </c>
      <c r="AG112" s="1245">
        <v>2429</v>
      </c>
      <c r="AH112" s="1245">
        <v>2665</v>
      </c>
      <c r="AI112" s="1245">
        <v>2658</v>
      </c>
      <c r="AJ112" s="1513">
        <v>2764</v>
      </c>
      <c r="AK112" s="1514">
        <v>2788</v>
      </c>
      <c r="AL112" s="1859">
        <v>2716</v>
      </c>
      <c r="AM112" s="1859"/>
      <c r="AN112" s="1270">
        <f t="shared" si="52"/>
        <v>26.257231864708501</v>
      </c>
      <c r="AO112" s="1271">
        <f t="shared" si="53"/>
        <v>26.030368763557483</v>
      </c>
      <c r="AP112" s="1271">
        <f t="shared" si="54"/>
        <v>26.471750296325563</v>
      </c>
      <c r="AQ112" s="1271">
        <f t="shared" si="55"/>
        <v>28.374233128834355</v>
      </c>
      <c r="AR112" s="1271">
        <f t="shared" si="56"/>
        <v>22.289384208537967</v>
      </c>
      <c r="AS112" s="1271">
        <f t="shared" si="57"/>
        <v>22.769690182904068</v>
      </c>
      <c r="AT112" s="1271">
        <f t="shared" si="58"/>
        <v>24.479356960175373</v>
      </c>
      <c r="AU112" s="1271">
        <f t="shared" si="59"/>
        <v>21.029731689630168</v>
      </c>
      <c r="AV112" s="1271">
        <f t="shared" si="60"/>
        <v>31.546940326871916</v>
      </c>
      <c r="AW112" s="1271">
        <f t="shared" si="61"/>
        <v>25.730994152046787</v>
      </c>
      <c r="AX112" s="1271">
        <f t="shared" si="62"/>
        <v>19.984012789768183</v>
      </c>
      <c r="AY112" s="1271">
        <f t="shared" si="63"/>
        <v>20.996294771510911</v>
      </c>
      <c r="AZ112" s="1271">
        <f t="shared" si="64"/>
        <v>18.761726078799253</v>
      </c>
      <c r="BA112" s="1271">
        <f t="shared" si="65"/>
        <v>29.345372460496616</v>
      </c>
      <c r="BB112" s="1523">
        <f t="shared" si="66"/>
        <v>21.345875542691751</v>
      </c>
      <c r="BC112" s="1525">
        <f t="shared" si="67"/>
        <v>17.934002869440459</v>
      </c>
      <c r="BD112" s="1866">
        <f t="shared" si="68"/>
        <v>18.409425625920473</v>
      </c>
    </row>
    <row r="113" spans="1:56" s="142" customFormat="1" ht="15.75" customHeight="1" x14ac:dyDescent="0.2">
      <c r="A113" s="149" t="s">
        <v>144</v>
      </c>
      <c r="B113" s="189" t="s">
        <v>145</v>
      </c>
      <c r="C113" s="150" t="s">
        <v>267</v>
      </c>
      <c r="D113" s="1221">
        <v>15</v>
      </c>
      <c r="E113" s="1222">
        <v>15</v>
      </c>
      <c r="F113" s="1223">
        <v>15</v>
      </c>
      <c r="G113" s="1222">
        <v>18</v>
      </c>
      <c r="H113" s="1223">
        <v>24</v>
      </c>
      <c r="I113" s="1222">
        <v>18</v>
      </c>
      <c r="J113" s="1223">
        <v>23</v>
      </c>
      <c r="K113" s="1222">
        <v>25</v>
      </c>
      <c r="L113" s="1236">
        <v>37</v>
      </c>
      <c r="M113" s="1236">
        <v>23</v>
      </c>
      <c r="N113" s="1236">
        <v>16</v>
      </c>
      <c r="O113" s="1236">
        <v>19</v>
      </c>
      <c r="P113" s="1237">
        <v>0</v>
      </c>
      <c r="Q113" s="1237">
        <v>1</v>
      </c>
      <c r="R113" s="1510">
        <v>3</v>
      </c>
      <c r="S113" s="1511">
        <v>1</v>
      </c>
      <c r="T113" s="1858">
        <v>0</v>
      </c>
      <c r="U113" s="1858"/>
      <c r="V113" s="1244">
        <v>595</v>
      </c>
      <c r="W113" s="1245">
        <v>609</v>
      </c>
      <c r="X113" s="1245">
        <v>720</v>
      </c>
      <c r="Y113" s="1245">
        <v>759</v>
      </c>
      <c r="Z113" s="1245">
        <v>769</v>
      </c>
      <c r="AA113" s="1245">
        <v>791</v>
      </c>
      <c r="AB113" s="1245">
        <v>840</v>
      </c>
      <c r="AC113" s="1245">
        <v>849</v>
      </c>
      <c r="AD113" s="1245">
        <v>830</v>
      </c>
      <c r="AE113" s="1245">
        <v>830</v>
      </c>
      <c r="AF113" s="1245">
        <v>840</v>
      </c>
      <c r="AG113" s="1245">
        <v>773</v>
      </c>
      <c r="AH113" s="1245">
        <v>947</v>
      </c>
      <c r="AI113" s="1245">
        <v>1047</v>
      </c>
      <c r="AJ113" s="1513">
        <v>1073</v>
      </c>
      <c r="AK113" s="1514">
        <v>1047</v>
      </c>
      <c r="AL113" s="1859">
        <v>1022</v>
      </c>
      <c r="AM113" s="1859"/>
      <c r="AN113" s="1270">
        <f t="shared" si="52"/>
        <v>25.210084033613445</v>
      </c>
      <c r="AO113" s="1271">
        <f t="shared" si="53"/>
        <v>24.630541871921185</v>
      </c>
      <c r="AP113" s="1271">
        <f t="shared" si="54"/>
        <v>20.833333333333332</v>
      </c>
      <c r="AQ113" s="1271">
        <f t="shared" si="55"/>
        <v>23.715415019762844</v>
      </c>
      <c r="AR113" s="1271">
        <f t="shared" si="56"/>
        <v>31.209362808842652</v>
      </c>
      <c r="AS113" s="1271">
        <f t="shared" si="57"/>
        <v>22.756005056890015</v>
      </c>
      <c r="AT113" s="1271">
        <f t="shared" si="58"/>
        <v>27.38095238095238</v>
      </c>
      <c r="AU113" s="1271">
        <f t="shared" si="59"/>
        <v>29.446407538280329</v>
      </c>
      <c r="AV113" s="1271">
        <f t="shared" si="60"/>
        <v>44.578313253012048</v>
      </c>
      <c r="AW113" s="1271">
        <f t="shared" si="61"/>
        <v>27.710843373493976</v>
      </c>
      <c r="AX113" s="1271">
        <f t="shared" si="62"/>
        <v>19.047619047619051</v>
      </c>
      <c r="AY113" s="1271">
        <f t="shared" si="63"/>
        <v>24.579560155239328</v>
      </c>
      <c r="AZ113" s="1271">
        <f t="shared" si="64"/>
        <v>0</v>
      </c>
      <c r="BA113" s="1271">
        <f t="shared" si="65"/>
        <v>0.95510983763132762</v>
      </c>
      <c r="BB113" s="1523">
        <f t="shared" si="66"/>
        <v>2.7958993476234855</v>
      </c>
      <c r="BC113" s="1525">
        <f t="shared" si="67"/>
        <v>0.95510983763132762</v>
      </c>
      <c r="BD113" s="1866">
        <f t="shared" si="68"/>
        <v>0</v>
      </c>
    </row>
    <row r="114" spans="1:56" s="142" customFormat="1" ht="15.75" customHeight="1" x14ac:dyDescent="0.2">
      <c r="A114" s="149" t="s">
        <v>158</v>
      </c>
      <c r="B114" s="189" t="s">
        <v>159</v>
      </c>
      <c r="C114" s="150" t="s">
        <v>264</v>
      </c>
      <c r="D114" s="1221">
        <v>468</v>
      </c>
      <c r="E114" s="1222">
        <v>452</v>
      </c>
      <c r="F114" s="1223">
        <v>447</v>
      </c>
      <c r="G114" s="1222">
        <v>421</v>
      </c>
      <c r="H114" s="1223">
        <v>407</v>
      </c>
      <c r="I114" s="1222">
        <v>409</v>
      </c>
      <c r="J114" s="1223">
        <v>373</v>
      </c>
      <c r="K114" s="1222">
        <v>363</v>
      </c>
      <c r="L114" s="1236">
        <v>392</v>
      </c>
      <c r="M114" s="1236">
        <v>344</v>
      </c>
      <c r="N114" s="1236">
        <v>382</v>
      </c>
      <c r="O114" s="1236">
        <v>326</v>
      </c>
      <c r="P114" s="1237">
        <v>280</v>
      </c>
      <c r="Q114" s="1237">
        <v>269</v>
      </c>
      <c r="R114" s="1510">
        <v>248</v>
      </c>
      <c r="S114" s="1511">
        <v>208</v>
      </c>
      <c r="T114" s="1858">
        <v>146</v>
      </c>
      <c r="U114" s="1858"/>
      <c r="V114" s="1244">
        <v>13646</v>
      </c>
      <c r="W114" s="1245">
        <v>13975</v>
      </c>
      <c r="X114" s="1245">
        <v>12876</v>
      </c>
      <c r="Y114" s="1245">
        <v>12824</v>
      </c>
      <c r="Z114" s="1245">
        <v>12894</v>
      </c>
      <c r="AA114" s="1245">
        <v>13189</v>
      </c>
      <c r="AB114" s="1245">
        <v>13287</v>
      </c>
      <c r="AC114" s="1245">
        <v>13249</v>
      </c>
      <c r="AD114" s="1245">
        <v>13050</v>
      </c>
      <c r="AE114" s="1245">
        <v>13209</v>
      </c>
      <c r="AF114" s="1245">
        <v>13877</v>
      </c>
      <c r="AG114" s="1245">
        <v>13149</v>
      </c>
      <c r="AH114" s="1245">
        <v>12437</v>
      </c>
      <c r="AI114" s="1245">
        <v>11955</v>
      </c>
      <c r="AJ114" s="1513">
        <v>11781</v>
      </c>
      <c r="AK114" s="1514">
        <v>11695</v>
      </c>
      <c r="AL114" s="1859">
        <v>11545</v>
      </c>
      <c r="AM114" s="1859"/>
      <c r="AN114" s="1270">
        <f t="shared" si="52"/>
        <v>34.295764326542574</v>
      </c>
      <c r="AO114" s="1271">
        <f t="shared" si="53"/>
        <v>32.343470483005362</v>
      </c>
      <c r="AP114" s="1271">
        <f t="shared" si="54"/>
        <v>34.715750232991617</v>
      </c>
      <c r="AQ114" s="1271">
        <f t="shared" si="55"/>
        <v>32.829070492825949</v>
      </c>
      <c r="AR114" s="1271">
        <f t="shared" si="56"/>
        <v>31.565069024352411</v>
      </c>
      <c r="AS114" s="1271">
        <f t="shared" si="57"/>
        <v>31.010690727121087</v>
      </c>
      <c r="AT114" s="1271">
        <f t="shared" si="58"/>
        <v>28.072552118612176</v>
      </c>
      <c r="AU114" s="1271">
        <f t="shared" si="59"/>
        <v>27.39829421088384</v>
      </c>
      <c r="AV114" s="1271">
        <f t="shared" si="60"/>
        <v>30.038314176245208</v>
      </c>
      <c r="AW114" s="1271">
        <f t="shared" si="61"/>
        <v>26.042849572261336</v>
      </c>
      <c r="AX114" s="1271">
        <f t="shared" si="62"/>
        <v>27.527563594436838</v>
      </c>
      <c r="AY114" s="1271">
        <f t="shared" si="63"/>
        <v>24.792759905696251</v>
      </c>
      <c r="AZ114" s="1271">
        <f t="shared" si="64"/>
        <v>22.513467878105654</v>
      </c>
      <c r="BA114" s="1271">
        <f t="shared" si="65"/>
        <v>22.50104558762024</v>
      </c>
      <c r="BB114" s="1523">
        <f t="shared" si="66"/>
        <v>21.050844580256346</v>
      </c>
      <c r="BC114" s="1525">
        <f t="shared" si="67"/>
        <v>17.78537836682343</v>
      </c>
      <c r="BD114" s="1866">
        <f t="shared" si="68"/>
        <v>12.646167171935902</v>
      </c>
    </row>
    <row r="115" spans="1:56" s="142" customFormat="1" ht="15.75" customHeight="1" x14ac:dyDescent="0.2">
      <c r="A115" s="149" t="s">
        <v>160</v>
      </c>
      <c r="B115" s="189" t="s">
        <v>161</v>
      </c>
      <c r="C115" s="150" t="s">
        <v>264</v>
      </c>
      <c r="D115" s="1221">
        <v>715</v>
      </c>
      <c r="E115" s="1222">
        <v>696</v>
      </c>
      <c r="F115" s="1223">
        <v>634</v>
      </c>
      <c r="G115" s="1222">
        <v>616</v>
      </c>
      <c r="H115" s="1223">
        <v>626</v>
      </c>
      <c r="I115" s="1222">
        <v>550</v>
      </c>
      <c r="J115" s="1223">
        <v>545</v>
      </c>
      <c r="K115" s="1222">
        <v>535</v>
      </c>
      <c r="L115" s="1236">
        <v>498</v>
      </c>
      <c r="M115" s="1236">
        <v>534</v>
      </c>
      <c r="N115" s="1236">
        <v>498</v>
      </c>
      <c r="O115" s="1236">
        <v>473</v>
      </c>
      <c r="P115" s="1237">
        <v>425</v>
      </c>
      <c r="Q115" s="1237">
        <v>341</v>
      </c>
      <c r="R115" s="1510">
        <v>346</v>
      </c>
      <c r="S115" s="1511">
        <v>277</v>
      </c>
      <c r="T115" s="1858">
        <v>229</v>
      </c>
      <c r="U115" s="1858"/>
      <c r="V115" s="1244">
        <v>17404</v>
      </c>
      <c r="W115" s="1245">
        <v>17626</v>
      </c>
      <c r="X115" s="1245">
        <v>16447</v>
      </c>
      <c r="Y115" s="1245">
        <v>15813</v>
      </c>
      <c r="Z115" s="1245">
        <v>15886</v>
      </c>
      <c r="AA115" s="1245">
        <v>16188</v>
      </c>
      <c r="AB115" s="1245">
        <v>16034</v>
      </c>
      <c r="AC115" s="1245">
        <v>16005</v>
      </c>
      <c r="AD115" s="1245">
        <v>16132</v>
      </c>
      <c r="AE115" s="1245">
        <v>17017</v>
      </c>
      <c r="AF115" s="1245">
        <v>16942</v>
      </c>
      <c r="AG115" s="1245">
        <v>15154</v>
      </c>
      <c r="AH115" s="1245">
        <v>15034</v>
      </c>
      <c r="AI115" s="1245">
        <v>14379</v>
      </c>
      <c r="AJ115" s="1513">
        <v>14100</v>
      </c>
      <c r="AK115" s="1514">
        <v>13561</v>
      </c>
      <c r="AL115" s="1859">
        <v>13379</v>
      </c>
      <c r="AM115" s="1859"/>
      <c r="AN115" s="1270">
        <f t="shared" si="52"/>
        <v>41.08250976786946</v>
      </c>
      <c r="AO115" s="1271">
        <f t="shared" si="53"/>
        <v>39.487121298082378</v>
      </c>
      <c r="AP115" s="1271">
        <f t="shared" si="54"/>
        <v>38.548063476621877</v>
      </c>
      <c r="AQ115" s="1271">
        <f t="shared" si="55"/>
        <v>38.955289951305886</v>
      </c>
      <c r="AR115" s="1271">
        <f t="shared" si="56"/>
        <v>39.405766083343828</v>
      </c>
      <c r="AS115" s="1271">
        <f t="shared" si="57"/>
        <v>33.975784531751913</v>
      </c>
      <c r="AT115" s="1271">
        <f t="shared" si="58"/>
        <v>33.990270674816017</v>
      </c>
      <c r="AU115" s="1271">
        <f t="shared" si="59"/>
        <v>33.427054045610745</v>
      </c>
      <c r="AV115" s="1271">
        <f t="shared" si="60"/>
        <v>30.87031986114555</v>
      </c>
      <c r="AW115" s="1271">
        <f t="shared" si="61"/>
        <v>31.38038432156079</v>
      </c>
      <c r="AX115" s="1271">
        <f t="shared" si="62"/>
        <v>29.394404438673121</v>
      </c>
      <c r="AY115" s="1271">
        <f t="shared" si="63"/>
        <v>31.21288108750165</v>
      </c>
      <c r="AZ115" s="1271">
        <f t="shared" si="64"/>
        <v>28.269256352268194</v>
      </c>
      <c r="BA115" s="1271">
        <f t="shared" si="65"/>
        <v>23.715140134918979</v>
      </c>
      <c r="BB115" s="1523">
        <f t="shared" si="66"/>
        <v>24.539007092198581</v>
      </c>
      <c r="BC115" s="1525">
        <f t="shared" si="67"/>
        <v>20.426222254995945</v>
      </c>
      <c r="BD115" s="1866">
        <f t="shared" si="68"/>
        <v>17.116376410793034</v>
      </c>
    </row>
    <row r="116" spans="1:56" s="142" customFormat="1" ht="15.75" customHeight="1" x14ac:dyDescent="0.2">
      <c r="A116" s="149" t="s">
        <v>166</v>
      </c>
      <c r="B116" s="189" t="s">
        <v>167</v>
      </c>
      <c r="C116" s="150" t="s">
        <v>268</v>
      </c>
      <c r="D116" s="1221">
        <v>7</v>
      </c>
      <c r="E116" s="1222">
        <v>13</v>
      </c>
      <c r="F116" s="1223">
        <v>12</v>
      </c>
      <c r="G116" s="1222">
        <v>6</v>
      </c>
      <c r="H116" s="1223">
        <v>5</v>
      </c>
      <c r="I116" s="1222">
        <v>7</v>
      </c>
      <c r="J116" s="1223">
        <v>11</v>
      </c>
      <c r="K116" s="1222">
        <v>4</v>
      </c>
      <c r="L116" s="1236">
        <v>5</v>
      </c>
      <c r="M116" s="1236">
        <v>7</v>
      </c>
      <c r="N116" s="1236">
        <v>4</v>
      </c>
      <c r="O116" s="1236">
        <v>11</v>
      </c>
      <c r="P116" s="1237">
        <v>10</v>
      </c>
      <c r="Q116" s="1237">
        <v>11</v>
      </c>
      <c r="R116" s="1510">
        <v>15</v>
      </c>
      <c r="S116" s="1511">
        <v>3</v>
      </c>
      <c r="T116" s="1858">
        <v>4</v>
      </c>
      <c r="U116" s="1858"/>
      <c r="V116" s="1244">
        <v>276</v>
      </c>
      <c r="W116" s="1245">
        <v>271</v>
      </c>
      <c r="X116" s="1245">
        <v>247</v>
      </c>
      <c r="Y116" s="1245">
        <v>246</v>
      </c>
      <c r="Z116" s="1245">
        <v>246</v>
      </c>
      <c r="AA116" s="1245">
        <v>250</v>
      </c>
      <c r="AB116" s="1245">
        <v>246</v>
      </c>
      <c r="AC116" s="1245">
        <v>246</v>
      </c>
      <c r="AD116" s="1245">
        <v>241</v>
      </c>
      <c r="AE116" s="1245">
        <v>245</v>
      </c>
      <c r="AF116" s="1245">
        <v>243</v>
      </c>
      <c r="AG116" s="1245">
        <v>244</v>
      </c>
      <c r="AH116" s="1245">
        <v>263</v>
      </c>
      <c r="AI116" s="1245">
        <v>273</v>
      </c>
      <c r="AJ116" s="1513">
        <v>237</v>
      </c>
      <c r="AK116" s="1514">
        <v>242</v>
      </c>
      <c r="AL116" s="1859">
        <v>249</v>
      </c>
      <c r="AM116" s="1859"/>
      <c r="AN116" s="1270">
        <f t="shared" si="52"/>
        <v>25.362318840579711</v>
      </c>
      <c r="AO116" s="1271">
        <f t="shared" si="53"/>
        <v>47.97047970479705</v>
      </c>
      <c r="AP116" s="1271">
        <f t="shared" si="54"/>
        <v>48.582995951417004</v>
      </c>
      <c r="AQ116" s="1271">
        <f t="shared" si="55"/>
        <v>24.390243902439025</v>
      </c>
      <c r="AR116" s="1271">
        <f t="shared" si="56"/>
        <v>20.325203252032519</v>
      </c>
      <c r="AS116" s="1271">
        <f t="shared" si="57"/>
        <v>28</v>
      </c>
      <c r="AT116" s="1271">
        <f t="shared" si="58"/>
        <v>44.715447154471548</v>
      </c>
      <c r="AU116" s="1271">
        <f t="shared" si="59"/>
        <v>16.260162601626018</v>
      </c>
      <c r="AV116" s="1271">
        <f t="shared" si="60"/>
        <v>20.74688796680498</v>
      </c>
      <c r="AW116" s="1271">
        <f t="shared" si="61"/>
        <v>28.571428571428569</v>
      </c>
      <c r="AX116" s="1271">
        <f t="shared" si="62"/>
        <v>16.460905349794238</v>
      </c>
      <c r="AY116" s="1271">
        <f t="shared" si="63"/>
        <v>45.081967213114758</v>
      </c>
      <c r="AZ116" s="1271">
        <f t="shared" si="64"/>
        <v>38.022813688212928</v>
      </c>
      <c r="BA116" s="1271">
        <f t="shared" si="65"/>
        <v>40.293040293040299</v>
      </c>
      <c r="BB116" s="1523">
        <f t="shared" si="66"/>
        <v>63.291139240506332</v>
      </c>
      <c r="BC116" s="1525">
        <f t="shared" si="67"/>
        <v>12.396694214876034</v>
      </c>
      <c r="BD116" s="1866">
        <f t="shared" si="68"/>
        <v>16.064257028112447</v>
      </c>
    </row>
    <row r="117" spans="1:56" s="142" customFormat="1" ht="15.75" customHeight="1" x14ac:dyDescent="0.2">
      <c r="A117" s="149" t="s">
        <v>176</v>
      </c>
      <c r="B117" s="189" t="s">
        <v>177</v>
      </c>
      <c r="C117" s="150" t="s">
        <v>266</v>
      </c>
      <c r="D117" s="1221">
        <v>133</v>
      </c>
      <c r="E117" s="1222">
        <v>117</v>
      </c>
      <c r="F117" s="1223">
        <v>120</v>
      </c>
      <c r="G117" s="1222">
        <v>144</v>
      </c>
      <c r="H117" s="1223">
        <v>127</v>
      </c>
      <c r="I117" s="1222">
        <v>111</v>
      </c>
      <c r="J117" s="1223">
        <v>105</v>
      </c>
      <c r="K117" s="1222">
        <v>102</v>
      </c>
      <c r="L117" s="1236">
        <v>104</v>
      </c>
      <c r="M117" s="1236">
        <v>108</v>
      </c>
      <c r="N117" s="1236">
        <v>110</v>
      </c>
      <c r="O117" s="1236">
        <v>116</v>
      </c>
      <c r="P117" s="1237">
        <v>119</v>
      </c>
      <c r="Q117" s="1237">
        <v>82</v>
      </c>
      <c r="R117" s="1510">
        <v>83</v>
      </c>
      <c r="S117" s="1511">
        <v>77</v>
      </c>
      <c r="T117" s="1858">
        <v>53</v>
      </c>
      <c r="U117" s="1858"/>
      <c r="V117" s="1244">
        <v>2434</v>
      </c>
      <c r="W117" s="1245">
        <v>2457</v>
      </c>
      <c r="X117" s="1245">
        <v>2396</v>
      </c>
      <c r="Y117" s="1245">
        <v>2290</v>
      </c>
      <c r="Z117" s="1245">
        <v>2263</v>
      </c>
      <c r="AA117" s="1245">
        <v>2307</v>
      </c>
      <c r="AB117" s="1245">
        <v>2280</v>
      </c>
      <c r="AC117" s="1245">
        <v>2179</v>
      </c>
      <c r="AD117" s="1245">
        <v>2132</v>
      </c>
      <c r="AE117" s="1245">
        <v>2129</v>
      </c>
      <c r="AF117" s="1245">
        <v>2076</v>
      </c>
      <c r="AG117" s="1245">
        <v>1890</v>
      </c>
      <c r="AH117" s="1245">
        <v>1883</v>
      </c>
      <c r="AI117" s="1245">
        <v>1757</v>
      </c>
      <c r="AJ117" s="1513">
        <v>1708</v>
      </c>
      <c r="AK117" s="1514">
        <v>1586</v>
      </c>
      <c r="AL117" s="1859">
        <v>1588</v>
      </c>
      <c r="AM117" s="1859"/>
      <c r="AN117" s="1270">
        <f t="shared" si="52"/>
        <v>54.64256368118324</v>
      </c>
      <c r="AO117" s="1271">
        <f t="shared" si="53"/>
        <v>47.619047619047613</v>
      </c>
      <c r="AP117" s="1271">
        <f t="shared" si="54"/>
        <v>50.083472454090149</v>
      </c>
      <c r="AQ117" s="1271">
        <f t="shared" si="55"/>
        <v>62.882096069869</v>
      </c>
      <c r="AR117" s="1271">
        <f t="shared" si="56"/>
        <v>56.12019443216969</v>
      </c>
      <c r="AS117" s="1271">
        <f t="shared" si="57"/>
        <v>48.11443433029909</v>
      </c>
      <c r="AT117" s="1271">
        <f t="shared" si="58"/>
        <v>46.052631578947363</v>
      </c>
      <c r="AU117" s="1271">
        <f t="shared" si="59"/>
        <v>46.810463515374025</v>
      </c>
      <c r="AV117" s="1271">
        <f t="shared" si="60"/>
        <v>48.780487804878049</v>
      </c>
      <c r="AW117" s="1271">
        <f t="shared" si="61"/>
        <v>50.728041333959602</v>
      </c>
      <c r="AX117" s="1271">
        <f t="shared" si="62"/>
        <v>52.986512524084773</v>
      </c>
      <c r="AY117" s="1271">
        <f t="shared" si="63"/>
        <v>61.375661375661373</v>
      </c>
      <c r="AZ117" s="1271">
        <f t="shared" si="64"/>
        <v>63.197026022304826</v>
      </c>
      <c r="BA117" s="1271">
        <f t="shared" si="65"/>
        <v>46.670461013090495</v>
      </c>
      <c r="BB117" s="1523">
        <f t="shared" si="66"/>
        <v>48.594847775175644</v>
      </c>
      <c r="BC117" s="1525">
        <f t="shared" si="67"/>
        <v>48.549810844892811</v>
      </c>
      <c r="BD117" s="1866">
        <f t="shared" si="68"/>
        <v>33.375314861460957</v>
      </c>
    </row>
    <row r="118" spans="1:56" s="142" customFormat="1" ht="15.75" customHeight="1" x14ac:dyDescent="0.2">
      <c r="A118" s="149" t="s">
        <v>180</v>
      </c>
      <c r="B118" s="189" t="s">
        <v>181</v>
      </c>
      <c r="C118" s="150" t="s">
        <v>264</v>
      </c>
      <c r="D118" s="1221">
        <v>318</v>
      </c>
      <c r="E118" s="1222">
        <v>330</v>
      </c>
      <c r="F118" s="1223">
        <v>290</v>
      </c>
      <c r="G118" s="1222">
        <v>286</v>
      </c>
      <c r="H118" s="1223">
        <v>249</v>
      </c>
      <c r="I118" s="1222">
        <v>247</v>
      </c>
      <c r="J118" s="1223">
        <v>254</v>
      </c>
      <c r="K118" s="1222">
        <v>231</v>
      </c>
      <c r="L118" s="1236">
        <v>234</v>
      </c>
      <c r="M118" s="1236">
        <v>223</v>
      </c>
      <c r="N118" s="1236">
        <v>210</v>
      </c>
      <c r="O118" s="1236">
        <v>239</v>
      </c>
      <c r="P118" s="1237">
        <v>205</v>
      </c>
      <c r="Q118" s="1237">
        <v>178</v>
      </c>
      <c r="R118" s="1510">
        <v>133</v>
      </c>
      <c r="S118" s="1511">
        <v>129</v>
      </c>
      <c r="T118" s="1858">
        <v>109</v>
      </c>
      <c r="U118" s="1858"/>
      <c r="V118" s="1244">
        <v>7261</v>
      </c>
      <c r="W118" s="1245">
        <v>7292</v>
      </c>
      <c r="X118" s="1245">
        <v>6914</v>
      </c>
      <c r="Y118" s="1245">
        <v>6795</v>
      </c>
      <c r="Z118" s="1245">
        <v>6803</v>
      </c>
      <c r="AA118" s="1245">
        <v>6839</v>
      </c>
      <c r="AB118" s="1245">
        <v>6876</v>
      </c>
      <c r="AC118" s="1245">
        <v>6907</v>
      </c>
      <c r="AD118" s="1245">
        <v>7040</v>
      </c>
      <c r="AE118" s="1245">
        <v>6990</v>
      </c>
      <c r="AF118" s="1245">
        <v>6907</v>
      </c>
      <c r="AG118" s="1245">
        <v>5985</v>
      </c>
      <c r="AH118" s="1245">
        <v>5730</v>
      </c>
      <c r="AI118" s="1245">
        <v>5485</v>
      </c>
      <c r="AJ118" s="1513">
        <v>5503</v>
      </c>
      <c r="AK118" s="1514">
        <v>5338</v>
      </c>
      <c r="AL118" s="1859">
        <v>5321</v>
      </c>
      <c r="AM118" s="1859"/>
      <c r="AN118" s="1270">
        <f t="shared" si="52"/>
        <v>43.79562043795621</v>
      </c>
      <c r="AO118" s="1271">
        <f t="shared" si="53"/>
        <v>45.255074053757539</v>
      </c>
      <c r="AP118" s="1271">
        <f t="shared" si="54"/>
        <v>41.943881978594156</v>
      </c>
      <c r="AQ118" s="1271">
        <f t="shared" si="55"/>
        <v>42.089771891096397</v>
      </c>
      <c r="AR118" s="1271">
        <f t="shared" si="56"/>
        <v>36.60149933852712</v>
      </c>
      <c r="AS118" s="1271">
        <f t="shared" si="57"/>
        <v>36.116391285275625</v>
      </c>
      <c r="AT118" s="1271">
        <f t="shared" si="58"/>
        <v>36.940081442699245</v>
      </c>
      <c r="AU118" s="1271">
        <f t="shared" si="59"/>
        <v>33.444331837266539</v>
      </c>
      <c r="AV118" s="1271">
        <f t="shared" si="60"/>
        <v>33.238636363636367</v>
      </c>
      <c r="AW118" s="1271">
        <f t="shared" si="61"/>
        <v>31.902718168812591</v>
      </c>
      <c r="AX118" s="1271">
        <f t="shared" si="62"/>
        <v>30.403938033878674</v>
      </c>
      <c r="AY118" s="1271">
        <f t="shared" si="63"/>
        <v>39.933166248955722</v>
      </c>
      <c r="AZ118" s="1271">
        <f t="shared" si="64"/>
        <v>35.776614310645719</v>
      </c>
      <c r="BA118" s="1271">
        <f t="shared" si="65"/>
        <v>32.452142206016411</v>
      </c>
      <c r="BB118" s="1523">
        <f t="shared" si="66"/>
        <v>24.168635289841905</v>
      </c>
      <c r="BC118" s="1525">
        <f t="shared" si="67"/>
        <v>24.166354439865117</v>
      </c>
      <c r="BD118" s="1866">
        <f t="shared" si="68"/>
        <v>20.48487126479985</v>
      </c>
    </row>
    <row r="119" spans="1:56" s="142" customFormat="1" ht="15.75" customHeight="1" x14ac:dyDescent="0.2">
      <c r="A119" s="149" t="s">
        <v>192</v>
      </c>
      <c r="B119" s="189" t="s">
        <v>193</v>
      </c>
      <c r="C119" s="150" t="s">
        <v>268</v>
      </c>
      <c r="D119" s="1221">
        <v>25</v>
      </c>
      <c r="E119" s="1222">
        <v>14</v>
      </c>
      <c r="F119" s="1223">
        <v>16</v>
      </c>
      <c r="G119" s="1222">
        <v>13</v>
      </c>
      <c r="H119" s="1223">
        <v>12</v>
      </c>
      <c r="I119" s="1222">
        <v>14</v>
      </c>
      <c r="J119" s="1223">
        <v>12</v>
      </c>
      <c r="K119" s="1222">
        <v>10</v>
      </c>
      <c r="L119" s="1236">
        <v>11</v>
      </c>
      <c r="M119" s="1236">
        <v>14</v>
      </c>
      <c r="N119" s="1236">
        <v>16</v>
      </c>
      <c r="O119" s="1236">
        <v>13</v>
      </c>
      <c r="P119" s="1237">
        <v>18</v>
      </c>
      <c r="Q119" s="1237">
        <v>17</v>
      </c>
      <c r="R119" s="1510">
        <v>19</v>
      </c>
      <c r="S119" s="1511">
        <v>14</v>
      </c>
      <c r="T119" s="1858">
        <v>13</v>
      </c>
      <c r="U119" s="1858"/>
      <c r="V119" s="1244">
        <v>2508</v>
      </c>
      <c r="W119" s="1245">
        <v>2528</v>
      </c>
      <c r="X119" s="1245">
        <v>2020</v>
      </c>
      <c r="Y119" s="1245">
        <v>1821</v>
      </c>
      <c r="Z119" s="1245">
        <v>1783</v>
      </c>
      <c r="AA119" s="1245">
        <v>1632</v>
      </c>
      <c r="AB119" s="1245">
        <v>1623</v>
      </c>
      <c r="AC119" s="1245">
        <v>1675</v>
      </c>
      <c r="AD119" s="1245">
        <v>1759</v>
      </c>
      <c r="AE119" s="1245">
        <v>1859</v>
      </c>
      <c r="AF119" s="1245">
        <v>1860</v>
      </c>
      <c r="AG119" s="1245">
        <v>1885</v>
      </c>
      <c r="AH119" s="1245">
        <v>1775</v>
      </c>
      <c r="AI119" s="1245">
        <v>1778</v>
      </c>
      <c r="AJ119" s="1513">
        <v>1796</v>
      </c>
      <c r="AK119" s="1514">
        <v>1861</v>
      </c>
      <c r="AL119" s="1859">
        <v>1931</v>
      </c>
      <c r="AM119" s="1859"/>
      <c r="AN119" s="1270">
        <f t="shared" si="52"/>
        <v>9.9681020733652321</v>
      </c>
      <c r="AO119" s="1271">
        <f t="shared" si="53"/>
        <v>5.537974683544304</v>
      </c>
      <c r="AP119" s="1271">
        <f t="shared" si="54"/>
        <v>7.9207920792079207</v>
      </c>
      <c r="AQ119" s="1271">
        <f t="shared" si="55"/>
        <v>7.1389346512904996</v>
      </c>
      <c r="AR119" s="1271">
        <f t="shared" si="56"/>
        <v>6.7302299495232747</v>
      </c>
      <c r="AS119" s="1271">
        <f t="shared" si="57"/>
        <v>8.5784313725490211</v>
      </c>
      <c r="AT119" s="1271">
        <f t="shared" si="58"/>
        <v>7.3937153419593349</v>
      </c>
      <c r="AU119" s="1271">
        <f t="shared" si="59"/>
        <v>5.9701492537313436</v>
      </c>
      <c r="AV119" s="1271">
        <f t="shared" si="60"/>
        <v>6.2535531552018195</v>
      </c>
      <c r="AW119" s="1271">
        <f t="shared" si="61"/>
        <v>7.5309306078536844</v>
      </c>
      <c r="AX119" s="1271">
        <f t="shared" si="62"/>
        <v>8.6021505376344081</v>
      </c>
      <c r="AY119" s="1271">
        <f t="shared" si="63"/>
        <v>6.8965517241379306</v>
      </c>
      <c r="AZ119" s="1271">
        <f t="shared" si="64"/>
        <v>10.140845070422534</v>
      </c>
      <c r="BA119" s="1271">
        <f t="shared" si="65"/>
        <v>9.5613048368953883</v>
      </c>
      <c r="BB119" s="1523">
        <f t="shared" si="66"/>
        <v>10.579064587973273</v>
      </c>
      <c r="BC119" s="1525">
        <f t="shared" si="67"/>
        <v>7.5228371843095116</v>
      </c>
      <c r="BD119" s="1866">
        <f t="shared" si="68"/>
        <v>6.7322630761263591</v>
      </c>
    </row>
    <row r="120" spans="1:56" s="142" customFormat="1" ht="15.75" customHeight="1" x14ac:dyDescent="0.2">
      <c r="A120" s="149" t="s">
        <v>196</v>
      </c>
      <c r="B120" s="189" t="s">
        <v>197</v>
      </c>
      <c r="C120" s="150" t="s">
        <v>266</v>
      </c>
      <c r="D120" s="1221">
        <v>565</v>
      </c>
      <c r="E120" s="1222">
        <v>527</v>
      </c>
      <c r="F120" s="1223">
        <v>521</v>
      </c>
      <c r="G120" s="1222">
        <v>543</v>
      </c>
      <c r="H120" s="1223">
        <v>506</v>
      </c>
      <c r="I120" s="1222">
        <v>507</v>
      </c>
      <c r="J120" s="1223">
        <v>423</v>
      </c>
      <c r="K120" s="1222">
        <v>460</v>
      </c>
      <c r="L120" s="1236">
        <v>425</v>
      </c>
      <c r="M120" s="1236">
        <v>470</v>
      </c>
      <c r="N120" s="1236">
        <v>463</v>
      </c>
      <c r="O120" s="1236">
        <v>421</v>
      </c>
      <c r="P120" s="1237">
        <v>307</v>
      </c>
      <c r="Q120" s="1237">
        <v>285</v>
      </c>
      <c r="R120" s="1510">
        <v>264</v>
      </c>
      <c r="S120" s="1511">
        <v>278</v>
      </c>
      <c r="T120" s="1858">
        <v>215</v>
      </c>
      <c r="U120" s="1858"/>
      <c r="V120" s="1244">
        <v>12799</v>
      </c>
      <c r="W120" s="1245">
        <v>12922</v>
      </c>
      <c r="X120" s="1245">
        <v>13167</v>
      </c>
      <c r="Y120" s="1245">
        <v>12890</v>
      </c>
      <c r="Z120" s="1245">
        <v>12807</v>
      </c>
      <c r="AA120" s="1245">
        <v>12710</v>
      </c>
      <c r="AB120" s="1245">
        <v>12716</v>
      </c>
      <c r="AC120" s="1245">
        <v>13004</v>
      </c>
      <c r="AD120" s="1245">
        <v>12887</v>
      </c>
      <c r="AE120" s="1245">
        <v>13451</v>
      </c>
      <c r="AF120" s="1245">
        <v>13423</v>
      </c>
      <c r="AG120" s="1245">
        <v>11733</v>
      </c>
      <c r="AH120" s="1245">
        <v>13057</v>
      </c>
      <c r="AI120" s="1245">
        <v>12211</v>
      </c>
      <c r="AJ120" s="1513">
        <v>12202</v>
      </c>
      <c r="AK120" s="1514">
        <v>11853</v>
      </c>
      <c r="AL120" s="1859">
        <v>12163</v>
      </c>
      <c r="AM120" s="1859"/>
      <c r="AN120" s="1270">
        <f t="shared" si="52"/>
        <v>44.144073755762165</v>
      </c>
      <c r="AO120" s="1271">
        <f t="shared" si="53"/>
        <v>40.783160501470363</v>
      </c>
      <c r="AP120" s="1271">
        <f t="shared" si="54"/>
        <v>39.568618515986934</v>
      </c>
      <c r="AQ120" s="1271">
        <f t="shared" si="55"/>
        <v>42.125678820791308</v>
      </c>
      <c r="AR120" s="1271">
        <f t="shared" si="56"/>
        <v>39.509643163894744</v>
      </c>
      <c r="AS120" s="1271">
        <f t="shared" si="57"/>
        <v>39.889850511408333</v>
      </c>
      <c r="AT120" s="1271">
        <f t="shared" si="58"/>
        <v>33.265177728845543</v>
      </c>
      <c r="AU120" s="1271">
        <f t="shared" si="59"/>
        <v>35.373731159643185</v>
      </c>
      <c r="AV120" s="1271">
        <f t="shared" si="60"/>
        <v>32.978971056103049</v>
      </c>
      <c r="AW120" s="1271">
        <f t="shared" si="61"/>
        <v>34.941640026763807</v>
      </c>
      <c r="AX120" s="1271">
        <f t="shared" si="62"/>
        <v>34.493034344036353</v>
      </c>
      <c r="AY120" s="1271">
        <f t="shared" si="63"/>
        <v>35.881701184692751</v>
      </c>
      <c r="AZ120" s="1271">
        <f t="shared" si="64"/>
        <v>23.512292257026882</v>
      </c>
      <c r="BA120" s="1271">
        <f t="shared" si="65"/>
        <v>23.339611825403324</v>
      </c>
      <c r="BB120" s="1523">
        <f t="shared" si="66"/>
        <v>21.635797410260611</v>
      </c>
      <c r="BC120" s="1525">
        <f t="shared" si="67"/>
        <v>23.453977895891335</v>
      </c>
      <c r="BD120" s="1866">
        <f t="shared" si="68"/>
        <v>17.676560059195925</v>
      </c>
    </row>
    <row r="121" spans="1:56" s="142" customFormat="1" ht="15.75" customHeight="1" x14ac:dyDescent="0.2">
      <c r="A121" s="149" t="s">
        <v>200</v>
      </c>
      <c r="B121" s="189" t="s">
        <v>201</v>
      </c>
      <c r="C121" s="150" t="s">
        <v>265</v>
      </c>
      <c r="D121" s="1221">
        <v>230</v>
      </c>
      <c r="E121" s="1222">
        <v>208</v>
      </c>
      <c r="F121" s="1223">
        <v>212</v>
      </c>
      <c r="G121" s="1222">
        <v>195</v>
      </c>
      <c r="H121" s="1223">
        <v>206</v>
      </c>
      <c r="I121" s="1222">
        <v>196</v>
      </c>
      <c r="J121" s="1223">
        <v>132</v>
      </c>
      <c r="K121" s="1222">
        <v>182</v>
      </c>
      <c r="L121" s="1236">
        <v>209</v>
      </c>
      <c r="M121" s="1236">
        <v>242</v>
      </c>
      <c r="N121" s="1236">
        <v>232</v>
      </c>
      <c r="O121" s="1236">
        <v>218</v>
      </c>
      <c r="P121" s="1237">
        <v>174</v>
      </c>
      <c r="Q121" s="1237">
        <v>173</v>
      </c>
      <c r="R121" s="1510">
        <v>148</v>
      </c>
      <c r="S121" s="1511">
        <v>133</v>
      </c>
      <c r="T121" s="1858">
        <v>118</v>
      </c>
      <c r="U121" s="1858"/>
      <c r="V121" s="1244">
        <v>5451</v>
      </c>
      <c r="W121" s="1245">
        <v>5442</v>
      </c>
      <c r="X121" s="1245">
        <v>5381</v>
      </c>
      <c r="Y121" s="1245">
        <v>5373</v>
      </c>
      <c r="Z121" s="1245">
        <v>5375</v>
      </c>
      <c r="AA121" s="1245">
        <v>5400</v>
      </c>
      <c r="AB121" s="1245">
        <v>5540</v>
      </c>
      <c r="AC121" s="1245">
        <v>5485</v>
      </c>
      <c r="AD121" s="1245">
        <v>5341</v>
      </c>
      <c r="AE121" s="1245">
        <v>5432</v>
      </c>
      <c r="AF121" s="1245">
        <v>5441</v>
      </c>
      <c r="AG121" s="1245">
        <v>4992</v>
      </c>
      <c r="AH121" s="1245">
        <v>5235</v>
      </c>
      <c r="AI121" s="1245">
        <v>5064</v>
      </c>
      <c r="AJ121" s="1513">
        <v>5042</v>
      </c>
      <c r="AK121" s="1514">
        <v>4933</v>
      </c>
      <c r="AL121" s="1859">
        <v>5038</v>
      </c>
      <c r="AM121" s="1859"/>
      <c r="AN121" s="1270">
        <f t="shared" si="52"/>
        <v>42.194092827004219</v>
      </c>
      <c r="AO121" s="1271">
        <f t="shared" si="53"/>
        <v>38.221242190371186</v>
      </c>
      <c r="AP121" s="1271">
        <f t="shared" si="54"/>
        <v>39.397881434677565</v>
      </c>
      <c r="AQ121" s="1271">
        <f t="shared" si="55"/>
        <v>36.29257398101619</v>
      </c>
      <c r="AR121" s="1271">
        <f t="shared" si="56"/>
        <v>38.325581395348834</v>
      </c>
      <c r="AS121" s="1271">
        <f t="shared" si="57"/>
        <v>36.296296296296298</v>
      </c>
      <c r="AT121" s="1271">
        <f t="shared" si="58"/>
        <v>23.826714801444041</v>
      </c>
      <c r="AU121" s="1271">
        <f t="shared" si="59"/>
        <v>33.181403828623516</v>
      </c>
      <c r="AV121" s="1271">
        <f t="shared" si="60"/>
        <v>39.131248829807156</v>
      </c>
      <c r="AW121" s="1271">
        <f t="shared" si="61"/>
        <v>44.550810014727539</v>
      </c>
      <c r="AX121" s="1271">
        <f t="shared" si="62"/>
        <v>42.639220731483185</v>
      </c>
      <c r="AY121" s="1271">
        <f t="shared" si="63"/>
        <v>43.669871794871796</v>
      </c>
      <c r="AZ121" s="1271">
        <f t="shared" si="64"/>
        <v>33.237822349570202</v>
      </c>
      <c r="BA121" s="1271">
        <f t="shared" si="65"/>
        <v>34.162717219589261</v>
      </c>
      <c r="BB121" s="1523">
        <f t="shared" si="66"/>
        <v>29.353431178103925</v>
      </c>
      <c r="BC121" s="1525">
        <f t="shared" si="67"/>
        <v>26.961281167646462</v>
      </c>
      <c r="BD121" s="1866">
        <f t="shared" si="68"/>
        <v>23.421992854307266</v>
      </c>
    </row>
    <row r="122" spans="1:56" s="142" customFormat="1" ht="15.75" customHeight="1" x14ac:dyDescent="0.2">
      <c r="A122" s="149" t="s">
        <v>222</v>
      </c>
      <c r="B122" s="189" t="s">
        <v>223</v>
      </c>
      <c r="C122" s="150" t="s">
        <v>264</v>
      </c>
      <c r="D122" s="1221">
        <v>145</v>
      </c>
      <c r="E122" s="1222">
        <v>109</v>
      </c>
      <c r="F122" s="1223">
        <v>119</v>
      </c>
      <c r="G122" s="1222">
        <v>118</v>
      </c>
      <c r="H122" s="1223">
        <v>131</v>
      </c>
      <c r="I122" s="1222">
        <v>116</v>
      </c>
      <c r="J122" s="1223">
        <v>116</v>
      </c>
      <c r="K122" s="1222">
        <v>119</v>
      </c>
      <c r="L122" s="1236">
        <v>130</v>
      </c>
      <c r="M122" s="1236">
        <v>100</v>
      </c>
      <c r="N122" s="1236">
        <v>108</v>
      </c>
      <c r="O122" s="1236">
        <v>112</v>
      </c>
      <c r="P122" s="1237">
        <v>100</v>
      </c>
      <c r="Q122" s="1237">
        <v>77</v>
      </c>
      <c r="R122" s="1510">
        <v>70</v>
      </c>
      <c r="S122" s="1511">
        <v>60</v>
      </c>
      <c r="T122" s="1858">
        <v>51</v>
      </c>
      <c r="U122" s="1858"/>
      <c r="V122" s="1244">
        <v>4192</v>
      </c>
      <c r="W122" s="1245">
        <v>4244</v>
      </c>
      <c r="X122" s="1245">
        <v>4696</v>
      </c>
      <c r="Y122" s="1245">
        <v>4974</v>
      </c>
      <c r="Z122" s="1245">
        <v>5198</v>
      </c>
      <c r="AA122" s="1245">
        <v>5477</v>
      </c>
      <c r="AB122" s="1245">
        <v>5604</v>
      </c>
      <c r="AC122" s="1245">
        <v>5733</v>
      </c>
      <c r="AD122" s="1245">
        <v>5787</v>
      </c>
      <c r="AE122" s="1245">
        <v>5712</v>
      </c>
      <c r="AF122" s="1245">
        <v>5717</v>
      </c>
      <c r="AG122" s="1245">
        <v>5817</v>
      </c>
      <c r="AH122" s="1245">
        <v>5914</v>
      </c>
      <c r="AI122" s="1245">
        <v>5849</v>
      </c>
      <c r="AJ122" s="1513">
        <v>5728</v>
      </c>
      <c r="AK122" s="1514">
        <v>5773</v>
      </c>
      <c r="AL122" s="1859">
        <v>5776</v>
      </c>
      <c r="AM122" s="1859"/>
      <c r="AN122" s="1270">
        <f t="shared" si="52"/>
        <v>34.589694656488547</v>
      </c>
      <c r="AO122" s="1271">
        <f t="shared" si="53"/>
        <v>25.683317624882189</v>
      </c>
      <c r="AP122" s="1271">
        <f t="shared" si="54"/>
        <v>25.340715502555366</v>
      </c>
      <c r="AQ122" s="1271">
        <f t="shared" si="55"/>
        <v>23.723361479694411</v>
      </c>
      <c r="AR122" s="1271">
        <f t="shared" si="56"/>
        <v>25.202000769526741</v>
      </c>
      <c r="AS122" s="1271">
        <f t="shared" si="57"/>
        <v>21.179477816322802</v>
      </c>
      <c r="AT122" s="1271">
        <f t="shared" si="58"/>
        <v>20.699500356887938</v>
      </c>
      <c r="AU122" s="1271">
        <f t="shared" si="59"/>
        <v>20.757020757020758</v>
      </c>
      <c r="AV122" s="1271">
        <f t="shared" si="60"/>
        <v>22.464143770520131</v>
      </c>
      <c r="AW122" s="1271">
        <f t="shared" si="61"/>
        <v>17.50700280112045</v>
      </c>
      <c r="AX122" s="1271">
        <f t="shared" si="62"/>
        <v>18.891026762287911</v>
      </c>
      <c r="AY122" s="1271">
        <f t="shared" si="63"/>
        <v>19.253910950661854</v>
      </c>
      <c r="AZ122" s="1271">
        <f t="shared" si="64"/>
        <v>16.909029421711192</v>
      </c>
      <c r="BA122" s="1271">
        <f t="shared" si="65"/>
        <v>13.164643528808343</v>
      </c>
      <c r="BB122" s="1523">
        <f t="shared" si="66"/>
        <v>12.220670391061452</v>
      </c>
      <c r="BC122" s="1525">
        <f t="shared" si="67"/>
        <v>10.393209769617183</v>
      </c>
      <c r="BD122" s="1866">
        <f t="shared" si="68"/>
        <v>8.8296398891966774</v>
      </c>
    </row>
    <row r="123" spans="1:56" s="142" customFormat="1" ht="15.75" customHeight="1" x14ac:dyDescent="0.2">
      <c r="A123" s="149" t="s">
        <v>230</v>
      </c>
      <c r="B123" s="189" t="s">
        <v>231</v>
      </c>
      <c r="C123" s="150" t="s">
        <v>264</v>
      </c>
      <c r="D123" s="1221">
        <v>615</v>
      </c>
      <c r="E123" s="1222">
        <v>580</v>
      </c>
      <c r="F123" s="1223">
        <v>523</v>
      </c>
      <c r="G123" s="1222">
        <v>552</v>
      </c>
      <c r="H123" s="1223">
        <v>534</v>
      </c>
      <c r="I123" s="1222">
        <v>494</v>
      </c>
      <c r="J123" s="1223">
        <v>515</v>
      </c>
      <c r="K123" s="1222">
        <v>462</v>
      </c>
      <c r="L123" s="1236">
        <v>490</v>
      </c>
      <c r="M123" s="1236">
        <v>501</v>
      </c>
      <c r="N123" s="1236">
        <v>430</v>
      </c>
      <c r="O123" s="1236">
        <v>411</v>
      </c>
      <c r="P123" s="1237">
        <v>372</v>
      </c>
      <c r="Q123" s="1237">
        <v>301</v>
      </c>
      <c r="R123" s="1510">
        <v>313</v>
      </c>
      <c r="S123" s="1511">
        <v>246</v>
      </c>
      <c r="T123" s="1858">
        <v>207</v>
      </c>
      <c r="U123" s="1858"/>
      <c r="V123" s="1244">
        <v>35984</v>
      </c>
      <c r="W123" s="1245">
        <v>37114</v>
      </c>
      <c r="X123" s="1245">
        <v>30982</v>
      </c>
      <c r="Y123" s="1245">
        <v>31402</v>
      </c>
      <c r="Z123" s="1245">
        <v>31633</v>
      </c>
      <c r="AA123" s="1245">
        <v>32181</v>
      </c>
      <c r="AB123" s="1245">
        <v>32033</v>
      </c>
      <c r="AC123" s="1245">
        <v>31657</v>
      </c>
      <c r="AD123" s="1245">
        <v>31107</v>
      </c>
      <c r="AE123" s="1245">
        <v>30831</v>
      </c>
      <c r="AF123" s="1245">
        <v>30355</v>
      </c>
      <c r="AG123" s="1245">
        <v>28652</v>
      </c>
      <c r="AH123" s="1245">
        <v>28857</v>
      </c>
      <c r="AI123" s="1245">
        <v>28027</v>
      </c>
      <c r="AJ123" s="1513">
        <v>27731</v>
      </c>
      <c r="AK123" s="1514">
        <v>27280</v>
      </c>
      <c r="AL123" s="1859">
        <v>26992</v>
      </c>
      <c r="AM123" s="1859"/>
      <c r="AN123" s="1270">
        <f t="shared" si="52"/>
        <v>17.090929301911963</v>
      </c>
      <c r="AO123" s="1271">
        <f t="shared" si="53"/>
        <v>15.627526000969985</v>
      </c>
      <c r="AP123" s="1271">
        <f t="shared" si="54"/>
        <v>16.880769479052354</v>
      </c>
      <c r="AQ123" s="1271">
        <f t="shared" si="55"/>
        <v>17.578498184828991</v>
      </c>
      <c r="AR123" s="1271">
        <f t="shared" si="56"/>
        <v>16.881105174975499</v>
      </c>
      <c r="AS123" s="1271">
        <f t="shared" si="57"/>
        <v>15.350672757216991</v>
      </c>
      <c r="AT123" s="1271">
        <f t="shared" si="58"/>
        <v>16.077170418006428</v>
      </c>
      <c r="AU123" s="1271">
        <f t="shared" si="59"/>
        <v>14.593928672963326</v>
      </c>
      <c r="AV123" s="1271">
        <f t="shared" si="60"/>
        <v>15.752081525058667</v>
      </c>
      <c r="AW123" s="1271">
        <f t="shared" si="61"/>
        <v>16.249878369173885</v>
      </c>
      <c r="AX123" s="1271">
        <f t="shared" si="62"/>
        <v>14.165705814528085</v>
      </c>
      <c r="AY123" s="1271">
        <f t="shared" si="63"/>
        <v>14.344548373586488</v>
      </c>
      <c r="AZ123" s="1271">
        <f t="shared" si="64"/>
        <v>12.891152926499636</v>
      </c>
      <c r="BA123" s="1271">
        <f t="shared" si="65"/>
        <v>10.739643914796448</v>
      </c>
      <c r="BB123" s="1523">
        <f t="shared" si="66"/>
        <v>11.287007320327431</v>
      </c>
      <c r="BC123" s="1525">
        <f t="shared" si="67"/>
        <v>9.0175953079178885</v>
      </c>
      <c r="BD123" s="1866">
        <f t="shared" si="68"/>
        <v>7.6689389448725542</v>
      </c>
    </row>
    <row r="124" spans="1:56" s="142" customFormat="1" ht="15.75" customHeight="1" x14ac:dyDescent="0.2">
      <c r="A124" s="149" t="s">
        <v>238</v>
      </c>
      <c r="B124" s="189" t="s">
        <v>239</v>
      </c>
      <c r="C124" s="150" t="s">
        <v>264</v>
      </c>
      <c r="D124" s="1221">
        <v>17</v>
      </c>
      <c r="E124" s="1222">
        <v>7</v>
      </c>
      <c r="F124" s="1223">
        <v>3</v>
      </c>
      <c r="G124" s="1222">
        <v>8</v>
      </c>
      <c r="H124" s="1223">
        <v>8</v>
      </c>
      <c r="I124" s="1222">
        <v>13</v>
      </c>
      <c r="J124" s="1223">
        <v>17</v>
      </c>
      <c r="K124" s="1222">
        <v>21</v>
      </c>
      <c r="L124" s="1236">
        <v>18</v>
      </c>
      <c r="M124" s="1236">
        <v>12</v>
      </c>
      <c r="N124" s="1236">
        <v>10</v>
      </c>
      <c r="O124" s="1236">
        <v>16</v>
      </c>
      <c r="P124" s="1237">
        <v>2</v>
      </c>
      <c r="Q124" s="1237">
        <v>7</v>
      </c>
      <c r="R124" s="1510">
        <v>6</v>
      </c>
      <c r="S124" s="1511">
        <v>6</v>
      </c>
      <c r="T124" s="1858">
        <v>4</v>
      </c>
      <c r="U124" s="1858"/>
      <c r="V124" s="1244">
        <v>1407</v>
      </c>
      <c r="W124" s="1245">
        <v>1416</v>
      </c>
      <c r="X124" s="1245">
        <v>1452</v>
      </c>
      <c r="Y124" s="1245">
        <v>1432</v>
      </c>
      <c r="Z124" s="1245">
        <v>1430</v>
      </c>
      <c r="AA124" s="1245">
        <v>1389</v>
      </c>
      <c r="AB124" s="1245">
        <v>1364</v>
      </c>
      <c r="AC124" s="1245">
        <v>1390</v>
      </c>
      <c r="AD124" s="1245">
        <v>1415</v>
      </c>
      <c r="AE124" s="1245">
        <v>1464</v>
      </c>
      <c r="AF124" s="1245">
        <v>1452</v>
      </c>
      <c r="AG124" s="1245">
        <v>1515</v>
      </c>
      <c r="AH124" s="1245">
        <v>1474</v>
      </c>
      <c r="AI124" s="1245">
        <v>1518</v>
      </c>
      <c r="AJ124" s="1513">
        <v>1505</v>
      </c>
      <c r="AK124" s="1514">
        <v>1495</v>
      </c>
      <c r="AL124" s="1859">
        <v>1561</v>
      </c>
      <c r="AM124" s="1859"/>
      <c r="AN124" s="1270">
        <f t="shared" si="52"/>
        <v>12.082444918265814</v>
      </c>
      <c r="AO124" s="1271">
        <f t="shared" si="53"/>
        <v>4.9435028248587578</v>
      </c>
      <c r="AP124" s="1271">
        <f t="shared" si="54"/>
        <v>2.0661157024793391</v>
      </c>
      <c r="AQ124" s="1271">
        <f t="shared" si="55"/>
        <v>5.5865921787709496</v>
      </c>
      <c r="AR124" s="1271">
        <f t="shared" si="56"/>
        <v>5.5944055944055942</v>
      </c>
      <c r="AS124" s="1271">
        <f t="shared" si="57"/>
        <v>9.3592512598992084</v>
      </c>
      <c r="AT124" s="1271">
        <f t="shared" si="58"/>
        <v>12.463343108504398</v>
      </c>
      <c r="AU124" s="1271">
        <f t="shared" si="59"/>
        <v>15.107913669064748</v>
      </c>
      <c r="AV124" s="1271">
        <f t="shared" si="60"/>
        <v>12.720848056537102</v>
      </c>
      <c r="AW124" s="1271">
        <f t="shared" si="61"/>
        <v>8.1967213114754109</v>
      </c>
      <c r="AX124" s="1271">
        <f t="shared" si="62"/>
        <v>6.887052341597796</v>
      </c>
      <c r="AY124" s="1271">
        <f t="shared" si="63"/>
        <v>10.561056105610561</v>
      </c>
      <c r="AZ124" s="1271">
        <f t="shared" si="64"/>
        <v>1.3568521031207597</v>
      </c>
      <c r="BA124" s="1271">
        <f t="shared" si="65"/>
        <v>4.6113306982872198</v>
      </c>
      <c r="BB124" s="1523">
        <f t="shared" si="66"/>
        <v>3.986710963455149</v>
      </c>
      <c r="BC124" s="1525">
        <f t="shared" si="67"/>
        <v>4.0133779264214047</v>
      </c>
      <c r="BD124" s="1866">
        <f t="shared" si="68"/>
        <v>2.5624599615631003</v>
      </c>
    </row>
    <row r="125" spans="1:56" s="142" customFormat="1" ht="15.75" customHeight="1" x14ac:dyDescent="0.2">
      <c r="A125" s="155" t="s">
        <v>240</v>
      </c>
      <c r="B125" s="191" t="s">
        <v>241</v>
      </c>
      <c r="C125" s="156" t="s">
        <v>267</v>
      </c>
      <c r="D125" s="1224">
        <v>43</v>
      </c>
      <c r="E125" s="1225">
        <v>41</v>
      </c>
      <c r="F125" s="1226">
        <v>47</v>
      </c>
      <c r="G125" s="1225">
        <v>54</v>
      </c>
      <c r="H125" s="1226">
        <v>56</v>
      </c>
      <c r="I125" s="1225">
        <v>49</v>
      </c>
      <c r="J125" s="1226">
        <v>56</v>
      </c>
      <c r="K125" s="1225">
        <v>55</v>
      </c>
      <c r="L125" s="1238">
        <v>65</v>
      </c>
      <c r="M125" s="1238">
        <v>79</v>
      </c>
      <c r="N125" s="1238">
        <v>64</v>
      </c>
      <c r="O125" s="1238">
        <v>41</v>
      </c>
      <c r="P125" s="1515">
        <v>43</v>
      </c>
      <c r="Q125" s="1515">
        <v>38</v>
      </c>
      <c r="R125" s="1516">
        <v>42</v>
      </c>
      <c r="S125" s="1517">
        <v>25</v>
      </c>
      <c r="T125" s="1858">
        <v>34</v>
      </c>
      <c r="U125" s="1858"/>
      <c r="V125" s="1244">
        <v>1509</v>
      </c>
      <c r="W125" s="1245">
        <v>1534</v>
      </c>
      <c r="X125" s="1245">
        <v>1589</v>
      </c>
      <c r="Y125" s="1245">
        <v>1584</v>
      </c>
      <c r="Z125" s="1245">
        <v>1540</v>
      </c>
      <c r="AA125" s="1245">
        <v>1510</v>
      </c>
      <c r="AB125" s="1245">
        <v>1513</v>
      </c>
      <c r="AC125" s="1245">
        <v>1491</v>
      </c>
      <c r="AD125" s="1245">
        <v>1480</v>
      </c>
      <c r="AE125" s="1245">
        <v>1532</v>
      </c>
      <c r="AF125" s="1245">
        <v>1516</v>
      </c>
      <c r="AG125" s="1245">
        <v>1451</v>
      </c>
      <c r="AH125" s="1245">
        <v>1685</v>
      </c>
      <c r="AI125" s="1518">
        <v>1674</v>
      </c>
      <c r="AJ125" s="1519">
        <v>1732</v>
      </c>
      <c r="AK125" s="1520">
        <v>1715</v>
      </c>
      <c r="AL125" s="1859">
        <v>1776</v>
      </c>
      <c r="AM125" s="1859"/>
      <c r="AN125" s="1270">
        <f t="shared" si="52"/>
        <v>28.495692511597085</v>
      </c>
      <c r="AO125" s="1271">
        <f t="shared" si="53"/>
        <v>26.727509778357238</v>
      </c>
      <c r="AP125" s="1271">
        <f t="shared" si="54"/>
        <v>29.578351164254247</v>
      </c>
      <c r="AQ125" s="1271">
        <f t="shared" si="55"/>
        <v>34.090909090909086</v>
      </c>
      <c r="AR125" s="1271">
        <f t="shared" si="56"/>
        <v>36.36363636363636</v>
      </c>
      <c r="AS125" s="1271">
        <f t="shared" si="57"/>
        <v>32.450331125827809</v>
      </c>
      <c r="AT125" s="1271">
        <f t="shared" si="58"/>
        <v>37.012557832121615</v>
      </c>
      <c r="AU125" s="1271">
        <f t="shared" si="59"/>
        <v>36.887994634473507</v>
      </c>
      <c r="AV125" s="1271">
        <f t="shared" si="60"/>
        <v>43.918918918918919</v>
      </c>
      <c r="AW125" s="1271">
        <f t="shared" si="61"/>
        <v>51.566579634464752</v>
      </c>
      <c r="AX125" s="1271">
        <f t="shared" si="62"/>
        <v>42.21635883905013</v>
      </c>
      <c r="AY125" s="1271">
        <f t="shared" si="63"/>
        <v>28.256374913852515</v>
      </c>
      <c r="AZ125" s="1271">
        <f t="shared" si="64"/>
        <v>25.519287833827892</v>
      </c>
      <c r="BA125" s="1271">
        <f t="shared" si="65"/>
        <v>22.700119474313023</v>
      </c>
      <c r="BB125" s="1523">
        <f t="shared" si="66"/>
        <v>24.24942263279446</v>
      </c>
      <c r="BC125" s="1525">
        <f t="shared" si="67"/>
        <v>14.577259475218659</v>
      </c>
      <c r="BD125" s="1866">
        <f t="shared" si="68"/>
        <v>19.144144144144143</v>
      </c>
    </row>
    <row r="126" spans="1:56" s="142" customFormat="1" ht="15.75" customHeight="1" x14ac:dyDescent="0.2">
      <c r="A126" s="283"/>
      <c r="B126" s="236"/>
      <c r="C126" s="284"/>
      <c r="D126" s="152"/>
      <c r="E126" s="151"/>
      <c r="F126" s="152"/>
      <c r="G126" s="285"/>
      <c r="H126" s="152"/>
      <c r="I126" s="151"/>
      <c r="J126" s="152"/>
      <c r="K126" s="151"/>
      <c r="L126" s="286"/>
      <c r="M126" s="286"/>
      <c r="N126" s="286"/>
      <c r="O126" s="286"/>
    </row>
    <row r="127" spans="1:56" s="142" customFormat="1" ht="15.75" customHeight="1" x14ac:dyDescent="0.2">
      <c r="A127" s="283" t="s">
        <v>266</v>
      </c>
      <c r="B127" s="236"/>
      <c r="C127" s="284"/>
      <c r="D127" s="1257">
        <v>1749</v>
      </c>
      <c r="E127" s="1258">
        <v>1740</v>
      </c>
      <c r="F127" s="1259">
        <v>1696</v>
      </c>
      <c r="G127" s="1258">
        <v>1685</v>
      </c>
      <c r="H127" s="1259">
        <v>1606</v>
      </c>
      <c r="I127" s="1258">
        <v>1592</v>
      </c>
      <c r="J127" s="1259">
        <v>1481</v>
      </c>
      <c r="K127" s="1258">
        <v>1559</v>
      </c>
      <c r="L127" s="1230">
        <v>1590</v>
      </c>
      <c r="M127" s="1230">
        <v>1573</v>
      </c>
      <c r="N127" s="1230">
        <v>1570</v>
      </c>
      <c r="O127" s="1230">
        <v>1559</v>
      </c>
      <c r="P127" s="1245">
        <v>1312</v>
      </c>
      <c r="Q127" s="1245">
        <v>1151</v>
      </c>
      <c r="R127" s="1513">
        <v>1076</v>
      </c>
      <c r="S127" s="1514">
        <v>964</v>
      </c>
      <c r="T127" s="1859">
        <v>855</v>
      </c>
      <c r="U127" s="1859"/>
      <c r="V127" s="1244">
        <v>72429</v>
      </c>
      <c r="W127" s="1245">
        <v>73349</v>
      </c>
      <c r="X127" s="1245">
        <v>79212</v>
      </c>
      <c r="Y127" s="1245">
        <v>80732</v>
      </c>
      <c r="Z127" s="1245">
        <v>81792</v>
      </c>
      <c r="AA127" s="1245">
        <v>82810</v>
      </c>
      <c r="AB127" s="1245">
        <v>83782</v>
      </c>
      <c r="AC127" s="1245">
        <v>83985</v>
      </c>
      <c r="AD127" s="1245">
        <v>83370</v>
      </c>
      <c r="AE127" s="1245">
        <v>84088</v>
      </c>
      <c r="AF127" s="1245">
        <v>83494</v>
      </c>
      <c r="AG127" s="1245">
        <v>84177</v>
      </c>
      <c r="AH127" s="1245">
        <v>87440</v>
      </c>
      <c r="AI127" s="1245">
        <v>86293</v>
      </c>
      <c r="AJ127" s="1513">
        <v>86083</v>
      </c>
      <c r="AK127" s="1514">
        <f>'Teen births'!H127</f>
        <v>85496</v>
      </c>
      <c r="AL127" s="1859">
        <v>86083</v>
      </c>
      <c r="AM127" s="1859"/>
      <c r="AN127" s="1270">
        <f t="shared" ref="AN127:AN131" si="69">IF(V127=0,"NA",(D127/V127)*1000)</f>
        <v>24.147786107774508</v>
      </c>
      <c r="AO127" s="1271">
        <f t="shared" ref="AO127:AO131" si="70">IF(W127=0,"NA",(E127/W127)*1000)</f>
        <v>23.722204801701455</v>
      </c>
      <c r="AP127" s="1271">
        <f t="shared" ref="AP127:AP131" si="71">IF(X127=0,"NA",(F127/X127)*1000)</f>
        <v>21.410897338787052</v>
      </c>
      <c r="AQ127" s="1271">
        <f t="shared" ref="AQ127:AQ131" si="72">IF(Y127=0,"NA",(G127/Y127)*1000)</f>
        <v>20.871525541297132</v>
      </c>
      <c r="AR127" s="1271">
        <f t="shared" ref="AR127:AR131" si="73">IF(Z127=0,"NA",(H127/Z127)*1000)</f>
        <v>19.635172143974959</v>
      </c>
      <c r="AS127" s="1271">
        <f t="shared" ref="AS127:AS131" si="74">IF(AA127=0,"NA",(I127/AA127)*1000)</f>
        <v>19.224731312643399</v>
      </c>
      <c r="AT127" s="1271">
        <f t="shared" ref="AT127:AT131" si="75">IF(AB127=0,"NA",(J127/AB127)*1000)</f>
        <v>17.676827958272661</v>
      </c>
      <c r="AU127" s="1271">
        <f t="shared" ref="AU127:AU131" si="76">IF(AC127=0,"NA",(K127/AC127)*1000)</f>
        <v>18.562838602131333</v>
      </c>
      <c r="AV127" s="1271">
        <f t="shared" ref="AV127:AV131" si="77">IF(AD127=0,"NA",(L127/AD127)*1000)</f>
        <v>19.071608492263405</v>
      </c>
      <c r="AW127" s="1271">
        <f t="shared" ref="AW127:AW131" si="78">IF(AE127=0,"NA",(M127/AE127)*1000)</f>
        <v>18.706593092950243</v>
      </c>
      <c r="AX127" s="1271">
        <f t="shared" ref="AX127:AX131" si="79">IF(AF127=0,"NA",(N127/AF127)*1000)</f>
        <v>18.80374637698517</v>
      </c>
      <c r="AY127" s="1271">
        <f t="shared" ref="AY127:AY131" si="80">IF(AG127=0,"NA",(O127/AG127)*1000)</f>
        <v>18.520498473454744</v>
      </c>
      <c r="AZ127" s="1271">
        <f t="shared" ref="AZ127:AZ131" si="81">IF(AH127=0,"NA",(P127/AH127)*1000)</f>
        <v>15.004574565416284</v>
      </c>
      <c r="BA127" s="1271">
        <f t="shared" ref="BA127:BA131" si="82">IF(AI127=0,"NA",(Q127/AI127)*1000)</f>
        <v>13.338277728205068</v>
      </c>
      <c r="BB127" s="1867">
        <f t="shared" ref="BB127:BB131" si="83">IF(AJ127=0,"NA",(R127/AJ127)*1000)</f>
        <v>12.499564373918194</v>
      </c>
      <c r="BC127" s="1868">
        <f t="shared" ref="BC127:BC131" si="84">IF(AK127=0,"NA",(S127/AK127)*1000)</f>
        <v>11.27538130438851</v>
      </c>
      <c r="BD127" s="1869">
        <f t="shared" ref="BD127:BD131" si="85">IF(AL127=0,"NA",(T127/AL127)*1000)</f>
        <v>9.9322746651487517</v>
      </c>
    </row>
    <row r="128" spans="1:56" s="142" customFormat="1" ht="15.75" customHeight="1" x14ac:dyDescent="0.2">
      <c r="A128" s="283" t="s">
        <v>264</v>
      </c>
      <c r="B128" s="236"/>
      <c r="C128" s="284"/>
      <c r="D128" s="1257">
        <v>3368</v>
      </c>
      <c r="E128" s="1258">
        <v>3337</v>
      </c>
      <c r="F128" s="1259">
        <v>3147</v>
      </c>
      <c r="G128" s="1258">
        <v>3071</v>
      </c>
      <c r="H128" s="1259">
        <v>2976</v>
      </c>
      <c r="I128" s="1258">
        <v>2773</v>
      </c>
      <c r="J128" s="1259">
        <v>2805</v>
      </c>
      <c r="K128" s="1258">
        <v>2724</v>
      </c>
      <c r="L128" s="1230">
        <v>2741</v>
      </c>
      <c r="M128" s="1230">
        <v>2746</v>
      </c>
      <c r="N128" s="1230">
        <v>2561</v>
      </c>
      <c r="O128" s="1230">
        <v>2383</v>
      </c>
      <c r="P128" s="1245">
        <v>2157</v>
      </c>
      <c r="Q128" s="1245">
        <v>1863</v>
      </c>
      <c r="R128" s="1513">
        <v>1692</v>
      </c>
      <c r="S128" s="1514">
        <v>1419</v>
      </c>
      <c r="T128" s="1859">
        <v>1210</v>
      </c>
      <c r="U128" s="1859"/>
      <c r="V128" s="1244">
        <v>128725</v>
      </c>
      <c r="W128" s="1245">
        <v>131262</v>
      </c>
      <c r="X128" s="1245">
        <v>126168</v>
      </c>
      <c r="Y128" s="1245">
        <v>126899</v>
      </c>
      <c r="Z128" s="1245">
        <v>127924</v>
      </c>
      <c r="AA128" s="1245">
        <v>130166</v>
      </c>
      <c r="AB128" s="1245">
        <v>129942</v>
      </c>
      <c r="AC128" s="1245">
        <v>129032</v>
      </c>
      <c r="AD128" s="1245">
        <v>127717</v>
      </c>
      <c r="AE128" s="1245">
        <v>127702</v>
      </c>
      <c r="AF128" s="1245">
        <v>126592</v>
      </c>
      <c r="AG128" s="1245">
        <v>123427</v>
      </c>
      <c r="AH128" s="1245">
        <v>121689</v>
      </c>
      <c r="AI128" s="1245">
        <v>118821</v>
      </c>
      <c r="AJ128" s="1513">
        <v>116990</v>
      </c>
      <c r="AK128" s="1514">
        <f>'Teen births'!H128</f>
        <v>114209</v>
      </c>
      <c r="AL128" s="1859">
        <v>116990</v>
      </c>
      <c r="AM128" s="1859"/>
      <c r="AN128" s="1270">
        <f t="shared" si="69"/>
        <v>26.16430374830064</v>
      </c>
      <c r="AO128" s="1271">
        <f t="shared" si="70"/>
        <v>25.422437567612867</v>
      </c>
      <c r="AP128" s="1271">
        <f t="shared" si="71"/>
        <v>24.942933231881302</v>
      </c>
      <c r="AQ128" s="1271">
        <f t="shared" si="72"/>
        <v>24.200348308497308</v>
      </c>
      <c r="AR128" s="1271">
        <f t="shared" si="73"/>
        <v>23.263812888902788</v>
      </c>
      <c r="AS128" s="1271">
        <f t="shared" si="74"/>
        <v>21.303566215447969</v>
      </c>
      <c r="AT128" s="1271">
        <f t="shared" si="75"/>
        <v>21.586554001015838</v>
      </c>
      <c r="AU128" s="1271">
        <f t="shared" si="76"/>
        <v>21.111042222084446</v>
      </c>
      <c r="AV128" s="1271">
        <f t="shared" si="77"/>
        <v>21.461512562932111</v>
      </c>
      <c r="AW128" s="1271">
        <f t="shared" si="78"/>
        <v>21.50318710748461</v>
      </c>
      <c r="AX128" s="1271">
        <f t="shared" si="79"/>
        <v>20.230346309403437</v>
      </c>
      <c r="AY128" s="1271">
        <f t="shared" si="80"/>
        <v>19.306958769150995</v>
      </c>
      <c r="AZ128" s="1271">
        <f t="shared" si="81"/>
        <v>17.725513398910337</v>
      </c>
      <c r="BA128" s="1271">
        <f t="shared" si="82"/>
        <v>15.679046633170904</v>
      </c>
      <c r="BB128" s="1867">
        <f t="shared" si="83"/>
        <v>14.462774596119328</v>
      </c>
      <c r="BC128" s="1868">
        <f t="shared" si="84"/>
        <v>12.424590006041555</v>
      </c>
      <c r="BD128" s="1869">
        <f t="shared" si="85"/>
        <v>10.34276433883238</v>
      </c>
    </row>
    <row r="129" spans="1:56" s="142" customFormat="1" ht="15.75" customHeight="1" x14ac:dyDescent="0.2">
      <c r="A129" s="283" t="s">
        <v>267</v>
      </c>
      <c r="B129" s="236"/>
      <c r="C129" s="284"/>
      <c r="D129" s="1257">
        <v>2385</v>
      </c>
      <c r="E129" s="1258">
        <v>2477</v>
      </c>
      <c r="F129" s="1259">
        <v>2452</v>
      </c>
      <c r="G129" s="1258">
        <v>2490</v>
      </c>
      <c r="H129" s="1259">
        <v>2369</v>
      </c>
      <c r="I129" s="1258">
        <v>2347</v>
      </c>
      <c r="J129" s="1259">
        <v>2449</v>
      </c>
      <c r="K129" s="1258">
        <v>2459</v>
      </c>
      <c r="L129" s="1230">
        <v>2629</v>
      </c>
      <c r="M129" s="1230">
        <v>2585</v>
      </c>
      <c r="N129" s="1230">
        <v>2365</v>
      </c>
      <c r="O129" s="1230">
        <v>2112</v>
      </c>
      <c r="P129" s="1245">
        <v>1928</v>
      </c>
      <c r="Q129" s="1245">
        <v>1797</v>
      </c>
      <c r="R129" s="1513">
        <v>1724</v>
      </c>
      <c r="S129" s="1514">
        <v>1442</v>
      </c>
      <c r="T129" s="1859">
        <v>1437</v>
      </c>
      <c r="U129" s="1859"/>
      <c r="V129" s="1244">
        <v>151287</v>
      </c>
      <c r="W129" s="1245">
        <v>154494</v>
      </c>
      <c r="X129" s="1245">
        <v>161605</v>
      </c>
      <c r="Y129" s="1245">
        <v>169393</v>
      </c>
      <c r="Z129" s="1245">
        <v>173581</v>
      </c>
      <c r="AA129" s="1245">
        <v>177265</v>
      </c>
      <c r="AB129" s="1245">
        <v>180682</v>
      </c>
      <c r="AC129" s="1245">
        <v>183555</v>
      </c>
      <c r="AD129" s="1245">
        <v>183011</v>
      </c>
      <c r="AE129" s="1245">
        <v>186356</v>
      </c>
      <c r="AF129" s="1245">
        <v>186572</v>
      </c>
      <c r="AG129" s="1245">
        <v>190395</v>
      </c>
      <c r="AH129" s="1245">
        <v>198927</v>
      </c>
      <c r="AI129" s="1245">
        <v>203315</v>
      </c>
      <c r="AJ129" s="1513">
        <v>207128</v>
      </c>
      <c r="AK129" s="1514">
        <f>'Teen births'!H129</f>
        <v>213922</v>
      </c>
      <c r="AL129" s="1859">
        <v>207128</v>
      </c>
      <c r="AM129" s="1859"/>
      <c r="AN129" s="1270">
        <f t="shared" si="69"/>
        <v>15.764738543298501</v>
      </c>
      <c r="AO129" s="1271">
        <f t="shared" si="70"/>
        <v>16.032985099744973</v>
      </c>
      <c r="AP129" s="1271">
        <f t="shared" si="71"/>
        <v>15.172797871352989</v>
      </c>
      <c r="AQ129" s="1271">
        <f t="shared" si="72"/>
        <v>14.699544845418641</v>
      </c>
      <c r="AR129" s="1271">
        <f t="shared" si="73"/>
        <v>13.647807075659202</v>
      </c>
      <c r="AS129" s="1271">
        <f t="shared" si="74"/>
        <v>13.240064310495585</v>
      </c>
      <c r="AT129" s="1271">
        <f t="shared" si="75"/>
        <v>13.554200197031248</v>
      </c>
      <c r="AU129" s="1271">
        <f t="shared" si="76"/>
        <v>13.39652965051347</v>
      </c>
      <c r="AV129" s="1271">
        <f t="shared" si="77"/>
        <v>14.365256733201829</v>
      </c>
      <c r="AW129" s="1271">
        <f t="shared" si="78"/>
        <v>13.871300092296465</v>
      </c>
      <c r="AX129" s="1271">
        <f t="shared" si="79"/>
        <v>12.676071436228373</v>
      </c>
      <c r="AY129" s="1271">
        <f t="shared" si="80"/>
        <v>11.092728275427401</v>
      </c>
      <c r="AZ129" s="1271">
        <f t="shared" si="81"/>
        <v>9.6919975669466698</v>
      </c>
      <c r="BA129" s="1271">
        <f t="shared" si="82"/>
        <v>8.8385018321324047</v>
      </c>
      <c r="BB129" s="1867">
        <f t="shared" si="83"/>
        <v>8.3233556061952019</v>
      </c>
      <c r="BC129" s="1868">
        <f t="shared" si="84"/>
        <v>6.7407746748814983</v>
      </c>
      <c r="BD129" s="1869">
        <f t="shared" si="85"/>
        <v>6.9377389826580664</v>
      </c>
    </row>
    <row r="130" spans="1:56" s="142" customFormat="1" ht="15.75" customHeight="1" x14ac:dyDescent="0.2">
      <c r="A130" s="283" t="s">
        <v>265</v>
      </c>
      <c r="B130" s="236"/>
      <c r="C130" s="284"/>
      <c r="D130" s="1257">
        <v>1689</v>
      </c>
      <c r="E130" s="1258">
        <v>1661</v>
      </c>
      <c r="F130" s="1259">
        <v>1644</v>
      </c>
      <c r="G130" s="1258">
        <v>1526</v>
      </c>
      <c r="H130" s="1259">
        <v>1504</v>
      </c>
      <c r="I130" s="1258">
        <v>1550</v>
      </c>
      <c r="J130" s="1259">
        <v>1469</v>
      </c>
      <c r="K130" s="1258">
        <v>1445</v>
      </c>
      <c r="L130" s="1230">
        <v>1512</v>
      </c>
      <c r="M130" s="1230">
        <v>1588</v>
      </c>
      <c r="N130" s="1230">
        <v>1564</v>
      </c>
      <c r="O130" s="1230">
        <v>1426</v>
      </c>
      <c r="P130" s="1245">
        <v>1225</v>
      </c>
      <c r="Q130" s="1245">
        <v>1084</v>
      </c>
      <c r="R130" s="1513">
        <v>967</v>
      </c>
      <c r="S130" s="1514">
        <v>877</v>
      </c>
      <c r="T130" s="1859">
        <v>845</v>
      </c>
      <c r="U130" s="1859"/>
      <c r="V130" s="1244">
        <v>68837</v>
      </c>
      <c r="W130" s="1245">
        <v>68970</v>
      </c>
      <c r="X130" s="1245">
        <v>73005</v>
      </c>
      <c r="Y130" s="1245">
        <v>72374</v>
      </c>
      <c r="Z130" s="1245">
        <v>72580</v>
      </c>
      <c r="AA130" s="1245">
        <v>73084</v>
      </c>
      <c r="AB130" s="1245">
        <v>72997</v>
      </c>
      <c r="AC130" s="1245">
        <v>73368</v>
      </c>
      <c r="AD130" s="1245">
        <v>72167</v>
      </c>
      <c r="AE130" s="1245">
        <v>71830</v>
      </c>
      <c r="AF130" s="1245">
        <v>71046</v>
      </c>
      <c r="AG130" s="1245">
        <v>71941</v>
      </c>
      <c r="AH130" s="1245">
        <v>73968</v>
      </c>
      <c r="AI130" s="1245">
        <v>73083</v>
      </c>
      <c r="AJ130" s="1513">
        <v>72177</v>
      </c>
      <c r="AK130" s="1514">
        <f>'Teen births'!H130</f>
        <v>71505</v>
      </c>
      <c r="AL130" s="1859">
        <v>72177</v>
      </c>
      <c r="AM130" s="1859"/>
      <c r="AN130" s="1270">
        <f t="shared" si="69"/>
        <v>24.536223252030158</v>
      </c>
      <c r="AO130" s="1271">
        <f t="shared" si="70"/>
        <v>24.082934609250401</v>
      </c>
      <c r="AP130" s="1271">
        <f t="shared" si="71"/>
        <v>22.519005547565236</v>
      </c>
      <c r="AQ130" s="1271">
        <f t="shared" si="72"/>
        <v>21.08491999889463</v>
      </c>
      <c r="AR130" s="1271">
        <f t="shared" si="73"/>
        <v>20.721961972995317</v>
      </c>
      <c r="AS130" s="1271">
        <f t="shared" si="74"/>
        <v>21.208472442668711</v>
      </c>
      <c r="AT130" s="1271">
        <f t="shared" si="75"/>
        <v>20.124114689644781</v>
      </c>
      <c r="AU130" s="1271">
        <f t="shared" si="76"/>
        <v>19.695234979827717</v>
      </c>
      <c r="AV130" s="1271">
        <f t="shared" si="77"/>
        <v>20.951404381504013</v>
      </c>
      <c r="AW130" s="1271">
        <f t="shared" si="78"/>
        <v>22.107754420158706</v>
      </c>
      <c r="AX130" s="1271">
        <f t="shared" si="79"/>
        <v>22.013906483123609</v>
      </c>
      <c r="AY130" s="1271">
        <f t="shared" si="80"/>
        <v>19.821798418148205</v>
      </c>
      <c r="AZ130" s="1271">
        <f t="shared" si="81"/>
        <v>16.561215660826303</v>
      </c>
      <c r="BA130" s="1271">
        <f t="shared" si="82"/>
        <v>14.832450775146068</v>
      </c>
      <c r="BB130" s="1867">
        <f t="shared" si="83"/>
        <v>13.397619740360504</v>
      </c>
      <c r="BC130" s="1868">
        <f t="shared" si="84"/>
        <v>12.264876582057198</v>
      </c>
      <c r="BD130" s="1869">
        <f t="shared" si="85"/>
        <v>11.707330590077172</v>
      </c>
    </row>
    <row r="131" spans="1:56" s="142" customFormat="1" ht="15.75" customHeight="1" x14ac:dyDescent="0.2">
      <c r="A131" s="283" t="s">
        <v>268</v>
      </c>
      <c r="B131" s="236"/>
      <c r="C131" s="284"/>
      <c r="D131" s="1257">
        <v>911</v>
      </c>
      <c r="E131" s="1258">
        <v>875</v>
      </c>
      <c r="F131" s="1259">
        <v>864</v>
      </c>
      <c r="G131" s="1258">
        <v>805</v>
      </c>
      <c r="H131" s="1259">
        <v>740</v>
      </c>
      <c r="I131" s="1258">
        <v>679</v>
      </c>
      <c r="J131" s="1259">
        <v>710</v>
      </c>
      <c r="K131" s="1258">
        <v>718</v>
      </c>
      <c r="L131" s="1230">
        <v>724</v>
      </c>
      <c r="M131" s="1230">
        <v>814</v>
      </c>
      <c r="N131" s="1230">
        <v>842</v>
      </c>
      <c r="O131" s="1230">
        <v>804</v>
      </c>
      <c r="P131" s="1245">
        <v>822</v>
      </c>
      <c r="Q131" s="1245">
        <v>677</v>
      </c>
      <c r="R131" s="1513">
        <v>675</v>
      </c>
      <c r="S131" s="1514">
        <v>614</v>
      </c>
      <c r="T131" s="1859">
        <v>543</v>
      </c>
      <c r="U131" s="1859"/>
      <c r="V131" s="1244">
        <v>38047</v>
      </c>
      <c r="W131" s="1245">
        <v>37494</v>
      </c>
      <c r="X131" s="1245">
        <v>38250</v>
      </c>
      <c r="Y131" s="1245">
        <v>37027</v>
      </c>
      <c r="Z131" s="1245">
        <v>36507</v>
      </c>
      <c r="AA131" s="1245">
        <v>36073</v>
      </c>
      <c r="AB131" s="1245">
        <v>36009</v>
      </c>
      <c r="AC131" s="1245">
        <v>36265</v>
      </c>
      <c r="AD131" s="1245">
        <v>36079</v>
      </c>
      <c r="AE131" s="1245">
        <v>35872</v>
      </c>
      <c r="AF131" s="1245">
        <v>35506</v>
      </c>
      <c r="AG131" s="1245">
        <v>36036</v>
      </c>
      <c r="AH131" s="1245">
        <v>37061</v>
      </c>
      <c r="AI131" s="1245">
        <v>35880</v>
      </c>
      <c r="AJ131" s="1513">
        <v>35415</v>
      </c>
      <c r="AK131" s="1514">
        <f>'Teen births'!H131</f>
        <v>34765</v>
      </c>
      <c r="AL131" s="1859">
        <v>35415</v>
      </c>
      <c r="AM131" s="1859"/>
      <c r="AN131" s="1270">
        <f t="shared" si="69"/>
        <v>23.944069177596131</v>
      </c>
      <c r="AO131" s="1271">
        <f t="shared" si="70"/>
        <v>23.337067264095587</v>
      </c>
      <c r="AP131" s="1271">
        <f t="shared" si="71"/>
        <v>22.588235294117649</v>
      </c>
      <c r="AQ131" s="1271">
        <f t="shared" si="72"/>
        <v>21.740891781672833</v>
      </c>
      <c r="AR131" s="1271">
        <f t="shared" si="73"/>
        <v>20.27008518914181</v>
      </c>
      <c r="AS131" s="1271">
        <f t="shared" si="74"/>
        <v>18.822942366867185</v>
      </c>
      <c r="AT131" s="1271">
        <f t="shared" si="75"/>
        <v>19.717292898997474</v>
      </c>
      <c r="AU131" s="1271">
        <f t="shared" si="76"/>
        <v>19.798703984558113</v>
      </c>
      <c r="AV131" s="1271">
        <f t="shared" si="77"/>
        <v>20.067075029795724</v>
      </c>
      <c r="AW131" s="1271">
        <f t="shared" si="78"/>
        <v>22.691793041926854</v>
      </c>
      <c r="AX131" s="1271">
        <f t="shared" si="79"/>
        <v>23.714301808145102</v>
      </c>
      <c r="AY131" s="1271">
        <f t="shared" si="80"/>
        <v>22.311022311022313</v>
      </c>
      <c r="AZ131" s="1271">
        <f t="shared" si="81"/>
        <v>22.179649766601006</v>
      </c>
      <c r="BA131" s="1271">
        <f t="shared" si="82"/>
        <v>18.868450390189523</v>
      </c>
      <c r="BB131" s="1867">
        <f t="shared" si="83"/>
        <v>19.05972045743329</v>
      </c>
      <c r="BC131" s="1868">
        <f t="shared" si="84"/>
        <v>17.661441104559184</v>
      </c>
      <c r="BD131" s="1869">
        <f t="shared" si="85"/>
        <v>15.332486234646336</v>
      </c>
    </row>
    <row r="132" spans="1:56" s="142" customFormat="1" ht="15.75" customHeight="1" x14ac:dyDescent="0.2">
      <c r="A132" s="283"/>
      <c r="B132" s="236"/>
      <c r="C132" s="284"/>
      <c r="D132" s="152"/>
      <c r="E132" s="151"/>
      <c r="F132" s="152"/>
      <c r="G132" s="285"/>
      <c r="H132" s="152"/>
      <c r="I132" s="151"/>
      <c r="J132" s="152"/>
      <c r="K132" s="151"/>
      <c r="L132" s="286"/>
      <c r="M132" s="286"/>
      <c r="N132" s="286"/>
      <c r="O132" s="286"/>
    </row>
    <row r="133" spans="1:56" ht="18" customHeight="1" x14ac:dyDescent="0.25">
      <c r="A133" s="2252" t="s">
        <v>659</v>
      </c>
      <c r="B133" s="2252"/>
      <c r="C133" s="2252"/>
      <c r="D133" s="2252"/>
      <c r="E133" s="2252"/>
      <c r="F133" s="2252"/>
      <c r="G133" s="2252"/>
    </row>
    <row r="134" spans="1:56" s="185" customFormat="1" ht="12.75" x14ac:dyDescent="0.2">
      <c r="A134" s="185" t="s">
        <v>248</v>
      </c>
    </row>
    <row r="135" spans="1:56" s="185" customFormat="1" ht="12.75" x14ac:dyDescent="0.2">
      <c r="A135" s="192" t="s">
        <v>249</v>
      </c>
      <c r="B135" s="170" t="s">
        <v>250</v>
      </c>
    </row>
  </sheetData>
  <autoFilter ref="A4:C125"/>
  <sortState ref="A6:BD125">
    <sortCondition ref="A6:A125"/>
  </sortState>
  <mergeCells count="5">
    <mergeCell ref="E2:G2"/>
    <mergeCell ref="AN3:BB3"/>
    <mergeCell ref="A133:G133"/>
    <mergeCell ref="D3:T3"/>
    <mergeCell ref="V3:AL3"/>
  </mergeCells>
  <hyperlinks>
    <hyperlink ref="B135"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34"/>
  <sheetViews>
    <sheetView workbookViewId="0">
      <pane xSplit="3" ySplit="4" topLeftCell="D107" activePane="bottomRight" state="frozen"/>
      <selection pane="topRight" activeCell="D1" sqref="D1"/>
      <selection pane="bottomLeft" activeCell="A5" sqref="A5"/>
      <selection pane="bottomRight" activeCell="A132" sqref="A132"/>
    </sheetView>
  </sheetViews>
  <sheetFormatPr defaultRowHeight="15.75" x14ac:dyDescent="0.25"/>
  <cols>
    <col min="1" max="1" width="7.75" style="134" customWidth="1"/>
    <col min="2" max="2" width="28.625" style="158" customWidth="1"/>
    <col min="3" max="3" width="10" style="158" customWidth="1"/>
    <col min="4" max="4" width="14.375" customWidth="1"/>
    <col min="5" max="8" width="13" customWidth="1"/>
    <col min="9" max="9" width="1.625" customWidth="1"/>
    <col min="10" max="13" width="11" customWidth="1"/>
    <col min="14" max="14" width="4.375" customWidth="1"/>
    <col min="15" max="15" width="11.125" bestFit="1" customWidth="1"/>
    <col min="20" max="20" width="2.375" customWidth="1"/>
  </cols>
  <sheetData>
    <row r="1" spans="1:24" x14ac:dyDescent="0.25">
      <c r="A1" s="313" t="s">
        <v>1339</v>
      </c>
      <c r="B1" s="313"/>
      <c r="C1" s="313"/>
    </row>
    <row r="2" spans="1:24" x14ac:dyDescent="0.25">
      <c r="A2" s="96"/>
      <c r="B2" s="136"/>
      <c r="C2" s="136"/>
    </row>
    <row r="3" spans="1:24" ht="64.5" x14ac:dyDescent="0.25">
      <c r="A3" s="1328" t="s">
        <v>4</v>
      </c>
      <c r="B3" s="1329" t="s">
        <v>5</v>
      </c>
      <c r="C3" s="1329" t="s">
        <v>251</v>
      </c>
      <c r="D3" s="977" t="s">
        <v>895</v>
      </c>
      <c r="E3" s="977" t="s">
        <v>896</v>
      </c>
      <c r="F3" s="977" t="s">
        <v>897</v>
      </c>
      <c r="G3" s="977" t="s">
        <v>898</v>
      </c>
      <c r="H3" s="977" t="s">
        <v>899</v>
      </c>
      <c r="I3" s="977"/>
      <c r="J3" s="977" t="s">
        <v>900</v>
      </c>
      <c r="K3" s="977" t="s">
        <v>901</v>
      </c>
      <c r="L3" s="977" t="s">
        <v>902</v>
      </c>
      <c r="M3" s="977" t="s">
        <v>903</v>
      </c>
      <c r="O3" s="977" t="s">
        <v>904</v>
      </c>
      <c r="P3" s="977" t="s">
        <v>905</v>
      </c>
      <c r="Q3" s="977" t="s">
        <v>906</v>
      </c>
      <c r="R3" s="977" t="s">
        <v>907</v>
      </c>
      <c r="S3" s="977" t="s">
        <v>908</v>
      </c>
      <c r="T3" s="977"/>
      <c r="U3" s="977" t="s">
        <v>909</v>
      </c>
      <c r="V3" s="977" t="s">
        <v>910</v>
      </c>
      <c r="W3" s="977" t="s">
        <v>911</v>
      </c>
      <c r="X3" s="977" t="s">
        <v>912</v>
      </c>
    </row>
    <row r="4" spans="1:24" x14ac:dyDescent="0.25">
      <c r="A4" s="146" t="s">
        <v>8</v>
      </c>
      <c r="B4" s="147" t="s">
        <v>9</v>
      </c>
      <c r="C4" s="148"/>
      <c r="D4" s="1322">
        <f>SUM(D5:D124)</f>
        <v>1656596</v>
      </c>
      <c r="E4" s="1322">
        <f t="shared" ref="E4:H4" si="0">SUM(E5:E124)</f>
        <v>1203466</v>
      </c>
      <c r="F4" s="1322">
        <f t="shared" si="0"/>
        <v>453130</v>
      </c>
      <c r="G4" s="1322">
        <f t="shared" si="0"/>
        <v>94456</v>
      </c>
      <c r="H4" s="1322">
        <f t="shared" si="0"/>
        <v>358674</v>
      </c>
      <c r="I4" s="1323"/>
      <c r="J4" s="1324">
        <f t="shared" ref="J4" si="1">E4/D4</f>
        <v>0.72646921760042882</v>
      </c>
      <c r="K4" s="1324">
        <f t="shared" ref="K4" si="2">F4/D4</f>
        <v>0.27353078239957118</v>
      </c>
      <c r="L4" s="1324">
        <f t="shared" ref="L4" si="3">G4/D4</f>
        <v>5.7018126326515338E-2</v>
      </c>
      <c r="M4" s="1324">
        <f t="shared" ref="M4" si="4">H4/D4</f>
        <v>0.21651265607305584</v>
      </c>
      <c r="N4" s="1325"/>
      <c r="O4" s="1326">
        <f t="shared" ref="O4" si="5">SUM(O5:O124)</f>
        <v>534060</v>
      </c>
      <c r="P4" s="1326">
        <f t="shared" ref="P4" si="6">SUM(P5:P124)</f>
        <v>394120</v>
      </c>
      <c r="Q4" s="1326">
        <f t="shared" ref="Q4" si="7">SUM(Q5:Q124)</f>
        <v>139940</v>
      </c>
      <c r="R4" s="1326">
        <f t="shared" ref="R4" si="8">SUM(R5:R124)</f>
        <v>31874</v>
      </c>
      <c r="S4" s="1326">
        <f t="shared" ref="S4" si="9">SUM(S5:S124)</f>
        <v>108066</v>
      </c>
      <c r="T4" s="1327"/>
      <c r="U4" s="1324">
        <f t="shared" ref="U4" si="10">P4/O4</f>
        <v>0.73796951653372278</v>
      </c>
      <c r="V4" s="1324">
        <f t="shared" ref="V4" si="11">Q4/O4</f>
        <v>0.26203048346627722</v>
      </c>
      <c r="W4" s="1324">
        <f t="shared" ref="W4" si="12">R4/O4</f>
        <v>5.9682432685466053E-2</v>
      </c>
      <c r="X4" s="1324">
        <f t="shared" ref="X4" si="13">S4/O4</f>
        <v>0.20234805078081114</v>
      </c>
    </row>
    <row r="5" spans="1:24" ht="13.5" customHeight="1" x14ac:dyDescent="0.25">
      <c r="A5" s="149" t="s">
        <v>10</v>
      </c>
      <c r="B5" s="188" t="s">
        <v>11</v>
      </c>
      <c r="C5" s="150" t="s">
        <v>264</v>
      </c>
      <c r="D5" s="243">
        <v>5703</v>
      </c>
      <c r="E5" s="243">
        <v>3544</v>
      </c>
      <c r="F5" s="243">
        <v>2159</v>
      </c>
      <c r="G5" s="243">
        <v>264</v>
      </c>
      <c r="H5" s="243">
        <v>1895</v>
      </c>
      <c r="I5" s="243"/>
      <c r="J5" s="1319">
        <f t="shared" ref="J5:J36" si="14">E5/D5</f>
        <v>0.62142731895493597</v>
      </c>
      <c r="K5" s="1319">
        <f t="shared" ref="K5:K36" si="15">F5/D5</f>
        <v>0.37857268104506397</v>
      </c>
      <c r="L5" s="1319">
        <f t="shared" ref="L5:L36" si="16">G5/D5</f>
        <v>4.6291425565491845E-2</v>
      </c>
      <c r="M5" s="1319">
        <f t="shared" ref="M5:M36" si="17">H5/D5</f>
        <v>0.33228125547957216</v>
      </c>
      <c r="O5" s="1320">
        <f t="shared" ref="O5:O36" si="18">P5+Q5</f>
        <v>1748</v>
      </c>
      <c r="P5" s="1320">
        <v>1107</v>
      </c>
      <c r="Q5" s="1320">
        <v>641</v>
      </c>
      <c r="R5" s="1320">
        <v>62</v>
      </c>
      <c r="S5" s="1320">
        <v>579</v>
      </c>
      <c r="U5" s="1321">
        <f t="shared" ref="U5:U36" si="19">P5/O5</f>
        <v>0.6332951945080092</v>
      </c>
      <c r="V5" s="1321">
        <f t="shared" ref="V5:V36" si="20">Q5/O5</f>
        <v>0.36670480549199086</v>
      </c>
      <c r="W5" s="1321">
        <f t="shared" ref="W5:W36" si="21">R5/O5</f>
        <v>3.5469107551487411E-2</v>
      </c>
      <c r="X5" s="1321">
        <f t="shared" ref="X5:X36" si="22">S5/O5</f>
        <v>0.33123569794050345</v>
      </c>
    </row>
    <row r="6" spans="1:24" ht="13.5" customHeight="1" x14ac:dyDescent="0.25">
      <c r="A6" s="149" t="s">
        <v>12</v>
      </c>
      <c r="B6" s="189" t="s">
        <v>13</v>
      </c>
      <c r="C6" s="150" t="s">
        <v>265</v>
      </c>
      <c r="D6" s="243">
        <v>19953</v>
      </c>
      <c r="E6" s="243">
        <v>16278</v>
      </c>
      <c r="F6" s="243">
        <v>3675</v>
      </c>
      <c r="G6" s="243">
        <v>756</v>
      </c>
      <c r="H6" s="243">
        <v>2919</v>
      </c>
      <c r="I6" s="243"/>
      <c r="J6" s="1319">
        <f t="shared" si="14"/>
        <v>0.81581717035032331</v>
      </c>
      <c r="K6" s="1319">
        <f t="shared" si="15"/>
        <v>0.18418282964967675</v>
      </c>
      <c r="L6" s="1319">
        <f t="shared" si="16"/>
        <v>3.7889039242219216E-2</v>
      </c>
      <c r="M6" s="1319">
        <f t="shared" si="17"/>
        <v>0.14629379040745752</v>
      </c>
      <c r="O6" s="1320">
        <f t="shared" si="18"/>
        <v>6222</v>
      </c>
      <c r="P6" s="1320">
        <v>4922</v>
      </c>
      <c r="Q6" s="1320">
        <v>1300</v>
      </c>
      <c r="R6" s="1320">
        <v>270</v>
      </c>
      <c r="S6" s="1320">
        <v>1030</v>
      </c>
      <c r="U6" s="1321">
        <f t="shared" si="19"/>
        <v>0.7910639665702347</v>
      </c>
      <c r="V6" s="1321">
        <f t="shared" si="20"/>
        <v>0.20893603342976536</v>
      </c>
      <c r="W6" s="1321">
        <f t="shared" si="21"/>
        <v>4.3394406943105111E-2</v>
      </c>
      <c r="X6" s="1321">
        <f t="shared" si="22"/>
        <v>0.16554162648666024</v>
      </c>
    </row>
    <row r="7" spans="1:24" ht="13.5" customHeight="1" x14ac:dyDescent="0.25">
      <c r="A7" s="149" t="s">
        <v>16</v>
      </c>
      <c r="B7" s="189" t="s">
        <v>297</v>
      </c>
      <c r="C7" s="150" t="s">
        <v>265</v>
      </c>
      <c r="D7" s="243">
        <v>3649</v>
      </c>
      <c r="E7" s="243">
        <v>2739</v>
      </c>
      <c r="F7" s="243">
        <v>910</v>
      </c>
      <c r="G7" s="243">
        <v>225</v>
      </c>
      <c r="H7" s="243">
        <v>685</v>
      </c>
      <c r="I7" s="243"/>
      <c r="J7" s="1319">
        <f t="shared" si="14"/>
        <v>0.75061660728966839</v>
      </c>
      <c r="K7" s="1319">
        <f t="shared" si="15"/>
        <v>0.24938339271033161</v>
      </c>
      <c r="L7" s="1319">
        <f t="shared" si="16"/>
        <v>6.1660728966840231E-2</v>
      </c>
      <c r="M7" s="1319">
        <f t="shared" si="17"/>
        <v>0.18772266374349136</v>
      </c>
      <c r="O7" s="1320">
        <f t="shared" si="18"/>
        <v>1067</v>
      </c>
      <c r="P7" s="1320">
        <v>899</v>
      </c>
      <c r="Q7" s="1320">
        <v>168</v>
      </c>
      <c r="R7" s="1320">
        <v>42</v>
      </c>
      <c r="S7" s="1320">
        <v>126</v>
      </c>
      <c r="U7" s="1321">
        <f t="shared" si="19"/>
        <v>0.84254920337394568</v>
      </c>
      <c r="V7" s="1321">
        <f t="shared" si="20"/>
        <v>0.15745079662605435</v>
      </c>
      <c r="W7" s="1321">
        <f t="shared" si="21"/>
        <v>3.9362699156513588E-2</v>
      </c>
      <c r="X7" s="1321">
        <f t="shared" si="22"/>
        <v>0.11808809746954077</v>
      </c>
    </row>
    <row r="8" spans="1:24" ht="13.5" customHeight="1" x14ac:dyDescent="0.25">
      <c r="A8" s="149" t="s">
        <v>18</v>
      </c>
      <c r="B8" s="189" t="s">
        <v>19</v>
      </c>
      <c r="C8" s="150" t="s">
        <v>266</v>
      </c>
      <c r="D8" s="243">
        <v>2423</v>
      </c>
      <c r="E8" s="243">
        <v>1776</v>
      </c>
      <c r="F8" s="243">
        <v>647</v>
      </c>
      <c r="G8" s="243">
        <v>177</v>
      </c>
      <c r="H8" s="243">
        <v>470</v>
      </c>
      <c r="I8" s="243"/>
      <c r="J8" s="1319">
        <f t="shared" si="14"/>
        <v>0.73297565002063558</v>
      </c>
      <c r="K8" s="1319">
        <f t="shared" si="15"/>
        <v>0.26702434997936442</v>
      </c>
      <c r="L8" s="1319">
        <f t="shared" si="16"/>
        <v>7.3049938093272801E-2</v>
      </c>
      <c r="M8" s="1319">
        <f t="shared" si="17"/>
        <v>0.19397441188609163</v>
      </c>
      <c r="O8" s="1320">
        <f t="shared" si="18"/>
        <v>835</v>
      </c>
      <c r="P8" s="1320">
        <v>581</v>
      </c>
      <c r="Q8" s="1320">
        <v>254</v>
      </c>
      <c r="R8" s="1320">
        <v>78</v>
      </c>
      <c r="S8" s="1320">
        <v>176</v>
      </c>
      <c r="U8" s="1321">
        <f t="shared" si="19"/>
        <v>0.69580838323353289</v>
      </c>
      <c r="V8" s="1321">
        <f t="shared" si="20"/>
        <v>0.30419161676646705</v>
      </c>
      <c r="W8" s="1321">
        <f t="shared" si="21"/>
        <v>9.3413173652694609E-2</v>
      </c>
      <c r="X8" s="1321">
        <f t="shared" si="22"/>
        <v>0.21077844311377245</v>
      </c>
    </row>
    <row r="9" spans="1:24" ht="13.5" customHeight="1" x14ac:dyDescent="0.25">
      <c r="A9" s="149" t="s">
        <v>20</v>
      </c>
      <c r="B9" s="189" t="s">
        <v>21</v>
      </c>
      <c r="C9" s="150" t="s">
        <v>265</v>
      </c>
      <c r="D9" s="243">
        <v>5739</v>
      </c>
      <c r="E9" s="243">
        <v>3996</v>
      </c>
      <c r="F9" s="243">
        <v>1743</v>
      </c>
      <c r="G9" s="243">
        <v>372</v>
      </c>
      <c r="H9" s="243">
        <v>1371</v>
      </c>
      <c r="I9" s="243"/>
      <c r="J9" s="1319">
        <f t="shared" si="14"/>
        <v>0.69628855201254569</v>
      </c>
      <c r="K9" s="1319">
        <f t="shared" si="15"/>
        <v>0.30371144798745425</v>
      </c>
      <c r="L9" s="1319">
        <f t="shared" si="16"/>
        <v>6.4819654992158915E-2</v>
      </c>
      <c r="M9" s="1319">
        <f t="shared" si="17"/>
        <v>0.23889179299529534</v>
      </c>
      <c r="O9" s="1320">
        <f t="shared" si="18"/>
        <v>1723</v>
      </c>
      <c r="P9" s="1320">
        <v>1268</v>
      </c>
      <c r="Q9" s="1320">
        <v>455</v>
      </c>
      <c r="R9" s="1320">
        <v>127</v>
      </c>
      <c r="S9" s="1320">
        <v>328</v>
      </c>
      <c r="U9" s="1321">
        <f t="shared" si="19"/>
        <v>0.73592571096923964</v>
      </c>
      <c r="V9" s="1321">
        <f t="shared" si="20"/>
        <v>0.2640742890307603</v>
      </c>
      <c r="W9" s="1321">
        <f t="shared" si="21"/>
        <v>7.3708647707486946E-2</v>
      </c>
      <c r="X9" s="1321">
        <f t="shared" si="22"/>
        <v>0.19036564132327335</v>
      </c>
    </row>
    <row r="10" spans="1:24" ht="13.5" customHeight="1" x14ac:dyDescent="0.25">
      <c r="A10" s="149" t="s">
        <v>22</v>
      </c>
      <c r="B10" s="189" t="s">
        <v>23</v>
      </c>
      <c r="C10" s="150" t="s">
        <v>265</v>
      </c>
      <c r="D10" s="243">
        <v>2739</v>
      </c>
      <c r="E10" s="243">
        <v>1864</v>
      </c>
      <c r="F10" s="243">
        <v>875</v>
      </c>
      <c r="G10" s="243">
        <v>153</v>
      </c>
      <c r="H10" s="243">
        <v>722</v>
      </c>
      <c r="I10" s="243"/>
      <c r="J10" s="1319">
        <f t="shared" si="14"/>
        <v>0.68054034319094558</v>
      </c>
      <c r="K10" s="1319">
        <f t="shared" si="15"/>
        <v>0.31945965680905442</v>
      </c>
      <c r="L10" s="1319">
        <f t="shared" si="16"/>
        <v>5.5859802847754658E-2</v>
      </c>
      <c r="M10" s="1319">
        <f t="shared" si="17"/>
        <v>0.26359985396129976</v>
      </c>
      <c r="O10" s="1320">
        <f t="shared" si="18"/>
        <v>768</v>
      </c>
      <c r="P10" s="1320">
        <v>577</v>
      </c>
      <c r="Q10" s="1320">
        <v>191</v>
      </c>
      <c r="R10" s="1320">
        <v>46</v>
      </c>
      <c r="S10" s="1320">
        <v>145</v>
      </c>
      <c r="U10" s="1321">
        <f t="shared" si="19"/>
        <v>0.75130208333333337</v>
      </c>
      <c r="V10" s="1321">
        <f t="shared" si="20"/>
        <v>0.24869791666666666</v>
      </c>
      <c r="W10" s="1321">
        <f t="shared" si="21"/>
        <v>5.9895833333333336E-2</v>
      </c>
      <c r="X10" s="1321">
        <f t="shared" si="22"/>
        <v>0.18880208333333334</v>
      </c>
    </row>
    <row r="11" spans="1:24" ht="13.5" customHeight="1" x14ac:dyDescent="0.25">
      <c r="A11" s="149" t="s">
        <v>24</v>
      </c>
      <c r="B11" s="189" t="s">
        <v>25</v>
      </c>
      <c r="C11" s="150" t="s">
        <v>267</v>
      </c>
      <c r="D11" s="243">
        <v>34901</v>
      </c>
      <c r="E11" s="243">
        <v>28678</v>
      </c>
      <c r="F11" s="243">
        <v>6223</v>
      </c>
      <c r="G11" s="243">
        <v>1314</v>
      </c>
      <c r="H11" s="243">
        <v>4909</v>
      </c>
      <c r="I11" s="243"/>
      <c r="J11" s="1319">
        <f t="shared" si="14"/>
        <v>0.82169565341967277</v>
      </c>
      <c r="K11" s="1319">
        <f t="shared" si="15"/>
        <v>0.17830434658032721</v>
      </c>
      <c r="L11" s="1319">
        <f t="shared" si="16"/>
        <v>3.7649351021460706E-2</v>
      </c>
      <c r="M11" s="1319">
        <f t="shared" si="17"/>
        <v>0.14065499555886651</v>
      </c>
      <c r="O11" s="1320">
        <f t="shared" si="18"/>
        <v>14754</v>
      </c>
      <c r="P11" s="1320">
        <v>12627</v>
      </c>
      <c r="Q11" s="1320">
        <v>2127</v>
      </c>
      <c r="R11" s="1320">
        <v>455</v>
      </c>
      <c r="S11" s="1320">
        <v>1672</v>
      </c>
      <c r="U11" s="1321">
        <f t="shared" si="19"/>
        <v>0.85583570557137045</v>
      </c>
      <c r="V11" s="1321">
        <f t="shared" si="20"/>
        <v>0.14416429442862952</v>
      </c>
      <c r="W11" s="1321">
        <f t="shared" si="21"/>
        <v>3.0839094482852106E-2</v>
      </c>
      <c r="X11" s="1321">
        <f t="shared" si="22"/>
        <v>0.11332519994577742</v>
      </c>
    </row>
    <row r="12" spans="1:24" ht="13.5" customHeight="1" x14ac:dyDescent="0.25">
      <c r="A12" s="149" t="s">
        <v>26</v>
      </c>
      <c r="B12" s="189" t="s">
        <v>298</v>
      </c>
      <c r="C12" s="150" t="s">
        <v>265</v>
      </c>
      <c r="D12" s="243">
        <v>21315</v>
      </c>
      <c r="E12" s="243">
        <v>14532</v>
      </c>
      <c r="F12" s="243">
        <v>6783</v>
      </c>
      <c r="G12" s="243">
        <v>1675</v>
      </c>
      <c r="H12" s="243">
        <v>5108</v>
      </c>
      <c r="I12" s="243"/>
      <c r="J12" s="1319">
        <f t="shared" si="14"/>
        <v>0.68177339901477829</v>
      </c>
      <c r="K12" s="1319">
        <f t="shared" si="15"/>
        <v>0.31822660098522165</v>
      </c>
      <c r="L12" s="1319">
        <f t="shared" si="16"/>
        <v>7.858315740089139E-2</v>
      </c>
      <c r="M12" s="1319">
        <f t="shared" si="17"/>
        <v>0.23964344358433029</v>
      </c>
      <c r="O12" s="1320">
        <f t="shared" si="18"/>
        <v>6625</v>
      </c>
      <c r="P12" s="1320">
        <v>4651</v>
      </c>
      <c r="Q12" s="1320">
        <v>1974</v>
      </c>
      <c r="R12" s="1320">
        <v>463</v>
      </c>
      <c r="S12" s="1320">
        <v>1511</v>
      </c>
      <c r="U12" s="1321">
        <f t="shared" si="19"/>
        <v>0.7020377358490566</v>
      </c>
      <c r="V12" s="1321">
        <f t="shared" si="20"/>
        <v>0.2979622641509434</v>
      </c>
      <c r="W12" s="1321">
        <f t="shared" si="21"/>
        <v>6.9886792452830193E-2</v>
      </c>
      <c r="X12" s="1321">
        <f t="shared" si="22"/>
        <v>0.22807547169811321</v>
      </c>
    </row>
    <row r="13" spans="1:24" ht="13.5" customHeight="1" x14ac:dyDescent="0.25">
      <c r="A13" s="149" t="s">
        <v>27</v>
      </c>
      <c r="B13" s="189" t="s">
        <v>28</v>
      </c>
      <c r="C13" s="150" t="s">
        <v>265</v>
      </c>
      <c r="D13" s="243">
        <v>835</v>
      </c>
      <c r="E13" s="243">
        <v>547</v>
      </c>
      <c r="F13" s="243">
        <v>288</v>
      </c>
      <c r="G13" s="243">
        <v>87</v>
      </c>
      <c r="H13" s="243">
        <v>201</v>
      </c>
      <c r="I13" s="243"/>
      <c r="J13" s="1319">
        <f t="shared" si="14"/>
        <v>0.65508982035928143</v>
      </c>
      <c r="K13" s="1319">
        <f t="shared" si="15"/>
        <v>0.34491017964071857</v>
      </c>
      <c r="L13" s="1319">
        <f t="shared" si="16"/>
        <v>0.10419161676646707</v>
      </c>
      <c r="M13" s="1319">
        <f t="shared" si="17"/>
        <v>0.2407185628742515</v>
      </c>
      <c r="O13" s="1320">
        <f t="shared" si="18"/>
        <v>213</v>
      </c>
      <c r="P13" s="1320">
        <v>142</v>
      </c>
      <c r="Q13" s="1320">
        <v>71</v>
      </c>
      <c r="R13" s="1320">
        <v>0</v>
      </c>
      <c r="S13" s="1320">
        <v>71</v>
      </c>
      <c r="U13" s="1321">
        <f t="shared" si="19"/>
        <v>0.66666666666666663</v>
      </c>
      <c r="V13" s="1321">
        <f t="shared" si="20"/>
        <v>0.33333333333333331</v>
      </c>
      <c r="W13" s="1321">
        <f t="shared" si="21"/>
        <v>0</v>
      </c>
      <c r="X13" s="1321">
        <f t="shared" si="22"/>
        <v>0.33333333333333331</v>
      </c>
    </row>
    <row r="14" spans="1:24" ht="13.5" customHeight="1" x14ac:dyDescent="0.25">
      <c r="A14" s="149" t="s">
        <v>29</v>
      </c>
      <c r="B14" s="189" t="s">
        <v>924</v>
      </c>
      <c r="C14" s="150" t="s">
        <v>265</v>
      </c>
      <c r="D14" s="243">
        <v>14608</v>
      </c>
      <c r="E14" s="243">
        <v>11257</v>
      </c>
      <c r="F14" s="243">
        <v>3351</v>
      </c>
      <c r="G14" s="243">
        <v>735</v>
      </c>
      <c r="H14" s="243">
        <v>2616</v>
      </c>
      <c r="I14" s="243"/>
      <c r="J14" s="1319">
        <f t="shared" si="14"/>
        <v>0.77060514786418399</v>
      </c>
      <c r="K14" s="1319">
        <f t="shared" si="15"/>
        <v>0.22939485213581598</v>
      </c>
      <c r="L14" s="1319">
        <f t="shared" si="16"/>
        <v>5.0314895947426067E-2</v>
      </c>
      <c r="M14" s="1319">
        <f t="shared" si="17"/>
        <v>0.17907995618838993</v>
      </c>
      <c r="O14" s="1320">
        <f t="shared" si="18"/>
        <v>3903</v>
      </c>
      <c r="P14" s="1320">
        <v>3104</v>
      </c>
      <c r="Q14" s="1320">
        <v>799</v>
      </c>
      <c r="R14" s="1320">
        <v>266</v>
      </c>
      <c r="S14" s="1320">
        <v>533</v>
      </c>
      <c r="U14" s="1321">
        <f t="shared" si="19"/>
        <v>0.79528567768383296</v>
      </c>
      <c r="V14" s="1321">
        <f t="shared" si="20"/>
        <v>0.20471432231616704</v>
      </c>
      <c r="W14" s="1321">
        <f t="shared" si="21"/>
        <v>6.8152703048936711E-2</v>
      </c>
      <c r="X14" s="1321">
        <f t="shared" si="22"/>
        <v>0.13656161926723034</v>
      </c>
    </row>
    <row r="15" spans="1:24" ht="13.5" customHeight="1" x14ac:dyDescent="0.25">
      <c r="A15" s="149" t="s">
        <v>30</v>
      </c>
      <c r="B15" s="189" t="s">
        <v>31</v>
      </c>
      <c r="C15" s="150" t="s">
        <v>268</v>
      </c>
      <c r="D15" s="243">
        <v>1040</v>
      </c>
      <c r="E15" s="243">
        <v>876</v>
      </c>
      <c r="F15" s="243">
        <v>164</v>
      </c>
      <c r="G15" s="243">
        <v>14</v>
      </c>
      <c r="H15" s="243">
        <v>150</v>
      </c>
      <c r="I15" s="243"/>
      <c r="J15" s="1319">
        <f t="shared" si="14"/>
        <v>0.84230769230769231</v>
      </c>
      <c r="K15" s="1319">
        <f t="shared" si="15"/>
        <v>0.15769230769230769</v>
      </c>
      <c r="L15" s="1319">
        <f t="shared" si="16"/>
        <v>1.3461538461538462E-2</v>
      </c>
      <c r="M15" s="1319">
        <f t="shared" si="17"/>
        <v>0.14423076923076922</v>
      </c>
      <c r="O15" s="1320">
        <f t="shared" si="18"/>
        <v>254</v>
      </c>
      <c r="P15" s="1320">
        <v>169</v>
      </c>
      <c r="Q15" s="1320">
        <v>85</v>
      </c>
      <c r="R15" s="1320">
        <v>0</v>
      </c>
      <c r="S15" s="1320">
        <v>85</v>
      </c>
      <c r="U15" s="1321">
        <f t="shared" si="19"/>
        <v>0.66535433070866146</v>
      </c>
      <c r="V15" s="1321">
        <f t="shared" si="20"/>
        <v>0.3346456692913386</v>
      </c>
      <c r="W15" s="1321">
        <f t="shared" si="21"/>
        <v>0</v>
      </c>
      <c r="X15" s="1321">
        <f t="shared" si="22"/>
        <v>0.3346456692913386</v>
      </c>
    </row>
    <row r="16" spans="1:24" ht="13.5" customHeight="1" x14ac:dyDescent="0.25">
      <c r="A16" s="149" t="s">
        <v>32</v>
      </c>
      <c r="B16" s="189" t="s">
        <v>33</v>
      </c>
      <c r="C16" s="150" t="s">
        <v>265</v>
      </c>
      <c r="D16" s="243">
        <v>6364</v>
      </c>
      <c r="E16" s="243">
        <v>5343</v>
      </c>
      <c r="F16" s="243">
        <v>1021</v>
      </c>
      <c r="G16" s="243">
        <v>167</v>
      </c>
      <c r="H16" s="243">
        <v>854</v>
      </c>
      <c r="I16" s="243"/>
      <c r="J16" s="1319">
        <f t="shared" si="14"/>
        <v>0.83956631049654307</v>
      </c>
      <c r="K16" s="1319">
        <f t="shared" si="15"/>
        <v>0.16043368950345693</v>
      </c>
      <c r="L16" s="1319">
        <f t="shared" si="16"/>
        <v>2.6241357636706476E-2</v>
      </c>
      <c r="M16" s="1319">
        <f t="shared" si="17"/>
        <v>0.13419233186675047</v>
      </c>
      <c r="O16" s="1320">
        <f t="shared" si="18"/>
        <v>1552</v>
      </c>
      <c r="P16" s="1320">
        <v>1385</v>
      </c>
      <c r="Q16" s="1320">
        <v>167</v>
      </c>
      <c r="R16" s="1320">
        <v>55</v>
      </c>
      <c r="S16" s="1320">
        <v>112</v>
      </c>
      <c r="U16" s="1321">
        <f t="shared" si="19"/>
        <v>0.89239690721649489</v>
      </c>
      <c r="V16" s="1321">
        <f t="shared" si="20"/>
        <v>0.10760309278350516</v>
      </c>
      <c r="W16" s="1321">
        <f t="shared" si="21"/>
        <v>3.5438144329896906E-2</v>
      </c>
      <c r="X16" s="1321">
        <f t="shared" si="22"/>
        <v>7.2164948453608241E-2</v>
      </c>
    </row>
    <row r="17" spans="1:24" ht="13.5" customHeight="1" x14ac:dyDescent="0.25">
      <c r="A17" s="149" t="s">
        <v>36</v>
      </c>
      <c r="B17" s="189" t="s">
        <v>37</v>
      </c>
      <c r="C17" s="150" t="s">
        <v>264</v>
      </c>
      <c r="D17" s="243">
        <v>2265</v>
      </c>
      <c r="E17" s="243">
        <v>1161</v>
      </c>
      <c r="F17" s="243">
        <v>1104</v>
      </c>
      <c r="G17" s="243">
        <v>201</v>
      </c>
      <c r="H17" s="243">
        <v>903</v>
      </c>
      <c r="I17" s="243"/>
      <c r="J17" s="1319">
        <f t="shared" si="14"/>
        <v>0.51258278145695368</v>
      </c>
      <c r="K17" s="1319">
        <f t="shared" si="15"/>
        <v>0.48741721854304637</v>
      </c>
      <c r="L17" s="1319">
        <f t="shared" si="16"/>
        <v>8.8741721854304637E-2</v>
      </c>
      <c r="M17" s="1319">
        <f t="shared" si="17"/>
        <v>0.39867549668874175</v>
      </c>
      <c r="O17" s="1320">
        <f t="shared" si="18"/>
        <v>620</v>
      </c>
      <c r="P17" s="1320">
        <v>332</v>
      </c>
      <c r="Q17" s="1320">
        <v>288</v>
      </c>
      <c r="R17" s="1320">
        <v>42</v>
      </c>
      <c r="S17" s="1320">
        <v>246</v>
      </c>
      <c r="U17" s="1321">
        <f t="shared" si="19"/>
        <v>0.53548387096774197</v>
      </c>
      <c r="V17" s="1321">
        <f t="shared" si="20"/>
        <v>0.46451612903225808</v>
      </c>
      <c r="W17" s="1321">
        <f t="shared" si="21"/>
        <v>6.7741935483870974E-2</v>
      </c>
      <c r="X17" s="1321">
        <f t="shared" si="22"/>
        <v>0.39677419354838711</v>
      </c>
    </row>
    <row r="18" spans="1:24" ht="13.5" customHeight="1" x14ac:dyDescent="0.25">
      <c r="A18" s="149" t="s">
        <v>38</v>
      </c>
      <c r="B18" s="189" t="s">
        <v>39</v>
      </c>
      <c r="C18" s="150" t="s">
        <v>268</v>
      </c>
      <c r="D18" s="243">
        <v>3447</v>
      </c>
      <c r="E18" s="243">
        <v>2135</v>
      </c>
      <c r="F18" s="243">
        <v>1312</v>
      </c>
      <c r="G18" s="243">
        <v>289</v>
      </c>
      <c r="H18" s="243">
        <v>1023</v>
      </c>
      <c r="I18" s="243"/>
      <c r="J18" s="1319">
        <f t="shared" si="14"/>
        <v>0.61937917029300837</v>
      </c>
      <c r="K18" s="1319">
        <f t="shared" si="15"/>
        <v>0.38062082970699157</v>
      </c>
      <c r="L18" s="1319">
        <f t="shared" si="16"/>
        <v>8.3841021177835803E-2</v>
      </c>
      <c r="M18" s="1319">
        <f t="shared" si="17"/>
        <v>0.29677980852915581</v>
      </c>
      <c r="O18" s="1320">
        <f t="shared" si="18"/>
        <v>1014</v>
      </c>
      <c r="P18" s="1320">
        <v>644</v>
      </c>
      <c r="Q18" s="1320">
        <v>370</v>
      </c>
      <c r="R18" s="1320">
        <v>68</v>
      </c>
      <c r="S18" s="1320">
        <v>302</v>
      </c>
      <c r="U18" s="1321">
        <f t="shared" si="19"/>
        <v>0.63510848126232744</v>
      </c>
      <c r="V18" s="1321">
        <f t="shared" si="20"/>
        <v>0.36489151873767256</v>
      </c>
      <c r="W18" s="1321">
        <f t="shared" si="21"/>
        <v>6.7061143984220903E-2</v>
      </c>
      <c r="X18" s="1321">
        <f t="shared" si="22"/>
        <v>0.2978303747534517</v>
      </c>
    </row>
    <row r="19" spans="1:24" ht="13.5" customHeight="1" x14ac:dyDescent="0.25">
      <c r="A19" s="149" t="s">
        <v>40</v>
      </c>
      <c r="B19" s="189" t="s">
        <v>41</v>
      </c>
      <c r="C19" s="150" t="s">
        <v>266</v>
      </c>
      <c r="D19" s="243">
        <v>2894</v>
      </c>
      <c r="E19" s="243">
        <v>2004</v>
      </c>
      <c r="F19" s="243">
        <v>890</v>
      </c>
      <c r="G19" s="243">
        <v>169</v>
      </c>
      <c r="H19" s="243">
        <v>721</v>
      </c>
      <c r="I19" s="243"/>
      <c r="J19" s="1319">
        <f t="shared" si="14"/>
        <v>0.69246717346233588</v>
      </c>
      <c r="K19" s="1319">
        <f t="shared" si="15"/>
        <v>0.30753282653766412</v>
      </c>
      <c r="L19" s="1319">
        <f t="shared" si="16"/>
        <v>5.8396682791983415E-2</v>
      </c>
      <c r="M19" s="1319">
        <f t="shared" si="17"/>
        <v>0.24913614374568072</v>
      </c>
      <c r="O19" s="1320">
        <f t="shared" si="18"/>
        <v>828</v>
      </c>
      <c r="P19" s="1320">
        <v>530</v>
      </c>
      <c r="Q19" s="1320">
        <v>298</v>
      </c>
      <c r="R19" s="1320">
        <v>90</v>
      </c>
      <c r="S19" s="1320">
        <v>208</v>
      </c>
      <c r="U19" s="1321">
        <f t="shared" si="19"/>
        <v>0.64009661835748788</v>
      </c>
      <c r="V19" s="1321">
        <f t="shared" si="20"/>
        <v>0.35990338164251207</v>
      </c>
      <c r="W19" s="1321">
        <f t="shared" si="21"/>
        <v>0.10869565217391304</v>
      </c>
      <c r="X19" s="1321">
        <f t="shared" si="22"/>
        <v>0.25120772946859904</v>
      </c>
    </row>
    <row r="20" spans="1:24" ht="13.5" customHeight="1" x14ac:dyDescent="0.25">
      <c r="A20" s="149" t="s">
        <v>42</v>
      </c>
      <c r="B20" s="189" t="s">
        <v>43</v>
      </c>
      <c r="C20" s="150" t="s">
        <v>265</v>
      </c>
      <c r="D20" s="243">
        <v>9997</v>
      </c>
      <c r="E20" s="243">
        <v>7348</v>
      </c>
      <c r="F20" s="243">
        <v>2649</v>
      </c>
      <c r="G20" s="243">
        <v>508</v>
      </c>
      <c r="H20" s="243">
        <v>2141</v>
      </c>
      <c r="I20" s="243"/>
      <c r="J20" s="1319">
        <f t="shared" si="14"/>
        <v>0.73502050615184555</v>
      </c>
      <c r="K20" s="1319">
        <f t="shared" si="15"/>
        <v>0.26497949384815445</v>
      </c>
      <c r="L20" s="1319">
        <f t="shared" si="16"/>
        <v>5.0815244573372012E-2</v>
      </c>
      <c r="M20" s="1319">
        <f t="shared" si="17"/>
        <v>0.21416424927478245</v>
      </c>
      <c r="O20" s="1320">
        <f t="shared" si="18"/>
        <v>2787</v>
      </c>
      <c r="P20" s="1320">
        <v>2073</v>
      </c>
      <c r="Q20" s="1320">
        <v>714</v>
      </c>
      <c r="R20" s="1320">
        <v>312</v>
      </c>
      <c r="S20" s="1320">
        <v>402</v>
      </c>
      <c r="U20" s="1321">
        <f t="shared" si="19"/>
        <v>0.74381054897739507</v>
      </c>
      <c r="V20" s="1321">
        <f t="shared" si="20"/>
        <v>0.25618945102260493</v>
      </c>
      <c r="W20" s="1321">
        <f t="shared" si="21"/>
        <v>0.11194833153928956</v>
      </c>
      <c r="X20" s="1321">
        <f t="shared" si="22"/>
        <v>0.14424111948331539</v>
      </c>
    </row>
    <row r="21" spans="1:24" ht="13.5" customHeight="1" x14ac:dyDescent="0.25">
      <c r="A21" s="149" t="s">
        <v>44</v>
      </c>
      <c r="B21" s="189" t="s">
        <v>45</v>
      </c>
      <c r="C21" s="150" t="s">
        <v>266</v>
      </c>
      <c r="D21" s="243">
        <v>5548</v>
      </c>
      <c r="E21" s="243">
        <v>3552</v>
      </c>
      <c r="F21" s="243">
        <v>1996</v>
      </c>
      <c r="G21" s="243">
        <v>332</v>
      </c>
      <c r="H21" s="243">
        <v>1664</v>
      </c>
      <c r="I21" s="243"/>
      <c r="J21" s="1319">
        <f t="shared" si="14"/>
        <v>0.64023071377072815</v>
      </c>
      <c r="K21" s="1319">
        <f t="shared" si="15"/>
        <v>0.35976928622927179</v>
      </c>
      <c r="L21" s="1319">
        <f t="shared" si="16"/>
        <v>5.9841384282624366E-2</v>
      </c>
      <c r="M21" s="1319">
        <f t="shared" si="17"/>
        <v>0.29992790194664742</v>
      </c>
      <c r="O21" s="1320">
        <f t="shared" si="18"/>
        <v>1929</v>
      </c>
      <c r="P21" s="1320">
        <v>1265</v>
      </c>
      <c r="Q21" s="1320">
        <v>664</v>
      </c>
      <c r="R21" s="1320">
        <v>112</v>
      </c>
      <c r="S21" s="1320">
        <v>552</v>
      </c>
      <c r="U21" s="1321">
        <f t="shared" si="19"/>
        <v>0.65578019699326073</v>
      </c>
      <c r="V21" s="1321">
        <f t="shared" si="20"/>
        <v>0.34421980300673927</v>
      </c>
      <c r="W21" s="1321">
        <f t="shared" si="21"/>
        <v>5.8061171591498185E-2</v>
      </c>
      <c r="X21" s="1321">
        <f t="shared" si="22"/>
        <v>0.28615863141524106</v>
      </c>
    </row>
    <row r="22" spans="1:24" ht="13.5" customHeight="1" x14ac:dyDescent="0.25">
      <c r="A22" s="149" t="s">
        <v>46</v>
      </c>
      <c r="B22" s="189" t="s">
        <v>47</v>
      </c>
      <c r="C22" s="150" t="s">
        <v>268</v>
      </c>
      <c r="D22" s="243">
        <v>5254</v>
      </c>
      <c r="E22" s="243">
        <v>3717</v>
      </c>
      <c r="F22" s="243">
        <v>1537</v>
      </c>
      <c r="G22" s="243">
        <v>499</v>
      </c>
      <c r="H22" s="243">
        <v>1038</v>
      </c>
      <c r="I22" s="243"/>
      <c r="J22" s="1319">
        <f t="shared" si="14"/>
        <v>0.70746098210886943</v>
      </c>
      <c r="K22" s="1319">
        <f t="shared" si="15"/>
        <v>0.29253901789113057</v>
      </c>
      <c r="L22" s="1319">
        <f t="shared" si="16"/>
        <v>9.497525694708793E-2</v>
      </c>
      <c r="M22" s="1319">
        <f t="shared" si="17"/>
        <v>0.19756376094404263</v>
      </c>
      <c r="O22" s="1320">
        <f t="shared" si="18"/>
        <v>1530</v>
      </c>
      <c r="P22" s="1320">
        <v>938</v>
      </c>
      <c r="Q22" s="1320">
        <v>592</v>
      </c>
      <c r="R22" s="1320">
        <v>137</v>
      </c>
      <c r="S22" s="1320">
        <v>455</v>
      </c>
      <c r="U22" s="1321">
        <f t="shared" si="19"/>
        <v>0.61307189542483664</v>
      </c>
      <c r="V22" s="1321">
        <f t="shared" si="20"/>
        <v>0.38692810457516341</v>
      </c>
      <c r="W22" s="1321">
        <f t="shared" si="21"/>
        <v>8.954248366013072E-2</v>
      </c>
      <c r="X22" s="1321">
        <f t="shared" si="22"/>
        <v>0.29738562091503268</v>
      </c>
    </row>
    <row r="23" spans="1:24" ht="13.5" customHeight="1" x14ac:dyDescent="0.25">
      <c r="A23" s="149" t="s">
        <v>48</v>
      </c>
      <c r="B23" s="189" t="s">
        <v>269</v>
      </c>
      <c r="C23" s="150" t="s">
        <v>266</v>
      </c>
      <c r="D23" s="243">
        <v>950</v>
      </c>
      <c r="E23" s="243">
        <v>582</v>
      </c>
      <c r="F23" s="243">
        <v>368</v>
      </c>
      <c r="G23" s="243">
        <v>67</v>
      </c>
      <c r="H23" s="243">
        <v>301</v>
      </c>
      <c r="I23" s="243"/>
      <c r="J23" s="1319">
        <f t="shared" si="14"/>
        <v>0.61263157894736842</v>
      </c>
      <c r="K23" s="1319">
        <f t="shared" si="15"/>
        <v>0.38736842105263158</v>
      </c>
      <c r="L23" s="1319">
        <f t="shared" si="16"/>
        <v>7.0526315789473687E-2</v>
      </c>
      <c r="M23" s="1319">
        <f t="shared" si="17"/>
        <v>0.31684210526315787</v>
      </c>
      <c r="O23" s="1320">
        <f t="shared" si="18"/>
        <v>219</v>
      </c>
      <c r="P23" s="1320">
        <v>164</v>
      </c>
      <c r="Q23" s="1320">
        <v>55</v>
      </c>
      <c r="R23" s="1320">
        <v>25</v>
      </c>
      <c r="S23" s="1320">
        <v>30</v>
      </c>
      <c r="U23" s="1321">
        <f t="shared" si="19"/>
        <v>0.74885844748858443</v>
      </c>
      <c r="V23" s="1321">
        <f t="shared" si="20"/>
        <v>0.25114155251141551</v>
      </c>
      <c r="W23" s="1321">
        <f t="shared" si="21"/>
        <v>0.11415525114155251</v>
      </c>
      <c r="X23" s="1321">
        <f t="shared" si="22"/>
        <v>0.13698630136986301</v>
      </c>
    </row>
    <row r="24" spans="1:24" ht="13.5" customHeight="1" x14ac:dyDescent="0.25">
      <c r="A24" s="149" t="s">
        <v>50</v>
      </c>
      <c r="B24" s="189" t="s">
        <v>51</v>
      </c>
      <c r="C24" s="150" t="s">
        <v>265</v>
      </c>
      <c r="D24" s="243">
        <v>2315</v>
      </c>
      <c r="E24" s="243">
        <v>1293</v>
      </c>
      <c r="F24" s="243">
        <v>1022</v>
      </c>
      <c r="G24" s="243">
        <v>284</v>
      </c>
      <c r="H24" s="243">
        <v>738</v>
      </c>
      <c r="I24" s="243"/>
      <c r="J24" s="1319">
        <f t="shared" si="14"/>
        <v>0.55853131749460039</v>
      </c>
      <c r="K24" s="1319">
        <f t="shared" si="15"/>
        <v>0.44146868250539956</v>
      </c>
      <c r="L24" s="1319">
        <f t="shared" si="16"/>
        <v>0.12267818574514039</v>
      </c>
      <c r="M24" s="1319">
        <f t="shared" si="17"/>
        <v>0.31879049676025917</v>
      </c>
      <c r="O24" s="1320">
        <f t="shared" si="18"/>
        <v>707</v>
      </c>
      <c r="P24" s="1320">
        <v>372</v>
      </c>
      <c r="Q24" s="1320">
        <v>335</v>
      </c>
      <c r="R24" s="1320">
        <v>81</v>
      </c>
      <c r="S24" s="1320">
        <v>254</v>
      </c>
      <c r="U24" s="1321">
        <f t="shared" si="19"/>
        <v>0.52616690240452613</v>
      </c>
      <c r="V24" s="1321">
        <f t="shared" si="20"/>
        <v>0.47383309759547382</v>
      </c>
      <c r="W24" s="1321">
        <f t="shared" si="21"/>
        <v>0.11456859971711457</v>
      </c>
      <c r="X24" s="1321">
        <f t="shared" si="22"/>
        <v>0.35926449787835929</v>
      </c>
    </row>
    <row r="25" spans="1:24" ht="13.5" customHeight="1" x14ac:dyDescent="0.25">
      <c r="A25" s="149" t="s">
        <v>56</v>
      </c>
      <c r="B25" s="189" t="s">
        <v>295</v>
      </c>
      <c r="C25" s="150" t="s">
        <v>266</v>
      </c>
      <c r="D25" s="243">
        <v>75737</v>
      </c>
      <c r="E25" s="243">
        <v>56082</v>
      </c>
      <c r="F25" s="243">
        <v>19655</v>
      </c>
      <c r="G25" s="243">
        <v>4370</v>
      </c>
      <c r="H25" s="243">
        <v>15285</v>
      </c>
      <c r="I25" s="243"/>
      <c r="J25" s="1319">
        <f t="shared" si="14"/>
        <v>0.74048351532276169</v>
      </c>
      <c r="K25" s="1319">
        <f t="shared" si="15"/>
        <v>0.25951648467723831</v>
      </c>
      <c r="L25" s="1319">
        <f t="shared" si="16"/>
        <v>5.7699671230706261E-2</v>
      </c>
      <c r="M25" s="1319">
        <f t="shared" si="17"/>
        <v>0.20181681344653207</v>
      </c>
      <c r="O25" s="1320">
        <f t="shared" si="18"/>
        <v>21343</v>
      </c>
      <c r="P25" s="1320">
        <v>15847</v>
      </c>
      <c r="Q25" s="1320">
        <v>5496</v>
      </c>
      <c r="R25" s="1320">
        <v>1292</v>
      </c>
      <c r="S25" s="1320">
        <v>4204</v>
      </c>
      <c r="U25" s="1321">
        <f t="shared" si="19"/>
        <v>0.74249168345593408</v>
      </c>
      <c r="V25" s="1321">
        <f t="shared" si="20"/>
        <v>0.25750831654406597</v>
      </c>
      <c r="W25" s="1321">
        <f t="shared" si="21"/>
        <v>6.0535070046385232E-2</v>
      </c>
      <c r="X25" s="1321">
        <f t="shared" si="22"/>
        <v>0.19697324649768075</v>
      </c>
    </row>
    <row r="26" spans="1:24" ht="13.5" customHeight="1" x14ac:dyDescent="0.25">
      <c r="A26" s="149" t="s">
        <v>58</v>
      </c>
      <c r="B26" s="189" t="s">
        <v>59</v>
      </c>
      <c r="C26" s="150" t="s">
        <v>267</v>
      </c>
      <c r="D26" s="243">
        <v>2588</v>
      </c>
      <c r="E26" s="243">
        <v>1698</v>
      </c>
      <c r="F26" s="243">
        <v>890</v>
      </c>
      <c r="G26" s="243">
        <v>147</v>
      </c>
      <c r="H26" s="243">
        <v>743</v>
      </c>
      <c r="I26" s="243"/>
      <c r="J26" s="1319">
        <f t="shared" si="14"/>
        <v>0.65610510046367854</v>
      </c>
      <c r="K26" s="1319">
        <f t="shared" si="15"/>
        <v>0.34389489953632146</v>
      </c>
      <c r="L26" s="1319">
        <f t="shared" si="16"/>
        <v>5.6800618238021641E-2</v>
      </c>
      <c r="M26" s="1319">
        <f t="shared" si="17"/>
        <v>0.28709428129829984</v>
      </c>
      <c r="O26" s="1320">
        <f t="shared" si="18"/>
        <v>706</v>
      </c>
      <c r="P26" s="1320">
        <v>408</v>
      </c>
      <c r="Q26" s="1320">
        <v>298</v>
      </c>
      <c r="R26" s="1320">
        <v>0</v>
      </c>
      <c r="S26" s="1320">
        <v>298</v>
      </c>
      <c r="U26" s="1321">
        <f t="shared" si="19"/>
        <v>0.57790368271954673</v>
      </c>
      <c r="V26" s="1321">
        <f t="shared" si="20"/>
        <v>0.42209631728045327</v>
      </c>
      <c r="W26" s="1321">
        <f t="shared" si="21"/>
        <v>0</v>
      </c>
      <c r="X26" s="1321">
        <f t="shared" si="22"/>
        <v>0.42209631728045327</v>
      </c>
    </row>
    <row r="27" spans="1:24" ht="13.5" customHeight="1" x14ac:dyDescent="0.25">
      <c r="A27" s="149" t="s">
        <v>60</v>
      </c>
      <c r="B27" s="189" t="s">
        <v>61</v>
      </c>
      <c r="C27" s="150" t="s">
        <v>265</v>
      </c>
      <c r="D27" s="243">
        <v>893</v>
      </c>
      <c r="E27" s="243">
        <v>746</v>
      </c>
      <c r="F27" s="243">
        <v>147</v>
      </c>
      <c r="G27" s="243">
        <v>26</v>
      </c>
      <c r="H27" s="243">
        <v>121</v>
      </c>
      <c r="I27" s="243"/>
      <c r="J27" s="1319">
        <f t="shared" si="14"/>
        <v>0.83538633818589025</v>
      </c>
      <c r="K27" s="1319">
        <f t="shared" si="15"/>
        <v>0.16461366181410975</v>
      </c>
      <c r="L27" s="1319">
        <f t="shared" si="16"/>
        <v>2.9115341545352745E-2</v>
      </c>
      <c r="M27" s="1319">
        <f t="shared" si="17"/>
        <v>0.13549832026875699</v>
      </c>
      <c r="O27" s="1320">
        <f t="shared" si="18"/>
        <v>279</v>
      </c>
      <c r="P27" s="1320">
        <v>263</v>
      </c>
      <c r="Q27" s="1320">
        <v>16</v>
      </c>
      <c r="R27" s="1320">
        <v>0</v>
      </c>
      <c r="S27" s="1320">
        <v>16</v>
      </c>
      <c r="U27" s="1321">
        <f t="shared" si="19"/>
        <v>0.94265232974910396</v>
      </c>
      <c r="V27" s="1321">
        <f t="shared" si="20"/>
        <v>5.7347670250896057E-2</v>
      </c>
      <c r="W27" s="1321">
        <f t="shared" si="21"/>
        <v>0</v>
      </c>
      <c r="X27" s="1321">
        <f t="shared" si="22"/>
        <v>5.7347670250896057E-2</v>
      </c>
    </row>
    <row r="28" spans="1:24" ht="13.5" customHeight="1" x14ac:dyDescent="0.25">
      <c r="A28" s="149" t="s">
        <v>62</v>
      </c>
      <c r="B28" s="189" t="s">
        <v>63</v>
      </c>
      <c r="C28" s="150" t="s">
        <v>267</v>
      </c>
      <c r="D28" s="243">
        <v>10347</v>
      </c>
      <c r="E28" s="243">
        <v>7638</v>
      </c>
      <c r="F28" s="243">
        <v>2709</v>
      </c>
      <c r="G28" s="243">
        <v>807</v>
      </c>
      <c r="H28" s="243">
        <v>1902</v>
      </c>
      <c r="I28" s="243"/>
      <c r="J28" s="1319">
        <f t="shared" si="14"/>
        <v>0.7381849811539577</v>
      </c>
      <c r="K28" s="1319">
        <f t="shared" si="15"/>
        <v>0.26181501884604236</v>
      </c>
      <c r="L28" s="1319">
        <f t="shared" si="16"/>
        <v>7.7993621339518704E-2</v>
      </c>
      <c r="M28" s="1319">
        <f t="shared" si="17"/>
        <v>0.18382139750652363</v>
      </c>
      <c r="O28" s="1320">
        <f t="shared" si="18"/>
        <v>2775</v>
      </c>
      <c r="P28" s="1320">
        <v>1797</v>
      </c>
      <c r="Q28" s="1320">
        <v>978</v>
      </c>
      <c r="R28" s="1320">
        <v>316</v>
      </c>
      <c r="S28" s="1320">
        <v>662</v>
      </c>
      <c r="U28" s="1321">
        <f t="shared" si="19"/>
        <v>0.64756756756756761</v>
      </c>
      <c r="V28" s="1321">
        <f t="shared" si="20"/>
        <v>0.35243243243243244</v>
      </c>
      <c r="W28" s="1321">
        <f t="shared" si="21"/>
        <v>0.11387387387387388</v>
      </c>
      <c r="X28" s="1321">
        <f t="shared" si="22"/>
        <v>0.23855855855855856</v>
      </c>
    </row>
    <row r="29" spans="1:24" ht="13.5" customHeight="1" x14ac:dyDescent="0.25">
      <c r="A29" s="149" t="s">
        <v>64</v>
      </c>
      <c r="B29" s="189" t="s">
        <v>65</v>
      </c>
      <c r="C29" s="150" t="s">
        <v>266</v>
      </c>
      <c r="D29" s="243">
        <v>1572</v>
      </c>
      <c r="E29" s="243">
        <v>852</v>
      </c>
      <c r="F29" s="243">
        <v>720</v>
      </c>
      <c r="G29" s="243">
        <v>275</v>
      </c>
      <c r="H29" s="243">
        <v>445</v>
      </c>
      <c r="I29" s="243"/>
      <c r="J29" s="1319">
        <f t="shared" si="14"/>
        <v>0.5419847328244275</v>
      </c>
      <c r="K29" s="1319">
        <f t="shared" si="15"/>
        <v>0.4580152671755725</v>
      </c>
      <c r="L29" s="1319">
        <f t="shared" si="16"/>
        <v>0.17493638676844783</v>
      </c>
      <c r="M29" s="1319">
        <f t="shared" si="17"/>
        <v>0.2830788804071247</v>
      </c>
      <c r="O29" s="1320">
        <f t="shared" si="18"/>
        <v>485</v>
      </c>
      <c r="P29" s="1320">
        <v>234</v>
      </c>
      <c r="Q29" s="1320">
        <v>251</v>
      </c>
      <c r="R29" s="1320">
        <v>67</v>
      </c>
      <c r="S29" s="1320">
        <v>184</v>
      </c>
      <c r="U29" s="1321">
        <f t="shared" si="19"/>
        <v>0.48247422680412372</v>
      </c>
      <c r="V29" s="1321">
        <f t="shared" si="20"/>
        <v>0.51752577319587634</v>
      </c>
      <c r="W29" s="1321">
        <f t="shared" si="21"/>
        <v>0.13814432989690723</v>
      </c>
      <c r="X29" s="1321">
        <f t="shared" si="22"/>
        <v>0.37938144329896906</v>
      </c>
    </row>
    <row r="30" spans="1:24" ht="13.5" customHeight="1" x14ac:dyDescent="0.25">
      <c r="A30" s="149" t="s">
        <v>68</v>
      </c>
      <c r="B30" s="189" t="s">
        <v>69</v>
      </c>
      <c r="C30" s="150" t="s">
        <v>268</v>
      </c>
      <c r="D30" s="243">
        <v>2691</v>
      </c>
      <c r="E30" s="243">
        <v>2040</v>
      </c>
      <c r="F30" s="243">
        <v>651</v>
      </c>
      <c r="G30" s="243">
        <v>270</v>
      </c>
      <c r="H30" s="243">
        <v>381</v>
      </c>
      <c r="I30" s="243"/>
      <c r="J30" s="1319">
        <f t="shared" si="14"/>
        <v>0.75808249721293197</v>
      </c>
      <c r="K30" s="1319">
        <f t="shared" si="15"/>
        <v>0.241917502787068</v>
      </c>
      <c r="L30" s="1319">
        <f t="shared" si="16"/>
        <v>0.10033444816053512</v>
      </c>
      <c r="M30" s="1319">
        <f t="shared" si="17"/>
        <v>0.14158305462653289</v>
      </c>
      <c r="O30" s="1320">
        <f t="shared" si="18"/>
        <v>819</v>
      </c>
      <c r="P30" s="1320">
        <v>549</v>
      </c>
      <c r="Q30" s="1320">
        <v>270</v>
      </c>
      <c r="R30" s="1320">
        <v>114</v>
      </c>
      <c r="S30" s="1320">
        <v>156</v>
      </c>
      <c r="U30" s="1321">
        <f t="shared" si="19"/>
        <v>0.67032967032967028</v>
      </c>
      <c r="V30" s="1321">
        <f t="shared" si="20"/>
        <v>0.32967032967032966</v>
      </c>
      <c r="W30" s="1321">
        <f t="shared" si="21"/>
        <v>0.1391941391941392</v>
      </c>
      <c r="X30" s="1321">
        <f t="shared" si="22"/>
        <v>0.19047619047619047</v>
      </c>
    </row>
    <row r="31" spans="1:24" ht="13.5" customHeight="1" x14ac:dyDescent="0.25">
      <c r="A31" s="149" t="s">
        <v>70</v>
      </c>
      <c r="B31" s="189" t="s">
        <v>71</v>
      </c>
      <c r="C31" s="150" t="s">
        <v>264</v>
      </c>
      <c r="D31" s="243">
        <v>4987</v>
      </c>
      <c r="E31" s="243">
        <v>3245</v>
      </c>
      <c r="F31" s="243">
        <v>1742</v>
      </c>
      <c r="G31" s="243">
        <v>310</v>
      </c>
      <c r="H31" s="243">
        <v>1432</v>
      </c>
      <c r="I31" s="243"/>
      <c r="J31" s="1319">
        <f t="shared" si="14"/>
        <v>0.65069179867655902</v>
      </c>
      <c r="K31" s="1319">
        <f t="shared" si="15"/>
        <v>0.34930820132344093</v>
      </c>
      <c r="L31" s="1319">
        <f t="shared" si="16"/>
        <v>6.2161620212552636E-2</v>
      </c>
      <c r="M31" s="1319">
        <f t="shared" si="17"/>
        <v>0.28714658111088831</v>
      </c>
      <c r="O31" s="1320">
        <f t="shared" si="18"/>
        <v>1510</v>
      </c>
      <c r="P31" s="1320">
        <v>986</v>
      </c>
      <c r="Q31" s="1320">
        <v>524</v>
      </c>
      <c r="R31" s="1320">
        <v>86</v>
      </c>
      <c r="S31" s="1320">
        <v>438</v>
      </c>
      <c r="U31" s="1321">
        <f t="shared" si="19"/>
        <v>0.65298013245033115</v>
      </c>
      <c r="V31" s="1321">
        <f t="shared" si="20"/>
        <v>0.34701986754966885</v>
      </c>
      <c r="W31" s="1321">
        <f t="shared" si="21"/>
        <v>5.6953642384105961E-2</v>
      </c>
      <c r="X31" s="1321">
        <f t="shared" si="22"/>
        <v>0.29006622516556291</v>
      </c>
    </row>
    <row r="32" spans="1:24" ht="13.5" customHeight="1" x14ac:dyDescent="0.25">
      <c r="A32" s="149" t="s">
        <v>72</v>
      </c>
      <c r="B32" s="189" t="s">
        <v>73</v>
      </c>
      <c r="C32" s="150" t="s">
        <v>266</v>
      </c>
      <c r="D32" s="243">
        <v>1942</v>
      </c>
      <c r="E32" s="243">
        <v>1296</v>
      </c>
      <c r="F32" s="243">
        <v>646</v>
      </c>
      <c r="G32" s="243">
        <v>281</v>
      </c>
      <c r="H32" s="243">
        <v>365</v>
      </c>
      <c r="I32" s="243"/>
      <c r="J32" s="1319">
        <f t="shared" si="14"/>
        <v>0.66735324407826979</v>
      </c>
      <c r="K32" s="1319">
        <f t="shared" si="15"/>
        <v>0.33264675592173015</v>
      </c>
      <c r="L32" s="1319">
        <f t="shared" si="16"/>
        <v>0.14469618949536561</v>
      </c>
      <c r="M32" s="1319">
        <f t="shared" si="17"/>
        <v>0.18795056642636457</v>
      </c>
      <c r="O32" s="1320">
        <f t="shared" si="18"/>
        <v>568</v>
      </c>
      <c r="P32" s="1320">
        <v>393</v>
      </c>
      <c r="Q32" s="1320">
        <v>175</v>
      </c>
      <c r="R32" s="1320">
        <v>63</v>
      </c>
      <c r="S32" s="1320">
        <v>112</v>
      </c>
      <c r="U32" s="1321">
        <f t="shared" si="19"/>
        <v>0.69190140845070425</v>
      </c>
      <c r="V32" s="1321">
        <f t="shared" si="20"/>
        <v>0.30809859154929575</v>
      </c>
      <c r="W32" s="1321">
        <f t="shared" si="21"/>
        <v>0.11091549295774648</v>
      </c>
      <c r="X32" s="1321">
        <f t="shared" si="22"/>
        <v>0.19718309859154928</v>
      </c>
    </row>
    <row r="33" spans="1:24" ht="13.5" customHeight="1" x14ac:dyDescent="0.25">
      <c r="A33" s="149" t="s">
        <v>74</v>
      </c>
      <c r="B33" s="189" t="s">
        <v>609</v>
      </c>
      <c r="C33" s="150" t="s">
        <v>267</v>
      </c>
      <c r="D33" s="243">
        <v>259332</v>
      </c>
      <c r="E33" s="243">
        <v>216285</v>
      </c>
      <c r="F33" s="243">
        <v>43047</v>
      </c>
      <c r="G33" s="243">
        <v>10335</v>
      </c>
      <c r="H33" s="243">
        <v>32712</v>
      </c>
      <c r="I33" s="243"/>
      <c r="J33" s="1319">
        <f t="shared" si="14"/>
        <v>0.83400814400074041</v>
      </c>
      <c r="K33" s="1319">
        <f t="shared" si="15"/>
        <v>0.16599185599925964</v>
      </c>
      <c r="L33" s="1319">
        <f t="shared" si="16"/>
        <v>3.9852389986580909E-2</v>
      </c>
      <c r="M33" s="1319">
        <f t="shared" si="17"/>
        <v>0.12613946601267872</v>
      </c>
      <c r="O33" s="1320">
        <f t="shared" si="18"/>
        <v>86048</v>
      </c>
      <c r="P33" s="1320">
        <v>73616</v>
      </c>
      <c r="Q33" s="1320">
        <v>12432</v>
      </c>
      <c r="R33" s="1320">
        <v>3600</v>
      </c>
      <c r="S33" s="1320">
        <v>8832</v>
      </c>
      <c r="U33" s="1321">
        <f t="shared" si="19"/>
        <v>0.85552249907028632</v>
      </c>
      <c r="V33" s="1321">
        <f t="shared" si="20"/>
        <v>0.14447750092971365</v>
      </c>
      <c r="W33" s="1321">
        <f t="shared" si="21"/>
        <v>4.1837114168835995E-2</v>
      </c>
      <c r="X33" s="1321">
        <f t="shared" si="22"/>
        <v>0.10264038676087765</v>
      </c>
    </row>
    <row r="34" spans="1:24" ht="13.5" customHeight="1" x14ac:dyDescent="0.25">
      <c r="A34" s="149" t="s">
        <v>76</v>
      </c>
      <c r="B34" s="189" t="s">
        <v>77</v>
      </c>
      <c r="C34" s="150" t="s">
        <v>267</v>
      </c>
      <c r="D34" s="243">
        <v>14519</v>
      </c>
      <c r="E34" s="243">
        <v>12092</v>
      </c>
      <c r="F34" s="243">
        <v>2427</v>
      </c>
      <c r="G34" s="243">
        <v>742</v>
      </c>
      <c r="H34" s="243">
        <v>1685</v>
      </c>
      <c r="I34" s="243"/>
      <c r="J34" s="1319">
        <f t="shared" si="14"/>
        <v>0.83283972725394306</v>
      </c>
      <c r="K34" s="1319">
        <f t="shared" si="15"/>
        <v>0.16716027274605688</v>
      </c>
      <c r="L34" s="1319">
        <f t="shared" si="16"/>
        <v>5.1105448033611132E-2</v>
      </c>
      <c r="M34" s="1319">
        <f t="shared" si="17"/>
        <v>0.11605482471244576</v>
      </c>
      <c r="O34" s="1320">
        <f t="shared" si="18"/>
        <v>3715</v>
      </c>
      <c r="P34" s="1320">
        <v>3059</v>
      </c>
      <c r="Q34" s="1320">
        <v>656</v>
      </c>
      <c r="R34" s="1320">
        <v>257</v>
      </c>
      <c r="S34" s="1320">
        <v>399</v>
      </c>
      <c r="U34" s="1321">
        <f t="shared" si="19"/>
        <v>0.82341857335127855</v>
      </c>
      <c r="V34" s="1321">
        <f t="shared" si="20"/>
        <v>0.1765814266487214</v>
      </c>
      <c r="W34" s="1321">
        <f t="shared" si="21"/>
        <v>6.9179004037685066E-2</v>
      </c>
      <c r="X34" s="1321">
        <f t="shared" si="22"/>
        <v>0.10740242261103634</v>
      </c>
    </row>
    <row r="35" spans="1:24" ht="13.5" customHeight="1" x14ac:dyDescent="0.25">
      <c r="A35" s="149" t="s">
        <v>78</v>
      </c>
      <c r="B35" s="189" t="s">
        <v>79</v>
      </c>
      <c r="C35" s="150" t="s">
        <v>268</v>
      </c>
      <c r="D35" s="243">
        <v>3067</v>
      </c>
      <c r="E35" s="243">
        <v>2703</v>
      </c>
      <c r="F35" s="243">
        <v>364</v>
      </c>
      <c r="G35" s="243">
        <v>75</v>
      </c>
      <c r="H35" s="243">
        <v>289</v>
      </c>
      <c r="I35" s="243"/>
      <c r="J35" s="1319">
        <f t="shared" si="14"/>
        <v>0.88131724812520373</v>
      </c>
      <c r="K35" s="1319">
        <f t="shared" si="15"/>
        <v>0.11868275187479622</v>
      </c>
      <c r="L35" s="1319">
        <f t="shared" si="16"/>
        <v>2.4453863710466255E-2</v>
      </c>
      <c r="M35" s="1319">
        <f t="shared" si="17"/>
        <v>9.4228888164329963E-2</v>
      </c>
      <c r="O35" s="1320">
        <f t="shared" si="18"/>
        <v>795</v>
      </c>
      <c r="P35" s="1320">
        <v>732</v>
      </c>
      <c r="Q35" s="1320">
        <v>63</v>
      </c>
      <c r="R35" s="1320">
        <v>41</v>
      </c>
      <c r="S35" s="1320">
        <v>22</v>
      </c>
      <c r="U35" s="1321">
        <f t="shared" si="19"/>
        <v>0.92075471698113209</v>
      </c>
      <c r="V35" s="1321">
        <f t="shared" si="20"/>
        <v>7.9245283018867921E-2</v>
      </c>
      <c r="W35" s="1321">
        <f t="shared" si="21"/>
        <v>5.157232704402516E-2</v>
      </c>
      <c r="X35" s="1321">
        <f t="shared" si="22"/>
        <v>2.7672955974842768E-2</v>
      </c>
    </row>
    <row r="36" spans="1:24" ht="13.5" customHeight="1" x14ac:dyDescent="0.25">
      <c r="A36" s="149" t="s">
        <v>80</v>
      </c>
      <c r="B36" s="189" t="s">
        <v>81</v>
      </c>
      <c r="C36" s="150" t="s">
        <v>266</v>
      </c>
      <c r="D36" s="243">
        <v>4937</v>
      </c>
      <c r="E36" s="243">
        <v>3913</v>
      </c>
      <c r="F36" s="243">
        <v>1024</v>
      </c>
      <c r="G36" s="243">
        <v>434</v>
      </c>
      <c r="H36" s="243">
        <v>590</v>
      </c>
      <c r="I36" s="243"/>
      <c r="J36" s="1319">
        <f t="shared" si="14"/>
        <v>0.79258659104719464</v>
      </c>
      <c r="K36" s="1319">
        <f t="shared" si="15"/>
        <v>0.20741340895280536</v>
      </c>
      <c r="L36" s="1319">
        <f t="shared" si="16"/>
        <v>8.7907636216325705E-2</v>
      </c>
      <c r="M36" s="1319">
        <f t="shared" si="17"/>
        <v>0.11950577273647964</v>
      </c>
      <c r="O36" s="1320">
        <f t="shared" si="18"/>
        <v>1526</v>
      </c>
      <c r="P36" s="1320">
        <v>1319</v>
      </c>
      <c r="Q36" s="1320">
        <v>207</v>
      </c>
      <c r="R36" s="1320">
        <v>127</v>
      </c>
      <c r="S36" s="1320">
        <v>80</v>
      </c>
      <c r="U36" s="1321">
        <f t="shared" si="19"/>
        <v>0.86435124508519001</v>
      </c>
      <c r="V36" s="1321">
        <f t="shared" si="20"/>
        <v>0.13564875491480996</v>
      </c>
      <c r="W36" s="1321">
        <f t="shared" si="21"/>
        <v>8.322411533420708E-2</v>
      </c>
      <c r="X36" s="1321">
        <f t="shared" si="22"/>
        <v>5.242463958060288E-2</v>
      </c>
    </row>
    <row r="37" spans="1:24" ht="13.5" customHeight="1" x14ac:dyDescent="0.25">
      <c r="A37" s="149" t="s">
        <v>84</v>
      </c>
      <c r="B37" s="189" t="s">
        <v>85</v>
      </c>
      <c r="C37" s="150" t="s">
        <v>265</v>
      </c>
      <c r="D37" s="243">
        <v>9822</v>
      </c>
      <c r="E37" s="243">
        <v>7424</v>
      </c>
      <c r="F37" s="243">
        <v>2398</v>
      </c>
      <c r="G37" s="243">
        <v>503</v>
      </c>
      <c r="H37" s="243">
        <v>1895</v>
      </c>
      <c r="I37" s="243"/>
      <c r="J37" s="1319">
        <f t="shared" ref="J37:J68" si="23">E37/D37</f>
        <v>0.75585420484626353</v>
      </c>
      <c r="K37" s="1319">
        <f t="shared" ref="K37:K68" si="24">F37/D37</f>
        <v>0.24414579515373652</v>
      </c>
      <c r="L37" s="1319">
        <f t="shared" ref="L37:L68" si="25">G37/D37</f>
        <v>5.1211565872531055E-2</v>
      </c>
      <c r="M37" s="1319">
        <f t="shared" ref="M37:M68" si="26">H37/D37</f>
        <v>0.19293422928120546</v>
      </c>
      <c r="O37" s="1320">
        <f t="shared" ref="O37:O68" si="27">P37+Q37</f>
        <v>2724</v>
      </c>
      <c r="P37" s="1320">
        <v>2057</v>
      </c>
      <c r="Q37" s="1320">
        <v>667</v>
      </c>
      <c r="R37" s="1320">
        <v>217</v>
      </c>
      <c r="S37" s="1320">
        <v>450</v>
      </c>
      <c r="U37" s="1321">
        <f t="shared" ref="U37:U68" si="28">P37/O37</f>
        <v>0.75513950073421443</v>
      </c>
      <c r="V37" s="1321">
        <f t="shared" ref="V37:V68" si="29">Q37/O37</f>
        <v>0.2448604992657856</v>
      </c>
      <c r="W37" s="1321">
        <f t="shared" ref="W37:W68" si="30">R37/O37</f>
        <v>7.9662261380323049E-2</v>
      </c>
      <c r="X37" s="1321">
        <f t="shared" ref="X37:X68" si="31">S37/O37</f>
        <v>0.16519823788546256</v>
      </c>
    </row>
    <row r="38" spans="1:24" ht="13.5" customHeight="1" x14ac:dyDescent="0.25">
      <c r="A38" s="149" t="s">
        <v>86</v>
      </c>
      <c r="B38" s="189" t="s">
        <v>87</v>
      </c>
      <c r="C38" s="150" t="s">
        <v>267</v>
      </c>
      <c r="D38" s="243">
        <v>17694</v>
      </c>
      <c r="E38" s="243">
        <v>13767</v>
      </c>
      <c r="F38" s="243">
        <v>3927</v>
      </c>
      <c r="G38" s="243">
        <v>1040</v>
      </c>
      <c r="H38" s="243">
        <v>2887</v>
      </c>
      <c r="I38" s="243"/>
      <c r="J38" s="1319">
        <f t="shared" si="23"/>
        <v>0.7780603594438793</v>
      </c>
      <c r="K38" s="1319">
        <f t="shared" si="24"/>
        <v>0.22193964055612073</v>
      </c>
      <c r="L38" s="1319">
        <f t="shared" si="25"/>
        <v>5.8776986549112696E-2</v>
      </c>
      <c r="M38" s="1319">
        <f t="shared" si="26"/>
        <v>0.16316265400700802</v>
      </c>
      <c r="O38" s="1320">
        <f t="shared" si="27"/>
        <v>5524</v>
      </c>
      <c r="P38" s="1320">
        <v>4307</v>
      </c>
      <c r="Q38" s="1320">
        <v>1217</v>
      </c>
      <c r="R38" s="1320">
        <v>288</v>
      </c>
      <c r="S38" s="1320">
        <v>929</v>
      </c>
      <c r="U38" s="1321">
        <f t="shared" si="28"/>
        <v>0.77968863142650258</v>
      </c>
      <c r="V38" s="1321">
        <f t="shared" si="29"/>
        <v>0.22031136857349748</v>
      </c>
      <c r="W38" s="1321">
        <f t="shared" si="30"/>
        <v>5.213613323678494E-2</v>
      </c>
      <c r="X38" s="1321">
        <f t="shared" si="31"/>
        <v>0.16817523533671253</v>
      </c>
    </row>
    <row r="39" spans="1:24" ht="13.5" customHeight="1" x14ac:dyDescent="0.25">
      <c r="A39" s="149" t="s">
        <v>92</v>
      </c>
      <c r="B39" s="189" t="s">
        <v>93</v>
      </c>
      <c r="C39" s="150" t="s">
        <v>268</v>
      </c>
      <c r="D39" s="243">
        <v>2771</v>
      </c>
      <c r="E39" s="243">
        <v>1939</v>
      </c>
      <c r="F39" s="243">
        <v>832</v>
      </c>
      <c r="G39" s="243">
        <v>396</v>
      </c>
      <c r="H39" s="243">
        <v>436</v>
      </c>
      <c r="I39" s="243"/>
      <c r="J39" s="1319">
        <f t="shared" si="23"/>
        <v>0.69974738361602307</v>
      </c>
      <c r="K39" s="1319">
        <f t="shared" si="24"/>
        <v>0.30025261638397688</v>
      </c>
      <c r="L39" s="1319">
        <f t="shared" si="25"/>
        <v>0.14290869722121977</v>
      </c>
      <c r="M39" s="1319">
        <f t="shared" si="26"/>
        <v>0.15734391916275714</v>
      </c>
      <c r="O39" s="1320">
        <f t="shared" si="27"/>
        <v>771</v>
      </c>
      <c r="P39" s="1320">
        <v>572</v>
      </c>
      <c r="Q39" s="1320">
        <v>199</v>
      </c>
      <c r="R39" s="1320">
        <v>87</v>
      </c>
      <c r="S39" s="1320">
        <v>112</v>
      </c>
      <c r="U39" s="1321">
        <f t="shared" si="28"/>
        <v>0.74189364461738005</v>
      </c>
      <c r="V39" s="1321">
        <f t="shared" si="29"/>
        <v>0.25810635538262</v>
      </c>
      <c r="W39" s="1321">
        <f t="shared" si="30"/>
        <v>0.11284046692607004</v>
      </c>
      <c r="X39" s="1321">
        <f t="shared" si="31"/>
        <v>0.14526588845654995</v>
      </c>
    </row>
    <row r="40" spans="1:24" ht="13.5" customHeight="1" x14ac:dyDescent="0.25">
      <c r="A40" s="149" t="s">
        <v>94</v>
      </c>
      <c r="B40" s="189" t="s">
        <v>95</v>
      </c>
      <c r="C40" s="150" t="s">
        <v>264</v>
      </c>
      <c r="D40" s="243">
        <v>6832</v>
      </c>
      <c r="E40" s="243">
        <v>5410</v>
      </c>
      <c r="F40" s="243">
        <v>1422</v>
      </c>
      <c r="G40" s="243">
        <v>446</v>
      </c>
      <c r="H40" s="243">
        <v>976</v>
      </c>
      <c r="I40" s="243"/>
      <c r="J40" s="1319">
        <f t="shared" si="23"/>
        <v>0.79186182669789229</v>
      </c>
      <c r="K40" s="1319">
        <f t="shared" si="24"/>
        <v>0.20813817330210774</v>
      </c>
      <c r="L40" s="1319">
        <f t="shared" si="25"/>
        <v>6.5281030444964874E-2</v>
      </c>
      <c r="M40" s="1319">
        <f t="shared" si="26"/>
        <v>0.14285714285714285</v>
      </c>
      <c r="O40" s="1320">
        <f t="shared" si="27"/>
        <v>2021</v>
      </c>
      <c r="P40" s="1320">
        <v>1593</v>
      </c>
      <c r="Q40" s="1320">
        <v>428</v>
      </c>
      <c r="R40" s="1320">
        <v>142</v>
      </c>
      <c r="S40" s="1320">
        <v>286</v>
      </c>
      <c r="U40" s="1321">
        <f t="shared" si="28"/>
        <v>0.78822365165759523</v>
      </c>
      <c r="V40" s="1321">
        <f t="shared" si="29"/>
        <v>0.21177634834240475</v>
      </c>
      <c r="W40" s="1321">
        <f t="shared" si="30"/>
        <v>7.0262246412666998E-2</v>
      </c>
      <c r="X40" s="1321">
        <f t="shared" si="31"/>
        <v>0.14151410192973776</v>
      </c>
    </row>
    <row r="41" spans="1:24" ht="13.5" customHeight="1" x14ac:dyDescent="0.25">
      <c r="A41" s="149" t="s">
        <v>96</v>
      </c>
      <c r="B41" s="189" t="s">
        <v>97</v>
      </c>
      <c r="C41" s="150" t="s">
        <v>266</v>
      </c>
      <c r="D41" s="243">
        <v>3659</v>
      </c>
      <c r="E41" s="243">
        <v>2914</v>
      </c>
      <c r="F41" s="243">
        <v>745</v>
      </c>
      <c r="G41" s="243">
        <v>164</v>
      </c>
      <c r="H41" s="243">
        <v>581</v>
      </c>
      <c r="I41" s="243"/>
      <c r="J41" s="1319">
        <f t="shared" si="23"/>
        <v>0.79639245695545235</v>
      </c>
      <c r="K41" s="1319">
        <f t="shared" si="24"/>
        <v>0.2036075430445477</v>
      </c>
      <c r="L41" s="1319">
        <f t="shared" si="25"/>
        <v>4.4820989341350093E-2</v>
      </c>
      <c r="M41" s="1319">
        <f t="shared" si="26"/>
        <v>0.15878655370319761</v>
      </c>
      <c r="O41" s="1320">
        <f t="shared" si="27"/>
        <v>851</v>
      </c>
      <c r="P41" s="1320">
        <v>766</v>
      </c>
      <c r="Q41" s="1320">
        <v>85</v>
      </c>
      <c r="R41" s="1320">
        <v>35</v>
      </c>
      <c r="S41" s="1320">
        <v>50</v>
      </c>
      <c r="U41" s="1321">
        <f t="shared" si="28"/>
        <v>0.90011750881316099</v>
      </c>
      <c r="V41" s="1321">
        <f t="shared" si="29"/>
        <v>9.9882491186839006E-2</v>
      </c>
      <c r="W41" s="1321">
        <f t="shared" si="30"/>
        <v>4.1128084606345476E-2</v>
      </c>
      <c r="X41" s="1321">
        <f t="shared" si="31"/>
        <v>5.8754406580493537E-2</v>
      </c>
    </row>
    <row r="42" spans="1:24" ht="13.5" customHeight="1" x14ac:dyDescent="0.25">
      <c r="A42" s="149" t="s">
        <v>98</v>
      </c>
      <c r="B42" s="189" t="s">
        <v>99</v>
      </c>
      <c r="C42" s="150" t="s">
        <v>268</v>
      </c>
      <c r="D42" s="243">
        <v>2358</v>
      </c>
      <c r="E42" s="243">
        <v>1578</v>
      </c>
      <c r="F42" s="243">
        <v>780</v>
      </c>
      <c r="G42" s="243">
        <v>233</v>
      </c>
      <c r="H42" s="243">
        <v>547</v>
      </c>
      <c r="I42" s="243"/>
      <c r="J42" s="1319">
        <f t="shared" si="23"/>
        <v>0.66921119592875322</v>
      </c>
      <c r="K42" s="1319">
        <f t="shared" si="24"/>
        <v>0.33078880407124683</v>
      </c>
      <c r="L42" s="1319">
        <f t="shared" si="25"/>
        <v>9.8812553011026288E-2</v>
      </c>
      <c r="M42" s="1319">
        <f t="shared" si="26"/>
        <v>0.23197625106022052</v>
      </c>
      <c r="O42" s="1320">
        <f t="shared" si="27"/>
        <v>739</v>
      </c>
      <c r="P42" s="1320">
        <v>489</v>
      </c>
      <c r="Q42" s="1320">
        <v>250</v>
      </c>
      <c r="R42" s="1320">
        <v>41</v>
      </c>
      <c r="S42" s="1320">
        <v>209</v>
      </c>
      <c r="U42" s="1321">
        <f t="shared" si="28"/>
        <v>0.66170500676589983</v>
      </c>
      <c r="V42" s="1321">
        <f t="shared" si="29"/>
        <v>0.33829499323410012</v>
      </c>
      <c r="W42" s="1321">
        <f t="shared" si="30"/>
        <v>5.5480378890392423E-2</v>
      </c>
      <c r="X42" s="1321">
        <f t="shared" si="31"/>
        <v>0.28281461434370769</v>
      </c>
    </row>
    <row r="43" spans="1:24" ht="13.5" customHeight="1" x14ac:dyDescent="0.25">
      <c r="A43" s="149" t="s">
        <v>100</v>
      </c>
      <c r="B43" s="189" t="s">
        <v>101</v>
      </c>
      <c r="C43" s="150" t="s">
        <v>267</v>
      </c>
      <c r="D43" s="243">
        <v>3968</v>
      </c>
      <c r="E43" s="243">
        <v>3170</v>
      </c>
      <c r="F43" s="243">
        <v>798</v>
      </c>
      <c r="G43" s="243">
        <v>128</v>
      </c>
      <c r="H43" s="243">
        <v>670</v>
      </c>
      <c r="I43" s="243"/>
      <c r="J43" s="1319">
        <f t="shared" si="23"/>
        <v>0.79889112903225812</v>
      </c>
      <c r="K43" s="1319">
        <f t="shared" si="24"/>
        <v>0.20110887096774194</v>
      </c>
      <c r="L43" s="1319">
        <f t="shared" si="25"/>
        <v>3.2258064516129031E-2</v>
      </c>
      <c r="M43" s="1319">
        <f t="shared" si="26"/>
        <v>0.16885080645161291</v>
      </c>
      <c r="O43" s="1320">
        <f t="shared" si="27"/>
        <v>1256</v>
      </c>
      <c r="P43" s="1320">
        <v>1090</v>
      </c>
      <c r="Q43" s="1320">
        <v>166</v>
      </c>
      <c r="R43" s="1320">
        <v>67</v>
      </c>
      <c r="S43" s="1320">
        <v>99</v>
      </c>
      <c r="U43" s="1321">
        <f t="shared" si="28"/>
        <v>0.86783439490445857</v>
      </c>
      <c r="V43" s="1321">
        <f t="shared" si="29"/>
        <v>0.1321656050955414</v>
      </c>
      <c r="W43" s="1321">
        <f t="shared" si="30"/>
        <v>5.3343949044585989E-2</v>
      </c>
      <c r="X43" s="1321">
        <f t="shared" si="31"/>
        <v>7.882165605095541E-2</v>
      </c>
    </row>
    <row r="44" spans="1:24" ht="13.5" customHeight="1" x14ac:dyDescent="0.25">
      <c r="A44" s="149" t="s">
        <v>102</v>
      </c>
      <c r="B44" s="189" t="s">
        <v>282</v>
      </c>
      <c r="C44" s="150" t="s">
        <v>264</v>
      </c>
      <c r="D44" s="243">
        <v>2784</v>
      </c>
      <c r="E44" s="243">
        <v>1582</v>
      </c>
      <c r="F44" s="243">
        <v>1202</v>
      </c>
      <c r="G44" s="243">
        <v>169</v>
      </c>
      <c r="H44" s="243">
        <v>1033</v>
      </c>
      <c r="I44" s="243"/>
      <c r="J44" s="1319">
        <f t="shared" si="23"/>
        <v>0.56824712643678166</v>
      </c>
      <c r="K44" s="1319">
        <f t="shared" si="24"/>
        <v>0.4317528735632184</v>
      </c>
      <c r="L44" s="1319">
        <f t="shared" si="25"/>
        <v>6.0704022988505746E-2</v>
      </c>
      <c r="M44" s="1319">
        <f t="shared" si="26"/>
        <v>0.37104885057471265</v>
      </c>
      <c r="O44" s="1320">
        <f t="shared" si="27"/>
        <v>794</v>
      </c>
      <c r="P44" s="1320">
        <v>494</v>
      </c>
      <c r="Q44" s="1320">
        <v>300</v>
      </c>
      <c r="R44" s="1320">
        <v>57</v>
      </c>
      <c r="S44" s="1320">
        <v>243</v>
      </c>
      <c r="U44" s="1321">
        <f t="shared" si="28"/>
        <v>0.62216624685138544</v>
      </c>
      <c r="V44" s="1321">
        <f t="shared" si="29"/>
        <v>0.37783375314861462</v>
      </c>
      <c r="W44" s="1321">
        <f t="shared" si="30"/>
        <v>7.1788413098236775E-2</v>
      </c>
      <c r="X44" s="1321">
        <f t="shared" si="31"/>
        <v>0.30604534005037781</v>
      </c>
    </row>
    <row r="45" spans="1:24" ht="13.5" customHeight="1" x14ac:dyDescent="0.25">
      <c r="A45" s="149" t="s">
        <v>104</v>
      </c>
      <c r="B45" s="189" t="s">
        <v>105</v>
      </c>
      <c r="C45" s="150" t="s">
        <v>265</v>
      </c>
      <c r="D45" s="243">
        <v>6590</v>
      </c>
      <c r="E45" s="243">
        <v>4255</v>
      </c>
      <c r="F45" s="243">
        <v>2335</v>
      </c>
      <c r="G45" s="243">
        <v>545</v>
      </c>
      <c r="H45" s="243">
        <v>1790</v>
      </c>
      <c r="I45" s="243"/>
      <c r="J45" s="1319">
        <f t="shared" si="23"/>
        <v>0.64567526555386945</v>
      </c>
      <c r="K45" s="1319">
        <f t="shared" si="24"/>
        <v>0.3543247344461305</v>
      </c>
      <c r="L45" s="1319">
        <f t="shared" si="25"/>
        <v>8.2701062215478002E-2</v>
      </c>
      <c r="M45" s="1319">
        <f t="shared" si="26"/>
        <v>0.27162367223065248</v>
      </c>
      <c r="O45" s="1320">
        <f t="shared" si="27"/>
        <v>1649</v>
      </c>
      <c r="P45" s="1320">
        <v>1019</v>
      </c>
      <c r="Q45" s="1320">
        <v>630</v>
      </c>
      <c r="R45" s="1320">
        <v>183</v>
      </c>
      <c r="S45" s="1320">
        <v>447</v>
      </c>
      <c r="U45" s="1321">
        <f t="shared" si="28"/>
        <v>0.61795027289266224</v>
      </c>
      <c r="V45" s="1321">
        <f t="shared" si="29"/>
        <v>0.38204972710733776</v>
      </c>
      <c r="W45" s="1321">
        <f t="shared" si="30"/>
        <v>0.11097634930260764</v>
      </c>
      <c r="X45" s="1321">
        <f t="shared" si="31"/>
        <v>0.27107337780473012</v>
      </c>
    </row>
    <row r="46" spans="1:24" ht="13.5" customHeight="1" x14ac:dyDescent="0.25">
      <c r="A46" s="149" t="s">
        <v>108</v>
      </c>
      <c r="B46" s="189" t="s">
        <v>109</v>
      </c>
      <c r="C46" s="150" t="s">
        <v>266</v>
      </c>
      <c r="D46" s="243">
        <v>21539</v>
      </c>
      <c r="E46" s="243">
        <v>17705</v>
      </c>
      <c r="F46" s="243">
        <v>3834</v>
      </c>
      <c r="G46" s="243">
        <v>961</v>
      </c>
      <c r="H46" s="243">
        <v>2873</v>
      </c>
      <c r="I46" s="243"/>
      <c r="J46" s="1319">
        <f t="shared" si="23"/>
        <v>0.82199730721017694</v>
      </c>
      <c r="K46" s="1319">
        <f t="shared" si="24"/>
        <v>0.17800269278982311</v>
      </c>
      <c r="L46" s="1319">
        <f t="shared" si="25"/>
        <v>4.4616741724314034E-2</v>
      </c>
      <c r="M46" s="1319">
        <f t="shared" si="26"/>
        <v>0.13338595106550907</v>
      </c>
      <c r="O46" s="1320">
        <f t="shared" si="27"/>
        <v>5150</v>
      </c>
      <c r="P46" s="1320">
        <v>4266</v>
      </c>
      <c r="Q46" s="1320">
        <v>884</v>
      </c>
      <c r="R46" s="1320">
        <v>197</v>
      </c>
      <c r="S46" s="1320">
        <v>687</v>
      </c>
      <c r="U46" s="1321">
        <f t="shared" si="28"/>
        <v>0.82834951456310679</v>
      </c>
      <c r="V46" s="1321">
        <f t="shared" si="29"/>
        <v>0.17165048543689321</v>
      </c>
      <c r="W46" s="1321">
        <f t="shared" si="30"/>
        <v>3.8252427184466017E-2</v>
      </c>
      <c r="X46" s="1321">
        <f t="shared" si="31"/>
        <v>0.13339805825242718</v>
      </c>
    </row>
    <row r="47" spans="1:24" ht="13.5" customHeight="1" x14ac:dyDescent="0.25">
      <c r="A47" s="149" t="s">
        <v>110</v>
      </c>
      <c r="B47" s="189" t="s">
        <v>111</v>
      </c>
      <c r="C47" s="150" t="s">
        <v>266</v>
      </c>
      <c r="D47" s="243">
        <v>68034</v>
      </c>
      <c r="E47" s="243">
        <v>45839</v>
      </c>
      <c r="F47" s="243">
        <v>22195</v>
      </c>
      <c r="G47" s="243">
        <v>3700</v>
      </c>
      <c r="H47" s="243">
        <v>18495</v>
      </c>
      <c r="I47" s="243"/>
      <c r="J47" s="1319">
        <f t="shared" si="23"/>
        <v>0.67376605814739687</v>
      </c>
      <c r="K47" s="1319">
        <f t="shared" si="24"/>
        <v>0.32623394185260313</v>
      </c>
      <c r="L47" s="1319">
        <f t="shared" si="25"/>
        <v>5.4384572419672518E-2</v>
      </c>
      <c r="M47" s="1319">
        <f t="shared" si="26"/>
        <v>0.27184936943293059</v>
      </c>
      <c r="O47" s="1320">
        <f t="shared" si="27"/>
        <v>21749</v>
      </c>
      <c r="P47" s="1320">
        <v>14979</v>
      </c>
      <c r="Q47" s="1320">
        <v>6770</v>
      </c>
      <c r="R47" s="1320">
        <v>1401</v>
      </c>
      <c r="S47" s="1320">
        <v>5369</v>
      </c>
      <c r="U47" s="1321">
        <f t="shared" si="28"/>
        <v>0.68872132052048374</v>
      </c>
      <c r="V47" s="1321">
        <f t="shared" si="29"/>
        <v>0.31127867947951632</v>
      </c>
      <c r="W47" s="1321">
        <f t="shared" si="30"/>
        <v>6.441675479332383E-2</v>
      </c>
      <c r="X47" s="1321">
        <f t="shared" si="31"/>
        <v>0.24686192468619247</v>
      </c>
    </row>
    <row r="48" spans="1:24" ht="13.5" customHeight="1" x14ac:dyDescent="0.25">
      <c r="A48" s="149" t="s">
        <v>112</v>
      </c>
      <c r="B48" s="189" t="s">
        <v>300</v>
      </c>
      <c r="C48" s="150" t="s">
        <v>265</v>
      </c>
      <c r="D48" s="243">
        <v>11775</v>
      </c>
      <c r="E48" s="243">
        <v>7158</v>
      </c>
      <c r="F48" s="243">
        <v>4617</v>
      </c>
      <c r="G48" s="243">
        <v>796</v>
      </c>
      <c r="H48" s="243">
        <v>3821</v>
      </c>
      <c r="I48" s="243"/>
      <c r="J48" s="1319">
        <f t="shared" si="23"/>
        <v>0.60789808917197452</v>
      </c>
      <c r="K48" s="1319">
        <f t="shared" si="24"/>
        <v>0.39210191082802548</v>
      </c>
      <c r="L48" s="1319">
        <f t="shared" si="25"/>
        <v>6.7600849256900214E-2</v>
      </c>
      <c r="M48" s="1319">
        <f t="shared" si="26"/>
        <v>0.32450106157112524</v>
      </c>
      <c r="O48" s="1320">
        <f t="shared" si="27"/>
        <v>3882</v>
      </c>
      <c r="P48" s="1320">
        <v>2432</v>
      </c>
      <c r="Q48" s="1320">
        <v>1450</v>
      </c>
      <c r="R48" s="1320">
        <v>194</v>
      </c>
      <c r="S48" s="1320">
        <v>1256</v>
      </c>
      <c r="U48" s="1321">
        <f t="shared" si="28"/>
        <v>0.62648119526017521</v>
      </c>
      <c r="V48" s="1321">
        <f t="shared" si="29"/>
        <v>0.37351880473982485</v>
      </c>
      <c r="W48" s="1321">
        <f t="shared" si="30"/>
        <v>4.9974240082431738E-2</v>
      </c>
      <c r="X48" s="1321">
        <f t="shared" si="31"/>
        <v>0.32354456465739312</v>
      </c>
    </row>
    <row r="49" spans="1:24" ht="13.5" customHeight="1" x14ac:dyDescent="0.25">
      <c r="A49" s="149" t="s">
        <v>114</v>
      </c>
      <c r="B49" s="189" t="s">
        <v>115</v>
      </c>
      <c r="C49" s="150" t="s">
        <v>265</v>
      </c>
      <c r="D49" s="243">
        <v>249</v>
      </c>
      <c r="E49" s="243">
        <v>211</v>
      </c>
      <c r="F49" s="243">
        <v>38</v>
      </c>
      <c r="G49" s="243">
        <v>14</v>
      </c>
      <c r="H49" s="243">
        <v>24</v>
      </c>
      <c r="I49" s="243"/>
      <c r="J49" s="1319">
        <f t="shared" si="23"/>
        <v>0.84738955823293172</v>
      </c>
      <c r="K49" s="1319">
        <f t="shared" si="24"/>
        <v>0.15261044176706828</v>
      </c>
      <c r="L49" s="1319">
        <f t="shared" si="25"/>
        <v>5.6224899598393573E-2</v>
      </c>
      <c r="M49" s="1319">
        <f t="shared" si="26"/>
        <v>9.6385542168674704E-2</v>
      </c>
      <c r="O49" s="1320">
        <f t="shared" si="27"/>
        <v>73</v>
      </c>
      <c r="P49" s="1320">
        <v>56</v>
      </c>
      <c r="Q49" s="1320">
        <v>17</v>
      </c>
      <c r="R49" s="1320">
        <v>0</v>
      </c>
      <c r="S49" s="1320">
        <v>17</v>
      </c>
      <c r="U49" s="1321">
        <f t="shared" si="28"/>
        <v>0.76712328767123283</v>
      </c>
      <c r="V49" s="1321">
        <f t="shared" si="29"/>
        <v>0.23287671232876711</v>
      </c>
      <c r="W49" s="1321">
        <f t="shared" si="30"/>
        <v>0</v>
      </c>
      <c r="X49" s="1321">
        <f t="shared" si="31"/>
        <v>0.23287671232876711</v>
      </c>
    </row>
    <row r="50" spans="1:24" ht="13.5" customHeight="1" x14ac:dyDescent="0.25">
      <c r="A50" s="149" t="s">
        <v>118</v>
      </c>
      <c r="B50" s="189" t="s">
        <v>270</v>
      </c>
      <c r="C50" s="150" t="s">
        <v>264</v>
      </c>
      <c r="D50" s="243">
        <v>6847</v>
      </c>
      <c r="E50" s="243">
        <v>5078</v>
      </c>
      <c r="F50" s="243">
        <v>1769</v>
      </c>
      <c r="G50" s="243">
        <v>365</v>
      </c>
      <c r="H50" s="243">
        <v>1404</v>
      </c>
      <c r="I50" s="243"/>
      <c r="J50" s="1319">
        <f t="shared" si="23"/>
        <v>0.74163867387176863</v>
      </c>
      <c r="K50" s="1319">
        <f t="shared" si="24"/>
        <v>0.25836132612823132</v>
      </c>
      <c r="L50" s="1319">
        <f t="shared" si="25"/>
        <v>5.3308018110121223E-2</v>
      </c>
      <c r="M50" s="1319">
        <f t="shared" si="26"/>
        <v>0.20505330801811011</v>
      </c>
      <c r="O50" s="1320">
        <f t="shared" si="27"/>
        <v>1877</v>
      </c>
      <c r="P50" s="1320">
        <v>1415</v>
      </c>
      <c r="Q50" s="1320">
        <v>462</v>
      </c>
      <c r="R50" s="1320">
        <v>112</v>
      </c>
      <c r="S50" s="1320">
        <v>350</v>
      </c>
      <c r="U50" s="1321">
        <f t="shared" si="28"/>
        <v>0.75386254661694196</v>
      </c>
      <c r="V50" s="1321">
        <f t="shared" si="29"/>
        <v>0.24613745338305806</v>
      </c>
      <c r="W50" s="1321">
        <f t="shared" si="30"/>
        <v>5.9669685668620139E-2</v>
      </c>
      <c r="X50" s="1321">
        <f t="shared" si="31"/>
        <v>0.18646776771443793</v>
      </c>
    </row>
    <row r="51" spans="1:24" ht="13.5" customHeight="1" x14ac:dyDescent="0.25">
      <c r="A51" s="149" t="s">
        <v>120</v>
      </c>
      <c r="B51" s="189" t="s">
        <v>121</v>
      </c>
      <c r="C51" s="150" t="s">
        <v>264</v>
      </c>
      <c r="D51" s="243">
        <v>13419</v>
      </c>
      <c r="E51" s="243">
        <v>10102</v>
      </c>
      <c r="F51" s="243">
        <v>3317</v>
      </c>
      <c r="G51" s="243">
        <v>647</v>
      </c>
      <c r="H51" s="243">
        <v>2670</v>
      </c>
      <c r="I51" s="243"/>
      <c r="J51" s="1319">
        <f t="shared" si="23"/>
        <v>0.75281317534838665</v>
      </c>
      <c r="K51" s="1319">
        <f t="shared" si="24"/>
        <v>0.24718682465161337</v>
      </c>
      <c r="L51" s="1319">
        <f t="shared" si="25"/>
        <v>4.8215217229301735E-2</v>
      </c>
      <c r="M51" s="1319">
        <f t="shared" si="26"/>
        <v>0.19897160742231165</v>
      </c>
      <c r="O51" s="1320">
        <f t="shared" si="27"/>
        <v>3779</v>
      </c>
      <c r="P51" s="1320">
        <v>2826</v>
      </c>
      <c r="Q51" s="1320">
        <v>953</v>
      </c>
      <c r="R51" s="1320">
        <v>312</v>
      </c>
      <c r="S51" s="1320">
        <v>641</v>
      </c>
      <c r="U51" s="1321">
        <f t="shared" si="28"/>
        <v>0.74781688277322045</v>
      </c>
      <c r="V51" s="1321">
        <f t="shared" si="29"/>
        <v>0.25218311722677955</v>
      </c>
      <c r="W51" s="1321">
        <f t="shared" si="30"/>
        <v>8.25615242127547E-2</v>
      </c>
      <c r="X51" s="1321">
        <f t="shared" si="31"/>
        <v>0.16962159301402488</v>
      </c>
    </row>
    <row r="52" spans="1:24" ht="13.5" customHeight="1" x14ac:dyDescent="0.25">
      <c r="A52" s="149" t="s">
        <v>122</v>
      </c>
      <c r="B52" s="189" t="s">
        <v>271</v>
      </c>
      <c r="C52" s="150" t="s">
        <v>266</v>
      </c>
      <c r="D52" s="243">
        <v>1164</v>
      </c>
      <c r="E52" s="243">
        <v>696</v>
      </c>
      <c r="F52" s="243">
        <v>468</v>
      </c>
      <c r="G52" s="243">
        <v>0</v>
      </c>
      <c r="H52" s="243">
        <v>468</v>
      </c>
      <c r="I52" s="243"/>
      <c r="J52" s="1319">
        <f t="shared" si="23"/>
        <v>0.59793814432989689</v>
      </c>
      <c r="K52" s="1319">
        <f t="shared" si="24"/>
        <v>0.40206185567010311</v>
      </c>
      <c r="L52" s="1319">
        <f t="shared" si="25"/>
        <v>0</v>
      </c>
      <c r="M52" s="1319">
        <f t="shared" si="26"/>
        <v>0.40206185567010311</v>
      </c>
      <c r="O52" s="1320">
        <f t="shared" si="27"/>
        <v>334</v>
      </c>
      <c r="P52" s="1320">
        <v>274</v>
      </c>
      <c r="Q52" s="1320">
        <v>60</v>
      </c>
      <c r="R52" s="1320">
        <v>0</v>
      </c>
      <c r="S52" s="1320">
        <v>60</v>
      </c>
      <c r="U52" s="1321">
        <f t="shared" si="28"/>
        <v>0.82035928143712578</v>
      </c>
      <c r="V52" s="1321">
        <f t="shared" si="29"/>
        <v>0.17964071856287425</v>
      </c>
      <c r="W52" s="1321">
        <f t="shared" si="30"/>
        <v>0</v>
      </c>
      <c r="X52" s="1321">
        <f t="shared" si="31"/>
        <v>0.17964071856287425</v>
      </c>
    </row>
    <row r="53" spans="1:24" ht="13.5" customHeight="1" x14ac:dyDescent="0.25">
      <c r="A53" s="149" t="s">
        <v>124</v>
      </c>
      <c r="B53" s="189" t="s">
        <v>125</v>
      </c>
      <c r="C53" s="150" t="s">
        <v>267</v>
      </c>
      <c r="D53" s="243">
        <v>6006</v>
      </c>
      <c r="E53" s="243">
        <v>4811</v>
      </c>
      <c r="F53" s="243">
        <v>1195</v>
      </c>
      <c r="G53" s="243">
        <v>521</v>
      </c>
      <c r="H53" s="243">
        <v>674</v>
      </c>
      <c r="I53" s="243"/>
      <c r="J53" s="1319">
        <f t="shared" si="23"/>
        <v>0.80103230103230105</v>
      </c>
      <c r="K53" s="1319">
        <f t="shared" si="24"/>
        <v>0.19896769896769897</v>
      </c>
      <c r="L53" s="1319">
        <f t="shared" si="25"/>
        <v>8.6746586746586751E-2</v>
      </c>
      <c r="M53" s="1319">
        <f t="shared" si="26"/>
        <v>0.11222111222111222</v>
      </c>
      <c r="O53" s="1320">
        <f t="shared" si="27"/>
        <v>1856</v>
      </c>
      <c r="P53" s="1320">
        <v>1504</v>
      </c>
      <c r="Q53" s="1320">
        <v>352</v>
      </c>
      <c r="R53" s="1320">
        <v>143</v>
      </c>
      <c r="S53" s="1320">
        <v>209</v>
      </c>
      <c r="U53" s="1321">
        <f t="shared" si="28"/>
        <v>0.81034482758620685</v>
      </c>
      <c r="V53" s="1321">
        <f t="shared" si="29"/>
        <v>0.18965517241379309</v>
      </c>
      <c r="W53" s="1321">
        <f t="shared" si="30"/>
        <v>7.7047413793103453E-2</v>
      </c>
      <c r="X53" s="1321">
        <f t="shared" si="31"/>
        <v>0.11260775862068965</v>
      </c>
    </row>
    <row r="54" spans="1:24" ht="13.5" customHeight="1" x14ac:dyDescent="0.25">
      <c r="A54" s="149" t="s">
        <v>126</v>
      </c>
      <c r="B54" s="189" t="s">
        <v>127</v>
      </c>
      <c r="C54" s="150" t="s">
        <v>266</v>
      </c>
      <c r="D54" s="243">
        <v>3355</v>
      </c>
      <c r="E54" s="243">
        <v>2434</v>
      </c>
      <c r="F54" s="243">
        <v>921</v>
      </c>
      <c r="G54" s="243">
        <v>326</v>
      </c>
      <c r="H54" s="243">
        <v>595</v>
      </c>
      <c r="I54" s="243"/>
      <c r="J54" s="1319">
        <f t="shared" si="23"/>
        <v>0.72548435171385994</v>
      </c>
      <c r="K54" s="1319">
        <f t="shared" si="24"/>
        <v>0.27451564828614011</v>
      </c>
      <c r="L54" s="1319">
        <f t="shared" si="25"/>
        <v>9.7168405365126678E-2</v>
      </c>
      <c r="M54" s="1319">
        <f t="shared" si="26"/>
        <v>0.17734724292101342</v>
      </c>
      <c r="O54" s="1320">
        <f t="shared" si="27"/>
        <v>944</v>
      </c>
      <c r="P54" s="1320">
        <v>718</v>
      </c>
      <c r="Q54" s="1320">
        <v>226</v>
      </c>
      <c r="R54" s="1320">
        <v>106</v>
      </c>
      <c r="S54" s="1320">
        <v>120</v>
      </c>
      <c r="U54" s="1321">
        <f t="shared" si="28"/>
        <v>0.76059322033898302</v>
      </c>
      <c r="V54" s="1321">
        <f t="shared" si="29"/>
        <v>0.23940677966101695</v>
      </c>
      <c r="W54" s="1321">
        <f t="shared" si="30"/>
        <v>0.11228813559322035</v>
      </c>
      <c r="X54" s="1321">
        <f t="shared" si="31"/>
        <v>0.1271186440677966</v>
      </c>
    </row>
    <row r="55" spans="1:24" ht="13.5" customHeight="1" x14ac:dyDescent="0.25">
      <c r="A55" s="149" t="s">
        <v>128</v>
      </c>
      <c r="B55" s="189" t="s">
        <v>129</v>
      </c>
      <c r="C55" s="150" t="s">
        <v>266</v>
      </c>
      <c r="D55" s="243">
        <v>1478</v>
      </c>
      <c r="E55" s="243">
        <v>735</v>
      </c>
      <c r="F55" s="243">
        <v>743</v>
      </c>
      <c r="G55" s="243">
        <v>200</v>
      </c>
      <c r="H55" s="243">
        <v>543</v>
      </c>
      <c r="I55" s="243"/>
      <c r="J55" s="1319">
        <f t="shared" si="23"/>
        <v>0.49729364005412718</v>
      </c>
      <c r="K55" s="1319">
        <f t="shared" si="24"/>
        <v>0.50270635994587276</v>
      </c>
      <c r="L55" s="1319">
        <f t="shared" si="25"/>
        <v>0.13531799729364005</v>
      </c>
      <c r="M55" s="1319">
        <f t="shared" si="26"/>
        <v>0.36738836265223274</v>
      </c>
      <c r="O55" s="1320">
        <f t="shared" si="27"/>
        <v>356</v>
      </c>
      <c r="P55" s="1320">
        <v>104</v>
      </c>
      <c r="Q55" s="1320">
        <v>252</v>
      </c>
      <c r="R55" s="1320">
        <v>40</v>
      </c>
      <c r="S55" s="1320">
        <v>212</v>
      </c>
      <c r="U55" s="1321">
        <f t="shared" si="28"/>
        <v>0.29213483146067415</v>
      </c>
      <c r="V55" s="1321">
        <f t="shared" si="29"/>
        <v>0.7078651685393258</v>
      </c>
      <c r="W55" s="1321">
        <f t="shared" si="30"/>
        <v>0.11235955056179775</v>
      </c>
      <c r="X55" s="1321">
        <f t="shared" si="31"/>
        <v>0.5955056179775281</v>
      </c>
    </row>
    <row r="56" spans="1:24" ht="13.5" customHeight="1" x14ac:dyDescent="0.25">
      <c r="A56" s="149" t="s">
        <v>130</v>
      </c>
      <c r="B56" s="189" t="s">
        <v>131</v>
      </c>
      <c r="C56" s="150" t="s">
        <v>268</v>
      </c>
      <c r="D56" s="243">
        <v>4186</v>
      </c>
      <c r="E56" s="243">
        <v>3069</v>
      </c>
      <c r="F56" s="243">
        <v>1117</v>
      </c>
      <c r="G56" s="243">
        <v>426</v>
      </c>
      <c r="H56" s="243">
        <v>691</v>
      </c>
      <c r="I56" s="243"/>
      <c r="J56" s="1319">
        <f t="shared" si="23"/>
        <v>0.73315814620162445</v>
      </c>
      <c r="K56" s="1319">
        <f t="shared" si="24"/>
        <v>0.26684185379837555</v>
      </c>
      <c r="L56" s="1319">
        <f t="shared" si="25"/>
        <v>0.10176779741997133</v>
      </c>
      <c r="M56" s="1319">
        <f t="shared" si="26"/>
        <v>0.16507405637840419</v>
      </c>
      <c r="O56" s="1320">
        <f t="shared" si="27"/>
        <v>1198</v>
      </c>
      <c r="P56" s="1320">
        <v>868</v>
      </c>
      <c r="Q56" s="1320">
        <v>330</v>
      </c>
      <c r="R56" s="1320">
        <v>174</v>
      </c>
      <c r="S56" s="1320">
        <v>156</v>
      </c>
      <c r="U56" s="1321">
        <f t="shared" si="28"/>
        <v>0.72454090150250416</v>
      </c>
      <c r="V56" s="1321">
        <f t="shared" si="29"/>
        <v>0.27545909849749584</v>
      </c>
      <c r="W56" s="1321">
        <f t="shared" si="30"/>
        <v>0.14524207011686144</v>
      </c>
      <c r="X56" s="1321">
        <f t="shared" si="31"/>
        <v>0.1302170283806344</v>
      </c>
    </row>
    <row r="57" spans="1:24" ht="13.5" customHeight="1" x14ac:dyDescent="0.25">
      <c r="A57" s="149" t="s">
        <v>132</v>
      </c>
      <c r="B57" s="189" t="s">
        <v>133</v>
      </c>
      <c r="C57" s="150" t="s">
        <v>267</v>
      </c>
      <c r="D57" s="243">
        <v>98114</v>
      </c>
      <c r="E57" s="243">
        <v>85683</v>
      </c>
      <c r="F57" s="243">
        <v>12431</v>
      </c>
      <c r="G57" s="243">
        <v>3236</v>
      </c>
      <c r="H57" s="243">
        <v>9195</v>
      </c>
      <c r="I57" s="243"/>
      <c r="J57" s="1319">
        <f t="shared" si="23"/>
        <v>0.87330044641947124</v>
      </c>
      <c r="K57" s="1319">
        <f t="shared" si="24"/>
        <v>0.12669955358052878</v>
      </c>
      <c r="L57" s="1319">
        <f t="shared" si="25"/>
        <v>3.2982041298897202E-2</v>
      </c>
      <c r="M57" s="1319">
        <f t="shared" si="26"/>
        <v>9.3717512281631568E-2</v>
      </c>
      <c r="O57" s="1320">
        <f t="shared" si="27"/>
        <v>31025</v>
      </c>
      <c r="P57" s="1320">
        <v>28365</v>
      </c>
      <c r="Q57" s="1320">
        <v>2660</v>
      </c>
      <c r="R57" s="1320">
        <v>711</v>
      </c>
      <c r="S57" s="1320">
        <v>1949</v>
      </c>
      <c r="U57" s="1321">
        <f t="shared" si="28"/>
        <v>0.91426269137792104</v>
      </c>
      <c r="V57" s="1321">
        <f t="shared" si="29"/>
        <v>8.573730862207897E-2</v>
      </c>
      <c r="W57" s="1321">
        <f t="shared" si="30"/>
        <v>2.2917002417405317E-2</v>
      </c>
      <c r="X57" s="1321">
        <f t="shared" si="31"/>
        <v>6.2820306204673645E-2</v>
      </c>
    </row>
    <row r="58" spans="1:24" ht="13.5" customHeight="1" x14ac:dyDescent="0.25">
      <c r="A58" s="149" t="s">
        <v>134</v>
      </c>
      <c r="B58" s="189" t="s">
        <v>135</v>
      </c>
      <c r="C58" s="150" t="s">
        <v>267</v>
      </c>
      <c r="D58" s="243">
        <v>6309</v>
      </c>
      <c r="E58" s="243">
        <v>4720</v>
      </c>
      <c r="F58" s="243">
        <v>1589</v>
      </c>
      <c r="G58" s="243">
        <v>447</v>
      </c>
      <c r="H58" s="243">
        <v>1142</v>
      </c>
      <c r="I58" s="243"/>
      <c r="J58" s="1319">
        <f t="shared" si="23"/>
        <v>0.74813758123315899</v>
      </c>
      <c r="K58" s="1319">
        <f t="shared" si="24"/>
        <v>0.25186241876684101</v>
      </c>
      <c r="L58" s="1319">
        <f t="shared" si="25"/>
        <v>7.085116500237755E-2</v>
      </c>
      <c r="M58" s="1319">
        <f t="shared" si="26"/>
        <v>0.18101125376446348</v>
      </c>
      <c r="O58" s="1320">
        <f t="shared" si="27"/>
        <v>1843</v>
      </c>
      <c r="P58" s="1320">
        <v>1365</v>
      </c>
      <c r="Q58" s="1320">
        <v>478</v>
      </c>
      <c r="R58" s="1320">
        <v>97</v>
      </c>
      <c r="S58" s="1320">
        <v>381</v>
      </c>
      <c r="U58" s="1321">
        <f t="shared" si="28"/>
        <v>0.7406402604449267</v>
      </c>
      <c r="V58" s="1321">
        <f t="shared" si="29"/>
        <v>0.25935973955507324</v>
      </c>
      <c r="W58" s="1321">
        <f t="shared" si="30"/>
        <v>5.2631578947368418E-2</v>
      </c>
      <c r="X58" s="1321">
        <f t="shared" si="31"/>
        <v>0.20672816060770483</v>
      </c>
    </row>
    <row r="59" spans="1:24" ht="13.5" customHeight="1" x14ac:dyDescent="0.25">
      <c r="A59" s="149" t="s">
        <v>136</v>
      </c>
      <c r="B59" s="189" t="s">
        <v>137</v>
      </c>
      <c r="C59" s="150" t="s">
        <v>266</v>
      </c>
      <c r="D59" s="243">
        <v>1848</v>
      </c>
      <c r="E59" s="243">
        <v>1096</v>
      </c>
      <c r="F59" s="243">
        <v>752</v>
      </c>
      <c r="G59" s="243">
        <v>245</v>
      </c>
      <c r="H59" s="243">
        <v>507</v>
      </c>
      <c r="I59" s="243"/>
      <c r="J59" s="1319">
        <f t="shared" si="23"/>
        <v>0.59307359307359309</v>
      </c>
      <c r="K59" s="1319">
        <f t="shared" si="24"/>
        <v>0.40692640692640691</v>
      </c>
      <c r="L59" s="1319">
        <f t="shared" si="25"/>
        <v>0.13257575757575757</v>
      </c>
      <c r="M59" s="1319">
        <f t="shared" si="26"/>
        <v>0.27435064935064934</v>
      </c>
      <c r="O59" s="1320">
        <f t="shared" si="27"/>
        <v>611</v>
      </c>
      <c r="P59" s="1320">
        <v>352</v>
      </c>
      <c r="Q59" s="1320">
        <v>259</v>
      </c>
      <c r="R59" s="1320">
        <v>99</v>
      </c>
      <c r="S59" s="1320">
        <v>160</v>
      </c>
      <c r="U59" s="1321">
        <f t="shared" si="28"/>
        <v>0.5761047463175123</v>
      </c>
      <c r="V59" s="1321">
        <f t="shared" si="29"/>
        <v>0.4238952536824877</v>
      </c>
      <c r="W59" s="1321">
        <f t="shared" si="30"/>
        <v>0.16202945990180032</v>
      </c>
      <c r="X59" s="1321">
        <f t="shared" si="31"/>
        <v>0.26186579378068742</v>
      </c>
    </row>
    <row r="60" spans="1:24" ht="13.5" customHeight="1" x14ac:dyDescent="0.25">
      <c r="A60" s="149" t="s">
        <v>140</v>
      </c>
      <c r="B60" s="189" t="s">
        <v>141</v>
      </c>
      <c r="C60" s="150" t="s">
        <v>267</v>
      </c>
      <c r="D60" s="243">
        <v>2526</v>
      </c>
      <c r="E60" s="243">
        <v>1778</v>
      </c>
      <c r="F60" s="243">
        <v>748</v>
      </c>
      <c r="G60" s="243">
        <v>208</v>
      </c>
      <c r="H60" s="243">
        <v>540</v>
      </c>
      <c r="I60" s="243"/>
      <c r="J60" s="1319">
        <f t="shared" si="23"/>
        <v>0.70387965162311961</v>
      </c>
      <c r="K60" s="1319">
        <f t="shared" si="24"/>
        <v>0.29612034837688045</v>
      </c>
      <c r="L60" s="1319">
        <f t="shared" si="25"/>
        <v>8.2343626286619162E-2</v>
      </c>
      <c r="M60" s="1319">
        <f t="shared" si="26"/>
        <v>0.21377672209026127</v>
      </c>
      <c r="O60" s="1320">
        <f t="shared" si="27"/>
        <v>783</v>
      </c>
      <c r="P60" s="1320">
        <v>545</v>
      </c>
      <c r="Q60" s="1320">
        <v>238</v>
      </c>
      <c r="R60" s="1320">
        <v>109</v>
      </c>
      <c r="S60" s="1320">
        <v>129</v>
      </c>
      <c r="U60" s="1321">
        <f t="shared" si="28"/>
        <v>0.69604086845466151</v>
      </c>
      <c r="V60" s="1321">
        <f t="shared" si="29"/>
        <v>0.30395913154533843</v>
      </c>
      <c r="W60" s="1321">
        <f t="shared" si="30"/>
        <v>0.1392081736909323</v>
      </c>
      <c r="X60" s="1321">
        <f t="shared" si="31"/>
        <v>0.16475095785440613</v>
      </c>
    </row>
    <row r="61" spans="1:24" ht="13.5" customHeight="1" x14ac:dyDescent="0.25">
      <c r="A61" s="149" t="s">
        <v>146</v>
      </c>
      <c r="B61" s="189" t="s">
        <v>147</v>
      </c>
      <c r="C61" s="150" t="s">
        <v>264</v>
      </c>
      <c r="D61" s="243">
        <v>1405</v>
      </c>
      <c r="E61" s="243">
        <v>1012</v>
      </c>
      <c r="F61" s="243">
        <v>393</v>
      </c>
      <c r="G61" s="243">
        <v>61</v>
      </c>
      <c r="H61" s="243">
        <v>332</v>
      </c>
      <c r="I61" s="243"/>
      <c r="J61" s="1319">
        <f t="shared" si="23"/>
        <v>0.72028469750889679</v>
      </c>
      <c r="K61" s="1319">
        <f t="shared" si="24"/>
        <v>0.27971530249110321</v>
      </c>
      <c r="L61" s="1319">
        <f t="shared" si="25"/>
        <v>4.3416370106761568E-2</v>
      </c>
      <c r="M61" s="1319">
        <f t="shared" si="26"/>
        <v>0.23629893238434163</v>
      </c>
      <c r="O61" s="1320">
        <f t="shared" si="27"/>
        <v>266</v>
      </c>
      <c r="P61" s="1320">
        <v>211</v>
      </c>
      <c r="Q61" s="1320">
        <v>55</v>
      </c>
      <c r="R61" s="1320">
        <v>0</v>
      </c>
      <c r="S61" s="1320">
        <v>55</v>
      </c>
      <c r="U61" s="1321">
        <f t="shared" si="28"/>
        <v>0.79323308270676696</v>
      </c>
      <c r="V61" s="1321">
        <f t="shared" si="29"/>
        <v>0.20676691729323307</v>
      </c>
      <c r="W61" s="1321">
        <f t="shared" si="30"/>
        <v>0</v>
      </c>
      <c r="X61" s="1321">
        <f t="shared" si="31"/>
        <v>0.20676691729323307</v>
      </c>
    </row>
    <row r="62" spans="1:24" ht="13.5" customHeight="1" x14ac:dyDescent="0.25">
      <c r="A62" s="149" t="s">
        <v>148</v>
      </c>
      <c r="B62" s="189" t="s">
        <v>149</v>
      </c>
      <c r="C62" s="150" t="s">
        <v>265</v>
      </c>
      <c r="D62" s="243">
        <v>4991</v>
      </c>
      <c r="E62" s="243">
        <v>3194</v>
      </c>
      <c r="F62" s="243">
        <v>1797</v>
      </c>
      <c r="G62" s="243">
        <v>185</v>
      </c>
      <c r="H62" s="243">
        <v>1612</v>
      </c>
      <c r="I62" s="243"/>
      <c r="J62" s="1319">
        <f t="shared" si="23"/>
        <v>0.63995191344419955</v>
      </c>
      <c r="K62" s="1319">
        <f t="shared" si="24"/>
        <v>0.36004808655580045</v>
      </c>
      <c r="L62" s="1319">
        <f t="shared" si="25"/>
        <v>3.7066720096173109E-2</v>
      </c>
      <c r="M62" s="1319">
        <f t="shared" si="26"/>
        <v>0.32298136645962733</v>
      </c>
      <c r="O62" s="1320">
        <f t="shared" si="27"/>
        <v>1182</v>
      </c>
      <c r="P62" s="1320">
        <v>720</v>
      </c>
      <c r="Q62" s="1320">
        <v>462</v>
      </c>
      <c r="R62" s="1320">
        <v>40</v>
      </c>
      <c r="S62" s="1320">
        <v>422</v>
      </c>
      <c r="U62" s="1321">
        <f t="shared" si="28"/>
        <v>0.6091370558375635</v>
      </c>
      <c r="V62" s="1321">
        <f t="shared" si="29"/>
        <v>0.39086294416243655</v>
      </c>
      <c r="W62" s="1321">
        <f t="shared" si="30"/>
        <v>3.3840947546531303E-2</v>
      </c>
      <c r="X62" s="1321">
        <f t="shared" si="31"/>
        <v>0.35702199661590522</v>
      </c>
    </row>
    <row r="63" spans="1:24" ht="13.5" customHeight="1" x14ac:dyDescent="0.25">
      <c r="A63" s="149" t="s">
        <v>150</v>
      </c>
      <c r="B63" s="189" t="s">
        <v>151</v>
      </c>
      <c r="C63" s="150" t="s">
        <v>266</v>
      </c>
      <c r="D63" s="243">
        <v>1295</v>
      </c>
      <c r="E63" s="243">
        <v>1045</v>
      </c>
      <c r="F63" s="243">
        <v>250</v>
      </c>
      <c r="G63" s="243">
        <v>44</v>
      </c>
      <c r="H63" s="243">
        <v>206</v>
      </c>
      <c r="I63" s="243"/>
      <c r="J63" s="1319">
        <f t="shared" si="23"/>
        <v>0.806949806949807</v>
      </c>
      <c r="K63" s="1319">
        <f t="shared" si="24"/>
        <v>0.19305019305019305</v>
      </c>
      <c r="L63" s="1319">
        <f t="shared" si="25"/>
        <v>3.397683397683398E-2</v>
      </c>
      <c r="M63" s="1319">
        <f t="shared" si="26"/>
        <v>0.15907335907335907</v>
      </c>
      <c r="O63" s="1320">
        <f t="shared" si="27"/>
        <v>372</v>
      </c>
      <c r="P63" s="1320">
        <v>298</v>
      </c>
      <c r="Q63" s="1320">
        <v>74</v>
      </c>
      <c r="R63" s="1320">
        <v>25</v>
      </c>
      <c r="S63" s="1320">
        <v>49</v>
      </c>
      <c r="U63" s="1321">
        <f t="shared" si="28"/>
        <v>0.80107526881720426</v>
      </c>
      <c r="V63" s="1321">
        <f t="shared" si="29"/>
        <v>0.19892473118279569</v>
      </c>
      <c r="W63" s="1321">
        <f t="shared" si="30"/>
        <v>6.7204301075268813E-2</v>
      </c>
      <c r="X63" s="1321">
        <f t="shared" si="31"/>
        <v>0.13172043010752688</v>
      </c>
    </row>
    <row r="64" spans="1:24" ht="13.5" customHeight="1" x14ac:dyDescent="0.25">
      <c r="A64" s="149" t="s">
        <v>152</v>
      </c>
      <c r="B64" s="189" t="s">
        <v>153</v>
      </c>
      <c r="C64" s="150" t="s">
        <v>268</v>
      </c>
      <c r="D64" s="243">
        <v>14343</v>
      </c>
      <c r="E64" s="243">
        <v>11089</v>
      </c>
      <c r="F64" s="243">
        <v>3254</v>
      </c>
      <c r="G64" s="243">
        <v>910</v>
      </c>
      <c r="H64" s="243">
        <v>2344</v>
      </c>
      <c r="I64" s="243"/>
      <c r="J64" s="1319">
        <f t="shared" si="23"/>
        <v>0.7731297497036882</v>
      </c>
      <c r="K64" s="1319">
        <f t="shared" si="24"/>
        <v>0.22687025029631178</v>
      </c>
      <c r="L64" s="1319">
        <f t="shared" si="25"/>
        <v>6.3445583211322598E-2</v>
      </c>
      <c r="M64" s="1319">
        <f t="shared" si="26"/>
        <v>0.16342466708498921</v>
      </c>
      <c r="O64" s="1320">
        <f t="shared" si="27"/>
        <v>4964</v>
      </c>
      <c r="P64" s="1320">
        <v>4130</v>
      </c>
      <c r="Q64" s="1320">
        <v>834</v>
      </c>
      <c r="R64" s="1320">
        <v>301</v>
      </c>
      <c r="S64" s="1320">
        <v>533</v>
      </c>
      <c r="U64" s="1321">
        <f t="shared" si="28"/>
        <v>0.83199033037872683</v>
      </c>
      <c r="V64" s="1321">
        <f t="shared" si="29"/>
        <v>0.16800966962127317</v>
      </c>
      <c r="W64" s="1321">
        <f t="shared" si="30"/>
        <v>6.0636583400483481E-2</v>
      </c>
      <c r="X64" s="1321">
        <f t="shared" si="31"/>
        <v>0.10737308622078968</v>
      </c>
    </row>
    <row r="65" spans="1:24" ht="13.5" customHeight="1" x14ac:dyDescent="0.25">
      <c r="A65" s="149" t="s">
        <v>154</v>
      </c>
      <c r="B65" s="189" t="s">
        <v>155</v>
      </c>
      <c r="C65" s="150" t="s">
        <v>265</v>
      </c>
      <c r="D65" s="243">
        <v>2222</v>
      </c>
      <c r="E65" s="243">
        <v>1293</v>
      </c>
      <c r="F65" s="243">
        <v>929</v>
      </c>
      <c r="G65" s="243">
        <v>95</v>
      </c>
      <c r="H65" s="243">
        <v>834</v>
      </c>
      <c r="I65" s="243"/>
      <c r="J65" s="1319">
        <f t="shared" si="23"/>
        <v>0.58190819081908196</v>
      </c>
      <c r="K65" s="1319">
        <f t="shared" si="24"/>
        <v>0.41809180918091809</v>
      </c>
      <c r="L65" s="1319">
        <f t="shared" si="25"/>
        <v>4.2754275427542753E-2</v>
      </c>
      <c r="M65" s="1319">
        <f t="shared" si="26"/>
        <v>0.37533753375337536</v>
      </c>
      <c r="O65" s="1320">
        <f t="shared" si="27"/>
        <v>602</v>
      </c>
      <c r="P65" s="1320">
        <v>471</v>
      </c>
      <c r="Q65" s="1320">
        <v>131</v>
      </c>
      <c r="R65" s="1320">
        <v>16</v>
      </c>
      <c r="S65" s="1320">
        <v>115</v>
      </c>
      <c r="U65" s="1321">
        <f t="shared" si="28"/>
        <v>0.78239202657807305</v>
      </c>
      <c r="V65" s="1321">
        <f t="shared" si="29"/>
        <v>0.21760797342192692</v>
      </c>
      <c r="W65" s="1321">
        <f t="shared" si="30"/>
        <v>2.6578073089700997E-2</v>
      </c>
      <c r="X65" s="1321">
        <f t="shared" si="31"/>
        <v>0.19102990033222592</v>
      </c>
    </row>
    <row r="66" spans="1:24" ht="13.5" customHeight="1" x14ac:dyDescent="0.25">
      <c r="A66" s="149" t="s">
        <v>156</v>
      </c>
      <c r="B66" s="189" t="s">
        <v>157</v>
      </c>
      <c r="C66" s="150" t="s">
        <v>266</v>
      </c>
      <c r="D66" s="243">
        <v>3871</v>
      </c>
      <c r="E66" s="243">
        <v>2936</v>
      </c>
      <c r="F66" s="243">
        <v>935</v>
      </c>
      <c r="G66" s="243">
        <v>59</v>
      </c>
      <c r="H66" s="243">
        <v>876</v>
      </c>
      <c r="I66" s="243"/>
      <c r="J66" s="1319">
        <f t="shared" si="23"/>
        <v>0.758460346163782</v>
      </c>
      <c r="K66" s="1319">
        <f t="shared" si="24"/>
        <v>0.24153965383621803</v>
      </c>
      <c r="L66" s="1319">
        <f t="shared" si="25"/>
        <v>1.5241539653836218E-2</v>
      </c>
      <c r="M66" s="1319">
        <f t="shared" si="26"/>
        <v>0.22629811418238183</v>
      </c>
      <c r="O66" s="1320">
        <f t="shared" si="27"/>
        <v>1127</v>
      </c>
      <c r="P66" s="1320">
        <v>802</v>
      </c>
      <c r="Q66" s="1320">
        <v>325</v>
      </c>
      <c r="R66" s="1320">
        <v>45</v>
      </c>
      <c r="S66" s="1320">
        <v>280</v>
      </c>
      <c r="U66" s="1321">
        <f t="shared" si="28"/>
        <v>0.71162377994676129</v>
      </c>
      <c r="V66" s="1321">
        <f t="shared" si="29"/>
        <v>0.28837622005323871</v>
      </c>
      <c r="W66" s="1321">
        <f t="shared" si="30"/>
        <v>3.992901508429459E-2</v>
      </c>
      <c r="X66" s="1321">
        <f t="shared" si="31"/>
        <v>0.2484472049689441</v>
      </c>
    </row>
    <row r="67" spans="1:24" ht="13.5" customHeight="1" x14ac:dyDescent="0.25">
      <c r="A67" s="149" t="s">
        <v>162</v>
      </c>
      <c r="B67" s="189" t="s">
        <v>163</v>
      </c>
      <c r="C67" s="150" t="s">
        <v>264</v>
      </c>
      <c r="D67" s="243">
        <v>1917</v>
      </c>
      <c r="E67" s="243">
        <v>1072</v>
      </c>
      <c r="F67" s="243">
        <v>845</v>
      </c>
      <c r="G67" s="243">
        <v>140</v>
      </c>
      <c r="H67" s="243">
        <v>705</v>
      </c>
      <c r="I67" s="243"/>
      <c r="J67" s="1319">
        <f t="shared" si="23"/>
        <v>0.55920709441836203</v>
      </c>
      <c r="K67" s="1319">
        <f t="shared" si="24"/>
        <v>0.44079290558163797</v>
      </c>
      <c r="L67" s="1319">
        <f t="shared" si="25"/>
        <v>7.3030777256129373E-2</v>
      </c>
      <c r="M67" s="1319">
        <f t="shared" si="26"/>
        <v>0.36776212832550859</v>
      </c>
      <c r="O67" s="1320">
        <f t="shared" si="27"/>
        <v>715</v>
      </c>
      <c r="P67" s="1320">
        <v>336</v>
      </c>
      <c r="Q67" s="1320">
        <v>379</v>
      </c>
      <c r="R67" s="1320">
        <v>75</v>
      </c>
      <c r="S67" s="1320">
        <v>304</v>
      </c>
      <c r="U67" s="1321">
        <f t="shared" si="28"/>
        <v>0.46993006993006992</v>
      </c>
      <c r="V67" s="1321">
        <f t="shared" si="29"/>
        <v>0.53006993006993008</v>
      </c>
      <c r="W67" s="1321">
        <f t="shared" si="30"/>
        <v>0.1048951048951049</v>
      </c>
      <c r="X67" s="1321">
        <f t="shared" si="31"/>
        <v>0.42517482517482519</v>
      </c>
    </row>
    <row r="68" spans="1:24" ht="13.5" customHeight="1" x14ac:dyDescent="0.25">
      <c r="A68" s="149" t="s">
        <v>164</v>
      </c>
      <c r="B68" s="189" t="s">
        <v>165</v>
      </c>
      <c r="C68" s="150" t="s">
        <v>266</v>
      </c>
      <c r="D68" s="243">
        <v>1300</v>
      </c>
      <c r="E68" s="243">
        <v>871</v>
      </c>
      <c r="F68" s="243">
        <v>429</v>
      </c>
      <c r="G68" s="243">
        <v>182</v>
      </c>
      <c r="H68" s="243">
        <v>247</v>
      </c>
      <c r="I68" s="243"/>
      <c r="J68" s="1319">
        <f t="shared" si="23"/>
        <v>0.67</v>
      </c>
      <c r="K68" s="1319">
        <f t="shared" si="24"/>
        <v>0.33</v>
      </c>
      <c r="L68" s="1319">
        <f t="shared" si="25"/>
        <v>0.14000000000000001</v>
      </c>
      <c r="M68" s="1319">
        <f t="shared" si="26"/>
        <v>0.19</v>
      </c>
      <c r="O68" s="1320">
        <f t="shared" si="27"/>
        <v>304</v>
      </c>
      <c r="P68" s="1320">
        <v>173</v>
      </c>
      <c r="Q68" s="1320">
        <v>131</v>
      </c>
      <c r="R68" s="1320">
        <v>0</v>
      </c>
      <c r="S68" s="1320">
        <v>131</v>
      </c>
      <c r="U68" s="1321">
        <f t="shared" si="28"/>
        <v>0.56907894736842102</v>
      </c>
      <c r="V68" s="1321">
        <f t="shared" si="29"/>
        <v>0.43092105263157893</v>
      </c>
      <c r="W68" s="1321">
        <f t="shared" si="30"/>
        <v>0</v>
      </c>
      <c r="X68" s="1321">
        <f t="shared" si="31"/>
        <v>0.43092105263157893</v>
      </c>
    </row>
    <row r="69" spans="1:24" ht="13.5" customHeight="1" x14ac:dyDescent="0.25">
      <c r="A69" s="149" t="s">
        <v>168</v>
      </c>
      <c r="B69" s="189" t="s">
        <v>169</v>
      </c>
      <c r="C69" s="150" t="s">
        <v>266</v>
      </c>
      <c r="D69" s="243">
        <v>2349</v>
      </c>
      <c r="E69" s="243">
        <v>1334</v>
      </c>
      <c r="F69" s="243">
        <v>1015</v>
      </c>
      <c r="G69" s="243">
        <v>174</v>
      </c>
      <c r="H69" s="243">
        <v>841</v>
      </c>
      <c r="I69" s="243"/>
      <c r="J69" s="1319">
        <f t="shared" ref="J69:J100" si="32">E69/D69</f>
        <v>0.5679012345679012</v>
      </c>
      <c r="K69" s="1319">
        <f t="shared" ref="K69:K100" si="33">F69/D69</f>
        <v>0.43209876543209874</v>
      </c>
      <c r="L69" s="1319">
        <f t="shared" ref="L69:L100" si="34">G69/D69</f>
        <v>7.407407407407407E-2</v>
      </c>
      <c r="M69" s="1319">
        <f t="shared" ref="M69:M100" si="35">H69/D69</f>
        <v>0.35802469135802467</v>
      </c>
      <c r="O69" s="1320">
        <f t="shared" ref="O69:O100" si="36">P69+Q69</f>
        <v>672</v>
      </c>
      <c r="P69" s="1320">
        <v>304</v>
      </c>
      <c r="Q69" s="1320">
        <v>368</v>
      </c>
      <c r="R69" s="1320">
        <v>8</v>
      </c>
      <c r="S69" s="1320">
        <v>360</v>
      </c>
      <c r="U69" s="1321">
        <f t="shared" ref="U69:U100" si="37">P69/O69</f>
        <v>0.45238095238095238</v>
      </c>
      <c r="V69" s="1321">
        <f t="shared" ref="V69:V100" si="38">Q69/O69</f>
        <v>0.54761904761904767</v>
      </c>
      <c r="W69" s="1321">
        <f t="shared" ref="W69:W100" si="39">R69/O69</f>
        <v>1.1904761904761904E-2</v>
      </c>
      <c r="X69" s="1321">
        <f t="shared" ref="X69:X100" si="40">S69/O69</f>
        <v>0.5357142857142857</v>
      </c>
    </row>
    <row r="70" spans="1:24" ht="13.5" customHeight="1" x14ac:dyDescent="0.25">
      <c r="A70" s="149" t="s">
        <v>170</v>
      </c>
      <c r="B70" s="189" t="s">
        <v>171</v>
      </c>
      <c r="C70" s="150" t="s">
        <v>267</v>
      </c>
      <c r="D70" s="243">
        <v>6866</v>
      </c>
      <c r="E70" s="243">
        <v>4764</v>
      </c>
      <c r="F70" s="243">
        <v>2102</v>
      </c>
      <c r="G70" s="243">
        <v>724</v>
      </c>
      <c r="H70" s="243">
        <v>1378</v>
      </c>
      <c r="I70" s="243"/>
      <c r="J70" s="1319">
        <f t="shared" si="32"/>
        <v>0.69385377221089428</v>
      </c>
      <c r="K70" s="1319">
        <f t="shared" si="33"/>
        <v>0.30614622778910572</v>
      </c>
      <c r="L70" s="1319">
        <f t="shared" si="34"/>
        <v>0.10544713078939703</v>
      </c>
      <c r="M70" s="1319">
        <f t="shared" si="35"/>
        <v>0.2006990969997087</v>
      </c>
      <c r="O70" s="1320">
        <f t="shared" si="36"/>
        <v>2128</v>
      </c>
      <c r="P70" s="1320">
        <v>1404</v>
      </c>
      <c r="Q70" s="1320">
        <v>724</v>
      </c>
      <c r="R70" s="1320">
        <v>263</v>
      </c>
      <c r="S70" s="1320">
        <v>461</v>
      </c>
      <c r="U70" s="1321">
        <f t="shared" si="37"/>
        <v>0.65977443609022557</v>
      </c>
      <c r="V70" s="1321">
        <f t="shared" si="38"/>
        <v>0.34022556390977443</v>
      </c>
      <c r="W70" s="1321">
        <f t="shared" si="39"/>
        <v>0.12359022556390978</v>
      </c>
      <c r="X70" s="1321">
        <f t="shared" si="40"/>
        <v>0.21663533834586465</v>
      </c>
    </row>
    <row r="71" spans="1:24" ht="13.5" customHeight="1" x14ac:dyDescent="0.25">
      <c r="A71" s="149" t="s">
        <v>172</v>
      </c>
      <c r="B71" s="189" t="s">
        <v>173</v>
      </c>
      <c r="C71" s="150" t="s">
        <v>267</v>
      </c>
      <c r="D71" s="243">
        <v>4267</v>
      </c>
      <c r="E71" s="243">
        <v>2875</v>
      </c>
      <c r="F71" s="243">
        <v>1392</v>
      </c>
      <c r="G71" s="243">
        <v>698</v>
      </c>
      <c r="H71" s="243">
        <v>694</v>
      </c>
      <c r="I71" s="243"/>
      <c r="J71" s="1319">
        <f t="shared" si="32"/>
        <v>0.67377548629013362</v>
      </c>
      <c r="K71" s="1319">
        <f t="shared" si="33"/>
        <v>0.32622451370986644</v>
      </c>
      <c r="L71" s="1319">
        <f t="shared" si="34"/>
        <v>0.16358097023670026</v>
      </c>
      <c r="M71" s="1319">
        <f t="shared" si="35"/>
        <v>0.16264354347316615</v>
      </c>
      <c r="O71" s="1320">
        <f t="shared" si="36"/>
        <v>1152</v>
      </c>
      <c r="P71" s="1320">
        <v>637</v>
      </c>
      <c r="Q71" s="1320">
        <v>515</v>
      </c>
      <c r="R71" s="1320">
        <v>184</v>
      </c>
      <c r="S71" s="1320">
        <v>331</v>
      </c>
      <c r="U71" s="1321">
        <f t="shared" si="37"/>
        <v>0.55295138888888884</v>
      </c>
      <c r="V71" s="1321">
        <f t="shared" si="38"/>
        <v>0.4470486111111111</v>
      </c>
      <c r="W71" s="1321">
        <f t="shared" si="39"/>
        <v>0.15972222222222221</v>
      </c>
      <c r="X71" s="1321">
        <f t="shared" si="40"/>
        <v>0.2873263888888889</v>
      </c>
    </row>
    <row r="72" spans="1:24" ht="13.5" customHeight="1" x14ac:dyDescent="0.25">
      <c r="A72" s="149" t="s">
        <v>174</v>
      </c>
      <c r="B72" s="189" t="s">
        <v>175</v>
      </c>
      <c r="C72" s="150" t="s">
        <v>268</v>
      </c>
      <c r="D72" s="243">
        <v>2799</v>
      </c>
      <c r="E72" s="243">
        <v>2064</v>
      </c>
      <c r="F72" s="243">
        <v>735</v>
      </c>
      <c r="G72" s="243">
        <v>121</v>
      </c>
      <c r="H72" s="243">
        <v>614</v>
      </c>
      <c r="I72" s="243"/>
      <c r="J72" s="1319">
        <f t="shared" si="32"/>
        <v>0.737406216505895</v>
      </c>
      <c r="K72" s="1319">
        <f t="shared" si="33"/>
        <v>0.26259378349410506</v>
      </c>
      <c r="L72" s="1319">
        <f t="shared" si="34"/>
        <v>4.3229724901750623E-2</v>
      </c>
      <c r="M72" s="1319">
        <f t="shared" si="35"/>
        <v>0.21936405859235442</v>
      </c>
      <c r="O72" s="1320">
        <f t="shared" si="36"/>
        <v>648</v>
      </c>
      <c r="P72" s="1320">
        <v>495</v>
      </c>
      <c r="Q72" s="1320">
        <v>153</v>
      </c>
      <c r="R72" s="1320">
        <v>25</v>
      </c>
      <c r="S72" s="1320">
        <v>128</v>
      </c>
      <c r="U72" s="1321">
        <f t="shared" si="37"/>
        <v>0.76388888888888884</v>
      </c>
      <c r="V72" s="1321">
        <f t="shared" si="38"/>
        <v>0.2361111111111111</v>
      </c>
      <c r="W72" s="1321">
        <f t="shared" si="39"/>
        <v>3.8580246913580245E-2</v>
      </c>
      <c r="X72" s="1321">
        <f t="shared" si="40"/>
        <v>0.19753086419753085</v>
      </c>
    </row>
    <row r="73" spans="1:24" ht="13.5" customHeight="1" x14ac:dyDescent="0.25">
      <c r="A73" s="149" t="s">
        <v>178</v>
      </c>
      <c r="B73" s="189" t="s">
        <v>179</v>
      </c>
      <c r="C73" s="150" t="s">
        <v>265</v>
      </c>
      <c r="D73" s="243">
        <v>10758</v>
      </c>
      <c r="E73" s="243">
        <v>7195</v>
      </c>
      <c r="F73" s="243">
        <v>3563</v>
      </c>
      <c r="G73" s="243">
        <v>598</v>
      </c>
      <c r="H73" s="243">
        <v>2965</v>
      </c>
      <c r="I73" s="243"/>
      <c r="J73" s="1319">
        <f t="shared" si="32"/>
        <v>0.66880461052240192</v>
      </c>
      <c r="K73" s="1319">
        <f t="shared" si="33"/>
        <v>0.33119538947759808</v>
      </c>
      <c r="L73" s="1319">
        <f t="shared" si="34"/>
        <v>5.5586540249116939E-2</v>
      </c>
      <c r="M73" s="1319">
        <f t="shared" si="35"/>
        <v>0.27560884922848111</v>
      </c>
      <c r="O73" s="1320">
        <f t="shared" si="36"/>
        <v>3017</v>
      </c>
      <c r="P73" s="1320">
        <v>1907</v>
      </c>
      <c r="Q73" s="1320">
        <v>1110</v>
      </c>
      <c r="R73" s="1320">
        <v>155</v>
      </c>
      <c r="S73" s="1320">
        <v>955</v>
      </c>
      <c r="U73" s="1321">
        <f t="shared" si="37"/>
        <v>0.63208485250248592</v>
      </c>
      <c r="V73" s="1321">
        <f t="shared" si="38"/>
        <v>0.36791514749751408</v>
      </c>
      <c r="W73" s="1321">
        <f t="shared" si="39"/>
        <v>5.1375538614517734E-2</v>
      </c>
      <c r="X73" s="1321">
        <f t="shared" si="40"/>
        <v>0.31653960888299637</v>
      </c>
    </row>
    <row r="74" spans="1:24" ht="13.5" customHeight="1" x14ac:dyDescent="0.25">
      <c r="A74" s="149" t="s">
        <v>182</v>
      </c>
      <c r="B74" s="189" t="s">
        <v>183</v>
      </c>
      <c r="C74" s="150" t="s">
        <v>266</v>
      </c>
      <c r="D74" s="243">
        <v>5013</v>
      </c>
      <c r="E74" s="243">
        <v>4229</v>
      </c>
      <c r="F74" s="243">
        <v>784</v>
      </c>
      <c r="G74" s="243">
        <v>160</v>
      </c>
      <c r="H74" s="243">
        <v>624</v>
      </c>
      <c r="I74" s="243"/>
      <c r="J74" s="1319">
        <f t="shared" si="32"/>
        <v>0.84360662278077003</v>
      </c>
      <c r="K74" s="1319">
        <f t="shared" si="33"/>
        <v>0.15639337721923</v>
      </c>
      <c r="L74" s="1319">
        <f t="shared" si="34"/>
        <v>3.1917015759026529E-2</v>
      </c>
      <c r="M74" s="1319">
        <f t="shared" si="35"/>
        <v>0.12447636146020347</v>
      </c>
      <c r="O74" s="1320">
        <f t="shared" si="36"/>
        <v>1305</v>
      </c>
      <c r="P74" s="1320">
        <v>1065</v>
      </c>
      <c r="Q74" s="1320">
        <v>240</v>
      </c>
      <c r="R74" s="1320">
        <v>137</v>
      </c>
      <c r="S74" s="1320">
        <v>103</v>
      </c>
      <c r="U74" s="1321">
        <f t="shared" si="37"/>
        <v>0.81609195402298851</v>
      </c>
      <c r="V74" s="1321">
        <f t="shared" si="38"/>
        <v>0.18390804597701149</v>
      </c>
      <c r="W74" s="1321">
        <f t="shared" si="39"/>
        <v>0.1049808429118774</v>
      </c>
      <c r="X74" s="1321">
        <f t="shared" si="40"/>
        <v>7.8927203065134094E-2</v>
      </c>
    </row>
    <row r="75" spans="1:24" ht="13.5" customHeight="1" x14ac:dyDescent="0.25">
      <c r="A75" s="149" t="s">
        <v>184</v>
      </c>
      <c r="B75" s="189" t="s">
        <v>185</v>
      </c>
      <c r="C75" s="150" t="s">
        <v>266</v>
      </c>
      <c r="D75" s="243">
        <v>2984</v>
      </c>
      <c r="E75" s="243">
        <v>2000</v>
      </c>
      <c r="F75" s="243">
        <v>984</v>
      </c>
      <c r="G75" s="243">
        <v>244</v>
      </c>
      <c r="H75" s="243">
        <v>740</v>
      </c>
      <c r="I75" s="243"/>
      <c r="J75" s="1319">
        <f t="shared" si="32"/>
        <v>0.67024128686327078</v>
      </c>
      <c r="K75" s="1319">
        <f t="shared" si="33"/>
        <v>0.32975871313672922</v>
      </c>
      <c r="L75" s="1319">
        <f t="shared" si="34"/>
        <v>8.1769436997319034E-2</v>
      </c>
      <c r="M75" s="1319">
        <f t="shared" si="35"/>
        <v>0.24798927613941019</v>
      </c>
      <c r="O75" s="1320">
        <f t="shared" si="36"/>
        <v>916</v>
      </c>
      <c r="P75" s="1320">
        <v>639</v>
      </c>
      <c r="Q75" s="1320">
        <v>277</v>
      </c>
      <c r="R75" s="1320">
        <v>0</v>
      </c>
      <c r="S75" s="1320">
        <v>277</v>
      </c>
      <c r="U75" s="1321">
        <f t="shared" si="37"/>
        <v>0.69759825327510916</v>
      </c>
      <c r="V75" s="1321">
        <f t="shared" si="38"/>
        <v>0.30240174672489084</v>
      </c>
      <c r="W75" s="1321">
        <f t="shared" si="39"/>
        <v>0</v>
      </c>
      <c r="X75" s="1321">
        <f t="shared" si="40"/>
        <v>0.30240174672489084</v>
      </c>
    </row>
    <row r="76" spans="1:24" ht="13.5" customHeight="1" x14ac:dyDescent="0.25">
      <c r="A76" s="149" t="s">
        <v>186</v>
      </c>
      <c r="B76" s="189" t="s">
        <v>187</v>
      </c>
      <c r="C76" s="150" t="s">
        <v>264</v>
      </c>
      <c r="D76" s="243">
        <v>7276</v>
      </c>
      <c r="E76" s="243">
        <v>5381</v>
      </c>
      <c r="F76" s="243">
        <v>1895</v>
      </c>
      <c r="G76" s="243">
        <v>534</v>
      </c>
      <c r="H76" s="243">
        <v>1361</v>
      </c>
      <c r="I76" s="243"/>
      <c r="J76" s="1319">
        <f t="shared" si="32"/>
        <v>0.73955470038482685</v>
      </c>
      <c r="K76" s="1319">
        <f t="shared" si="33"/>
        <v>0.26044529961517315</v>
      </c>
      <c r="L76" s="1319">
        <f t="shared" si="34"/>
        <v>7.3391973611874661E-2</v>
      </c>
      <c r="M76" s="1319">
        <f t="shared" si="35"/>
        <v>0.18705332600329852</v>
      </c>
      <c r="O76" s="1320">
        <f t="shared" si="36"/>
        <v>2046</v>
      </c>
      <c r="P76" s="1320">
        <v>1695</v>
      </c>
      <c r="Q76" s="1320">
        <v>351</v>
      </c>
      <c r="R76" s="1320">
        <v>95</v>
      </c>
      <c r="S76" s="1320">
        <v>256</v>
      </c>
      <c r="U76" s="1321">
        <f t="shared" si="37"/>
        <v>0.82844574780058655</v>
      </c>
      <c r="V76" s="1321">
        <f t="shared" si="38"/>
        <v>0.17155425219941348</v>
      </c>
      <c r="W76" s="1321">
        <f t="shared" si="39"/>
        <v>4.643206256109482E-2</v>
      </c>
      <c r="X76" s="1321">
        <f t="shared" si="40"/>
        <v>0.12512218963831867</v>
      </c>
    </row>
    <row r="77" spans="1:24" ht="13.5" customHeight="1" x14ac:dyDescent="0.25">
      <c r="A77" s="149" t="s">
        <v>188</v>
      </c>
      <c r="B77" s="189" t="s">
        <v>189</v>
      </c>
      <c r="C77" s="150" t="s">
        <v>267</v>
      </c>
      <c r="D77" s="243">
        <v>110133</v>
      </c>
      <c r="E77" s="243">
        <v>87614</v>
      </c>
      <c r="F77" s="243">
        <v>22519</v>
      </c>
      <c r="G77" s="243">
        <v>6268</v>
      </c>
      <c r="H77" s="243">
        <v>16251</v>
      </c>
      <c r="I77" s="243"/>
      <c r="J77" s="1319">
        <f t="shared" si="32"/>
        <v>0.79552904215811793</v>
      </c>
      <c r="K77" s="1319">
        <f t="shared" si="33"/>
        <v>0.2044709578418821</v>
      </c>
      <c r="L77" s="1319">
        <f t="shared" si="34"/>
        <v>5.6913005184640389E-2</v>
      </c>
      <c r="M77" s="1319">
        <f t="shared" si="35"/>
        <v>0.1475579526572417</v>
      </c>
      <c r="O77" s="1320">
        <f t="shared" si="36"/>
        <v>36921</v>
      </c>
      <c r="P77" s="1320">
        <v>30126</v>
      </c>
      <c r="Q77" s="1320">
        <v>6795</v>
      </c>
      <c r="R77" s="1320">
        <v>2136</v>
      </c>
      <c r="S77" s="1320">
        <v>4659</v>
      </c>
      <c r="U77" s="1321">
        <f t="shared" si="37"/>
        <v>0.81595839765986833</v>
      </c>
      <c r="V77" s="1321">
        <f t="shared" si="38"/>
        <v>0.18404160234013164</v>
      </c>
      <c r="W77" s="1321">
        <f t="shared" si="39"/>
        <v>5.7853254245551315E-2</v>
      </c>
      <c r="X77" s="1321">
        <f t="shared" si="40"/>
        <v>0.12618834809458032</v>
      </c>
    </row>
    <row r="78" spans="1:24" ht="13.5" customHeight="1" x14ac:dyDescent="0.25">
      <c r="A78" s="149" t="s">
        <v>190</v>
      </c>
      <c r="B78" s="189" t="s">
        <v>191</v>
      </c>
      <c r="C78" s="150" t="s">
        <v>268</v>
      </c>
      <c r="D78" s="243">
        <v>5366</v>
      </c>
      <c r="E78" s="243">
        <v>3555</v>
      </c>
      <c r="F78" s="243">
        <v>1811</v>
      </c>
      <c r="G78" s="243">
        <v>488</v>
      </c>
      <c r="H78" s="243">
        <v>1323</v>
      </c>
      <c r="I78" s="243"/>
      <c r="J78" s="1319">
        <f t="shared" si="32"/>
        <v>0.66250465896384647</v>
      </c>
      <c r="K78" s="1319">
        <f t="shared" si="33"/>
        <v>0.33749534103615358</v>
      </c>
      <c r="L78" s="1319">
        <f t="shared" si="34"/>
        <v>9.0942974282519573E-2</v>
      </c>
      <c r="M78" s="1319">
        <f t="shared" si="35"/>
        <v>0.24655236675363398</v>
      </c>
      <c r="O78" s="1320">
        <f t="shared" si="36"/>
        <v>1617</v>
      </c>
      <c r="P78" s="1320">
        <v>1102</v>
      </c>
      <c r="Q78" s="1320">
        <v>515</v>
      </c>
      <c r="R78" s="1320">
        <v>95</v>
      </c>
      <c r="S78" s="1320">
        <v>420</v>
      </c>
      <c r="U78" s="1321">
        <f t="shared" si="37"/>
        <v>0.68150896722325294</v>
      </c>
      <c r="V78" s="1321">
        <f t="shared" si="38"/>
        <v>0.31849103277674706</v>
      </c>
      <c r="W78" s="1321">
        <f t="shared" si="39"/>
        <v>5.8750773036487319E-2</v>
      </c>
      <c r="X78" s="1321">
        <f t="shared" si="40"/>
        <v>0.25974025974025972</v>
      </c>
    </row>
    <row r="79" spans="1:24" ht="13.5" customHeight="1" x14ac:dyDescent="0.25">
      <c r="A79" s="149" t="s">
        <v>194</v>
      </c>
      <c r="B79" s="189" t="s">
        <v>195</v>
      </c>
      <c r="C79" s="150" t="s">
        <v>267</v>
      </c>
      <c r="D79" s="243">
        <v>1238</v>
      </c>
      <c r="E79" s="243">
        <v>1050</v>
      </c>
      <c r="F79" s="243">
        <v>188</v>
      </c>
      <c r="G79" s="243">
        <v>125</v>
      </c>
      <c r="H79" s="243">
        <v>63</v>
      </c>
      <c r="I79" s="243"/>
      <c r="J79" s="1319">
        <f t="shared" si="32"/>
        <v>0.84814216478190629</v>
      </c>
      <c r="K79" s="1319">
        <f t="shared" si="33"/>
        <v>0.15185783521809371</v>
      </c>
      <c r="L79" s="1319">
        <f t="shared" si="34"/>
        <v>0.10096930533117932</v>
      </c>
      <c r="M79" s="1319">
        <f t="shared" si="35"/>
        <v>5.0888529886914377E-2</v>
      </c>
      <c r="O79" s="1320">
        <f t="shared" si="36"/>
        <v>372</v>
      </c>
      <c r="P79" s="1320">
        <v>309</v>
      </c>
      <c r="Q79" s="1320">
        <v>63</v>
      </c>
      <c r="R79" s="1320">
        <v>51</v>
      </c>
      <c r="S79" s="1320">
        <v>12</v>
      </c>
      <c r="U79" s="1321">
        <f t="shared" si="37"/>
        <v>0.83064516129032262</v>
      </c>
      <c r="V79" s="1321">
        <f t="shared" si="38"/>
        <v>0.16935483870967741</v>
      </c>
      <c r="W79" s="1321">
        <f t="shared" si="39"/>
        <v>0.13709677419354838</v>
      </c>
      <c r="X79" s="1321">
        <f t="shared" si="40"/>
        <v>3.2258064516129031E-2</v>
      </c>
    </row>
    <row r="80" spans="1:24" ht="13.5" customHeight="1" x14ac:dyDescent="0.25">
      <c r="A80" s="149" t="s">
        <v>198</v>
      </c>
      <c r="B80" s="189" t="s">
        <v>272</v>
      </c>
      <c r="C80" s="150" t="s">
        <v>266</v>
      </c>
      <c r="D80" s="243">
        <v>1240</v>
      </c>
      <c r="E80" s="243">
        <v>761</v>
      </c>
      <c r="F80" s="243">
        <v>479</v>
      </c>
      <c r="G80" s="243">
        <v>48</v>
      </c>
      <c r="H80" s="243">
        <v>431</v>
      </c>
      <c r="I80" s="243"/>
      <c r="J80" s="1319">
        <f t="shared" si="32"/>
        <v>0.61370967741935489</v>
      </c>
      <c r="K80" s="1319">
        <f t="shared" si="33"/>
        <v>0.38629032258064516</v>
      </c>
      <c r="L80" s="1319">
        <f t="shared" si="34"/>
        <v>3.870967741935484E-2</v>
      </c>
      <c r="M80" s="1319">
        <f t="shared" si="35"/>
        <v>0.34758064516129034</v>
      </c>
      <c r="O80" s="1320">
        <f t="shared" si="36"/>
        <v>320</v>
      </c>
      <c r="P80" s="1320">
        <v>232</v>
      </c>
      <c r="Q80" s="1320">
        <v>88</v>
      </c>
      <c r="R80" s="1320">
        <v>0</v>
      </c>
      <c r="S80" s="1320">
        <v>88</v>
      </c>
      <c r="U80" s="1321">
        <f t="shared" si="37"/>
        <v>0.72499999999999998</v>
      </c>
      <c r="V80" s="1321">
        <f t="shared" si="38"/>
        <v>0.27500000000000002</v>
      </c>
      <c r="W80" s="1321">
        <f t="shared" si="39"/>
        <v>0</v>
      </c>
      <c r="X80" s="1321">
        <f t="shared" si="40"/>
        <v>0.27500000000000002</v>
      </c>
    </row>
    <row r="81" spans="1:24" ht="13.5" customHeight="1" x14ac:dyDescent="0.25">
      <c r="A81" s="149" t="s">
        <v>202</v>
      </c>
      <c r="B81" s="189" t="s">
        <v>301</v>
      </c>
      <c r="C81" s="150" t="s">
        <v>265</v>
      </c>
      <c r="D81" s="243">
        <v>21378</v>
      </c>
      <c r="E81" s="243">
        <v>16311</v>
      </c>
      <c r="F81" s="243">
        <v>5067</v>
      </c>
      <c r="G81" s="243">
        <v>1497</v>
      </c>
      <c r="H81" s="243">
        <v>3570</v>
      </c>
      <c r="I81" s="243"/>
      <c r="J81" s="1319">
        <f t="shared" si="32"/>
        <v>0.76298063429694074</v>
      </c>
      <c r="K81" s="1319">
        <f t="shared" si="33"/>
        <v>0.23701936570305923</v>
      </c>
      <c r="L81" s="1319">
        <f t="shared" si="34"/>
        <v>7.0025259612685936E-2</v>
      </c>
      <c r="M81" s="1319">
        <f t="shared" si="35"/>
        <v>0.16699410609037327</v>
      </c>
      <c r="O81" s="1320">
        <f t="shared" si="36"/>
        <v>6226</v>
      </c>
      <c r="P81" s="1320">
        <v>4880</v>
      </c>
      <c r="Q81" s="1320">
        <v>1346</v>
      </c>
      <c r="R81" s="1320">
        <v>517</v>
      </c>
      <c r="S81" s="1320">
        <v>829</v>
      </c>
      <c r="U81" s="1321">
        <f t="shared" si="37"/>
        <v>0.78380982974622548</v>
      </c>
      <c r="V81" s="1321">
        <f t="shared" si="38"/>
        <v>0.21619017025377449</v>
      </c>
      <c r="W81" s="1321">
        <f t="shared" si="39"/>
        <v>8.3038869257950523E-2</v>
      </c>
      <c r="X81" s="1321">
        <f t="shared" si="40"/>
        <v>0.13315130099582395</v>
      </c>
    </row>
    <row r="82" spans="1:24" ht="13.5" customHeight="1" x14ac:dyDescent="0.25">
      <c r="A82" s="149" t="s">
        <v>204</v>
      </c>
      <c r="B82" s="189" t="s">
        <v>293</v>
      </c>
      <c r="C82" s="150" t="s">
        <v>265</v>
      </c>
      <c r="D82" s="243">
        <v>5250</v>
      </c>
      <c r="E82" s="243">
        <v>3763</v>
      </c>
      <c r="F82" s="243">
        <v>1487</v>
      </c>
      <c r="G82" s="243">
        <v>594</v>
      </c>
      <c r="H82" s="243">
        <v>893</v>
      </c>
      <c r="I82" s="243"/>
      <c r="J82" s="1319">
        <f t="shared" si="32"/>
        <v>0.71676190476190471</v>
      </c>
      <c r="K82" s="1319">
        <f t="shared" si="33"/>
        <v>0.28323809523809523</v>
      </c>
      <c r="L82" s="1319">
        <f t="shared" si="34"/>
        <v>0.11314285714285714</v>
      </c>
      <c r="M82" s="1319">
        <f t="shared" si="35"/>
        <v>0.1700952380952381</v>
      </c>
      <c r="O82" s="1320">
        <f t="shared" si="36"/>
        <v>1618</v>
      </c>
      <c r="P82" s="1320">
        <v>1300</v>
      </c>
      <c r="Q82" s="1320">
        <v>318</v>
      </c>
      <c r="R82" s="1320">
        <v>110</v>
      </c>
      <c r="S82" s="1320">
        <v>208</v>
      </c>
      <c r="U82" s="1321">
        <f t="shared" si="37"/>
        <v>0.80346106304079112</v>
      </c>
      <c r="V82" s="1321">
        <f t="shared" si="38"/>
        <v>0.1965389369592089</v>
      </c>
      <c r="W82" s="1321">
        <f t="shared" si="39"/>
        <v>6.7985166872682329E-2</v>
      </c>
      <c r="X82" s="1321">
        <f t="shared" si="40"/>
        <v>0.12855377008652658</v>
      </c>
    </row>
    <row r="83" spans="1:24" ht="13.5" customHeight="1" x14ac:dyDescent="0.25">
      <c r="A83" s="149" t="s">
        <v>206</v>
      </c>
      <c r="B83" s="189" t="s">
        <v>294</v>
      </c>
      <c r="C83" s="150" t="s">
        <v>267</v>
      </c>
      <c r="D83" s="243">
        <v>22864</v>
      </c>
      <c r="E83" s="243">
        <v>17689</v>
      </c>
      <c r="F83" s="243">
        <v>5175</v>
      </c>
      <c r="G83" s="243">
        <v>1535</v>
      </c>
      <c r="H83" s="243">
        <v>3640</v>
      </c>
      <c r="I83" s="243"/>
      <c r="J83" s="1319">
        <f t="shared" si="32"/>
        <v>0.77366165150454869</v>
      </c>
      <c r="K83" s="1319">
        <f t="shared" si="33"/>
        <v>0.22633834849545137</v>
      </c>
      <c r="L83" s="1319">
        <f t="shared" si="34"/>
        <v>6.7136109167249824E-2</v>
      </c>
      <c r="M83" s="1319">
        <f t="shared" si="35"/>
        <v>0.15920223932820154</v>
      </c>
      <c r="O83" s="1320">
        <f t="shared" si="36"/>
        <v>7053</v>
      </c>
      <c r="P83" s="1320">
        <v>5485</v>
      </c>
      <c r="Q83" s="1320">
        <v>1568</v>
      </c>
      <c r="R83" s="1320">
        <v>324</v>
      </c>
      <c r="S83" s="1320">
        <v>1244</v>
      </c>
      <c r="U83" s="1321">
        <f t="shared" si="37"/>
        <v>0.77768325535233229</v>
      </c>
      <c r="V83" s="1321">
        <f t="shared" si="38"/>
        <v>0.22231674464766765</v>
      </c>
      <c r="W83" s="1321">
        <f t="shared" si="39"/>
        <v>4.5937898766482348E-2</v>
      </c>
      <c r="X83" s="1321">
        <f t="shared" si="40"/>
        <v>0.1763788458811853</v>
      </c>
    </row>
    <row r="84" spans="1:24" ht="13.5" customHeight="1" x14ac:dyDescent="0.25">
      <c r="A84" s="149" t="s">
        <v>208</v>
      </c>
      <c r="B84" s="189" t="s">
        <v>209</v>
      </c>
      <c r="C84" s="150" t="s">
        <v>268</v>
      </c>
      <c r="D84" s="243">
        <v>4679</v>
      </c>
      <c r="E84" s="243">
        <v>3403</v>
      </c>
      <c r="F84" s="243">
        <v>1276</v>
      </c>
      <c r="G84" s="243">
        <v>476</v>
      </c>
      <c r="H84" s="243">
        <v>800</v>
      </c>
      <c r="I84" s="243"/>
      <c r="J84" s="1319">
        <f t="shared" si="32"/>
        <v>0.7272921564436845</v>
      </c>
      <c r="K84" s="1319">
        <f t="shared" si="33"/>
        <v>0.27270784355631544</v>
      </c>
      <c r="L84" s="1319">
        <f t="shared" si="34"/>
        <v>0.10173113913229323</v>
      </c>
      <c r="M84" s="1319">
        <f t="shared" si="35"/>
        <v>0.17097670442402221</v>
      </c>
      <c r="O84" s="1320">
        <f t="shared" si="36"/>
        <v>1369</v>
      </c>
      <c r="P84" s="1320">
        <v>927</v>
      </c>
      <c r="Q84" s="1320">
        <v>442</v>
      </c>
      <c r="R84" s="1320">
        <v>306</v>
      </c>
      <c r="S84" s="1320">
        <v>136</v>
      </c>
      <c r="U84" s="1321">
        <f t="shared" si="37"/>
        <v>0.67713659605551502</v>
      </c>
      <c r="V84" s="1321">
        <f t="shared" si="38"/>
        <v>0.32286340394448504</v>
      </c>
      <c r="W84" s="1321">
        <f t="shared" si="39"/>
        <v>0.22352081811541272</v>
      </c>
      <c r="X84" s="1321">
        <f t="shared" si="40"/>
        <v>9.9342585829072322E-2</v>
      </c>
    </row>
    <row r="85" spans="1:24" ht="13.5" customHeight="1" x14ac:dyDescent="0.25">
      <c r="A85" s="149" t="s">
        <v>210</v>
      </c>
      <c r="B85" s="189" t="s">
        <v>211</v>
      </c>
      <c r="C85" s="150" t="s">
        <v>268</v>
      </c>
      <c r="D85" s="243">
        <v>3408</v>
      </c>
      <c r="E85" s="243">
        <v>2641</v>
      </c>
      <c r="F85" s="243">
        <v>767</v>
      </c>
      <c r="G85" s="243">
        <v>164</v>
      </c>
      <c r="H85" s="243">
        <v>603</v>
      </c>
      <c r="I85" s="243"/>
      <c r="J85" s="1319">
        <f t="shared" si="32"/>
        <v>0.77494131455399062</v>
      </c>
      <c r="K85" s="1319">
        <f t="shared" si="33"/>
        <v>0.22505868544600938</v>
      </c>
      <c r="L85" s="1319">
        <f t="shared" si="34"/>
        <v>4.8122065727699531E-2</v>
      </c>
      <c r="M85" s="1319">
        <f t="shared" si="35"/>
        <v>0.17693661971830985</v>
      </c>
      <c r="O85" s="1320">
        <f t="shared" si="36"/>
        <v>969</v>
      </c>
      <c r="P85" s="1320">
        <v>668</v>
      </c>
      <c r="Q85" s="1320">
        <v>301</v>
      </c>
      <c r="R85" s="1320">
        <v>63</v>
      </c>
      <c r="S85" s="1320">
        <v>238</v>
      </c>
      <c r="U85" s="1321">
        <f t="shared" si="37"/>
        <v>0.68937048503611975</v>
      </c>
      <c r="V85" s="1321">
        <f t="shared" si="38"/>
        <v>0.3106295149638803</v>
      </c>
      <c r="W85" s="1321">
        <f t="shared" si="39"/>
        <v>6.5015479876160992E-2</v>
      </c>
      <c r="X85" s="1321">
        <f t="shared" si="40"/>
        <v>0.24561403508771928</v>
      </c>
    </row>
    <row r="86" spans="1:24" ht="13.5" customHeight="1" x14ac:dyDescent="0.25">
      <c r="A86" s="149" t="s">
        <v>212</v>
      </c>
      <c r="B86" s="189" t="s">
        <v>213</v>
      </c>
      <c r="C86" s="150" t="s">
        <v>267</v>
      </c>
      <c r="D86" s="243">
        <v>8004</v>
      </c>
      <c r="E86" s="243">
        <v>5749</v>
      </c>
      <c r="F86" s="243">
        <v>2255</v>
      </c>
      <c r="G86" s="243">
        <v>842</v>
      </c>
      <c r="H86" s="243">
        <v>1413</v>
      </c>
      <c r="I86" s="243"/>
      <c r="J86" s="1319">
        <f t="shared" si="32"/>
        <v>0.71826586706646678</v>
      </c>
      <c r="K86" s="1319">
        <f t="shared" si="33"/>
        <v>0.28173413293353322</v>
      </c>
      <c r="L86" s="1319">
        <f t="shared" si="34"/>
        <v>0.10519740129935032</v>
      </c>
      <c r="M86" s="1319">
        <f t="shared" si="35"/>
        <v>0.1765367316341829</v>
      </c>
      <c r="O86" s="1320">
        <f t="shared" si="36"/>
        <v>2413</v>
      </c>
      <c r="P86" s="1320">
        <v>1910</v>
      </c>
      <c r="Q86" s="1320">
        <v>503</v>
      </c>
      <c r="R86" s="1320">
        <v>207</v>
      </c>
      <c r="S86" s="1320">
        <v>296</v>
      </c>
      <c r="U86" s="1321">
        <f t="shared" si="37"/>
        <v>0.791545793617903</v>
      </c>
      <c r="V86" s="1321">
        <f t="shared" si="38"/>
        <v>0.20845420638209697</v>
      </c>
      <c r="W86" s="1321">
        <f t="shared" si="39"/>
        <v>8.5785329465395771E-2</v>
      </c>
      <c r="X86" s="1321">
        <f t="shared" si="40"/>
        <v>0.1226688769167012</v>
      </c>
    </row>
    <row r="87" spans="1:24" ht="13.5" customHeight="1" x14ac:dyDescent="0.25">
      <c r="A87" s="149" t="s">
        <v>214</v>
      </c>
      <c r="B87" s="189" t="s">
        <v>215</v>
      </c>
      <c r="C87" s="150" t="s">
        <v>268</v>
      </c>
      <c r="D87" s="243">
        <v>5335</v>
      </c>
      <c r="E87" s="243">
        <v>3521</v>
      </c>
      <c r="F87" s="243">
        <v>1814</v>
      </c>
      <c r="G87" s="243">
        <v>637</v>
      </c>
      <c r="H87" s="243">
        <v>1177</v>
      </c>
      <c r="I87" s="243"/>
      <c r="J87" s="1319">
        <f t="shared" si="32"/>
        <v>0.65998125585754452</v>
      </c>
      <c r="K87" s="1319">
        <f t="shared" si="33"/>
        <v>0.34001874414245548</v>
      </c>
      <c r="L87" s="1319">
        <f t="shared" si="34"/>
        <v>0.11940018744142455</v>
      </c>
      <c r="M87" s="1319">
        <f t="shared" si="35"/>
        <v>0.22061855670103092</v>
      </c>
      <c r="O87" s="1320">
        <f t="shared" si="36"/>
        <v>1691</v>
      </c>
      <c r="P87" s="1320">
        <v>944</v>
      </c>
      <c r="Q87" s="1320">
        <v>747</v>
      </c>
      <c r="R87" s="1320">
        <v>287</v>
      </c>
      <c r="S87" s="1320">
        <v>460</v>
      </c>
      <c r="U87" s="1321">
        <f t="shared" si="37"/>
        <v>0.55824955647545826</v>
      </c>
      <c r="V87" s="1321">
        <f t="shared" si="38"/>
        <v>0.44175044352454168</v>
      </c>
      <c r="W87" s="1321">
        <f t="shared" si="39"/>
        <v>0.16972205795387343</v>
      </c>
      <c r="X87" s="1321">
        <f t="shared" si="40"/>
        <v>0.27202838557066822</v>
      </c>
    </row>
    <row r="88" spans="1:24" ht="13.5" customHeight="1" x14ac:dyDescent="0.25">
      <c r="A88" s="149" t="s">
        <v>216</v>
      </c>
      <c r="B88" s="189" t="s">
        <v>217</v>
      </c>
      <c r="C88" s="150" t="s">
        <v>264</v>
      </c>
      <c r="D88" s="243">
        <v>3184</v>
      </c>
      <c r="E88" s="243">
        <v>1894</v>
      </c>
      <c r="F88" s="243">
        <v>1290</v>
      </c>
      <c r="G88" s="243">
        <v>207</v>
      </c>
      <c r="H88" s="243">
        <v>1083</v>
      </c>
      <c r="I88" s="243"/>
      <c r="J88" s="1319">
        <f t="shared" si="32"/>
        <v>0.59484924623115576</v>
      </c>
      <c r="K88" s="1319">
        <f t="shared" si="33"/>
        <v>0.40515075376884424</v>
      </c>
      <c r="L88" s="1319">
        <f t="shared" si="34"/>
        <v>6.5012562814070349E-2</v>
      </c>
      <c r="M88" s="1319">
        <f t="shared" si="35"/>
        <v>0.34013819095477388</v>
      </c>
      <c r="O88" s="1320">
        <f t="shared" si="36"/>
        <v>981</v>
      </c>
      <c r="P88" s="1320">
        <v>550</v>
      </c>
      <c r="Q88" s="1320">
        <v>431</v>
      </c>
      <c r="R88" s="1320">
        <v>60</v>
      </c>
      <c r="S88" s="1320">
        <v>371</v>
      </c>
      <c r="U88" s="1321">
        <f t="shared" si="37"/>
        <v>0.56065239551478085</v>
      </c>
      <c r="V88" s="1321">
        <f t="shared" si="38"/>
        <v>0.43934760448521915</v>
      </c>
      <c r="W88" s="1321">
        <f t="shared" si="39"/>
        <v>6.1162079510703363E-2</v>
      </c>
      <c r="X88" s="1321">
        <f t="shared" si="40"/>
        <v>0.3781855249745158</v>
      </c>
    </row>
    <row r="89" spans="1:24" ht="13.5" customHeight="1" x14ac:dyDescent="0.25">
      <c r="A89" s="149" t="s">
        <v>218</v>
      </c>
      <c r="B89" s="189" t="s">
        <v>219</v>
      </c>
      <c r="C89" s="150" t="s">
        <v>267</v>
      </c>
      <c r="D89" s="243">
        <v>29333</v>
      </c>
      <c r="E89" s="243">
        <v>22553</v>
      </c>
      <c r="F89" s="243">
        <v>6780</v>
      </c>
      <c r="G89" s="243">
        <v>1507</v>
      </c>
      <c r="H89" s="243">
        <v>5273</v>
      </c>
      <c r="I89" s="243"/>
      <c r="J89" s="1319">
        <f t="shared" si="32"/>
        <v>0.76886100978420213</v>
      </c>
      <c r="K89" s="1319">
        <f t="shared" si="33"/>
        <v>0.2311389902157979</v>
      </c>
      <c r="L89" s="1319">
        <f t="shared" si="34"/>
        <v>5.1375583813452426E-2</v>
      </c>
      <c r="M89" s="1319">
        <f t="shared" si="35"/>
        <v>0.17976340640234548</v>
      </c>
      <c r="O89" s="1320">
        <f t="shared" si="36"/>
        <v>8211</v>
      </c>
      <c r="P89" s="1320">
        <v>6418</v>
      </c>
      <c r="Q89" s="1320">
        <v>1793</v>
      </c>
      <c r="R89" s="1320">
        <v>507</v>
      </c>
      <c r="S89" s="1320">
        <v>1286</v>
      </c>
      <c r="U89" s="1321">
        <f t="shared" si="37"/>
        <v>0.78163439288758985</v>
      </c>
      <c r="V89" s="1321">
        <f t="shared" si="38"/>
        <v>0.21836560711241018</v>
      </c>
      <c r="W89" s="1321">
        <f t="shared" si="39"/>
        <v>6.1746437705516986E-2</v>
      </c>
      <c r="X89" s="1321">
        <f t="shared" si="40"/>
        <v>0.15661916940689319</v>
      </c>
    </row>
    <row r="90" spans="1:24" ht="13.5" customHeight="1" x14ac:dyDescent="0.25">
      <c r="A90" s="149" t="s">
        <v>220</v>
      </c>
      <c r="B90" s="189" t="s">
        <v>221</v>
      </c>
      <c r="C90" s="150" t="s">
        <v>267</v>
      </c>
      <c r="D90" s="243">
        <v>33578</v>
      </c>
      <c r="E90" s="243">
        <v>26566</v>
      </c>
      <c r="F90" s="243">
        <v>7012</v>
      </c>
      <c r="G90" s="243">
        <v>1524</v>
      </c>
      <c r="H90" s="243">
        <v>5488</v>
      </c>
      <c r="I90" s="243"/>
      <c r="J90" s="1319">
        <f t="shared" si="32"/>
        <v>0.79117279170885702</v>
      </c>
      <c r="K90" s="1319">
        <f t="shared" si="33"/>
        <v>0.20882720829114301</v>
      </c>
      <c r="L90" s="1319">
        <f t="shared" si="34"/>
        <v>4.5386860444338553E-2</v>
      </c>
      <c r="M90" s="1319">
        <f t="shared" si="35"/>
        <v>0.16344034784680445</v>
      </c>
      <c r="O90" s="1320">
        <f t="shared" si="36"/>
        <v>9206</v>
      </c>
      <c r="P90" s="1320">
        <v>7661</v>
      </c>
      <c r="Q90" s="1320">
        <v>1545</v>
      </c>
      <c r="R90" s="1320">
        <v>414</v>
      </c>
      <c r="S90" s="1320">
        <v>1131</v>
      </c>
      <c r="U90" s="1321">
        <f t="shared" si="37"/>
        <v>0.83217466869432977</v>
      </c>
      <c r="V90" s="1321">
        <f t="shared" si="38"/>
        <v>0.16782533130567021</v>
      </c>
      <c r="W90" s="1321">
        <f t="shared" si="39"/>
        <v>4.4970671301325225E-2</v>
      </c>
      <c r="X90" s="1321">
        <f t="shared" si="40"/>
        <v>0.12285466000434499</v>
      </c>
    </row>
    <row r="91" spans="1:24" ht="13.5" customHeight="1" x14ac:dyDescent="0.25">
      <c r="A91" s="149" t="s">
        <v>224</v>
      </c>
      <c r="B91" s="189" t="s">
        <v>225</v>
      </c>
      <c r="C91" s="150" t="s">
        <v>264</v>
      </c>
      <c r="D91" s="243">
        <v>967</v>
      </c>
      <c r="E91" s="243">
        <v>597</v>
      </c>
      <c r="F91" s="243">
        <v>370</v>
      </c>
      <c r="G91" s="243">
        <v>124</v>
      </c>
      <c r="H91" s="243">
        <v>246</v>
      </c>
      <c r="I91" s="243"/>
      <c r="J91" s="1319">
        <f t="shared" si="32"/>
        <v>0.61737331954498453</v>
      </c>
      <c r="K91" s="1319">
        <f t="shared" si="33"/>
        <v>0.38262668045501552</v>
      </c>
      <c r="L91" s="1319">
        <f t="shared" si="34"/>
        <v>0.1282316442605998</v>
      </c>
      <c r="M91" s="1319">
        <f t="shared" si="35"/>
        <v>0.25439503619441572</v>
      </c>
      <c r="O91" s="1320">
        <f t="shared" si="36"/>
        <v>304</v>
      </c>
      <c r="P91" s="1320">
        <v>125</v>
      </c>
      <c r="Q91" s="1320">
        <v>179</v>
      </c>
      <c r="R91" s="1320">
        <v>52</v>
      </c>
      <c r="S91" s="1320">
        <v>127</v>
      </c>
      <c r="U91" s="1321">
        <f t="shared" si="37"/>
        <v>0.41118421052631576</v>
      </c>
      <c r="V91" s="1321">
        <f t="shared" si="38"/>
        <v>0.58881578947368418</v>
      </c>
      <c r="W91" s="1321">
        <f t="shared" si="39"/>
        <v>0.17105263157894737</v>
      </c>
      <c r="X91" s="1321">
        <f t="shared" si="40"/>
        <v>0.41776315789473684</v>
      </c>
    </row>
    <row r="92" spans="1:24" ht="13.5" customHeight="1" x14ac:dyDescent="0.25">
      <c r="A92" s="149" t="s">
        <v>226</v>
      </c>
      <c r="B92" s="189" t="s">
        <v>227</v>
      </c>
      <c r="C92" s="150" t="s">
        <v>264</v>
      </c>
      <c r="D92" s="243">
        <v>1497</v>
      </c>
      <c r="E92" s="243">
        <v>793</v>
      </c>
      <c r="F92" s="243">
        <v>704</v>
      </c>
      <c r="G92" s="243">
        <v>84</v>
      </c>
      <c r="H92" s="243">
        <v>620</v>
      </c>
      <c r="I92" s="243"/>
      <c r="J92" s="1319">
        <f t="shared" si="32"/>
        <v>0.52972611890447563</v>
      </c>
      <c r="K92" s="1319">
        <f t="shared" si="33"/>
        <v>0.47027388109552437</v>
      </c>
      <c r="L92" s="1319">
        <f t="shared" si="34"/>
        <v>5.6112224448897796E-2</v>
      </c>
      <c r="M92" s="1319">
        <f t="shared" si="35"/>
        <v>0.41416165664662657</v>
      </c>
      <c r="O92" s="1320">
        <f t="shared" si="36"/>
        <v>589</v>
      </c>
      <c r="P92" s="1320">
        <v>295</v>
      </c>
      <c r="Q92" s="1320">
        <v>294</v>
      </c>
      <c r="R92" s="1320">
        <v>50</v>
      </c>
      <c r="S92" s="1320">
        <v>244</v>
      </c>
      <c r="U92" s="1321">
        <f t="shared" si="37"/>
        <v>0.50084889643463493</v>
      </c>
      <c r="V92" s="1321">
        <f t="shared" si="38"/>
        <v>0.49915110356536502</v>
      </c>
      <c r="W92" s="1321">
        <f t="shared" si="39"/>
        <v>8.4889643463497449E-2</v>
      </c>
      <c r="X92" s="1321">
        <f t="shared" si="40"/>
        <v>0.4142614601018676</v>
      </c>
    </row>
    <row r="93" spans="1:24" ht="13.5" customHeight="1" x14ac:dyDescent="0.25">
      <c r="A93" s="149" t="s">
        <v>228</v>
      </c>
      <c r="B93" s="189" t="s">
        <v>229</v>
      </c>
      <c r="C93" s="150" t="s">
        <v>268</v>
      </c>
      <c r="D93" s="243">
        <v>6999</v>
      </c>
      <c r="E93" s="243">
        <v>5462</v>
      </c>
      <c r="F93" s="243">
        <v>1537</v>
      </c>
      <c r="G93" s="243">
        <v>497</v>
      </c>
      <c r="H93" s="243">
        <v>1040</v>
      </c>
      <c r="I93" s="243"/>
      <c r="J93" s="1319">
        <f t="shared" si="32"/>
        <v>0.7803971995999428</v>
      </c>
      <c r="K93" s="1319">
        <f t="shared" si="33"/>
        <v>0.21960280040005714</v>
      </c>
      <c r="L93" s="1319">
        <f t="shared" si="34"/>
        <v>7.1010144306329473E-2</v>
      </c>
      <c r="M93" s="1319">
        <f t="shared" si="35"/>
        <v>0.14859265609372768</v>
      </c>
      <c r="O93" s="1320">
        <f t="shared" si="36"/>
        <v>2198</v>
      </c>
      <c r="P93" s="1320">
        <v>1631</v>
      </c>
      <c r="Q93" s="1320">
        <v>567</v>
      </c>
      <c r="R93" s="1320">
        <v>204</v>
      </c>
      <c r="S93" s="1320">
        <v>363</v>
      </c>
      <c r="U93" s="1321">
        <f t="shared" si="37"/>
        <v>0.7420382165605095</v>
      </c>
      <c r="V93" s="1321">
        <f t="shared" si="38"/>
        <v>0.25796178343949044</v>
      </c>
      <c r="W93" s="1321">
        <f t="shared" si="39"/>
        <v>9.2811646951774338E-2</v>
      </c>
      <c r="X93" s="1321">
        <f t="shared" si="40"/>
        <v>0.16515013648771609</v>
      </c>
    </row>
    <row r="94" spans="1:24" ht="13.5" customHeight="1" x14ac:dyDescent="0.25">
      <c r="A94" s="149" t="s">
        <v>232</v>
      </c>
      <c r="B94" s="189" t="s">
        <v>233</v>
      </c>
      <c r="C94" s="150" t="s">
        <v>267</v>
      </c>
      <c r="D94" s="243">
        <v>7824</v>
      </c>
      <c r="E94" s="243">
        <v>5777</v>
      </c>
      <c r="F94" s="243">
        <v>2047</v>
      </c>
      <c r="G94" s="243">
        <v>406</v>
      </c>
      <c r="H94" s="243">
        <v>1641</v>
      </c>
      <c r="I94" s="243"/>
      <c r="J94" s="1319">
        <f t="shared" si="32"/>
        <v>0.73836912065439675</v>
      </c>
      <c r="K94" s="1319">
        <f t="shared" si="33"/>
        <v>0.26163087934560325</v>
      </c>
      <c r="L94" s="1319">
        <f t="shared" si="34"/>
        <v>5.1891615541922294E-2</v>
      </c>
      <c r="M94" s="1319">
        <f t="shared" si="35"/>
        <v>0.20973926380368099</v>
      </c>
      <c r="O94" s="1320">
        <f t="shared" si="36"/>
        <v>2297</v>
      </c>
      <c r="P94" s="1320">
        <v>1840</v>
      </c>
      <c r="Q94" s="1320">
        <v>457</v>
      </c>
      <c r="R94" s="1320">
        <v>123</v>
      </c>
      <c r="S94" s="1320">
        <v>334</v>
      </c>
      <c r="U94" s="1321">
        <f t="shared" si="37"/>
        <v>0.80104484109708318</v>
      </c>
      <c r="V94" s="1321">
        <f t="shared" si="38"/>
        <v>0.19895515890291685</v>
      </c>
      <c r="W94" s="1321">
        <f t="shared" si="39"/>
        <v>5.3548106225511538E-2</v>
      </c>
      <c r="X94" s="1321">
        <f t="shared" si="40"/>
        <v>0.14540705267740531</v>
      </c>
    </row>
    <row r="95" spans="1:24" ht="13.5" customHeight="1" x14ac:dyDescent="0.25">
      <c r="A95" s="149" t="s">
        <v>234</v>
      </c>
      <c r="B95" s="189" t="s">
        <v>235</v>
      </c>
      <c r="C95" s="150" t="s">
        <v>268</v>
      </c>
      <c r="D95" s="243">
        <v>9126</v>
      </c>
      <c r="E95" s="243">
        <v>6653</v>
      </c>
      <c r="F95" s="243">
        <v>2473</v>
      </c>
      <c r="G95" s="243">
        <v>544</v>
      </c>
      <c r="H95" s="243">
        <v>1929</v>
      </c>
      <c r="I95" s="243"/>
      <c r="J95" s="1319">
        <f t="shared" si="32"/>
        <v>0.72901599824676744</v>
      </c>
      <c r="K95" s="1319">
        <f t="shared" si="33"/>
        <v>0.27098400175323251</v>
      </c>
      <c r="L95" s="1319">
        <f t="shared" si="34"/>
        <v>5.9609905763751921E-2</v>
      </c>
      <c r="M95" s="1319">
        <f t="shared" si="35"/>
        <v>0.21137409598948059</v>
      </c>
      <c r="O95" s="1320">
        <f t="shared" si="36"/>
        <v>2785</v>
      </c>
      <c r="P95" s="1320">
        <v>2088</v>
      </c>
      <c r="Q95" s="1320">
        <v>697</v>
      </c>
      <c r="R95" s="1320">
        <v>197</v>
      </c>
      <c r="S95" s="1320">
        <v>500</v>
      </c>
      <c r="U95" s="1321">
        <f t="shared" si="37"/>
        <v>0.74973070017953325</v>
      </c>
      <c r="V95" s="1321">
        <f t="shared" si="38"/>
        <v>0.25026929982046681</v>
      </c>
      <c r="W95" s="1321">
        <f t="shared" si="39"/>
        <v>7.0736086175942556E-2</v>
      </c>
      <c r="X95" s="1321">
        <f t="shared" si="40"/>
        <v>0.17953321364452424</v>
      </c>
    </row>
    <row r="96" spans="1:24" ht="13.5" customHeight="1" x14ac:dyDescent="0.25">
      <c r="A96" s="149" t="s">
        <v>236</v>
      </c>
      <c r="B96" s="189" t="s">
        <v>237</v>
      </c>
      <c r="C96" s="150" t="s">
        <v>266</v>
      </c>
      <c r="D96" s="243">
        <v>2913</v>
      </c>
      <c r="E96" s="243">
        <v>1838</v>
      </c>
      <c r="F96" s="243">
        <v>1075</v>
      </c>
      <c r="G96" s="243">
        <v>342</v>
      </c>
      <c r="H96" s="243">
        <v>733</v>
      </c>
      <c r="I96" s="243"/>
      <c r="J96" s="1319">
        <f t="shared" si="32"/>
        <v>0.63096464126330243</v>
      </c>
      <c r="K96" s="1319">
        <f t="shared" si="33"/>
        <v>0.36903535873669757</v>
      </c>
      <c r="L96" s="1319">
        <f t="shared" si="34"/>
        <v>0.11740473738414006</v>
      </c>
      <c r="M96" s="1319">
        <f t="shared" si="35"/>
        <v>0.25163062135255748</v>
      </c>
      <c r="O96" s="1320">
        <f t="shared" si="36"/>
        <v>956</v>
      </c>
      <c r="P96" s="1320">
        <v>494</v>
      </c>
      <c r="Q96" s="1320">
        <v>462</v>
      </c>
      <c r="R96" s="1320">
        <v>112</v>
      </c>
      <c r="S96" s="1320">
        <v>350</v>
      </c>
      <c r="U96" s="1321">
        <f t="shared" si="37"/>
        <v>0.51673640167364021</v>
      </c>
      <c r="V96" s="1321">
        <f t="shared" si="38"/>
        <v>0.48326359832635984</v>
      </c>
      <c r="W96" s="1321">
        <f t="shared" si="39"/>
        <v>0.11715481171548117</v>
      </c>
      <c r="X96" s="1321">
        <f t="shared" si="40"/>
        <v>0.36610878661087864</v>
      </c>
    </row>
    <row r="97" spans="1:24" ht="13.5" customHeight="1" x14ac:dyDescent="0.25">
      <c r="A97" s="149" t="s">
        <v>242</v>
      </c>
      <c r="B97" s="189" t="s">
        <v>243</v>
      </c>
      <c r="C97" s="150" t="s">
        <v>268</v>
      </c>
      <c r="D97" s="243">
        <v>6887</v>
      </c>
      <c r="E97" s="243">
        <v>4896</v>
      </c>
      <c r="F97" s="243">
        <v>1991</v>
      </c>
      <c r="G97" s="243">
        <v>285</v>
      </c>
      <c r="H97" s="243">
        <v>1706</v>
      </c>
      <c r="I97" s="243"/>
      <c r="J97" s="1319">
        <f t="shared" si="32"/>
        <v>0.71090460287498181</v>
      </c>
      <c r="K97" s="1319">
        <f t="shared" si="33"/>
        <v>0.28909539712501814</v>
      </c>
      <c r="L97" s="1319">
        <f t="shared" si="34"/>
        <v>4.138231450559024E-2</v>
      </c>
      <c r="M97" s="1319">
        <f t="shared" si="35"/>
        <v>0.2477130826194279</v>
      </c>
      <c r="O97" s="1320">
        <f t="shared" si="36"/>
        <v>2230</v>
      </c>
      <c r="P97" s="1320">
        <v>1511</v>
      </c>
      <c r="Q97" s="1320">
        <v>719</v>
      </c>
      <c r="R97" s="1320">
        <v>87</v>
      </c>
      <c r="S97" s="1320">
        <v>632</v>
      </c>
      <c r="U97" s="1321">
        <f t="shared" si="37"/>
        <v>0.67757847533632287</v>
      </c>
      <c r="V97" s="1321">
        <f t="shared" si="38"/>
        <v>0.32242152466367713</v>
      </c>
      <c r="W97" s="1321">
        <f t="shared" si="39"/>
        <v>3.9013452914798206E-2</v>
      </c>
      <c r="X97" s="1321">
        <f t="shared" si="40"/>
        <v>0.28340807174887894</v>
      </c>
    </row>
    <row r="98" spans="1:24" ht="13.5" customHeight="1" x14ac:dyDescent="0.25">
      <c r="A98" s="149" t="s">
        <v>244</v>
      </c>
      <c r="B98" s="189" t="s">
        <v>245</v>
      </c>
      <c r="C98" s="150" t="s">
        <v>268</v>
      </c>
      <c r="D98" s="243">
        <v>5238</v>
      </c>
      <c r="E98" s="243">
        <v>3745</v>
      </c>
      <c r="F98" s="243">
        <v>1493</v>
      </c>
      <c r="G98" s="243">
        <v>463</v>
      </c>
      <c r="H98" s="243">
        <v>1030</v>
      </c>
      <c r="I98" s="243"/>
      <c r="J98" s="1319">
        <f t="shared" si="32"/>
        <v>0.71496754486445213</v>
      </c>
      <c r="K98" s="1319">
        <f t="shared" si="33"/>
        <v>0.28503245513554792</v>
      </c>
      <c r="L98" s="1319">
        <f t="shared" si="34"/>
        <v>8.8392516227567774E-2</v>
      </c>
      <c r="M98" s="1319">
        <f t="shared" si="35"/>
        <v>0.19663993890798015</v>
      </c>
      <c r="O98" s="1320">
        <f t="shared" si="36"/>
        <v>1371</v>
      </c>
      <c r="P98" s="1320">
        <v>908</v>
      </c>
      <c r="Q98" s="1320">
        <v>463</v>
      </c>
      <c r="R98" s="1320">
        <v>234</v>
      </c>
      <c r="S98" s="1320">
        <v>229</v>
      </c>
      <c r="U98" s="1321">
        <f t="shared" si="37"/>
        <v>0.66229029905178705</v>
      </c>
      <c r="V98" s="1321">
        <f t="shared" si="38"/>
        <v>0.33770970094821301</v>
      </c>
      <c r="W98" s="1321">
        <f t="shared" si="39"/>
        <v>0.17067833698030635</v>
      </c>
      <c r="X98" s="1321">
        <f t="shared" si="40"/>
        <v>0.16703136396790663</v>
      </c>
    </row>
    <row r="99" spans="1:24" ht="13.5" customHeight="1" x14ac:dyDescent="0.25">
      <c r="A99" s="149" t="s">
        <v>246</v>
      </c>
      <c r="B99" s="189" t="s">
        <v>247</v>
      </c>
      <c r="C99" s="150" t="s">
        <v>264</v>
      </c>
      <c r="D99" s="243">
        <v>17545</v>
      </c>
      <c r="E99" s="243">
        <v>14488</v>
      </c>
      <c r="F99" s="243">
        <v>3057</v>
      </c>
      <c r="G99" s="243">
        <v>702</v>
      </c>
      <c r="H99" s="243">
        <v>2355</v>
      </c>
      <c r="I99" s="243"/>
      <c r="J99" s="1319">
        <f t="shared" si="32"/>
        <v>0.82576232544884587</v>
      </c>
      <c r="K99" s="1319">
        <f t="shared" si="33"/>
        <v>0.17423767455115419</v>
      </c>
      <c r="L99" s="1319">
        <f t="shared" si="34"/>
        <v>4.0011399259048161E-2</v>
      </c>
      <c r="M99" s="1319">
        <f t="shared" si="35"/>
        <v>0.13422627529210601</v>
      </c>
      <c r="O99" s="1320">
        <f t="shared" si="36"/>
        <v>4546</v>
      </c>
      <c r="P99" s="1320">
        <v>3816</v>
      </c>
      <c r="Q99" s="1320">
        <v>730</v>
      </c>
      <c r="R99" s="1320">
        <v>171</v>
      </c>
      <c r="S99" s="1320">
        <v>559</v>
      </c>
      <c r="U99" s="1321">
        <f t="shared" si="37"/>
        <v>0.83941926968763747</v>
      </c>
      <c r="V99" s="1321">
        <f t="shared" si="38"/>
        <v>0.16058073031236253</v>
      </c>
      <c r="W99" s="1321">
        <f t="shared" si="39"/>
        <v>3.7615486141662997E-2</v>
      </c>
      <c r="X99" s="1321">
        <f t="shared" si="40"/>
        <v>0.12296524417069951</v>
      </c>
    </row>
    <row r="100" spans="1:24" ht="13.5" customHeight="1" x14ac:dyDescent="0.25">
      <c r="A100" s="149" t="s">
        <v>14</v>
      </c>
      <c r="B100" s="189" t="s">
        <v>15</v>
      </c>
      <c r="C100" s="150" t="s">
        <v>267</v>
      </c>
      <c r="D100" s="243">
        <v>24537</v>
      </c>
      <c r="E100" s="243">
        <v>16862</v>
      </c>
      <c r="F100" s="243">
        <v>7675</v>
      </c>
      <c r="G100" s="243">
        <v>1848</v>
      </c>
      <c r="H100" s="243">
        <v>5827</v>
      </c>
      <c r="I100" s="243"/>
      <c r="J100" s="1319">
        <f t="shared" si="32"/>
        <v>0.68720707502954725</v>
      </c>
      <c r="K100" s="1319">
        <f t="shared" si="33"/>
        <v>0.3127929249704528</v>
      </c>
      <c r="L100" s="1319">
        <f t="shared" si="34"/>
        <v>7.5314830663895341E-2</v>
      </c>
      <c r="M100" s="1319">
        <f t="shared" si="35"/>
        <v>0.23747809430655745</v>
      </c>
      <c r="O100" s="1320">
        <f t="shared" si="36"/>
        <v>11668</v>
      </c>
      <c r="P100" s="1320">
        <v>8746</v>
      </c>
      <c r="Q100" s="1320">
        <v>2922</v>
      </c>
      <c r="R100" s="1320">
        <v>829</v>
      </c>
      <c r="S100" s="1320">
        <v>2093</v>
      </c>
      <c r="U100" s="1321">
        <f t="shared" si="37"/>
        <v>0.74957147754542341</v>
      </c>
      <c r="V100" s="1321">
        <f t="shared" si="38"/>
        <v>0.25042852245457664</v>
      </c>
      <c r="W100" s="1321">
        <f t="shared" si="39"/>
        <v>7.1049022968803568E-2</v>
      </c>
      <c r="X100" s="1321">
        <f t="shared" si="40"/>
        <v>0.17937949948577306</v>
      </c>
    </row>
    <row r="101" spans="1:24" ht="13.5" customHeight="1" x14ac:dyDescent="0.25">
      <c r="A101" s="149" t="s">
        <v>34</v>
      </c>
      <c r="B101" s="189" t="s">
        <v>35</v>
      </c>
      <c r="C101" s="150" t="s">
        <v>268</v>
      </c>
      <c r="D101" s="243">
        <v>3295</v>
      </c>
      <c r="E101" s="243">
        <v>1612</v>
      </c>
      <c r="F101" s="243">
        <v>1683</v>
      </c>
      <c r="G101" s="243">
        <v>404</v>
      </c>
      <c r="H101" s="243">
        <v>1279</v>
      </c>
      <c r="I101" s="243"/>
      <c r="J101" s="1319">
        <f t="shared" ref="J101:J124" si="41">E101/D101</f>
        <v>0.48922610015174506</v>
      </c>
      <c r="K101" s="1319">
        <f t="shared" ref="K101:K124" si="42">F101/D101</f>
        <v>0.51077389984825494</v>
      </c>
      <c r="L101" s="1319">
        <f t="shared" ref="L101:L124" si="43">G101/D101</f>
        <v>0.12261001517450683</v>
      </c>
      <c r="M101" s="1319">
        <f t="shared" ref="M101:M124" si="44">H101/D101</f>
        <v>0.38816388467374813</v>
      </c>
      <c r="O101" s="1320">
        <f t="shared" ref="O101:O124" si="45">P101+Q101</f>
        <v>1078</v>
      </c>
      <c r="P101" s="1320">
        <v>488</v>
      </c>
      <c r="Q101" s="1320">
        <v>590</v>
      </c>
      <c r="R101" s="1320">
        <v>107</v>
      </c>
      <c r="S101" s="1320">
        <v>483</v>
      </c>
      <c r="U101" s="1321">
        <f t="shared" ref="U101:U124" si="46">P101/O101</f>
        <v>0.45269016697588127</v>
      </c>
      <c r="V101" s="1321">
        <f t="shared" ref="V101:V124" si="47">Q101/O101</f>
        <v>0.54730983302411873</v>
      </c>
      <c r="W101" s="1321">
        <f t="shared" ref="W101:W124" si="48">R101/O101</f>
        <v>9.9257884972170682E-2</v>
      </c>
      <c r="X101" s="1321">
        <f t="shared" ref="X101:X124" si="49">S101/O101</f>
        <v>0.44805194805194803</v>
      </c>
    </row>
    <row r="102" spans="1:24" ht="13.5" customHeight="1" x14ac:dyDescent="0.25">
      <c r="A102" s="149" t="s">
        <v>52</v>
      </c>
      <c r="B102" s="189" t="s">
        <v>53</v>
      </c>
      <c r="C102" s="150" t="s">
        <v>265</v>
      </c>
      <c r="D102" s="243">
        <v>6231</v>
      </c>
      <c r="E102" s="243">
        <v>3851</v>
      </c>
      <c r="F102" s="243">
        <v>2380</v>
      </c>
      <c r="G102" s="243">
        <v>494</v>
      </c>
      <c r="H102" s="243">
        <v>1886</v>
      </c>
      <c r="I102" s="243"/>
      <c r="J102" s="1319">
        <f t="shared" si="41"/>
        <v>0.61803883806772586</v>
      </c>
      <c r="K102" s="1319">
        <f t="shared" si="42"/>
        <v>0.38196116193227414</v>
      </c>
      <c r="L102" s="1319">
        <f t="shared" si="43"/>
        <v>7.9281014283421603E-2</v>
      </c>
      <c r="M102" s="1319">
        <f t="shared" si="44"/>
        <v>0.30268014764885254</v>
      </c>
      <c r="O102" s="1320">
        <f t="shared" si="45"/>
        <v>2677</v>
      </c>
      <c r="P102" s="1320">
        <v>1780</v>
      </c>
      <c r="Q102" s="1320">
        <v>897</v>
      </c>
      <c r="R102" s="1320">
        <v>284</v>
      </c>
      <c r="S102" s="1320">
        <v>613</v>
      </c>
      <c r="U102" s="1321">
        <f t="shared" si="46"/>
        <v>0.66492342174075458</v>
      </c>
      <c r="V102" s="1321">
        <f t="shared" si="47"/>
        <v>0.33507657825924542</v>
      </c>
      <c r="W102" s="1321">
        <f t="shared" si="48"/>
        <v>0.10608890549122152</v>
      </c>
      <c r="X102" s="1321">
        <f t="shared" si="49"/>
        <v>0.2289876727680239</v>
      </c>
    </row>
    <row r="103" spans="1:24" ht="13.5" customHeight="1" x14ac:dyDescent="0.25">
      <c r="A103" s="149" t="s">
        <v>54</v>
      </c>
      <c r="B103" s="189" t="s">
        <v>55</v>
      </c>
      <c r="C103" s="150" t="s">
        <v>264</v>
      </c>
      <c r="D103" s="243">
        <v>48792</v>
      </c>
      <c r="E103" s="243">
        <v>33974</v>
      </c>
      <c r="F103" s="243">
        <v>14818</v>
      </c>
      <c r="G103" s="243">
        <v>2918</v>
      </c>
      <c r="H103" s="243">
        <v>11900</v>
      </c>
      <c r="I103" s="243"/>
      <c r="J103" s="1319">
        <f t="shared" si="41"/>
        <v>0.6963026725692737</v>
      </c>
      <c r="K103" s="1319">
        <f t="shared" si="42"/>
        <v>0.30369732743072636</v>
      </c>
      <c r="L103" s="1319">
        <f t="shared" si="43"/>
        <v>5.9804886046892936E-2</v>
      </c>
      <c r="M103" s="1319">
        <f t="shared" si="44"/>
        <v>0.24389244138383342</v>
      </c>
      <c r="O103" s="1320">
        <f t="shared" si="45"/>
        <v>14159</v>
      </c>
      <c r="P103" s="1320">
        <v>9517</v>
      </c>
      <c r="Q103" s="1320">
        <v>4642</v>
      </c>
      <c r="R103" s="1320">
        <v>1246</v>
      </c>
      <c r="S103" s="1320">
        <v>3396</v>
      </c>
      <c r="U103" s="1321">
        <f t="shared" si="46"/>
        <v>0.6721519881347553</v>
      </c>
      <c r="V103" s="1321">
        <f t="shared" si="47"/>
        <v>0.3278480118652447</v>
      </c>
      <c r="W103" s="1321">
        <f t="shared" si="48"/>
        <v>8.8000565011653362E-2</v>
      </c>
      <c r="X103" s="1321">
        <f t="shared" si="49"/>
        <v>0.23984744685359136</v>
      </c>
    </row>
    <row r="104" spans="1:24" ht="13.5" customHeight="1" x14ac:dyDescent="0.25">
      <c r="A104" s="149" t="s">
        <v>66</v>
      </c>
      <c r="B104" s="189" t="s">
        <v>67</v>
      </c>
      <c r="C104" s="150" t="s">
        <v>265</v>
      </c>
      <c r="D104" s="243">
        <v>7396</v>
      </c>
      <c r="E104" s="243">
        <v>3383</v>
      </c>
      <c r="F104" s="243">
        <v>4013</v>
      </c>
      <c r="G104" s="243">
        <v>635</v>
      </c>
      <c r="H104" s="243">
        <v>3378</v>
      </c>
      <c r="I104" s="243"/>
      <c r="J104" s="1319">
        <f t="shared" si="41"/>
        <v>0.45740941049215794</v>
      </c>
      <c r="K104" s="1319">
        <f t="shared" si="42"/>
        <v>0.54259058950784211</v>
      </c>
      <c r="L104" s="1319">
        <f t="shared" si="43"/>
        <v>8.5857220118983238E-2</v>
      </c>
      <c r="M104" s="1319">
        <f t="shared" si="44"/>
        <v>0.45673336938885883</v>
      </c>
      <c r="O104" s="1320">
        <f t="shared" si="45"/>
        <v>2482</v>
      </c>
      <c r="P104" s="1320">
        <v>1150</v>
      </c>
      <c r="Q104" s="1320">
        <v>1332</v>
      </c>
      <c r="R104" s="1320">
        <v>286</v>
      </c>
      <c r="S104" s="1320">
        <v>1046</v>
      </c>
      <c r="U104" s="1321">
        <f t="shared" si="46"/>
        <v>0.46333601933924257</v>
      </c>
      <c r="V104" s="1321">
        <f t="shared" si="47"/>
        <v>0.53666398066075749</v>
      </c>
      <c r="W104" s="1321">
        <f t="shared" si="48"/>
        <v>0.11522965350523771</v>
      </c>
      <c r="X104" s="1321">
        <f t="shared" si="49"/>
        <v>0.42143432715551976</v>
      </c>
    </row>
    <row r="105" spans="1:24" ht="13.5" customHeight="1" x14ac:dyDescent="0.25">
      <c r="A105" s="149" t="s">
        <v>82</v>
      </c>
      <c r="B105" s="189" t="s">
        <v>83</v>
      </c>
      <c r="C105" s="150" t="s">
        <v>264</v>
      </c>
      <c r="D105" s="243">
        <v>1620</v>
      </c>
      <c r="E105" s="243">
        <v>783</v>
      </c>
      <c r="F105" s="243">
        <v>837</v>
      </c>
      <c r="G105" s="243">
        <v>0</v>
      </c>
      <c r="H105" s="243">
        <v>837</v>
      </c>
      <c r="I105" s="243"/>
      <c r="J105" s="1319">
        <f t="shared" si="41"/>
        <v>0.48333333333333334</v>
      </c>
      <c r="K105" s="1319">
        <f t="shared" si="42"/>
        <v>0.51666666666666672</v>
      </c>
      <c r="L105" s="1319">
        <f t="shared" si="43"/>
        <v>0</v>
      </c>
      <c r="M105" s="1319">
        <f t="shared" si="44"/>
        <v>0.51666666666666672</v>
      </c>
      <c r="O105" s="1320">
        <f t="shared" si="45"/>
        <v>554</v>
      </c>
      <c r="P105" s="1320">
        <v>254</v>
      </c>
      <c r="Q105" s="1320">
        <v>300</v>
      </c>
      <c r="R105" s="1320">
        <v>0</v>
      </c>
      <c r="S105" s="1320">
        <v>300</v>
      </c>
      <c r="U105" s="1321">
        <f t="shared" si="46"/>
        <v>0.4584837545126354</v>
      </c>
      <c r="V105" s="1321">
        <f t="shared" si="47"/>
        <v>0.54151624548736466</v>
      </c>
      <c r="W105" s="1321">
        <f t="shared" si="48"/>
        <v>0</v>
      </c>
      <c r="X105" s="1321">
        <f t="shared" si="49"/>
        <v>0.54151624548736466</v>
      </c>
    </row>
    <row r="106" spans="1:24" ht="13.5" customHeight="1" x14ac:dyDescent="0.25">
      <c r="A106" s="149" t="s">
        <v>88</v>
      </c>
      <c r="B106" s="189" t="s">
        <v>89</v>
      </c>
      <c r="C106" s="150" t="s">
        <v>267</v>
      </c>
      <c r="D106" s="243">
        <v>5146</v>
      </c>
      <c r="E106" s="243">
        <v>2639</v>
      </c>
      <c r="F106" s="243">
        <v>2507</v>
      </c>
      <c r="G106" s="243">
        <v>106</v>
      </c>
      <c r="H106" s="243">
        <v>2401</v>
      </c>
      <c r="I106" s="243"/>
      <c r="J106" s="1319">
        <f t="shared" si="41"/>
        <v>0.51282549553050916</v>
      </c>
      <c r="K106" s="1319">
        <f t="shared" si="42"/>
        <v>0.48717450446949084</v>
      </c>
      <c r="L106" s="1319">
        <f t="shared" si="43"/>
        <v>2.0598523124757094E-2</v>
      </c>
      <c r="M106" s="1319">
        <f t="shared" si="44"/>
        <v>0.46657598134473377</v>
      </c>
      <c r="O106" s="1320">
        <f t="shared" si="45"/>
        <v>2008</v>
      </c>
      <c r="P106" s="1320">
        <v>1083</v>
      </c>
      <c r="Q106" s="1320">
        <v>925</v>
      </c>
      <c r="R106" s="1320">
        <v>84</v>
      </c>
      <c r="S106" s="1320">
        <v>841</v>
      </c>
      <c r="U106" s="1321">
        <f t="shared" si="46"/>
        <v>0.53934262948207168</v>
      </c>
      <c r="V106" s="1321">
        <f t="shared" si="47"/>
        <v>0.46065737051792827</v>
      </c>
      <c r="W106" s="1321">
        <f t="shared" si="48"/>
        <v>4.1832669322709161E-2</v>
      </c>
      <c r="X106" s="1321">
        <f t="shared" si="49"/>
        <v>0.41882470119521914</v>
      </c>
    </row>
    <row r="107" spans="1:24" ht="13.5" customHeight="1" x14ac:dyDescent="0.25">
      <c r="A107" s="149" t="s">
        <v>90</v>
      </c>
      <c r="B107" s="189" t="s">
        <v>91</v>
      </c>
      <c r="C107" s="150" t="s">
        <v>268</v>
      </c>
      <c r="D107" s="243">
        <v>1275</v>
      </c>
      <c r="E107" s="243">
        <v>605</v>
      </c>
      <c r="F107" s="243">
        <v>670</v>
      </c>
      <c r="G107" s="243">
        <v>113</v>
      </c>
      <c r="H107" s="243">
        <v>557</v>
      </c>
      <c r="I107" s="243"/>
      <c r="J107" s="1319">
        <f t="shared" si="41"/>
        <v>0.47450980392156861</v>
      </c>
      <c r="K107" s="1319">
        <f t="shared" si="42"/>
        <v>0.52549019607843139</v>
      </c>
      <c r="L107" s="1319">
        <f t="shared" si="43"/>
        <v>8.8627450980392153E-2</v>
      </c>
      <c r="M107" s="1319">
        <f t="shared" si="44"/>
        <v>0.43686274509803924</v>
      </c>
      <c r="O107" s="1320">
        <f t="shared" si="45"/>
        <v>293</v>
      </c>
      <c r="P107" s="1320">
        <v>103</v>
      </c>
      <c r="Q107" s="1320">
        <v>190</v>
      </c>
      <c r="R107" s="1320">
        <v>13</v>
      </c>
      <c r="S107" s="1320">
        <v>177</v>
      </c>
      <c r="U107" s="1321">
        <f t="shared" si="46"/>
        <v>0.35153583617747441</v>
      </c>
      <c r="V107" s="1321">
        <f t="shared" si="47"/>
        <v>0.64846416382252559</v>
      </c>
      <c r="W107" s="1321">
        <f t="shared" si="48"/>
        <v>4.4368600682593858E-2</v>
      </c>
      <c r="X107" s="1321">
        <f t="shared" si="49"/>
        <v>0.60409556313993173</v>
      </c>
    </row>
    <row r="108" spans="1:24" ht="13.5" customHeight="1" x14ac:dyDescent="0.25">
      <c r="A108" s="149" t="s">
        <v>106</v>
      </c>
      <c r="B108" s="189" t="s">
        <v>107</v>
      </c>
      <c r="C108" s="150" t="s">
        <v>264</v>
      </c>
      <c r="D108" s="243">
        <v>25475</v>
      </c>
      <c r="E108" s="243">
        <v>13646</v>
      </c>
      <c r="F108" s="243">
        <v>11829</v>
      </c>
      <c r="G108" s="243">
        <v>1469</v>
      </c>
      <c r="H108" s="243">
        <v>10360</v>
      </c>
      <c r="I108" s="243"/>
      <c r="J108" s="1319">
        <f t="shared" si="41"/>
        <v>0.53566241413150151</v>
      </c>
      <c r="K108" s="1319">
        <f t="shared" si="42"/>
        <v>0.46433758586849855</v>
      </c>
      <c r="L108" s="1319">
        <f t="shared" si="43"/>
        <v>5.7664376840039257E-2</v>
      </c>
      <c r="M108" s="1319">
        <f t="shared" si="44"/>
        <v>0.40667320902845927</v>
      </c>
      <c r="O108" s="1320">
        <f t="shared" si="45"/>
        <v>8735</v>
      </c>
      <c r="P108" s="1320">
        <v>5066</v>
      </c>
      <c r="Q108" s="1320">
        <v>3669</v>
      </c>
      <c r="R108" s="1320">
        <v>509</v>
      </c>
      <c r="S108" s="1320">
        <v>3160</v>
      </c>
      <c r="U108" s="1321">
        <f t="shared" si="46"/>
        <v>0.57996565540927303</v>
      </c>
      <c r="V108" s="1321">
        <f t="shared" si="47"/>
        <v>0.42003434459072697</v>
      </c>
      <c r="W108" s="1321">
        <f t="shared" si="48"/>
        <v>5.8271322266742989E-2</v>
      </c>
      <c r="X108" s="1321">
        <f t="shared" si="49"/>
        <v>0.361763022323984</v>
      </c>
    </row>
    <row r="109" spans="1:24" ht="13.5" customHeight="1" x14ac:dyDescent="0.25">
      <c r="A109" s="149" t="s">
        <v>116</v>
      </c>
      <c r="B109" s="189" t="s">
        <v>117</v>
      </c>
      <c r="C109" s="150" t="s">
        <v>266</v>
      </c>
      <c r="D109" s="243">
        <v>4925</v>
      </c>
      <c r="E109" s="243">
        <v>2333</v>
      </c>
      <c r="F109" s="243">
        <v>2592</v>
      </c>
      <c r="G109" s="243">
        <v>336</v>
      </c>
      <c r="H109" s="243">
        <v>2256</v>
      </c>
      <c r="I109" s="243"/>
      <c r="J109" s="1319">
        <f t="shared" si="41"/>
        <v>0.47370558375634519</v>
      </c>
      <c r="K109" s="1319">
        <f t="shared" si="42"/>
        <v>0.52629441624365481</v>
      </c>
      <c r="L109" s="1319">
        <f t="shared" si="43"/>
        <v>6.8223350253807102E-2</v>
      </c>
      <c r="M109" s="1319">
        <f t="shared" si="44"/>
        <v>0.4580710659898477</v>
      </c>
      <c r="O109" s="1320">
        <f t="shared" si="45"/>
        <v>1722</v>
      </c>
      <c r="P109" s="1320">
        <v>831</v>
      </c>
      <c r="Q109" s="1320">
        <v>891</v>
      </c>
      <c r="R109" s="1320">
        <v>202</v>
      </c>
      <c r="S109" s="1320">
        <v>689</v>
      </c>
      <c r="U109" s="1321">
        <f t="shared" si="46"/>
        <v>0.48257839721254353</v>
      </c>
      <c r="V109" s="1321">
        <f t="shared" si="47"/>
        <v>0.51742160278745641</v>
      </c>
      <c r="W109" s="1321">
        <f t="shared" si="48"/>
        <v>0.1173054587688734</v>
      </c>
      <c r="X109" s="1321">
        <f t="shared" si="49"/>
        <v>0.40011614401858303</v>
      </c>
    </row>
    <row r="110" spans="1:24" ht="13.5" customHeight="1" x14ac:dyDescent="0.25">
      <c r="A110" s="149" t="s">
        <v>138</v>
      </c>
      <c r="B110" s="189" t="s">
        <v>139</v>
      </c>
      <c r="C110" s="150" t="s">
        <v>265</v>
      </c>
      <c r="D110" s="243">
        <v>13381</v>
      </c>
      <c r="E110" s="243">
        <v>7799</v>
      </c>
      <c r="F110" s="243">
        <v>5582</v>
      </c>
      <c r="G110" s="243">
        <v>767</v>
      </c>
      <c r="H110" s="243">
        <v>4815</v>
      </c>
      <c r="I110" s="243"/>
      <c r="J110" s="1319">
        <f t="shared" si="41"/>
        <v>0.5828413422016292</v>
      </c>
      <c r="K110" s="1319">
        <f t="shared" si="42"/>
        <v>0.4171586577983708</v>
      </c>
      <c r="L110" s="1319">
        <f t="shared" si="43"/>
        <v>5.7320080711456542E-2</v>
      </c>
      <c r="M110" s="1319">
        <f t="shared" si="44"/>
        <v>0.3598385770869143</v>
      </c>
      <c r="O110" s="1320">
        <f t="shared" si="45"/>
        <v>4756</v>
      </c>
      <c r="P110" s="1320">
        <v>3071</v>
      </c>
      <c r="Q110" s="1320">
        <v>1685</v>
      </c>
      <c r="R110" s="1320">
        <v>283</v>
      </c>
      <c r="S110" s="1320">
        <v>1402</v>
      </c>
      <c r="U110" s="1321">
        <f t="shared" si="46"/>
        <v>0.64571068124474351</v>
      </c>
      <c r="V110" s="1321">
        <f t="shared" si="47"/>
        <v>0.35428931875525654</v>
      </c>
      <c r="W110" s="1321">
        <f t="shared" si="48"/>
        <v>5.9503784693019347E-2</v>
      </c>
      <c r="X110" s="1321">
        <f t="shared" si="49"/>
        <v>0.29478553406223718</v>
      </c>
    </row>
    <row r="111" spans="1:24" ht="13.5" customHeight="1" x14ac:dyDescent="0.25">
      <c r="A111" s="149" t="s">
        <v>142</v>
      </c>
      <c r="B111" s="189" t="s">
        <v>273</v>
      </c>
      <c r="C111" s="150" t="s">
        <v>267</v>
      </c>
      <c r="D111" s="243">
        <v>9885</v>
      </c>
      <c r="E111" s="243">
        <v>7562</v>
      </c>
      <c r="F111" s="243">
        <v>2323</v>
      </c>
      <c r="G111" s="243">
        <v>435</v>
      </c>
      <c r="H111" s="243">
        <v>1888</v>
      </c>
      <c r="I111" s="243"/>
      <c r="J111" s="1319">
        <f t="shared" si="41"/>
        <v>0.76499747091552861</v>
      </c>
      <c r="K111" s="1319">
        <f t="shared" si="42"/>
        <v>0.23500252908447142</v>
      </c>
      <c r="L111" s="1319">
        <f t="shared" si="43"/>
        <v>4.4006069802731411E-2</v>
      </c>
      <c r="M111" s="1319">
        <f t="shared" si="44"/>
        <v>0.19099645928174</v>
      </c>
      <c r="O111" s="1320">
        <f t="shared" si="45"/>
        <v>3450</v>
      </c>
      <c r="P111" s="1320">
        <v>2760</v>
      </c>
      <c r="Q111" s="1320">
        <v>690</v>
      </c>
      <c r="R111" s="1320">
        <v>129</v>
      </c>
      <c r="S111" s="1320">
        <v>561</v>
      </c>
      <c r="U111" s="1321">
        <f t="shared" si="46"/>
        <v>0.8</v>
      </c>
      <c r="V111" s="1321">
        <f t="shared" si="47"/>
        <v>0.2</v>
      </c>
      <c r="W111" s="1321">
        <f t="shared" si="48"/>
        <v>3.7391304347826088E-2</v>
      </c>
      <c r="X111" s="1321">
        <f t="shared" si="49"/>
        <v>0.16260869565217392</v>
      </c>
    </row>
    <row r="112" spans="1:24" ht="13.5" customHeight="1" x14ac:dyDescent="0.25">
      <c r="A112" s="149" t="s">
        <v>144</v>
      </c>
      <c r="B112" s="189" t="s">
        <v>145</v>
      </c>
      <c r="C112" s="150" t="s">
        <v>267</v>
      </c>
      <c r="D112" s="243">
        <v>3586</v>
      </c>
      <c r="E112" s="243">
        <v>2964</v>
      </c>
      <c r="F112" s="243">
        <v>622</v>
      </c>
      <c r="G112" s="243">
        <v>125</v>
      </c>
      <c r="H112" s="243">
        <v>497</v>
      </c>
      <c r="I112" s="243"/>
      <c r="J112" s="1319">
        <f t="shared" si="41"/>
        <v>0.82654768544339097</v>
      </c>
      <c r="K112" s="1319">
        <f t="shared" si="42"/>
        <v>0.17345231455660903</v>
      </c>
      <c r="L112" s="1319">
        <f t="shared" si="43"/>
        <v>3.4857780256553263E-2</v>
      </c>
      <c r="M112" s="1319">
        <f t="shared" si="44"/>
        <v>0.13859453430005578</v>
      </c>
      <c r="O112" s="1320">
        <f t="shared" si="45"/>
        <v>1239</v>
      </c>
      <c r="P112" s="1320">
        <v>1028</v>
      </c>
      <c r="Q112" s="1320">
        <v>211</v>
      </c>
      <c r="R112" s="1320">
        <v>56</v>
      </c>
      <c r="S112" s="1320">
        <v>155</v>
      </c>
      <c r="U112" s="1321">
        <f t="shared" si="46"/>
        <v>0.82970137207425343</v>
      </c>
      <c r="V112" s="1321">
        <f t="shared" si="47"/>
        <v>0.17029862792574657</v>
      </c>
      <c r="W112" s="1321">
        <f t="shared" si="48"/>
        <v>4.519774011299435E-2</v>
      </c>
      <c r="X112" s="1321">
        <f t="shared" si="49"/>
        <v>0.12510088781275222</v>
      </c>
    </row>
    <row r="113" spans="1:24" ht="13.5" customHeight="1" x14ac:dyDescent="0.25">
      <c r="A113" s="149" t="s">
        <v>158</v>
      </c>
      <c r="B113" s="189" t="s">
        <v>159</v>
      </c>
      <c r="C113" s="150" t="s">
        <v>264</v>
      </c>
      <c r="D113" s="243">
        <v>36971</v>
      </c>
      <c r="E113" s="243">
        <v>20081</v>
      </c>
      <c r="F113" s="243">
        <v>16890</v>
      </c>
      <c r="G113" s="243">
        <v>2847</v>
      </c>
      <c r="H113" s="243">
        <v>14043</v>
      </c>
      <c r="I113" s="243"/>
      <c r="J113" s="1319">
        <f t="shared" si="41"/>
        <v>0.54315544616050415</v>
      </c>
      <c r="K113" s="1319">
        <f t="shared" si="42"/>
        <v>0.45684455383949585</v>
      </c>
      <c r="L113" s="1319">
        <f t="shared" si="43"/>
        <v>7.7006302236888369E-2</v>
      </c>
      <c r="M113" s="1319">
        <f t="shared" si="44"/>
        <v>0.37983825160260742</v>
      </c>
      <c r="O113" s="1320">
        <f t="shared" si="45"/>
        <v>13819</v>
      </c>
      <c r="P113" s="1320">
        <v>7263</v>
      </c>
      <c r="Q113" s="1320">
        <v>6556</v>
      </c>
      <c r="R113" s="1320">
        <v>1021</v>
      </c>
      <c r="S113" s="1320">
        <v>5535</v>
      </c>
      <c r="U113" s="1321">
        <f t="shared" si="46"/>
        <v>0.52558072219408059</v>
      </c>
      <c r="V113" s="1321">
        <f t="shared" si="47"/>
        <v>0.47441927780591936</v>
      </c>
      <c r="W113" s="1321">
        <f t="shared" si="48"/>
        <v>7.3883783197047539E-2</v>
      </c>
      <c r="X113" s="1321">
        <f t="shared" si="49"/>
        <v>0.40053549460887183</v>
      </c>
    </row>
    <row r="114" spans="1:24" ht="13.5" customHeight="1" x14ac:dyDescent="0.25">
      <c r="A114" s="149" t="s">
        <v>160</v>
      </c>
      <c r="B114" s="189" t="s">
        <v>161</v>
      </c>
      <c r="C114" s="150" t="s">
        <v>264</v>
      </c>
      <c r="D114" s="243">
        <v>42102</v>
      </c>
      <c r="E114" s="243">
        <v>21912</v>
      </c>
      <c r="F114" s="243">
        <v>20190</v>
      </c>
      <c r="G114" s="243">
        <v>2860</v>
      </c>
      <c r="H114" s="243">
        <v>17330</v>
      </c>
      <c r="I114" s="243"/>
      <c r="J114" s="1319">
        <f t="shared" si="41"/>
        <v>0.52045033490095483</v>
      </c>
      <c r="K114" s="1319">
        <f t="shared" si="42"/>
        <v>0.47954966509904517</v>
      </c>
      <c r="L114" s="1319">
        <f t="shared" si="43"/>
        <v>6.7930264595506148E-2</v>
      </c>
      <c r="M114" s="1319">
        <f t="shared" si="44"/>
        <v>0.41161940050353901</v>
      </c>
      <c r="O114" s="1320">
        <f t="shared" si="45"/>
        <v>16762</v>
      </c>
      <c r="P114" s="1320">
        <v>9369</v>
      </c>
      <c r="Q114" s="1320">
        <v>7393</v>
      </c>
      <c r="R114" s="1320">
        <v>1013</v>
      </c>
      <c r="S114" s="1320">
        <v>6380</v>
      </c>
      <c r="U114" s="1321">
        <f t="shared" si="46"/>
        <v>0.55894284691564255</v>
      </c>
      <c r="V114" s="1321">
        <f t="shared" si="47"/>
        <v>0.4410571530843575</v>
      </c>
      <c r="W114" s="1321">
        <f t="shared" si="48"/>
        <v>6.0434315714115262E-2</v>
      </c>
      <c r="X114" s="1321">
        <f t="shared" si="49"/>
        <v>0.38062283737024222</v>
      </c>
    </row>
    <row r="115" spans="1:24" ht="13.5" customHeight="1" x14ac:dyDescent="0.25">
      <c r="A115" s="149" t="s">
        <v>166</v>
      </c>
      <c r="B115" s="189" t="s">
        <v>167</v>
      </c>
      <c r="C115" s="150" t="s">
        <v>268</v>
      </c>
      <c r="D115" s="243">
        <v>636</v>
      </c>
      <c r="E115" s="243">
        <v>343</v>
      </c>
      <c r="F115" s="243">
        <v>293</v>
      </c>
      <c r="G115" s="243">
        <v>47</v>
      </c>
      <c r="H115" s="243">
        <v>246</v>
      </c>
      <c r="I115" s="243"/>
      <c r="J115" s="1319">
        <f t="shared" si="41"/>
        <v>0.53930817610062898</v>
      </c>
      <c r="K115" s="1319">
        <f t="shared" si="42"/>
        <v>0.46069182389937108</v>
      </c>
      <c r="L115" s="1319">
        <f t="shared" si="43"/>
        <v>7.3899371069182387E-2</v>
      </c>
      <c r="M115" s="1319">
        <f t="shared" si="44"/>
        <v>0.3867924528301887</v>
      </c>
      <c r="O115" s="1320">
        <f t="shared" si="45"/>
        <v>230</v>
      </c>
      <c r="P115" s="1320">
        <v>101</v>
      </c>
      <c r="Q115" s="1320">
        <v>129</v>
      </c>
      <c r="R115" s="1320">
        <v>0</v>
      </c>
      <c r="S115" s="1320">
        <v>129</v>
      </c>
      <c r="U115" s="1321">
        <f t="shared" si="46"/>
        <v>0.43913043478260871</v>
      </c>
      <c r="V115" s="1321">
        <f t="shared" si="47"/>
        <v>0.56086956521739129</v>
      </c>
      <c r="W115" s="1321">
        <f t="shared" si="48"/>
        <v>0</v>
      </c>
      <c r="X115" s="1321">
        <f t="shared" si="49"/>
        <v>0.56086956521739129</v>
      </c>
    </row>
    <row r="116" spans="1:24" ht="13.5" customHeight="1" x14ac:dyDescent="0.25">
      <c r="A116" s="149" t="s">
        <v>176</v>
      </c>
      <c r="B116" s="189" t="s">
        <v>177</v>
      </c>
      <c r="C116" s="150" t="s">
        <v>266</v>
      </c>
      <c r="D116" s="243">
        <v>5491</v>
      </c>
      <c r="E116" s="243">
        <v>1839</v>
      </c>
      <c r="F116" s="243">
        <v>3652</v>
      </c>
      <c r="G116" s="243">
        <v>339</v>
      </c>
      <c r="H116" s="243">
        <v>3313</v>
      </c>
      <c r="I116" s="243"/>
      <c r="J116" s="1319">
        <f t="shared" si="41"/>
        <v>0.33491167364778729</v>
      </c>
      <c r="K116" s="1319">
        <f t="shared" si="42"/>
        <v>0.66508832635221271</v>
      </c>
      <c r="L116" s="1319">
        <f t="shared" si="43"/>
        <v>6.1737388453833544E-2</v>
      </c>
      <c r="M116" s="1319">
        <f t="shared" si="44"/>
        <v>0.60335093789837912</v>
      </c>
      <c r="O116" s="1320">
        <f t="shared" si="45"/>
        <v>2247</v>
      </c>
      <c r="P116" s="1320">
        <v>771</v>
      </c>
      <c r="Q116" s="1320">
        <v>1476</v>
      </c>
      <c r="R116" s="1320">
        <v>158</v>
      </c>
      <c r="S116" s="1320">
        <v>1318</v>
      </c>
      <c r="U116" s="1321">
        <f t="shared" si="46"/>
        <v>0.3431241655540721</v>
      </c>
      <c r="V116" s="1321">
        <f t="shared" si="47"/>
        <v>0.6568758344459279</v>
      </c>
      <c r="W116" s="1321">
        <f t="shared" si="48"/>
        <v>7.0315976858032939E-2</v>
      </c>
      <c r="X116" s="1321">
        <f t="shared" si="49"/>
        <v>0.58655985758789497</v>
      </c>
    </row>
    <row r="117" spans="1:24" ht="13.5" customHeight="1" x14ac:dyDescent="0.25">
      <c r="A117" s="149" t="s">
        <v>180</v>
      </c>
      <c r="B117" s="189" t="s">
        <v>181</v>
      </c>
      <c r="C117" s="150" t="s">
        <v>264</v>
      </c>
      <c r="D117" s="243">
        <v>18500</v>
      </c>
      <c r="E117" s="243">
        <v>8377</v>
      </c>
      <c r="F117" s="243">
        <v>10123</v>
      </c>
      <c r="G117" s="243">
        <v>1378</v>
      </c>
      <c r="H117" s="243">
        <v>8745</v>
      </c>
      <c r="I117" s="243"/>
      <c r="J117" s="1319">
        <f t="shared" si="41"/>
        <v>0.45281081081081082</v>
      </c>
      <c r="K117" s="1319">
        <f t="shared" si="42"/>
        <v>0.54718918918918924</v>
      </c>
      <c r="L117" s="1319">
        <f t="shared" si="43"/>
        <v>7.4486486486486481E-2</v>
      </c>
      <c r="M117" s="1319">
        <f t="shared" si="44"/>
        <v>0.4727027027027027</v>
      </c>
      <c r="O117" s="1320">
        <f t="shared" si="45"/>
        <v>6963</v>
      </c>
      <c r="P117" s="1320">
        <v>3347</v>
      </c>
      <c r="Q117" s="1320">
        <v>3616</v>
      </c>
      <c r="R117" s="1320">
        <v>425</v>
      </c>
      <c r="S117" s="1320">
        <v>3191</v>
      </c>
      <c r="U117" s="1321">
        <f t="shared" si="46"/>
        <v>0.48068361338503518</v>
      </c>
      <c r="V117" s="1321">
        <f t="shared" si="47"/>
        <v>0.51931638661496482</v>
      </c>
      <c r="W117" s="1321">
        <f t="shared" si="48"/>
        <v>6.1036909378141609E-2</v>
      </c>
      <c r="X117" s="1321">
        <f t="shared" si="49"/>
        <v>0.45827947723682322</v>
      </c>
    </row>
    <row r="118" spans="1:24" ht="13.5" customHeight="1" x14ac:dyDescent="0.25">
      <c r="A118" s="149" t="s">
        <v>192</v>
      </c>
      <c r="B118" s="189" t="s">
        <v>193</v>
      </c>
      <c r="C118" s="150" t="s">
        <v>268</v>
      </c>
      <c r="D118" s="243">
        <v>2110</v>
      </c>
      <c r="E118" s="243">
        <v>1185</v>
      </c>
      <c r="F118" s="243">
        <v>925</v>
      </c>
      <c r="G118" s="243">
        <v>224</v>
      </c>
      <c r="H118" s="243">
        <v>701</v>
      </c>
      <c r="I118" s="243"/>
      <c r="J118" s="1319">
        <f t="shared" si="41"/>
        <v>0.56161137440758291</v>
      </c>
      <c r="K118" s="1319">
        <f t="shared" si="42"/>
        <v>0.43838862559241704</v>
      </c>
      <c r="L118" s="1319">
        <f t="shared" si="43"/>
        <v>0.10616113744075829</v>
      </c>
      <c r="M118" s="1319">
        <f t="shared" si="44"/>
        <v>0.33222748815165876</v>
      </c>
      <c r="O118" s="1320">
        <f t="shared" si="45"/>
        <v>514</v>
      </c>
      <c r="P118" s="1320">
        <v>308</v>
      </c>
      <c r="Q118" s="1320">
        <v>206</v>
      </c>
      <c r="R118" s="1320">
        <v>37</v>
      </c>
      <c r="S118" s="1320">
        <v>169</v>
      </c>
      <c r="U118" s="1321">
        <f t="shared" si="46"/>
        <v>0.59922178988326846</v>
      </c>
      <c r="V118" s="1321">
        <f t="shared" si="47"/>
        <v>0.40077821011673154</v>
      </c>
      <c r="W118" s="1321">
        <f t="shared" si="48"/>
        <v>7.1984435797665364E-2</v>
      </c>
      <c r="X118" s="1321">
        <f t="shared" si="49"/>
        <v>0.32879377431906615</v>
      </c>
    </row>
    <row r="119" spans="1:24" ht="13.5" customHeight="1" x14ac:dyDescent="0.25">
      <c r="A119" s="149" t="s">
        <v>196</v>
      </c>
      <c r="B119" s="189" t="s">
        <v>197</v>
      </c>
      <c r="C119" s="150" t="s">
        <v>266</v>
      </c>
      <c r="D119" s="243">
        <v>33009</v>
      </c>
      <c r="E119" s="243">
        <v>13027</v>
      </c>
      <c r="F119" s="243">
        <v>19982</v>
      </c>
      <c r="G119" s="243">
        <v>2556</v>
      </c>
      <c r="H119" s="243">
        <v>17426</v>
      </c>
      <c r="I119" s="243"/>
      <c r="J119" s="1319">
        <f t="shared" si="41"/>
        <v>0.39464994395467901</v>
      </c>
      <c r="K119" s="1319">
        <f t="shared" si="42"/>
        <v>0.60535005604532099</v>
      </c>
      <c r="L119" s="1319">
        <f t="shared" si="43"/>
        <v>7.7433427247114425E-2</v>
      </c>
      <c r="M119" s="1319">
        <f t="shared" si="44"/>
        <v>0.52791662879820656</v>
      </c>
      <c r="O119" s="1320">
        <f t="shared" si="45"/>
        <v>13845</v>
      </c>
      <c r="P119" s="1320">
        <v>5891</v>
      </c>
      <c r="Q119" s="1320">
        <v>7954</v>
      </c>
      <c r="R119" s="1320">
        <v>1285</v>
      </c>
      <c r="S119" s="1320">
        <v>6669</v>
      </c>
      <c r="U119" s="1321">
        <f t="shared" si="46"/>
        <v>0.425496569158541</v>
      </c>
      <c r="V119" s="1321">
        <f t="shared" si="47"/>
        <v>0.57450343084145905</v>
      </c>
      <c r="W119" s="1321">
        <f t="shared" si="48"/>
        <v>9.281328999638859E-2</v>
      </c>
      <c r="X119" s="1321">
        <f t="shared" si="49"/>
        <v>0.48169014084507045</v>
      </c>
    </row>
    <row r="120" spans="1:24" ht="13.5" customHeight="1" x14ac:dyDescent="0.25">
      <c r="A120" s="149" t="s">
        <v>200</v>
      </c>
      <c r="B120" s="189" t="s">
        <v>201</v>
      </c>
      <c r="C120" s="150" t="s">
        <v>265</v>
      </c>
      <c r="D120" s="243">
        <v>18410</v>
      </c>
      <c r="E120" s="243">
        <v>9698</v>
      </c>
      <c r="F120" s="243">
        <v>8712</v>
      </c>
      <c r="G120" s="243">
        <v>1368</v>
      </c>
      <c r="H120" s="243">
        <v>7344</v>
      </c>
      <c r="I120" s="243"/>
      <c r="J120" s="1319">
        <f t="shared" si="41"/>
        <v>0.5267789244975557</v>
      </c>
      <c r="K120" s="1319">
        <f t="shared" si="42"/>
        <v>0.4732210755024443</v>
      </c>
      <c r="L120" s="1319">
        <f t="shared" si="43"/>
        <v>7.4307441607821836E-2</v>
      </c>
      <c r="M120" s="1319">
        <f t="shared" si="44"/>
        <v>0.39891363389462248</v>
      </c>
      <c r="O120" s="1320">
        <f t="shared" si="45"/>
        <v>6855</v>
      </c>
      <c r="P120" s="1320">
        <v>3997</v>
      </c>
      <c r="Q120" s="1320">
        <v>2858</v>
      </c>
      <c r="R120" s="1320">
        <v>531</v>
      </c>
      <c r="S120" s="1320">
        <v>2327</v>
      </c>
      <c r="U120" s="1321">
        <f t="shared" si="46"/>
        <v>0.58307804522246531</v>
      </c>
      <c r="V120" s="1321">
        <f t="shared" si="47"/>
        <v>0.41692195477753463</v>
      </c>
      <c r="W120" s="1321">
        <f t="shared" si="48"/>
        <v>7.7461706783369805E-2</v>
      </c>
      <c r="X120" s="1321">
        <f t="shared" si="49"/>
        <v>0.33946024799416485</v>
      </c>
    </row>
    <row r="121" spans="1:24" ht="13.5" customHeight="1" x14ac:dyDescent="0.25">
      <c r="A121" s="149" t="s">
        <v>222</v>
      </c>
      <c r="B121" s="189" t="s">
        <v>223</v>
      </c>
      <c r="C121" s="150" t="s">
        <v>264</v>
      </c>
      <c r="D121" s="243">
        <v>18839</v>
      </c>
      <c r="E121" s="243">
        <v>12257</v>
      </c>
      <c r="F121" s="243">
        <v>6582</v>
      </c>
      <c r="G121" s="243">
        <v>961</v>
      </c>
      <c r="H121" s="243">
        <v>5621</v>
      </c>
      <c r="I121" s="243"/>
      <c r="J121" s="1319">
        <f t="shared" si="41"/>
        <v>0.65061839800414034</v>
      </c>
      <c r="K121" s="1319">
        <f t="shared" si="42"/>
        <v>0.34938160199585966</v>
      </c>
      <c r="L121" s="1319">
        <f t="shared" si="43"/>
        <v>5.1011200169860396E-2</v>
      </c>
      <c r="M121" s="1319">
        <f t="shared" si="44"/>
        <v>0.29837040182599928</v>
      </c>
      <c r="O121" s="1320">
        <f t="shared" si="45"/>
        <v>5731</v>
      </c>
      <c r="P121" s="1320">
        <v>3637</v>
      </c>
      <c r="Q121" s="1320">
        <v>2094</v>
      </c>
      <c r="R121" s="1320">
        <v>318</v>
      </c>
      <c r="S121" s="1320">
        <v>1776</v>
      </c>
      <c r="U121" s="1321">
        <f t="shared" si="46"/>
        <v>0.63461874018495901</v>
      </c>
      <c r="V121" s="1321">
        <f t="shared" si="47"/>
        <v>0.36538125981504099</v>
      </c>
      <c r="W121" s="1321">
        <f t="shared" si="48"/>
        <v>5.5487698481940323E-2</v>
      </c>
      <c r="X121" s="1321">
        <f t="shared" si="49"/>
        <v>0.3098935613331007</v>
      </c>
    </row>
    <row r="122" spans="1:24" ht="13.5" customHeight="1" x14ac:dyDescent="0.25">
      <c r="A122" s="149" t="s">
        <v>230</v>
      </c>
      <c r="B122" s="189" t="s">
        <v>231</v>
      </c>
      <c r="C122" s="150" t="s">
        <v>264</v>
      </c>
      <c r="D122" s="243">
        <v>92611</v>
      </c>
      <c r="E122" s="243">
        <v>63880</v>
      </c>
      <c r="F122" s="243">
        <v>28731</v>
      </c>
      <c r="G122" s="243">
        <v>5224</v>
      </c>
      <c r="H122" s="243">
        <v>23507</v>
      </c>
      <c r="I122" s="243"/>
      <c r="J122" s="1319">
        <f t="shared" si="41"/>
        <v>0.68976687434538009</v>
      </c>
      <c r="K122" s="1319">
        <f t="shared" si="42"/>
        <v>0.31023312565461986</v>
      </c>
      <c r="L122" s="1319">
        <f t="shared" si="43"/>
        <v>5.6407986092364838E-2</v>
      </c>
      <c r="M122" s="1319">
        <f t="shared" si="44"/>
        <v>0.253825139562255</v>
      </c>
      <c r="O122" s="1320">
        <f t="shared" si="45"/>
        <v>30611</v>
      </c>
      <c r="P122" s="1320">
        <v>22200</v>
      </c>
      <c r="Q122" s="1320">
        <v>8411</v>
      </c>
      <c r="R122" s="1320">
        <v>1532</v>
      </c>
      <c r="S122" s="1320">
        <v>6879</v>
      </c>
      <c r="U122" s="1321">
        <f t="shared" si="46"/>
        <v>0.72522949266603509</v>
      </c>
      <c r="V122" s="1321">
        <f t="shared" si="47"/>
        <v>0.27477050733396491</v>
      </c>
      <c r="W122" s="1321">
        <f t="shared" si="48"/>
        <v>5.0047368592989451E-2</v>
      </c>
      <c r="X122" s="1321">
        <f t="shared" si="49"/>
        <v>0.22472313874097546</v>
      </c>
    </row>
    <row r="123" spans="1:24" ht="13.5" customHeight="1" x14ac:dyDescent="0.25">
      <c r="A123" s="149" t="s">
        <v>238</v>
      </c>
      <c r="B123" s="189" t="s">
        <v>239</v>
      </c>
      <c r="C123" s="150" t="s">
        <v>264</v>
      </c>
      <c r="D123" s="243">
        <v>1293</v>
      </c>
      <c r="E123" s="243">
        <v>816</v>
      </c>
      <c r="F123" s="243">
        <v>477</v>
      </c>
      <c r="G123" s="243">
        <v>111</v>
      </c>
      <c r="H123" s="243">
        <v>366</v>
      </c>
      <c r="I123" s="243"/>
      <c r="J123" s="1319">
        <f t="shared" si="41"/>
        <v>0.63109048723897909</v>
      </c>
      <c r="K123" s="1319">
        <f t="shared" si="42"/>
        <v>0.36890951276102091</v>
      </c>
      <c r="L123" s="1319">
        <f t="shared" si="43"/>
        <v>8.584686774941995E-2</v>
      </c>
      <c r="M123" s="1319">
        <f t="shared" si="44"/>
        <v>0.28306264501160094</v>
      </c>
      <c r="O123" s="1320">
        <f t="shared" si="45"/>
        <v>584</v>
      </c>
      <c r="P123" s="1320">
        <v>435</v>
      </c>
      <c r="Q123" s="1320">
        <v>149</v>
      </c>
      <c r="R123" s="1320">
        <v>30</v>
      </c>
      <c r="S123" s="1320">
        <v>119</v>
      </c>
      <c r="U123" s="1321">
        <f t="shared" si="46"/>
        <v>0.74486301369863017</v>
      </c>
      <c r="V123" s="1321">
        <f t="shared" si="47"/>
        <v>0.25513698630136988</v>
      </c>
      <c r="W123" s="1321">
        <f t="shared" si="48"/>
        <v>5.1369863013698627E-2</v>
      </c>
      <c r="X123" s="1321">
        <f t="shared" si="49"/>
        <v>0.20376712328767124</v>
      </c>
    </row>
    <row r="124" spans="1:24" ht="13.5" customHeight="1" x14ac:dyDescent="0.25">
      <c r="A124" s="155" t="s">
        <v>240</v>
      </c>
      <c r="B124" s="191" t="s">
        <v>241</v>
      </c>
      <c r="C124" s="156" t="s">
        <v>267</v>
      </c>
      <c r="D124" s="243">
        <v>5560</v>
      </c>
      <c r="E124" s="243">
        <v>3399</v>
      </c>
      <c r="F124" s="243">
        <v>2161</v>
      </c>
      <c r="G124" s="243">
        <v>527</v>
      </c>
      <c r="H124" s="243">
        <v>1634</v>
      </c>
      <c r="I124" s="243"/>
      <c r="J124" s="1319">
        <f t="shared" si="41"/>
        <v>0.6113309352517986</v>
      </c>
      <c r="K124" s="1319">
        <f t="shared" si="42"/>
        <v>0.38866906474820145</v>
      </c>
      <c r="L124" s="1319">
        <f t="shared" si="43"/>
        <v>9.4784172661870503E-2</v>
      </c>
      <c r="M124" s="1319">
        <f t="shared" si="44"/>
        <v>0.29388489208633095</v>
      </c>
      <c r="O124" s="1320">
        <f t="shared" si="45"/>
        <v>1763</v>
      </c>
      <c r="P124" s="1320">
        <v>1008</v>
      </c>
      <c r="Q124" s="1320">
        <v>755</v>
      </c>
      <c r="R124" s="1320">
        <v>314</v>
      </c>
      <c r="S124" s="1320">
        <v>441</v>
      </c>
      <c r="U124" s="1321">
        <f t="shared" si="46"/>
        <v>0.57175269427112874</v>
      </c>
      <c r="V124" s="1321">
        <f t="shared" si="47"/>
        <v>0.42824730572887126</v>
      </c>
      <c r="W124" s="1321">
        <f t="shared" si="48"/>
        <v>0.17810550198525241</v>
      </c>
      <c r="X124" s="1321">
        <f t="shared" si="49"/>
        <v>0.25014180374361883</v>
      </c>
    </row>
    <row r="125" spans="1:24" x14ac:dyDescent="0.25">
      <c r="A125" s="283"/>
      <c r="B125" s="236"/>
      <c r="C125" s="284"/>
    </row>
    <row r="126" spans="1:24" x14ac:dyDescent="0.25">
      <c r="A126" s="283" t="s">
        <v>266</v>
      </c>
      <c r="B126" s="236"/>
      <c r="C126" s="284"/>
      <c r="D126" s="1331">
        <v>261470</v>
      </c>
      <c r="E126" s="1332">
        <v>173689</v>
      </c>
      <c r="F126" s="978">
        <v>87781</v>
      </c>
      <c r="G126" s="1981">
        <v>16185</v>
      </c>
      <c r="H126" s="1332">
        <v>71596</v>
      </c>
      <c r="J126" s="1319">
        <f t="shared" ref="J126:J130" si="50">E126/D126</f>
        <v>0.66427888476689489</v>
      </c>
      <c r="K126" s="1319">
        <f t="shared" ref="K126:K130" si="51">F126/D126</f>
        <v>0.33572111523310516</v>
      </c>
      <c r="L126" s="1319">
        <f t="shared" ref="L126:L130" si="52">G126/D126</f>
        <v>6.1900026771713773E-2</v>
      </c>
      <c r="M126" s="1319">
        <f t="shared" ref="M126:M130" si="53">H126/D126</f>
        <v>0.27382108846139136</v>
      </c>
      <c r="O126" s="978">
        <v>81514</v>
      </c>
      <c r="P126" s="978">
        <v>53292</v>
      </c>
      <c r="Q126" s="1766">
        <v>28222</v>
      </c>
      <c r="R126" s="978">
        <v>5704</v>
      </c>
      <c r="S126" s="978">
        <v>22518</v>
      </c>
      <c r="U126" s="1321">
        <f t="shared" ref="U126:U130" si="54">P126/O126</f>
        <v>0.6537772652550482</v>
      </c>
      <c r="V126" s="1321">
        <f t="shared" ref="V126:V130" si="55">Q126/O126</f>
        <v>0.3462227347449518</v>
      </c>
      <c r="W126" s="1321">
        <f t="shared" ref="W126:W130" si="56">R126/O126</f>
        <v>6.9975709694040281E-2</v>
      </c>
      <c r="X126" s="1321">
        <f t="shared" ref="X126:X130" si="57">S126/O126</f>
        <v>0.27624702505091148</v>
      </c>
    </row>
    <row r="127" spans="1:24" x14ac:dyDescent="0.25">
      <c r="A127" s="283" t="s">
        <v>264</v>
      </c>
      <c r="B127" s="236"/>
      <c r="C127" s="284"/>
      <c r="D127" s="1766">
        <v>362831</v>
      </c>
      <c r="E127" s="978">
        <v>231085</v>
      </c>
      <c r="F127" s="978">
        <v>131746</v>
      </c>
      <c r="G127" s="1766">
        <v>22022</v>
      </c>
      <c r="H127" s="978">
        <v>109724</v>
      </c>
      <c r="J127" s="1319">
        <f t="shared" si="50"/>
        <v>0.63689431167678612</v>
      </c>
      <c r="K127" s="1319">
        <f t="shared" si="51"/>
        <v>0.36310568832321383</v>
      </c>
      <c r="L127" s="1319">
        <f t="shared" si="52"/>
        <v>6.0694924083113076E-2</v>
      </c>
      <c r="M127" s="1319">
        <f t="shared" si="53"/>
        <v>0.30241076424010077</v>
      </c>
      <c r="O127" s="978">
        <v>119714</v>
      </c>
      <c r="P127" s="978">
        <v>76869</v>
      </c>
      <c r="Q127" s="1766">
        <v>82845</v>
      </c>
      <c r="R127" s="978">
        <v>7410</v>
      </c>
      <c r="S127" s="978">
        <v>35435</v>
      </c>
      <c r="U127" s="1321">
        <f t="shared" si="54"/>
        <v>0.64210535108675681</v>
      </c>
      <c r="V127" s="1321">
        <f t="shared" si="55"/>
        <v>0.69202432464039298</v>
      </c>
      <c r="W127" s="1321">
        <f t="shared" si="56"/>
        <v>6.1897522428454484E-2</v>
      </c>
      <c r="X127" s="1321">
        <f t="shared" si="57"/>
        <v>0.29599712648478876</v>
      </c>
    </row>
    <row r="128" spans="1:24" x14ac:dyDescent="0.25">
      <c r="A128" s="283" t="s">
        <v>267</v>
      </c>
      <c r="B128" s="236"/>
      <c r="C128" s="284"/>
      <c r="D128" s="1766">
        <v>729125</v>
      </c>
      <c r="E128" s="978">
        <v>588383</v>
      </c>
      <c r="F128" s="978">
        <v>140742</v>
      </c>
      <c r="G128" s="1766">
        <v>35595</v>
      </c>
      <c r="H128" s="978">
        <v>105147</v>
      </c>
      <c r="J128" s="1319">
        <f t="shared" si="50"/>
        <v>0.80697136979255957</v>
      </c>
      <c r="K128" s="1319">
        <f t="shared" si="51"/>
        <v>0.19302863020744043</v>
      </c>
      <c r="L128" s="1319">
        <f t="shared" si="52"/>
        <v>4.8818789645122582E-2</v>
      </c>
      <c r="M128" s="1319">
        <f t="shared" si="53"/>
        <v>0.14420984056231784</v>
      </c>
      <c r="O128" s="978">
        <v>240166</v>
      </c>
      <c r="P128" s="978">
        <v>199098</v>
      </c>
      <c r="Q128" s="1766">
        <v>41068</v>
      </c>
      <c r="R128" s="978">
        <v>11664</v>
      </c>
      <c r="S128" s="978">
        <v>29404</v>
      </c>
      <c r="U128" s="1321">
        <f t="shared" si="54"/>
        <v>0.82900160722167171</v>
      </c>
      <c r="V128" s="1321">
        <f t="shared" si="55"/>
        <v>0.17099839277832832</v>
      </c>
      <c r="W128" s="1321">
        <f t="shared" si="56"/>
        <v>4.8566408234304609E-2</v>
      </c>
      <c r="X128" s="1321">
        <f t="shared" si="57"/>
        <v>0.12243198454402372</v>
      </c>
    </row>
    <row r="129" spans="1:24" x14ac:dyDescent="0.25">
      <c r="A129" s="283" t="s">
        <v>265</v>
      </c>
      <c r="B129" s="236"/>
      <c r="C129" s="284"/>
      <c r="D129" s="1766">
        <v>206860</v>
      </c>
      <c r="E129" s="978">
        <v>141478</v>
      </c>
      <c r="F129" s="978">
        <v>65382</v>
      </c>
      <c r="G129" s="1766">
        <v>13079</v>
      </c>
      <c r="H129" s="978">
        <v>52303</v>
      </c>
      <c r="J129" s="1319">
        <f t="shared" si="50"/>
        <v>0.68393116117180697</v>
      </c>
      <c r="K129" s="1319">
        <f t="shared" si="51"/>
        <v>0.31606883882819298</v>
      </c>
      <c r="L129" s="1319">
        <f t="shared" si="52"/>
        <v>6.3226336652808662E-2</v>
      </c>
      <c r="M129" s="1319">
        <f t="shared" si="53"/>
        <v>0.25284250217538434</v>
      </c>
      <c r="O129" s="978">
        <v>63589</v>
      </c>
      <c r="P129" s="978">
        <v>44496</v>
      </c>
      <c r="Q129" s="1766">
        <v>19093</v>
      </c>
      <c r="R129" s="978">
        <v>4478</v>
      </c>
      <c r="S129" s="978">
        <v>14615</v>
      </c>
      <c r="U129" s="1321">
        <f t="shared" si="54"/>
        <v>0.69974366635738883</v>
      </c>
      <c r="V129" s="1321">
        <f t="shared" si="55"/>
        <v>0.30025633364261112</v>
      </c>
      <c r="W129" s="1321">
        <f t="shared" si="56"/>
        <v>7.0420984761515357E-2</v>
      </c>
      <c r="X129" s="1321">
        <f t="shared" si="57"/>
        <v>0.22983534888109577</v>
      </c>
    </row>
    <row r="130" spans="1:24" x14ac:dyDescent="0.25">
      <c r="A130" s="283" t="s">
        <v>268</v>
      </c>
      <c r="B130" s="236"/>
      <c r="C130" s="284"/>
      <c r="D130" s="1766">
        <v>96310</v>
      </c>
      <c r="E130" s="978">
        <v>68831</v>
      </c>
      <c r="F130" s="978">
        <v>27479</v>
      </c>
      <c r="G130" s="1766">
        <v>7575</v>
      </c>
      <c r="H130" s="978">
        <v>19904</v>
      </c>
      <c r="J130" s="1319">
        <f t="shared" si="50"/>
        <v>0.71468175682691304</v>
      </c>
      <c r="K130" s="1319">
        <f t="shared" si="51"/>
        <v>0.28531824317308691</v>
      </c>
      <c r="L130" s="1319">
        <f t="shared" si="52"/>
        <v>7.865226871560585E-2</v>
      </c>
      <c r="M130" s="1319">
        <f t="shared" si="53"/>
        <v>0.20666597445748106</v>
      </c>
      <c r="O130" s="978">
        <v>29077</v>
      </c>
      <c r="P130" s="978">
        <v>20365</v>
      </c>
      <c r="Q130" s="1766">
        <v>8712</v>
      </c>
      <c r="R130" s="978">
        <v>2618</v>
      </c>
      <c r="S130" s="978">
        <v>6094</v>
      </c>
      <c r="U130" s="1321">
        <f t="shared" si="54"/>
        <v>0.70038174502183859</v>
      </c>
      <c r="V130" s="1321">
        <f t="shared" si="55"/>
        <v>0.29961825497816141</v>
      </c>
      <c r="W130" s="1321">
        <f t="shared" si="56"/>
        <v>9.0036798844447499E-2</v>
      </c>
      <c r="X130" s="1321">
        <f t="shared" si="57"/>
        <v>0.20958145613371393</v>
      </c>
    </row>
    <row r="131" spans="1:24" x14ac:dyDescent="0.25">
      <c r="A131" s="283"/>
      <c r="B131" s="236"/>
      <c r="C131" s="284"/>
    </row>
    <row r="132" spans="1:24" x14ac:dyDescent="0.25">
      <c r="A132" s="1330" t="s">
        <v>1361</v>
      </c>
      <c r="B132"/>
      <c r="C132"/>
    </row>
    <row r="133" spans="1:24" x14ac:dyDescent="0.25">
      <c r="A133" s="185" t="s">
        <v>248</v>
      </c>
      <c r="B133" s="185"/>
      <c r="C133" s="185"/>
    </row>
    <row r="134" spans="1:24" x14ac:dyDescent="0.25">
      <c r="A134" s="192" t="s">
        <v>249</v>
      </c>
      <c r="B134" s="170" t="s">
        <v>250</v>
      </c>
      <c r="C134" s="185"/>
    </row>
  </sheetData>
  <autoFilter ref="A3:C124"/>
  <sortState ref="A5:X124">
    <sortCondition ref="A5:A124"/>
  </sortState>
  <hyperlinks>
    <hyperlink ref="B134"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29"/>
  <sheetViews>
    <sheetView topLeftCell="C1" workbookViewId="0">
      <pane ySplit="4" topLeftCell="A106" activePane="bottomLeft" state="frozen"/>
      <selection pane="bottomLeft" activeCell="C1" sqref="A1:XFD1048576"/>
    </sheetView>
  </sheetViews>
  <sheetFormatPr defaultRowHeight="12.75" customHeight="1" x14ac:dyDescent="0.25"/>
  <cols>
    <col min="1" max="1" width="9" style="529"/>
    <col min="2" max="2" width="33.375" style="529" customWidth="1"/>
    <col min="3" max="3" width="16.75" style="529" customWidth="1"/>
    <col min="4" max="14" width="8.875" style="529" customWidth="1"/>
    <col min="15" max="15" width="4.625" style="529" customWidth="1"/>
    <col min="16" max="16" width="10.5" style="529" customWidth="1"/>
    <col min="17" max="16384" width="9" style="529"/>
  </cols>
  <sheetData>
    <row r="1" spans="1:21" ht="12.75" customHeight="1" x14ac:dyDescent="0.25">
      <c r="A1" s="258" t="s">
        <v>1101</v>
      </c>
    </row>
    <row r="3" spans="1:21" ht="53.25" customHeight="1" x14ac:dyDescent="0.25">
      <c r="A3" s="534" t="s">
        <v>4</v>
      </c>
      <c r="B3" s="535" t="s">
        <v>5</v>
      </c>
      <c r="C3" s="592" t="s">
        <v>251</v>
      </c>
      <c r="D3" s="555" t="s">
        <v>530</v>
      </c>
      <c r="E3" s="555" t="s">
        <v>531</v>
      </c>
      <c r="F3" s="555" t="s">
        <v>532</v>
      </c>
      <c r="G3" s="555" t="s">
        <v>533</v>
      </c>
      <c r="H3" s="555" t="s">
        <v>534</v>
      </c>
      <c r="I3" s="555" t="s">
        <v>535</v>
      </c>
      <c r="J3" s="555" t="s">
        <v>740</v>
      </c>
      <c r="K3" s="555" t="s">
        <v>732</v>
      </c>
      <c r="L3" s="643" t="s">
        <v>826</v>
      </c>
      <c r="M3" s="643" t="s">
        <v>872</v>
      </c>
      <c r="N3" s="643" t="s">
        <v>1109</v>
      </c>
      <c r="O3" s="531"/>
      <c r="P3" s="531" t="s">
        <v>1103</v>
      </c>
      <c r="Q3" s="531" t="s">
        <v>1093</v>
      </c>
      <c r="R3" s="531" t="s">
        <v>1094</v>
      </c>
      <c r="S3" s="531"/>
      <c r="T3" s="531"/>
      <c r="U3" s="531"/>
    </row>
    <row r="4" spans="1:21" ht="15.75" x14ac:dyDescent="0.25">
      <c r="A4" s="629">
        <v>999</v>
      </c>
      <c r="B4" s="596" t="s">
        <v>9</v>
      </c>
      <c r="C4" s="630"/>
      <c r="D4" s="532">
        <f t="shared" ref="D4:L4" si="0">SUM(D5:D124)</f>
        <v>751272</v>
      </c>
      <c r="E4" s="532">
        <f t="shared" si="0"/>
        <v>788458</v>
      </c>
      <c r="F4" s="532">
        <f t="shared" si="0"/>
        <v>802040</v>
      </c>
      <c r="G4" s="532">
        <f t="shared" si="0"/>
        <v>843341</v>
      </c>
      <c r="H4" s="532">
        <f t="shared" si="0"/>
        <v>976493</v>
      </c>
      <c r="I4" s="532">
        <f t="shared" si="0"/>
        <v>1149555</v>
      </c>
      <c r="J4" s="533">
        <f t="shared" si="0"/>
        <v>1261099</v>
      </c>
      <c r="K4" s="533">
        <f t="shared" si="0"/>
        <v>1343272</v>
      </c>
      <c r="L4" s="951">
        <f t="shared" si="0"/>
        <v>1402476</v>
      </c>
      <c r="M4" s="951">
        <v>1359367</v>
      </c>
      <c r="N4" s="1549">
        <v>1287689</v>
      </c>
      <c r="O4" s="531"/>
      <c r="P4" s="531"/>
      <c r="Q4" s="531"/>
      <c r="R4" s="531"/>
      <c r="S4" s="531"/>
      <c r="T4" s="531"/>
      <c r="U4" s="531"/>
    </row>
    <row r="5" spans="1:21" ht="15.75" x14ac:dyDescent="0.25">
      <c r="A5" s="536" t="s">
        <v>10</v>
      </c>
      <c r="B5" s="539" t="s">
        <v>11</v>
      </c>
      <c r="C5" s="594" t="s">
        <v>264</v>
      </c>
      <c r="D5" s="542">
        <v>5982</v>
      </c>
      <c r="E5" s="542">
        <v>6196</v>
      </c>
      <c r="F5" s="542">
        <v>6487</v>
      </c>
      <c r="G5" s="542">
        <v>6764</v>
      </c>
      <c r="H5" s="542">
        <v>7393</v>
      </c>
      <c r="I5" s="542">
        <v>8490</v>
      </c>
      <c r="J5" s="542">
        <v>9362</v>
      </c>
      <c r="K5" s="543">
        <v>10046</v>
      </c>
      <c r="L5" s="952">
        <v>10332</v>
      </c>
      <c r="M5" s="952">
        <v>10088</v>
      </c>
      <c r="N5" s="1550">
        <v>9291</v>
      </c>
      <c r="P5" s="272">
        <f t="shared" ref="P5:P36" si="1">(M5-N5)/M5</f>
        <v>7.9004758128469466E-2</v>
      </c>
      <c r="Q5" s="272">
        <f t="shared" ref="Q5:Q36" si="2">(L5-M5)/L5</f>
        <v>2.3615950445218737E-2</v>
      </c>
      <c r="R5" s="272">
        <f t="shared" ref="R5:R36" si="3">(L5-K5)/K5</f>
        <v>2.8469042404937289E-2</v>
      </c>
    </row>
    <row r="6" spans="1:21" ht="15.75" x14ac:dyDescent="0.25">
      <c r="A6" s="537" t="s">
        <v>12</v>
      </c>
      <c r="B6" s="540" t="s">
        <v>13</v>
      </c>
      <c r="C6" s="595" t="s">
        <v>265</v>
      </c>
      <c r="D6" s="544">
        <v>4580</v>
      </c>
      <c r="E6" s="544">
        <v>5076</v>
      </c>
      <c r="F6" s="544">
        <v>5231</v>
      </c>
      <c r="G6" s="544">
        <v>5708</v>
      </c>
      <c r="H6" s="544">
        <v>7052</v>
      </c>
      <c r="I6" s="544">
        <v>8838</v>
      </c>
      <c r="J6" s="544">
        <v>9931</v>
      </c>
      <c r="K6" s="545">
        <v>10527</v>
      </c>
      <c r="L6" s="952">
        <v>10776</v>
      </c>
      <c r="M6" s="952">
        <v>10403</v>
      </c>
      <c r="N6" s="1550">
        <v>9833</v>
      </c>
      <c r="P6" s="272">
        <f t="shared" si="1"/>
        <v>5.4791886955685862E-2</v>
      </c>
      <c r="Q6" s="272">
        <f t="shared" si="2"/>
        <v>3.4613956941351151E-2</v>
      </c>
      <c r="R6" s="272">
        <f t="shared" si="3"/>
        <v>2.365346252493588E-2</v>
      </c>
    </row>
    <row r="7" spans="1:21" ht="15.75" x14ac:dyDescent="0.25">
      <c r="A7" s="537" t="s">
        <v>16</v>
      </c>
      <c r="B7" s="540" t="s">
        <v>297</v>
      </c>
      <c r="C7" s="595" t="s">
        <v>265</v>
      </c>
      <c r="D7" s="544">
        <v>3621</v>
      </c>
      <c r="E7" s="544">
        <v>3696</v>
      </c>
      <c r="F7" s="544">
        <v>3868</v>
      </c>
      <c r="G7" s="544">
        <v>4048</v>
      </c>
      <c r="H7" s="544">
        <v>4527</v>
      </c>
      <c r="I7" s="544">
        <v>4745</v>
      </c>
      <c r="J7" s="544">
        <v>4987</v>
      </c>
      <c r="K7" s="545">
        <v>5413</v>
      </c>
      <c r="L7" s="952">
        <v>5618</v>
      </c>
      <c r="M7" s="952">
        <v>5278</v>
      </c>
      <c r="N7" s="1550">
        <v>5000</v>
      </c>
      <c r="P7" s="272">
        <f t="shared" si="1"/>
        <v>5.267146646456991E-2</v>
      </c>
      <c r="Q7" s="1473">
        <f t="shared" si="2"/>
        <v>6.0519757920968316E-2</v>
      </c>
      <c r="R7" s="1473">
        <f t="shared" si="3"/>
        <v>3.7871790134860521E-2</v>
      </c>
    </row>
    <row r="8" spans="1:21" ht="15.75" x14ac:dyDescent="0.25">
      <c r="A8" s="537" t="s">
        <v>18</v>
      </c>
      <c r="B8" s="540" t="s">
        <v>19</v>
      </c>
      <c r="C8" s="595" t="s">
        <v>266</v>
      </c>
      <c r="D8" s="544">
        <v>1509</v>
      </c>
      <c r="E8" s="544">
        <v>1696</v>
      </c>
      <c r="F8" s="544">
        <v>1683</v>
      </c>
      <c r="G8" s="544">
        <v>1729</v>
      </c>
      <c r="H8" s="544">
        <v>2278</v>
      </c>
      <c r="I8" s="544">
        <v>2779</v>
      </c>
      <c r="J8" s="544">
        <v>2928</v>
      </c>
      <c r="K8" s="545">
        <v>3096</v>
      </c>
      <c r="L8" s="952">
        <v>3000</v>
      </c>
      <c r="M8" s="952">
        <v>2803</v>
      </c>
      <c r="N8" s="1550">
        <v>2546</v>
      </c>
      <c r="P8" s="272">
        <f t="shared" si="1"/>
        <v>9.1687477702461648E-2</v>
      </c>
      <c r="Q8" s="272">
        <f t="shared" si="2"/>
        <v>6.5666666666666665E-2</v>
      </c>
      <c r="R8" s="272">
        <f t="shared" si="3"/>
        <v>-3.1007751937984496E-2</v>
      </c>
    </row>
    <row r="9" spans="1:21" ht="15.75" x14ac:dyDescent="0.25">
      <c r="A9" s="537" t="s">
        <v>20</v>
      </c>
      <c r="B9" s="540" t="s">
        <v>21</v>
      </c>
      <c r="C9" s="595" t="s">
        <v>265</v>
      </c>
      <c r="D9" s="544">
        <v>4148</v>
      </c>
      <c r="E9" s="544">
        <v>4347</v>
      </c>
      <c r="F9" s="544">
        <v>4122</v>
      </c>
      <c r="G9" s="544">
        <v>4158</v>
      </c>
      <c r="H9" s="544">
        <v>4754</v>
      </c>
      <c r="I9" s="544">
        <v>5718</v>
      </c>
      <c r="J9" s="544">
        <v>5979</v>
      </c>
      <c r="K9" s="545">
        <v>6082</v>
      </c>
      <c r="L9" s="952">
        <v>6250</v>
      </c>
      <c r="M9" s="952">
        <v>5848</v>
      </c>
      <c r="N9" s="1550">
        <v>5298</v>
      </c>
      <c r="P9" s="272">
        <f t="shared" si="1"/>
        <v>9.4049247606019154E-2</v>
      </c>
      <c r="Q9" s="272">
        <f t="shared" si="2"/>
        <v>6.4320000000000002E-2</v>
      </c>
      <c r="R9" s="272">
        <f t="shared" si="3"/>
        <v>2.7622492601118053E-2</v>
      </c>
    </row>
    <row r="10" spans="1:21" ht="15.75" x14ac:dyDescent="0.25">
      <c r="A10" s="537" t="s">
        <v>22</v>
      </c>
      <c r="B10" s="540" t="s">
        <v>23</v>
      </c>
      <c r="C10" s="595" t="s">
        <v>265</v>
      </c>
      <c r="D10" s="544">
        <v>2212</v>
      </c>
      <c r="E10" s="544">
        <v>2324</v>
      </c>
      <c r="F10" s="544">
        <v>2356</v>
      </c>
      <c r="G10" s="544">
        <v>2555</v>
      </c>
      <c r="H10" s="544">
        <v>2809</v>
      </c>
      <c r="I10" s="544">
        <v>3211</v>
      </c>
      <c r="J10" s="544">
        <v>3456</v>
      </c>
      <c r="K10" s="545">
        <v>3681</v>
      </c>
      <c r="L10" s="952">
        <v>3788</v>
      </c>
      <c r="M10" s="952">
        <v>3667</v>
      </c>
      <c r="N10" s="1550">
        <v>3487</v>
      </c>
      <c r="P10" s="272">
        <f t="shared" si="1"/>
        <v>4.9086446686664849E-2</v>
      </c>
      <c r="Q10" s="272">
        <f t="shared" si="2"/>
        <v>3.1942977824709611E-2</v>
      </c>
      <c r="R10" s="272">
        <f t="shared" si="3"/>
        <v>2.9068187992393371E-2</v>
      </c>
    </row>
    <row r="11" spans="1:21" ht="15.75" x14ac:dyDescent="0.25">
      <c r="A11" s="537" t="s">
        <v>24</v>
      </c>
      <c r="B11" s="540" t="s">
        <v>25</v>
      </c>
      <c r="C11" s="595" t="s">
        <v>267</v>
      </c>
      <c r="D11" s="544">
        <v>7066</v>
      </c>
      <c r="E11" s="544">
        <v>6991</v>
      </c>
      <c r="F11" s="544">
        <v>6532</v>
      </c>
      <c r="G11" s="544">
        <v>6865</v>
      </c>
      <c r="H11" s="544">
        <v>8392</v>
      </c>
      <c r="I11" s="544">
        <v>10038</v>
      </c>
      <c r="J11" s="544">
        <v>11526</v>
      </c>
      <c r="K11" s="545">
        <v>12781</v>
      </c>
      <c r="L11" s="952">
        <v>13822</v>
      </c>
      <c r="M11" s="952">
        <v>13840</v>
      </c>
      <c r="N11" s="1550">
        <v>13383</v>
      </c>
      <c r="P11" s="272">
        <f t="shared" si="1"/>
        <v>3.3020231213872833E-2</v>
      </c>
      <c r="Q11" s="272">
        <f t="shared" si="2"/>
        <v>-1.3022717407032266E-3</v>
      </c>
      <c r="R11" s="272">
        <f t="shared" si="3"/>
        <v>8.1449025897817079E-2</v>
      </c>
    </row>
    <row r="12" spans="1:21" ht="15.75" x14ac:dyDescent="0.25">
      <c r="A12" s="537" t="s">
        <v>26</v>
      </c>
      <c r="B12" s="540" t="s">
        <v>686</v>
      </c>
      <c r="C12" s="595" t="s">
        <v>265</v>
      </c>
      <c r="D12" s="544">
        <v>11894</v>
      </c>
      <c r="E12" s="544">
        <v>12791</v>
      </c>
      <c r="F12" s="544">
        <v>13054</v>
      </c>
      <c r="G12" s="544">
        <v>14389</v>
      </c>
      <c r="H12" s="544">
        <v>17153</v>
      </c>
      <c r="I12" s="544">
        <v>20080</v>
      </c>
      <c r="J12" s="544">
        <v>22221</v>
      </c>
      <c r="K12" s="545">
        <v>23384</v>
      </c>
      <c r="L12" s="952">
        <v>25492</v>
      </c>
      <c r="M12" s="952">
        <v>22640</v>
      </c>
      <c r="N12" s="1550">
        <v>20472</v>
      </c>
      <c r="P12" s="272">
        <f t="shared" si="1"/>
        <v>9.5759717314487638E-2</v>
      </c>
      <c r="Q12" s="1473">
        <f t="shared" si="2"/>
        <v>0.1118782363094304</v>
      </c>
      <c r="R12" s="1473">
        <f t="shared" si="3"/>
        <v>9.0147109134450912E-2</v>
      </c>
    </row>
    <row r="13" spans="1:21" ht="15.75" x14ac:dyDescent="0.25">
      <c r="A13" s="537" t="s">
        <v>27</v>
      </c>
      <c r="B13" s="540" t="s">
        <v>28</v>
      </c>
      <c r="C13" s="595" t="s">
        <v>265</v>
      </c>
      <c r="D13" s="544">
        <v>285</v>
      </c>
      <c r="E13" s="544">
        <v>275</v>
      </c>
      <c r="F13" s="544">
        <v>306</v>
      </c>
      <c r="G13" s="544">
        <v>400</v>
      </c>
      <c r="H13" s="544">
        <v>470</v>
      </c>
      <c r="I13" s="544">
        <v>573</v>
      </c>
      <c r="J13" s="544">
        <v>579</v>
      </c>
      <c r="K13" s="545">
        <v>693</v>
      </c>
      <c r="L13" s="952">
        <v>750</v>
      </c>
      <c r="M13" s="952">
        <v>665</v>
      </c>
      <c r="N13" s="1550">
        <v>589</v>
      </c>
      <c r="P13" s="272">
        <f t="shared" si="1"/>
        <v>0.11428571428571428</v>
      </c>
      <c r="Q13" s="272">
        <f t="shared" si="2"/>
        <v>0.11333333333333333</v>
      </c>
      <c r="R13" s="272">
        <f t="shared" si="3"/>
        <v>8.2251082251082255E-2</v>
      </c>
    </row>
    <row r="14" spans="1:21" ht="15.75" x14ac:dyDescent="0.25">
      <c r="A14" s="537" t="s">
        <v>29</v>
      </c>
      <c r="B14" s="540" t="s">
        <v>924</v>
      </c>
      <c r="C14" s="595" t="s">
        <v>265</v>
      </c>
      <c r="D14" s="544">
        <v>6198</v>
      </c>
      <c r="E14" s="544">
        <v>6521</v>
      </c>
      <c r="F14" s="544">
        <v>6761</v>
      </c>
      <c r="G14" s="544">
        <v>6795</v>
      </c>
      <c r="H14" s="544">
        <v>8037</v>
      </c>
      <c r="I14" s="544">
        <v>9464</v>
      </c>
      <c r="J14" s="544">
        <v>10370</v>
      </c>
      <c r="K14" s="545">
        <v>10717</v>
      </c>
      <c r="L14" s="952">
        <v>11077</v>
      </c>
      <c r="M14" s="952">
        <v>11387</v>
      </c>
      <c r="N14" s="1550">
        <v>9512</v>
      </c>
      <c r="P14" s="272">
        <f t="shared" si="1"/>
        <v>0.16466145604636867</v>
      </c>
      <c r="Q14" s="272">
        <f t="shared" si="2"/>
        <v>-2.7985916764466913E-2</v>
      </c>
      <c r="R14" s="272">
        <f t="shared" si="3"/>
        <v>3.3591490155827193E-2</v>
      </c>
    </row>
    <row r="15" spans="1:21" ht="15.75" x14ac:dyDescent="0.25">
      <c r="A15" s="537" t="s">
        <v>30</v>
      </c>
      <c r="B15" s="633" t="s">
        <v>31</v>
      </c>
      <c r="C15" s="595" t="s">
        <v>268</v>
      </c>
      <c r="D15" s="544">
        <v>720</v>
      </c>
      <c r="E15" s="544">
        <v>758</v>
      </c>
      <c r="F15" s="544">
        <v>760</v>
      </c>
      <c r="G15" s="544">
        <v>762</v>
      </c>
      <c r="H15" s="544">
        <v>807</v>
      </c>
      <c r="I15" s="544">
        <v>875</v>
      </c>
      <c r="J15" s="544">
        <v>970</v>
      </c>
      <c r="K15" s="545">
        <v>953</v>
      </c>
      <c r="L15" s="952">
        <v>993</v>
      </c>
      <c r="M15" s="952">
        <v>923</v>
      </c>
      <c r="N15" s="1550">
        <v>826</v>
      </c>
      <c r="P15" s="272">
        <f t="shared" si="1"/>
        <v>0.10509209100758396</v>
      </c>
      <c r="Q15" s="272">
        <f t="shared" si="2"/>
        <v>7.0493454179254789E-2</v>
      </c>
      <c r="R15" s="272">
        <f t="shared" si="3"/>
        <v>4.197271773347324E-2</v>
      </c>
    </row>
    <row r="16" spans="1:21" ht="15.75" x14ac:dyDescent="0.25">
      <c r="A16" s="537" t="s">
        <v>32</v>
      </c>
      <c r="B16" s="540" t="s">
        <v>33</v>
      </c>
      <c r="C16" s="595" t="s">
        <v>265</v>
      </c>
      <c r="D16" s="544">
        <v>1372</v>
      </c>
      <c r="E16" s="544">
        <v>1459</v>
      </c>
      <c r="F16" s="544">
        <v>1481</v>
      </c>
      <c r="G16" s="544">
        <v>1634</v>
      </c>
      <c r="H16" s="544">
        <v>1929</v>
      </c>
      <c r="I16" s="544">
        <v>2461</v>
      </c>
      <c r="J16" s="544">
        <v>2522</v>
      </c>
      <c r="K16" s="545">
        <v>2764</v>
      </c>
      <c r="L16" s="952">
        <v>2819</v>
      </c>
      <c r="M16" s="952">
        <v>2794</v>
      </c>
      <c r="N16" s="1550">
        <v>2734</v>
      </c>
      <c r="P16" s="272">
        <f t="shared" si="1"/>
        <v>2.1474588403722263E-2</v>
      </c>
      <c r="Q16" s="272">
        <f t="shared" si="2"/>
        <v>8.8683930471798508E-3</v>
      </c>
      <c r="R16" s="272">
        <f t="shared" si="3"/>
        <v>1.9898697539797394E-2</v>
      </c>
    </row>
    <row r="17" spans="1:18" ht="15.75" x14ac:dyDescent="0.25">
      <c r="A17" s="537" t="s">
        <v>36</v>
      </c>
      <c r="B17" s="540" t="s">
        <v>37</v>
      </c>
      <c r="C17" s="595" t="s">
        <v>264</v>
      </c>
      <c r="D17" s="544">
        <v>3608</v>
      </c>
      <c r="E17" s="544">
        <v>3766</v>
      </c>
      <c r="F17" s="544">
        <v>3888</v>
      </c>
      <c r="G17" s="544">
        <v>3948</v>
      </c>
      <c r="H17" s="544">
        <v>4353</v>
      </c>
      <c r="I17" s="544">
        <v>4710</v>
      </c>
      <c r="J17" s="544">
        <v>5056</v>
      </c>
      <c r="K17" s="545">
        <v>5222</v>
      </c>
      <c r="L17" s="952">
        <v>5261</v>
      </c>
      <c r="M17" s="952">
        <v>5136</v>
      </c>
      <c r="N17" s="1550">
        <v>4806</v>
      </c>
      <c r="P17" s="272">
        <f t="shared" si="1"/>
        <v>6.4252336448598124E-2</v>
      </c>
      <c r="Q17" s="272">
        <f t="shared" si="2"/>
        <v>2.3759741494012544E-2</v>
      </c>
      <c r="R17" s="272">
        <f t="shared" si="3"/>
        <v>7.46840291076216E-3</v>
      </c>
    </row>
    <row r="18" spans="1:18" ht="15.75" x14ac:dyDescent="0.25">
      <c r="A18" s="537" t="s">
        <v>38</v>
      </c>
      <c r="B18" s="540" t="s">
        <v>39</v>
      </c>
      <c r="C18" s="595" t="s">
        <v>268</v>
      </c>
      <c r="D18" s="544">
        <v>5892</v>
      </c>
      <c r="E18" s="544">
        <v>5754</v>
      </c>
      <c r="F18" s="544">
        <v>5594</v>
      </c>
      <c r="G18" s="544">
        <v>5580</v>
      </c>
      <c r="H18" s="544">
        <v>5768</v>
      </c>
      <c r="I18" s="544">
        <v>6066</v>
      </c>
      <c r="J18" s="544">
        <v>6035</v>
      </c>
      <c r="K18" s="545">
        <v>6166</v>
      </c>
      <c r="L18" s="952">
        <v>6567</v>
      </c>
      <c r="M18" s="952">
        <v>6367</v>
      </c>
      <c r="N18" s="1550">
        <v>6262</v>
      </c>
      <c r="P18" s="272">
        <f t="shared" si="1"/>
        <v>1.6491283178891158E-2</v>
      </c>
      <c r="Q18" s="272">
        <f t="shared" si="2"/>
        <v>3.0455306837216384E-2</v>
      </c>
      <c r="R18" s="272">
        <f t="shared" si="3"/>
        <v>6.5034057735971457E-2</v>
      </c>
    </row>
    <row r="19" spans="1:18" ht="15.75" x14ac:dyDescent="0.25">
      <c r="A19" s="537" t="s">
        <v>40</v>
      </c>
      <c r="B19" s="540" t="s">
        <v>41</v>
      </c>
      <c r="C19" s="595" t="s">
        <v>266</v>
      </c>
      <c r="D19" s="544">
        <v>2763</v>
      </c>
      <c r="E19" s="544">
        <v>2828</v>
      </c>
      <c r="F19" s="544">
        <v>2954</v>
      </c>
      <c r="G19" s="544">
        <v>3089</v>
      </c>
      <c r="H19" s="544">
        <v>3524</v>
      </c>
      <c r="I19" s="544">
        <v>4135</v>
      </c>
      <c r="J19" s="544">
        <v>4476</v>
      </c>
      <c r="K19" s="545">
        <v>4756</v>
      </c>
      <c r="L19" s="952">
        <v>4849</v>
      </c>
      <c r="M19" s="952">
        <v>4470</v>
      </c>
      <c r="N19" s="1550">
        <v>4312</v>
      </c>
      <c r="P19" s="272">
        <f t="shared" si="1"/>
        <v>3.5346756152125278E-2</v>
      </c>
      <c r="Q19" s="272">
        <f t="shared" si="2"/>
        <v>7.816044545267066E-2</v>
      </c>
      <c r="R19" s="272">
        <f t="shared" si="3"/>
        <v>1.9554247266610598E-2</v>
      </c>
    </row>
    <row r="20" spans="1:18" ht="15.75" x14ac:dyDescent="0.25">
      <c r="A20" s="537" t="s">
        <v>42</v>
      </c>
      <c r="B20" s="540" t="s">
        <v>43</v>
      </c>
      <c r="C20" s="595" t="s">
        <v>265</v>
      </c>
      <c r="D20" s="544">
        <v>6928</v>
      </c>
      <c r="E20" s="544">
        <v>7181</v>
      </c>
      <c r="F20" s="544">
        <v>7315</v>
      </c>
      <c r="G20" s="544">
        <v>7596</v>
      </c>
      <c r="H20" s="544">
        <v>8550</v>
      </c>
      <c r="I20" s="544">
        <v>10067</v>
      </c>
      <c r="J20" s="544">
        <v>10878</v>
      </c>
      <c r="K20" s="545">
        <v>11338</v>
      </c>
      <c r="L20" s="952">
        <v>11586</v>
      </c>
      <c r="M20" s="952">
        <v>11206</v>
      </c>
      <c r="N20" s="1550">
        <v>10862</v>
      </c>
      <c r="P20" s="272">
        <f t="shared" si="1"/>
        <v>3.0697840442620025E-2</v>
      </c>
      <c r="Q20" s="272">
        <f t="shared" si="2"/>
        <v>3.2798204729846368E-2</v>
      </c>
      <c r="R20" s="272">
        <f t="shared" si="3"/>
        <v>2.1873346269183278E-2</v>
      </c>
    </row>
    <row r="21" spans="1:18" ht="15.75" x14ac:dyDescent="0.25">
      <c r="A21" s="537" t="s">
        <v>44</v>
      </c>
      <c r="B21" s="540" t="s">
        <v>45</v>
      </c>
      <c r="C21" s="595" t="s">
        <v>266</v>
      </c>
      <c r="D21" s="544">
        <v>3702</v>
      </c>
      <c r="E21" s="544">
        <v>3805</v>
      </c>
      <c r="F21" s="544">
        <v>4025</v>
      </c>
      <c r="G21" s="544">
        <v>4534</v>
      </c>
      <c r="H21" s="544">
        <v>5612</v>
      </c>
      <c r="I21" s="544">
        <v>6487</v>
      </c>
      <c r="J21" s="544">
        <v>6917</v>
      </c>
      <c r="K21" s="545">
        <v>7318</v>
      </c>
      <c r="L21" s="952">
        <v>7516</v>
      </c>
      <c r="M21" s="952">
        <v>7062</v>
      </c>
      <c r="N21" s="1550">
        <v>6873</v>
      </c>
      <c r="P21" s="272">
        <f t="shared" si="1"/>
        <v>2.6762956669498725E-2</v>
      </c>
      <c r="Q21" s="272">
        <f t="shared" si="2"/>
        <v>6.0404470463012241E-2</v>
      </c>
      <c r="R21" s="272">
        <f t="shared" si="3"/>
        <v>2.705657283410768E-2</v>
      </c>
    </row>
    <row r="22" spans="1:18" ht="15.75" x14ac:dyDescent="0.25">
      <c r="A22" s="537" t="s">
        <v>46</v>
      </c>
      <c r="B22" s="540" t="s">
        <v>47</v>
      </c>
      <c r="C22" s="595" t="s">
        <v>268</v>
      </c>
      <c r="D22" s="544">
        <v>4883</v>
      </c>
      <c r="E22" s="544">
        <v>5103</v>
      </c>
      <c r="F22" s="544">
        <v>5345</v>
      </c>
      <c r="G22" s="544">
        <v>5657</v>
      </c>
      <c r="H22" s="544">
        <v>6429</v>
      </c>
      <c r="I22" s="544">
        <v>7118</v>
      </c>
      <c r="J22" s="544">
        <v>7552</v>
      </c>
      <c r="K22" s="545">
        <v>7844</v>
      </c>
      <c r="L22" s="952">
        <v>8008</v>
      </c>
      <c r="M22" s="952">
        <v>7687</v>
      </c>
      <c r="N22" s="1550">
        <v>7132</v>
      </c>
      <c r="P22" s="272">
        <f t="shared" si="1"/>
        <v>7.2199817874333286E-2</v>
      </c>
      <c r="Q22" s="272">
        <f t="shared" si="2"/>
        <v>4.0084915084915088E-2</v>
      </c>
      <c r="R22" s="272">
        <f t="shared" si="3"/>
        <v>2.0907700152983173E-2</v>
      </c>
    </row>
    <row r="23" spans="1:18" ht="15.75" x14ac:dyDescent="0.25">
      <c r="A23" s="537" t="s">
        <v>48</v>
      </c>
      <c r="B23" s="540" t="s">
        <v>269</v>
      </c>
      <c r="C23" s="595" t="s">
        <v>266</v>
      </c>
      <c r="D23" s="544">
        <v>765</v>
      </c>
      <c r="E23" s="544">
        <v>824</v>
      </c>
      <c r="F23" s="544">
        <v>890</v>
      </c>
      <c r="G23" s="544">
        <v>970</v>
      </c>
      <c r="H23" s="544">
        <v>1174</v>
      </c>
      <c r="I23" s="544">
        <v>1318</v>
      </c>
      <c r="J23" s="544">
        <v>1361</v>
      </c>
      <c r="K23" s="545">
        <v>1455</v>
      </c>
      <c r="L23" s="952">
        <v>1544</v>
      </c>
      <c r="M23" s="952">
        <v>1458</v>
      </c>
      <c r="N23" s="1550">
        <v>1369</v>
      </c>
      <c r="P23" s="272">
        <f t="shared" si="1"/>
        <v>6.1042524005486966E-2</v>
      </c>
      <c r="Q23" s="272">
        <f t="shared" si="2"/>
        <v>5.5699481865284971E-2</v>
      </c>
      <c r="R23" s="272">
        <f t="shared" si="3"/>
        <v>6.1168384879725084E-2</v>
      </c>
    </row>
    <row r="24" spans="1:18" ht="15.75" x14ac:dyDescent="0.25">
      <c r="A24" s="537" t="s">
        <v>50</v>
      </c>
      <c r="B24" s="540" t="s">
        <v>51</v>
      </c>
      <c r="C24" s="595" t="s">
        <v>265</v>
      </c>
      <c r="D24" s="544">
        <v>2244</v>
      </c>
      <c r="E24" s="544">
        <v>2370</v>
      </c>
      <c r="F24" s="544">
        <v>2538</v>
      </c>
      <c r="G24" s="544">
        <v>2585</v>
      </c>
      <c r="H24" s="544">
        <v>2950</v>
      </c>
      <c r="I24" s="544">
        <v>3231</v>
      </c>
      <c r="J24" s="544">
        <v>3392</v>
      </c>
      <c r="K24" s="545">
        <v>3552</v>
      </c>
      <c r="L24" s="952">
        <v>3509</v>
      </c>
      <c r="M24" s="952">
        <v>3211</v>
      </c>
      <c r="N24" s="1550">
        <v>3084</v>
      </c>
      <c r="P24" s="272">
        <f t="shared" si="1"/>
        <v>3.9551541575833071E-2</v>
      </c>
      <c r="Q24" s="272">
        <f t="shared" si="2"/>
        <v>8.492447990880593E-2</v>
      </c>
      <c r="R24" s="272">
        <f t="shared" si="3"/>
        <v>-1.2105855855855855E-2</v>
      </c>
    </row>
    <row r="25" spans="1:18" ht="15.75" x14ac:dyDescent="0.25">
      <c r="A25" s="537" t="s">
        <v>56</v>
      </c>
      <c r="B25" s="540" t="s">
        <v>295</v>
      </c>
      <c r="C25" s="595" t="s">
        <v>266</v>
      </c>
      <c r="D25" s="544">
        <v>21320</v>
      </c>
      <c r="E25" s="544">
        <v>22790</v>
      </c>
      <c r="F25" s="544">
        <v>23749</v>
      </c>
      <c r="G25" s="544">
        <v>26017</v>
      </c>
      <c r="H25" s="544">
        <v>32304</v>
      </c>
      <c r="I25" s="544">
        <v>40766</v>
      </c>
      <c r="J25" s="544">
        <v>45795</v>
      </c>
      <c r="K25" s="545">
        <v>49220</v>
      </c>
      <c r="L25" s="952">
        <v>51844</v>
      </c>
      <c r="M25" s="952">
        <v>50895</v>
      </c>
      <c r="N25" s="1550">
        <v>48169</v>
      </c>
      <c r="P25" s="272">
        <f t="shared" si="1"/>
        <v>5.3561253561253561E-2</v>
      </c>
      <c r="Q25" s="272">
        <f t="shared" si="2"/>
        <v>1.8304914744232698E-2</v>
      </c>
      <c r="R25" s="272">
        <f t="shared" si="3"/>
        <v>5.3311661926046319E-2</v>
      </c>
    </row>
    <row r="26" spans="1:18" ht="15.75" x14ac:dyDescent="0.25">
      <c r="A26" s="537" t="s">
        <v>58</v>
      </c>
      <c r="B26" s="540" t="s">
        <v>59</v>
      </c>
      <c r="C26" s="595" t="s">
        <v>267</v>
      </c>
      <c r="D26" s="544">
        <v>550</v>
      </c>
      <c r="E26" s="544">
        <v>553</v>
      </c>
      <c r="F26" s="544">
        <v>690</v>
      </c>
      <c r="G26" s="544">
        <v>760</v>
      </c>
      <c r="H26" s="544">
        <v>1050</v>
      </c>
      <c r="I26" s="544">
        <v>1190</v>
      </c>
      <c r="J26" s="544">
        <v>1289</v>
      </c>
      <c r="K26" s="545">
        <v>1315</v>
      </c>
      <c r="L26" s="952">
        <v>1310</v>
      </c>
      <c r="M26" s="952">
        <v>1219</v>
      </c>
      <c r="N26" s="1550">
        <v>1008</v>
      </c>
      <c r="P26" s="272">
        <f t="shared" si="1"/>
        <v>0.17309269893355209</v>
      </c>
      <c r="Q26" s="272">
        <f t="shared" si="2"/>
        <v>6.9465648854961828E-2</v>
      </c>
      <c r="R26" s="272">
        <f t="shared" si="3"/>
        <v>-3.8022813688212928E-3</v>
      </c>
    </row>
    <row r="27" spans="1:18" ht="15.75" x14ac:dyDescent="0.25">
      <c r="A27" s="537" t="s">
        <v>60</v>
      </c>
      <c r="B27" s="540" t="s">
        <v>61</v>
      </c>
      <c r="C27" s="595" t="s">
        <v>265</v>
      </c>
      <c r="D27" s="544">
        <v>517</v>
      </c>
      <c r="E27" s="544">
        <v>542</v>
      </c>
      <c r="F27" s="544">
        <v>533</v>
      </c>
      <c r="G27" s="544">
        <v>578</v>
      </c>
      <c r="H27" s="544">
        <v>662</v>
      </c>
      <c r="I27" s="544">
        <v>800</v>
      </c>
      <c r="J27" s="544">
        <v>829</v>
      </c>
      <c r="K27" s="545">
        <v>911</v>
      </c>
      <c r="L27" s="952">
        <v>927</v>
      </c>
      <c r="M27" s="952">
        <v>851</v>
      </c>
      <c r="N27" s="1550">
        <v>853</v>
      </c>
      <c r="P27" s="272">
        <f t="shared" si="1"/>
        <v>-2.3501762632197414E-3</v>
      </c>
      <c r="Q27" s="272">
        <f t="shared" si="2"/>
        <v>8.1984897518878108E-2</v>
      </c>
      <c r="R27" s="272">
        <f t="shared" si="3"/>
        <v>1.756311745334797E-2</v>
      </c>
    </row>
    <row r="28" spans="1:18" ht="15.75" x14ac:dyDescent="0.25">
      <c r="A28" s="537" t="s">
        <v>62</v>
      </c>
      <c r="B28" s="540" t="s">
        <v>63</v>
      </c>
      <c r="C28" s="595" t="s">
        <v>267</v>
      </c>
      <c r="D28" s="544">
        <v>3359</v>
      </c>
      <c r="E28" s="544">
        <v>3705</v>
      </c>
      <c r="F28" s="544">
        <v>3982</v>
      </c>
      <c r="G28" s="544">
        <v>4656</v>
      </c>
      <c r="H28" s="544">
        <v>6257</v>
      </c>
      <c r="I28" s="544">
        <v>7702</v>
      </c>
      <c r="J28" s="544">
        <v>8297</v>
      </c>
      <c r="K28" s="545">
        <v>8619</v>
      </c>
      <c r="L28" s="952">
        <v>9095</v>
      </c>
      <c r="M28" s="952">
        <v>8623</v>
      </c>
      <c r="N28" s="1550">
        <v>8207</v>
      </c>
      <c r="P28" s="272">
        <f t="shared" si="1"/>
        <v>4.8243070857010323E-2</v>
      </c>
      <c r="Q28" s="272">
        <f t="shared" si="2"/>
        <v>5.1896646509070915E-2</v>
      </c>
      <c r="R28" s="272">
        <f t="shared" si="3"/>
        <v>5.5226824457593686E-2</v>
      </c>
    </row>
    <row r="29" spans="1:18" ht="15.75" x14ac:dyDescent="0.25">
      <c r="A29" s="537" t="s">
        <v>64</v>
      </c>
      <c r="B29" s="540" t="s">
        <v>65</v>
      </c>
      <c r="C29" s="595" t="s">
        <v>266</v>
      </c>
      <c r="D29" s="544">
        <v>1905</v>
      </c>
      <c r="E29" s="544">
        <v>1918</v>
      </c>
      <c r="F29" s="544">
        <v>2027</v>
      </c>
      <c r="G29" s="544">
        <v>2146</v>
      </c>
      <c r="H29" s="544">
        <v>2481</v>
      </c>
      <c r="I29" s="544">
        <v>2793</v>
      </c>
      <c r="J29" s="544">
        <v>2986</v>
      </c>
      <c r="K29" s="545">
        <v>3186</v>
      </c>
      <c r="L29" s="952">
        <v>3218</v>
      </c>
      <c r="M29" s="952">
        <v>3142</v>
      </c>
      <c r="N29" s="1550">
        <v>2949</v>
      </c>
      <c r="P29" s="272">
        <f t="shared" si="1"/>
        <v>6.1425843411839591E-2</v>
      </c>
      <c r="Q29" s="272">
        <f t="shared" si="2"/>
        <v>2.3617153511497825E-2</v>
      </c>
      <c r="R29" s="272">
        <f t="shared" si="3"/>
        <v>1.0043942247332079E-2</v>
      </c>
    </row>
    <row r="30" spans="1:18" ht="15.75" x14ac:dyDescent="0.25">
      <c r="A30" s="537" t="s">
        <v>68</v>
      </c>
      <c r="B30" s="540" t="s">
        <v>69</v>
      </c>
      <c r="C30" s="595" t="s">
        <v>268</v>
      </c>
      <c r="D30" s="544">
        <v>3875</v>
      </c>
      <c r="E30" s="544">
        <v>3908</v>
      </c>
      <c r="F30" s="544">
        <v>3822</v>
      </c>
      <c r="G30" s="544">
        <v>3878</v>
      </c>
      <c r="H30" s="544">
        <v>4017</v>
      </c>
      <c r="I30" s="544">
        <v>4315</v>
      </c>
      <c r="J30" s="544">
        <v>4437</v>
      </c>
      <c r="K30" s="545">
        <v>4585</v>
      </c>
      <c r="L30" s="952">
        <v>4838</v>
      </c>
      <c r="M30" s="952">
        <v>4598</v>
      </c>
      <c r="N30" s="1550">
        <v>4372</v>
      </c>
      <c r="P30" s="272">
        <f t="shared" si="1"/>
        <v>4.9151805132666378E-2</v>
      </c>
      <c r="Q30" s="272">
        <f t="shared" si="2"/>
        <v>4.9607275733774284E-2</v>
      </c>
      <c r="R30" s="272">
        <f t="shared" si="3"/>
        <v>5.5179934569247545E-2</v>
      </c>
    </row>
    <row r="31" spans="1:18" ht="15.75" x14ac:dyDescent="0.25">
      <c r="A31" s="537" t="s">
        <v>70</v>
      </c>
      <c r="B31" s="540" t="s">
        <v>71</v>
      </c>
      <c r="C31" s="595" t="s">
        <v>264</v>
      </c>
      <c r="D31" s="544">
        <v>3893</v>
      </c>
      <c r="E31" s="544">
        <v>4152</v>
      </c>
      <c r="F31" s="544">
        <v>4203</v>
      </c>
      <c r="G31" s="544">
        <v>4383</v>
      </c>
      <c r="H31" s="544">
        <v>5090</v>
      </c>
      <c r="I31" s="544">
        <v>6023</v>
      </c>
      <c r="J31" s="544">
        <v>6350</v>
      </c>
      <c r="K31" s="545">
        <v>6753</v>
      </c>
      <c r="L31" s="952">
        <v>6809</v>
      </c>
      <c r="M31" s="952">
        <v>6500</v>
      </c>
      <c r="N31" s="1550">
        <v>6326</v>
      </c>
      <c r="P31" s="272">
        <f t="shared" si="1"/>
        <v>2.6769230769230771E-2</v>
      </c>
      <c r="Q31" s="272">
        <f t="shared" si="2"/>
        <v>4.5381113232486413E-2</v>
      </c>
      <c r="R31" s="272">
        <f t="shared" si="3"/>
        <v>8.2926106915444994E-3</v>
      </c>
    </row>
    <row r="32" spans="1:18" ht="15.75" x14ac:dyDescent="0.25">
      <c r="A32" s="537" t="s">
        <v>72</v>
      </c>
      <c r="B32" s="540" t="s">
        <v>73</v>
      </c>
      <c r="C32" s="595" t="s">
        <v>266</v>
      </c>
      <c r="D32" s="544">
        <v>1985</v>
      </c>
      <c r="E32" s="544">
        <v>2061</v>
      </c>
      <c r="F32" s="544">
        <v>2062</v>
      </c>
      <c r="G32" s="544">
        <v>2206</v>
      </c>
      <c r="H32" s="544">
        <v>2628</v>
      </c>
      <c r="I32" s="544">
        <v>2960</v>
      </c>
      <c r="J32" s="544">
        <v>3207</v>
      </c>
      <c r="K32" s="545">
        <v>3507</v>
      </c>
      <c r="L32" s="952">
        <v>3536</v>
      </c>
      <c r="M32" s="952">
        <v>3358</v>
      </c>
      <c r="N32" s="1550">
        <v>3162</v>
      </c>
      <c r="P32" s="272">
        <f t="shared" si="1"/>
        <v>5.8368076235854674E-2</v>
      </c>
      <c r="Q32" s="272">
        <f t="shared" si="2"/>
        <v>5.0339366515837106E-2</v>
      </c>
      <c r="R32" s="272">
        <f t="shared" si="3"/>
        <v>8.2691759338465922E-3</v>
      </c>
    </row>
    <row r="33" spans="1:18" ht="15.75" x14ac:dyDescent="0.25">
      <c r="A33" s="537" t="s">
        <v>74</v>
      </c>
      <c r="B33" s="540" t="s">
        <v>296</v>
      </c>
      <c r="C33" s="595" t="s">
        <v>267</v>
      </c>
      <c r="D33" s="544">
        <v>30107</v>
      </c>
      <c r="E33" s="544">
        <v>32481</v>
      </c>
      <c r="F33" s="544">
        <v>33617</v>
      </c>
      <c r="G33" s="544">
        <v>36644</v>
      </c>
      <c r="H33" s="544">
        <v>46502</v>
      </c>
      <c r="I33" s="544">
        <v>59952</v>
      </c>
      <c r="J33" s="544">
        <v>70182</v>
      </c>
      <c r="K33" s="545">
        <v>78782</v>
      </c>
      <c r="L33" s="952">
        <v>85543</v>
      </c>
      <c r="M33" s="952">
        <v>85323</v>
      </c>
      <c r="N33" s="1550">
        <v>81349</v>
      </c>
      <c r="P33" s="272">
        <f t="shared" si="1"/>
        <v>4.6575952556754917E-2</v>
      </c>
      <c r="Q33" s="272">
        <f t="shared" si="2"/>
        <v>2.5718059923079623E-3</v>
      </c>
      <c r="R33" s="272">
        <f t="shared" si="3"/>
        <v>8.5819095732527731E-2</v>
      </c>
    </row>
    <row r="34" spans="1:18" ht="15.75" x14ac:dyDescent="0.25">
      <c r="A34" s="537" t="s">
        <v>76</v>
      </c>
      <c r="B34" s="540" t="s">
        <v>77</v>
      </c>
      <c r="C34" s="595" t="s">
        <v>267</v>
      </c>
      <c r="D34" s="544">
        <v>2873</v>
      </c>
      <c r="E34" s="544">
        <v>3091</v>
      </c>
      <c r="F34" s="544">
        <v>3341</v>
      </c>
      <c r="G34" s="544">
        <v>4012</v>
      </c>
      <c r="H34" s="544">
        <v>5197</v>
      </c>
      <c r="I34" s="544">
        <v>6214</v>
      </c>
      <c r="J34" s="544">
        <v>6501</v>
      </c>
      <c r="K34" s="545">
        <v>6922</v>
      </c>
      <c r="L34" s="952">
        <v>7049</v>
      </c>
      <c r="M34" s="952">
        <v>6553</v>
      </c>
      <c r="N34" s="1550">
        <v>5924</v>
      </c>
      <c r="P34" s="272">
        <f t="shared" si="1"/>
        <v>9.5986571036166646E-2</v>
      </c>
      <c r="Q34" s="272">
        <f t="shared" si="2"/>
        <v>7.0364590722088241E-2</v>
      </c>
      <c r="R34" s="272">
        <f t="shared" si="3"/>
        <v>1.8347298468650679E-2</v>
      </c>
    </row>
    <row r="35" spans="1:18" ht="15.75" x14ac:dyDescent="0.25">
      <c r="A35" s="537" t="s">
        <v>78</v>
      </c>
      <c r="B35" s="540" t="s">
        <v>79</v>
      </c>
      <c r="C35" s="595" t="s">
        <v>268</v>
      </c>
      <c r="D35" s="544">
        <v>1729</v>
      </c>
      <c r="E35" s="544">
        <v>1857</v>
      </c>
      <c r="F35" s="544">
        <v>1883</v>
      </c>
      <c r="G35" s="544">
        <v>1981</v>
      </c>
      <c r="H35" s="544">
        <v>2249</v>
      </c>
      <c r="I35" s="544">
        <v>2672</v>
      </c>
      <c r="J35" s="544">
        <v>2937</v>
      </c>
      <c r="K35" s="545">
        <v>3093</v>
      </c>
      <c r="L35" s="952">
        <v>3085</v>
      </c>
      <c r="M35" s="952">
        <v>2879</v>
      </c>
      <c r="N35" s="1550">
        <v>2646</v>
      </c>
      <c r="P35" s="272">
        <f t="shared" si="1"/>
        <v>8.0930878777353249E-2</v>
      </c>
      <c r="Q35" s="272">
        <f t="shared" si="2"/>
        <v>6.6774716369529988E-2</v>
      </c>
      <c r="R35" s="272">
        <f t="shared" si="3"/>
        <v>-2.5864856126737797E-3</v>
      </c>
    </row>
    <row r="36" spans="1:18" ht="15.75" x14ac:dyDescent="0.25">
      <c r="A36" s="537" t="s">
        <v>80</v>
      </c>
      <c r="B36" s="540" t="s">
        <v>81</v>
      </c>
      <c r="C36" s="595" t="s">
        <v>266</v>
      </c>
      <c r="D36" s="544">
        <v>1197</v>
      </c>
      <c r="E36" s="544">
        <v>1281</v>
      </c>
      <c r="F36" s="544">
        <v>1385</v>
      </c>
      <c r="G36" s="544">
        <v>1374</v>
      </c>
      <c r="H36" s="544">
        <v>1805</v>
      </c>
      <c r="I36" s="544">
        <v>2186</v>
      </c>
      <c r="J36" s="544">
        <v>2547</v>
      </c>
      <c r="K36" s="545">
        <v>2908</v>
      </c>
      <c r="L36" s="952">
        <v>2886</v>
      </c>
      <c r="M36" s="952">
        <v>2767</v>
      </c>
      <c r="N36" s="1550">
        <v>2569</v>
      </c>
      <c r="P36" s="272">
        <f t="shared" si="1"/>
        <v>7.1557643657390674E-2</v>
      </c>
      <c r="Q36" s="272">
        <f t="shared" si="2"/>
        <v>4.1233541233541234E-2</v>
      </c>
      <c r="R36" s="272">
        <f t="shared" si="3"/>
        <v>-7.5653370013755161E-3</v>
      </c>
    </row>
    <row r="37" spans="1:18" ht="15.75" x14ac:dyDescent="0.25">
      <c r="A37" s="537" t="s">
        <v>84</v>
      </c>
      <c r="B37" s="540" t="s">
        <v>85</v>
      </c>
      <c r="C37" s="595" t="s">
        <v>265</v>
      </c>
      <c r="D37" s="544">
        <v>6550</v>
      </c>
      <c r="E37" s="544">
        <v>6928</v>
      </c>
      <c r="F37" s="544">
        <v>7163</v>
      </c>
      <c r="G37" s="544">
        <v>8091</v>
      </c>
      <c r="H37" s="544">
        <v>9582</v>
      </c>
      <c r="I37" s="544">
        <v>10818</v>
      </c>
      <c r="J37" s="544">
        <v>11442</v>
      </c>
      <c r="K37" s="545">
        <v>11872</v>
      </c>
      <c r="L37" s="952">
        <v>11963</v>
      </c>
      <c r="M37" s="952">
        <v>11430</v>
      </c>
      <c r="N37" s="1550">
        <v>10616</v>
      </c>
      <c r="P37" s="272">
        <f t="shared" ref="P37:P68" si="4">(M37-N37)/M37</f>
        <v>7.1216097987751525E-2</v>
      </c>
      <c r="Q37" s="272">
        <f t="shared" ref="Q37:Q68" si="5">(L37-M37)/L37</f>
        <v>4.4554041628354094E-2</v>
      </c>
      <c r="R37" s="272">
        <f t="shared" ref="R37:R68" si="6">(L37-K37)/K37</f>
        <v>7.6650943396226415E-3</v>
      </c>
    </row>
    <row r="38" spans="1:18" ht="15.75" x14ac:dyDescent="0.25">
      <c r="A38" s="537" t="s">
        <v>86</v>
      </c>
      <c r="B38" s="540" t="s">
        <v>87</v>
      </c>
      <c r="C38" s="595" t="s">
        <v>267</v>
      </c>
      <c r="D38" s="544">
        <v>3824</v>
      </c>
      <c r="E38" s="544">
        <v>4185</v>
      </c>
      <c r="F38" s="544">
        <v>4735</v>
      </c>
      <c r="G38" s="544">
        <v>5839</v>
      </c>
      <c r="H38" s="544">
        <v>7765</v>
      </c>
      <c r="I38" s="544">
        <v>9789</v>
      </c>
      <c r="J38" s="544">
        <v>11003</v>
      </c>
      <c r="K38" s="545">
        <v>11618</v>
      </c>
      <c r="L38" s="952">
        <v>11979</v>
      </c>
      <c r="M38" s="952">
        <v>10590</v>
      </c>
      <c r="N38" s="1550">
        <v>9714</v>
      </c>
      <c r="P38" s="272">
        <f t="shared" si="4"/>
        <v>8.2719546742209632E-2</v>
      </c>
      <c r="Q38" s="272">
        <f t="shared" si="5"/>
        <v>0.11595291760581017</v>
      </c>
      <c r="R38" s="272">
        <f t="shared" si="6"/>
        <v>3.1072473747632983E-2</v>
      </c>
    </row>
    <row r="39" spans="1:18" ht="15.75" x14ac:dyDescent="0.25">
      <c r="A39" s="537" t="s">
        <v>92</v>
      </c>
      <c r="B39" s="540" t="s">
        <v>93</v>
      </c>
      <c r="C39" s="595" t="s">
        <v>268</v>
      </c>
      <c r="D39" s="544">
        <v>2334</v>
      </c>
      <c r="E39" s="544">
        <v>2397</v>
      </c>
      <c r="F39" s="544">
        <v>2460</v>
      </c>
      <c r="G39" s="544">
        <v>2619</v>
      </c>
      <c r="H39" s="544">
        <v>2961</v>
      </c>
      <c r="I39" s="544">
        <v>3399</v>
      </c>
      <c r="J39" s="544">
        <v>3645</v>
      </c>
      <c r="K39" s="545">
        <v>3547</v>
      </c>
      <c r="L39" s="952">
        <v>3510</v>
      </c>
      <c r="M39" s="952">
        <v>3507</v>
      </c>
      <c r="N39" s="1550">
        <v>3238</v>
      </c>
      <c r="P39" s="272">
        <f t="shared" si="4"/>
        <v>7.6703735386370112E-2</v>
      </c>
      <c r="Q39" s="272">
        <f t="shared" si="5"/>
        <v>8.547008547008547E-4</v>
      </c>
      <c r="R39" s="272">
        <f t="shared" si="6"/>
        <v>-1.0431350436989005E-2</v>
      </c>
    </row>
    <row r="40" spans="1:18" ht="15.75" x14ac:dyDescent="0.25">
      <c r="A40" s="537" t="s">
        <v>94</v>
      </c>
      <c r="B40" s="540" t="s">
        <v>95</v>
      </c>
      <c r="C40" s="595" t="s">
        <v>264</v>
      </c>
      <c r="D40" s="544">
        <v>3167</v>
      </c>
      <c r="E40" s="544">
        <v>3308</v>
      </c>
      <c r="F40" s="544">
        <v>3482</v>
      </c>
      <c r="G40" s="544">
        <v>3519</v>
      </c>
      <c r="H40" s="544">
        <v>4442</v>
      </c>
      <c r="I40" s="544">
        <v>5594</v>
      </c>
      <c r="J40" s="544">
        <v>6079</v>
      </c>
      <c r="K40" s="545">
        <v>6513</v>
      </c>
      <c r="L40" s="952">
        <v>6498</v>
      </c>
      <c r="M40" s="952">
        <v>6251</v>
      </c>
      <c r="N40" s="1550">
        <v>5851</v>
      </c>
      <c r="P40" s="272">
        <f t="shared" si="4"/>
        <v>6.3989761638137896E-2</v>
      </c>
      <c r="Q40" s="272">
        <f t="shared" si="5"/>
        <v>3.8011695906432746E-2</v>
      </c>
      <c r="R40" s="272">
        <f t="shared" si="6"/>
        <v>-2.3030861354214646E-3</v>
      </c>
    </row>
    <row r="41" spans="1:18" ht="15.75" x14ac:dyDescent="0.25">
      <c r="A41" s="537" t="s">
        <v>96</v>
      </c>
      <c r="B41" s="540" t="s">
        <v>97</v>
      </c>
      <c r="C41" s="595" t="s">
        <v>266</v>
      </c>
      <c r="D41" s="544">
        <v>951</v>
      </c>
      <c r="E41" s="544">
        <v>946</v>
      </c>
      <c r="F41" s="544">
        <v>882</v>
      </c>
      <c r="G41" s="544">
        <v>1069</v>
      </c>
      <c r="H41" s="544">
        <v>1359</v>
      </c>
      <c r="I41" s="544">
        <v>1734</v>
      </c>
      <c r="J41" s="544">
        <v>1946</v>
      </c>
      <c r="K41" s="545">
        <v>1931</v>
      </c>
      <c r="L41" s="952">
        <v>1969</v>
      </c>
      <c r="M41" s="952">
        <v>1959</v>
      </c>
      <c r="N41" s="1550">
        <v>1859</v>
      </c>
      <c r="P41" s="272">
        <f t="shared" si="4"/>
        <v>5.1046452271567129E-2</v>
      </c>
      <c r="Q41" s="272">
        <f t="shared" si="5"/>
        <v>5.0787201625190452E-3</v>
      </c>
      <c r="R41" s="272">
        <f t="shared" si="6"/>
        <v>1.9678922837907821E-2</v>
      </c>
    </row>
    <row r="42" spans="1:18" ht="15.75" x14ac:dyDescent="0.25">
      <c r="A42" s="537" t="s">
        <v>98</v>
      </c>
      <c r="B42" s="540" t="s">
        <v>99</v>
      </c>
      <c r="C42" s="595" t="s">
        <v>268</v>
      </c>
      <c r="D42" s="544">
        <v>2860</v>
      </c>
      <c r="E42" s="544">
        <v>3054</v>
      </c>
      <c r="F42" s="544">
        <v>3118</v>
      </c>
      <c r="G42" s="544">
        <v>3173</v>
      </c>
      <c r="H42" s="544">
        <v>3473</v>
      </c>
      <c r="I42" s="544">
        <v>3767</v>
      </c>
      <c r="J42" s="544">
        <v>3953</v>
      </c>
      <c r="K42" s="545">
        <v>4075</v>
      </c>
      <c r="L42" s="952">
        <v>4222</v>
      </c>
      <c r="M42" s="952">
        <v>4027</v>
      </c>
      <c r="N42" s="1550">
        <v>3788</v>
      </c>
      <c r="P42" s="272">
        <f t="shared" si="4"/>
        <v>5.9349391606655082E-2</v>
      </c>
      <c r="Q42" s="272">
        <f t="shared" si="5"/>
        <v>4.6186641402179061E-2</v>
      </c>
      <c r="R42" s="272">
        <f t="shared" si="6"/>
        <v>3.6073619631901838E-2</v>
      </c>
    </row>
    <row r="43" spans="1:18" ht="15.75" x14ac:dyDescent="0.25">
      <c r="A43" s="537" t="s">
        <v>100</v>
      </c>
      <c r="B43" s="540" t="s">
        <v>101</v>
      </c>
      <c r="C43" s="595" t="s">
        <v>267</v>
      </c>
      <c r="D43" s="544">
        <v>1644</v>
      </c>
      <c r="E43" s="544">
        <v>1718</v>
      </c>
      <c r="F43" s="544">
        <v>1673</v>
      </c>
      <c r="G43" s="544">
        <v>1748</v>
      </c>
      <c r="H43" s="544">
        <v>2141</v>
      </c>
      <c r="I43" s="544">
        <v>2648</v>
      </c>
      <c r="J43" s="544">
        <v>2924</v>
      </c>
      <c r="K43" s="545">
        <v>3162</v>
      </c>
      <c r="L43" s="952">
        <v>3242</v>
      </c>
      <c r="M43" s="952">
        <v>3160</v>
      </c>
      <c r="N43" s="1550">
        <v>3085</v>
      </c>
      <c r="P43" s="272">
        <f t="shared" si="4"/>
        <v>2.3734177215189875E-2</v>
      </c>
      <c r="Q43" s="272">
        <f t="shared" si="5"/>
        <v>2.5293028994447873E-2</v>
      </c>
      <c r="R43" s="272">
        <f t="shared" si="6"/>
        <v>2.5300442757748259E-2</v>
      </c>
    </row>
    <row r="44" spans="1:18" ht="15.75" x14ac:dyDescent="0.25">
      <c r="A44" s="537" t="s">
        <v>102</v>
      </c>
      <c r="B44" s="540" t="s">
        <v>282</v>
      </c>
      <c r="C44" s="595" t="s">
        <v>264</v>
      </c>
      <c r="D44" s="544">
        <v>3212</v>
      </c>
      <c r="E44" s="544">
        <v>3626</v>
      </c>
      <c r="F44" s="544">
        <v>3815</v>
      </c>
      <c r="G44" s="544">
        <v>4082</v>
      </c>
      <c r="H44" s="544">
        <v>4638</v>
      </c>
      <c r="I44" s="544">
        <v>5139</v>
      </c>
      <c r="J44" s="544">
        <v>5557</v>
      </c>
      <c r="K44" s="545">
        <v>5787</v>
      </c>
      <c r="L44" s="952">
        <v>6359</v>
      </c>
      <c r="M44" s="952">
        <v>5833</v>
      </c>
      <c r="N44" s="1550">
        <v>5772</v>
      </c>
      <c r="P44" s="272">
        <f t="shared" si="4"/>
        <v>1.045774044231099E-2</v>
      </c>
      <c r="Q44" s="1473">
        <f t="shared" si="5"/>
        <v>8.2717408397546779E-2</v>
      </c>
      <c r="R44" s="1473">
        <f t="shared" si="6"/>
        <v>9.8842232590288584E-2</v>
      </c>
    </row>
    <row r="45" spans="1:18" ht="15.75" x14ac:dyDescent="0.25">
      <c r="A45" s="537" t="s">
        <v>104</v>
      </c>
      <c r="B45" s="540" t="s">
        <v>105</v>
      </c>
      <c r="C45" s="595" t="s">
        <v>265</v>
      </c>
      <c r="D45" s="544">
        <v>6445</v>
      </c>
      <c r="E45" s="544">
        <v>6867</v>
      </c>
      <c r="F45" s="544">
        <v>7252</v>
      </c>
      <c r="G45" s="544">
        <v>7474</v>
      </c>
      <c r="H45" s="544">
        <v>8078</v>
      </c>
      <c r="I45" s="544">
        <v>8899</v>
      </c>
      <c r="J45" s="544">
        <v>9324</v>
      </c>
      <c r="K45" s="545">
        <v>9589</v>
      </c>
      <c r="L45" s="952">
        <v>9559</v>
      </c>
      <c r="M45" s="952">
        <v>9288</v>
      </c>
      <c r="N45" s="1550">
        <v>8959</v>
      </c>
      <c r="P45" s="272">
        <f t="shared" si="4"/>
        <v>3.5422049956933675E-2</v>
      </c>
      <c r="Q45" s="272">
        <f t="shared" si="5"/>
        <v>2.8350245841615232E-2</v>
      </c>
      <c r="R45" s="272">
        <f t="shared" si="6"/>
        <v>-3.1285848367921575E-3</v>
      </c>
    </row>
    <row r="46" spans="1:18" ht="15.75" x14ac:dyDescent="0.25">
      <c r="A46" s="537" t="s">
        <v>108</v>
      </c>
      <c r="B46" s="540" t="s">
        <v>109</v>
      </c>
      <c r="C46" s="595" t="s">
        <v>266</v>
      </c>
      <c r="D46" s="544">
        <v>4065</v>
      </c>
      <c r="E46" s="544">
        <v>4363</v>
      </c>
      <c r="F46" s="544">
        <v>4369</v>
      </c>
      <c r="G46" s="544">
        <v>4871</v>
      </c>
      <c r="H46" s="544">
        <v>5988</v>
      </c>
      <c r="I46" s="544">
        <v>7440</v>
      </c>
      <c r="J46" s="544">
        <v>8354</v>
      </c>
      <c r="K46" s="545">
        <v>8944</v>
      </c>
      <c r="L46" s="952">
        <v>9119</v>
      </c>
      <c r="M46" s="952">
        <v>8763</v>
      </c>
      <c r="N46" s="1550">
        <v>8161</v>
      </c>
      <c r="P46" s="272">
        <f t="shared" si="4"/>
        <v>6.8697934497318272E-2</v>
      </c>
      <c r="Q46" s="272">
        <f t="shared" si="5"/>
        <v>3.9039368351792961E-2</v>
      </c>
      <c r="R46" s="272">
        <f t="shared" si="6"/>
        <v>1.9566189624329159E-2</v>
      </c>
    </row>
    <row r="47" spans="1:18" ht="15.75" x14ac:dyDescent="0.25">
      <c r="A47" s="537" t="s">
        <v>110</v>
      </c>
      <c r="B47" s="540" t="s">
        <v>111</v>
      </c>
      <c r="C47" s="595" t="s">
        <v>266</v>
      </c>
      <c r="D47" s="544">
        <v>21918</v>
      </c>
      <c r="E47" s="544">
        <v>24148</v>
      </c>
      <c r="F47" s="544">
        <v>25085</v>
      </c>
      <c r="G47" s="544">
        <v>25969</v>
      </c>
      <c r="H47" s="544">
        <v>32264</v>
      </c>
      <c r="I47" s="544">
        <v>41200</v>
      </c>
      <c r="J47" s="544">
        <v>46417</v>
      </c>
      <c r="K47" s="545">
        <v>50139</v>
      </c>
      <c r="L47" s="952">
        <v>52765</v>
      </c>
      <c r="M47" s="952">
        <v>50799</v>
      </c>
      <c r="N47" s="1550">
        <v>48369</v>
      </c>
      <c r="P47" s="272">
        <f t="shared" si="4"/>
        <v>4.7835587314710923E-2</v>
      </c>
      <c r="Q47" s="272">
        <f t="shared" si="5"/>
        <v>3.7259547048232727E-2</v>
      </c>
      <c r="R47" s="272">
        <f t="shared" si="6"/>
        <v>5.2374399170306549E-2</v>
      </c>
    </row>
    <row r="48" spans="1:18" ht="15.75" x14ac:dyDescent="0.25">
      <c r="A48" s="537" t="s">
        <v>112</v>
      </c>
      <c r="B48" s="540" t="s">
        <v>300</v>
      </c>
      <c r="C48" s="595" t="s">
        <v>265</v>
      </c>
      <c r="D48" s="544">
        <v>14177</v>
      </c>
      <c r="E48" s="544">
        <v>14929</v>
      </c>
      <c r="F48" s="544">
        <v>15461</v>
      </c>
      <c r="G48" s="544">
        <v>16717</v>
      </c>
      <c r="H48" s="544">
        <v>19301</v>
      </c>
      <c r="I48" s="544">
        <v>21250</v>
      </c>
      <c r="J48" s="544">
        <v>22307</v>
      </c>
      <c r="K48" s="545">
        <v>23602</v>
      </c>
      <c r="L48" s="952">
        <v>24417</v>
      </c>
      <c r="M48" s="952">
        <v>22661</v>
      </c>
      <c r="N48" s="1550">
        <v>21507</v>
      </c>
      <c r="P48" s="272">
        <f t="shared" si="4"/>
        <v>5.0924495829839815E-2</v>
      </c>
      <c r="Q48" s="1473">
        <f t="shared" si="5"/>
        <v>7.1917106933693742E-2</v>
      </c>
      <c r="R48" s="1473">
        <f t="shared" si="6"/>
        <v>3.4530971951529529E-2</v>
      </c>
    </row>
    <row r="49" spans="1:18" ht="15.75" x14ac:dyDescent="0.25">
      <c r="A49" s="537" t="s">
        <v>114</v>
      </c>
      <c r="B49" s="540" t="s">
        <v>115</v>
      </c>
      <c r="C49" s="595" t="s">
        <v>265</v>
      </c>
      <c r="D49" s="544">
        <v>205</v>
      </c>
      <c r="E49" s="544">
        <v>214</v>
      </c>
      <c r="F49" s="544">
        <v>195</v>
      </c>
      <c r="G49" s="544">
        <v>206</v>
      </c>
      <c r="H49" s="544">
        <v>239</v>
      </c>
      <c r="I49" s="544">
        <v>226</v>
      </c>
      <c r="J49" s="544">
        <v>248</v>
      </c>
      <c r="K49" s="545">
        <v>261</v>
      </c>
      <c r="L49" s="952">
        <v>246</v>
      </c>
      <c r="M49" s="952">
        <v>244</v>
      </c>
      <c r="N49" s="1550">
        <v>221</v>
      </c>
      <c r="P49" s="272">
        <f t="shared" si="4"/>
        <v>9.4262295081967207E-2</v>
      </c>
      <c r="Q49" s="272">
        <f t="shared" si="5"/>
        <v>8.130081300813009E-3</v>
      </c>
      <c r="R49" s="272">
        <f t="shared" si="6"/>
        <v>-5.7471264367816091E-2</v>
      </c>
    </row>
    <row r="50" spans="1:18" ht="15.75" x14ac:dyDescent="0.25">
      <c r="A50" s="537" t="s">
        <v>118</v>
      </c>
      <c r="B50" s="540" t="s">
        <v>270</v>
      </c>
      <c r="C50" s="595" t="s">
        <v>264</v>
      </c>
      <c r="D50" s="544">
        <v>3593</v>
      </c>
      <c r="E50" s="544">
        <v>3643</v>
      </c>
      <c r="F50" s="544">
        <v>3663</v>
      </c>
      <c r="G50" s="544">
        <v>3884</v>
      </c>
      <c r="H50" s="544">
        <v>4484</v>
      </c>
      <c r="I50" s="544">
        <v>5248</v>
      </c>
      <c r="J50" s="544">
        <v>5686</v>
      </c>
      <c r="K50" s="545">
        <v>5940</v>
      </c>
      <c r="L50" s="952">
        <v>6119</v>
      </c>
      <c r="M50" s="952">
        <v>5727</v>
      </c>
      <c r="N50" s="1550">
        <v>5598</v>
      </c>
      <c r="P50" s="272">
        <f t="shared" si="4"/>
        <v>2.2524882137244632E-2</v>
      </c>
      <c r="Q50" s="272">
        <f t="shared" si="5"/>
        <v>6.4062755352181727E-2</v>
      </c>
      <c r="R50" s="272">
        <f t="shared" si="6"/>
        <v>3.0134680134680136E-2</v>
      </c>
    </row>
    <row r="51" spans="1:18" ht="15.75" x14ac:dyDescent="0.25">
      <c r="A51" s="537" t="s">
        <v>120</v>
      </c>
      <c r="B51" s="540" t="s">
        <v>121</v>
      </c>
      <c r="C51" s="595" t="s">
        <v>264</v>
      </c>
      <c r="D51" s="544">
        <v>3331</v>
      </c>
      <c r="E51" s="544">
        <v>3645</v>
      </c>
      <c r="F51" s="544">
        <v>3614</v>
      </c>
      <c r="G51" s="544">
        <v>3762</v>
      </c>
      <c r="H51" s="544">
        <v>4927</v>
      </c>
      <c r="I51" s="544">
        <v>5918</v>
      </c>
      <c r="J51" s="544">
        <v>6615</v>
      </c>
      <c r="K51" s="545">
        <v>7233</v>
      </c>
      <c r="L51" s="952">
        <v>7634</v>
      </c>
      <c r="M51" s="952">
        <v>7368</v>
      </c>
      <c r="N51" s="1550">
        <v>7058</v>
      </c>
      <c r="P51" s="272">
        <f t="shared" si="4"/>
        <v>4.2073832790445166E-2</v>
      </c>
      <c r="Q51" s="272">
        <f t="shared" si="5"/>
        <v>3.4844118417605451E-2</v>
      </c>
      <c r="R51" s="272">
        <f t="shared" si="6"/>
        <v>5.544034287294345E-2</v>
      </c>
    </row>
    <row r="52" spans="1:18" ht="15.75" x14ac:dyDescent="0.25">
      <c r="A52" s="537" t="s">
        <v>122</v>
      </c>
      <c r="B52" s="540" t="s">
        <v>287</v>
      </c>
      <c r="C52" s="595" t="s">
        <v>266</v>
      </c>
      <c r="D52" s="544">
        <v>1078</v>
      </c>
      <c r="E52" s="544">
        <v>1110</v>
      </c>
      <c r="F52" s="544">
        <v>1125</v>
      </c>
      <c r="G52" s="544">
        <v>1121</v>
      </c>
      <c r="H52" s="544">
        <v>1267</v>
      </c>
      <c r="I52" s="544">
        <v>1484</v>
      </c>
      <c r="J52" s="544">
        <v>1617</v>
      </c>
      <c r="K52" s="545">
        <v>1696</v>
      </c>
      <c r="L52" s="952">
        <v>1853</v>
      </c>
      <c r="M52" s="952">
        <v>1790</v>
      </c>
      <c r="N52" s="1550">
        <v>1705</v>
      </c>
      <c r="P52" s="272">
        <f t="shared" si="4"/>
        <v>4.7486033519553071E-2</v>
      </c>
      <c r="Q52" s="272">
        <f t="shared" si="5"/>
        <v>3.3998920669185105E-2</v>
      </c>
      <c r="R52" s="272">
        <f t="shared" si="6"/>
        <v>9.2570754716981132E-2</v>
      </c>
    </row>
    <row r="53" spans="1:18" ht="15.75" x14ac:dyDescent="0.25">
      <c r="A53" s="537" t="s">
        <v>124</v>
      </c>
      <c r="B53" s="540" t="s">
        <v>125</v>
      </c>
      <c r="C53" s="595" t="s">
        <v>267</v>
      </c>
      <c r="D53" s="544">
        <v>1828</v>
      </c>
      <c r="E53" s="544">
        <v>1830</v>
      </c>
      <c r="F53" s="544">
        <v>1926</v>
      </c>
      <c r="G53" s="544">
        <v>2242</v>
      </c>
      <c r="H53" s="544">
        <v>2832</v>
      </c>
      <c r="I53" s="544">
        <v>3315</v>
      </c>
      <c r="J53" s="544">
        <v>3822</v>
      </c>
      <c r="K53" s="545">
        <v>4260</v>
      </c>
      <c r="L53" s="952">
        <v>4467</v>
      </c>
      <c r="M53" s="952">
        <v>4417</v>
      </c>
      <c r="N53" s="1550">
        <v>4091</v>
      </c>
      <c r="P53" s="272">
        <f t="shared" si="4"/>
        <v>7.3805750509395515E-2</v>
      </c>
      <c r="Q53" s="272">
        <f t="shared" si="5"/>
        <v>1.1193194537721066E-2</v>
      </c>
      <c r="R53" s="272">
        <f t="shared" si="6"/>
        <v>4.8591549295774646E-2</v>
      </c>
    </row>
    <row r="54" spans="1:18" ht="15.75" x14ac:dyDescent="0.25">
      <c r="A54" s="537" t="s">
        <v>126</v>
      </c>
      <c r="B54" s="540" t="s">
        <v>127</v>
      </c>
      <c r="C54" s="595" t="s">
        <v>266</v>
      </c>
      <c r="D54" s="544">
        <v>1259</v>
      </c>
      <c r="E54" s="544">
        <v>1362</v>
      </c>
      <c r="F54" s="544">
        <v>1392</v>
      </c>
      <c r="G54" s="544">
        <v>1457</v>
      </c>
      <c r="H54" s="544">
        <v>1795</v>
      </c>
      <c r="I54" s="544">
        <v>2337</v>
      </c>
      <c r="J54" s="544">
        <v>2603</v>
      </c>
      <c r="K54" s="545">
        <v>2831</v>
      </c>
      <c r="L54" s="952">
        <v>2847</v>
      </c>
      <c r="M54" s="952">
        <v>2672</v>
      </c>
      <c r="N54" s="1550">
        <v>2497</v>
      </c>
      <c r="P54" s="272">
        <f t="shared" si="4"/>
        <v>6.54940119760479E-2</v>
      </c>
      <c r="Q54" s="272">
        <f t="shared" si="5"/>
        <v>6.1468212153143659E-2</v>
      </c>
      <c r="R54" s="272">
        <f t="shared" si="6"/>
        <v>5.6517131755563403E-3</v>
      </c>
    </row>
    <row r="55" spans="1:18" ht="15.75" x14ac:dyDescent="0.25">
      <c r="A55" s="537" t="s">
        <v>128</v>
      </c>
      <c r="B55" s="540" t="s">
        <v>129</v>
      </c>
      <c r="C55" s="595" t="s">
        <v>266</v>
      </c>
      <c r="D55" s="544">
        <v>1757</v>
      </c>
      <c r="E55" s="544">
        <v>1835</v>
      </c>
      <c r="F55" s="544">
        <v>1717</v>
      </c>
      <c r="G55" s="544">
        <v>1682</v>
      </c>
      <c r="H55" s="544">
        <v>1887</v>
      </c>
      <c r="I55" s="544">
        <v>2164</v>
      </c>
      <c r="J55" s="544">
        <v>2306</v>
      </c>
      <c r="K55" s="545">
        <v>2430</v>
      </c>
      <c r="L55" s="952">
        <v>2500</v>
      </c>
      <c r="M55" s="952">
        <v>2362</v>
      </c>
      <c r="N55" s="1550">
        <v>2233</v>
      </c>
      <c r="P55" s="272">
        <f t="shared" si="4"/>
        <v>5.4614733276883994E-2</v>
      </c>
      <c r="Q55" s="272">
        <f t="shared" si="5"/>
        <v>5.5199999999999999E-2</v>
      </c>
      <c r="R55" s="272">
        <f t="shared" si="6"/>
        <v>2.8806584362139918E-2</v>
      </c>
    </row>
    <row r="56" spans="1:18" ht="15.75" x14ac:dyDescent="0.25">
      <c r="A56" s="537" t="s">
        <v>130</v>
      </c>
      <c r="B56" s="540" t="s">
        <v>131</v>
      </c>
      <c r="C56" s="595" t="s">
        <v>268</v>
      </c>
      <c r="D56" s="544">
        <v>6577</v>
      </c>
      <c r="E56" s="544">
        <v>6638</v>
      </c>
      <c r="F56" s="544">
        <v>6627</v>
      </c>
      <c r="G56" s="544">
        <v>6715</v>
      </c>
      <c r="H56" s="544">
        <v>7032</v>
      </c>
      <c r="I56" s="544">
        <v>7489</v>
      </c>
      <c r="J56" s="544">
        <v>7843</v>
      </c>
      <c r="K56" s="545">
        <v>8103</v>
      </c>
      <c r="L56" s="952">
        <v>8338</v>
      </c>
      <c r="M56" s="952">
        <v>8222</v>
      </c>
      <c r="N56" s="1550">
        <v>7708</v>
      </c>
      <c r="P56" s="272">
        <f t="shared" si="4"/>
        <v>6.2515203113597664E-2</v>
      </c>
      <c r="Q56" s="272">
        <f t="shared" si="5"/>
        <v>1.3912209162868793E-2</v>
      </c>
      <c r="R56" s="272">
        <f t="shared" si="6"/>
        <v>2.9001604344070099E-2</v>
      </c>
    </row>
    <row r="57" spans="1:18" ht="15.75" x14ac:dyDescent="0.25">
      <c r="A57" s="537" t="s">
        <v>132</v>
      </c>
      <c r="B57" s="540" t="s">
        <v>133</v>
      </c>
      <c r="C57" s="595" t="s">
        <v>267</v>
      </c>
      <c r="D57" s="544">
        <v>5415</v>
      </c>
      <c r="E57" s="544">
        <v>5994</v>
      </c>
      <c r="F57" s="544">
        <v>6245</v>
      </c>
      <c r="G57" s="544">
        <v>6936</v>
      </c>
      <c r="H57" s="544">
        <v>9274</v>
      </c>
      <c r="I57" s="544">
        <v>12054</v>
      </c>
      <c r="J57" s="544">
        <v>14047</v>
      </c>
      <c r="K57" s="545">
        <v>15346</v>
      </c>
      <c r="L57" s="952">
        <v>16591</v>
      </c>
      <c r="M57" s="952">
        <v>16628</v>
      </c>
      <c r="N57" s="1550">
        <v>15764</v>
      </c>
      <c r="P57" s="272">
        <f t="shared" si="4"/>
        <v>5.1960548472456097E-2</v>
      </c>
      <c r="Q57" s="272">
        <f t="shared" si="5"/>
        <v>-2.2301247664396361E-3</v>
      </c>
      <c r="R57" s="272">
        <f t="shared" si="6"/>
        <v>8.1128632868499931E-2</v>
      </c>
    </row>
    <row r="58" spans="1:18" ht="15.75" x14ac:dyDescent="0.25">
      <c r="A58" s="537" t="s">
        <v>134</v>
      </c>
      <c r="B58" s="540" t="s">
        <v>135</v>
      </c>
      <c r="C58" s="595" t="s">
        <v>267</v>
      </c>
      <c r="D58" s="544">
        <v>3067</v>
      </c>
      <c r="E58" s="544">
        <v>3288</v>
      </c>
      <c r="F58" s="544">
        <v>3284</v>
      </c>
      <c r="G58" s="544">
        <v>3448</v>
      </c>
      <c r="H58" s="544">
        <v>4394</v>
      </c>
      <c r="I58" s="544">
        <v>5443</v>
      </c>
      <c r="J58" s="544">
        <v>6131</v>
      </c>
      <c r="K58" s="545">
        <v>6446</v>
      </c>
      <c r="L58" s="952">
        <v>6825</v>
      </c>
      <c r="M58" s="952">
        <v>6696</v>
      </c>
      <c r="N58" s="1550">
        <v>6371</v>
      </c>
      <c r="P58" s="272">
        <f t="shared" si="4"/>
        <v>4.8536439665471921E-2</v>
      </c>
      <c r="Q58" s="272">
        <f t="shared" si="5"/>
        <v>1.8901098901098902E-2</v>
      </c>
      <c r="R58" s="272">
        <f t="shared" si="6"/>
        <v>5.8796152652807944E-2</v>
      </c>
    </row>
    <row r="59" spans="1:18" ht="15.75" x14ac:dyDescent="0.25">
      <c r="A59" s="537" t="s">
        <v>136</v>
      </c>
      <c r="B59" s="540" t="s">
        <v>137</v>
      </c>
      <c r="C59" s="595" t="s">
        <v>266</v>
      </c>
      <c r="D59" s="544">
        <v>2340</v>
      </c>
      <c r="E59" s="544">
        <v>2500</v>
      </c>
      <c r="F59" s="544">
        <v>2477</v>
      </c>
      <c r="G59" s="544">
        <v>2636</v>
      </c>
      <c r="H59" s="544">
        <v>2906</v>
      </c>
      <c r="I59" s="544">
        <v>3282</v>
      </c>
      <c r="J59" s="544">
        <v>3460</v>
      </c>
      <c r="K59" s="545">
        <v>3575</v>
      </c>
      <c r="L59" s="952">
        <v>3562</v>
      </c>
      <c r="M59" s="952">
        <v>3523</v>
      </c>
      <c r="N59" s="1550">
        <v>3374</v>
      </c>
      <c r="P59" s="272">
        <f t="shared" si="4"/>
        <v>4.2293499858075505E-2</v>
      </c>
      <c r="Q59" s="272">
        <f t="shared" si="5"/>
        <v>1.0948905109489052E-2</v>
      </c>
      <c r="R59" s="272">
        <f t="shared" si="6"/>
        <v>-3.6363636363636364E-3</v>
      </c>
    </row>
    <row r="60" spans="1:18" ht="15.75" x14ac:dyDescent="0.25">
      <c r="A60" s="537" t="s">
        <v>140</v>
      </c>
      <c r="B60" s="540" t="s">
        <v>141</v>
      </c>
      <c r="C60" s="595" t="s">
        <v>267</v>
      </c>
      <c r="D60" s="544">
        <v>1043</v>
      </c>
      <c r="E60" s="544">
        <v>1023</v>
      </c>
      <c r="F60" s="544">
        <v>1067</v>
      </c>
      <c r="G60" s="544">
        <v>1191</v>
      </c>
      <c r="H60" s="544">
        <v>1572</v>
      </c>
      <c r="I60" s="544">
        <v>1991</v>
      </c>
      <c r="J60" s="544">
        <v>2203</v>
      </c>
      <c r="K60" s="545">
        <v>2360</v>
      </c>
      <c r="L60" s="952">
        <v>2566</v>
      </c>
      <c r="M60" s="952">
        <v>2452</v>
      </c>
      <c r="N60" s="1550">
        <v>2309</v>
      </c>
      <c r="P60" s="272">
        <f t="shared" si="4"/>
        <v>5.8319738988580748E-2</v>
      </c>
      <c r="Q60" s="272">
        <f t="shared" si="5"/>
        <v>4.4427123928293066E-2</v>
      </c>
      <c r="R60" s="272">
        <f t="shared" si="6"/>
        <v>8.7288135593220337E-2</v>
      </c>
    </row>
    <row r="61" spans="1:18" ht="15.75" x14ac:dyDescent="0.25">
      <c r="A61" s="537" t="s">
        <v>146</v>
      </c>
      <c r="B61" s="540" t="s">
        <v>147</v>
      </c>
      <c r="C61" s="595" t="s">
        <v>264</v>
      </c>
      <c r="D61" s="544">
        <v>839</v>
      </c>
      <c r="E61" s="544">
        <v>889</v>
      </c>
      <c r="F61" s="544">
        <v>881</v>
      </c>
      <c r="G61" s="544">
        <v>918</v>
      </c>
      <c r="H61" s="544">
        <v>1057</v>
      </c>
      <c r="I61" s="544">
        <v>1286</v>
      </c>
      <c r="J61" s="544">
        <v>1413</v>
      </c>
      <c r="K61" s="545">
        <v>1458</v>
      </c>
      <c r="L61" s="952">
        <v>1524</v>
      </c>
      <c r="M61" s="952">
        <v>1435</v>
      </c>
      <c r="N61" s="1550">
        <v>1360</v>
      </c>
      <c r="P61" s="272">
        <f t="shared" si="4"/>
        <v>5.2264808362369339E-2</v>
      </c>
      <c r="Q61" s="272">
        <f t="shared" si="5"/>
        <v>5.8398950131233598E-2</v>
      </c>
      <c r="R61" s="272">
        <f t="shared" si="6"/>
        <v>4.5267489711934158E-2</v>
      </c>
    </row>
    <row r="62" spans="1:18" ht="15.75" x14ac:dyDescent="0.25">
      <c r="A62" s="537" t="s">
        <v>148</v>
      </c>
      <c r="B62" s="540" t="s">
        <v>149</v>
      </c>
      <c r="C62" s="595" t="s">
        <v>265</v>
      </c>
      <c r="D62" s="544">
        <v>4961</v>
      </c>
      <c r="E62" s="544">
        <v>5123</v>
      </c>
      <c r="F62" s="544">
        <v>5061</v>
      </c>
      <c r="G62" s="544">
        <v>5189</v>
      </c>
      <c r="H62" s="544">
        <v>5792</v>
      </c>
      <c r="I62" s="544">
        <v>6849</v>
      </c>
      <c r="J62" s="544">
        <v>7227</v>
      </c>
      <c r="K62" s="545">
        <v>7611</v>
      </c>
      <c r="L62" s="952">
        <v>7939</v>
      </c>
      <c r="M62" s="952">
        <v>7635</v>
      </c>
      <c r="N62" s="1550">
        <v>7203</v>
      </c>
      <c r="P62" s="272">
        <f t="shared" si="4"/>
        <v>5.6581532416502947E-2</v>
      </c>
      <c r="Q62" s="272">
        <f t="shared" si="5"/>
        <v>3.8291976319435699E-2</v>
      </c>
      <c r="R62" s="272">
        <f t="shared" si="6"/>
        <v>4.3095519642622523E-2</v>
      </c>
    </row>
    <row r="63" spans="1:18" ht="15.75" x14ac:dyDescent="0.25">
      <c r="A63" s="537" t="s">
        <v>150</v>
      </c>
      <c r="B63" s="540" t="s">
        <v>151</v>
      </c>
      <c r="C63" s="595" t="s">
        <v>266</v>
      </c>
      <c r="D63" s="544">
        <v>1263</v>
      </c>
      <c r="E63" s="544">
        <v>1345</v>
      </c>
      <c r="F63" s="544">
        <v>1301</v>
      </c>
      <c r="G63" s="544">
        <v>1324</v>
      </c>
      <c r="H63" s="544">
        <v>1549</v>
      </c>
      <c r="I63" s="544">
        <v>1867</v>
      </c>
      <c r="J63" s="544">
        <v>2041</v>
      </c>
      <c r="K63" s="545">
        <v>2294</v>
      </c>
      <c r="L63" s="952">
        <v>2363</v>
      </c>
      <c r="M63" s="952">
        <v>2299</v>
      </c>
      <c r="N63" s="1550">
        <v>2204</v>
      </c>
      <c r="P63" s="272">
        <f t="shared" si="4"/>
        <v>4.1322314049586778E-2</v>
      </c>
      <c r="Q63" s="272">
        <f t="shared" si="5"/>
        <v>2.7084214980956412E-2</v>
      </c>
      <c r="R63" s="272">
        <f t="shared" si="6"/>
        <v>3.007846556233653E-2</v>
      </c>
    </row>
    <row r="64" spans="1:18" ht="15.75" x14ac:dyDescent="0.25">
      <c r="A64" s="537" t="s">
        <v>152</v>
      </c>
      <c r="B64" s="540" t="s">
        <v>153</v>
      </c>
      <c r="C64" s="595" t="s">
        <v>268</v>
      </c>
      <c r="D64" s="544">
        <v>7069</v>
      </c>
      <c r="E64" s="544">
        <v>7516</v>
      </c>
      <c r="F64" s="544">
        <v>7813</v>
      </c>
      <c r="G64" s="544">
        <v>8317</v>
      </c>
      <c r="H64" s="544">
        <v>9107</v>
      </c>
      <c r="I64" s="544">
        <v>10238</v>
      </c>
      <c r="J64" s="544">
        <v>10993</v>
      </c>
      <c r="K64" s="545">
        <v>11445</v>
      </c>
      <c r="L64" s="952">
        <v>11861</v>
      </c>
      <c r="M64" s="952">
        <v>11199</v>
      </c>
      <c r="N64" s="1550">
        <v>10381</v>
      </c>
      <c r="P64" s="272">
        <f t="shared" si="4"/>
        <v>7.304223591392088E-2</v>
      </c>
      <c r="Q64" s="272">
        <f t="shared" si="5"/>
        <v>5.5813169210016021E-2</v>
      </c>
      <c r="R64" s="272">
        <f t="shared" si="6"/>
        <v>3.6347750109218001E-2</v>
      </c>
    </row>
    <row r="65" spans="1:18" ht="15.75" x14ac:dyDescent="0.25">
      <c r="A65" s="537" t="s">
        <v>154</v>
      </c>
      <c r="B65" s="540" t="s">
        <v>155</v>
      </c>
      <c r="C65" s="595" t="s">
        <v>265</v>
      </c>
      <c r="D65" s="544">
        <v>1493</v>
      </c>
      <c r="E65" s="544">
        <v>1609</v>
      </c>
      <c r="F65" s="544">
        <v>1895</v>
      </c>
      <c r="G65" s="544">
        <v>2047</v>
      </c>
      <c r="H65" s="544">
        <v>2516</v>
      </c>
      <c r="I65" s="544">
        <v>2912</v>
      </c>
      <c r="J65" s="544">
        <v>3081</v>
      </c>
      <c r="K65" s="545">
        <v>3318</v>
      </c>
      <c r="L65" s="952">
        <v>3409</v>
      </c>
      <c r="M65" s="952">
        <v>3290</v>
      </c>
      <c r="N65" s="1550">
        <v>3046</v>
      </c>
      <c r="P65" s="272">
        <f t="shared" si="4"/>
        <v>7.4164133738601826E-2</v>
      </c>
      <c r="Q65" s="272">
        <f t="shared" si="5"/>
        <v>3.4907597535934289E-2</v>
      </c>
      <c r="R65" s="272">
        <f t="shared" si="6"/>
        <v>2.7426160337552744E-2</v>
      </c>
    </row>
    <row r="66" spans="1:18" ht="15.75" x14ac:dyDescent="0.25">
      <c r="A66" s="537" t="s">
        <v>156</v>
      </c>
      <c r="B66" s="540" t="s">
        <v>157</v>
      </c>
      <c r="C66" s="595" t="s">
        <v>266</v>
      </c>
      <c r="D66" s="544">
        <v>791</v>
      </c>
      <c r="E66" s="544">
        <v>819</v>
      </c>
      <c r="F66" s="544">
        <v>772</v>
      </c>
      <c r="G66" s="544">
        <v>898</v>
      </c>
      <c r="H66" s="544">
        <v>1097</v>
      </c>
      <c r="I66" s="544">
        <v>1427</v>
      </c>
      <c r="J66" s="544">
        <v>1722</v>
      </c>
      <c r="K66" s="545">
        <v>1932</v>
      </c>
      <c r="L66" s="952">
        <v>1969</v>
      </c>
      <c r="M66" s="952">
        <v>1872</v>
      </c>
      <c r="N66" s="1550">
        <v>1936</v>
      </c>
      <c r="P66" s="272">
        <f t="shared" si="4"/>
        <v>-3.4188034188034191E-2</v>
      </c>
      <c r="Q66" s="272">
        <f t="shared" si="5"/>
        <v>4.9263585576434739E-2</v>
      </c>
      <c r="R66" s="272">
        <f t="shared" si="6"/>
        <v>1.9151138716356108E-2</v>
      </c>
    </row>
    <row r="67" spans="1:18" ht="15.75" x14ac:dyDescent="0.25">
      <c r="A67" s="537" t="s">
        <v>162</v>
      </c>
      <c r="B67" s="540" t="s">
        <v>163</v>
      </c>
      <c r="C67" s="595" t="s">
        <v>264</v>
      </c>
      <c r="D67" s="544">
        <v>2991</v>
      </c>
      <c r="E67" s="544">
        <v>3211</v>
      </c>
      <c r="F67" s="544">
        <v>3193</v>
      </c>
      <c r="G67" s="544">
        <v>3131</v>
      </c>
      <c r="H67" s="544">
        <v>3392</v>
      </c>
      <c r="I67" s="544">
        <v>3682</v>
      </c>
      <c r="J67" s="544">
        <v>4028</v>
      </c>
      <c r="K67" s="545">
        <v>4062</v>
      </c>
      <c r="L67" s="952">
        <v>4139</v>
      </c>
      <c r="M67" s="952">
        <v>3992</v>
      </c>
      <c r="N67" s="1550">
        <v>3786</v>
      </c>
      <c r="P67" s="272">
        <f t="shared" si="4"/>
        <v>5.1603206412825654E-2</v>
      </c>
      <c r="Q67" s="272">
        <f t="shared" si="5"/>
        <v>3.5515825078521385E-2</v>
      </c>
      <c r="R67" s="272">
        <f t="shared" si="6"/>
        <v>1.8956179222058101E-2</v>
      </c>
    </row>
    <row r="68" spans="1:18" ht="15.75" x14ac:dyDescent="0.25">
      <c r="A68" s="537" t="s">
        <v>164</v>
      </c>
      <c r="B68" s="540" t="s">
        <v>165</v>
      </c>
      <c r="C68" s="595" t="s">
        <v>266</v>
      </c>
      <c r="D68" s="544">
        <v>1609</v>
      </c>
      <c r="E68" s="544">
        <v>1582</v>
      </c>
      <c r="F68" s="544">
        <v>1580</v>
      </c>
      <c r="G68" s="544">
        <v>1609</v>
      </c>
      <c r="H68" s="544">
        <v>1759</v>
      </c>
      <c r="I68" s="544">
        <v>2043</v>
      </c>
      <c r="J68" s="544">
        <v>2243</v>
      </c>
      <c r="K68" s="545">
        <v>2371</v>
      </c>
      <c r="L68" s="952">
        <v>2611</v>
      </c>
      <c r="M68" s="952">
        <v>2574</v>
      </c>
      <c r="N68" s="1550">
        <v>2461</v>
      </c>
      <c r="P68" s="272">
        <f t="shared" si="4"/>
        <v>4.3900543900543904E-2</v>
      </c>
      <c r="Q68" s="272">
        <f t="shared" si="5"/>
        <v>1.4170815779394868E-2</v>
      </c>
      <c r="R68" s="272">
        <f t="shared" si="6"/>
        <v>0.10122311261071278</v>
      </c>
    </row>
    <row r="69" spans="1:18" ht="15.75" x14ac:dyDescent="0.25">
      <c r="A69" s="537" t="s">
        <v>168</v>
      </c>
      <c r="B69" s="540" t="s">
        <v>169</v>
      </c>
      <c r="C69" s="595" t="s">
        <v>266</v>
      </c>
      <c r="D69" s="544">
        <v>2913</v>
      </c>
      <c r="E69" s="544">
        <v>3042</v>
      </c>
      <c r="F69" s="544">
        <v>3026</v>
      </c>
      <c r="G69" s="544">
        <v>3238</v>
      </c>
      <c r="H69" s="544">
        <v>3771</v>
      </c>
      <c r="I69" s="544">
        <v>4257</v>
      </c>
      <c r="J69" s="544">
        <v>4696</v>
      </c>
      <c r="K69" s="545">
        <v>5003</v>
      </c>
      <c r="L69" s="952">
        <v>5060</v>
      </c>
      <c r="M69" s="952">
        <v>4992</v>
      </c>
      <c r="N69" s="1550">
        <v>4682</v>
      </c>
      <c r="P69" s="272">
        <f t="shared" ref="P69:P100" si="7">(M69-N69)/M69</f>
        <v>6.2099358974358976E-2</v>
      </c>
      <c r="Q69" s="272">
        <f t="shared" ref="Q69:Q100" si="8">(L69-M69)/L69</f>
        <v>1.3438735177865613E-2</v>
      </c>
      <c r="R69" s="272">
        <f t="shared" ref="R69:R100" si="9">(L69-K69)/K69</f>
        <v>1.1393164101539077E-2</v>
      </c>
    </row>
    <row r="70" spans="1:18" ht="15.75" x14ac:dyDescent="0.25">
      <c r="A70" s="537" t="s">
        <v>170</v>
      </c>
      <c r="B70" s="540" t="s">
        <v>171</v>
      </c>
      <c r="C70" s="595" t="s">
        <v>267</v>
      </c>
      <c r="D70" s="544">
        <v>2459</v>
      </c>
      <c r="E70" s="544">
        <v>2480</v>
      </c>
      <c r="F70" s="544">
        <v>2549</v>
      </c>
      <c r="G70" s="544">
        <v>2966</v>
      </c>
      <c r="H70" s="544">
        <v>3782</v>
      </c>
      <c r="I70" s="544">
        <v>4511</v>
      </c>
      <c r="J70" s="544">
        <v>4983</v>
      </c>
      <c r="K70" s="545">
        <v>5279</v>
      </c>
      <c r="L70" s="952">
        <v>5384</v>
      </c>
      <c r="M70" s="952">
        <v>5248</v>
      </c>
      <c r="N70" s="1550">
        <v>4969</v>
      </c>
      <c r="P70" s="272">
        <f t="shared" si="7"/>
        <v>5.316310975609756E-2</v>
      </c>
      <c r="Q70" s="272">
        <f t="shared" si="8"/>
        <v>2.5260029717682021E-2</v>
      </c>
      <c r="R70" s="272">
        <f t="shared" si="9"/>
        <v>1.9890130706573216E-2</v>
      </c>
    </row>
    <row r="71" spans="1:18" ht="15.75" x14ac:dyDescent="0.25">
      <c r="A71" s="537" t="s">
        <v>172</v>
      </c>
      <c r="B71" s="540" t="s">
        <v>173</v>
      </c>
      <c r="C71" s="595" t="s">
        <v>267</v>
      </c>
      <c r="D71" s="544">
        <v>2891</v>
      </c>
      <c r="E71" s="544">
        <v>3166</v>
      </c>
      <c r="F71" s="544">
        <v>3418</v>
      </c>
      <c r="G71" s="544">
        <v>3698</v>
      </c>
      <c r="H71" s="544">
        <v>4426</v>
      </c>
      <c r="I71" s="544">
        <v>5111</v>
      </c>
      <c r="J71" s="544">
        <v>5336</v>
      </c>
      <c r="K71" s="545">
        <v>5652</v>
      </c>
      <c r="L71" s="952">
        <v>5766</v>
      </c>
      <c r="M71" s="952">
        <v>5558</v>
      </c>
      <c r="N71" s="1550">
        <v>5303</v>
      </c>
      <c r="P71" s="272">
        <f t="shared" si="7"/>
        <v>4.5879812882331776E-2</v>
      </c>
      <c r="Q71" s="272">
        <f t="shared" si="8"/>
        <v>3.6073534512660425E-2</v>
      </c>
      <c r="R71" s="272">
        <f t="shared" si="9"/>
        <v>2.0169851380042462E-2</v>
      </c>
    </row>
    <row r="72" spans="1:18" ht="15.75" x14ac:dyDescent="0.25">
      <c r="A72" s="537" t="s">
        <v>174</v>
      </c>
      <c r="B72" s="540" t="s">
        <v>175</v>
      </c>
      <c r="C72" s="595" t="s">
        <v>268</v>
      </c>
      <c r="D72" s="544">
        <v>3537</v>
      </c>
      <c r="E72" s="544">
        <v>3620</v>
      </c>
      <c r="F72" s="544">
        <v>3705</v>
      </c>
      <c r="G72" s="544">
        <v>3966</v>
      </c>
      <c r="H72" s="544">
        <v>4407</v>
      </c>
      <c r="I72" s="544">
        <v>4742</v>
      </c>
      <c r="J72" s="544">
        <v>4999</v>
      </c>
      <c r="K72" s="545">
        <v>5094</v>
      </c>
      <c r="L72" s="952">
        <v>4929</v>
      </c>
      <c r="M72" s="952">
        <v>4566</v>
      </c>
      <c r="N72" s="1550">
        <v>4264</v>
      </c>
      <c r="P72" s="272">
        <f t="shared" si="7"/>
        <v>6.6141042487954452E-2</v>
      </c>
      <c r="Q72" s="272">
        <f t="shared" si="8"/>
        <v>7.3645769933049304E-2</v>
      </c>
      <c r="R72" s="272">
        <f t="shared" si="9"/>
        <v>-3.2391048292108364E-2</v>
      </c>
    </row>
    <row r="73" spans="1:18" ht="15.75" x14ac:dyDescent="0.25">
      <c r="A73" s="537" t="s">
        <v>178</v>
      </c>
      <c r="B73" s="540" t="s">
        <v>179</v>
      </c>
      <c r="C73" s="595" t="s">
        <v>265</v>
      </c>
      <c r="D73" s="544">
        <v>8896</v>
      </c>
      <c r="E73" s="544">
        <v>9645</v>
      </c>
      <c r="F73" s="544">
        <v>10085</v>
      </c>
      <c r="G73" s="544">
        <v>10607</v>
      </c>
      <c r="H73" s="544">
        <v>11901</v>
      </c>
      <c r="I73" s="544">
        <v>13191</v>
      </c>
      <c r="J73" s="544">
        <v>13999</v>
      </c>
      <c r="K73" s="545">
        <v>14314</v>
      </c>
      <c r="L73" s="952">
        <v>14682</v>
      </c>
      <c r="M73" s="952">
        <v>14498</v>
      </c>
      <c r="N73" s="1550">
        <v>13584</v>
      </c>
      <c r="P73" s="272">
        <f t="shared" si="7"/>
        <v>6.3043178369430269E-2</v>
      </c>
      <c r="Q73" s="272">
        <f t="shared" si="8"/>
        <v>1.2532352540525813E-2</v>
      </c>
      <c r="R73" s="272">
        <f t="shared" si="9"/>
        <v>2.5709095989939919E-2</v>
      </c>
    </row>
    <row r="74" spans="1:18" ht="15.75" x14ac:dyDescent="0.25">
      <c r="A74" s="537" t="s">
        <v>182</v>
      </c>
      <c r="B74" s="540" t="s">
        <v>183</v>
      </c>
      <c r="C74" s="595" t="s">
        <v>266</v>
      </c>
      <c r="D74" s="544">
        <v>903</v>
      </c>
      <c r="E74" s="544">
        <v>932</v>
      </c>
      <c r="F74" s="544">
        <v>1049</v>
      </c>
      <c r="G74" s="544">
        <v>1120</v>
      </c>
      <c r="H74" s="544">
        <v>1409</v>
      </c>
      <c r="I74" s="544">
        <v>1829</v>
      </c>
      <c r="J74" s="544">
        <v>2061</v>
      </c>
      <c r="K74" s="545">
        <v>2295</v>
      </c>
      <c r="L74" s="952">
        <v>2354</v>
      </c>
      <c r="M74" s="952">
        <v>2244</v>
      </c>
      <c r="N74" s="1550">
        <v>2036</v>
      </c>
      <c r="P74" s="272">
        <f t="shared" si="7"/>
        <v>9.2691622103386814E-2</v>
      </c>
      <c r="Q74" s="272">
        <f t="shared" si="8"/>
        <v>4.6728971962616821E-2</v>
      </c>
      <c r="R74" s="272">
        <f t="shared" si="9"/>
        <v>2.570806100217865E-2</v>
      </c>
    </row>
    <row r="75" spans="1:18" ht="15.75" x14ac:dyDescent="0.25">
      <c r="A75" s="537" t="s">
        <v>184</v>
      </c>
      <c r="B75" s="540" t="s">
        <v>185</v>
      </c>
      <c r="C75" s="595" t="s">
        <v>266</v>
      </c>
      <c r="D75" s="544">
        <v>3363</v>
      </c>
      <c r="E75" s="544">
        <v>3633</v>
      </c>
      <c r="F75" s="544">
        <v>3631</v>
      </c>
      <c r="G75" s="544">
        <v>3814</v>
      </c>
      <c r="H75" s="544">
        <v>4162</v>
      </c>
      <c r="I75" s="544">
        <v>4684</v>
      </c>
      <c r="J75" s="544">
        <v>5034</v>
      </c>
      <c r="K75" s="545">
        <v>5286</v>
      </c>
      <c r="L75" s="952">
        <v>5421</v>
      </c>
      <c r="M75" s="952">
        <v>5208</v>
      </c>
      <c r="N75" s="1550">
        <v>4869</v>
      </c>
      <c r="P75" s="272">
        <f t="shared" si="7"/>
        <v>6.5092165898617507E-2</v>
      </c>
      <c r="Q75" s="272">
        <f t="shared" si="8"/>
        <v>3.9291643608190374E-2</v>
      </c>
      <c r="R75" s="272">
        <f t="shared" si="9"/>
        <v>2.553916004540295E-2</v>
      </c>
    </row>
    <row r="76" spans="1:18" ht="15.75" x14ac:dyDescent="0.25">
      <c r="A76" s="537" t="s">
        <v>186</v>
      </c>
      <c r="B76" s="540" t="s">
        <v>187</v>
      </c>
      <c r="C76" s="595" t="s">
        <v>264</v>
      </c>
      <c r="D76" s="544">
        <v>2279</v>
      </c>
      <c r="E76" s="544">
        <v>2452</v>
      </c>
      <c r="F76" s="544">
        <v>2648</v>
      </c>
      <c r="G76" s="544">
        <v>2805</v>
      </c>
      <c r="H76" s="544">
        <v>3044</v>
      </c>
      <c r="I76" s="544">
        <v>3637</v>
      </c>
      <c r="J76" s="544">
        <v>4023</v>
      </c>
      <c r="K76" s="545">
        <v>4340</v>
      </c>
      <c r="L76" s="952">
        <v>4688</v>
      </c>
      <c r="M76" s="952">
        <v>4725</v>
      </c>
      <c r="N76" s="1550">
        <v>4685</v>
      </c>
      <c r="P76" s="272">
        <f t="shared" si="7"/>
        <v>8.4656084656084662E-3</v>
      </c>
      <c r="Q76" s="272">
        <f t="shared" si="8"/>
        <v>-7.8924914675767913E-3</v>
      </c>
      <c r="R76" s="272">
        <f t="shared" si="9"/>
        <v>8.0184331797235026E-2</v>
      </c>
    </row>
    <row r="77" spans="1:18" ht="15.75" x14ac:dyDescent="0.25">
      <c r="A77" s="537" t="s">
        <v>188</v>
      </c>
      <c r="B77" s="540" t="s">
        <v>189</v>
      </c>
      <c r="C77" s="595" t="s">
        <v>267</v>
      </c>
      <c r="D77" s="544">
        <v>18234</v>
      </c>
      <c r="E77" s="544">
        <v>20079</v>
      </c>
      <c r="F77" s="544">
        <v>21242</v>
      </c>
      <c r="G77" s="544">
        <v>23240</v>
      </c>
      <c r="H77" s="544">
        <v>29717</v>
      </c>
      <c r="I77" s="544">
        <v>37357</v>
      </c>
      <c r="J77" s="544">
        <v>42476</v>
      </c>
      <c r="K77" s="545">
        <v>46591</v>
      </c>
      <c r="L77" s="952">
        <v>49867</v>
      </c>
      <c r="M77" s="952">
        <v>48721</v>
      </c>
      <c r="N77" s="1550">
        <v>46899</v>
      </c>
      <c r="P77" s="272">
        <f t="shared" si="7"/>
        <v>3.7396605159992609E-2</v>
      </c>
      <c r="Q77" s="272">
        <f t="shared" si="8"/>
        <v>2.2981129805282049E-2</v>
      </c>
      <c r="R77" s="272">
        <f t="shared" si="9"/>
        <v>7.0314009143396791E-2</v>
      </c>
    </row>
    <row r="78" spans="1:18" ht="15.75" x14ac:dyDescent="0.25">
      <c r="A78" s="537" t="s">
        <v>190</v>
      </c>
      <c r="B78" s="540" t="s">
        <v>191</v>
      </c>
      <c r="C78" s="595" t="s">
        <v>268</v>
      </c>
      <c r="D78" s="544">
        <v>5607</v>
      </c>
      <c r="E78" s="544">
        <v>5931</v>
      </c>
      <c r="F78" s="544">
        <v>6074</v>
      </c>
      <c r="G78" s="544">
        <v>6296</v>
      </c>
      <c r="H78" s="544">
        <v>7096</v>
      </c>
      <c r="I78" s="544">
        <v>8075</v>
      </c>
      <c r="J78" s="544">
        <v>8499</v>
      </c>
      <c r="K78" s="545">
        <v>8385</v>
      </c>
      <c r="L78" s="952">
        <v>8521</v>
      </c>
      <c r="M78" s="952">
        <v>8309</v>
      </c>
      <c r="N78" s="1550">
        <v>7764</v>
      </c>
      <c r="P78" s="272">
        <f t="shared" si="7"/>
        <v>6.559152725959802E-2</v>
      </c>
      <c r="Q78" s="272">
        <f t="shared" si="8"/>
        <v>2.487970895434808E-2</v>
      </c>
      <c r="R78" s="272">
        <f t="shared" si="9"/>
        <v>1.6219439475253429E-2</v>
      </c>
    </row>
    <row r="79" spans="1:18" ht="15.75" x14ac:dyDescent="0.25">
      <c r="A79" s="537" t="s">
        <v>194</v>
      </c>
      <c r="B79" s="540" t="s">
        <v>195</v>
      </c>
      <c r="C79" s="595" t="s">
        <v>267</v>
      </c>
      <c r="D79" s="544">
        <v>288</v>
      </c>
      <c r="E79" s="544">
        <v>339</v>
      </c>
      <c r="F79" s="544">
        <v>355</v>
      </c>
      <c r="G79" s="544">
        <v>407</v>
      </c>
      <c r="H79" s="544">
        <v>583</v>
      </c>
      <c r="I79" s="544">
        <v>706</v>
      </c>
      <c r="J79" s="544">
        <v>793</v>
      </c>
      <c r="K79" s="545">
        <v>894</v>
      </c>
      <c r="L79" s="952">
        <v>797</v>
      </c>
      <c r="M79" s="952">
        <v>750</v>
      </c>
      <c r="N79" s="1550">
        <v>648</v>
      </c>
      <c r="P79" s="272">
        <f t="shared" si="7"/>
        <v>0.13600000000000001</v>
      </c>
      <c r="Q79" s="272">
        <f t="shared" si="8"/>
        <v>5.8971141781681308E-2</v>
      </c>
      <c r="R79" s="272">
        <f t="shared" si="9"/>
        <v>-0.10850111856823266</v>
      </c>
    </row>
    <row r="80" spans="1:18" ht="15.75" x14ac:dyDescent="0.25">
      <c r="A80" s="537" t="s">
        <v>198</v>
      </c>
      <c r="B80" s="540" t="s">
        <v>272</v>
      </c>
      <c r="C80" s="595" t="s">
        <v>266</v>
      </c>
      <c r="D80" s="544">
        <v>1300</v>
      </c>
      <c r="E80" s="544">
        <v>1399</v>
      </c>
      <c r="F80" s="544">
        <v>1351</v>
      </c>
      <c r="G80" s="544">
        <v>1395</v>
      </c>
      <c r="H80" s="544">
        <v>1642</v>
      </c>
      <c r="I80" s="544">
        <v>1911</v>
      </c>
      <c r="J80" s="544">
        <v>2044</v>
      </c>
      <c r="K80" s="545">
        <v>2144</v>
      </c>
      <c r="L80" s="952">
        <v>2218</v>
      </c>
      <c r="M80" s="952">
        <v>2195</v>
      </c>
      <c r="N80" s="1550">
        <v>2120</v>
      </c>
      <c r="P80" s="272">
        <f t="shared" si="7"/>
        <v>3.4168564920273349E-2</v>
      </c>
      <c r="Q80" s="272">
        <f t="shared" si="8"/>
        <v>1.0369702434625788E-2</v>
      </c>
      <c r="R80" s="272">
        <f t="shared" si="9"/>
        <v>3.4514925373134331E-2</v>
      </c>
    </row>
    <row r="81" spans="1:18" ht="15.75" x14ac:dyDescent="0.25">
      <c r="A81" s="537" t="s">
        <v>202</v>
      </c>
      <c r="B81" s="540" t="s">
        <v>301</v>
      </c>
      <c r="C81" s="595" t="s">
        <v>265</v>
      </c>
      <c r="D81" s="544">
        <v>6822</v>
      </c>
      <c r="E81" s="544">
        <v>7586</v>
      </c>
      <c r="F81" s="544">
        <v>7840</v>
      </c>
      <c r="G81" s="544">
        <v>7974</v>
      </c>
      <c r="H81" s="544">
        <v>9054</v>
      </c>
      <c r="I81" s="544">
        <v>11142</v>
      </c>
      <c r="J81" s="544">
        <v>12248</v>
      </c>
      <c r="K81" s="545">
        <v>12726</v>
      </c>
      <c r="L81" s="952">
        <v>13189</v>
      </c>
      <c r="M81" s="952">
        <v>12926</v>
      </c>
      <c r="N81" s="1550">
        <v>12436</v>
      </c>
      <c r="P81" s="272">
        <f t="shared" si="7"/>
        <v>3.790809221723658E-2</v>
      </c>
      <c r="Q81" s="272">
        <f t="shared" si="8"/>
        <v>1.9940859807415272E-2</v>
      </c>
      <c r="R81" s="272">
        <f t="shared" si="9"/>
        <v>3.6382209649536382E-2</v>
      </c>
    </row>
    <row r="82" spans="1:18" ht="15.75" x14ac:dyDescent="0.25">
      <c r="A82" s="537" t="s">
        <v>204</v>
      </c>
      <c r="B82" s="540" t="s">
        <v>293</v>
      </c>
      <c r="C82" s="595" t="s">
        <v>265</v>
      </c>
      <c r="D82" s="544">
        <v>3053</v>
      </c>
      <c r="E82" s="544">
        <v>3199</v>
      </c>
      <c r="F82" s="544">
        <v>3305</v>
      </c>
      <c r="G82" s="544">
        <v>3568</v>
      </c>
      <c r="H82" s="544">
        <v>4480</v>
      </c>
      <c r="I82" s="544">
        <v>5243</v>
      </c>
      <c r="J82" s="544">
        <v>5700</v>
      </c>
      <c r="K82" s="545">
        <v>5967</v>
      </c>
      <c r="L82" s="952">
        <v>6522</v>
      </c>
      <c r="M82" s="952">
        <v>6176</v>
      </c>
      <c r="N82" s="1550">
        <v>5764</v>
      </c>
      <c r="P82" s="272">
        <f t="shared" si="7"/>
        <v>6.6709844559585493E-2</v>
      </c>
      <c r="Q82" s="1769">
        <f t="shared" si="8"/>
        <v>5.3051211284881938E-2</v>
      </c>
      <c r="R82" s="1769">
        <f t="shared" si="9"/>
        <v>9.3011563599798897E-2</v>
      </c>
    </row>
    <row r="83" spans="1:18" ht="15.75" x14ac:dyDescent="0.25">
      <c r="A83" s="537" t="s">
        <v>206</v>
      </c>
      <c r="B83" s="540" t="s">
        <v>294</v>
      </c>
      <c r="C83" s="595" t="s">
        <v>267</v>
      </c>
      <c r="D83" s="544">
        <v>10200</v>
      </c>
      <c r="E83" s="544">
        <v>10962</v>
      </c>
      <c r="F83" s="544">
        <v>11116</v>
      </c>
      <c r="G83" s="544">
        <v>11547</v>
      </c>
      <c r="H83" s="544">
        <v>13415</v>
      </c>
      <c r="I83" s="544">
        <v>16262</v>
      </c>
      <c r="J83" s="544">
        <v>18232</v>
      </c>
      <c r="K83" s="545">
        <v>19010</v>
      </c>
      <c r="L83" s="952">
        <v>20329</v>
      </c>
      <c r="M83" s="952">
        <v>18812</v>
      </c>
      <c r="N83" s="1550">
        <v>17316</v>
      </c>
      <c r="P83" s="272">
        <f t="shared" si="7"/>
        <v>7.9523708271316176E-2</v>
      </c>
      <c r="Q83" s="1769">
        <f t="shared" si="8"/>
        <v>7.4622460524374046E-2</v>
      </c>
      <c r="R83" s="1769">
        <f t="shared" si="9"/>
        <v>6.9384534455549707E-2</v>
      </c>
    </row>
    <row r="84" spans="1:18" ht="15.75" x14ac:dyDescent="0.25">
      <c r="A84" s="537" t="s">
        <v>208</v>
      </c>
      <c r="B84" s="540" t="s">
        <v>209</v>
      </c>
      <c r="C84" s="595" t="s">
        <v>268</v>
      </c>
      <c r="D84" s="544">
        <v>6442</v>
      </c>
      <c r="E84" s="544">
        <v>6448</v>
      </c>
      <c r="F84" s="544">
        <v>6597</v>
      </c>
      <c r="G84" s="544">
        <v>6759</v>
      </c>
      <c r="H84" s="544">
        <v>7059</v>
      </c>
      <c r="I84" s="544">
        <v>7694</v>
      </c>
      <c r="J84" s="544">
        <v>7896</v>
      </c>
      <c r="K84" s="545">
        <v>7958</v>
      </c>
      <c r="L84" s="952">
        <v>8237</v>
      </c>
      <c r="M84" s="952">
        <v>8253</v>
      </c>
      <c r="N84" s="1550">
        <v>7934</v>
      </c>
      <c r="P84" s="272">
        <f t="shared" si="7"/>
        <v>3.8652611171695141E-2</v>
      </c>
      <c r="Q84" s="272">
        <f t="shared" si="8"/>
        <v>-1.9424547772247177E-3</v>
      </c>
      <c r="R84" s="272">
        <f t="shared" si="9"/>
        <v>3.5059060065343053E-2</v>
      </c>
    </row>
    <row r="85" spans="1:18" ht="15.75" x14ac:dyDescent="0.25">
      <c r="A85" s="537" t="s">
        <v>210</v>
      </c>
      <c r="B85" s="540" t="s">
        <v>211</v>
      </c>
      <c r="C85" s="595" t="s">
        <v>268</v>
      </c>
      <c r="D85" s="544">
        <v>3591</v>
      </c>
      <c r="E85" s="544">
        <v>3779</v>
      </c>
      <c r="F85" s="544">
        <v>3886</v>
      </c>
      <c r="G85" s="544">
        <v>3856</v>
      </c>
      <c r="H85" s="544">
        <v>4327</v>
      </c>
      <c r="I85" s="544">
        <v>4929</v>
      </c>
      <c r="J85" s="544">
        <v>5312</v>
      </c>
      <c r="K85" s="545">
        <v>5580</v>
      </c>
      <c r="L85" s="952">
        <v>5790</v>
      </c>
      <c r="M85" s="952">
        <v>5664</v>
      </c>
      <c r="N85" s="1550">
        <v>5172</v>
      </c>
      <c r="P85" s="272">
        <f t="shared" si="7"/>
        <v>8.6864406779661021E-2</v>
      </c>
      <c r="Q85" s="272">
        <f t="shared" si="8"/>
        <v>2.1761658031088083E-2</v>
      </c>
      <c r="R85" s="272">
        <f t="shared" si="9"/>
        <v>3.7634408602150539E-2</v>
      </c>
    </row>
    <row r="86" spans="1:18" ht="15.75" x14ac:dyDescent="0.25">
      <c r="A86" s="537" t="s">
        <v>212</v>
      </c>
      <c r="B86" s="540" t="s">
        <v>213</v>
      </c>
      <c r="C86" s="595" t="s">
        <v>267</v>
      </c>
      <c r="D86" s="544">
        <v>3450</v>
      </c>
      <c r="E86" s="544">
        <v>3711</v>
      </c>
      <c r="F86" s="544">
        <v>3919</v>
      </c>
      <c r="G86" s="544">
        <v>4544</v>
      </c>
      <c r="H86" s="544">
        <v>5893</v>
      </c>
      <c r="I86" s="544">
        <v>7133</v>
      </c>
      <c r="J86" s="544">
        <v>7536</v>
      </c>
      <c r="K86" s="545">
        <v>8245</v>
      </c>
      <c r="L86" s="952">
        <v>8511</v>
      </c>
      <c r="M86" s="952">
        <v>8165</v>
      </c>
      <c r="N86" s="1550">
        <v>7606</v>
      </c>
      <c r="P86" s="272">
        <f t="shared" si="7"/>
        <v>6.8462951622780155E-2</v>
      </c>
      <c r="Q86" s="272">
        <f t="shared" si="8"/>
        <v>4.0653272235929974E-2</v>
      </c>
      <c r="R86" s="272">
        <f t="shared" si="9"/>
        <v>3.2261976955730749E-2</v>
      </c>
    </row>
    <row r="87" spans="1:18" ht="15.75" x14ac:dyDescent="0.25">
      <c r="A87" s="537" t="s">
        <v>214</v>
      </c>
      <c r="B87" s="540" t="s">
        <v>215</v>
      </c>
      <c r="C87" s="595" t="s">
        <v>268</v>
      </c>
      <c r="D87" s="544">
        <v>5860</v>
      </c>
      <c r="E87" s="544">
        <v>6278</v>
      </c>
      <c r="F87" s="544">
        <v>6640</v>
      </c>
      <c r="G87" s="544">
        <v>7005</v>
      </c>
      <c r="H87" s="544">
        <v>7745</v>
      </c>
      <c r="I87" s="544">
        <v>8433</v>
      </c>
      <c r="J87" s="544">
        <v>8932</v>
      </c>
      <c r="K87" s="545">
        <v>9201</v>
      </c>
      <c r="L87" s="952">
        <v>9350</v>
      </c>
      <c r="M87" s="952">
        <v>8924</v>
      </c>
      <c r="N87" s="1550">
        <v>8508</v>
      </c>
      <c r="P87" s="272">
        <f t="shared" si="7"/>
        <v>4.6615867324069922E-2</v>
      </c>
      <c r="Q87" s="272">
        <f t="shared" si="8"/>
        <v>4.556149732620321E-2</v>
      </c>
      <c r="R87" s="272">
        <f t="shared" si="9"/>
        <v>1.6193891968264318E-2</v>
      </c>
    </row>
    <row r="88" spans="1:18" ht="15.75" x14ac:dyDescent="0.25">
      <c r="A88" s="537" t="s">
        <v>216</v>
      </c>
      <c r="B88" s="540" t="s">
        <v>217</v>
      </c>
      <c r="C88" s="595" t="s">
        <v>264</v>
      </c>
      <c r="D88" s="544">
        <v>2811</v>
      </c>
      <c r="E88" s="544">
        <v>3041</v>
      </c>
      <c r="F88" s="544">
        <v>3172</v>
      </c>
      <c r="G88" s="544">
        <v>3318</v>
      </c>
      <c r="H88" s="544">
        <v>3549</v>
      </c>
      <c r="I88" s="544">
        <v>3784</v>
      </c>
      <c r="J88" s="544">
        <v>3972</v>
      </c>
      <c r="K88" s="545">
        <v>4294</v>
      </c>
      <c r="L88" s="952">
        <v>4406</v>
      </c>
      <c r="M88" s="952">
        <v>4273</v>
      </c>
      <c r="N88" s="1550">
        <v>4034</v>
      </c>
      <c r="P88" s="272">
        <f t="shared" si="7"/>
        <v>5.5932600046805524E-2</v>
      </c>
      <c r="Q88" s="272">
        <f t="shared" si="8"/>
        <v>3.0186109850204267E-2</v>
      </c>
      <c r="R88" s="272">
        <f t="shared" si="9"/>
        <v>2.6082906380996741E-2</v>
      </c>
    </row>
    <row r="89" spans="1:18" ht="15.75" x14ac:dyDescent="0.25">
      <c r="A89" s="537" t="s">
        <v>218</v>
      </c>
      <c r="B89" s="540" t="s">
        <v>219</v>
      </c>
      <c r="C89" s="595" t="s">
        <v>267</v>
      </c>
      <c r="D89" s="544">
        <v>6868</v>
      </c>
      <c r="E89" s="544">
        <v>7494</v>
      </c>
      <c r="F89" s="544">
        <v>8348</v>
      </c>
      <c r="G89" s="544">
        <v>9931</v>
      </c>
      <c r="H89" s="544">
        <v>12903</v>
      </c>
      <c r="I89" s="544">
        <v>15463</v>
      </c>
      <c r="J89" s="544">
        <v>17402</v>
      </c>
      <c r="K89" s="545">
        <v>18439</v>
      </c>
      <c r="L89" s="952">
        <v>19075</v>
      </c>
      <c r="M89" s="952">
        <v>18892</v>
      </c>
      <c r="N89" s="1550">
        <v>17924</v>
      </c>
      <c r="P89" s="272">
        <f t="shared" si="7"/>
        <v>5.1238619521490579E-2</v>
      </c>
      <c r="Q89" s="272">
        <f t="shared" si="8"/>
        <v>9.5937090432503275E-3</v>
      </c>
      <c r="R89" s="272">
        <f t="shared" si="9"/>
        <v>3.4492109116546453E-2</v>
      </c>
    </row>
    <row r="90" spans="1:18" ht="15.75" x14ac:dyDescent="0.25">
      <c r="A90" s="537" t="s">
        <v>220</v>
      </c>
      <c r="B90" s="540" t="s">
        <v>221</v>
      </c>
      <c r="C90" s="595" t="s">
        <v>267</v>
      </c>
      <c r="D90" s="544">
        <v>6097</v>
      </c>
      <c r="E90" s="544">
        <v>6771</v>
      </c>
      <c r="F90" s="544">
        <v>7609</v>
      </c>
      <c r="G90" s="544">
        <v>8638</v>
      </c>
      <c r="H90" s="544">
        <v>10384</v>
      </c>
      <c r="I90" s="544">
        <v>12571</v>
      </c>
      <c r="J90" s="544">
        <v>13924</v>
      </c>
      <c r="K90" s="545">
        <v>14744</v>
      </c>
      <c r="L90" s="952">
        <v>15696</v>
      </c>
      <c r="M90" s="952">
        <v>15456</v>
      </c>
      <c r="N90" s="1550">
        <v>14707</v>
      </c>
      <c r="P90" s="272">
        <f t="shared" si="7"/>
        <v>4.8460144927536232E-2</v>
      </c>
      <c r="Q90" s="272">
        <f t="shared" si="8"/>
        <v>1.5290519877675841E-2</v>
      </c>
      <c r="R90" s="272">
        <f t="shared" si="9"/>
        <v>6.4568638090070532E-2</v>
      </c>
    </row>
    <row r="91" spans="1:18" ht="15.75" x14ac:dyDescent="0.25">
      <c r="A91" s="537" t="s">
        <v>224</v>
      </c>
      <c r="B91" s="540" t="s">
        <v>225</v>
      </c>
      <c r="C91" s="595" t="s">
        <v>264</v>
      </c>
      <c r="D91" s="544">
        <v>957</v>
      </c>
      <c r="E91" s="544">
        <v>1028</v>
      </c>
      <c r="F91" s="544">
        <v>1009</v>
      </c>
      <c r="G91" s="544">
        <v>952</v>
      </c>
      <c r="H91" s="544">
        <v>1083</v>
      </c>
      <c r="I91" s="544">
        <v>1345</v>
      </c>
      <c r="J91" s="544">
        <v>1412</v>
      </c>
      <c r="K91" s="545">
        <v>1421</v>
      </c>
      <c r="L91" s="952">
        <v>1594</v>
      </c>
      <c r="M91" s="952">
        <v>1518</v>
      </c>
      <c r="N91" s="1550">
        <v>1420</v>
      </c>
      <c r="P91" s="272">
        <f t="shared" si="7"/>
        <v>6.4558629776021087E-2</v>
      </c>
      <c r="Q91" s="272">
        <f t="shared" si="8"/>
        <v>4.7678795483061483E-2</v>
      </c>
      <c r="R91" s="272">
        <f t="shared" si="9"/>
        <v>0.12174524982406756</v>
      </c>
    </row>
    <row r="92" spans="1:18" ht="15.75" x14ac:dyDescent="0.25">
      <c r="A92" s="537" t="s">
        <v>226</v>
      </c>
      <c r="B92" s="540" t="s">
        <v>227</v>
      </c>
      <c r="C92" s="595" t="s">
        <v>264</v>
      </c>
      <c r="D92" s="544">
        <v>1873</v>
      </c>
      <c r="E92" s="544">
        <v>2072</v>
      </c>
      <c r="F92" s="544">
        <v>2049</v>
      </c>
      <c r="G92" s="544">
        <v>2029</v>
      </c>
      <c r="H92" s="544">
        <v>2222</v>
      </c>
      <c r="I92" s="544">
        <v>2521</v>
      </c>
      <c r="J92" s="544">
        <v>2666</v>
      </c>
      <c r="K92" s="545">
        <v>2746</v>
      </c>
      <c r="L92" s="952">
        <v>2854</v>
      </c>
      <c r="M92" s="952">
        <v>2851</v>
      </c>
      <c r="N92" s="1550">
        <v>2777</v>
      </c>
      <c r="P92" s="272">
        <f t="shared" si="7"/>
        <v>2.5955804980708524E-2</v>
      </c>
      <c r="Q92" s="272">
        <f t="shared" si="8"/>
        <v>1.0511562718990891E-3</v>
      </c>
      <c r="R92" s="272">
        <f t="shared" si="9"/>
        <v>3.9329934450109252E-2</v>
      </c>
    </row>
    <row r="93" spans="1:18" ht="15.75" x14ac:dyDescent="0.25">
      <c r="A93" s="537" t="s">
        <v>228</v>
      </c>
      <c r="B93" s="540" t="s">
        <v>229</v>
      </c>
      <c r="C93" s="595" t="s">
        <v>268</v>
      </c>
      <c r="D93" s="544">
        <v>8509</v>
      </c>
      <c r="E93" s="544">
        <v>8628</v>
      </c>
      <c r="F93" s="544">
        <v>8828</v>
      </c>
      <c r="G93" s="544">
        <v>8512</v>
      </c>
      <c r="H93" s="544">
        <v>8652</v>
      </c>
      <c r="I93" s="544">
        <v>9800</v>
      </c>
      <c r="J93" s="544">
        <v>10221</v>
      </c>
      <c r="K93" s="545">
        <v>10664</v>
      </c>
      <c r="L93" s="952">
        <v>11590</v>
      </c>
      <c r="M93" s="952">
        <v>11636</v>
      </c>
      <c r="N93" s="1550">
        <v>11404</v>
      </c>
      <c r="P93" s="272">
        <f t="shared" si="7"/>
        <v>1.9938123066345823E-2</v>
      </c>
      <c r="Q93" s="272">
        <f t="shared" si="8"/>
        <v>-3.9689387402933561E-3</v>
      </c>
      <c r="R93" s="272">
        <f t="shared" si="9"/>
        <v>8.683420855213804E-2</v>
      </c>
    </row>
    <row r="94" spans="1:18" ht="15.75" x14ac:dyDescent="0.25">
      <c r="A94" s="537" t="s">
        <v>232</v>
      </c>
      <c r="B94" s="540" t="s">
        <v>233</v>
      </c>
      <c r="C94" s="595" t="s">
        <v>267</v>
      </c>
      <c r="D94" s="544">
        <v>3306</v>
      </c>
      <c r="E94" s="544">
        <v>3409</v>
      </c>
      <c r="F94" s="544">
        <v>3630</v>
      </c>
      <c r="G94" s="544">
        <v>4186</v>
      </c>
      <c r="H94" s="544">
        <v>5407</v>
      </c>
      <c r="I94" s="544">
        <v>6542</v>
      </c>
      <c r="J94" s="544">
        <v>7176</v>
      </c>
      <c r="K94" s="545">
        <v>7403</v>
      </c>
      <c r="L94" s="952">
        <v>7736</v>
      </c>
      <c r="M94" s="952">
        <v>7323</v>
      </c>
      <c r="N94" s="1550">
        <v>6890</v>
      </c>
      <c r="P94" s="272">
        <f t="shared" si="7"/>
        <v>5.912877236105421E-2</v>
      </c>
      <c r="Q94" s="272">
        <f t="shared" si="8"/>
        <v>5.3386763185108585E-2</v>
      </c>
      <c r="R94" s="272">
        <f t="shared" si="9"/>
        <v>4.4981764149669055E-2</v>
      </c>
    </row>
    <row r="95" spans="1:18" ht="15.75" x14ac:dyDescent="0.25">
      <c r="A95" s="537" t="s">
        <v>234</v>
      </c>
      <c r="B95" s="540" t="s">
        <v>235</v>
      </c>
      <c r="C95" s="595" t="s">
        <v>268</v>
      </c>
      <c r="D95" s="544">
        <v>6606</v>
      </c>
      <c r="E95" s="544">
        <v>7053</v>
      </c>
      <c r="F95" s="544">
        <v>7290</v>
      </c>
      <c r="G95" s="544">
        <v>7722</v>
      </c>
      <c r="H95" s="544">
        <v>8728</v>
      </c>
      <c r="I95" s="544">
        <v>9895</v>
      </c>
      <c r="J95" s="544">
        <v>10532</v>
      </c>
      <c r="K95" s="545">
        <v>10928</v>
      </c>
      <c r="L95" s="952">
        <v>11262</v>
      </c>
      <c r="M95" s="952">
        <v>11084</v>
      </c>
      <c r="N95" s="1550">
        <v>10665</v>
      </c>
      <c r="P95" s="272">
        <f t="shared" si="7"/>
        <v>3.7802237459400936E-2</v>
      </c>
      <c r="Q95" s="272">
        <f t="shared" si="8"/>
        <v>1.5805363168176167E-2</v>
      </c>
      <c r="R95" s="272">
        <f t="shared" si="9"/>
        <v>3.0563689604685213E-2</v>
      </c>
    </row>
    <row r="96" spans="1:18" ht="15.75" x14ac:dyDescent="0.25">
      <c r="A96" s="537" t="s">
        <v>236</v>
      </c>
      <c r="B96" s="540" t="s">
        <v>237</v>
      </c>
      <c r="C96" s="595" t="s">
        <v>266</v>
      </c>
      <c r="D96" s="544">
        <v>2827</v>
      </c>
      <c r="E96" s="544">
        <v>2759</v>
      </c>
      <c r="F96" s="544">
        <v>2667</v>
      </c>
      <c r="G96" s="544">
        <v>2810</v>
      </c>
      <c r="H96" s="544">
        <v>3374</v>
      </c>
      <c r="I96" s="544">
        <v>3969</v>
      </c>
      <c r="J96" s="544">
        <v>4431</v>
      </c>
      <c r="K96" s="545">
        <v>4655</v>
      </c>
      <c r="L96" s="952">
        <v>4874</v>
      </c>
      <c r="M96" s="952">
        <v>4677</v>
      </c>
      <c r="N96" s="1550">
        <v>4648</v>
      </c>
      <c r="P96" s="272">
        <f t="shared" si="7"/>
        <v>6.200555911909344E-3</v>
      </c>
      <c r="Q96" s="272">
        <f t="shared" si="8"/>
        <v>4.0418547394337298E-2</v>
      </c>
      <c r="R96" s="272">
        <f t="shared" si="9"/>
        <v>4.7046186895810957E-2</v>
      </c>
    </row>
    <row r="97" spans="1:18" ht="15.75" x14ac:dyDescent="0.25">
      <c r="A97" s="537" t="s">
        <v>242</v>
      </c>
      <c r="B97" s="540" t="s">
        <v>243</v>
      </c>
      <c r="C97" s="595" t="s">
        <v>268</v>
      </c>
      <c r="D97" s="544">
        <v>10226</v>
      </c>
      <c r="E97" s="544">
        <v>10129</v>
      </c>
      <c r="F97" s="544">
        <v>10211</v>
      </c>
      <c r="G97" s="544">
        <v>10166</v>
      </c>
      <c r="H97" s="544">
        <v>10486</v>
      </c>
      <c r="I97" s="544">
        <v>11048</v>
      </c>
      <c r="J97" s="544">
        <v>11480</v>
      </c>
      <c r="K97" s="545">
        <v>12027</v>
      </c>
      <c r="L97" s="952">
        <v>12550</v>
      </c>
      <c r="M97" s="952">
        <v>12467</v>
      </c>
      <c r="N97" s="1550">
        <v>11428</v>
      </c>
      <c r="P97" s="272">
        <f t="shared" si="7"/>
        <v>8.3340017646586995E-2</v>
      </c>
      <c r="Q97" s="272">
        <f t="shared" si="8"/>
        <v>6.6135458167330676E-3</v>
      </c>
      <c r="R97" s="272">
        <f t="shared" si="9"/>
        <v>4.3485490978631414E-2</v>
      </c>
    </row>
    <row r="98" spans="1:18" ht="15.75" x14ac:dyDescent="0.25">
      <c r="A98" s="537" t="s">
        <v>244</v>
      </c>
      <c r="B98" s="540" t="s">
        <v>245</v>
      </c>
      <c r="C98" s="595" t="s">
        <v>268</v>
      </c>
      <c r="D98" s="544">
        <v>4160</v>
      </c>
      <c r="E98" s="544">
        <v>4403</v>
      </c>
      <c r="F98" s="544">
        <v>4582</v>
      </c>
      <c r="G98" s="544">
        <v>4900</v>
      </c>
      <c r="H98" s="544">
        <v>5560</v>
      </c>
      <c r="I98" s="544">
        <v>6315</v>
      </c>
      <c r="J98" s="544">
        <v>6660</v>
      </c>
      <c r="K98" s="545">
        <v>6687</v>
      </c>
      <c r="L98" s="952">
        <v>6643</v>
      </c>
      <c r="M98" s="952">
        <v>6373</v>
      </c>
      <c r="N98" s="1550">
        <v>5967</v>
      </c>
      <c r="P98" s="272">
        <f t="shared" si="7"/>
        <v>6.3706260787698102E-2</v>
      </c>
      <c r="Q98" s="272">
        <f t="shared" si="8"/>
        <v>4.0644287219629684E-2</v>
      </c>
      <c r="R98" s="272">
        <f t="shared" si="9"/>
        <v>-6.5799312098100788E-3</v>
      </c>
    </row>
    <row r="99" spans="1:18" ht="15.75" x14ac:dyDescent="0.25">
      <c r="A99" s="537" t="s">
        <v>246</v>
      </c>
      <c r="B99" s="633" t="s">
        <v>247</v>
      </c>
      <c r="C99" s="633" t="s">
        <v>264</v>
      </c>
      <c r="D99" s="634">
        <v>2531</v>
      </c>
      <c r="E99" s="634">
        <v>2706</v>
      </c>
      <c r="F99" s="634">
        <v>2733</v>
      </c>
      <c r="G99" s="634">
        <v>2796</v>
      </c>
      <c r="H99" s="634">
        <v>3473</v>
      </c>
      <c r="I99" s="634">
        <v>4195</v>
      </c>
      <c r="J99" s="634">
        <v>4936</v>
      </c>
      <c r="K99" s="545">
        <v>5297</v>
      </c>
      <c r="L99" s="952">
        <v>5494</v>
      </c>
      <c r="M99" s="952">
        <v>5501</v>
      </c>
      <c r="N99" s="1550">
        <v>5213</v>
      </c>
      <c r="P99" s="272">
        <f t="shared" si="7"/>
        <v>5.2354117433193965E-2</v>
      </c>
      <c r="Q99" s="272">
        <f t="shared" si="8"/>
        <v>-1.2741172187841281E-3</v>
      </c>
      <c r="R99" s="272">
        <f t="shared" si="9"/>
        <v>3.7190862752501413E-2</v>
      </c>
    </row>
    <row r="100" spans="1:18" ht="15.75" x14ac:dyDescent="0.25">
      <c r="A100" s="537" t="s">
        <v>14</v>
      </c>
      <c r="B100" s="540" t="s">
        <v>15</v>
      </c>
      <c r="C100" s="595" t="s">
        <v>267</v>
      </c>
      <c r="D100" s="544">
        <v>8617</v>
      </c>
      <c r="E100" s="544">
        <v>8531</v>
      </c>
      <c r="F100" s="544">
        <v>8415</v>
      </c>
      <c r="G100" s="544">
        <v>8784</v>
      </c>
      <c r="H100" s="544">
        <v>10382</v>
      </c>
      <c r="I100" s="544">
        <v>12462</v>
      </c>
      <c r="J100" s="544">
        <v>13844</v>
      </c>
      <c r="K100" s="545">
        <v>14794</v>
      </c>
      <c r="L100" s="952">
        <v>15448</v>
      </c>
      <c r="M100" s="952">
        <v>14854</v>
      </c>
      <c r="N100" s="1550">
        <v>14548</v>
      </c>
      <c r="P100" s="272">
        <f t="shared" si="7"/>
        <v>2.0600511646694492E-2</v>
      </c>
      <c r="Q100" s="272">
        <f t="shared" si="8"/>
        <v>3.8451579492490937E-2</v>
      </c>
      <c r="R100" s="272">
        <f t="shared" si="9"/>
        <v>4.4207110990942274E-2</v>
      </c>
    </row>
    <row r="101" spans="1:18" ht="15.75" x14ac:dyDescent="0.25">
      <c r="A101" s="537" t="s">
        <v>34</v>
      </c>
      <c r="B101" s="540" t="s">
        <v>35</v>
      </c>
      <c r="C101" s="595" t="s">
        <v>268</v>
      </c>
      <c r="D101" s="544">
        <v>4478</v>
      </c>
      <c r="E101" s="544">
        <v>4811</v>
      </c>
      <c r="F101" s="544">
        <v>4980</v>
      </c>
      <c r="G101" s="544">
        <v>5320</v>
      </c>
      <c r="H101" s="544">
        <v>6079</v>
      </c>
      <c r="I101" s="544">
        <v>6477</v>
      </c>
      <c r="J101" s="544">
        <v>6655</v>
      </c>
      <c r="K101" s="545">
        <v>6821</v>
      </c>
      <c r="L101" s="952">
        <v>7127</v>
      </c>
      <c r="M101" s="952">
        <v>6775</v>
      </c>
      <c r="N101" s="1550">
        <v>6307</v>
      </c>
      <c r="P101" s="272">
        <f t="shared" ref="P101:P124" si="10">(M101-N101)/M101</f>
        <v>6.9077490774907754E-2</v>
      </c>
      <c r="Q101" s="272">
        <f t="shared" ref="Q101:Q124" si="11">(L101-M101)/L101</f>
        <v>4.9389645011926477E-2</v>
      </c>
      <c r="R101" s="272">
        <f t="shared" ref="R101:R124" si="12">(L101-K101)/K101</f>
        <v>4.4861457264330745E-2</v>
      </c>
    </row>
    <row r="102" spans="1:18" ht="15.75" x14ac:dyDescent="0.25">
      <c r="A102" s="537" t="s">
        <v>52</v>
      </c>
      <c r="B102" s="540" t="s">
        <v>53</v>
      </c>
      <c r="C102" s="595" t="s">
        <v>265</v>
      </c>
      <c r="D102" s="544">
        <v>6119</v>
      </c>
      <c r="E102" s="544">
        <v>6225</v>
      </c>
      <c r="F102" s="544">
        <v>6016</v>
      </c>
      <c r="G102" s="544">
        <v>6105</v>
      </c>
      <c r="H102" s="544">
        <v>6948</v>
      </c>
      <c r="I102" s="544">
        <v>7945</v>
      </c>
      <c r="J102" s="544">
        <v>8336</v>
      </c>
      <c r="K102" s="545">
        <v>8600</v>
      </c>
      <c r="L102" s="952">
        <v>8645</v>
      </c>
      <c r="M102" s="952">
        <v>7934</v>
      </c>
      <c r="N102" s="1550">
        <v>7480</v>
      </c>
      <c r="P102" s="272">
        <f t="shared" si="10"/>
        <v>5.7222082177968238E-2</v>
      </c>
      <c r="Q102" s="272">
        <f t="shared" si="11"/>
        <v>8.2244071717755926E-2</v>
      </c>
      <c r="R102" s="272">
        <f t="shared" si="12"/>
        <v>5.2325581395348836E-3</v>
      </c>
    </row>
    <row r="103" spans="1:18" ht="15.75" x14ac:dyDescent="0.25">
      <c r="A103" s="537" t="s">
        <v>54</v>
      </c>
      <c r="B103" s="540" t="s">
        <v>55</v>
      </c>
      <c r="C103" s="595" t="s">
        <v>264</v>
      </c>
      <c r="D103" s="544">
        <v>18719</v>
      </c>
      <c r="E103" s="544">
        <v>19669</v>
      </c>
      <c r="F103" s="544">
        <v>19177</v>
      </c>
      <c r="G103" s="544">
        <v>20156</v>
      </c>
      <c r="H103" s="544">
        <v>23810</v>
      </c>
      <c r="I103" s="544">
        <v>28721</v>
      </c>
      <c r="J103" s="544">
        <v>31946</v>
      </c>
      <c r="K103" s="545">
        <v>34474</v>
      </c>
      <c r="L103" s="952">
        <v>36392</v>
      </c>
      <c r="M103" s="952">
        <v>35735</v>
      </c>
      <c r="N103" s="1550">
        <v>33945</v>
      </c>
      <c r="P103" s="272">
        <f t="shared" si="10"/>
        <v>5.0090947250594653E-2</v>
      </c>
      <c r="Q103" s="272">
        <f t="shared" si="11"/>
        <v>1.8053418333699715E-2</v>
      </c>
      <c r="R103" s="272">
        <f t="shared" si="12"/>
        <v>5.5636131577420665E-2</v>
      </c>
    </row>
    <row r="104" spans="1:18" ht="15.75" x14ac:dyDescent="0.25">
      <c r="A104" s="537" t="s">
        <v>66</v>
      </c>
      <c r="B104" s="540" t="s">
        <v>67</v>
      </c>
      <c r="C104" s="595" t="s">
        <v>265</v>
      </c>
      <c r="D104" s="544">
        <v>12334</v>
      </c>
      <c r="E104" s="544">
        <v>13141</v>
      </c>
      <c r="F104" s="544">
        <v>13765</v>
      </c>
      <c r="G104" s="544">
        <v>14215</v>
      </c>
      <c r="H104" s="544">
        <v>15223</v>
      </c>
      <c r="I104" s="544">
        <v>16775</v>
      </c>
      <c r="J104" s="544">
        <v>17556</v>
      </c>
      <c r="K104" s="545">
        <v>18260</v>
      </c>
      <c r="L104" s="952">
        <v>18517</v>
      </c>
      <c r="M104" s="952">
        <v>18039</v>
      </c>
      <c r="N104" s="1550">
        <v>17323</v>
      </c>
      <c r="P104" s="272">
        <f t="shared" si="10"/>
        <v>3.9691778923443652E-2</v>
      </c>
      <c r="Q104" s="272">
        <f t="shared" si="11"/>
        <v>2.581411675757412E-2</v>
      </c>
      <c r="R104" s="272">
        <f t="shared" si="12"/>
        <v>1.407447973713034E-2</v>
      </c>
    </row>
    <row r="105" spans="1:18" ht="15.75" x14ac:dyDescent="0.25">
      <c r="A105" s="537" t="s">
        <v>82</v>
      </c>
      <c r="B105" s="540" t="s">
        <v>83</v>
      </c>
      <c r="C105" s="595" t="s">
        <v>264</v>
      </c>
      <c r="D105" s="544">
        <v>2389</v>
      </c>
      <c r="E105" s="544">
        <v>2571</v>
      </c>
      <c r="F105" s="544">
        <v>2429</v>
      </c>
      <c r="G105" s="544">
        <v>2414</v>
      </c>
      <c r="H105" s="544">
        <v>2663</v>
      </c>
      <c r="I105" s="544">
        <v>3097</v>
      </c>
      <c r="J105" s="544">
        <v>3422</v>
      </c>
      <c r="K105" s="545">
        <v>3686</v>
      </c>
      <c r="L105" s="952">
        <v>3792</v>
      </c>
      <c r="M105" s="952">
        <v>3557</v>
      </c>
      <c r="N105" s="1550">
        <v>3448</v>
      </c>
      <c r="P105" s="272">
        <f t="shared" si="10"/>
        <v>3.064380095586168E-2</v>
      </c>
      <c r="Q105" s="272">
        <f t="shared" si="11"/>
        <v>6.1972573839662447E-2</v>
      </c>
      <c r="R105" s="272">
        <f t="shared" si="12"/>
        <v>2.875746066196419E-2</v>
      </c>
    </row>
    <row r="106" spans="1:18" ht="15.75" x14ac:dyDescent="0.25">
      <c r="A106" s="537" t="s">
        <v>88</v>
      </c>
      <c r="B106" s="540" t="s">
        <v>89</v>
      </c>
      <c r="C106" s="595" t="s">
        <v>267</v>
      </c>
      <c r="D106" s="544">
        <v>3824</v>
      </c>
      <c r="E106" s="544">
        <v>4088</v>
      </c>
      <c r="F106" s="544">
        <v>4156</v>
      </c>
      <c r="G106" s="544">
        <v>4570</v>
      </c>
      <c r="H106" s="544">
        <v>5232</v>
      </c>
      <c r="I106" s="544">
        <v>6129</v>
      </c>
      <c r="J106" s="544">
        <v>6956</v>
      </c>
      <c r="K106" s="545">
        <v>7545</v>
      </c>
      <c r="L106" s="952">
        <v>7664</v>
      </c>
      <c r="M106" s="952">
        <v>7338</v>
      </c>
      <c r="N106" s="1550">
        <v>6982</v>
      </c>
      <c r="P106" s="272">
        <f t="shared" si="10"/>
        <v>4.8514581629871899E-2</v>
      </c>
      <c r="Q106" s="272">
        <f t="shared" si="11"/>
        <v>4.2536534446764092E-2</v>
      </c>
      <c r="R106" s="272">
        <f t="shared" si="12"/>
        <v>1.5772034459907224E-2</v>
      </c>
    </row>
    <row r="107" spans="1:18" ht="15.75" x14ac:dyDescent="0.25">
      <c r="A107" s="537" t="s">
        <v>90</v>
      </c>
      <c r="B107" s="540" t="s">
        <v>91</v>
      </c>
      <c r="C107" s="595" t="s">
        <v>268</v>
      </c>
      <c r="D107" s="544">
        <v>1984</v>
      </c>
      <c r="E107" s="544">
        <v>2105</v>
      </c>
      <c r="F107" s="544">
        <v>2157</v>
      </c>
      <c r="G107" s="544">
        <v>2353</v>
      </c>
      <c r="H107" s="544">
        <v>2567</v>
      </c>
      <c r="I107" s="544">
        <v>2723</v>
      </c>
      <c r="J107" s="544">
        <v>2793</v>
      </c>
      <c r="K107" s="545">
        <v>2935</v>
      </c>
      <c r="L107" s="952">
        <v>2975</v>
      </c>
      <c r="M107" s="952">
        <v>2964</v>
      </c>
      <c r="N107" s="1550">
        <v>2735</v>
      </c>
      <c r="P107" s="272">
        <f t="shared" si="10"/>
        <v>7.7260458839406201E-2</v>
      </c>
      <c r="Q107" s="272">
        <f t="shared" si="11"/>
        <v>3.6974789915966387E-3</v>
      </c>
      <c r="R107" s="272">
        <f t="shared" si="12"/>
        <v>1.3628620102214651E-2</v>
      </c>
    </row>
    <row r="108" spans="1:18" ht="15.75" x14ac:dyDescent="0.25">
      <c r="A108" s="537" t="s">
        <v>106</v>
      </c>
      <c r="B108" s="540" t="s">
        <v>107</v>
      </c>
      <c r="C108" s="595" t="s">
        <v>264</v>
      </c>
      <c r="D108" s="544">
        <v>20801</v>
      </c>
      <c r="E108" s="544">
        <v>21510</v>
      </c>
      <c r="F108" s="544">
        <v>20751</v>
      </c>
      <c r="G108" s="544">
        <v>20617</v>
      </c>
      <c r="H108" s="544">
        <v>22561</v>
      </c>
      <c r="I108" s="544">
        <v>25894</v>
      </c>
      <c r="J108" s="544">
        <v>29642</v>
      </c>
      <c r="K108" s="545">
        <v>32577</v>
      </c>
      <c r="L108" s="952">
        <v>34257</v>
      </c>
      <c r="M108" s="952">
        <v>33529</v>
      </c>
      <c r="N108" s="1550">
        <v>31534</v>
      </c>
      <c r="P108" s="272">
        <f t="shared" si="10"/>
        <v>5.9500730710728027E-2</v>
      </c>
      <c r="Q108" s="272">
        <f t="shared" si="11"/>
        <v>2.1251131155676211E-2</v>
      </c>
      <c r="R108" s="272">
        <f t="shared" si="12"/>
        <v>5.1570126162630077E-2</v>
      </c>
    </row>
    <row r="109" spans="1:18" ht="15.75" x14ac:dyDescent="0.25">
      <c r="A109" s="537" t="s">
        <v>116</v>
      </c>
      <c r="B109" s="540" t="s">
        <v>117</v>
      </c>
      <c r="C109" s="595" t="s">
        <v>266</v>
      </c>
      <c r="D109" s="544">
        <v>6080</v>
      </c>
      <c r="E109" s="544">
        <v>6473</v>
      </c>
      <c r="F109" s="544">
        <v>6519</v>
      </c>
      <c r="G109" s="544">
        <v>6980</v>
      </c>
      <c r="H109" s="544">
        <v>7634</v>
      </c>
      <c r="I109" s="544">
        <v>8487</v>
      </c>
      <c r="J109" s="544">
        <v>9238</v>
      </c>
      <c r="K109" s="545">
        <v>9773</v>
      </c>
      <c r="L109" s="952">
        <v>10047</v>
      </c>
      <c r="M109" s="952">
        <v>9954</v>
      </c>
      <c r="N109" s="1550">
        <v>9803</v>
      </c>
      <c r="P109" s="272">
        <f t="shared" si="10"/>
        <v>1.5169780992565803E-2</v>
      </c>
      <c r="Q109" s="272">
        <f t="shared" si="11"/>
        <v>9.2564944759629744E-3</v>
      </c>
      <c r="R109" s="272">
        <f t="shared" si="12"/>
        <v>2.8036426890412362E-2</v>
      </c>
    </row>
    <row r="110" spans="1:18" ht="15.75" x14ac:dyDescent="0.25">
      <c r="A110" s="537" t="s">
        <v>138</v>
      </c>
      <c r="B110" s="540" t="s">
        <v>139</v>
      </c>
      <c r="C110" s="595" t="s">
        <v>265</v>
      </c>
      <c r="D110" s="544">
        <v>11871</v>
      </c>
      <c r="E110" s="544">
        <v>12443</v>
      </c>
      <c r="F110" s="544">
        <v>12733</v>
      </c>
      <c r="G110" s="544">
        <v>12854</v>
      </c>
      <c r="H110" s="544">
        <v>14308</v>
      </c>
      <c r="I110" s="544">
        <v>16187</v>
      </c>
      <c r="J110" s="544">
        <v>17521</v>
      </c>
      <c r="K110" s="545">
        <v>18989</v>
      </c>
      <c r="L110" s="952">
        <v>19833</v>
      </c>
      <c r="M110" s="952">
        <v>19438</v>
      </c>
      <c r="N110" s="1550">
        <v>18329</v>
      </c>
      <c r="P110" s="272">
        <f t="shared" si="10"/>
        <v>5.7053194773124809E-2</v>
      </c>
      <c r="Q110" s="272">
        <f t="shared" si="11"/>
        <v>1.9916301114304442E-2</v>
      </c>
      <c r="R110" s="272">
        <f t="shared" si="12"/>
        <v>4.4446784980778344E-2</v>
      </c>
    </row>
    <row r="111" spans="1:18" ht="15.75" x14ac:dyDescent="0.25">
      <c r="A111" s="537" t="s">
        <v>142</v>
      </c>
      <c r="B111" s="540" t="s">
        <v>143</v>
      </c>
      <c r="C111" s="595" t="s">
        <v>267</v>
      </c>
      <c r="D111" s="544">
        <v>2747</v>
      </c>
      <c r="E111" s="544">
        <v>2921</v>
      </c>
      <c r="F111" s="544">
        <v>3291</v>
      </c>
      <c r="G111" s="544">
        <v>3873</v>
      </c>
      <c r="H111" s="544">
        <v>5113</v>
      </c>
      <c r="I111" s="544">
        <v>6487</v>
      </c>
      <c r="J111" s="544">
        <v>7188</v>
      </c>
      <c r="K111" s="545">
        <v>7479</v>
      </c>
      <c r="L111" s="952">
        <v>7916</v>
      </c>
      <c r="M111" s="952">
        <v>7794</v>
      </c>
      <c r="N111" s="1550">
        <v>7520</v>
      </c>
      <c r="P111" s="272">
        <f t="shared" si="10"/>
        <v>3.5155247626379268E-2</v>
      </c>
      <c r="Q111" s="272">
        <f t="shared" si="11"/>
        <v>1.5411824153612936E-2</v>
      </c>
      <c r="R111" s="272">
        <f t="shared" si="12"/>
        <v>5.8430271426661316E-2</v>
      </c>
    </row>
    <row r="112" spans="1:18" ht="15.75" x14ac:dyDescent="0.25">
      <c r="A112" s="537" t="s">
        <v>144</v>
      </c>
      <c r="B112" s="540" t="s">
        <v>145</v>
      </c>
      <c r="C112" s="595" t="s">
        <v>267</v>
      </c>
      <c r="D112" s="544">
        <v>764</v>
      </c>
      <c r="E112" s="544">
        <v>1055</v>
      </c>
      <c r="F112" s="544">
        <v>1218</v>
      </c>
      <c r="G112" s="544">
        <v>1456</v>
      </c>
      <c r="H112" s="544">
        <v>1865</v>
      </c>
      <c r="I112" s="544">
        <v>2197</v>
      </c>
      <c r="J112" s="544">
        <v>2241</v>
      </c>
      <c r="K112" s="545">
        <v>2221</v>
      </c>
      <c r="L112" s="952">
        <v>2342</v>
      </c>
      <c r="M112" s="952">
        <v>2223</v>
      </c>
      <c r="N112" s="1550">
        <v>2188</v>
      </c>
      <c r="P112" s="272">
        <f t="shared" si="10"/>
        <v>1.5744489428699954E-2</v>
      </c>
      <c r="Q112" s="272">
        <f t="shared" si="11"/>
        <v>5.0811272416737829E-2</v>
      </c>
      <c r="R112" s="272">
        <f t="shared" si="12"/>
        <v>5.4479963980189103E-2</v>
      </c>
    </row>
    <row r="113" spans="1:18" ht="15.75" x14ac:dyDescent="0.25">
      <c r="A113" s="537" t="s">
        <v>158</v>
      </c>
      <c r="B113" s="540" t="s">
        <v>159</v>
      </c>
      <c r="C113" s="595" t="s">
        <v>264</v>
      </c>
      <c r="D113" s="544">
        <v>31185</v>
      </c>
      <c r="E113" s="544">
        <v>32205</v>
      </c>
      <c r="F113" s="544">
        <v>31668</v>
      </c>
      <c r="G113" s="544">
        <v>32874</v>
      </c>
      <c r="H113" s="544">
        <v>37456</v>
      </c>
      <c r="I113" s="544">
        <v>43763</v>
      </c>
      <c r="J113" s="544">
        <v>48328</v>
      </c>
      <c r="K113" s="545">
        <v>50910</v>
      </c>
      <c r="L113" s="952">
        <v>53108</v>
      </c>
      <c r="M113" s="952">
        <v>51766</v>
      </c>
      <c r="N113" s="1550">
        <v>49407</v>
      </c>
      <c r="P113" s="272">
        <f t="shared" si="10"/>
        <v>4.5570451647799715E-2</v>
      </c>
      <c r="Q113" s="272">
        <f t="shared" si="11"/>
        <v>2.5269262634631317E-2</v>
      </c>
      <c r="R113" s="272">
        <f t="shared" si="12"/>
        <v>4.3174229031624434E-2</v>
      </c>
    </row>
    <row r="114" spans="1:18" ht="15.75" x14ac:dyDescent="0.25">
      <c r="A114" s="537" t="s">
        <v>160</v>
      </c>
      <c r="B114" s="540" t="s">
        <v>161</v>
      </c>
      <c r="C114" s="595" t="s">
        <v>264</v>
      </c>
      <c r="D114" s="544">
        <v>46884</v>
      </c>
      <c r="E114" s="544">
        <v>47455</v>
      </c>
      <c r="F114" s="544">
        <v>46778</v>
      </c>
      <c r="G114" s="544">
        <v>47861</v>
      </c>
      <c r="H114" s="544">
        <v>52022</v>
      </c>
      <c r="I114" s="544">
        <v>59459</v>
      </c>
      <c r="J114" s="544">
        <v>64233</v>
      </c>
      <c r="K114" s="545">
        <v>68281</v>
      </c>
      <c r="L114" s="952">
        <v>70790</v>
      </c>
      <c r="M114" s="952">
        <v>68640</v>
      </c>
      <c r="N114" s="1550">
        <v>64601</v>
      </c>
      <c r="P114" s="272">
        <f t="shared" si="10"/>
        <v>5.8843240093240094E-2</v>
      </c>
      <c r="Q114" s="272">
        <f t="shared" si="11"/>
        <v>3.0371521401327872E-2</v>
      </c>
      <c r="R114" s="272">
        <f t="shared" si="12"/>
        <v>3.6745214627788111E-2</v>
      </c>
    </row>
    <row r="115" spans="1:18" ht="15.75" x14ac:dyDescent="0.25">
      <c r="A115" s="537" t="s">
        <v>166</v>
      </c>
      <c r="B115" s="540" t="s">
        <v>167</v>
      </c>
      <c r="C115" s="595" t="s">
        <v>268</v>
      </c>
      <c r="D115" s="544">
        <v>1214</v>
      </c>
      <c r="E115" s="544">
        <v>1273</v>
      </c>
      <c r="F115" s="544">
        <v>1341</v>
      </c>
      <c r="G115" s="544">
        <v>1371</v>
      </c>
      <c r="H115" s="544">
        <v>1414</v>
      </c>
      <c r="I115" s="544">
        <v>1412</v>
      </c>
      <c r="J115" s="544">
        <v>1477</v>
      </c>
      <c r="K115" s="545">
        <v>1593</v>
      </c>
      <c r="L115" s="952">
        <v>1594</v>
      </c>
      <c r="M115" s="952">
        <v>1533</v>
      </c>
      <c r="N115" s="1550">
        <v>1448</v>
      </c>
      <c r="P115" s="272">
        <f t="shared" si="10"/>
        <v>5.5446836268754074E-2</v>
      </c>
      <c r="Q115" s="272">
        <f t="shared" si="11"/>
        <v>3.8268506900878296E-2</v>
      </c>
      <c r="R115" s="272">
        <f t="shared" si="12"/>
        <v>6.2774639045825491E-4</v>
      </c>
    </row>
    <row r="116" spans="1:18" ht="15.75" x14ac:dyDescent="0.25">
      <c r="A116" s="537" t="s">
        <v>176</v>
      </c>
      <c r="B116" s="540" t="s">
        <v>177</v>
      </c>
      <c r="C116" s="595" t="s">
        <v>266</v>
      </c>
      <c r="D116" s="544">
        <v>9981</v>
      </c>
      <c r="E116" s="544">
        <v>10336</v>
      </c>
      <c r="F116" s="544">
        <v>10560</v>
      </c>
      <c r="G116" s="544">
        <v>10768</v>
      </c>
      <c r="H116" s="544">
        <v>11898</v>
      </c>
      <c r="I116" s="544">
        <v>13458</v>
      </c>
      <c r="J116" s="544">
        <v>14705</v>
      </c>
      <c r="K116" s="545">
        <v>15321</v>
      </c>
      <c r="L116" s="952">
        <v>15672</v>
      </c>
      <c r="M116" s="952">
        <v>15347</v>
      </c>
      <c r="N116" s="1550">
        <v>14696</v>
      </c>
      <c r="P116" s="272">
        <f t="shared" si="10"/>
        <v>4.2418713755131295E-2</v>
      </c>
      <c r="Q116" s="272">
        <f t="shared" si="11"/>
        <v>2.0737621235324143E-2</v>
      </c>
      <c r="R116" s="272">
        <f t="shared" si="12"/>
        <v>2.2909731740747993E-2</v>
      </c>
    </row>
    <row r="117" spans="1:18" ht="15.75" x14ac:dyDescent="0.25">
      <c r="A117" s="537" t="s">
        <v>180</v>
      </c>
      <c r="B117" s="540" t="s">
        <v>181</v>
      </c>
      <c r="C117" s="595" t="s">
        <v>264</v>
      </c>
      <c r="D117" s="544">
        <v>20721</v>
      </c>
      <c r="E117" s="544">
        <v>21598</v>
      </c>
      <c r="F117" s="544">
        <v>21494</v>
      </c>
      <c r="G117" s="544">
        <v>21648</v>
      </c>
      <c r="H117" s="544">
        <v>23784</v>
      </c>
      <c r="I117" s="544">
        <v>27393</v>
      </c>
      <c r="J117" s="544">
        <v>29895</v>
      </c>
      <c r="K117" s="545">
        <v>32370</v>
      </c>
      <c r="L117" s="952">
        <v>33997</v>
      </c>
      <c r="M117" s="952">
        <v>32765</v>
      </c>
      <c r="N117" s="1550">
        <v>31226</v>
      </c>
      <c r="P117" s="272">
        <f t="shared" si="10"/>
        <v>4.6970853044407145E-2</v>
      </c>
      <c r="Q117" s="272">
        <f t="shared" si="11"/>
        <v>3.6238491631614557E-2</v>
      </c>
      <c r="R117" s="272">
        <f t="shared" si="12"/>
        <v>5.0262588816805683E-2</v>
      </c>
    </row>
    <row r="118" spans="1:18" ht="15.75" x14ac:dyDescent="0.25">
      <c r="A118" s="537" t="s">
        <v>192</v>
      </c>
      <c r="B118" s="540" t="s">
        <v>193</v>
      </c>
      <c r="C118" s="595" t="s">
        <v>268</v>
      </c>
      <c r="D118" s="544">
        <v>1823</v>
      </c>
      <c r="E118" s="544">
        <v>1952</v>
      </c>
      <c r="F118" s="544">
        <v>1993</v>
      </c>
      <c r="G118" s="544">
        <v>2066</v>
      </c>
      <c r="H118" s="544">
        <v>2353</v>
      </c>
      <c r="I118" s="544">
        <v>2553</v>
      </c>
      <c r="J118" s="544">
        <v>2647</v>
      </c>
      <c r="K118" s="545">
        <v>2701</v>
      </c>
      <c r="L118" s="952">
        <v>2788</v>
      </c>
      <c r="M118" s="952">
        <v>2756</v>
      </c>
      <c r="N118" s="1550">
        <v>2609</v>
      </c>
      <c r="P118" s="272">
        <f t="shared" si="10"/>
        <v>5.3338171262699567E-2</v>
      </c>
      <c r="Q118" s="272">
        <f t="shared" si="11"/>
        <v>1.1477761836441894E-2</v>
      </c>
      <c r="R118" s="272">
        <f t="shared" si="12"/>
        <v>3.2210292484265088E-2</v>
      </c>
    </row>
    <row r="119" spans="1:18" ht="15.75" x14ac:dyDescent="0.25">
      <c r="A119" s="537" t="s">
        <v>196</v>
      </c>
      <c r="B119" s="540" t="s">
        <v>197</v>
      </c>
      <c r="C119" s="595" t="s">
        <v>266</v>
      </c>
      <c r="D119" s="544">
        <v>49423</v>
      </c>
      <c r="E119" s="544">
        <v>50881</v>
      </c>
      <c r="F119" s="544">
        <v>51055</v>
      </c>
      <c r="G119" s="544">
        <v>51410</v>
      </c>
      <c r="H119" s="544">
        <v>54502</v>
      </c>
      <c r="I119" s="544">
        <v>62670</v>
      </c>
      <c r="J119" s="544">
        <v>67983</v>
      </c>
      <c r="K119" s="545">
        <v>72851</v>
      </c>
      <c r="L119" s="952">
        <v>75700</v>
      </c>
      <c r="M119" s="952">
        <v>72640</v>
      </c>
      <c r="N119" s="1550">
        <v>68448</v>
      </c>
      <c r="P119" s="272">
        <f t="shared" si="10"/>
        <v>5.7709251101321586E-2</v>
      </c>
      <c r="Q119" s="272">
        <f t="shared" si="11"/>
        <v>4.0422721268163805E-2</v>
      </c>
      <c r="R119" s="272">
        <f t="shared" si="12"/>
        <v>3.9107218843941742E-2</v>
      </c>
    </row>
    <row r="120" spans="1:18" ht="15.75" x14ac:dyDescent="0.25">
      <c r="A120" s="537" t="s">
        <v>200</v>
      </c>
      <c r="B120" s="540" t="s">
        <v>201</v>
      </c>
      <c r="C120" s="595" t="s">
        <v>265</v>
      </c>
      <c r="D120" s="544">
        <v>19436</v>
      </c>
      <c r="E120" s="544">
        <v>20626</v>
      </c>
      <c r="F120" s="544">
        <v>21476</v>
      </c>
      <c r="G120" s="544">
        <v>22766</v>
      </c>
      <c r="H120" s="544">
        <v>25844</v>
      </c>
      <c r="I120" s="544">
        <v>29554</v>
      </c>
      <c r="J120" s="544">
        <v>31980</v>
      </c>
      <c r="K120" s="545">
        <v>34163</v>
      </c>
      <c r="L120" s="952">
        <v>36216</v>
      </c>
      <c r="M120" s="952">
        <v>35249</v>
      </c>
      <c r="N120" s="1550">
        <v>33600</v>
      </c>
      <c r="P120" s="272">
        <f t="shared" si="10"/>
        <v>4.6781468977843341E-2</v>
      </c>
      <c r="Q120" s="272">
        <f t="shared" si="11"/>
        <v>2.6700905677048817E-2</v>
      </c>
      <c r="R120" s="272">
        <f t="shared" si="12"/>
        <v>6.0094254017504317E-2</v>
      </c>
    </row>
    <row r="121" spans="1:18" ht="15.75" x14ac:dyDescent="0.25">
      <c r="A121" s="537" t="s">
        <v>222</v>
      </c>
      <c r="B121" s="633" t="s">
        <v>223</v>
      </c>
      <c r="C121" s="633" t="s">
        <v>264</v>
      </c>
      <c r="D121" s="634">
        <v>11261</v>
      </c>
      <c r="E121" s="634">
        <v>11423</v>
      </c>
      <c r="F121" s="634">
        <v>11272</v>
      </c>
      <c r="G121" s="634">
        <v>11546</v>
      </c>
      <c r="H121" s="634">
        <v>12901</v>
      </c>
      <c r="I121" s="634">
        <v>14825</v>
      </c>
      <c r="J121" s="634">
        <v>16549</v>
      </c>
      <c r="K121" s="952">
        <v>17699</v>
      </c>
      <c r="L121" s="952">
        <v>18547</v>
      </c>
      <c r="M121" s="952">
        <v>18249</v>
      </c>
      <c r="N121" s="1550">
        <v>17471</v>
      </c>
      <c r="P121" s="272">
        <f t="shared" si="10"/>
        <v>4.2632473012219847E-2</v>
      </c>
      <c r="Q121" s="272">
        <f t="shared" si="11"/>
        <v>1.6067288510271203E-2</v>
      </c>
      <c r="R121" s="272">
        <f t="shared" si="12"/>
        <v>4.7912311430024293E-2</v>
      </c>
    </row>
    <row r="122" spans="1:18" ht="15.75" x14ac:dyDescent="0.25">
      <c r="A122" s="537" t="s">
        <v>230</v>
      </c>
      <c r="B122" s="540" t="s">
        <v>231</v>
      </c>
      <c r="C122" s="595" t="s">
        <v>264</v>
      </c>
      <c r="D122" s="544">
        <v>28215</v>
      </c>
      <c r="E122" s="544">
        <v>28835</v>
      </c>
      <c r="F122" s="544">
        <v>27798</v>
      </c>
      <c r="G122" s="544">
        <v>29065</v>
      </c>
      <c r="H122" s="544">
        <v>34362</v>
      </c>
      <c r="I122" s="544">
        <v>43390</v>
      </c>
      <c r="J122" s="544">
        <v>48823</v>
      </c>
      <c r="K122" s="545">
        <v>53010</v>
      </c>
      <c r="L122" s="952">
        <v>54998</v>
      </c>
      <c r="M122" s="952">
        <v>54484</v>
      </c>
      <c r="N122" s="1550">
        <v>52144</v>
      </c>
      <c r="P122" s="272">
        <f t="shared" si="10"/>
        <v>4.2948388517729974E-2</v>
      </c>
      <c r="Q122" s="272">
        <f t="shared" si="11"/>
        <v>9.3457943925233638E-3</v>
      </c>
      <c r="R122" s="272">
        <f t="shared" si="12"/>
        <v>3.7502358045651767E-2</v>
      </c>
    </row>
    <row r="123" spans="1:18" ht="15.75" x14ac:dyDescent="0.25">
      <c r="A123" s="537" t="s">
        <v>238</v>
      </c>
      <c r="B123" s="540" t="s">
        <v>239</v>
      </c>
      <c r="C123" s="595" t="s">
        <v>264</v>
      </c>
      <c r="D123" s="544">
        <v>857</v>
      </c>
      <c r="E123" s="544">
        <v>991</v>
      </c>
      <c r="F123" s="544">
        <v>953</v>
      </c>
      <c r="G123" s="544">
        <v>1015</v>
      </c>
      <c r="H123" s="544">
        <v>1223</v>
      </c>
      <c r="I123" s="544">
        <v>1515</v>
      </c>
      <c r="J123" s="544">
        <v>1885</v>
      </c>
      <c r="K123" s="545">
        <v>1929</v>
      </c>
      <c r="L123" s="952">
        <v>2096</v>
      </c>
      <c r="M123" s="952">
        <v>2072</v>
      </c>
      <c r="N123" s="1550">
        <v>2012</v>
      </c>
      <c r="P123" s="272">
        <f t="shared" si="10"/>
        <v>2.8957528957528959E-2</v>
      </c>
      <c r="Q123" s="272">
        <f t="shared" si="11"/>
        <v>1.1450381679389313E-2</v>
      </c>
      <c r="R123" s="272">
        <f t="shared" si="12"/>
        <v>8.6573354069466049E-2</v>
      </c>
    </row>
    <row r="124" spans="1:18" ht="15.75" x14ac:dyDescent="0.25">
      <c r="A124" s="538" t="s">
        <v>240</v>
      </c>
      <c r="B124" s="541" t="s">
        <v>241</v>
      </c>
      <c r="C124" s="541" t="s">
        <v>267</v>
      </c>
      <c r="D124" s="546">
        <v>3348</v>
      </c>
      <c r="E124" s="546">
        <v>3421</v>
      </c>
      <c r="F124" s="546">
        <v>3674</v>
      </c>
      <c r="G124" s="546">
        <v>4204</v>
      </c>
      <c r="H124" s="546">
        <v>5542</v>
      </c>
      <c r="I124" s="546">
        <v>6778</v>
      </c>
      <c r="J124" s="546">
        <v>7510</v>
      </c>
      <c r="K124" s="953">
        <v>7681</v>
      </c>
      <c r="L124" s="953">
        <v>7964</v>
      </c>
      <c r="M124" s="953">
        <v>7441</v>
      </c>
      <c r="N124" s="1550">
        <v>6819</v>
      </c>
      <c r="P124" s="272">
        <f t="shared" si="10"/>
        <v>8.3590915199569946E-2</v>
      </c>
      <c r="Q124" s="272">
        <f t="shared" si="11"/>
        <v>6.5670517327975894E-2</v>
      </c>
      <c r="R124" s="272">
        <f t="shared" si="12"/>
        <v>3.6844160916547325E-2</v>
      </c>
    </row>
    <row r="126" spans="1:18" ht="34.5" customHeight="1" x14ac:dyDescent="0.25">
      <c r="A126" s="2270" t="s">
        <v>1102</v>
      </c>
      <c r="B126" s="2270"/>
      <c r="C126" s="2270"/>
      <c r="D126" s="2270"/>
      <c r="E126" s="2270"/>
      <c r="F126" s="2270"/>
      <c r="G126" s="2270"/>
      <c r="H126" s="2270"/>
      <c r="I126" s="2270"/>
      <c r="J126" s="2270"/>
      <c r="K126" s="2270"/>
      <c r="L126" s="2270"/>
      <c r="M126" s="1147"/>
      <c r="N126" s="1526"/>
    </row>
    <row r="128" spans="1:18" s="412" customFormat="1" ht="15.75" x14ac:dyDescent="0.25">
      <c r="A128" s="412" t="s">
        <v>248</v>
      </c>
    </row>
    <row r="129" spans="1:3" s="412" customFormat="1" ht="15.75" x14ac:dyDescent="0.25">
      <c r="A129" s="413" t="s">
        <v>249</v>
      </c>
      <c r="B129" s="414" t="s">
        <v>250</v>
      </c>
      <c r="C129" s="414"/>
    </row>
  </sheetData>
  <autoFilter ref="A3:C3"/>
  <sortState ref="A5:U124">
    <sortCondition ref="A5:A124"/>
  </sortState>
  <mergeCells count="1">
    <mergeCell ref="A126:L126"/>
  </mergeCells>
  <hyperlinks>
    <hyperlink ref="B129" r:id="rId1"/>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29"/>
  <sheetViews>
    <sheetView topLeftCell="A100" workbookViewId="0">
      <selection activeCell="J111" sqref="J111"/>
    </sheetView>
  </sheetViews>
  <sheetFormatPr defaultRowHeight="15.75" x14ac:dyDescent="0.25"/>
  <cols>
    <col min="1" max="1" width="9" style="529"/>
    <col min="2" max="2" width="33.375" style="529" customWidth="1"/>
    <col min="3" max="3" width="16.75" style="529" customWidth="1"/>
    <col min="4" max="8" width="8.875" style="529" customWidth="1"/>
    <col min="9" max="9" width="4.625" style="529" customWidth="1"/>
    <col min="10" max="16384" width="9" style="529"/>
  </cols>
  <sheetData>
    <row r="1" spans="1:12" ht="12.75" customHeight="1" x14ac:dyDescent="0.25">
      <c r="A1" s="258" t="s">
        <v>1259</v>
      </c>
    </row>
    <row r="3" spans="1:12" ht="53.25" customHeight="1" x14ac:dyDescent="0.25">
      <c r="A3" s="534" t="s">
        <v>4</v>
      </c>
      <c r="B3" s="592" t="s">
        <v>5</v>
      </c>
      <c r="C3" s="592" t="s">
        <v>251</v>
      </c>
      <c r="D3" s="643" t="s">
        <v>732</v>
      </c>
      <c r="E3" s="643" t="s">
        <v>826</v>
      </c>
      <c r="F3" s="643" t="s">
        <v>872</v>
      </c>
      <c r="G3" s="1555" t="s">
        <v>1109</v>
      </c>
      <c r="H3" s="1555" t="s">
        <v>1258</v>
      </c>
      <c r="I3" s="531"/>
      <c r="J3" s="531"/>
      <c r="K3" s="531"/>
      <c r="L3" s="531"/>
    </row>
    <row r="4" spans="1:12" x14ac:dyDescent="0.25">
      <c r="A4" s="629">
        <v>999</v>
      </c>
      <c r="B4" s="630" t="s">
        <v>9</v>
      </c>
      <c r="C4" s="630"/>
      <c r="D4" s="533">
        <v>1250280</v>
      </c>
      <c r="E4" s="1831">
        <v>1298999</v>
      </c>
      <c r="F4" s="1831">
        <v>1273438</v>
      </c>
      <c r="G4" s="1831">
        <v>1242231</v>
      </c>
      <c r="H4" s="1831">
        <v>1173165</v>
      </c>
      <c r="I4" s="531"/>
      <c r="J4" s="531"/>
      <c r="K4" s="531"/>
      <c r="L4" s="531"/>
    </row>
    <row r="5" spans="1:12" x14ac:dyDescent="0.25">
      <c r="A5" s="536" t="s">
        <v>10</v>
      </c>
      <c r="B5" s="594" t="s">
        <v>11</v>
      </c>
      <c r="C5" s="594" t="s">
        <v>264</v>
      </c>
      <c r="D5" s="543">
        <v>10046</v>
      </c>
      <c r="E5" s="952">
        <v>10332</v>
      </c>
      <c r="F5" s="952">
        <v>10098</v>
      </c>
      <c r="G5" s="1829">
        <v>9497</v>
      </c>
      <c r="H5" s="1829">
        <v>8724</v>
      </c>
    </row>
    <row r="6" spans="1:12" x14ac:dyDescent="0.25">
      <c r="A6" s="537" t="s">
        <v>12</v>
      </c>
      <c r="B6" s="633" t="s">
        <v>13</v>
      </c>
      <c r="C6" s="633" t="s">
        <v>265</v>
      </c>
      <c r="D6" s="952">
        <v>10527</v>
      </c>
      <c r="E6" s="952">
        <v>10776</v>
      </c>
      <c r="F6" s="952">
        <v>10437</v>
      </c>
      <c r="G6" s="1829">
        <v>10125</v>
      </c>
      <c r="H6" s="1829">
        <v>8883</v>
      </c>
    </row>
    <row r="7" spans="1:12" x14ac:dyDescent="0.25">
      <c r="A7" s="537" t="s">
        <v>16</v>
      </c>
      <c r="B7" s="633" t="s">
        <v>297</v>
      </c>
      <c r="C7" s="633" t="s">
        <v>265</v>
      </c>
      <c r="D7" s="952">
        <v>5413</v>
      </c>
      <c r="E7" s="952">
        <v>5618</v>
      </c>
      <c r="F7" s="952">
        <v>5281</v>
      </c>
      <c r="G7" s="1829">
        <v>5088</v>
      </c>
      <c r="H7" s="1829">
        <v>4962</v>
      </c>
    </row>
    <row r="8" spans="1:12" x14ac:dyDescent="0.25">
      <c r="A8" s="537" t="s">
        <v>18</v>
      </c>
      <c r="B8" s="633" t="s">
        <v>19</v>
      </c>
      <c r="C8" s="633" t="s">
        <v>266</v>
      </c>
      <c r="D8" s="952">
        <v>3096</v>
      </c>
      <c r="E8" s="952">
        <v>3000</v>
      </c>
      <c r="F8" s="952">
        <v>2803</v>
      </c>
      <c r="G8" s="1829">
        <v>2592</v>
      </c>
      <c r="H8" s="1829">
        <v>2421</v>
      </c>
    </row>
    <row r="9" spans="1:12" x14ac:dyDescent="0.25">
      <c r="A9" s="537" t="s">
        <v>20</v>
      </c>
      <c r="B9" s="633" t="s">
        <v>21</v>
      </c>
      <c r="C9" s="633" t="s">
        <v>265</v>
      </c>
      <c r="D9" s="952">
        <v>6082</v>
      </c>
      <c r="E9" s="952">
        <v>6250</v>
      </c>
      <c r="F9" s="952">
        <v>5848</v>
      </c>
      <c r="G9" s="1829">
        <v>5387</v>
      </c>
      <c r="H9" s="1829">
        <v>5262</v>
      </c>
    </row>
    <row r="10" spans="1:12" x14ac:dyDescent="0.25">
      <c r="A10" s="537" t="s">
        <v>22</v>
      </c>
      <c r="B10" s="633" t="s">
        <v>23</v>
      </c>
      <c r="C10" s="633" t="s">
        <v>265</v>
      </c>
      <c r="D10" s="952">
        <v>3681</v>
      </c>
      <c r="E10" s="952">
        <v>3788</v>
      </c>
      <c r="F10" s="952">
        <v>3667</v>
      </c>
      <c r="G10" s="1829">
        <v>3549</v>
      </c>
      <c r="H10" s="1829">
        <v>3439</v>
      </c>
    </row>
    <row r="11" spans="1:12" x14ac:dyDescent="0.25">
      <c r="A11" s="537" t="s">
        <v>24</v>
      </c>
      <c r="B11" s="633" t="s">
        <v>25</v>
      </c>
      <c r="C11" s="633" t="s">
        <v>267</v>
      </c>
      <c r="D11" s="952">
        <v>12781</v>
      </c>
      <c r="E11" s="952">
        <v>13823</v>
      </c>
      <c r="F11" s="952">
        <v>13872</v>
      </c>
      <c r="G11" s="1829">
        <v>13848</v>
      </c>
      <c r="H11" s="1829">
        <v>13164</v>
      </c>
    </row>
    <row r="12" spans="1:12" x14ac:dyDescent="0.25">
      <c r="A12" s="537" t="s">
        <v>26</v>
      </c>
      <c r="B12" s="633" t="s">
        <v>686</v>
      </c>
      <c r="C12" s="633" t="s">
        <v>265</v>
      </c>
      <c r="D12" s="952">
        <v>23385</v>
      </c>
      <c r="E12" s="952">
        <v>25494</v>
      </c>
      <c r="F12" s="952">
        <v>22658</v>
      </c>
      <c r="G12" s="1829">
        <v>20892</v>
      </c>
      <c r="H12" s="1829">
        <v>19321</v>
      </c>
    </row>
    <row r="13" spans="1:12" x14ac:dyDescent="0.25">
      <c r="A13" s="537" t="s">
        <v>27</v>
      </c>
      <c r="B13" s="633" t="s">
        <v>28</v>
      </c>
      <c r="C13" s="633" t="s">
        <v>265</v>
      </c>
      <c r="D13" s="952">
        <v>693</v>
      </c>
      <c r="E13" s="952">
        <v>750</v>
      </c>
      <c r="F13" s="952">
        <v>665</v>
      </c>
      <c r="G13" s="1829">
        <v>606</v>
      </c>
      <c r="H13" s="1829">
        <v>565</v>
      </c>
    </row>
    <row r="14" spans="1:12" x14ac:dyDescent="0.25">
      <c r="A14" s="537" t="s">
        <v>29</v>
      </c>
      <c r="B14" s="633" t="s">
        <v>924</v>
      </c>
      <c r="C14" s="633" t="s">
        <v>265</v>
      </c>
      <c r="D14" s="952">
        <v>10717</v>
      </c>
      <c r="E14" s="952">
        <v>11078</v>
      </c>
      <c r="F14" s="952">
        <v>11396</v>
      </c>
      <c r="G14" s="1829">
        <v>9711</v>
      </c>
      <c r="H14" s="1829">
        <v>8821</v>
      </c>
    </row>
    <row r="15" spans="1:12" x14ac:dyDescent="0.25">
      <c r="A15" s="537" t="s">
        <v>30</v>
      </c>
      <c r="B15" s="633" t="s">
        <v>31</v>
      </c>
      <c r="C15" s="633" t="s">
        <v>268</v>
      </c>
      <c r="D15" s="952">
        <v>953</v>
      </c>
      <c r="E15" s="952">
        <v>993</v>
      </c>
      <c r="F15" s="952">
        <v>925</v>
      </c>
      <c r="G15" s="1829">
        <v>847</v>
      </c>
      <c r="H15" s="1829">
        <v>837</v>
      </c>
    </row>
    <row r="16" spans="1:12" x14ac:dyDescent="0.25">
      <c r="A16" s="537" t="s">
        <v>32</v>
      </c>
      <c r="B16" s="633" t="s">
        <v>33</v>
      </c>
      <c r="C16" s="633" t="s">
        <v>265</v>
      </c>
      <c r="D16" s="952">
        <v>2764</v>
      </c>
      <c r="E16" s="952">
        <v>2819</v>
      </c>
      <c r="F16" s="952">
        <v>2808</v>
      </c>
      <c r="G16" s="1829">
        <v>2813</v>
      </c>
      <c r="H16" s="1829">
        <v>2818</v>
      </c>
    </row>
    <row r="17" spans="1:8" x14ac:dyDescent="0.25">
      <c r="A17" s="537" t="s">
        <v>36</v>
      </c>
      <c r="B17" s="633" t="s">
        <v>37</v>
      </c>
      <c r="C17" s="633" t="s">
        <v>264</v>
      </c>
      <c r="D17" s="952">
        <v>5222</v>
      </c>
      <c r="E17" s="952">
        <v>5261</v>
      </c>
      <c r="F17" s="952">
        <v>5139</v>
      </c>
      <c r="G17" s="1829">
        <v>4904</v>
      </c>
      <c r="H17" s="1829">
        <v>4674</v>
      </c>
    </row>
    <row r="18" spans="1:8" x14ac:dyDescent="0.25">
      <c r="A18" s="537" t="s">
        <v>38</v>
      </c>
      <c r="B18" s="633" t="s">
        <v>39</v>
      </c>
      <c r="C18" s="633" t="s">
        <v>268</v>
      </c>
      <c r="D18" s="952">
        <v>6166</v>
      </c>
      <c r="E18" s="952">
        <v>6567</v>
      </c>
      <c r="F18" s="952">
        <v>6368</v>
      </c>
      <c r="G18" s="1829">
        <v>6386</v>
      </c>
      <c r="H18" s="1829">
        <v>6304</v>
      </c>
    </row>
    <row r="19" spans="1:8" x14ac:dyDescent="0.25">
      <c r="A19" s="537" t="s">
        <v>40</v>
      </c>
      <c r="B19" s="633" t="s">
        <v>41</v>
      </c>
      <c r="C19" s="633" t="s">
        <v>266</v>
      </c>
      <c r="D19" s="952">
        <v>4756</v>
      </c>
      <c r="E19" s="952">
        <v>4849</v>
      </c>
      <c r="F19" s="952">
        <v>4470</v>
      </c>
      <c r="G19" s="1829">
        <v>4369</v>
      </c>
      <c r="H19" s="1829">
        <v>3907</v>
      </c>
    </row>
    <row r="20" spans="1:8" x14ac:dyDescent="0.25">
      <c r="A20" s="537" t="s">
        <v>42</v>
      </c>
      <c r="B20" s="633" t="s">
        <v>43</v>
      </c>
      <c r="C20" s="633" t="s">
        <v>265</v>
      </c>
      <c r="D20" s="952">
        <v>11338</v>
      </c>
      <c r="E20" s="952">
        <v>11586</v>
      </c>
      <c r="F20" s="952">
        <v>11213</v>
      </c>
      <c r="G20" s="1829">
        <v>11084</v>
      </c>
      <c r="H20" s="1829">
        <v>10434</v>
      </c>
    </row>
    <row r="21" spans="1:8" x14ac:dyDescent="0.25">
      <c r="A21" s="537" t="s">
        <v>44</v>
      </c>
      <c r="B21" s="633" t="s">
        <v>45</v>
      </c>
      <c r="C21" s="633" t="s">
        <v>266</v>
      </c>
      <c r="D21" s="952">
        <v>7318</v>
      </c>
      <c r="E21" s="952">
        <v>7516</v>
      </c>
      <c r="F21" s="952">
        <v>7068</v>
      </c>
      <c r="G21" s="1829">
        <v>7001</v>
      </c>
      <c r="H21" s="1829">
        <v>6467</v>
      </c>
    </row>
    <row r="22" spans="1:8" x14ac:dyDescent="0.25">
      <c r="A22" s="537" t="s">
        <v>46</v>
      </c>
      <c r="B22" s="633" t="s">
        <v>47</v>
      </c>
      <c r="C22" s="633" t="s">
        <v>268</v>
      </c>
      <c r="D22" s="952">
        <v>7844</v>
      </c>
      <c r="E22" s="952">
        <v>8009</v>
      </c>
      <c r="F22" s="952">
        <v>7692</v>
      </c>
      <c r="G22" s="1829">
        <v>7277</v>
      </c>
      <c r="H22" s="1829">
        <v>6872</v>
      </c>
    </row>
    <row r="23" spans="1:8" x14ac:dyDescent="0.25">
      <c r="A23" s="537" t="s">
        <v>48</v>
      </c>
      <c r="B23" s="633" t="s">
        <v>269</v>
      </c>
      <c r="C23" s="633" t="s">
        <v>266</v>
      </c>
      <c r="D23" s="952">
        <v>1455</v>
      </c>
      <c r="E23" s="952">
        <v>1544</v>
      </c>
      <c r="F23" s="952">
        <v>1458</v>
      </c>
      <c r="G23" s="1829">
        <v>1402</v>
      </c>
      <c r="H23" s="1829">
        <v>1326</v>
      </c>
    </row>
    <row r="24" spans="1:8" x14ac:dyDescent="0.25">
      <c r="A24" s="537" t="s">
        <v>50</v>
      </c>
      <c r="B24" s="633" t="s">
        <v>51</v>
      </c>
      <c r="C24" s="633" t="s">
        <v>265</v>
      </c>
      <c r="D24" s="952">
        <v>3552</v>
      </c>
      <c r="E24" s="952">
        <v>3509</v>
      </c>
      <c r="F24" s="952">
        <v>3211</v>
      </c>
      <c r="G24" s="1829">
        <v>3142</v>
      </c>
      <c r="H24" s="1829">
        <v>3012</v>
      </c>
    </row>
    <row r="25" spans="1:8" x14ac:dyDescent="0.25">
      <c r="A25" s="537" t="s">
        <v>56</v>
      </c>
      <c r="B25" s="633" t="s">
        <v>295</v>
      </c>
      <c r="C25" s="633" t="s">
        <v>266</v>
      </c>
      <c r="D25" s="952">
        <v>49221</v>
      </c>
      <c r="E25" s="952">
        <v>51847</v>
      </c>
      <c r="F25" s="952">
        <v>51027</v>
      </c>
      <c r="G25" s="1829">
        <v>49393</v>
      </c>
      <c r="H25" s="1829">
        <v>46070</v>
      </c>
    </row>
    <row r="26" spans="1:8" x14ac:dyDescent="0.25">
      <c r="A26" s="537" t="s">
        <v>58</v>
      </c>
      <c r="B26" s="633" t="s">
        <v>59</v>
      </c>
      <c r="C26" s="633" t="s">
        <v>267</v>
      </c>
      <c r="D26" s="952">
        <v>1315</v>
      </c>
      <c r="E26" s="952">
        <v>1310</v>
      </c>
      <c r="F26" s="952">
        <v>1220</v>
      </c>
      <c r="G26" s="1829">
        <v>1034</v>
      </c>
      <c r="H26" s="1829">
        <v>903</v>
      </c>
    </row>
    <row r="27" spans="1:8" x14ac:dyDescent="0.25">
      <c r="A27" s="537" t="s">
        <v>60</v>
      </c>
      <c r="B27" s="633" t="s">
        <v>61</v>
      </c>
      <c r="C27" s="633" t="s">
        <v>265</v>
      </c>
      <c r="D27" s="952">
        <v>911</v>
      </c>
      <c r="E27" s="952">
        <v>927</v>
      </c>
      <c r="F27" s="952">
        <v>853</v>
      </c>
      <c r="G27" s="1829">
        <v>868</v>
      </c>
      <c r="H27" s="1829">
        <v>869</v>
      </c>
    </row>
    <row r="28" spans="1:8" x14ac:dyDescent="0.25">
      <c r="A28" s="537" t="s">
        <v>62</v>
      </c>
      <c r="B28" s="633" t="s">
        <v>63</v>
      </c>
      <c r="C28" s="633" t="s">
        <v>267</v>
      </c>
      <c r="D28" s="952">
        <v>8619</v>
      </c>
      <c r="E28" s="952">
        <v>9095</v>
      </c>
      <c r="F28" s="952">
        <v>8632</v>
      </c>
      <c r="G28" s="1829">
        <v>8433</v>
      </c>
      <c r="H28" s="1829">
        <v>7733</v>
      </c>
    </row>
    <row r="29" spans="1:8" x14ac:dyDescent="0.25">
      <c r="A29" s="537" t="s">
        <v>64</v>
      </c>
      <c r="B29" s="633" t="s">
        <v>65</v>
      </c>
      <c r="C29" s="633" t="s">
        <v>266</v>
      </c>
      <c r="D29" s="952">
        <v>3186</v>
      </c>
      <c r="E29" s="952">
        <v>3218</v>
      </c>
      <c r="F29" s="952">
        <v>3144</v>
      </c>
      <c r="G29" s="1829">
        <v>3002</v>
      </c>
      <c r="H29" s="1829">
        <v>2609</v>
      </c>
    </row>
    <row r="30" spans="1:8" x14ac:dyDescent="0.25">
      <c r="A30" s="537" t="s">
        <v>68</v>
      </c>
      <c r="B30" s="633" t="s">
        <v>69</v>
      </c>
      <c r="C30" s="633" t="s">
        <v>268</v>
      </c>
      <c r="D30" s="952">
        <v>4585</v>
      </c>
      <c r="E30" s="952">
        <v>4838</v>
      </c>
      <c r="F30" s="952">
        <v>4605</v>
      </c>
      <c r="G30" s="1829">
        <v>4441</v>
      </c>
      <c r="H30" s="1829">
        <v>4515</v>
      </c>
    </row>
    <row r="31" spans="1:8" x14ac:dyDescent="0.25">
      <c r="A31" s="537" t="s">
        <v>70</v>
      </c>
      <c r="B31" s="633" t="s">
        <v>71</v>
      </c>
      <c r="C31" s="633" t="s">
        <v>264</v>
      </c>
      <c r="D31" s="952">
        <v>6754</v>
      </c>
      <c r="E31" s="952">
        <v>6809</v>
      </c>
      <c r="F31" s="952">
        <v>6504</v>
      </c>
      <c r="G31" s="1829">
        <v>6452</v>
      </c>
      <c r="H31" s="1829">
        <v>6200</v>
      </c>
    </row>
    <row r="32" spans="1:8" x14ac:dyDescent="0.25">
      <c r="A32" s="537" t="s">
        <v>72</v>
      </c>
      <c r="B32" s="633" t="s">
        <v>73</v>
      </c>
      <c r="C32" s="633" t="s">
        <v>266</v>
      </c>
      <c r="D32" s="952">
        <v>3507</v>
      </c>
      <c r="E32" s="952">
        <v>3536</v>
      </c>
      <c r="F32" s="952">
        <v>3361</v>
      </c>
      <c r="G32" s="1829">
        <v>3215</v>
      </c>
      <c r="H32" s="1829">
        <v>2920</v>
      </c>
    </row>
    <row r="33" spans="1:8" x14ac:dyDescent="0.25">
      <c r="A33" s="537" t="s">
        <v>74</v>
      </c>
      <c r="B33" s="633" t="s">
        <v>296</v>
      </c>
      <c r="C33" s="633" t="s">
        <v>267</v>
      </c>
      <c r="D33" s="952">
        <v>78784</v>
      </c>
      <c r="E33" s="952">
        <v>85546</v>
      </c>
      <c r="F33" s="952">
        <v>85559</v>
      </c>
      <c r="G33" s="1829">
        <v>84698</v>
      </c>
      <c r="H33" s="1829">
        <v>82749</v>
      </c>
    </row>
    <row r="34" spans="1:8" x14ac:dyDescent="0.25">
      <c r="A34" s="537" t="s">
        <v>76</v>
      </c>
      <c r="B34" s="633" t="s">
        <v>77</v>
      </c>
      <c r="C34" s="633" t="s">
        <v>267</v>
      </c>
      <c r="D34" s="952">
        <v>6922</v>
      </c>
      <c r="E34" s="952">
        <v>7049</v>
      </c>
      <c r="F34" s="952">
        <v>6570</v>
      </c>
      <c r="G34" s="1829">
        <v>6091</v>
      </c>
      <c r="H34" s="1829">
        <v>5516</v>
      </c>
    </row>
    <row r="35" spans="1:8" x14ac:dyDescent="0.25">
      <c r="A35" s="537" t="s">
        <v>78</v>
      </c>
      <c r="B35" s="633" t="s">
        <v>79</v>
      </c>
      <c r="C35" s="633" t="s">
        <v>268</v>
      </c>
      <c r="D35" s="952">
        <v>3093</v>
      </c>
      <c r="E35" s="952">
        <v>3085</v>
      </c>
      <c r="F35" s="952">
        <v>2879</v>
      </c>
      <c r="G35" s="1829">
        <v>2712</v>
      </c>
      <c r="H35" s="1829">
        <v>2549</v>
      </c>
    </row>
    <row r="36" spans="1:8" x14ac:dyDescent="0.25">
      <c r="A36" s="537" t="s">
        <v>80</v>
      </c>
      <c r="B36" s="633" t="s">
        <v>81</v>
      </c>
      <c r="C36" s="633" t="s">
        <v>266</v>
      </c>
      <c r="D36" s="952">
        <v>2908</v>
      </c>
      <c r="E36" s="952">
        <v>2886</v>
      </c>
      <c r="F36" s="952">
        <v>2770</v>
      </c>
      <c r="G36" s="1829">
        <v>2637</v>
      </c>
      <c r="H36" s="1829">
        <v>2408</v>
      </c>
    </row>
    <row r="37" spans="1:8" x14ac:dyDescent="0.25">
      <c r="A37" s="537" t="s">
        <v>84</v>
      </c>
      <c r="B37" s="633" t="s">
        <v>85</v>
      </c>
      <c r="C37" s="633" t="s">
        <v>265</v>
      </c>
      <c r="D37" s="952">
        <v>11872</v>
      </c>
      <c r="E37" s="952">
        <v>11963</v>
      </c>
      <c r="F37" s="952">
        <v>11444</v>
      </c>
      <c r="G37" s="1829">
        <v>10830</v>
      </c>
      <c r="H37" s="1829">
        <v>9928</v>
      </c>
    </row>
    <row r="38" spans="1:8" x14ac:dyDescent="0.25">
      <c r="A38" s="537" t="s">
        <v>86</v>
      </c>
      <c r="B38" s="633" t="s">
        <v>87</v>
      </c>
      <c r="C38" s="633" t="s">
        <v>267</v>
      </c>
      <c r="D38" s="952">
        <v>11618</v>
      </c>
      <c r="E38" s="952">
        <v>11981</v>
      </c>
      <c r="F38" s="952">
        <v>10637</v>
      </c>
      <c r="G38" s="1829">
        <v>9999</v>
      </c>
      <c r="H38" s="1829">
        <v>9190</v>
      </c>
    </row>
    <row r="39" spans="1:8" x14ac:dyDescent="0.25">
      <c r="A39" s="537" t="s">
        <v>92</v>
      </c>
      <c r="B39" s="633" t="s">
        <v>93</v>
      </c>
      <c r="C39" s="633" t="s">
        <v>268</v>
      </c>
      <c r="D39" s="952">
        <v>3547</v>
      </c>
      <c r="E39" s="952">
        <v>3510</v>
      </c>
      <c r="F39" s="952">
        <v>3510</v>
      </c>
      <c r="G39" s="1829">
        <v>3316</v>
      </c>
      <c r="H39" s="1829">
        <v>3212</v>
      </c>
    </row>
    <row r="40" spans="1:8" x14ac:dyDescent="0.25">
      <c r="A40" s="537" t="s">
        <v>94</v>
      </c>
      <c r="B40" s="633" t="s">
        <v>95</v>
      </c>
      <c r="C40" s="633" t="s">
        <v>264</v>
      </c>
      <c r="D40" s="952">
        <v>6513</v>
      </c>
      <c r="E40" s="952">
        <v>6498</v>
      </c>
      <c r="F40" s="952">
        <v>6256</v>
      </c>
      <c r="G40" s="1829">
        <v>6024</v>
      </c>
      <c r="H40" s="1829">
        <v>5522</v>
      </c>
    </row>
    <row r="41" spans="1:8" x14ac:dyDescent="0.25">
      <c r="A41" s="537" t="s">
        <v>96</v>
      </c>
      <c r="B41" s="633" t="s">
        <v>97</v>
      </c>
      <c r="C41" s="633" t="s">
        <v>266</v>
      </c>
      <c r="D41" s="952">
        <v>1931</v>
      </c>
      <c r="E41" s="952">
        <v>1969</v>
      </c>
      <c r="F41" s="952">
        <v>1964</v>
      </c>
      <c r="G41" s="1829">
        <v>1898</v>
      </c>
      <c r="H41" s="1829">
        <v>1713</v>
      </c>
    </row>
    <row r="42" spans="1:8" x14ac:dyDescent="0.25">
      <c r="A42" s="537" t="s">
        <v>98</v>
      </c>
      <c r="B42" s="633" t="s">
        <v>99</v>
      </c>
      <c r="C42" s="633" t="s">
        <v>268</v>
      </c>
      <c r="D42" s="952">
        <v>4075</v>
      </c>
      <c r="E42" s="952">
        <v>4222</v>
      </c>
      <c r="F42" s="952">
        <v>4028</v>
      </c>
      <c r="G42" s="1829">
        <v>3861</v>
      </c>
      <c r="H42" s="1829">
        <v>3645</v>
      </c>
    </row>
    <row r="43" spans="1:8" x14ac:dyDescent="0.25">
      <c r="A43" s="537" t="s">
        <v>100</v>
      </c>
      <c r="B43" s="633" t="s">
        <v>101</v>
      </c>
      <c r="C43" s="633" t="s">
        <v>267</v>
      </c>
      <c r="D43" s="952">
        <v>3163</v>
      </c>
      <c r="E43" s="952">
        <v>3242</v>
      </c>
      <c r="F43" s="952">
        <v>3163</v>
      </c>
      <c r="G43" s="1829">
        <v>3149</v>
      </c>
      <c r="H43" s="1829">
        <v>3086</v>
      </c>
    </row>
    <row r="44" spans="1:8" x14ac:dyDescent="0.25">
      <c r="A44" s="537" t="s">
        <v>102</v>
      </c>
      <c r="B44" s="633" t="s">
        <v>282</v>
      </c>
      <c r="C44" s="633" t="s">
        <v>264</v>
      </c>
      <c r="D44" s="952">
        <v>5787</v>
      </c>
      <c r="E44" s="952">
        <v>6359</v>
      </c>
      <c r="F44" s="952">
        <v>5841</v>
      </c>
      <c r="G44" s="1829">
        <v>5856</v>
      </c>
      <c r="H44" s="1829">
        <v>5490</v>
      </c>
    </row>
    <row r="45" spans="1:8" x14ac:dyDescent="0.25">
      <c r="A45" s="537" t="s">
        <v>104</v>
      </c>
      <c r="B45" s="633" t="s">
        <v>105</v>
      </c>
      <c r="C45" s="633" t="s">
        <v>265</v>
      </c>
      <c r="D45" s="952">
        <v>9589</v>
      </c>
      <c r="E45" s="952">
        <v>9559</v>
      </c>
      <c r="F45" s="952">
        <v>9297</v>
      </c>
      <c r="G45" s="1829">
        <v>9125</v>
      </c>
      <c r="H45" s="1829">
        <v>8757</v>
      </c>
    </row>
    <row r="46" spans="1:8" x14ac:dyDescent="0.25">
      <c r="A46" s="537" t="s">
        <v>108</v>
      </c>
      <c r="B46" s="633" t="s">
        <v>109</v>
      </c>
      <c r="C46" s="633" t="s">
        <v>266</v>
      </c>
      <c r="D46" s="952">
        <v>8944</v>
      </c>
      <c r="E46" s="952">
        <v>9120</v>
      </c>
      <c r="F46" s="952">
        <v>8781</v>
      </c>
      <c r="G46" s="1829">
        <v>8394</v>
      </c>
      <c r="H46" s="1829">
        <v>7780</v>
      </c>
    </row>
    <row r="47" spans="1:8" x14ac:dyDescent="0.25">
      <c r="A47" s="537" t="s">
        <v>110</v>
      </c>
      <c r="B47" s="633" t="s">
        <v>111</v>
      </c>
      <c r="C47" s="633" t="s">
        <v>266</v>
      </c>
      <c r="D47" s="952">
        <v>50139</v>
      </c>
      <c r="E47" s="952">
        <v>52766</v>
      </c>
      <c r="F47" s="952">
        <v>50897</v>
      </c>
      <c r="G47" s="1829">
        <v>49726</v>
      </c>
      <c r="H47" s="1829">
        <v>48132</v>
      </c>
    </row>
    <row r="48" spans="1:8" x14ac:dyDescent="0.25">
      <c r="A48" s="537" t="s">
        <v>112</v>
      </c>
      <c r="B48" s="633" t="s">
        <v>300</v>
      </c>
      <c r="C48" s="633" t="s">
        <v>265</v>
      </c>
      <c r="D48" s="952">
        <v>23603</v>
      </c>
      <c r="E48" s="952">
        <v>24417</v>
      </c>
      <c r="F48" s="952">
        <v>22679</v>
      </c>
      <c r="G48" s="1829">
        <v>21901</v>
      </c>
      <c r="H48" s="1829">
        <v>20787</v>
      </c>
    </row>
    <row r="49" spans="1:8" x14ac:dyDescent="0.25">
      <c r="A49" s="537" t="s">
        <v>114</v>
      </c>
      <c r="B49" s="633" t="s">
        <v>115</v>
      </c>
      <c r="C49" s="633" t="s">
        <v>265</v>
      </c>
      <c r="D49" s="952">
        <v>261</v>
      </c>
      <c r="E49" s="952">
        <v>246</v>
      </c>
      <c r="F49" s="952">
        <v>245</v>
      </c>
      <c r="G49" s="1829">
        <v>227</v>
      </c>
      <c r="H49" s="1829">
        <v>204</v>
      </c>
    </row>
    <row r="50" spans="1:8" x14ac:dyDescent="0.25">
      <c r="A50" s="537" t="s">
        <v>118</v>
      </c>
      <c r="B50" s="633" t="s">
        <v>270</v>
      </c>
      <c r="C50" s="633" t="s">
        <v>264</v>
      </c>
      <c r="D50" s="952">
        <v>5940</v>
      </c>
      <c r="E50" s="952">
        <v>6119</v>
      </c>
      <c r="F50" s="952">
        <v>5741</v>
      </c>
      <c r="G50" s="1829">
        <v>5731</v>
      </c>
      <c r="H50" s="1829">
        <v>5282</v>
      </c>
    </row>
    <row r="51" spans="1:8" x14ac:dyDescent="0.25">
      <c r="A51" s="537" t="s">
        <v>120</v>
      </c>
      <c r="B51" s="633" t="s">
        <v>121</v>
      </c>
      <c r="C51" s="633" t="s">
        <v>264</v>
      </c>
      <c r="D51" s="952">
        <v>7233</v>
      </c>
      <c r="E51" s="952">
        <v>7634</v>
      </c>
      <c r="F51" s="952">
        <v>7392</v>
      </c>
      <c r="G51" s="1829">
        <v>7259</v>
      </c>
      <c r="H51" s="1829">
        <v>6912</v>
      </c>
    </row>
    <row r="52" spans="1:8" x14ac:dyDescent="0.25">
      <c r="A52" s="537" t="s">
        <v>122</v>
      </c>
      <c r="B52" s="633" t="s">
        <v>287</v>
      </c>
      <c r="C52" s="633" t="s">
        <v>266</v>
      </c>
      <c r="D52" s="952">
        <v>1696</v>
      </c>
      <c r="E52" s="952">
        <v>1853</v>
      </c>
      <c r="F52" s="952">
        <v>1792</v>
      </c>
      <c r="G52" s="1829">
        <v>1733</v>
      </c>
      <c r="H52" s="1829">
        <v>1518</v>
      </c>
    </row>
    <row r="53" spans="1:8" x14ac:dyDescent="0.25">
      <c r="A53" s="537" t="s">
        <v>124</v>
      </c>
      <c r="B53" s="633" t="s">
        <v>125</v>
      </c>
      <c r="C53" s="633" t="s">
        <v>267</v>
      </c>
      <c r="D53" s="952">
        <v>4260</v>
      </c>
      <c r="E53" s="952">
        <v>4467</v>
      </c>
      <c r="F53" s="952">
        <v>4427</v>
      </c>
      <c r="G53" s="1829">
        <v>4200</v>
      </c>
      <c r="H53" s="1829">
        <v>3784</v>
      </c>
    </row>
    <row r="54" spans="1:8" x14ac:dyDescent="0.25">
      <c r="A54" s="537" t="s">
        <v>126</v>
      </c>
      <c r="B54" s="633" t="s">
        <v>127</v>
      </c>
      <c r="C54" s="633" t="s">
        <v>266</v>
      </c>
      <c r="D54" s="952">
        <v>2831</v>
      </c>
      <c r="E54" s="952">
        <v>2847</v>
      </c>
      <c r="F54" s="952">
        <v>2677</v>
      </c>
      <c r="G54" s="1829">
        <v>2552</v>
      </c>
      <c r="H54" s="1829">
        <v>2351</v>
      </c>
    </row>
    <row r="55" spans="1:8" x14ac:dyDescent="0.25">
      <c r="A55" s="537" t="s">
        <v>128</v>
      </c>
      <c r="B55" s="633" t="s">
        <v>129</v>
      </c>
      <c r="C55" s="633" t="s">
        <v>266</v>
      </c>
      <c r="D55" s="952">
        <v>2430</v>
      </c>
      <c r="E55" s="952">
        <v>2500</v>
      </c>
      <c r="F55" s="952">
        <v>2363</v>
      </c>
      <c r="G55" s="1829">
        <v>2270</v>
      </c>
      <c r="H55" s="1829">
        <v>2090</v>
      </c>
    </row>
    <row r="56" spans="1:8" x14ac:dyDescent="0.25">
      <c r="A56" s="537" t="s">
        <v>130</v>
      </c>
      <c r="B56" s="633" t="s">
        <v>131</v>
      </c>
      <c r="C56" s="633" t="s">
        <v>268</v>
      </c>
      <c r="D56" s="952">
        <v>8103</v>
      </c>
      <c r="E56" s="952">
        <v>8340</v>
      </c>
      <c r="F56" s="952">
        <v>8235</v>
      </c>
      <c r="G56" s="1829">
        <v>7841</v>
      </c>
      <c r="H56" s="1829">
        <v>7590</v>
      </c>
    </row>
    <row r="57" spans="1:8" x14ac:dyDescent="0.25">
      <c r="A57" s="537" t="s">
        <v>132</v>
      </c>
      <c r="B57" s="633" t="s">
        <v>133</v>
      </c>
      <c r="C57" s="633" t="s">
        <v>267</v>
      </c>
      <c r="D57" s="952">
        <v>15346</v>
      </c>
      <c r="E57" s="952">
        <v>16591</v>
      </c>
      <c r="F57" s="952">
        <v>16687</v>
      </c>
      <c r="G57" s="1829">
        <v>16525</v>
      </c>
      <c r="H57" s="1829">
        <v>16234</v>
      </c>
    </row>
    <row r="58" spans="1:8" x14ac:dyDescent="0.25">
      <c r="A58" s="537" t="s">
        <v>134</v>
      </c>
      <c r="B58" s="633" t="s">
        <v>135</v>
      </c>
      <c r="C58" s="633" t="s">
        <v>267</v>
      </c>
      <c r="D58" s="952">
        <v>6446</v>
      </c>
      <c r="E58" s="952">
        <v>6825</v>
      </c>
      <c r="F58" s="952">
        <v>6714</v>
      </c>
      <c r="G58" s="1829">
        <v>6494</v>
      </c>
      <c r="H58" s="1829">
        <v>6004</v>
      </c>
    </row>
    <row r="59" spans="1:8" x14ac:dyDescent="0.25">
      <c r="A59" s="537" t="s">
        <v>136</v>
      </c>
      <c r="B59" s="633" t="s">
        <v>137</v>
      </c>
      <c r="C59" s="633" t="s">
        <v>266</v>
      </c>
      <c r="D59" s="952">
        <v>3575</v>
      </c>
      <c r="E59" s="952">
        <v>3562</v>
      </c>
      <c r="F59" s="952">
        <v>3532</v>
      </c>
      <c r="G59" s="1829">
        <v>3431</v>
      </c>
      <c r="H59" s="1829">
        <v>3217</v>
      </c>
    </row>
    <row r="60" spans="1:8" x14ac:dyDescent="0.25">
      <c r="A60" s="537" t="s">
        <v>140</v>
      </c>
      <c r="B60" s="633" t="s">
        <v>141</v>
      </c>
      <c r="C60" s="633" t="s">
        <v>267</v>
      </c>
      <c r="D60" s="952">
        <v>2360</v>
      </c>
      <c r="E60" s="952">
        <v>2566</v>
      </c>
      <c r="F60" s="952">
        <v>2460</v>
      </c>
      <c r="G60" s="1829">
        <v>2358</v>
      </c>
      <c r="H60" s="1829">
        <v>2085</v>
      </c>
    </row>
    <row r="61" spans="1:8" x14ac:dyDescent="0.25">
      <c r="A61" s="537" t="s">
        <v>146</v>
      </c>
      <c r="B61" s="633" t="s">
        <v>147</v>
      </c>
      <c r="C61" s="633" t="s">
        <v>264</v>
      </c>
      <c r="D61" s="952">
        <v>1458</v>
      </c>
      <c r="E61" s="952">
        <v>1524</v>
      </c>
      <c r="F61" s="952">
        <v>1440</v>
      </c>
      <c r="G61" s="1829">
        <v>1381</v>
      </c>
      <c r="H61" s="1829">
        <v>1306</v>
      </c>
    </row>
    <row r="62" spans="1:8" x14ac:dyDescent="0.25">
      <c r="A62" s="537" t="s">
        <v>148</v>
      </c>
      <c r="B62" s="633" t="s">
        <v>149</v>
      </c>
      <c r="C62" s="633" t="s">
        <v>265</v>
      </c>
      <c r="D62" s="952">
        <v>7611</v>
      </c>
      <c r="E62" s="952">
        <v>7939</v>
      </c>
      <c r="F62" s="952">
        <v>7639</v>
      </c>
      <c r="G62" s="1829">
        <v>7308</v>
      </c>
      <c r="H62" s="1829">
        <v>6822</v>
      </c>
    </row>
    <row r="63" spans="1:8" x14ac:dyDescent="0.25">
      <c r="A63" s="537" t="s">
        <v>150</v>
      </c>
      <c r="B63" s="633" t="s">
        <v>151</v>
      </c>
      <c r="C63" s="633" t="s">
        <v>266</v>
      </c>
      <c r="D63" s="952">
        <v>2294</v>
      </c>
      <c r="E63" s="952">
        <v>2363</v>
      </c>
      <c r="F63" s="952">
        <v>2302</v>
      </c>
      <c r="G63" s="1829">
        <v>2254</v>
      </c>
      <c r="H63" s="1829">
        <v>2122</v>
      </c>
    </row>
    <row r="64" spans="1:8" x14ac:dyDescent="0.25">
      <c r="A64" s="537" t="s">
        <v>152</v>
      </c>
      <c r="B64" s="633" t="s">
        <v>153</v>
      </c>
      <c r="C64" s="633" t="s">
        <v>268</v>
      </c>
      <c r="D64" s="952">
        <v>11445</v>
      </c>
      <c r="E64" s="952">
        <v>11861</v>
      </c>
      <c r="F64" s="952">
        <v>11217</v>
      </c>
      <c r="G64" s="1829">
        <v>10639</v>
      </c>
      <c r="H64" s="1829">
        <v>9857</v>
      </c>
    </row>
    <row r="65" spans="1:8" x14ac:dyDescent="0.25">
      <c r="A65" s="537" t="s">
        <v>154</v>
      </c>
      <c r="B65" s="633" t="s">
        <v>155</v>
      </c>
      <c r="C65" s="633" t="s">
        <v>265</v>
      </c>
      <c r="D65" s="952">
        <v>3318</v>
      </c>
      <c r="E65" s="952">
        <v>3409</v>
      </c>
      <c r="F65" s="952">
        <v>3291</v>
      </c>
      <c r="G65" s="1829">
        <v>3104</v>
      </c>
      <c r="H65" s="1829">
        <v>2761</v>
      </c>
    </row>
    <row r="66" spans="1:8" x14ac:dyDescent="0.25">
      <c r="A66" s="537" t="s">
        <v>156</v>
      </c>
      <c r="B66" s="633" t="s">
        <v>157</v>
      </c>
      <c r="C66" s="633" t="s">
        <v>266</v>
      </c>
      <c r="D66" s="952">
        <v>1933</v>
      </c>
      <c r="E66" s="952">
        <v>1969</v>
      </c>
      <c r="F66" s="952">
        <v>1876</v>
      </c>
      <c r="G66" s="1829">
        <v>1990</v>
      </c>
      <c r="H66" s="1829">
        <v>1803</v>
      </c>
    </row>
    <row r="67" spans="1:8" x14ac:dyDescent="0.25">
      <c r="A67" s="537" t="s">
        <v>162</v>
      </c>
      <c r="B67" s="633" t="s">
        <v>163</v>
      </c>
      <c r="C67" s="633" t="s">
        <v>264</v>
      </c>
      <c r="D67" s="952">
        <v>4062</v>
      </c>
      <c r="E67" s="952">
        <v>4139</v>
      </c>
      <c r="F67" s="952">
        <v>3998</v>
      </c>
      <c r="G67" s="1829">
        <v>3850</v>
      </c>
      <c r="H67" s="1829">
        <v>3514</v>
      </c>
    </row>
    <row r="68" spans="1:8" x14ac:dyDescent="0.25">
      <c r="A68" s="537" t="s">
        <v>164</v>
      </c>
      <c r="B68" s="633" t="s">
        <v>165</v>
      </c>
      <c r="C68" s="633" t="s">
        <v>266</v>
      </c>
      <c r="D68" s="952">
        <v>2371</v>
      </c>
      <c r="E68" s="952">
        <v>2611</v>
      </c>
      <c r="F68" s="952">
        <v>2578</v>
      </c>
      <c r="G68" s="1829">
        <v>2510</v>
      </c>
      <c r="H68" s="1829">
        <v>2401</v>
      </c>
    </row>
    <row r="69" spans="1:8" x14ac:dyDescent="0.25">
      <c r="A69" s="537" t="s">
        <v>168</v>
      </c>
      <c r="B69" s="633" t="s">
        <v>169</v>
      </c>
      <c r="C69" s="633" t="s">
        <v>266</v>
      </c>
      <c r="D69" s="952">
        <v>5003</v>
      </c>
      <c r="E69" s="952">
        <v>5060</v>
      </c>
      <c r="F69" s="952">
        <v>4993</v>
      </c>
      <c r="G69" s="1829">
        <v>4759</v>
      </c>
      <c r="H69" s="1829">
        <v>4393</v>
      </c>
    </row>
    <row r="70" spans="1:8" x14ac:dyDescent="0.25">
      <c r="A70" s="537" t="s">
        <v>170</v>
      </c>
      <c r="B70" s="633" t="s">
        <v>171</v>
      </c>
      <c r="C70" s="633" t="s">
        <v>267</v>
      </c>
      <c r="D70" s="952">
        <v>5279</v>
      </c>
      <c r="E70" s="952">
        <v>5384</v>
      </c>
      <c r="F70" s="952">
        <v>5261</v>
      </c>
      <c r="G70" s="1829">
        <v>5076</v>
      </c>
      <c r="H70" s="1829">
        <v>4692</v>
      </c>
    </row>
    <row r="71" spans="1:8" x14ac:dyDescent="0.25">
      <c r="A71" s="537" t="s">
        <v>172</v>
      </c>
      <c r="B71" s="633" t="s">
        <v>173</v>
      </c>
      <c r="C71" s="633" t="s">
        <v>267</v>
      </c>
      <c r="D71" s="952">
        <v>5652</v>
      </c>
      <c r="E71" s="952">
        <v>5766</v>
      </c>
      <c r="F71" s="952">
        <v>5569</v>
      </c>
      <c r="G71" s="1829">
        <v>5393</v>
      </c>
      <c r="H71" s="1829">
        <v>4973</v>
      </c>
    </row>
    <row r="72" spans="1:8" x14ac:dyDescent="0.25">
      <c r="A72" s="537" t="s">
        <v>174</v>
      </c>
      <c r="B72" s="633" t="s">
        <v>175</v>
      </c>
      <c r="C72" s="633" t="s">
        <v>268</v>
      </c>
      <c r="D72" s="952">
        <v>5094</v>
      </c>
      <c r="E72" s="952">
        <v>4929</v>
      </c>
      <c r="F72" s="952">
        <v>4572</v>
      </c>
      <c r="G72" s="1829">
        <v>4359</v>
      </c>
      <c r="H72" s="1829">
        <v>4201</v>
      </c>
    </row>
    <row r="73" spans="1:8" x14ac:dyDescent="0.25">
      <c r="A73" s="537" t="s">
        <v>178</v>
      </c>
      <c r="B73" s="633" t="s">
        <v>179</v>
      </c>
      <c r="C73" s="633" t="s">
        <v>265</v>
      </c>
      <c r="D73" s="952">
        <v>14314</v>
      </c>
      <c r="E73" s="952">
        <v>14682</v>
      </c>
      <c r="F73" s="952">
        <v>14509</v>
      </c>
      <c r="G73" s="1829">
        <v>13829</v>
      </c>
      <c r="H73" s="1829">
        <v>12672</v>
      </c>
    </row>
    <row r="74" spans="1:8" x14ac:dyDescent="0.25">
      <c r="A74" s="537" t="s">
        <v>182</v>
      </c>
      <c r="B74" s="633" t="s">
        <v>183</v>
      </c>
      <c r="C74" s="633" t="s">
        <v>266</v>
      </c>
      <c r="D74" s="952">
        <v>2295</v>
      </c>
      <c r="E74" s="952">
        <v>2354</v>
      </c>
      <c r="F74" s="952">
        <v>2253</v>
      </c>
      <c r="G74" s="1829">
        <v>2090</v>
      </c>
      <c r="H74" s="1829">
        <v>1838</v>
      </c>
    </row>
    <row r="75" spans="1:8" x14ac:dyDescent="0.25">
      <c r="A75" s="537" t="s">
        <v>184</v>
      </c>
      <c r="B75" s="633" t="s">
        <v>185</v>
      </c>
      <c r="C75" s="633" t="s">
        <v>266</v>
      </c>
      <c r="D75" s="952">
        <v>5286</v>
      </c>
      <c r="E75" s="952">
        <v>5421</v>
      </c>
      <c r="F75" s="952">
        <v>5210</v>
      </c>
      <c r="G75" s="1829">
        <v>4964</v>
      </c>
      <c r="H75" s="1829">
        <v>4781</v>
      </c>
    </row>
    <row r="76" spans="1:8" x14ac:dyDescent="0.25">
      <c r="A76" s="537" t="s">
        <v>186</v>
      </c>
      <c r="B76" s="633" t="s">
        <v>187</v>
      </c>
      <c r="C76" s="633" t="s">
        <v>264</v>
      </c>
      <c r="D76" s="952">
        <v>4340</v>
      </c>
      <c r="E76" s="952">
        <v>4689</v>
      </c>
      <c r="F76" s="952">
        <v>4738</v>
      </c>
      <c r="G76" s="1829">
        <v>4810</v>
      </c>
      <c r="H76" s="1829">
        <v>4642</v>
      </c>
    </row>
    <row r="77" spans="1:8" x14ac:dyDescent="0.25">
      <c r="A77" s="537" t="s">
        <v>188</v>
      </c>
      <c r="B77" s="633" t="s">
        <v>189</v>
      </c>
      <c r="C77" s="633" t="s">
        <v>267</v>
      </c>
      <c r="D77" s="952">
        <v>46591</v>
      </c>
      <c r="E77" s="952">
        <v>49868</v>
      </c>
      <c r="F77" s="952">
        <v>48805</v>
      </c>
      <c r="G77" s="1829">
        <v>48580</v>
      </c>
      <c r="H77" s="1829">
        <v>46428</v>
      </c>
    </row>
    <row r="78" spans="1:8" x14ac:dyDescent="0.25">
      <c r="A78" s="537" t="s">
        <v>190</v>
      </c>
      <c r="B78" s="633" t="s">
        <v>191</v>
      </c>
      <c r="C78" s="633" t="s">
        <v>268</v>
      </c>
      <c r="D78" s="952">
        <v>8385</v>
      </c>
      <c r="E78" s="952">
        <v>8521</v>
      </c>
      <c r="F78" s="952">
        <v>8320</v>
      </c>
      <c r="G78" s="1829">
        <v>7904</v>
      </c>
      <c r="H78" s="1829">
        <v>7432</v>
      </c>
    </row>
    <row r="79" spans="1:8" x14ac:dyDescent="0.25">
      <c r="A79" s="537" t="s">
        <v>194</v>
      </c>
      <c r="B79" s="633" t="s">
        <v>195</v>
      </c>
      <c r="C79" s="633" t="s">
        <v>267</v>
      </c>
      <c r="D79" s="952">
        <v>894</v>
      </c>
      <c r="E79" s="952">
        <v>797</v>
      </c>
      <c r="F79" s="952">
        <v>750</v>
      </c>
      <c r="G79" s="1829">
        <v>670</v>
      </c>
      <c r="H79" s="1829">
        <v>607</v>
      </c>
    </row>
    <row r="80" spans="1:8" x14ac:dyDescent="0.25">
      <c r="A80" s="537" t="s">
        <v>198</v>
      </c>
      <c r="B80" s="633" t="s">
        <v>272</v>
      </c>
      <c r="C80" s="633" t="s">
        <v>266</v>
      </c>
      <c r="D80" s="952">
        <v>2144</v>
      </c>
      <c r="E80" s="952">
        <v>2218</v>
      </c>
      <c r="F80" s="952">
        <v>2198</v>
      </c>
      <c r="G80" s="1829">
        <v>2168</v>
      </c>
      <c r="H80" s="1829">
        <v>2046</v>
      </c>
    </row>
    <row r="81" spans="1:8" x14ac:dyDescent="0.25">
      <c r="A81" s="537" t="s">
        <v>202</v>
      </c>
      <c r="B81" s="633" t="s">
        <v>301</v>
      </c>
      <c r="C81" s="633" t="s">
        <v>265</v>
      </c>
      <c r="D81" s="952">
        <v>12726</v>
      </c>
      <c r="E81" s="952">
        <v>13189</v>
      </c>
      <c r="F81" s="952">
        <v>12956</v>
      </c>
      <c r="G81" s="1829">
        <v>12760</v>
      </c>
      <c r="H81" s="1829">
        <v>11570</v>
      </c>
    </row>
    <row r="82" spans="1:8" x14ac:dyDescent="0.25">
      <c r="A82" s="537" t="s">
        <v>204</v>
      </c>
      <c r="B82" s="633" t="s">
        <v>293</v>
      </c>
      <c r="C82" s="633" t="s">
        <v>265</v>
      </c>
      <c r="D82" s="952">
        <v>5967</v>
      </c>
      <c r="E82" s="952">
        <v>6522</v>
      </c>
      <c r="F82" s="952">
        <v>6183</v>
      </c>
      <c r="G82" s="1829">
        <v>5908</v>
      </c>
      <c r="H82" s="1829">
        <v>5640</v>
      </c>
    </row>
    <row r="83" spans="1:8" x14ac:dyDescent="0.25">
      <c r="A83" s="537" t="s">
        <v>206</v>
      </c>
      <c r="B83" s="633" t="s">
        <v>294</v>
      </c>
      <c r="C83" s="633" t="s">
        <v>267</v>
      </c>
      <c r="D83" s="952">
        <v>19012</v>
      </c>
      <c r="E83" s="952">
        <v>20329</v>
      </c>
      <c r="F83" s="952">
        <v>18865</v>
      </c>
      <c r="G83" s="1829">
        <v>17823</v>
      </c>
      <c r="H83" s="1829">
        <v>16747</v>
      </c>
    </row>
    <row r="84" spans="1:8" x14ac:dyDescent="0.25">
      <c r="A84" s="537" t="s">
        <v>208</v>
      </c>
      <c r="B84" s="633" t="s">
        <v>209</v>
      </c>
      <c r="C84" s="633" t="s">
        <v>268</v>
      </c>
      <c r="D84" s="952">
        <v>7958</v>
      </c>
      <c r="E84" s="952">
        <v>8237</v>
      </c>
      <c r="F84" s="952">
        <v>8257</v>
      </c>
      <c r="G84" s="1829">
        <v>8025</v>
      </c>
      <c r="H84" s="1829">
        <v>7570</v>
      </c>
    </row>
    <row r="85" spans="1:8" x14ac:dyDescent="0.25">
      <c r="A85" s="537" t="s">
        <v>210</v>
      </c>
      <c r="B85" s="633" t="s">
        <v>211</v>
      </c>
      <c r="C85" s="633" t="s">
        <v>268</v>
      </c>
      <c r="D85" s="952">
        <v>5580</v>
      </c>
      <c r="E85" s="952">
        <v>5790</v>
      </c>
      <c r="F85" s="952">
        <v>5672</v>
      </c>
      <c r="G85" s="1829">
        <v>5293</v>
      </c>
      <c r="H85" s="1829">
        <v>5050</v>
      </c>
    </row>
    <row r="86" spans="1:8" x14ac:dyDescent="0.25">
      <c r="A86" s="537" t="s">
        <v>212</v>
      </c>
      <c r="B86" s="633" t="s">
        <v>213</v>
      </c>
      <c r="C86" s="633" t="s">
        <v>267</v>
      </c>
      <c r="D86" s="952">
        <v>8245</v>
      </c>
      <c r="E86" s="952">
        <v>8511</v>
      </c>
      <c r="F86" s="952">
        <v>8183</v>
      </c>
      <c r="G86" s="1829">
        <v>7812</v>
      </c>
      <c r="H86" s="1829">
        <v>7183</v>
      </c>
    </row>
    <row r="87" spans="1:8" x14ac:dyDescent="0.25">
      <c r="A87" s="537" t="s">
        <v>214</v>
      </c>
      <c r="B87" s="633" t="s">
        <v>215</v>
      </c>
      <c r="C87" s="633" t="s">
        <v>268</v>
      </c>
      <c r="D87" s="952">
        <v>9201</v>
      </c>
      <c r="E87" s="952">
        <v>9350</v>
      </c>
      <c r="F87" s="952">
        <v>8925</v>
      </c>
      <c r="G87" s="1829">
        <v>8626</v>
      </c>
      <c r="H87" s="1829">
        <v>8325</v>
      </c>
    </row>
    <row r="88" spans="1:8" x14ac:dyDescent="0.25">
      <c r="A88" s="537" t="s">
        <v>216</v>
      </c>
      <c r="B88" s="633" t="s">
        <v>217</v>
      </c>
      <c r="C88" s="633" t="s">
        <v>264</v>
      </c>
      <c r="D88" s="952">
        <v>4294</v>
      </c>
      <c r="E88" s="952">
        <v>4406</v>
      </c>
      <c r="F88" s="952">
        <v>4279</v>
      </c>
      <c r="G88" s="1829">
        <v>4108</v>
      </c>
      <c r="H88" s="1829">
        <v>3870</v>
      </c>
    </row>
    <row r="89" spans="1:8" x14ac:dyDescent="0.25">
      <c r="A89" s="537" t="s">
        <v>218</v>
      </c>
      <c r="B89" s="633" t="s">
        <v>219</v>
      </c>
      <c r="C89" s="633" t="s">
        <v>267</v>
      </c>
      <c r="D89" s="952">
        <v>18439</v>
      </c>
      <c r="E89" s="952">
        <v>19075</v>
      </c>
      <c r="F89" s="952">
        <v>18945</v>
      </c>
      <c r="G89" s="1829">
        <v>18446</v>
      </c>
      <c r="H89" s="1829">
        <v>17636</v>
      </c>
    </row>
    <row r="90" spans="1:8" x14ac:dyDescent="0.25">
      <c r="A90" s="537" t="s">
        <v>220</v>
      </c>
      <c r="B90" s="633" t="s">
        <v>221</v>
      </c>
      <c r="C90" s="633" t="s">
        <v>267</v>
      </c>
      <c r="D90" s="952">
        <v>14746</v>
      </c>
      <c r="E90" s="952">
        <v>15697</v>
      </c>
      <c r="F90" s="952">
        <v>15534</v>
      </c>
      <c r="G90" s="1829">
        <v>15177</v>
      </c>
      <c r="H90" s="1829">
        <v>14156</v>
      </c>
    </row>
    <row r="91" spans="1:8" x14ac:dyDescent="0.25">
      <c r="A91" s="537" t="s">
        <v>224</v>
      </c>
      <c r="B91" s="633" t="s">
        <v>225</v>
      </c>
      <c r="C91" s="633" t="s">
        <v>264</v>
      </c>
      <c r="D91" s="952">
        <v>1421</v>
      </c>
      <c r="E91" s="952">
        <v>1594</v>
      </c>
      <c r="F91" s="952">
        <v>1518</v>
      </c>
      <c r="G91" s="1829">
        <v>1454</v>
      </c>
      <c r="H91" s="1829">
        <v>1352</v>
      </c>
    </row>
    <row r="92" spans="1:8" x14ac:dyDescent="0.25">
      <c r="A92" s="537" t="s">
        <v>226</v>
      </c>
      <c r="B92" s="633" t="s">
        <v>227</v>
      </c>
      <c r="C92" s="633" t="s">
        <v>264</v>
      </c>
      <c r="D92" s="952">
        <v>2746</v>
      </c>
      <c r="E92" s="952">
        <v>2854</v>
      </c>
      <c r="F92" s="952">
        <v>2853</v>
      </c>
      <c r="G92" s="1829">
        <v>2823</v>
      </c>
      <c r="H92" s="1829">
        <v>2632</v>
      </c>
    </row>
    <row r="93" spans="1:8" x14ac:dyDescent="0.25">
      <c r="A93" s="537" t="s">
        <v>228</v>
      </c>
      <c r="B93" s="633" t="s">
        <v>229</v>
      </c>
      <c r="C93" s="633" t="s">
        <v>268</v>
      </c>
      <c r="D93" s="952">
        <v>10664</v>
      </c>
      <c r="E93" s="952">
        <v>11590</v>
      </c>
      <c r="F93" s="952">
        <v>11645</v>
      </c>
      <c r="G93" s="1829">
        <v>11689</v>
      </c>
      <c r="H93" s="1829">
        <v>11266</v>
      </c>
    </row>
    <row r="94" spans="1:8" x14ac:dyDescent="0.25">
      <c r="A94" s="537" t="s">
        <v>232</v>
      </c>
      <c r="B94" s="633" t="s">
        <v>233</v>
      </c>
      <c r="C94" s="633" t="s">
        <v>267</v>
      </c>
      <c r="D94" s="952">
        <v>7403</v>
      </c>
      <c r="E94" s="952">
        <v>7736</v>
      </c>
      <c r="F94" s="952">
        <v>7355</v>
      </c>
      <c r="G94" s="1829">
        <v>7042</v>
      </c>
      <c r="H94" s="1829">
        <v>6412</v>
      </c>
    </row>
    <row r="95" spans="1:8" x14ac:dyDescent="0.25">
      <c r="A95" s="537" t="s">
        <v>234</v>
      </c>
      <c r="B95" s="633" t="s">
        <v>235</v>
      </c>
      <c r="C95" s="633" t="s">
        <v>268</v>
      </c>
      <c r="D95" s="952">
        <v>10928</v>
      </c>
      <c r="E95" s="952">
        <v>11262</v>
      </c>
      <c r="F95" s="952">
        <v>11098</v>
      </c>
      <c r="G95" s="1829">
        <v>10913</v>
      </c>
      <c r="H95" s="1829">
        <v>10330</v>
      </c>
    </row>
    <row r="96" spans="1:8" x14ac:dyDescent="0.25">
      <c r="A96" s="537" t="s">
        <v>236</v>
      </c>
      <c r="B96" s="633" t="s">
        <v>237</v>
      </c>
      <c r="C96" s="633" t="s">
        <v>266</v>
      </c>
      <c r="D96" s="952">
        <v>4655</v>
      </c>
      <c r="E96" s="952">
        <v>4874</v>
      </c>
      <c r="F96" s="952">
        <v>4681</v>
      </c>
      <c r="G96" s="1829">
        <v>4732</v>
      </c>
      <c r="H96" s="1829">
        <v>4572</v>
      </c>
    </row>
    <row r="97" spans="1:8" x14ac:dyDescent="0.25">
      <c r="A97" s="537" t="s">
        <v>242</v>
      </c>
      <c r="B97" s="633" t="s">
        <v>243</v>
      </c>
      <c r="C97" s="633" t="s">
        <v>268</v>
      </c>
      <c r="D97" s="952">
        <v>12027</v>
      </c>
      <c r="E97" s="952">
        <v>12550</v>
      </c>
      <c r="F97" s="952">
        <v>12474</v>
      </c>
      <c r="G97" s="1829">
        <v>11610</v>
      </c>
      <c r="H97" s="1829">
        <v>11136</v>
      </c>
    </row>
    <row r="98" spans="1:8" x14ac:dyDescent="0.25">
      <c r="A98" s="537" t="s">
        <v>244</v>
      </c>
      <c r="B98" s="633" t="s">
        <v>245</v>
      </c>
      <c r="C98" s="633" t="s">
        <v>268</v>
      </c>
      <c r="D98" s="952">
        <v>6687</v>
      </c>
      <c r="E98" s="952">
        <v>6643</v>
      </c>
      <c r="F98" s="952">
        <v>6382</v>
      </c>
      <c r="G98" s="1829">
        <v>6117</v>
      </c>
      <c r="H98" s="1829">
        <v>5706</v>
      </c>
    </row>
    <row r="99" spans="1:8" x14ac:dyDescent="0.25">
      <c r="A99" s="537" t="s">
        <v>246</v>
      </c>
      <c r="B99" s="633" t="s">
        <v>247</v>
      </c>
      <c r="C99" s="633" t="s">
        <v>264</v>
      </c>
      <c r="D99" s="952">
        <v>5297</v>
      </c>
      <c r="E99" s="952">
        <v>5494</v>
      </c>
      <c r="F99" s="952">
        <v>5509</v>
      </c>
      <c r="G99" s="1829">
        <v>5378</v>
      </c>
      <c r="H99" s="1829">
        <v>5016</v>
      </c>
    </row>
    <row r="100" spans="1:8" x14ac:dyDescent="0.25">
      <c r="A100" s="537" t="s">
        <v>14</v>
      </c>
      <c r="B100" s="633" t="s">
        <v>15</v>
      </c>
      <c r="C100" s="633" t="s">
        <v>267</v>
      </c>
      <c r="D100" s="952">
        <v>14794</v>
      </c>
      <c r="E100" s="952">
        <v>15447</v>
      </c>
      <c r="F100" s="952">
        <v>14900</v>
      </c>
      <c r="G100" s="1829">
        <v>15269</v>
      </c>
      <c r="H100" s="1829">
        <v>15519</v>
      </c>
    </row>
    <row r="101" spans="1:8" x14ac:dyDescent="0.25">
      <c r="A101" s="537" t="s">
        <v>34</v>
      </c>
      <c r="B101" s="633" t="s">
        <v>35</v>
      </c>
      <c r="C101" s="633" t="s">
        <v>268</v>
      </c>
      <c r="D101" s="952">
        <v>6821</v>
      </c>
      <c r="E101" s="952">
        <v>7127</v>
      </c>
      <c r="F101" s="952">
        <v>6782</v>
      </c>
      <c r="G101" s="1829">
        <v>6497</v>
      </c>
      <c r="H101" s="1829">
        <v>6075</v>
      </c>
    </row>
    <row r="102" spans="1:8" x14ac:dyDescent="0.25">
      <c r="A102" s="537" t="s">
        <v>52</v>
      </c>
      <c r="B102" s="633" t="s">
        <v>53</v>
      </c>
      <c r="C102" s="633" t="s">
        <v>265</v>
      </c>
      <c r="D102" s="952">
        <v>8600</v>
      </c>
      <c r="E102" s="952">
        <v>8646</v>
      </c>
      <c r="F102" s="952">
        <v>7946</v>
      </c>
      <c r="G102" s="1829">
        <v>7651</v>
      </c>
      <c r="H102" s="1829">
        <v>6877</v>
      </c>
    </row>
    <row r="103" spans="1:8" x14ac:dyDescent="0.25">
      <c r="A103" s="537" t="s">
        <v>54</v>
      </c>
      <c r="B103" s="633" t="s">
        <v>55</v>
      </c>
      <c r="C103" s="633" t="s">
        <v>264</v>
      </c>
      <c r="D103" s="952">
        <v>34475</v>
      </c>
      <c r="E103" s="952">
        <v>36392</v>
      </c>
      <c r="F103" s="952">
        <v>35773</v>
      </c>
      <c r="G103" s="1829">
        <v>34915</v>
      </c>
      <c r="H103" s="1829">
        <v>32896</v>
      </c>
    </row>
    <row r="104" spans="1:8" x14ac:dyDescent="0.25">
      <c r="A104" s="537" t="s">
        <v>66</v>
      </c>
      <c r="B104" s="633" t="s">
        <v>67</v>
      </c>
      <c r="C104" s="633" t="s">
        <v>265</v>
      </c>
      <c r="D104" s="952">
        <v>18260</v>
      </c>
      <c r="E104" s="952">
        <v>18518</v>
      </c>
      <c r="F104" s="952">
        <v>18054</v>
      </c>
      <c r="G104" s="1829">
        <v>17681</v>
      </c>
      <c r="H104" s="1829">
        <v>16697</v>
      </c>
    </row>
    <row r="105" spans="1:8" x14ac:dyDescent="0.25">
      <c r="A105" s="537" t="s">
        <v>82</v>
      </c>
      <c r="B105" s="633" t="s">
        <v>83</v>
      </c>
      <c r="C105" s="633" t="s">
        <v>264</v>
      </c>
      <c r="D105" s="952">
        <v>3686</v>
      </c>
      <c r="E105" s="952">
        <v>3792</v>
      </c>
      <c r="F105" s="952">
        <v>3560</v>
      </c>
      <c r="G105" s="1829">
        <v>3505</v>
      </c>
      <c r="H105" s="1829">
        <v>3347</v>
      </c>
    </row>
    <row r="106" spans="1:8" x14ac:dyDescent="0.25">
      <c r="A106" s="537" t="s">
        <v>88</v>
      </c>
      <c r="B106" s="633" t="s">
        <v>89</v>
      </c>
      <c r="C106" s="633" t="s">
        <v>267</v>
      </c>
      <c r="D106" s="952">
        <v>7545</v>
      </c>
      <c r="E106" s="952">
        <v>7664</v>
      </c>
      <c r="F106" s="952">
        <v>7356</v>
      </c>
      <c r="G106" s="1829">
        <v>7171</v>
      </c>
      <c r="H106" s="1829">
        <v>6567</v>
      </c>
    </row>
    <row r="107" spans="1:8" x14ac:dyDescent="0.25">
      <c r="A107" s="537" t="s">
        <v>90</v>
      </c>
      <c r="B107" s="633" t="s">
        <v>91</v>
      </c>
      <c r="C107" s="633" t="s">
        <v>268</v>
      </c>
      <c r="D107" s="952">
        <v>2935</v>
      </c>
      <c r="E107" s="952">
        <v>2975</v>
      </c>
      <c r="F107" s="952">
        <v>2964</v>
      </c>
      <c r="G107" s="1829">
        <v>2773</v>
      </c>
      <c r="H107" s="1829">
        <v>2718</v>
      </c>
    </row>
    <row r="108" spans="1:8" x14ac:dyDescent="0.25">
      <c r="A108" s="537" t="s">
        <v>106</v>
      </c>
      <c r="B108" s="633" t="s">
        <v>107</v>
      </c>
      <c r="C108" s="633" t="s">
        <v>264</v>
      </c>
      <c r="D108" s="952">
        <v>32577</v>
      </c>
      <c r="E108" s="952">
        <v>34257</v>
      </c>
      <c r="F108" s="952">
        <v>33620</v>
      </c>
      <c r="G108" s="1829">
        <v>32313</v>
      </c>
      <c r="H108" s="1829">
        <v>30385</v>
      </c>
    </row>
    <row r="109" spans="1:8" x14ac:dyDescent="0.25">
      <c r="A109" s="537" t="s">
        <v>116</v>
      </c>
      <c r="B109" s="633" t="s">
        <v>117</v>
      </c>
      <c r="C109" s="633" t="s">
        <v>266</v>
      </c>
      <c r="D109" s="952">
        <v>9773</v>
      </c>
      <c r="E109" s="952">
        <v>10048</v>
      </c>
      <c r="F109" s="952">
        <v>9966</v>
      </c>
      <c r="G109" s="1829">
        <v>10021</v>
      </c>
      <c r="H109" s="1829">
        <v>9785</v>
      </c>
    </row>
    <row r="110" spans="1:8" x14ac:dyDescent="0.25">
      <c r="A110" s="537" t="s">
        <v>138</v>
      </c>
      <c r="B110" s="633" t="s">
        <v>139</v>
      </c>
      <c r="C110" s="633" t="s">
        <v>265</v>
      </c>
      <c r="D110" s="952">
        <v>18989</v>
      </c>
      <c r="E110" s="952">
        <v>19833</v>
      </c>
      <c r="F110" s="952">
        <v>19464</v>
      </c>
      <c r="G110" s="1829">
        <v>18691</v>
      </c>
      <c r="H110" s="1829">
        <v>17085</v>
      </c>
    </row>
    <row r="111" spans="1:8" x14ac:dyDescent="0.25">
      <c r="A111" s="537" t="s">
        <v>142</v>
      </c>
      <c r="B111" s="633" t="s">
        <v>143</v>
      </c>
      <c r="C111" s="633" t="s">
        <v>267</v>
      </c>
      <c r="D111" s="952">
        <v>7480</v>
      </c>
      <c r="E111" s="952">
        <v>7916</v>
      </c>
      <c r="F111" s="952">
        <v>7805</v>
      </c>
      <c r="G111" s="1829">
        <v>7708</v>
      </c>
      <c r="H111" s="1829">
        <v>7115</v>
      </c>
    </row>
    <row r="112" spans="1:8" x14ac:dyDescent="0.25">
      <c r="A112" s="537" t="s">
        <v>144</v>
      </c>
      <c r="B112" s="633" t="s">
        <v>145</v>
      </c>
      <c r="C112" s="633" t="s">
        <v>267</v>
      </c>
      <c r="D112" s="952">
        <v>2222</v>
      </c>
      <c r="E112" s="952">
        <v>2342</v>
      </c>
      <c r="F112" s="952">
        <v>2230</v>
      </c>
      <c r="G112" s="1829">
        <v>2253</v>
      </c>
      <c r="H112" s="1829">
        <v>2196</v>
      </c>
    </row>
    <row r="113" spans="1:8" x14ac:dyDescent="0.25">
      <c r="A113" s="537" t="s">
        <v>158</v>
      </c>
      <c r="B113" s="633" t="s">
        <v>159</v>
      </c>
      <c r="C113" s="633" t="s">
        <v>264</v>
      </c>
      <c r="D113" s="952">
        <v>50910</v>
      </c>
      <c r="E113" s="952">
        <v>53111</v>
      </c>
      <c r="F113" s="952">
        <v>51882</v>
      </c>
      <c r="G113" s="1829">
        <v>50720</v>
      </c>
      <c r="H113" s="1829">
        <v>48595</v>
      </c>
    </row>
    <row r="114" spans="1:8" x14ac:dyDescent="0.25">
      <c r="A114" s="537" t="s">
        <v>160</v>
      </c>
      <c r="B114" s="633" t="s">
        <v>161</v>
      </c>
      <c r="C114" s="633" t="s">
        <v>264</v>
      </c>
      <c r="D114" s="952">
        <v>68281</v>
      </c>
      <c r="E114" s="952">
        <v>70792</v>
      </c>
      <c r="F114" s="952">
        <v>68759</v>
      </c>
      <c r="G114" s="1829">
        <v>66077</v>
      </c>
      <c r="H114" s="1829">
        <v>61551</v>
      </c>
    </row>
    <row r="115" spans="1:8" x14ac:dyDescent="0.25">
      <c r="A115" s="537" t="s">
        <v>166</v>
      </c>
      <c r="B115" s="633" t="s">
        <v>167</v>
      </c>
      <c r="C115" s="633" t="s">
        <v>268</v>
      </c>
      <c r="D115" s="952">
        <v>1593</v>
      </c>
      <c r="E115" s="952">
        <v>1594</v>
      </c>
      <c r="F115" s="952">
        <v>1533</v>
      </c>
      <c r="G115" s="1829">
        <v>1472</v>
      </c>
      <c r="H115" s="1829">
        <v>1522</v>
      </c>
    </row>
    <row r="116" spans="1:8" x14ac:dyDescent="0.25">
      <c r="A116" s="537" t="s">
        <v>176</v>
      </c>
      <c r="B116" s="633" t="s">
        <v>177</v>
      </c>
      <c r="C116" s="633" t="s">
        <v>266</v>
      </c>
      <c r="D116" s="952">
        <v>15321</v>
      </c>
      <c r="E116" s="952">
        <v>15673</v>
      </c>
      <c r="F116" s="952">
        <v>15366</v>
      </c>
      <c r="G116" s="1829">
        <v>15004</v>
      </c>
      <c r="H116" s="1829">
        <v>14257</v>
      </c>
    </row>
    <row r="117" spans="1:8" x14ac:dyDescent="0.25">
      <c r="A117" s="537" t="s">
        <v>180</v>
      </c>
      <c r="B117" s="633" t="s">
        <v>181</v>
      </c>
      <c r="C117" s="633" t="s">
        <v>264</v>
      </c>
      <c r="D117" s="952">
        <v>32371</v>
      </c>
      <c r="E117" s="952">
        <v>33999</v>
      </c>
      <c r="F117" s="952">
        <v>32824</v>
      </c>
      <c r="G117" s="1829">
        <v>31855</v>
      </c>
      <c r="H117" s="1829">
        <v>30310</v>
      </c>
    </row>
    <row r="118" spans="1:8" x14ac:dyDescent="0.25">
      <c r="A118" s="537" t="s">
        <v>192</v>
      </c>
      <c r="B118" s="633" t="s">
        <v>193</v>
      </c>
      <c r="C118" s="633" t="s">
        <v>268</v>
      </c>
      <c r="D118" s="952">
        <v>2701</v>
      </c>
      <c r="E118" s="952">
        <v>2788</v>
      </c>
      <c r="F118" s="952">
        <v>2758</v>
      </c>
      <c r="G118" s="1829">
        <v>2662</v>
      </c>
      <c r="H118" s="1829">
        <v>2400</v>
      </c>
    </row>
    <row r="119" spans="1:8" x14ac:dyDescent="0.25">
      <c r="A119" s="537" t="s">
        <v>196</v>
      </c>
      <c r="B119" s="633" t="s">
        <v>197</v>
      </c>
      <c r="C119" s="633" t="s">
        <v>266</v>
      </c>
      <c r="D119" s="952">
        <v>72852</v>
      </c>
      <c r="E119" s="952">
        <v>75701</v>
      </c>
      <c r="F119" s="952">
        <v>72737</v>
      </c>
      <c r="G119" s="1829">
        <v>69900</v>
      </c>
      <c r="H119" s="1829">
        <v>65100</v>
      </c>
    </row>
    <row r="120" spans="1:8" x14ac:dyDescent="0.25">
      <c r="A120" s="537" t="s">
        <v>200</v>
      </c>
      <c r="B120" s="633" t="s">
        <v>201</v>
      </c>
      <c r="C120" s="633" t="s">
        <v>265</v>
      </c>
      <c r="D120" s="952">
        <v>34163</v>
      </c>
      <c r="E120" s="952">
        <v>36216</v>
      </c>
      <c r="F120" s="952">
        <v>35288</v>
      </c>
      <c r="G120" s="1829">
        <v>34436</v>
      </c>
      <c r="H120" s="1829">
        <v>31235</v>
      </c>
    </row>
    <row r="121" spans="1:8" x14ac:dyDescent="0.25">
      <c r="A121" s="537" t="s">
        <v>222</v>
      </c>
      <c r="B121" s="633" t="s">
        <v>223</v>
      </c>
      <c r="C121" s="633" t="s">
        <v>264</v>
      </c>
      <c r="D121" s="952">
        <v>17699</v>
      </c>
      <c r="E121" s="952">
        <v>18547</v>
      </c>
      <c r="F121" s="952">
        <v>18263</v>
      </c>
      <c r="G121" s="1829">
        <v>17855</v>
      </c>
      <c r="H121" s="1829">
        <v>16900</v>
      </c>
    </row>
    <row r="122" spans="1:8" x14ac:dyDescent="0.25">
      <c r="A122" s="537" t="s">
        <v>230</v>
      </c>
      <c r="B122" s="633" t="s">
        <v>231</v>
      </c>
      <c r="C122" s="633" t="s">
        <v>264</v>
      </c>
      <c r="D122" s="952">
        <v>53011</v>
      </c>
      <c r="E122" s="952">
        <v>55000</v>
      </c>
      <c r="F122" s="952">
        <v>54582</v>
      </c>
      <c r="G122" s="1829">
        <v>53841</v>
      </c>
      <c r="H122" s="1829">
        <v>49852</v>
      </c>
    </row>
    <row r="123" spans="1:8" x14ac:dyDescent="0.25">
      <c r="A123" s="537" t="s">
        <v>238</v>
      </c>
      <c r="B123" s="633" t="s">
        <v>239</v>
      </c>
      <c r="C123" s="633" t="s">
        <v>264</v>
      </c>
      <c r="D123" s="952">
        <v>1929</v>
      </c>
      <c r="E123" s="952">
        <v>2096</v>
      </c>
      <c r="F123" s="952">
        <v>2075</v>
      </c>
      <c r="G123" s="1829">
        <v>2071</v>
      </c>
      <c r="H123" s="1829">
        <v>1948</v>
      </c>
    </row>
    <row r="124" spans="1:8" x14ac:dyDescent="0.25">
      <c r="A124" s="538" t="s">
        <v>240</v>
      </c>
      <c r="B124" s="541" t="s">
        <v>241</v>
      </c>
      <c r="C124" s="541" t="s">
        <v>267</v>
      </c>
      <c r="D124" s="953">
        <v>7681</v>
      </c>
      <c r="E124" s="953">
        <v>7964</v>
      </c>
      <c r="F124" s="953">
        <v>7451</v>
      </c>
      <c r="G124" s="1830">
        <v>7014</v>
      </c>
      <c r="H124" s="1830">
        <v>6458</v>
      </c>
    </row>
    <row r="126" spans="1:8" ht="65.25" customHeight="1" x14ac:dyDescent="0.25">
      <c r="A126" s="2270" t="s">
        <v>1364</v>
      </c>
      <c r="B126" s="2270"/>
      <c r="C126" s="2270"/>
      <c r="D126" s="2270"/>
      <c r="E126" s="2270"/>
      <c r="F126" s="2270"/>
      <c r="G126" s="2270"/>
      <c r="H126" s="2270"/>
    </row>
    <row r="128" spans="1:8" s="412" customFormat="1" x14ac:dyDescent="0.25">
      <c r="A128" s="412" t="s">
        <v>248</v>
      </c>
    </row>
    <row r="129" spans="1:3" s="412" customFormat="1" x14ac:dyDescent="0.25">
      <c r="A129" s="413" t="s">
        <v>249</v>
      </c>
      <c r="B129" s="414" t="s">
        <v>250</v>
      </c>
      <c r="C129" s="414"/>
    </row>
  </sheetData>
  <sortState ref="A5:V124">
    <sortCondition ref="A5:A124"/>
  </sortState>
  <mergeCells count="1">
    <mergeCell ref="A126:H126"/>
  </mergeCells>
  <hyperlinks>
    <hyperlink ref="B129"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ySplit="4" topLeftCell="A106" activePane="bottomLeft" state="frozen"/>
      <selection pane="bottomLeft" sqref="A1:XFD1048576"/>
    </sheetView>
  </sheetViews>
  <sheetFormatPr defaultRowHeight="15.75" x14ac:dyDescent="0.25"/>
  <cols>
    <col min="1" max="1" width="5.875" style="529" customWidth="1"/>
    <col min="2" max="2" width="30.25" style="529" customWidth="1"/>
    <col min="3" max="3" width="12.375" style="529" customWidth="1"/>
    <col min="4" max="14" width="10.875" style="529" customWidth="1"/>
    <col min="15" max="15" width="2.5" style="529" customWidth="1"/>
    <col min="16" max="16384" width="9" style="529"/>
  </cols>
  <sheetData>
    <row r="1" spans="1:14" x14ac:dyDescent="0.25">
      <c r="A1" s="258" t="s">
        <v>1104</v>
      </c>
    </row>
    <row r="3" spans="1:14" ht="31.5" x14ac:dyDescent="0.25">
      <c r="A3" s="554" t="s">
        <v>4</v>
      </c>
      <c r="B3" s="535" t="s">
        <v>5</v>
      </c>
      <c r="C3" s="592" t="s">
        <v>251</v>
      </c>
      <c r="D3" s="555" t="s">
        <v>536</v>
      </c>
      <c r="E3" s="555" t="s">
        <v>537</v>
      </c>
      <c r="F3" s="555" t="s">
        <v>538</v>
      </c>
      <c r="G3" s="555" t="s">
        <v>539</v>
      </c>
      <c r="H3" s="555" t="s">
        <v>540</v>
      </c>
      <c r="I3" s="555" t="s">
        <v>541</v>
      </c>
      <c r="J3" s="555" t="s">
        <v>588</v>
      </c>
      <c r="K3" s="530" t="s">
        <v>741</v>
      </c>
      <c r="L3" s="530" t="s">
        <v>827</v>
      </c>
      <c r="M3" s="530" t="s">
        <v>873</v>
      </c>
      <c r="N3" s="530" t="s">
        <v>1105</v>
      </c>
    </row>
    <row r="4" spans="1:14" x14ac:dyDescent="0.25">
      <c r="A4" s="597">
        <v>999</v>
      </c>
      <c r="B4" s="596" t="s">
        <v>9</v>
      </c>
      <c r="C4" s="593"/>
      <c r="D4" s="556">
        <f t="shared" ref="D4:L4" si="0">SUM(D5:D124)</f>
        <v>180378</v>
      </c>
      <c r="E4" s="556">
        <f t="shared" si="0"/>
        <v>179388</v>
      </c>
      <c r="F4" s="556">
        <f t="shared" si="0"/>
        <v>168934</v>
      </c>
      <c r="G4" s="556">
        <f t="shared" si="0"/>
        <v>161280</v>
      </c>
      <c r="H4" s="556">
        <f t="shared" si="0"/>
        <v>177017</v>
      </c>
      <c r="I4" s="556">
        <f t="shared" si="0"/>
        <v>194549</v>
      </c>
      <c r="J4" s="556">
        <f t="shared" si="0"/>
        <v>195553</v>
      </c>
      <c r="K4" s="557">
        <f t="shared" si="0"/>
        <v>185234</v>
      </c>
      <c r="L4" s="557">
        <f t="shared" si="0"/>
        <v>172295</v>
      </c>
      <c r="M4" s="1176">
        <v>154991</v>
      </c>
      <c r="N4" s="1551">
        <v>134462</v>
      </c>
    </row>
    <row r="5" spans="1:14" x14ac:dyDescent="0.25">
      <c r="A5" s="548" t="s">
        <v>10</v>
      </c>
      <c r="B5" s="539" t="s">
        <v>11</v>
      </c>
      <c r="C5" s="594" t="s">
        <v>264</v>
      </c>
      <c r="D5" s="542">
        <v>1056</v>
      </c>
      <c r="E5" s="542">
        <v>1003</v>
      </c>
      <c r="F5" s="542">
        <v>878</v>
      </c>
      <c r="G5" s="542">
        <v>898</v>
      </c>
      <c r="H5" s="542">
        <v>946</v>
      </c>
      <c r="I5" s="542">
        <v>1098</v>
      </c>
      <c r="J5" s="542">
        <v>1096</v>
      </c>
      <c r="K5" s="549">
        <v>1127</v>
      </c>
      <c r="L5" s="551">
        <v>1131</v>
      </c>
      <c r="M5" s="551">
        <v>974</v>
      </c>
      <c r="N5" s="1552">
        <v>810</v>
      </c>
    </row>
    <row r="6" spans="1:14" x14ac:dyDescent="0.25">
      <c r="A6" s="550" t="s">
        <v>12</v>
      </c>
      <c r="B6" s="540" t="s">
        <v>13</v>
      </c>
      <c r="C6" s="595" t="s">
        <v>265</v>
      </c>
      <c r="D6" s="544">
        <v>703</v>
      </c>
      <c r="E6" s="544">
        <v>797</v>
      </c>
      <c r="F6" s="544">
        <v>664</v>
      </c>
      <c r="G6" s="544">
        <v>611</v>
      </c>
      <c r="H6" s="544">
        <v>809</v>
      </c>
      <c r="I6" s="544">
        <v>921</v>
      </c>
      <c r="J6" s="544">
        <v>855</v>
      </c>
      <c r="K6" s="551">
        <v>746</v>
      </c>
      <c r="L6" s="551">
        <v>837</v>
      </c>
      <c r="M6" s="551">
        <v>807</v>
      </c>
      <c r="N6" s="1552">
        <v>707</v>
      </c>
    </row>
    <row r="7" spans="1:14" x14ac:dyDescent="0.25">
      <c r="A7" s="550" t="s">
        <v>16</v>
      </c>
      <c r="B7" s="540" t="s">
        <v>297</v>
      </c>
      <c r="C7" s="595" t="s">
        <v>265</v>
      </c>
      <c r="D7" s="544">
        <v>741</v>
      </c>
      <c r="E7" s="544">
        <v>693</v>
      </c>
      <c r="F7" s="544">
        <v>706</v>
      </c>
      <c r="G7" s="544">
        <v>664</v>
      </c>
      <c r="H7" s="544">
        <v>704</v>
      </c>
      <c r="I7" s="544">
        <v>677</v>
      </c>
      <c r="J7" s="544">
        <v>644</v>
      </c>
      <c r="K7" s="551">
        <v>528</v>
      </c>
      <c r="L7" s="551">
        <v>512</v>
      </c>
      <c r="M7" s="551">
        <v>476</v>
      </c>
      <c r="N7" s="1552">
        <v>439</v>
      </c>
    </row>
    <row r="8" spans="1:14" x14ac:dyDescent="0.25">
      <c r="A8" s="550" t="s">
        <v>18</v>
      </c>
      <c r="B8" s="540" t="s">
        <v>19</v>
      </c>
      <c r="C8" s="595" t="s">
        <v>266</v>
      </c>
      <c r="D8" s="544">
        <v>324</v>
      </c>
      <c r="E8" s="544">
        <v>364</v>
      </c>
      <c r="F8" s="544">
        <v>319</v>
      </c>
      <c r="G8" s="544">
        <v>321</v>
      </c>
      <c r="H8" s="544">
        <v>373</v>
      </c>
      <c r="I8" s="544">
        <v>430</v>
      </c>
      <c r="J8" s="544">
        <v>434</v>
      </c>
      <c r="K8" s="551">
        <v>408</v>
      </c>
      <c r="L8" s="551">
        <v>378</v>
      </c>
      <c r="M8" s="551">
        <v>275</v>
      </c>
      <c r="N8" s="1552">
        <v>205</v>
      </c>
    </row>
    <row r="9" spans="1:14" x14ac:dyDescent="0.25">
      <c r="A9" s="550" t="s">
        <v>20</v>
      </c>
      <c r="B9" s="540" t="s">
        <v>21</v>
      </c>
      <c r="C9" s="595" t="s">
        <v>265</v>
      </c>
      <c r="D9" s="544">
        <v>608</v>
      </c>
      <c r="E9" s="544">
        <v>613</v>
      </c>
      <c r="F9" s="544">
        <v>443</v>
      </c>
      <c r="G9" s="544">
        <v>449</v>
      </c>
      <c r="H9" s="544">
        <v>533</v>
      </c>
      <c r="I9" s="544">
        <v>645</v>
      </c>
      <c r="J9" s="544">
        <v>573</v>
      </c>
      <c r="K9" s="551">
        <v>538</v>
      </c>
      <c r="L9" s="551">
        <v>538</v>
      </c>
      <c r="M9" s="551">
        <v>456</v>
      </c>
      <c r="N9" s="1552">
        <v>407</v>
      </c>
    </row>
    <row r="10" spans="1:14" x14ac:dyDescent="0.25">
      <c r="A10" s="550" t="s">
        <v>22</v>
      </c>
      <c r="B10" s="540" t="s">
        <v>23</v>
      </c>
      <c r="C10" s="595" t="s">
        <v>265</v>
      </c>
      <c r="D10" s="544">
        <v>436</v>
      </c>
      <c r="E10" s="544">
        <v>404</v>
      </c>
      <c r="F10" s="544">
        <v>394</v>
      </c>
      <c r="G10" s="544">
        <v>417</v>
      </c>
      <c r="H10" s="544">
        <v>419</v>
      </c>
      <c r="I10" s="544">
        <v>507</v>
      </c>
      <c r="J10" s="544">
        <v>456</v>
      </c>
      <c r="K10" s="551">
        <v>477</v>
      </c>
      <c r="L10" s="551">
        <v>522</v>
      </c>
      <c r="M10" s="551">
        <v>492</v>
      </c>
      <c r="N10" s="1552">
        <v>395</v>
      </c>
    </row>
    <row r="11" spans="1:14" x14ac:dyDescent="0.25">
      <c r="A11" s="550" t="s">
        <v>24</v>
      </c>
      <c r="B11" s="540" t="s">
        <v>25</v>
      </c>
      <c r="C11" s="595" t="s">
        <v>267</v>
      </c>
      <c r="D11" s="544">
        <v>1469</v>
      </c>
      <c r="E11" s="544">
        <v>1479</v>
      </c>
      <c r="F11" s="544">
        <v>1312</v>
      </c>
      <c r="G11" s="544">
        <v>1233</v>
      </c>
      <c r="H11" s="544">
        <v>1547</v>
      </c>
      <c r="I11" s="544">
        <v>1702</v>
      </c>
      <c r="J11" s="544">
        <v>1633</v>
      </c>
      <c r="K11" s="551">
        <v>1512</v>
      </c>
      <c r="L11" s="551">
        <v>1315</v>
      </c>
      <c r="M11" s="551">
        <v>1107</v>
      </c>
      <c r="N11" s="1552">
        <v>1008</v>
      </c>
    </row>
    <row r="12" spans="1:14" x14ac:dyDescent="0.25">
      <c r="A12" s="550" t="s">
        <v>26</v>
      </c>
      <c r="B12" s="540" t="s">
        <v>686</v>
      </c>
      <c r="C12" s="595" t="s">
        <v>265</v>
      </c>
      <c r="D12" s="544">
        <v>3004</v>
      </c>
      <c r="E12" s="544">
        <v>3221</v>
      </c>
      <c r="F12" s="544">
        <v>3029</v>
      </c>
      <c r="G12" s="544">
        <v>2946</v>
      </c>
      <c r="H12" s="544">
        <v>3320</v>
      </c>
      <c r="I12" s="544">
        <v>3468</v>
      </c>
      <c r="J12" s="544">
        <v>3345</v>
      </c>
      <c r="K12" s="551">
        <v>3125</v>
      </c>
      <c r="L12" s="551">
        <v>2949</v>
      </c>
      <c r="M12" s="551">
        <v>2534</v>
      </c>
      <c r="N12" s="1552">
        <v>1916</v>
      </c>
    </row>
    <row r="13" spans="1:14" x14ac:dyDescent="0.25">
      <c r="A13" s="550" t="s">
        <v>27</v>
      </c>
      <c r="B13" s="540" t="s">
        <v>28</v>
      </c>
      <c r="C13" s="595" t="s">
        <v>265</v>
      </c>
      <c r="D13" s="544">
        <v>31</v>
      </c>
      <c r="E13" s="544">
        <v>33</v>
      </c>
      <c r="F13" s="544">
        <v>24</v>
      </c>
      <c r="G13" s="544">
        <v>41</v>
      </c>
      <c r="H13" s="544">
        <v>28</v>
      </c>
      <c r="I13" s="544">
        <v>47</v>
      </c>
      <c r="J13" s="544">
        <v>40</v>
      </c>
      <c r="K13" s="551">
        <v>42</v>
      </c>
      <c r="L13" s="551">
        <v>24</v>
      </c>
      <c r="M13" s="551">
        <v>24</v>
      </c>
      <c r="N13" s="1552">
        <v>13</v>
      </c>
    </row>
    <row r="14" spans="1:14" x14ac:dyDescent="0.25">
      <c r="A14" s="550" t="s">
        <v>29</v>
      </c>
      <c r="B14" s="540" t="s">
        <v>924</v>
      </c>
      <c r="C14" s="595" t="s">
        <v>265</v>
      </c>
      <c r="D14" s="544">
        <v>1178</v>
      </c>
      <c r="E14" s="544">
        <v>1115</v>
      </c>
      <c r="F14" s="544">
        <v>1092</v>
      </c>
      <c r="G14" s="544">
        <v>953</v>
      </c>
      <c r="H14" s="544">
        <v>1096</v>
      </c>
      <c r="I14" s="544">
        <v>1235</v>
      </c>
      <c r="J14" s="544">
        <v>1269</v>
      </c>
      <c r="K14" s="551">
        <v>1163</v>
      </c>
      <c r="L14" s="551">
        <v>1046</v>
      </c>
      <c r="M14" s="551">
        <v>1080</v>
      </c>
      <c r="N14" s="1552">
        <v>859</v>
      </c>
    </row>
    <row r="15" spans="1:14" x14ac:dyDescent="0.25">
      <c r="A15" s="550" t="s">
        <v>30</v>
      </c>
      <c r="B15" s="633" t="s">
        <v>31</v>
      </c>
      <c r="C15" s="595" t="s">
        <v>268</v>
      </c>
      <c r="D15" s="544">
        <v>131</v>
      </c>
      <c r="E15" s="544">
        <v>147</v>
      </c>
      <c r="F15" s="544">
        <v>127</v>
      </c>
      <c r="G15" s="544">
        <v>110</v>
      </c>
      <c r="H15" s="544">
        <v>115</v>
      </c>
      <c r="I15" s="544">
        <v>86</v>
      </c>
      <c r="J15" s="544">
        <v>120</v>
      </c>
      <c r="K15" s="551">
        <v>103</v>
      </c>
      <c r="L15" s="551">
        <v>85</v>
      </c>
      <c r="M15" s="551">
        <v>78</v>
      </c>
      <c r="N15" s="1552">
        <v>65</v>
      </c>
    </row>
    <row r="16" spans="1:14" x14ac:dyDescent="0.25">
      <c r="A16" s="550" t="s">
        <v>32</v>
      </c>
      <c r="B16" s="540" t="s">
        <v>33</v>
      </c>
      <c r="C16" s="595" t="s">
        <v>265</v>
      </c>
      <c r="D16" s="544">
        <v>198</v>
      </c>
      <c r="E16" s="544">
        <v>200</v>
      </c>
      <c r="F16" s="544">
        <v>155</v>
      </c>
      <c r="G16" s="544">
        <v>158</v>
      </c>
      <c r="H16" s="544">
        <v>175</v>
      </c>
      <c r="I16" s="544">
        <v>219</v>
      </c>
      <c r="J16" s="544">
        <v>223</v>
      </c>
      <c r="K16" s="551">
        <v>238</v>
      </c>
      <c r="L16" s="551">
        <v>212</v>
      </c>
      <c r="M16" s="551">
        <v>175</v>
      </c>
      <c r="N16" s="1552">
        <v>166</v>
      </c>
    </row>
    <row r="17" spans="1:14" x14ac:dyDescent="0.25">
      <c r="A17" s="550" t="s">
        <v>36</v>
      </c>
      <c r="B17" s="540" t="s">
        <v>37</v>
      </c>
      <c r="C17" s="595" t="s">
        <v>264</v>
      </c>
      <c r="D17" s="544">
        <v>680</v>
      </c>
      <c r="E17" s="544">
        <v>752</v>
      </c>
      <c r="F17" s="544">
        <v>712</v>
      </c>
      <c r="G17" s="544">
        <v>598</v>
      </c>
      <c r="H17" s="544">
        <v>597</v>
      </c>
      <c r="I17" s="544">
        <v>646</v>
      </c>
      <c r="J17" s="544">
        <v>609</v>
      </c>
      <c r="K17" s="551">
        <v>595</v>
      </c>
      <c r="L17" s="551">
        <v>545</v>
      </c>
      <c r="M17" s="551">
        <v>501</v>
      </c>
      <c r="N17" s="1552">
        <v>442</v>
      </c>
    </row>
    <row r="18" spans="1:14" x14ac:dyDescent="0.25">
      <c r="A18" s="550" t="s">
        <v>38</v>
      </c>
      <c r="B18" s="540" t="s">
        <v>39</v>
      </c>
      <c r="C18" s="595" t="s">
        <v>268</v>
      </c>
      <c r="D18" s="544">
        <v>1375</v>
      </c>
      <c r="E18" s="544">
        <v>1260</v>
      </c>
      <c r="F18" s="544">
        <v>1119</v>
      </c>
      <c r="G18" s="544">
        <v>1027</v>
      </c>
      <c r="H18" s="544">
        <v>971</v>
      </c>
      <c r="I18" s="544">
        <v>906</v>
      </c>
      <c r="J18" s="544">
        <v>743</v>
      </c>
      <c r="K18" s="551">
        <v>611</v>
      </c>
      <c r="L18" s="551">
        <v>724</v>
      </c>
      <c r="M18" s="551">
        <v>693</v>
      </c>
      <c r="N18" s="1552">
        <v>640</v>
      </c>
    </row>
    <row r="19" spans="1:14" x14ac:dyDescent="0.25">
      <c r="A19" s="550" t="s">
        <v>40</v>
      </c>
      <c r="B19" s="540" t="s">
        <v>41</v>
      </c>
      <c r="C19" s="595" t="s">
        <v>266</v>
      </c>
      <c r="D19" s="544">
        <v>590</v>
      </c>
      <c r="E19" s="544">
        <v>451</v>
      </c>
      <c r="F19" s="544">
        <v>480</v>
      </c>
      <c r="G19" s="544">
        <v>432</v>
      </c>
      <c r="H19" s="544">
        <v>500</v>
      </c>
      <c r="I19" s="544">
        <v>532</v>
      </c>
      <c r="J19" s="544">
        <v>432</v>
      </c>
      <c r="K19" s="551">
        <v>430</v>
      </c>
      <c r="L19" s="551">
        <v>416</v>
      </c>
      <c r="M19" s="551">
        <v>335</v>
      </c>
      <c r="N19" s="1552">
        <v>302</v>
      </c>
    </row>
    <row r="20" spans="1:14" x14ac:dyDescent="0.25">
      <c r="A20" s="550" t="s">
        <v>42</v>
      </c>
      <c r="B20" s="540" t="s">
        <v>43</v>
      </c>
      <c r="C20" s="595" t="s">
        <v>265</v>
      </c>
      <c r="D20" s="544">
        <v>1481</v>
      </c>
      <c r="E20" s="544">
        <v>1340</v>
      </c>
      <c r="F20" s="544">
        <v>1344</v>
      </c>
      <c r="G20" s="544">
        <v>1258</v>
      </c>
      <c r="H20" s="544">
        <v>1366</v>
      </c>
      <c r="I20" s="544">
        <v>1511</v>
      </c>
      <c r="J20" s="544">
        <v>1498</v>
      </c>
      <c r="K20" s="551">
        <v>1562</v>
      </c>
      <c r="L20" s="551">
        <v>1382</v>
      </c>
      <c r="M20" s="551">
        <v>1204</v>
      </c>
      <c r="N20" s="1552">
        <v>1026</v>
      </c>
    </row>
    <row r="21" spans="1:14" x14ac:dyDescent="0.25">
      <c r="A21" s="550" t="s">
        <v>44</v>
      </c>
      <c r="B21" s="540" t="s">
        <v>45</v>
      </c>
      <c r="C21" s="595" t="s">
        <v>266</v>
      </c>
      <c r="D21" s="544">
        <v>686</v>
      </c>
      <c r="E21" s="544">
        <v>640</v>
      </c>
      <c r="F21" s="544">
        <v>613</v>
      </c>
      <c r="G21" s="544">
        <v>634</v>
      </c>
      <c r="H21" s="544">
        <v>915</v>
      </c>
      <c r="I21" s="544">
        <v>1096</v>
      </c>
      <c r="J21" s="544">
        <v>1148</v>
      </c>
      <c r="K21" s="551">
        <v>1048</v>
      </c>
      <c r="L21" s="551">
        <v>959</v>
      </c>
      <c r="M21" s="551">
        <v>850</v>
      </c>
      <c r="N21" s="1552">
        <v>709</v>
      </c>
    </row>
    <row r="22" spans="1:14" x14ac:dyDescent="0.25">
      <c r="A22" s="550" t="s">
        <v>46</v>
      </c>
      <c r="B22" s="540" t="s">
        <v>47</v>
      </c>
      <c r="C22" s="595" t="s">
        <v>268</v>
      </c>
      <c r="D22" s="544">
        <v>802</v>
      </c>
      <c r="E22" s="544">
        <v>707</v>
      </c>
      <c r="F22" s="544">
        <v>662</v>
      </c>
      <c r="G22" s="544">
        <v>617</v>
      </c>
      <c r="H22" s="544">
        <v>702</v>
      </c>
      <c r="I22" s="544">
        <v>746</v>
      </c>
      <c r="J22" s="544">
        <v>675</v>
      </c>
      <c r="K22" s="551">
        <v>704</v>
      </c>
      <c r="L22" s="551">
        <v>585</v>
      </c>
      <c r="M22" s="551">
        <v>502</v>
      </c>
      <c r="N22" s="1552">
        <v>428</v>
      </c>
    </row>
    <row r="23" spans="1:14" x14ac:dyDescent="0.25">
      <c r="A23" s="550" t="s">
        <v>48</v>
      </c>
      <c r="B23" s="540" t="s">
        <v>269</v>
      </c>
      <c r="C23" s="595" t="s">
        <v>266</v>
      </c>
      <c r="D23" s="544">
        <v>118</v>
      </c>
      <c r="E23" s="544">
        <v>108</v>
      </c>
      <c r="F23" s="544">
        <v>113</v>
      </c>
      <c r="G23" s="544">
        <v>135</v>
      </c>
      <c r="H23" s="544">
        <v>118</v>
      </c>
      <c r="I23" s="544">
        <v>99</v>
      </c>
      <c r="J23" s="544">
        <v>145</v>
      </c>
      <c r="K23" s="551">
        <v>125</v>
      </c>
      <c r="L23" s="551">
        <v>96</v>
      </c>
      <c r="M23" s="551">
        <v>69</v>
      </c>
      <c r="N23" s="1552">
        <v>76</v>
      </c>
    </row>
    <row r="24" spans="1:14" x14ac:dyDescent="0.25">
      <c r="A24" s="550" t="s">
        <v>50</v>
      </c>
      <c r="B24" s="540" t="s">
        <v>51</v>
      </c>
      <c r="C24" s="595" t="s">
        <v>265</v>
      </c>
      <c r="D24" s="544">
        <v>452</v>
      </c>
      <c r="E24" s="544">
        <v>491</v>
      </c>
      <c r="F24" s="544">
        <v>405</v>
      </c>
      <c r="G24" s="544">
        <v>310</v>
      </c>
      <c r="H24" s="544">
        <v>422</v>
      </c>
      <c r="I24" s="544">
        <v>472</v>
      </c>
      <c r="J24" s="544">
        <v>452</v>
      </c>
      <c r="K24" s="551">
        <v>508</v>
      </c>
      <c r="L24" s="551">
        <v>504</v>
      </c>
      <c r="M24" s="551">
        <v>424</v>
      </c>
      <c r="N24" s="1552">
        <v>333</v>
      </c>
    </row>
    <row r="25" spans="1:14" x14ac:dyDescent="0.25">
      <c r="A25" s="550" t="s">
        <v>56</v>
      </c>
      <c r="B25" s="540" t="s">
        <v>295</v>
      </c>
      <c r="C25" s="595" t="s">
        <v>266</v>
      </c>
      <c r="D25" s="544">
        <v>4958</v>
      </c>
      <c r="E25" s="544">
        <v>4835</v>
      </c>
      <c r="F25" s="544">
        <v>4528</v>
      </c>
      <c r="G25" s="544">
        <v>4450</v>
      </c>
      <c r="H25" s="544">
        <v>5198</v>
      </c>
      <c r="I25" s="544">
        <v>5833</v>
      </c>
      <c r="J25" s="544">
        <v>6002</v>
      </c>
      <c r="K25" s="551">
        <v>5765</v>
      </c>
      <c r="L25" s="551">
        <v>5269</v>
      </c>
      <c r="M25" s="551">
        <v>4523</v>
      </c>
      <c r="N25" s="1552">
        <v>3656</v>
      </c>
    </row>
    <row r="26" spans="1:14" x14ac:dyDescent="0.25">
      <c r="A26" s="550" t="s">
        <v>58</v>
      </c>
      <c r="B26" s="540" t="s">
        <v>59</v>
      </c>
      <c r="C26" s="595" t="s">
        <v>267</v>
      </c>
      <c r="D26" s="544">
        <v>70</v>
      </c>
      <c r="E26" s="544">
        <v>72</v>
      </c>
      <c r="F26" s="544">
        <v>67</v>
      </c>
      <c r="G26" s="544">
        <v>63</v>
      </c>
      <c r="H26" s="544">
        <v>101</v>
      </c>
      <c r="I26" s="544">
        <v>110</v>
      </c>
      <c r="J26" s="544">
        <v>121</v>
      </c>
      <c r="K26" s="551">
        <v>117</v>
      </c>
      <c r="L26" s="551">
        <v>114</v>
      </c>
      <c r="M26" s="551">
        <v>80</v>
      </c>
      <c r="N26" s="1552">
        <v>48</v>
      </c>
    </row>
    <row r="27" spans="1:14" x14ac:dyDescent="0.25">
      <c r="A27" s="550" t="s">
        <v>60</v>
      </c>
      <c r="B27" s="540" t="s">
        <v>61</v>
      </c>
      <c r="C27" s="595" t="s">
        <v>265</v>
      </c>
      <c r="D27" s="544">
        <v>57</v>
      </c>
      <c r="E27" s="544">
        <v>55</v>
      </c>
      <c r="F27" s="544">
        <v>46</v>
      </c>
      <c r="G27" s="544">
        <v>45</v>
      </c>
      <c r="H27" s="544">
        <v>55</v>
      </c>
      <c r="I27" s="544">
        <v>59</v>
      </c>
      <c r="J27" s="544">
        <v>67</v>
      </c>
      <c r="K27" s="551">
        <v>78</v>
      </c>
      <c r="L27" s="551">
        <v>59</v>
      </c>
      <c r="M27" s="551">
        <v>59</v>
      </c>
      <c r="N27" s="1552">
        <v>66</v>
      </c>
    </row>
    <row r="28" spans="1:14" x14ac:dyDescent="0.25">
      <c r="A28" s="550" t="s">
        <v>62</v>
      </c>
      <c r="B28" s="540" t="s">
        <v>63</v>
      </c>
      <c r="C28" s="595" t="s">
        <v>267</v>
      </c>
      <c r="D28" s="544">
        <v>836</v>
      </c>
      <c r="E28" s="544">
        <v>801</v>
      </c>
      <c r="F28" s="544">
        <v>818</v>
      </c>
      <c r="G28" s="544">
        <v>841</v>
      </c>
      <c r="H28" s="544">
        <v>995</v>
      </c>
      <c r="I28" s="544">
        <v>1105</v>
      </c>
      <c r="J28" s="544">
        <v>1059</v>
      </c>
      <c r="K28" s="551">
        <v>932</v>
      </c>
      <c r="L28" s="551">
        <v>900</v>
      </c>
      <c r="M28" s="551">
        <v>792</v>
      </c>
      <c r="N28" s="1552">
        <v>641</v>
      </c>
    </row>
    <row r="29" spans="1:14" x14ac:dyDescent="0.25">
      <c r="A29" s="550" t="s">
        <v>64</v>
      </c>
      <c r="B29" s="540" t="s">
        <v>65</v>
      </c>
      <c r="C29" s="595" t="s">
        <v>266</v>
      </c>
      <c r="D29" s="544">
        <v>378</v>
      </c>
      <c r="E29" s="544">
        <v>307</v>
      </c>
      <c r="F29" s="544">
        <v>309</v>
      </c>
      <c r="G29" s="544">
        <v>313</v>
      </c>
      <c r="H29" s="544">
        <v>361</v>
      </c>
      <c r="I29" s="544">
        <v>354</v>
      </c>
      <c r="J29" s="544">
        <v>346</v>
      </c>
      <c r="K29" s="551">
        <v>336</v>
      </c>
      <c r="L29" s="551">
        <v>399</v>
      </c>
      <c r="M29" s="551">
        <v>328</v>
      </c>
      <c r="N29" s="1552">
        <v>289</v>
      </c>
    </row>
    <row r="30" spans="1:14" x14ac:dyDescent="0.25">
      <c r="A30" s="550" t="s">
        <v>68</v>
      </c>
      <c r="B30" s="540" t="s">
        <v>69</v>
      </c>
      <c r="C30" s="595" t="s">
        <v>268</v>
      </c>
      <c r="D30" s="544">
        <v>722</v>
      </c>
      <c r="E30" s="544">
        <v>666</v>
      </c>
      <c r="F30" s="544">
        <v>604</v>
      </c>
      <c r="G30" s="544">
        <v>595</v>
      </c>
      <c r="H30" s="544">
        <v>524</v>
      </c>
      <c r="I30" s="544">
        <v>547</v>
      </c>
      <c r="J30" s="544">
        <v>480</v>
      </c>
      <c r="K30" s="551">
        <v>440</v>
      </c>
      <c r="L30" s="551">
        <v>343</v>
      </c>
      <c r="M30" s="551">
        <v>364</v>
      </c>
      <c r="N30" s="1552">
        <v>293</v>
      </c>
    </row>
    <row r="31" spans="1:14" x14ac:dyDescent="0.25">
      <c r="A31" s="550" t="s">
        <v>70</v>
      </c>
      <c r="B31" s="540" t="s">
        <v>71</v>
      </c>
      <c r="C31" s="595" t="s">
        <v>264</v>
      </c>
      <c r="D31" s="544">
        <v>714</v>
      </c>
      <c r="E31" s="544">
        <v>761</v>
      </c>
      <c r="F31" s="544">
        <v>644</v>
      </c>
      <c r="G31" s="544">
        <v>581</v>
      </c>
      <c r="H31" s="544">
        <v>662</v>
      </c>
      <c r="I31" s="544">
        <v>772</v>
      </c>
      <c r="J31" s="544">
        <v>773</v>
      </c>
      <c r="K31" s="551">
        <v>726</v>
      </c>
      <c r="L31" s="551">
        <v>700</v>
      </c>
      <c r="M31" s="551">
        <v>693</v>
      </c>
      <c r="N31" s="1552">
        <v>561</v>
      </c>
    </row>
    <row r="32" spans="1:14" x14ac:dyDescent="0.25">
      <c r="A32" s="550" t="s">
        <v>72</v>
      </c>
      <c r="B32" s="540" t="s">
        <v>73</v>
      </c>
      <c r="C32" s="595" t="s">
        <v>266</v>
      </c>
      <c r="D32" s="544">
        <v>341</v>
      </c>
      <c r="E32" s="544">
        <v>355</v>
      </c>
      <c r="F32" s="544">
        <v>325</v>
      </c>
      <c r="G32" s="544">
        <v>415</v>
      </c>
      <c r="H32" s="544">
        <v>462</v>
      </c>
      <c r="I32" s="544">
        <v>529</v>
      </c>
      <c r="J32" s="544">
        <v>466</v>
      </c>
      <c r="K32" s="551">
        <v>480</v>
      </c>
      <c r="L32" s="551">
        <v>386</v>
      </c>
      <c r="M32" s="551">
        <v>389</v>
      </c>
      <c r="N32" s="1552">
        <v>347</v>
      </c>
    </row>
    <row r="33" spans="1:14" x14ac:dyDescent="0.25">
      <c r="A33" s="550" t="s">
        <v>74</v>
      </c>
      <c r="B33" s="540" t="s">
        <v>296</v>
      </c>
      <c r="C33" s="595" t="s">
        <v>267</v>
      </c>
      <c r="D33" s="544">
        <v>6971</v>
      </c>
      <c r="E33" s="544">
        <v>7215</v>
      </c>
      <c r="F33" s="544">
        <v>7034</v>
      </c>
      <c r="G33" s="544">
        <v>6735</v>
      </c>
      <c r="H33" s="544">
        <v>7821</v>
      </c>
      <c r="I33" s="544">
        <v>8890</v>
      </c>
      <c r="J33" s="544">
        <v>9227</v>
      </c>
      <c r="K33" s="551">
        <v>8653</v>
      </c>
      <c r="L33" s="551">
        <v>8530</v>
      </c>
      <c r="M33" s="551">
        <v>7508</v>
      </c>
      <c r="N33" s="1552">
        <v>6270</v>
      </c>
    </row>
    <row r="34" spans="1:14" x14ac:dyDescent="0.25">
      <c r="A34" s="550" t="s">
        <v>76</v>
      </c>
      <c r="B34" s="540" t="s">
        <v>77</v>
      </c>
      <c r="C34" s="595" t="s">
        <v>267</v>
      </c>
      <c r="D34" s="544">
        <v>567</v>
      </c>
      <c r="E34" s="544">
        <v>550</v>
      </c>
      <c r="F34" s="544">
        <v>560</v>
      </c>
      <c r="G34" s="544">
        <v>577</v>
      </c>
      <c r="H34" s="544">
        <v>681</v>
      </c>
      <c r="I34" s="544">
        <v>684</v>
      </c>
      <c r="J34" s="544">
        <v>646</v>
      </c>
      <c r="K34" s="551">
        <v>631</v>
      </c>
      <c r="L34" s="551">
        <v>517</v>
      </c>
      <c r="M34" s="551">
        <v>449</v>
      </c>
      <c r="N34" s="1552">
        <v>383</v>
      </c>
    </row>
    <row r="35" spans="1:14" x14ac:dyDescent="0.25">
      <c r="A35" s="550" t="s">
        <v>78</v>
      </c>
      <c r="B35" s="540" t="s">
        <v>79</v>
      </c>
      <c r="C35" s="595" t="s">
        <v>268</v>
      </c>
      <c r="D35" s="544">
        <v>227</v>
      </c>
      <c r="E35" s="544">
        <v>286</v>
      </c>
      <c r="F35" s="544">
        <v>230</v>
      </c>
      <c r="G35" s="544">
        <v>212</v>
      </c>
      <c r="H35" s="544">
        <v>247</v>
      </c>
      <c r="I35" s="544">
        <v>280</v>
      </c>
      <c r="J35" s="544">
        <v>317</v>
      </c>
      <c r="K35" s="551">
        <v>336</v>
      </c>
      <c r="L35" s="551">
        <v>329</v>
      </c>
      <c r="M35" s="551">
        <v>254</v>
      </c>
      <c r="N35" s="1552">
        <v>185</v>
      </c>
    </row>
    <row r="36" spans="1:14" x14ac:dyDescent="0.25">
      <c r="A36" s="550" t="s">
        <v>80</v>
      </c>
      <c r="B36" s="540" t="s">
        <v>81</v>
      </c>
      <c r="C36" s="595" t="s">
        <v>266</v>
      </c>
      <c r="D36" s="544">
        <v>154</v>
      </c>
      <c r="E36" s="544">
        <v>142</v>
      </c>
      <c r="F36" s="544">
        <v>122</v>
      </c>
      <c r="G36" s="544">
        <v>131</v>
      </c>
      <c r="H36" s="544">
        <v>146</v>
      </c>
      <c r="I36" s="544">
        <v>168</v>
      </c>
      <c r="J36" s="544">
        <v>239</v>
      </c>
      <c r="K36" s="551">
        <v>286</v>
      </c>
      <c r="L36" s="551">
        <v>261</v>
      </c>
      <c r="M36" s="551">
        <v>204</v>
      </c>
      <c r="N36" s="1552">
        <v>214</v>
      </c>
    </row>
    <row r="37" spans="1:14" x14ac:dyDescent="0.25">
      <c r="A37" s="550" t="s">
        <v>84</v>
      </c>
      <c r="B37" s="540" t="s">
        <v>85</v>
      </c>
      <c r="C37" s="595" t="s">
        <v>265</v>
      </c>
      <c r="D37" s="544">
        <v>1106</v>
      </c>
      <c r="E37" s="544">
        <v>1147</v>
      </c>
      <c r="F37" s="544">
        <v>1015</v>
      </c>
      <c r="G37" s="544">
        <v>1048</v>
      </c>
      <c r="H37" s="544">
        <v>1291</v>
      </c>
      <c r="I37" s="544">
        <v>1302</v>
      </c>
      <c r="J37" s="544">
        <v>1398</v>
      </c>
      <c r="K37" s="551">
        <v>1319</v>
      </c>
      <c r="L37" s="551">
        <v>1158</v>
      </c>
      <c r="M37" s="551">
        <v>1018</v>
      </c>
      <c r="N37" s="1552">
        <v>860</v>
      </c>
    </row>
    <row r="38" spans="1:14" x14ac:dyDescent="0.25">
      <c r="A38" s="550" t="s">
        <v>86</v>
      </c>
      <c r="B38" s="540" t="s">
        <v>87</v>
      </c>
      <c r="C38" s="595" t="s">
        <v>267</v>
      </c>
      <c r="D38" s="544">
        <v>444</v>
      </c>
      <c r="E38" s="544">
        <v>505</v>
      </c>
      <c r="F38" s="544">
        <v>543</v>
      </c>
      <c r="G38" s="544">
        <v>603</v>
      </c>
      <c r="H38" s="544">
        <v>843</v>
      </c>
      <c r="I38" s="544">
        <v>1006</v>
      </c>
      <c r="J38" s="544">
        <v>1133</v>
      </c>
      <c r="K38" s="551">
        <v>1048</v>
      </c>
      <c r="L38" s="551">
        <v>932</v>
      </c>
      <c r="M38" s="551">
        <v>648</v>
      </c>
      <c r="N38" s="1552">
        <v>381</v>
      </c>
    </row>
    <row r="39" spans="1:14" x14ac:dyDescent="0.25">
      <c r="A39" s="550" t="s">
        <v>92</v>
      </c>
      <c r="B39" s="540" t="s">
        <v>93</v>
      </c>
      <c r="C39" s="595" t="s">
        <v>268</v>
      </c>
      <c r="D39" s="544">
        <v>293</v>
      </c>
      <c r="E39" s="544">
        <v>237</v>
      </c>
      <c r="F39" s="544">
        <v>241</v>
      </c>
      <c r="G39" s="544">
        <v>214</v>
      </c>
      <c r="H39" s="544">
        <v>272</v>
      </c>
      <c r="I39" s="544">
        <v>282</v>
      </c>
      <c r="J39" s="544">
        <v>325</v>
      </c>
      <c r="K39" s="551">
        <v>284</v>
      </c>
      <c r="L39" s="551">
        <v>331</v>
      </c>
      <c r="M39" s="551">
        <v>223</v>
      </c>
      <c r="N39" s="1552">
        <v>174</v>
      </c>
    </row>
    <row r="40" spans="1:14" x14ac:dyDescent="0.25">
      <c r="A40" s="550" t="s">
        <v>94</v>
      </c>
      <c r="B40" s="540" t="s">
        <v>95</v>
      </c>
      <c r="C40" s="595" t="s">
        <v>264</v>
      </c>
      <c r="D40" s="544">
        <v>530</v>
      </c>
      <c r="E40" s="544">
        <v>530</v>
      </c>
      <c r="F40" s="544">
        <v>518</v>
      </c>
      <c r="G40" s="544">
        <v>543</v>
      </c>
      <c r="H40" s="544">
        <v>567</v>
      </c>
      <c r="I40" s="544">
        <v>668</v>
      </c>
      <c r="J40" s="544">
        <v>593</v>
      </c>
      <c r="K40" s="551">
        <v>543</v>
      </c>
      <c r="L40" s="551">
        <v>486</v>
      </c>
      <c r="M40" s="551">
        <v>528</v>
      </c>
      <c r="N40" s="1552">
        <v>535</v>
      </c>
    </row>
    <row r="41" spans="1:14" x14ac:dyDescent="0.25">
      <c r="A41" s="550" t="s">
        <v>96</v>
      </c>
      <c r="B41" s="540" t="s">
        <v>97</v>
      </c>
      <c r="C41" s="595" t="s">
        <v>266</v>
      </c>
      <c r="D41" s="544">
        <v>117</v>
      </c>
      <c r="E41" s="544">
        <v>166</v>
      </c>
      <c r="F41" s="544">
        <v>158</v>
      </c>
      <c r="G41" s="544">
        <v>178</v>
      </c>
      <c r="H41" s="544">
        <v>162</v>
      </c>
      <c r="I41" s="544">
        <v>222</v>
      </c>
      <c r="J41" s="544">
        <v>265</v>
      </c>
      <c r="K41" s="551">
        <v>230</v>
      </c>
      <c r="L41" s="551">
        <v>178</v>
      </c>
      <c r="M41" s="551">
        <v>121</v>
      </c>
      <c r="N41" s="1552">
        <v>127</v>
      </c>
    </row>
    <row r="42" spans="1:14" x14ac:dyDescent="0.25">
      <c r="A42" s="550" t="s">
        <v>98</v>
      </c>
      <c r="B42" s="540" t="s">
        <v>99</v>
      </c>
      <c r="C42" s="595" t="s">
        <v>268</v>
      </c>
      <c r="D42" s="544">
        <v>465</v>
      </c>
      <c r="E42" s="544">
        <v>481</v>
      </c>
      <c r="F42" s="544">
        <v>377</v>
      </c>
      <c r="G42" s="544">
        <v>253</v>
      </c>
      <c r="H42" s="544">
        <v>294</v>
      </c>
      <c r="I42" s="544">
        <v>312</v>
      </c>
      <c r="J42" s="544">
        <v>274</v>
      </c>
      <c r="K42" s="551">
        <v>263</v>
      </c>
      <c r="L42" s="551">
        <v>251</v>
      </c>
      <c r="M42" s="551">
        <v>251</v>
      </c>
      <c r="N42" s="1552">
        <v>196</v>
      </c>
    </row>
    <row r="43" spans="1:14" x14ac:dyDescent="0.25">
      <c r="A43" s="550" t="s">
        <v>100</v>
      </c>
      <c r="B43" s="540" t="s">
        <v>101</v>
      </c>
      <c r="C43" s="595" t="s">
        <v>267</v>
      </c>
      <c r="D43" s="544">
        <v>269</v>
      </c>
      <c r="E43" s="544">
        <v>305</v>
      </c>
      <c r="F43" s="544">
        <v>308</v>
      </c>
      <c r="G43" s="544">
        <v>248</v>
      </c>
      <c r="H43" s="544">
        <v>313</v>
      </c>
      <c r="I43" s="544">
        <v>328</v>
      </c>
      <c r="J43" s="544">
        <v>303</v>
      </c>
      <c r="K43" s="551">
        <v>286</v>
      </c>
      <c r="L43" s="551">
        <v>220</v>
      </c>
      <c r="M43" s="551">
        <v>202</v>
      </c>
      <c r="N43" s="1552">
        <v>246</v>
      </c>
    </row>
    <row r="44" spans="1:14" x14ac:dyDescent="0.25">
      <c r="A44" s="550" t="s">
        <v>102</v>
      </c>
      <c r="B44" s="540" t="s">
        <v>282</v>
      </c>
      <c r="C44" s="595" t="s">
        <v>264</v>
      </c>
      <c r="D44" s="544">
        <v>674</v>
      </c>
      <c r="E44" s="544">
        <v>824</v>
      </c>
      <c r="F44" s="544">
        <v>792</v>
      </c>
      <c r="G44" s="544">
        <v>851</v>
      </c>
      <c r="H44" s="544">
        <v>801</v>
      </c>
      <c r="I44" s="544">
        <v>824</v>
      </c>
      <c r="J44" s="544">
        <v>893</v>
      </c>
      <c r="K44" s="551">
        <v>803</v>
      </c>
      <c r="L44" s="551">
        <v>824</v>
      </c>
      <c r="M44" s="551">
        <v>834</v>
      </c>
      <c r="N44" s="1552">
        <v>707</v>
      </c>
    </row>
    <row r="45" spans="1:14" x14ac:dyDescent="0.25">
      <c r="A45" s="550" t="s">
        <v>104</v>
      </c>
      <c r="B45" s="540" t="s">
        <v>105</v>
      </c>
      <c r="C45" s="595" t="s">
        <v>265</v>
      </c>
      <c r="D45" s="544">
        <v>1533</v>
      </c>
      <c r="E45" s="544">
        <v>1532</v>
      </c>
      <c r="F45" s="544">
        <v>1472</v>
      </c>
      <c r="G45" s="544">
        <v>1418</v>
      </c>
      <c r="H45" s="544">
        <v>1374</v>
      </c>
      <c r="I45" s="544">
        <v>1362</v>
      </c>
      <c r="J45" s="544">
        <v>1324</v>
      </c>
      <c r="K45" s="551">
        <v>1150</v>
      </c>
      <c r="L45" s="551">
        <v>1053</v>
      </c>
      <c r="M45" s="551">
        <v>945</v>
      </c>
      <c r="N45" s="1552">
        <v>843</v>
      </c>
    </row>
    <row r="46" spans="1:14" x14ac:dyDescent="0.25">
      <c r="A46" s="550" t="s">
        <v>108</v>
      </c>
      <c r="B46" s="540" t="s">
        <v>109</v>
      </c>
      <c r="C46" s="595" t="s">
        <v>266</v>
      </c>
      <c r="D46" s="544">
        <v>794</v>
      </c>
      <c r="E46" s="544">
        <v>737</v>
      </c>
      <c r="F46" s="544">
        <v>708</v>
      </c>
      <c r="G46" s="544">
        <v>723</v>
      </c>
      <c r="H46" s="544">
        <v>820</v>
      </c>
      <c r="I46" s="544">
        <v>965</v>
      </c>
      <c r="J46" s="544">
        <v>988</v>
      </c>
      <c r="K46" s="551">
        <v>834</v>
      </c>
      <c r="L46" s="551">
        <v>731</v>
      </c>
      <c r="M46" s="551">
        <v>718</v>
      </c>
      <c r="N46" s="1552">
        <v>565</v>
      </c>
    </row>
    <row r="47" spans="1:14" x14ac:dyDescent="0.25">
      <c r="A47" s="550" t="s">
        <v>110</v>
      </c>
      <c r="B47" s="540" t="s">
        <v>111</v>
      </c>
      <c r="C47" s="595" t="s">
        <v>266</v>
      </c>
      <c r="D47" s="544">
        <v>6186</v>
      </c>
      <c r="E47" s="544">
        <v>6388</v>
      </c>
      <c r="F47" s="544">
        <v>6032</v>
      </c>
      <c r="G47" s="544">
        <v>5646</v>
      </c>
      <c r="H47" s="544">
        <v>6393</v>
      </c>
      <c r="I47" s="544">
        <v>7706</v>
      </c>
      <c r="J47" s="544">
        <v>7953</v>
      </c>
      <c r="K47" s="551">
        <v>7735</v>
      </c>
      <c r="L47" s="551">
        <v>6921</v>
      </c>
      <c r="M47" s="551">
        <v>6101</v>
      </c>
      <c r="N47" s="1552">
        <v>5482</v>
      </c>
    </row>
    <row r="48" spans="1:14" x14ac:dyDescent="0.25">
      <c r="A48" s="550" t="s">
        <v>112</v>
      </c>
      <c r="B48" s="540" t="s">
        <v>300</v>
      </c>
      <c r="C48" s="595" t="s">
        <v>265</v>
      </c>
      <c r="D48" s="544">
        <v>2840</v>
      </c>
      <c r="E48" s="544">
        <v>2769</v>
      </c>
      <c r="F48" s="544">
        <v>2605</v>
      </c>
      <c r="G48" s="544">
        <v>2515</v>
      </c>
      <c r="H48" s="544">
        <v>2783</v>
      </c>
      <c r="I48" s="544">
        <v>2992</v>
      </c>
      <c r="J48" s="544">
        <v>2932</v>
      </c>
      <c r="K48" s="551">
        <v>2620</v>
      </c>
      <c r="L48" s="551">
        <v>2347</v>
      </c>
      <c r="M48" s="551">
        <v>2085</v>
      </c>
      <c r="N48" s="1552">
        <v>1969</v>
      </c>
    </row>
    <row r="49" spans="1:14" x14ac:dyDescent="0.25">
      <c r="A49" s="550" t="s">
        <v>114</v>
      </c>
      <c r="B49" s="540" t="s">
        <v>115</v>
      </c>
      <c r="C49" s="595" t="s">
        <v>265</v>
      </c>
      <c r="D49" s="544">
        <v>21</v>
      </c>
      <c r="E49" s="544">
        <v>19</v>
      </c>
      <c r="F49" s="544">
        <v>11</v>
      </c>
      <c r="G49" s="544">
        <v>4</v>
      </c>
      <c r="H49" s="544">
        <v>4</v>
      </c>
      <c r="I49" s="544">
        <v>1</v>
      </c>
      <c r="J49" s="544">
        <v>6</v>
      </c>
      <c r="K49" s="551">
        <v>8</v>
      </c>
      <c r="L49" s="551">
        <v>12</v>
      </c>
      <c r="M49" s="551">
        <v>9</v>
      </c>
      <c r="N49" s="1552">
        <v>10</v>
      </c>
    </row>
    <row r="50" spans="1:14" x14ac:dyDescent="0.25">
      <c r="A50" s="550" t="s">
        <v>118</v>
      </c>
      <c r="B50" s="540" t="s">
        <v>270</v>
      </c>
      <c r="C50" s="595" t="s">
        <v>264</v>
      </c>
      <c r="D50" s="544">
        <v>655</v>
      </c>
      <c r="E50" s="544">
        <v>681</v>
      </c>
      <c r="F50" s="544">
        <v>635</v>
      </c>
      <c r="G50" s="544">
        <v>615</v>
      </c>
      <c r="H50" s="544">
        <v>711</v>
      </c>
      <c r="I50" s="544">
        <v>812</v>
      </c>
      <c r="J50" s="544">
        <v>832</v>
      </c>
      <c r="K50" s="551">
        <v>709</v>
      </c>
      <c r="L50" s="551">
        <v>632</v>
      </c>
      <c r="M50" s="551">
        <v>555</v>
      </c>
      <c r="N50" s="1552">
        <v>464</v>
      </c>
    </row>
    <row r="51" spans="1:14" x14ac:dyDescent="0.25">
      <c r="A51" s="550" t="s">
        <v>120</v>
      </c>
      <c r="B51" s="540" t="s">
        <v>121</v>
      </c>
      <c r="C51" s="595" t="s">
        <v>264</v>
      </c>
      <c r="D51" s="544">
        <v>624</v>
      </c>
      <c r="E51" s="544">
        <v>606</v>
      </c>
      <c r="F51" s="544">
        <v>522</v>
      </c>
      <c r="G51" s="544">
        <v>522</v>
      </c>
      <c r="H51" s="544">
        <v>624</v>
      </c>
      <c r="I51" s="544">
        <v>791</v>
      </c>
      <c r="J51" s="544">
        <v>820</v>
      </c>
      <c r="K51" s="551">
        <v>836</v>
      </c>
      <c r="L51" s="551">
        <v>881</v>
      </c>
      <c r="M51" s="551">
        <v>763</v>
      </c>
      <c r="N51" s="1552">
        <v>700</v>
      </c>
    </row>
    <row r="52" spans="1:14" x14ac:dyDescent="0.25">
      <c r="A52" s="550" t="s">
        <v>122</v>
      </c>
      <c r="B52" s="540" t="s">
        <v>287</v>
      </c>
      <c r="C52" s="595" t="s">
        <v>266</v>
      </c>
      <c r="D52" s="544">
        <v>163</v>
      </c>
      <c r="E52" s="544">
        <v>153</v>
      </c>
      <c r="F52" s="544">
        <v>130</v>
      </c>
      <c r="G52" s="544">
        <v>128</v>
      </c>
      <c r="H52" s="544">
        <v>147</v>
      </c>
      <c r="I52" s="544">
        <v>178</v>
      </c>
      <c r="J52" s="544">
        <v>162</v>
      </c>
      <c r="K52" s="551">
        <v>145</v>
      </c>
      <c r="L52" s="551">
        <v>133</v>
      </c>
      <c r="M52" s="551">
        <v>134</v>
      </c>
      <c r="N52" s="1552">
        <v>180</v>
      </c>
    </row>
    <row r="53" spans="1:14" x14ac:dyDescent="0.25">
      <c r="A53" s="550" t="s">
        <v>124</v>
      </c>
      <c r="B53" s="540" t="s">
        <v>125</v>
      </c>
      <c r="C53" s="595" t="s">
        <v>267</v>
      </c>
      <c r="D53" s="544">
        <v>176</v>
      </c>
      <c r="E53" s="544">
        <v>183</v>
      </c>
      <c r="F53" s="544">
        <v>209</v>
      </c>
      <c r="G53" s="544">
        <v>249</v>
      </c>
      <c r="H53" s="544">
        <v>234</v>
      </c>
      <c r="I53" s="544">
        <v>292</v>
      </c>
      <c r="J53" s="544">
        <v>330</v>
      </c>
      <c r="K53" s="551">
        <v>338</v>
      </c>
      <c r="L53" s="551">
        <v>367</v>
      </c>
      <c r="M53" s="551">
        <v>361</v>
      </c>
      <c r="N53" s="1552">
        <v>258</v>
      </c>
    </row>
    <row r="54" spans="1:14" x14ac:dyDescent="0.25">
      <c r="A54" s="550" t="s">
        <v>126</v>
      </c>
      <c r="B54" s="540" t="s">
        <v>127</v>
      </c>
      <c r="C54" s="595" t="s">
        <v>266</v>
      </c>
      <c r="D54" s="544">
        <v>241</v>
      </c>
      <c r="E54" s="544">
        <v>189</v>
      </c>
      <c r="F54" s="544">
        <v>193</v>
      </c>
      <c r="G54" s="544">
        <v>164</v>
      </c>
      <c r="H54" s="544">
        <v>215</v>
      </c>
      <c r="I54" s="544">
        <v>296</v>
      </c>
      <c r="J54" s="544">
        <v>295</v>
      </c>
      <c r="K54" s="551">
        <v>246</v>
      </c>
      <c r="L54" s="551">
        <v>231</v>
      </c>
      <c r="M54" s="551">
        <v>217</v>
      </c>
      <c r="N54" s="1552">
        <v>167</v>
      </c>
    </row>
    <row r="55" spans="1:14" x14ac:dyDescent="0.25">
      <c r="A55" s="550" t="s">
        <v>128</v>
      </c>
      <c r="B55" s="540" t="s">
        <v>129</v>
      </c>
      <c r="C55" s="595" t="s">
        <v>266</v>
      </c>
      <c r="D55" s="544">
        <v>286</v>
      </c>
      <c r="E55" s="544">
        <v>268</v>
      </c>
      <c r="F55" s="544">
        <v>216</v>
      </c>
      <c r="G55" s="544">
        <v>195</v>
      </c>
      <c r="H55" s="544">
        <v>250</v>
      </c>
      <c r="I55" s="544">
        <v>236</v>
      </c>
      <c r="J55" s="544">
        <v>250</v>
      </c>
      <c r="K55" s="551">
        <v>295</v>
      </c>
      <c r="L55" s="551">
        <v>216</v>
      </c>
      <c r="M55" s="551">
        <v>196</v>
      </c>
      <c r="N55" s="1552">
        <v>177</v>
      </c>
    </row>
    <row r="56" spans="1:14" x14ac:dyDescent="0.25">
      <c r="A56" s="550" t="s">
        <v>130</v>
      </c>
      <c r="B56" s="540" t="s">
        <v>131</v>
      </c>
      <c r="C56" s="595" t="s">
        <v>268</v>
      </c>
      <c r="D56" s="544">
        <v>1634</v>
      </c>
      <c r="E56" s="544">
        <v>1562</v>
      </c>
      <c r="F56" s="544">
        <v>1426</v>
      </c>
      <c r="G56" s="544">
        <v>1267</v>
      </c>
      <c r="H56" s="544">
        <v>1288</v>
      </c>
      <c r="I56" s="544">
        <v>1422</v>
      </c>
      <c r="J56" s="544">
        <v>1426</v>
      </c>
      <c r="K56" s="551">
        <v>1403</v>
      </c>
      <c r="L56" s="551">
        <v>1402</v>
      </c>
      <c r="M56" s="551">
        <v>1262</v>
      </c>
      <c r="N56" s="1552">
        <v>1098</v>
      </c>
    </row>
    <row r="57" spans="1:14" x14ac:dyDescent="0.25">
      <c r="A57" s="550" t="s">
        <v>132</v>
      </c>
      <c r="B57" s="540" t="s">
        <v>133</v>
      </c>
      <c r="C57" s="595" t="s">
        <v>267</v>
      </c>
      <c r="D57" s="544">
        <v>1331</v>
      </c>
      <c r="E57" s="544">
        <v>1415</v>
      </c>
      <c r="F57" s="544">
        <v>1409</v>
      </c>
      <c r="G57" s="544">
        <v>1550</v>
      </c>
      <c r="H57" s="544">
        <v>1690</v>
      </c>
      <c r="I57" s="544">
        <v>1838</v>
      </c>
      <c r="J57" s="544">
        <v>1554</v>
      </c>
      <c r="K57" s="551">
        <v>1523</v>
      </c>
      <c r="L57" s="551">
        <v>1438</v>
      </c>
      <c r="M57" s="551">
        <v>1298</v>
      </c>
      <c r="N57" s="1552">
        <v>1274</v>
      </c>
    </row>
    <row r="58" spans="1:14" x14ac:dyDescent="0.25">
      <c r="A58" s="550" t="s">
        <v>134</v>
      </c>
      <c r="B58" s="540" t="s">
        <v>135</v>
      </c>
      <c r="C58" s="595" t="s">
        <v>267</v>
      </c>
      <c r="D58" s="544">
        <v>558</v>
      </c>
      <c r="E58" s="544">
        <v>568</v>
      </c>
      <c r="F58" s="544">
        <v>558</v>
      </c>
      <c r="G58" s="544">
        <v>503</v>
      </c>
      <c r="H58" s="544">
        <v>578</v>
      </c>
      <c r="I58" s="544">
        <v>621</v>
      </c>
      <c r="J58" s="544">
        <v>651</v>
      </c>
      <c r="K58" s="551">
        <v>567</v>
      </c>
      <c r="L58" s="551">
        <v>603</v>
      </c>
      <c r="M58" s="551">
        <v>539</v>
      </c>
      <c r="N58" s="1552">
        <v>486</v>
      </c>
    </row>
    <row r="59" spans="1:14" x14ac:dyDescent="0.25">
      <c r="A59" s="550" t="s">
        <v>136</v>
      </c>
      <c r="B59" s="540" t="s">
        <v>137</v>
      </c>
      <c r="C59" s="595" t="s">
        <v>266</v>
      </c>
      <c r="D59" s="544">
        <v>225</v>
      </c>
      <c r="E59" s="544">
        <v>210</v>
      </c>
      <c r="F59" s="544">
        <v>187</v>
      </c>
      <c r="G59" s="544">
        <v>216</v>
      </c>
      <c r="H59" s="544">
        <v>229</v>
      </c>
      <c r="I59" s="544">
        <v>285</v>
      </c>
      <c r="J59" s="544">
        <v>349</v>
      </c>
      <c r="K59" s="551">
        <v>412</v>
      </c>
      <c r="L59" s="551">
        <v>336</v>
      </c>
      <c r="M59" s="551">
        <v>326</v>
      </c>
      <c r="N59" s="1552">
        <v>211</v>
      </c>
    </row>
    <row r="60" spans="1:14" x14ac:dyDescent="0.25">
      <c r="A60" s="550" t="s">
        <v>140</v>
      </c>
      <c r="B60" s="540" t="s">
        <v>141</v>
      </c>
      <c r="C60" s="595" t="s">
        <v>267</v>
      </c>
      <c r="D60" s="544">
        <v>182</v>
      </c>
      <c r="E60" s="544">
        <v>154</v>
      </c>
      <c r="F60" s="544">
        <v>187</v>
      </c>
      <c r="G60" s="544">
        <v>161</v>
      </c>
      <c r="H60" s="544">
        <v>197</v>
      </c>
      <c r="I60" s="544">
        <v>199</v>
      </c>
      <c r="J60" s="544">
        <v>173</v>
      </c>
      <c r="K60" s="551">
        <v>152</v>
      </c>
      <c r="L60" s="551">
        <v>143</v>
      </c>
      <c r="M60" s="551">
        <v>135</v>
      </c>
      <c r="N60" s="1552">
        <v>132</v>
      </c>
    </row>
    <row r="61" spans="1:14" x14ac:dyDescent="0.25">
      <c r="A61" s="550" t="s">
        <v>146</v>
      </c>
      <c r="B61" s="540" t="s">
        <v>147</v>
      </c>
      <c r="C61" s="595" t="s">
        <v>264</v>
      </c>
      <c r="D61" s="544">
        <v>118</v>
      </c>
      <c r="E61" s="544">
        <v>108</v>
      </c>
      <c r="F61" s="544">
        <v>110</v>
      </c>
      <c r="G61" s="544">
        <v>83</v>
      </c>
      <c r="H61" s="544">
        <v>107</v>
      </c>
      <c r="I61" s="544">
        <v>115</v>
      </c>
      <c r="J61" s="544">
        <v>121</v>
      </c>
      <c r="K61" s="551">
        <v>113</v>
      </c>
      <c r="L61" s="551">
        <v>123</v>
      </c>
      <c r="M61" s="551">
        <v>92</v>
      </c>
      <c r="N61" s="1552">
        <v>81</v>
      </c>
    </row>
    <row r="62" spans="1:14" x14ac:dyDescent="0.25">
      <c r="A62" s="550" t="s">
        <v>148</v>
      </c>
      <c r="B62" s="540" t="s">
        <v>149</v>
      </c>
      <c r="C62" s="595" t="s">
        <v>265</v>
      </c>
      <c r="D62" s="544">
        <v>932</v>
      </c>
      <c r="E62" s="544">
        <v>969</v>
      </c>
      <c r="F62" s="544">
        <v>862</v>
      </c>
      <c r="G62" s="544">
        <v>862</v>
      </c>
      <c r="H62" s="544">
        <v>930</v>
      </c>
      <c r="I62" s="544">
        <v>1009</v>
      </c>
      <c r="J62" s="544">
        <v>920</v>
      </c>
      <c r="K62" s="551">
        <v>814</v>
      </c>
      <c r="L62" s="551">
        <v>814</v>
      </c>
      <c r="M62" s="551">
        <v>813</v>
      </c>
      <c r="N62" s="1552">
        <v>630</v>
      </c>
    </row>
    <row r="63" spans="1:14" x14ac:dyDescent="0.25">
      <c r="A63" s="550" t="s">
        <v>150</v>
      </c>
      <c r="B63" s="540" t="s">
        <v>151</v>
      </c>
      <c r="C63" s="595" t="s">
        <v>266</v>
      </c>
      <c r="D63" s="544">
        <v>178</v>
      </c>
      <c r="E63" s="544">
        <v>215</v>
      </c>
      <c r="F63" s="544">
        <v>195</v>
      </c>
      <c r="G63" s="544">
        <v>146</v>
      </c>
      <c r="H63" s="544">
        <v>221</v>
      </c>
      <c r="I63" s="544">
        <v>258</v>
      </c>
      <c r="J63" s="544">
        <v>222</v>
      </c>
      <c r="K63" s="551">
        <v>253</v>
      </c>
      <c r="L63" s="551">
        <v>282</v>
      </c>
      <c r="M63" s="551">
        <v>331</v>
      </c>
      <c r="N63" s="1552">
        <v>232</v>
      </c>
    </row>
    <row r="64" spans="1:14" x14ac:dyDescent="0.25">
      <c r="A64" s="550" t="s">
        <v>152</v>
      </c>
      <c r="B64" s="540" t="s">
        <v>153</v>
      </c>
      <c r="C64" s="595" t="s">
        <v>268</v>
      </c>
      <c r="D64" s="544">
        <v>1868</v>
      </c>
      <c r="E64" s="544">
        <v>1987</v>
      </c>
      <c r="F64" s="544">
        <v>1890</v>
      </c>
      <c r="G64" s="544">
        <v>1717</v>
      </c>
      <c r="H64" s="544">
        <v>1897</v>
      </c>
      <c r="I64" s="544">
        <v>2045</v>
      </c>
      <c r="J64" s="544">
        <v>2069</v>
      </c>
      <c r="K64" s="551">
        <v>1851</v>
      </c>
      <c r="L64" s="551">
        <v>1570</v>
      </c>
      <c r="M64" s="551">
        <v>1421</v>
      </c>
      <c r="N64" s="1552">
        <v>1129</v>
      </c>
    </row>
    <row r="65" spans="1:14" x14ac:dyDescent="0.25">
      <c r="A65" s="550" t="s">
        <v>154</v>
      </c>
      <c r="B65" s="540" t="s">
        <v>155</v>
      </c>
      <c r="C65" s="595" t="s">
        <v>265</v>
      </c>
      <c r="D65" s="544">
        <v>173</v>
      </c>
      <c r="E65" s="544">
        <v>182</v>
      </c>
      <c r="F65" s="544">
        <v>225</v>
      </c>
      <c r="G65" s="544">
        <v>172</v>
      </c>
      <c r="H65" s="544">
        <v>214</v>
      </c>
      <c r="I65" s="544">
        <v>229</v>
      </c>
      <c r="J65" s="544">
        <v>212</v>
      </c>
      <c r="K65" s="551">
        <v>241</v>
      </c>
      <c r="L65" s="551">
        <v>217</v>
      </c>
      <c r="M65" s="551">
        <v>189</v>
      </c>
      <c r="N65" s="1552">
        <v>189</v>
      </c>
    </row>
    <row r="66" spans="1:14" x14ac:dyDescent="0.25">
      <c r="A66" s="550" t="s">
        <v>156</v>
      </c>
      <c r="B66" s="540" t="s">
        <v>157</v>
      </c>
      <c r="C66" s="595" t="s">
        <v>266</v>
      </c>
      <c r="D66" s="544">
        <v>219</v>
      </c>
      <c r="E66" s="544">
        <v>197</v>
      </c>
      <c r="F66" s="544">
        <v>159</v>
      </c>
      <c r="G66" s="544">
        <v>166</v>
      </c>
      <c r="H66" s="544">
        <v>197</v>
      </c>
      <c r="I66" s="544">
        <v>198</v>
      </c>
      <c r="J66" s="544">
        <v>238</v>
      </c>
      <c r="K66" s="551">
        <v>266</v>
      </c>
      <c r="L66" s="551">
        <v>219</v>
      </c>
      <c r="M66" s="551">
        <v>196</v>
      </c>
      <c r="N66" s="1552">
        <v>196</v>
      </c>
    </row>
    <row r="67" spans="1:14" x14ac:dyDescent="0.25">
      <c r="A67" s="550" t="s">
        <v>162</v>
      </c>
      <c r="B67" s="540" t="s">
        <v>163</v>
      </c>
      <c r="C67" s="595" t="s">
        <v>264</v>
      </c>
      <c r="D67" s="544">
        <v>587</v>
      </c>
      <c r="E67" s="544">
        <v>621</v>
      </c>
      <c r="F67" s="544">
        <v>596</v>
      </c>
      <c r="G67" s="544">
        <v>557</v>
      </c>
      <c r="H67" s="544">
        <v>560</v>
      </c>
      <c r="I67" s="544">
        <v>561</v>
      </c>
      <c r="J67" s="544">
        <v>615</v>
      </c>
      <c r="K67" s="551">
        <v>552</v>
      </c>
      <c r="L67" s="551">
        <v>491</v>
      </c>
      <c r="M67" s="551">
        <v>428</v>
      </c>
      <c r="N67" s="1552">
        <v>378</v>
      </c>
    </row>
    <row r="68" spans="1:14" x14ac:dyDescent="0.25">
      <c r="A68" s="550" t="s">
        <v>164</v>
      </c>
      <c r="B68" s="540" t="s">
        <v>165</v>
      </c>
      <c r="C68" s="595" t="s">
        <v>266</v>
      </c>
      <c r="D68" s="544">
        <v>199</v>
      </c>
      <c r="E68" s="544">
        <v>187</v>
      </c>
      <c r="F68" s="544">
        <v>186</v>
      </c>
      <c r="G68" s="544">
        <v>174</v>
      </c>
      <c r="H68" s="544">
        <v>147</v>
      </c>
      <c r="I68" s="544">
        <v>144</v>
      </c>
      <c r="J68" s="544">
        <v>168</v>
      </c>
      <c r="K68" s="551">
        <v>168</v>
      </c>
      <c r="L68" s="551">
        <v>194</v>
      </c>
      <c r="M68" s="551">
        <v>182</v>
      </c>
      <c r="N68" s="1552">
        <v>177</v>
      </c>
    </row>
    <row r="69" spans="1:14" x14ac:dyDescent="0.25">
      <c r="A69" s="550" t="s">
        <v>168</v>
      </c>
      <c r="B69" s="540" t="s">
        <v>169</v>
      </c>
      <c r="C69" s="595" t="s">
        <v>266</v>
      </c>
      <c r="D69" s="544">
        <v>572</v>
      </c>
      <c r="E69" s="544">
        <v>683</v>
      </c>
      <c r="F69" s="544">
        <v>754</v>
      </c>
      <c r="G69" s="544">
        <v>692</v>
      </c>
      <c r="H69" s="544">
        <v>686</v>
      </c>
      <c r="I69" s="544">
        <v>652</v>
      </c>
      <c r="J69" s="544">
        <v>719</v>
      </c>
      <c r="K69" s="551">
        <v>730</v>
      </c>
      <c r="L69" s="551">
        <v>737</v>
      </c>
      <c r="M69" s="551">
        <v>653</v>
      </c>
      <c r="N69" s="1552">
        <v>522</v>
      </c>
    </row>
    <row r="70" spans="1:14" x14ac:dyDescent="0.25">
      <c r="A70" s="550" t="s">
        <v>170</v>
      </c>
      <c r="B70" s="540" t="s">
        <v>171</v>
      </c>
      <c r="C70" s="595" t="s">
        <v>267</v>
      </c>
      <c r="D70" s="544">
        <v>475</v>
      </c>
      <c r="E70" s="544">
        <v>447</v>
      </c>
      <c r="F70" s="544">
        <v>404</v>
      </c>
      <c r="G70" s="544">
        <v>421</v>
      </c>
      <c r="H70" s="544">
        <v>434</v>
      </c>
      <c r="I70" s="544">
        <v>463</v>
      </c>
      <c r="J70" s="544">
        <v>466</v>
      </c>
      <c r="K70" s="551">
        <v>433</v>
      </c>
      <c r="L70" s="551">
        <v>393</v>
      </c>
      <c r="M70" s="551">
        <v>408</v>
      </c>
      <c r="N70" s="1552">
        <v>437</v>
      </c>
    </row>
    <row r="71" spans="1:14" x14ac:dyDescent="0.25">
      <c r="A71" s="550" t="s">
        <v>172</v>
      </c>
      <c r="B71" s="540" t="s">
        <v>173</v>
      </c>
      <c r="C71" s="595" t="s">
        <v>267</v>
      </c>
      <c r="D71" s="544">
        <v>384</v>
      </c>
      <c r="E71" s="544">
        <v>396</v>
      </c>
      <c r="F71" s="544">
        <v>326</v>
      </c>
      <c r="G71" s="544">
        <v>289</v>
      </c>
      <c r="H71" s="544">
        <v>428</v>
      </c>
      <c r="I71" s="544">
        <v>555</v>
      </c>
      <c r="J71" s="544">
        <v>522</v>
      </c>
      <c r="K71" s="551">
        <v>443</v>
      </c>
      <c r="L71" s="551">
        <v>385</v>
      </c>
      <c r="M71" s="551">
        <v>323</v>
      </c>
      <c r="N71" s="1552">
        <v>237</v>
      </c>
    </row>
    <row r="72" spans="1:14" x14ac:dyDescent="0.25">
      <c r="A72" s="550" t="s">
        <v>174</v>
      </c>
      <c r="B72" s="540" t="s">
        <v>175</v>
      </c>
      <c r="C72" s="595" t="s">
        <v>268</v>
      </c>
      <c r="D72" s="544">
        <v>749</v>
      </c>
      <c r="E72" s="544">
        <v>780</v>
      </c>
      <c r="F72" s="544">
        <v>731</v>
      </c>
      <c r="G72" s="544">
        <v>664</v>
      </c>
      <c r="H72" s="544">
        <v>653</v>
      </c>
      <c r="I72" s="544">
        <v>614</v>
      </c>
      <c r="J72" s="544">
        <v>623</v>
      </c>
      <c r="K72" s="551">
        <v>664</v>
      </c>
      <c r="L72" s="551">
        <v>539</v>
      </c>
      <c r="M72" s="551">
        <v>508</v>
      </c>
      <c r="N72" s="1552">
        <v>438</v>
      </c>
    </row>
    <row r="73" spans="1:14" x14ac:dyDescent="0.25">
      <c r="A73" s="550" t="s">
        <v>178</v>
      </c>
      <c r="B73" s="540" t="s">
        <v>179</v>
      </c>
      <c r="C73" s="595" t="s">
        <v>265</v>
      </c>
      <c r="D73" s="544">
        <v>1510</v>
      </c>
      <c r="E73" s="544">
        <v>1453</v>
      </c>
      <c r="F73" s="544">
        <v>1360</v>
      </c>
      <c r="G73" s="544">
        <v>1292</v>
      </c>
      <c r="H73" s="544">
        <v>1380</v>
      </c>
      <c r="I73" s="544">
        <v>1418</v>
      </c>
      <c r="J73" s="544">
        <v>1355</v>
      </c>
      <c r="K73" s="551">
        <v>1273</v>
      </c>
      <c r="L73" s="551">
        <v>1191</v>
      </c>
      <c r="M73" s="551">
        <v>1137</v>
      </c>
      <c r="N73" s="1552">
        <v>940</v>
      </c>
    </row>
    <row r="74" spans="1:14" x14ac:dyDescent="0.25">
      <c r="A74" s="550" t="s">
        <v>182</v>
      </c>
      <c r="B74" s="540" t="s">
        <v>183</v>
      </c>
      <c r="C74" s="595" t="s">
        <v>266</v>
      </c>
      <c r="D74" s="544">
        <v>186</v>
      </c>
      <c r="E74" s="544">
        <v>217</v>
      </c>
      <c r="F74" s="544">
        <v>169</v>
      </c>
      <c r="G74" s="544">
        <v>183</v>
      </c>
      <c r="H74" s="544">
        <v>192</v>
      </c>
      <c r="I74" s="544">
        <v>188</v>
      </c>
      <c r="J74" s="544">
        <v>268</v>
      </c>
      <c r="K74" s="551">
        <v>244</v>
      </c>
      <c r="L74" s="551">
        <v>246</v>
      </c>
      <c r="M74" s="551">
        <v>194</v>
      </c>
      <c r="N74" s="1552">
        <v>176</v>
      </c>
    </row>
    <row r="75" spans="1:14" x14ac:dyDescent="0.25">
      <c r="A75" s="550" t="s">
        <v>184</v>
      </c>
      <c r="B75" s="540" t="s">
        <v>185</v>
      </c>
      <c r="C75" s="595" t="s">
        <v>266</v>
      </c>
      <c r="D75" s="544">
        <v>687</v>
      </c>
      <c r="E75" s="544">
        <v>799</v>
      </c>
      <c r="F75" s="544">
        <v>779</v>
      </c>
      <c r="G75" s="544">
        <v>726</v>
      </c>
      <c r="H75" s="544">
        <v>729</v>
      </c>
      <c r="I75" s="544">
        <v>822</v>
      </c>
      <c r="J75" s="544">
        <v>795</v>
      </c>
      <c r="K75" s="551">
        <v>700</v>
      </c>
      <c r="L75" s="551">
        <v>766</v>
      </c>
      <c r="M75" s="551">
        <v>680</v>
      </c>
      <c r="N75" s="1552">
        <v>563</v>
      </c>
    </row>
    <row r="76" spans="1:14" x14ac:dyDescent="0.25">
      <c r="A76" s="550" t="s">
        <v>186</v>
      </c>
      <c r="B76" s="540" t="s">
        <v>187</v>
      </c>
      <c r="C76" s="595" t="s">
        <v>264</v>
      </c>
      <c r="D76" s="544">
        <v>472</v>
      </c>
      <c r="E76" s="544">
        <v>535</v>
      </c>
      <c r="F76" s="544">
        <v>522</v>
      </c>
      <c r="G76" s="544">
        <v>508</v>
      </c>
      <c r="H76" s="544">
        <v>558</v>
      </c>
      <c r="I76" s="544">
        <v>546</v>
      </c>
      <c r="J76" s="544">
        <v>502</v>
      </c>
      <c r="K76" s="551">
        <v>465</v>
      </c>
      <c r="L76" s="551">
        <v>471</v>
      </c>
      <c r="M76" s="551">
        <v>466</v>
      </c>
      <c r="N76" s="1552">
        <v>510</v>
      </c>
    </row>
    <row r="77" spans="1:14" x14ac:dyDescent="0.25">
      <c r="A77" s="550" t="s">
        <v>188</v>
      </c>
      <c r="B77" s="540" t="s">
        <v>189</v>
      </c>
      <c r="C77" s="595" t="s">
        <v>267</v>
      </c>
      <c r="D77" s="544">
        <v>6216</v>
      </c>
      <c r="E77" s="544">
        <v>6226</v>
      </c>
      <c r="F77" s="544">
        <v>5952</v>
      </c>
      <c r="G77" s="544">
        <v>5958</v>
      </c>
      <c r="H77" s="544">
        <v>6900</v>
      </c>
      <c r="I77" s="544">
        <v>7959</v>
      </c>
      <c r="J77" s="544">
        <v>7877</v>
      </c>
      <c r="K77" s="551">
        <v>7093</v>
      </c>
      <c r="L77" s="551">
        <v>6379</v>
      </c>
      <c r="M77" s="551">
        <v>5702</v>
      </c>
      <c r="N77" s="1552">
        <v>4887</v>
      </c>
    </row>
    <row r="78" spans="1:14" x14ac:dyDescent="0.25">
      <c r="A78" s="550" t="s">
        <v>190</v>
      </c>
      <c r="B78" s="540" t="s">
        <v>191</v>
      </c>
      <c r="C78" s="595" t="s">
        <v>268</v>
      </c>
      <c r="D78" s="544">
        <v>1078</v>
      </c>
      <c r="E78" s="544">
        <v>988</v>
      </c>
      <c r="F78" s="544">
        <v>1030</v>
      </c>
      <c r="G78" s="544">
        <v>954</v>
      </c>
      <c r="H78" s="544">
        <v>992</v>
      </c>
      <c r="I78" s="544">
        <v>1043</v>
      </c>
      <c r="J78" s="544">
        <v>1048</v>
      </c>
      <c r="K78" s="551">
        <v>992</v>
      </c>
      <c r="L78" s="551">
        <v>866</v>
      </c>
      <c r="M78" s="551">
        <v>814</v>
      </c>
      <c r="N78" s="1552">
        <v>654</v>
      </c>
    </row>
    <row r="79" spans="1:14" x14ac:dyDescent="0.25">
      <c r="A79" s="550" t="s">
        <v>194</v>
      </c>
      <c r="B79" s="540" t="s">
        <v>195</v>
      </c>
      <c r="C79" s="595" t="s">
        <v>267</v>
      </c>
      <c r="D79" s="544">
        <v>41</v>
      </c>
      <c r="E79" s="544">
        <v>26</v>
      </c>
      <c r="F79" s="544">
        <v>26</v>
      </c>
      <c r="G79" s="544">
        <v>51</v>
      </c>
      <c r="H79" s="544">
        <v>54</v>
      </c>
      <c r="I79" s="544">
        <v>29</v>
      </c>
      <c r="J79" s="544">
        <v>38</v>
      </c>
      <c r="K79" s="551">
        <v>47</v>
      </c>
      <c r="L79" s="551">
        <v>66</v>
      </c>
      <c r="M79" s="551">
        <v>54</v>
      </c>
      <c r="N79" s="1552">
        <v>52</v>
      </c>
    </row>
    <row r="80" spans="1:14" x14ac:dyDescent="0.25">
      <c r="A80" s="550" t="s">
        <v>198</v>
      </c>
      <c r="B80" s="540" t="s">
        <v>272</v>
      </c>
      <c r="C80" s="595" t="s">
        <v>266</v>
      </c>
      <c r="D80" s="544">
        <v>255</v>
      </c>
      <c r="E80" s="544">
        <v>236</v>
      </c>
      <c r="F80" s="544">
        <v>218</v>
      </c>
      <c r="G80" s="544">
        <v>190</v>
      </c>
      <c r="H80" s="544">
        <v>213</v>
      </c>
      <c r="I80" s="544">
        <v>212</v>
      </c>
      <c r="J80" s="544">
        <v>198</v>
      </c>
      <c r="K80" s="551">
        <v>208</v>
      </c>
      <c r="L80" s="551">
        <v>227</v>
      </c>
      <c r="M80" s="551">
        <v>216</v>
      </c>
      <c r="N80" s="1552">
        <v>183</v>
      </c>
    </row>
    <row r="81" spans="1:14" x14ac:dyDescent="0.25">
      <c r="A81" s="550" t="s">
        <v>202</v>
      </c>
      <c r="B81" s="540" t="s">
        <v>301</v>
      </c>
      <c r="C81" s="595" t="s">
        <v>265</v>
      </c>
      <c r="D81" s="544">
        <v>1383</v>
      </c>
      <c r="E81" s="544">
        <v>1386</v>
      </c>
      <c r="F81" s="544">
        <v>1438</v>
      </c>
      <c r="G81" s="544">
        <v>1467</v>
      </c>
      <c r="H81" s="544">
        <v>1623</v>
      </c>
      <c r="I81" s="544">
        <v>1762</v>
      </c>
      <c r="J81" s="544">
        <v>1720</v>
      </c>
      <c r="K81" s="551">
        <v>1527</v>
      </c>
      <c r="L81" s="551">
        <v>1394</v>
      </c>
      <c r="M81" s="551">
        <v>1281</v>
      </c>
      <c r="N81" s="1552">
        <v>1056</v>
      </c>
    </row>
    <row r="82" spans="1:14" x14ac:dyDescent="0.25">
      <c r="A82" s="550" t="s">
        <v>204</v>
      </c>
      <c r="B82" s="540" t="s">
        <v>293</v>
      </c>
      <c r="C82" s="595" t="s">
        <v>265</v>
      </c>
      <c r="D82" s="544">
        <v>470</v>
      </c>
      <c r="E82" s="544">
        <v>430</v>
      </c>
      <c r="F82" s="544">
        <v>383</v>
      </c>
      <c r="G82" s="544">
        <v>330</v>
      </c>
      <c r="H82" s="544">
        <v>434</v>
      </c>
      <c r="I82" s="544">
        <v>443</v>
      </c>
      <c r="J82" s="544">
        <v>529</v>
      </c>
      <c r="K82" s="551">
        <v>420</v>
      </c>
      <c r="L82" s="551">
        <v>381</v>
      </c>
      <c r="M82" s="551">
        <v>396</v>
      </c>
      <c r="N82" s="1552">
        <v>303</v>
      </c>
    </row>
    <row r="83" spans="1:14" x14ac:dyDescent="0.25">
      <c r="A83" s="550" t="s">
        <v>206</v>
      </c>
      <c r="B83" s="540" t="s">
        <v>294</v>
      </c>
      <c r="C83" s="595" t="s">
        <v>267</v>
      </c>
      <c r="D83" s="544">
        <v>1680</v>
      </c>
      <c r="E83" s="544">
        <v>1967</v>
      </c>
      <c r="F83" s="544">
        <v>1842</v>
      </c>
      <c r="G83" s="544">
        <v>1676</v>
      </c>
      <c r="H83" s="544">
        <v>1758</v>
      </c>
      <c r="I83" s="544">
        <v>2208</v>
      </c>
      <c r="J83" s="544">
        <v>2243</v>
      </c>
      <c r="K83" s="551">
        <v>2001</v>
      </c>
      <c r="L83" s="551">
        <v>1886</v>
      </c>
      <c r="M83" s="551">
        <v>1636</v>
      </c>
      <c r="N83" s="1552">
        <v>1332</v>
      </c>
    </row>
    <row r="84" spans="1:14" x14ac:dyDescent="0.25">
      <c r="A84" s="550" t="s">
        <v>208</v>
      </c>
      <c r="B84" s="540" t="s">
        <v>209</v>
      </c>
      <c r="C84" s="595" t="s">
        <v>268</v>
      </c>
      <c r="D84" s="544">
        <v>1511</v>
      </c>
      <c r="E84" s="544">
        <v>1462</v>
      </c>
      <c r="F84" s="544">
        <v>1360</v>
      </c>
      <c r="G84" s="544">
        <v>1245</v>
      </c>
      <c r="H84" s="544">
        <v>1306</v>
      </c>
      <c r="I84" s="544">
        <v>1411</v>
      </c>
      <c r="J84" s="544">
        <v>1293</v>
      </c>
      <c r="K84" s="551">
        <v>1113</v>
      </c>
      <c r="L84" s="551">
        <v>1094</v>
      </c>
      <c r="M84" s="551">
        <v>1050</v>
      </c>
      <c r="N84" s="1552">
        <v>836</v>
      </c>
    </row>
    <row r="85" spans="1:14" x14ac:dyDescent="0.25">
      <c r="A85" s="550" t="s">
        <v>210</v>
      </c>
      <c r="B85" s="540" t="s">
        <v>211</v>
      </c>
      <c r="C85" s="595" t="s">
        <v>268</v>
      </c>
      <c r="D85" s="544">
        <v>1054</v>
      </c>
      <c r="E85" s="544">
        <v>983</v>
      </c>
      <c r="F85" s="544">
        <v>991</v>
      </c>
      <c r="G85" s="544">
        <v>916</v>
      </c>
      <c r="H85" s="544">
        <v>1020</v>
      </c>
      <c r="I85" s="544">
        <v>1100</v>
      </c>
      <c r="J85" s="544">
        <v>1051</v>
      </c>
      <c r="K85" s="551">
        <v>963</v>
      </c>
      <c r="L85" s="551">
        <v>829</v>
      </c>
      <c r="M85" s="551">
        <v>768</v>
      </c>
      <c r="N85" s="1552">
        <v>700</v>
      </c>
    </row>
    <row r="86" spans="1:14" x14ac:dyDescent="0.25">
      <c r="A86" s="550" t="s">
        <v>212</v>
      </c>
      <c r="B86" s="540" t="s">
        <v>213</v>
      </c>
      <c r="C86" s="595" t="s">
        <v>267</v>
      </c>
      <c r="D86" s="544">
        <v>244</v>
      </c>
      <c r="E86" s="544">
        <v>287</v>
      </c>
      <c r="F86" s="544">
        <v>227</v>
      </c>
      <c r="G86" s="544">
        <v>244</v>
      </c>
      <c r="H86" s="544">
        <v>358</v>
      </c>
      <c r="I86" s="544">
        <v>320</v>
      </c>
      <c r="J86" s="544">
        <v>386</v>
      </c>
      <c r="K86" s="551">
        <v>397</v>
      </c>
      <c r="L86" s="551">
        <v>329</v>
      </c>
      <c r="M86" s="551">
        <v>297</v>
      </c>
      <c r="N86" s="1552">
        <v>316</v>
      </c>
    </row>
    <row r="87" spans="1:14" x14ac:dyDescent="0.25">
      <c r="A87" s="550" t="s">
        <v>214</v>
      </c>
      <c r="B87" s="540" t="s">
        <v>215</v>
      </c>
      <c r="C87" s="595" t="s">
        <v>268</v>
      </c>
      <c r="D87" s="544">
        <v>925</v>
      </c>
      <c r="E87" s="544">
        <v>967</v>
      </c>
      <c r="F87" s="544">
        <v>907</v>
      </c>
      <c r="G87" s="544">
        <v>867</v>
      </c>
      <c r="H87" s="544">
        <v>1069</v>
      </c>
      <c r="I87" s="544">
        <v>1173</v>
      </c>
      <c r="J87" s="544">
        <v>1214</v>
      </c>
      <c r="K87" s="551">
        <v>1138</v>
      </c>
      <c r="L87" s="551">
        <v>1054</v>
      </c>
      <c r="M87" s="551">
        <v>976</v>
      </c>
      <c r="N87" s="1552">
        <v>893</v>
      </c>
    </row>
    <row r="88" spans="1:14" x14ac:dyDescent="0.25">
      <c r="A88" s="550" t="s">
        <v>216</v>
      </c>
      <c r="B88" s="540" t="s">
        <v>217</v>
      </c>
      <c r="C88" s="595" t="s">
        <v>264</v>
      </c>
      <c r="D88" s="544">
        <v>598</v>
      </c>
      <c r="E88" s="544">
        <v>637</v>
      </c>
      <c r="F88" s="544">
        <v>632</v>
      </c>
      <c r="G88" s="544">
        <v>654</v>
      </c>
      <c r="H88" s="544">
        <v>663</v>
      </c>
      <c r="I88" s="544">
        <v>663</v>
      </c>
      <c r="J88" s="544">
        <v>699</v>
      </c>
      <c r="K88" s="551">
        <v>676</v>
      </c>
      <c r="L88" s="551">
        <v>565</v>
      </c>
      <c r="M88" s="551">
        <v>463</v>
      </c>
      <c r="N88" s="1552">
        <v>376</v>
      </c>
    </row>
    <row r="89" spans="1:14" x14ac:dyDescent="0.25">
      <c r="A89" s="550" t="s">
        <v>218</v>
      </c>
      <c r="B89" s="540" t="s">
        <v>219</v>
      </c>
      <c r="C89" s="595" t="s">
        <v>267</v>
      </c>
      <c r="D89" s="544">
        <v>1133</v>
      </c>
      <c r="E89" s="544">
        <v>1185</v>
      </c>
      <c r="F89" s="544">
        <v>1321</v>
      </c>
      <c r="G89" s="544">
        <v>1442</v>
      </c>
      <c r="H89" s="544">
        <v>1898</v>
      </c>
      <c r="I89" s="544">
        <v>2280</v>
      </c>
      <c r="J89" s="544">
        <v>2468</v>
      </c>
      <c r="K89" s="551">
        <v>2343</v>
      </c>
      <c r="L89" s="551">
        <v>2149</v>
      </c>
      <c r="M89" s="551">
        <v>2019</v>
      </c>
      <c r="N89" s="1552">
        <v>1948</v>
      </c>
    </row>
    <row r="90" spans="1:14" x14ac:dyDescent="0.25">
      <c r="A90" s="550" t="s">
        <v>220</v>
      </c>
      <c r="B90" s="540" t="s">
        <v>221</v>
      </c>
      <c r="C90" s="595" t="s">
        <v>267</v>
      </c>
      <c r="D90" s="544">
        <v>1124</v>
      </c>
      <c r="E90" s="544">
        <v>1355</v>
      </c>
      <c r="F90" s="544">
        <v>1465</v>
      </c>
      <c r="G90" s="544">
        <v>1623</v>
      </c>
      <c r="H90" s="544">
        <v>1806</v>
      </c>
      <c r="I90" s="544">
        <v>1842</v>
      </c>
      <c r="J90" s="544">
        <v>1799</v>
      </c>
      <c r="K90" s="551">
        <v>1866</v>
      </c>
      <c r="L90" s="551">
        <v>1840</v>
      </c>
      <c r="M90" s="551">
        <v>1580</v>
      </c>
      <c r="N90" s="1552">
        <v>1492</v>
      </c>
    </row>
    <row r="91" spans="1:14" x14ac:dyDescent="0.25">
      <c r="A91" s="550" t="s">
        <v>224</v>
      </c>
      <c r="B91" s="540" t="s">
        <v>225</v>
      </c>
      <c r="C91" s="595" t="s">
        <v>264</v>
      </c>
      <c r="D91" s="544">
        <v>179</v>
      </c>
      <c r="E91" s="544">
        <v>218</v>
      </c>
      <c r="F91" s="544">
        <v>181</v>
      </c>
      <c r="G91" s="544">
        <v>145</v>
      </c>
      <c r="H91" s="544">
        <v>221</v>
      </c>
      <c r="I91" s="544">
        <v>290</v>
      </c>
      <c r="J91" s="544">
        <v>261</v>
      </c>
      <c r="K91" s="551">
        <v>237</v>
      </c>
      <c r="L91" s="551">
        <v>229</v>
      </c>
      <c r="M91" s="551">
        <v>195</v>
      </c>
      <c r="N91" s="1552">
        <v>165</v>
      </c>
    </row>
    <row r="92" spans="1:14" x14ac:dyDescent="0.25">
      <c r="A92" s="550" t="s">
        <v>226</v>
      </c>
      <c r="B92" s="540" t="s">
        <v>227</v>
      </c>
      <c r="C92" s="595" t="s">
        <v>264</v>
      </c>
      <c r="D92" s="544">
        <v>410</v>
      </c>
      <c r="E92" s="544">
        <v>443</v>
      </c>
      <c r="F92" s="544">
        <v>451</v>
      </c>
      <c r="G92" s="544">
        <v>443</v>
      </c>
      <c r="H92" s="544">
        <v>414</v>
      </c>
      <c r="I92" s="544">
        <v>434</v>
      </c>
      <c r="J92" s="544">
        <v>433</v>
      </c>
      <c r="K92" s="551">
        <v>406</v>
      </c>
      <c r="L92" s="551">
        <v>354</v>
      </c>
      <c r="M92" s="551">
        <v>404</v>
      </c>
      <c r="N92" s="1552">
        <v>368</v>
      </c>
    </row>
    <row r="93" spans="1:14" x14ac:dyDescent="0.25">
      <c r="A93" s="550" t="s">
        <v>228</v>
      </c>
      <c r="B93" s="540" t="s">
        <v>229</v>
      </c>
      <c r="C93" s="595" t="s">
        <v>268</v>
      </c>
      <c r="D93" s="544">
        <v>2148</v>
      </c>
      <c r="E93" s="544">
        <v>1963</v>
      </c>
      <c r="F93" s="544">
        <v>1851</v>
      </c>
      <c r="G93" s="544">
        <v>1615</v>
      </c>
      <c r="H93" s="544">
        <v>1584</v>
      </c>
      <c r="I93" s="544">
        <v>1696</v>
      </c>
      <c r="J93" s="544">
        <v>1454</v>
      </c>
      <c r="K93" s="551">
        <v>1398</v>
      </c>
      <c r="L93" s="551">
        <v>1290</v>
      </c>
      <c r="M93" s="551">
        <v>1183</v>
      </c>
      <c r="N93" s="1552">
        <v>990</v>
      </c>
    </row>
    <row r="94" spans="1:14" x14ac:dyDescent="0.25">
      <c r="A94" s="550" t="s">
        <v>232</v>
      </c>
      <c r="B94" s="540" t="s">
        <v>233</v>
      </c>
      <c r="C94" s="595" t="s">
        <v>267</v>
      </c>
      <c r="D94" s="544">
        <v>540</v>
      </c>
      <c r="E94" s="544">
        <v>535</v>
      </c>
      <c r="F94" s="544">
        <v>495</v>
      </c>
      <c r="G94" s="544">
        <v>512</v>
      </c>
      <c r="H94" s="544">
        <v>731</v>
      </c>
      <c r="I94" s="544">
        <v>773</v>
      </c>
      <c r="J94" s="544">
        <v>767</v>
      </c>
      <c r="K94" s="551">
        <v>718</v>
      </c>
      <c r="L94" s="551">
        <v>687</v>
      </c>
      <c r="M94" s="551">
        <v>632</v>
      </c>
      <c r="N94" s="1552">
        <v>529</v>
      </c>
    </row>
    <row r="95" spans="1:14" x14ac:dyDescent="0.25">
      <c r="A95" s="550" t="s">
        <v>234</v>
      </c>
      <c r="B95" s="540" t="s">
        <v>235</v>
      </c>
      <c r="C95" s="595" t="s">
        <v>268</v>
      </c>
      <c r="D95" s="544">
        <v>990</v>
      </c>
      <c r="E95" s="544">
        <v>990</v>
      </c>
      <c r="F95" s="544">
        <v>1042</v>
      </c>
      <c r="G95" s="544">
        <v>945</v>
      </c>
      <c r="H95" s="544">
        <v>1125</v>
      </c>
      <c r="I95" s="544">
        <v>1282</v>
      </c>
      <c r="J95" s="544">
        <v>1188</v>
      </c>
      <c r="K95" s="551">
        <v>1045</v>
      </c>
      <c r="L95" s="551">
        <v>1016</v>
      </c>
      <c r="M95" s="551">
        <v>980</v>
      </c>
      <c r="N95" s="1552">
        <v>882</v>
      </c>
    </row>
    <row r="96" spans="1:14" x14ac:dyDescent="0.25">
      <c r="A96" s="550" t="s">
        <v>236</v>
      </c>
      <c r="B96" s="540" t="s">
        <v>237</v>
      </c>
      <c r="C96" s="595" t="s">
        <v>266</v>
      </c>
      <c r="D96" s="544">
        <v>513</v>
      </c>
      <c r="E96" s="544">
        <v>452</v>
      </c>
      <c r="F96" s="544">
        <v>425</v>
      </c>
      <c r="G96" s="544">
        <v>416</v>
      </c>
      <c r="H96" s="544">
        <v>472</v>
      </c>
      <c r="I96" s="544">
        <v>443</v>
      </c>
      <c r="J96" s="544">
        <v>556</v>
      </c>
      <c r="K96" s="551">
        <v>461</v>
      </c>
      <c r="L96" s="551">
        <v>417</v>
      </c>
      <c r="M96" s="551">
        <v>345</v>
      </c>
      <c r="N96" s="1552">
        <v>384</v>
      </c>
    </row>
    <row r="97" spans="1:14" x14ac:dyDescent="0.25">
      <c r="A97" s="550" t="s">
        <v>242</v>
      </c>
      <c r="B97" s="540" t="s">
        <v>243</v>
      </c>
      <c r="C97" s="595" t="s">
        <v>268</v>
      </c>
      <c r="D97" s="544">
        <v>2566</v>
      </c>
      <c r="E97" s="544">
        <v>2449</v>
      </c>
      <c r="F97" s="544">
        <v>2297</v>
      </c>
      <c r="G97" s="544">
        <v>2245</v>
      </c>
      <c r="H97" s="544">
        <v>2288</v>
      </c>
      <c r="I97" s="544">
        <v>2402</v>
      </c>
      <c r="J97" s="544">
        <v>2138</v>
      </c>
      <c r="K97" s="551">
        <v>2100</v>
      </c>
      <c r="L97" s="551">
        <v>2030</v>
      </c>
      <c r="M97" s="551">
        <v>1815</v>
      </c>
      <c r="N97" s="1552">
        <v>1426</v>
      </c>
    </row>
    <row r="98" spans="1:14" x14ac:dyDescent="0.25">
      <c r="A98" s="550" t="s">
        <v>244</v>
      </c>
      <c r="B98" s="540" t="s">
        <v>245</v>
      </c>
      <c r="C98" s="595" t="s">
        <v>268</v>
      </c>
      <c r="D98" s="544">
        <v>785</v>
      </c>
      <c r="E98" s="544">
        <v>845</v>
      </c>
      <c r="F98" s="544">
        <v>772</v>
      </c>
      <c r="G98" s="544">
        <v>724</v>
      </c>
      <c r="H98" s="544">
        <v>744</v>
      </c>
      <c r="I98" s="544">
        <v>812</v>
      </c>
      <c r="J98" s="544">
        <v>812</v>
      </c>
      <c r="K98" s="551">
        <v>706</v>
      </c>
      <c r="L98" s="551">
        <v>540</v>
      </c>
      <c r="M98" s="551">
        <v>525</v>
      </c>
      <c r="N98" s="1552">
        <v>497</v>
      </c>
    </row>
    <row r="99" spans="1:14" x14ac:dyDescent="0.25">
      <c r="A99" s="632" t="s">
        <v>246</v>
      </c>
      <c r="B99" s="633" t="s">
        <v>247</v>
      </c>
      <c r="C99" s="633" t="s">
        <v>264</v>
      </c>
      <c r="D99" s="634">
        <v>450</v>
      </c>
      <c r="E99" s="634">
        <v>514</v>
      </c>
      <c r="F99" s="634">
        <v>478</v>
      </c>
      <c r="G99" s="634">
        <v>442</v>
      </c>
      <c r="H99" s="634">
        <v>523</v>
      </c>
      <c r="I99" s="634">
        <v>628</v>
      </c>
      <c r="J99" s="634">
        <v>752</v>
      </c>
      <c r="K99" s="551">
        <v>712</v>
      </c>
      <c r="L99" s="551">
        <v>685</v>
      </c>
      <c r="M99" s="551">
        <v>639</v>
      </c>
      <c r="N99" s="1552">
        <v>569</v>
      </c>
    </row>
    <row r="100" spans="1:14" x14ac:dyDescent="0.25">
      <c r="A100" s="550" t="s">
        <v>14</v>
      </c>
      <c r="B100" s="540" t="s">
        <v>15</v>
      </c>
      <c r="C100" s="595" t="s">
        <v>267</v>
      </c>
      <c r="D100" s="544">
        <v>2564</v>
      </c>
      <c r="E100" s="544">
        <v>2274</v>
      </c>
      <c r="F100" s="544">
        <v>2167</v>
      </c>
      <c r="G100" s="544">
        <v>2154</v>
      </c>
      <c r="H100" s="544">
        <v>2332</v>
      </c>
      <c r="I100" s="544">
        <v>2520</v>
      </c>
      <c r="J100" s="544">
        <v>2596</v>
      </c>
      <c r="K100" s="551">
        <v>2346</v>
      </c>
      <c r="L100" s="551">
        <v>2184</v>
      </c>
      <c r="M100" s="551">
        <v>2121</v>
      </c>
      <c r="N100" s="1552">
        <v>2195</v>
      </c>
    </row>
    <row r="101" spans="1:14" x14ac:dyDescent="0.25">
      <c r="A101" s="550" t="s">
        <v>34</v>
      </c>
      <c r="B101" s="540" t="s">
        <v>35</v>
      </c>
      <c r="C101" s="595" t="s">
        <v>268</v>
      </c>
      <c r="D101" s="544">
        <v>1224</v>
      </c>
      <c r="E101" s="544">
        <v>1318</v>
      </c>
      <c r="F101" s="544">
        <v>1301</v>
      </c>
      <c r="G101" s="544">
        <v>1284</v>
      </c>
      <c r="H101" s="544">
        <v>1355</v>
      </c>
      <c r="I101" s="544">
        <v>1401</v>
      </c>
      <c r="J101" s="544">
        <v>1518</v>
      </c>
      <c r="K101" s="551">
        <v>1559</v>
      </c>
      <c r="L101" s="551">
        <v>1475</v>
      </c>
      <c r="M101" s="551">
        <v>1225</v>
      </c>
      <c r="N101" s="1552">
        <v>1018</v>
      </c>
    </row>
    <row r="102" spans="1:14" x14ac:dyDescent="0.25">
      <c r="A102" s="550" t="s">
        <v>52</v>
      </c>
      <c r="B102" s="540" t="s">
        <v>53</v>
      </c>
      <c r="C102" s="595" t="s">
        <v>265</v>
      </c>
      <c r="D102" s="544">
        <v>1699</v>
      </c>
      <c r="E102" s="544">
        <v>1614</v>
      </c>
      <c r="F102" s="544">
        <v>1469</v>
      </c>
      <c r="G102" s="544">
        <v>1451</v>
      </c>
      <c r="H102" s="544">
        <v>1614</v>
      </c>
      <c r="I102" s="544">
        <v>1699</v>
      </c>
      <c r="J102" s="544">
        <v>1691</v>
      </c>
      <c r="K102" s="551">
        <v>1604</v>
      </c>
      <c r="L102" s="551">
        <v>1499</v>
      </c>
      <c r="M102" s="551">
        <v>1329</v>
      </c>
      <c r="N102" s="1552">
        <v>1189</v>
      </c>
    </row>
    <row r="103" spans="1:14" x14ac:dyDescent="0.25">
      <c r="A103" s="550" t="s">
        <v>54</v>
      </c>
      <c r="B103" s="540" t="s">
        <v>55</v>
      </c>
      <c r="C103" s="595" t="s">
        <v>264</v>
      </c>
      <c r="D103" s="544">
        <v>5474</v>
      </c>
      <c r="E103" s="544">
        <v>5520</v>
      </c>
      <c r="F103" s="544">
        <v>4950</v>
      </c>
      <c r="G103" s="544">
        <v>5052</v>
      </c>
      <c r="H103" s="544">
        <v>5636</v>
      </c>
      <c r="I103" s="544">
        <v>6110</v>
      </c>
      <c r="J103" s="544">
        <v>6029</v>
      </c>
      <c r="K103" s="551">
        <v>5484</v>
      </c>
      <c r="L103" s="551">
        <v>5058</v>
      </c>
      <c r="M103" s="551">
        <v>4574</v>
      </c>
      <c r="N103" s="1552">
        <v>4136</v>
      </c>
    </row>
    <row r="104" spans="1:14" x14ac:dyDescent="0.25">
      <c r="A104" s="550" t="s">
        <v>66</v>
      </c>
      <c r="B104" s="540" t="s">
        <v>67</v>
      </c>
      <c r="C104" s="595" t="s">
        <v>265</v>
      </c>
      <c r="D104" s="544">
        <v>3276</v>
      </c>
      <c r="E104" s="544">
        <v>3249</v>
      </c>
      <c r="F104" s="544">
        <v>3126</v>
      </c>
      <c r="G104" s="544">
        <v>2779</v>
      </c>
      <c r="H104" s="544">
        <v>2892</v>
      </c>
      <c r="I104" s="544">
        <v>2912</v>
      </c>
      <c r="J104" s="544">
        <v>2697</v>
      </c>
      <c r="K104" s="551">
        <v>2571</v>
      </c>
      <c r="L104" s="551">
        <v>2499</v>
      </c>
      <c r="M104" s="551">
        <v>2272</v>
      </c>
      <c r="N104" s="1552">
        <v>2086</v>
      </c>
    </row>
    <row r="105" spans="1:14" x14ac:dyDescent="0.25">
      <c r="A105" s="550" t="s">
        <v>82</v>
      </c>
      <c r="B105" s="540" t="s">
        <v>83</v>
      </c>
      <c r="C105" s="595" t="s">
        <v>264</v>
      </c>
      <c r="D105" s="544">
        <v>600</v>
      </c>
      <c r="E105" s="544">
        <v>626</v>
      </c>
      <c r="F105" s="544">
        <v>493</v>
      </c>
      <c r="G105" s="544">
        <v>483</v>
      </c>
      <c r="H105" s="544">
        <v>487</v>
      </c>
      <c r="I105" s="544">
        <v>575</v>
      </c>
      <c r="J105" s="544">
        <v>644</v>
      </c>
      <c r="K105" s="551">
        <v>748</v>
      </c>
      <c r="L105" s="551">
        <v>667</v>
      </c>
      <c r="M105" s="551">
        <v>493</v>
      </c>
      <c r="N105" s="1552">
        <v>413</v>
      </c>
    </row>
    <row r="106" spans="1:14" x14ac:dyDescent="0.25">
      <c r="A106" s="550" t="s">
        <v>88</v>
      </c>
      <c r="B106" s="540" t="s">
        <v>89</v>
      </c>
      <c r="C106" s="595" t="s">
        <v>267</v>
      </c>
      <c r="D106" s="544">
        <v>827</v>
      </c>
      <c r="E106" s="544">
        <v>874</v>
      </c>
      <c r="F106" s="544">
        <v>851</v>
      </c>
      <c r="G106" s="544">
        <v>904</v>
      </c>
      <c r="H106" s="544">
        <v>1105</v>
      </c>
      <c r="I106" s="544">
        <v>1208</v>
      </c>
      <c r="J106" s="544">
        <v>1219</v>
      </c>
      <c r="K106" s="551">
        <v>1162</v>
      </c>
      <c r="L106" s="551">
        <v>1055</v>
      </c>
      <c r="M106" s="551">
        <v>980</v>
      </c>
      <c r="N106" s="1552">
        <v>912</v>
      </c>
    </row>
    <row r="107" spans="1:14" x14ac:dyDescent="0.25">
      <c r="A107" s="550" t="s">
        <v>90</v>
      </c>
      <c r="B107" s="540" t="s">
        <v>91</v>
      </c>
      <c r="C107" s="595" t="s">
        <v>268</v>
      </c>
      <c r="D107" s="544">
        <v>398</v>
      </c>
      <c r="E107" s="544">
        <v>370</v>
      </c>
      <c r="F107" s="544">
        <v>366</v>
      </c>
      <c r="G107" s="544">
        <v>365</v>
      </c>
      <c r="H107" s="544">
        <v>481</v>
      </c>
      <c r="I107" s="544">
        <v>559</v>
      </c>
      <c r="J107" s="544">
        <v>480</v>
      </c>
      <c r="K107" s="551">
        <v>426</v>
      </c>
      <c r="L107" s="551">
        <v>368</v>
      </c>
      <c r="M107" s="551">
        <v>280</v>
      </c>
      <c r="N107" s="1552">
        <v>210</v>
      </c>
    </row>
    <row r="108" spans="1:14" x14ac:dyDescent="0.25">
      <c r="A108" s="550" t="s">
        <v>106</v>
      </c>
      <c r="B108" s="540" t="s">
        <v>107</v>
      </c>
      <c r="C108" s="595" t="s">
        <v>264</v>
      </c>
      <c r="D108" s="544">
        <v>6707</v>
      </c>
      <c r="E108" s="544">
        <v>6416</v>
      </c>
      <c r="F108" s="544">
        <v>5896</v>
      </c>
      <c r="G108" s="544">
        <v>5425</v>
      </c>
      <c r="H108" s="544">
        <v>5890</v>
      </c>
      <c r="I108" s="544">
        <v>6335</v>
      </c>
      <c r="J108" s="544">
        <v>6670</v>
      </c>
      <c r="K108" s="551">
        <v>6619</v>
      </c>
      <c r="L108" s="551">
        <v>6201</v>
      </c>
      <c r="M108" s="551">
        <v>5656</v>
      </c>
      <c r="N108" s="1552">
        <v>4807</v>
      </c>
    </row>
    <row r="109" spans="1:14" x14ac:dyDescent="0.25">
      <c r="A109" s="550" t="s">
        <v>116</v>
      </c>
      <c r="B109" s="540" t="s">
        <v>117</v>
      </c>
      <c r="C109" s="595" t="s">
        <v>266</v>
      </c>
      <c r="D109" s="544">
        <v>1613</v>
      </c>
      <c r="E109" s="544">
        <v>1650</v>
      </c>
      <c r="F109" s="544">
        <v>1472</v>
      </c>
      <c r="G109" s="544">
        <v>1513</v>
      </c>
      <c r="H109" s="544">
        <v>1642</v>
      </c>
      <c r="I109" s="544">
        <v>1726</v>
      </c>
      <c r="J109" s="544">
        <v>1732</v>
      </c>
      <c r="K109" s="551">
        <v>1610</v>
      </c>
      <c r="L109" s="551">
        <v>1604</v>
      </c>
      <c r="M109" s="551">
        <v>1554</v>
      </c>
      <c r="N109" s="1552">
        <v>1468</v>
      </c>
    </row>
    <row r="110" spans="1:14" x14ac:dyDescent="0.25">
      <c r="A110" s="550" t="s">
        <v>138</v>
      </c>
      <c r="B110" s="540" t="s">
        <v>139</v>
      </c>
      <c r="C110" s="595" t="s">
        <v>265</v>
      </c>
      <c r="D110" s="544">
        <v>3009</v>
      </c>
      <c r="E110" s="544">
        <v>2946</v>
      </c>
      <c r="F110" s="544">
        <v>2805</v>
      </c>
      <c r="G110" s="544">
        <v>2632</v>
      </c>
      <c r="H110" s="544">
        <v>2821</v>
      </c>
      <c r="I110" s="544">
        <v>3316</v>
      </c>
      <c r="J110" s="544">
        <v>3361</v>
      </c>
      <c r="K110" s="551">
        <v>3308</v>
      </c>
      <c r="L110" s="551">
        <v>2938</v>
      </c>
      <c r="M110" s="551">
        <v>2628</v>
      </c>
      <c r="N110" s="1552">
        <v>2333</v>
      </c>
    </row>
    <row r="111" spans="1:14" x14ac:dyDescent="0.25">
      <c r="A111" s="550" t="s">
        <v>142</v>
      </c>
      <c r="B111" s="540" t="s">
        <v>143</v>
      </c>
      <c r="C111" s="595" t="s">
        <v>267</v>
      </c>
      <c r="D111" s="544">
        <v>912</v>
      </c>
      <c r="E111" s="544">
        <v>882</v>
      </c>
      <c r="F111" s="544">
        <v>876</v>
      </c>
      <c r="G111" s="544">
        <v>1015</v>
      </c>
      <c r="H111" s="544">
        <v>1120</v>
      </c>
      <c r="I111" s="544">
        <v>1298</v>
      </c>
      <c r="J111" s="544">
        <v>1317</v>
      </c>
      <c r="K111" s="551">
        <v>1176</v>
      </c>
      <c r="L111" s="551">
        <v>921</v>
      </c>
      <c r="M111" s="551">
        <v>911</v>
      </c>
      <c r="N111" s="1552">
        <v>783</v>
      </c>
    </row>
    <row r="112" spans="1:14" x14ac:dyDescent="0.25">
      <c r="A112" s="550" t="s">
        <v>144</v>
      </c>
      <c r="B112" s="540" t="s">
        <v>145</v>
      </c>
      <c r="C112" s="595" t="s">
        <v>267</v>
      </c>
      <c r="D112" s="544">
        <v>270</v>
      </c>
      <c r="E112" s="544">
        <v>337</v>
      </c>
      <c r="F112" s="544">
        <v>312</v>
      </c>
      <c r="G112" s="544">
        <v>334</v>
      </c>
      <c r="H112" s="544">
        <v>336</v>
      </c>
      <c r="I112" s="544">
        <v>337</v>
      </c>
      <c r="J112" s="544">
        <v>250</v>
      </c>
      <c r="K112" s="551">
        <v>274</v>
      </c>
      <c r="L112" s="551">
        <v>250</v>
      </c>
      <c r="M112" s="551">
        <v>238</v>
      </c>
      <c r="N112" s="1552">
        <v>175</v>
      </c>
    </row>
    <row r="113" spans="1:14" x14ac:dyDescent="0.25">
      <c r="A113" s="550" t="s">
        <v>158</v>
      </c>
      <c r="B113" s="540" t="s">
        <v>159</v>
      </c>
      <c r="C113" s="595" t="s">
        <v>264</v>
      </c>
      <c r="D113" s="544">
        <v>8771</v>
      </c>
      <c r="E113" s="544">
        <v>8922</v>
      </c>
      <c r="F113" s="544">
        <v>8257</v>
      </c>
      <c r="G113" s="544">
        <v>7622</v>
      </c>
      <c r="H113" s="544">
        <v>8469</v>
      </c>
      <c r="I113" s="544">
        <v>9376</v>
      </c>
      <c r="J113" s="544">
        <v>9737</v>
      </c>
      <c r="K113" s="551">
        <v>9540</v>
      </c>
      <c r="L113" s="551">
        <v>9135</v>
      </c>
      <c r="M113" s="551">
        <v>8051</v>
      </c>
      <c r="N113" s="1552">
        <v>7164</v>
      </c>
    </row>
    <row r="114" spans="1:14" x14ac:dyDescent="0.25">
      <c r="A114" s="550" t="s">
        <v>160</v>
      </c>
      <c r="B114" s="540" t="s">
        <v>161</v>
      </c>
      <c r="C114" s="595" t="s">
        <v>264</v>
      </c>
      <c r="D114" s="544">
        <v>11826</v>
      </c>
      <c r="E114" s="544">
        <v>11398</v>
      </c>
      <c r="F114" s="544">
        <v>10790</v>
      </c>
      <c r="G114" s="544">
        <v>10129</v>
      </c>
      <c r="H114" s="544">
        <v>10847</v>
      </c>
      <c r="I114" s="544">
        <v>11828</v>
      </c>
      <c r="J114" s="544">
        <v>11996</v>
      </c>
      <c r="K114" s="551">
        <v>11553</v>
      </c>
      <c r="L114" s="551">
        <v>10730</v>
      </c>
      <c r="M114" s="551">
        <v>9675</v>
      </c>
      <c r="N114" s="1552">
        <v>8098</v>
      </c>
    </row>
    <row r="115" spans="1:14" x14ac:dyDescent="0.25">
      <c r="A115" s="550" t="s">
        <v>166</v>
      </c>
      <c r="B115" s="540" t="s">
        <v>167</v>
      </c>
      <c r="C115" s="595" t="s">
        <v>268</v>
      </c>
      <c r="D115" s="544">
        <v>273</v>
      </c>
      <c r="E115" s="544">
        <v>319</v>
      </c>
      <c r="F115" s="544">
        <v>291</v>
      </c>
      <c r="G115" s="544">
        <v>280</v>
      </c>
      <c r="H115" s="544">
        <v>297</v>
      </c>
      <c r="I115" s="544">
        <v>329</v>
      </c>
      <c r="J115" s="544">
        <v>280</v>
      </c>
      <c r="K115" s="551">
        <v>255</v>
      </c>
      <c r="L115" s="551">
        <v>244</v>
      </c>
      <c r="M115" s="551">
        <v>259</v>
      </c>
      <c r="N115" s="1552">
        <v>245</v>
      </c>
    </row>
    <row r="116" spans="1:14" x14ac:dyDescent="0.25">
      <c r="A116" s="550" t="s">
        <v>176</v>
      </c>
      <c r="B116" s="540" t="s">
        <v>177</v>
      </c>
      <c r="C116" s="595" t="s">
        <v>266</v>
      </c>
      <c r="D116" s="544">
        <v>2982</v>
      </c>
      <c r="E116" s="544">
        <v>2896</v>
      </c>
      <c r="F116" s="544">
        <v>2620</v>
      </c>
      <c r="G116" s="544">
        <v>2508</v>
      </c>
      <c r="H116" s="544">
        <v>2744</v>
      </c>
      <c r="I116" s="544">
        <v>3147</v>
      </c>
      <c r="J116" s="544">
        <v>3158</v>
      </c>
      <c r="K116" s="551">
        <v>2741</v>
      </c>
      <c r="L116" s="551">
        <v>2556</v>
      </c>
      <c r="M116" s="551">
        <v>2417</v>
      </c>
      <c r="N116" s="1552">
        <v>2319</v>
      </c>
    </row>
    <row r="117" spans="1:14" x14ac:dyDescent="0.25">
      <c r="A117" s="550" t="s">
        <v>180</v>
      </c>
      <c r="B117" s="540" t="s">
        <v>181</v>
      </c>
      <c r="C117" s="595" t="s">
        <v>264</v>
      </c>
      <c r="D117" s="544">
        <v>6846</v>
      </c>
      <c r="E117" s="544">
        <v>6807</v>
      </c>
      <c r="F117" s="544">
        <v>6503</v>
      </c>
      <c r="G117" s="544">
        <v>5774</v>
      </c>
      <c r="H117" s="544">
        <v>5917</v>
      </c>
      <c r="I117" s="544">
        <v>6307</v>
      </c>
      <c r="J117" s="544">
        <v>6223</v>
      </c>
      <c r="K117" s="551">
        <v>5988</v>
      </c>
      <c r="L117" s="551">
        <v>5595</v>
      </c>
      <c r="M117" s="551">
        <v>5041</v>
      </c>
      <c r="N117" s="1552">
        <v>4571</v>
      </c>
    </row>
    <row r="118" spans="1:14" x14ac:dyDescent="0.25">
      <c r="A118" s="550" t="s">
        <v>192</v>
      </c>
      <c r="B118" s="540" t="s">
        <v>193</v>
      </c>
      <c r="C118" s="595" t="s">
        <v>268</v>
      </c>
      <c r="D118" s="544">
        <v>449</v>
      </c>
      <c r="E118" s="544">
        <v>469</v>
      </c>
      <c r="F118" s="544">
        <v>480</v>
      </c>
      <c r="G118" s="544">
        <v>435</v>
      </c>
      <c r="H118" s="544">
        <v>418</v>
      </c>
      <c r="I118" s="544">
        <v>454</v>
      </c>
      <c r="J118" s="544">
        <v>447</v>
      </c>
      <c r="K118" s="551">
        <v>434</v>
      </c>
      <c r="L118" s="551">
        <v>402</v>
      </c>
      <c r="M118" s="551">
        <v>427</v>
      </c>
      <c r="N118" s="1552">
        <v>322</v>
      </c>
    </row>
    <row r="119" spans="1:14" x14ac:dyDescent="0.25">
      <c r="A119" s="550" t="s">
        <v>196</v>
      </c>
      <c r="B119" s="540" t="s">
        <v>197</v>
      </c>
      <c r="C119" s="595" t="s">
        <v>266</v>
      </c>
      <c r="D119" s="544">
        <v>15835</v>
      </c>
      <c r="E119" s="544">
        <v>15094</v>
      </c>
      <c r="F119" s="544">
        <v>13822</v>
      </c>
      <c r="G119" s="544">
        <v>12850</v>
      </c>
      <c r="H119" s="544">
        <v>12937</v>
      </c>
      <c r="I119" s="544">
        <v>14143</v>
      </c>
      <c r="J119" s="544">
        <v>14534</v>
      </c>
      <c r="K119" s="551">
        <v>13800</v>
      </c>
      <c r="L119" s="551">
        <v>12727</v>
      </c>
      <c r="M119" s="551">
        <v>11361</v>
      </c>
      <c r="N119" s="1552">
        <v>9957</v>
      </c>
    </row>
    <row r="120" spans="1:14" x14ac:dyDescent="0.25">
      <c r="A120" s="550" t="s">
        <v>200</v>
      </c>
      <c r="B120" s="540" t="s">
        <v>201</v>
      </c>
      <c r="C120" s="595" t="s">
        <v>265</v>
      </c>
      <c r="D120" s="544">
        <v>6087</v>
      </c>
      <c r="E120" s="544">
        <v>5921</v>
      </c>
      <c r="F120" s="544">
        <v>5611</v>
      </c>
      <c r="G120" s="544">
        <v>5580</v>
      </c>
      <c r="H120" s="544">
        <v>6098</v>
      </c>
      <c r="I120" s="544">
        <v>6773</v>
      </c>
      <c r="J120" s="544">
        <v>6918</v>
      </c>
      <c r="K120" s="551">
        <v>6804</v>
      </c>
      <c r="L120" s="551">
        <v>6265</v>
      </c>
      <c r="M120" s="551">
        <v>5658</v>
      </c>
      <c r="N120" s="1552">
        <v>4841</v>
      </c>
    </row>
    <row r="121" spans="1:14" x14ac:dyDescent="0.25">
      <c r="A121" s="632" t="s">
        <v>222</v>
      </c>
      <c r="B121" s="633" t="s">
        <v>223</v>
      </c>
      <c r="C121" s="633" t="s">
        <v>264</v>
      </c>
      <c r="D121" s="634">
        <v>2668</v>
      </c>
      <c r="E121" s="634">
        <v>2793</v>
      </c>
      <c r="F121" s="634">
        <v>2567</v>
      </c>
      <c r="G121" s="634">
        <v>2142</v>
      </c>
      <c r="H121" s="634">
        <v>2227</v>
      </c>
      <c r="I121" s="634">
        <v>2401</v>
      </c>
      <c r="J121" s="634">
        <v>2323</v>
      </c>
      <c r="K121" s="551">
        <v>2095</v>
      </c>
      <c r="L121" s="551">
        <v>2090</v>
      </c>
      <c r="M121" s="551">
        <v>2019</v>
      </c>
      <c r="N121" s="1552">
        <v>1765</v>
      </c>
    </row>
    <row r="122" spans="1:14" x14ac:dyDescent="0.25">
      <c r="A122" s="550" t="s">
        <v>230</v>
      </c>
      <c r="B122" s="540" t="s">
        <v>231</v>
      </c>
      <c r="C122" s="595" t="s">
        <v>264</v>
      </c>
      <c r="D122" s="544">
        <v>6267</v>
      </c>
      <c r="E122" s="544">
        <v>6022</v>
      </c>
      <c r="F122" s="544">
        <v>5708</v>
      </c>
      <c r="G122" s="544">
        <v>5498</v>
      </c>
      <c r="H122" s="544">
        <v>5784</v>
      </c>
      <c r="I122" s="544">
        <v>6268</v>
      </c>
      <c r="J122" s="544">
        <v>6378</v>
      </c>
      <c r="K122" s="551">
        <v>6070</v>
      </c>
      <c r="L122" s="551">
        <v>5464</v>
      </c>
      <c r="M122" s="551">
        <v>4838</v>
      </c>
      <c r="N122" s="1552">
        <v>3986</v>
      </c>
    </row>
    <row r="123" spans="1:14" x14ac:dyDescent="0.25">
      <c r="A123" s="550" t="s">
        <v>238</v>
      </c>
      <c r="B123" s="540" t="s">
        <v>239</v>
      </c>
      <c r="C123" s="595" t="s">
        <v>264</v>
      </c>
      <c r="D123" s="544">
        <v>166</v>
      </c>
      <c r="E123" s="544">
        <v>229</v>
      </c>
      <c r="F123" s="544">
        <v>184</v>
      </c>
      <c r="G123" s="544">
        <v>156</v>
      </c>
      <c r="H123" s="544">
        <v>217</v>
      </c>
      <c r="I123" s="544">
        <v>258</v>
      </c>
      <c r="J123" s="544">
        <v>277</v>
      </c>
      <c r="K123" s="551">
        <v>283</v>
      </c>
      <c r="L123" s="551">
        <v>248</v>
      </c>
      <c r="M123" s="551">
        <v>220</v>
      </c>
      <c r="N123" s="1552">
        <v>191</v>
      </c>
    </row>
    <row r="124" spans="1:14" x14ac:dyDescent="0.25">
      <c r="A124" s="552" t="s">
        <v>240</v>
      </c>
      <c r="B124" s="541" t="s">
        <v>241</v>
      </c>
      <c r="C124" s="541" t="s">
        <v>267</v>
      </c>
      <c r="D124" s="546">
        <v>628</v>
      </c>
      <c r="E124" s="546">
        <v>630</v>
      </c>
      <c r="F124" s="546">
        <v>635</v>
      </c>
      <c r="G124" s="546">
        <v>575</v>
      </c>
      <c r="H124" s="546">
        <v>833</v>
      </c>
      <c r="I124" s="546">
        <v>933</v>
      </c>
      <c r="J124" s="546">
        <v>977</v>
      </c>
      <c r="K124" s="553">
        <v>888</v>
      </c>
      <c r="L124" s="553">
        <v>782</v>
      </c>
      <c r="M124" s="553">
        <v>605</v>
      </c>
      <c r="N124" s="1552">
        <v>464</v>
      </c>
    </row>
    <row r="126" spans="1:14" ht="33.75" customHeight="1" x14ac:dyDescent="0.25">
      <c r="A126" s="2270" t="s">
        <v>1102</v>
      </c>
      <c r="B126" s="2270"/>
      <c r="C126" s="2270"/>
      <c r="D126" s="2270"/>
      <c r="E126" s="2270"/>
      <c r="F126" s="2270"/>
      <c r="G126" s="2270"/>
      <c r="H126" s="2270"/>
      <c r="I126" s="2270"/>
      <c r="J126" s="2270"/>
      <c r="K126" s="2270"/>
      <c r="L126" s="2270"/>
      <c r="M126" s="1147"/>
      <c r="N126" s="1526"/>
    </row>
    <row r="128" spans="1:14" s="412" customFormat="1" x14ac:dyDescent="0.25">
      <c r="A128" s="412" t="s">
        <v>248</v>
      </c>
    </row>
    <row r="129" spans="1:3" s="412" customFormat="1" x14ac:dyDescent="0.25">
      <c r="A129" s="413" t="s">
        <v>249</v>
      </c>
      <c r="B129" s="414" t="s">
        <v>250</v>
      </c>
      <c r="C129" s="414"/>
    </row>
  </sheetData>
  <autoFilter ref="A3:C3"/>
  <sortState ref="A5:N124">
    <sortCondition ref="A5:A124"/>
  </sortState>
  <mergeCells count="1">
    <mergeCell ref="A126:L126"/>
  </mergeCells>
  <hyperlinks>
    <hyperlink ref="B129"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topLeftCell="A11" workbookViewId="0">
      <selection activeCell="B38" sqref="B38"/>
    </sheetView>
  </sheetViews>
  <sheetFormatPr defaultRowHeight="15.75" x14ac:dyDescent="0.25"/>
  <cols>
    <col min="1" max="1" width="18.25" customWidth="1"/>
    <col min="2" max="2" width="17.75" customWidth="1"/>
    <col min="3" max="3" width="14.625" customWidth="1"/>
  </cols>
  <sheetData>
    <row r="1" spans="1:4" x14ac:dyDescent="0.25">
      <c r="A1" t="s">
        <v>889</v>
      </c>
    </row>
    <row r="2" spans="1:4" x14ac:dyDescent="0.25">
      <c r="B2" t="str">
        <f>Profile!D3</f>
        <v>Accomack</v>
      </c>
      <c r="C2" t="str">
        <f>Profile!K3</f>
        <v>Eastern</v>
      </c>
      <c r="D2" t="s">
        <v>861</v>
      </c>
    </row>
    <row r="3" spans="1:4" x14ac:dyDescent="0.25">
      <c r="A3">
        <v>1998</v>
      </c>
      <c r="B3" s="1260">
        <f>VLOOKUP(Profile!I3,NMBirths_Trend,40,FALSE)</f>
        <v>0.5298329355608592</v>
      </c>
      <c r="C3" s="1260">
        <f>VLOOKUP(Profile!K3,NMBirths_Trend,40,FALSE)</f>
        <v>0.37341746714360358</v>
      </c>
      <c r="D3" s="1260">
        <f>'NM Births_Trend'!AN5</f>
        <v>0.2981171770406103</v>
      </c>
    </row>
    <row r="4" spans="1:4" x14ac:dyDescent="0.25">
      <c r="A4">
        <v>1999</v>
      </c>
      <c r="B4" s="1260">
        <f>VLOOKUP(Profile!I3,NMBirths_Trend,41,FALSE)</f>
        <v>0.51756440281030447</v>
      </c>
      <c r="C4" s="1260">
        <f>VLOOKUP(Profile!K3,NMBirths_Trend,41,FALSE)</f>
        <v>0.37722880362269035</v>
      </c>
      <c r="D4" s="1260">
        <f>'NM Births_Trend'!AO5</f>
        <v>0.29729956830905291</v>
      </c>
    </row>
    <row r="5" spans="1:4" x14ac:dyDescent="0.25">
      <c r="A5">
        <v>2000</v>
      </c>
      <c r="B5" s="1260">
        <f>VLOOKUP(Profile!I3,NMBirths_Trend,42,FALSE)</f>
        <v>0.4946236559139785</v>
      </c>
      <c r="C5" s="1260">
        <f>VLOOKUP(Profile!K3,NMBirths_Trend,42,FALSE)</f>
        <v>0.37406208040439143</v>
      </c>
      <c r="D5" s="1260">
        <f>'NM Births_Trend'!AP5</f>
        <v>0.29975521929114746</v>
      </c>
    </row>
    <row r="6" spans="1:4" x14ac:dyDescent="0.25">
      <c r="A6">
        <v>2001</v>
      </c>
      <c r="B6" s="1260">
        <f>VLOOKUP(Profile!I3,NMBirths_Trend,43,FALSE)</f>
        <v>0.48988764044943822</v>
      </c>
      <c r="C6" s="1260">
        <f>VLOOKUP(Profile!K3,NMBirths_Trend,43,FALSE)</f>
        <v>0.3923052157115261</v>
      </c>
      <c r="D6" s="1260">
        <f>'NM Births_Trend'!AQ5</f>
        <v>0.303681074991627</v>
      </c>
    </row>
    <row r="7" spans="1:4" x14ac:dyDescent="0.25">
      <c r="A7">
        <v>2002</v>
      </c>
      <c r="B7" s="1260">
        <f>VLOOKUP(Profile!I3,NMBirths_Trend,44,FALSE)</f>
        <v>0.54716981132075471</v>
      </c>
      <c r="C7" s="1260">
        <f>VLOOKUP(Profile!K3,NMBirths_Trend,44,FALSE)</f>
        <v>0.38504755407520364</v>
      </c>
      <c r="D7" s="1260">
        <f>'NM Births_Trend'!AR5</f>
        <v>0.30455988310575904</v>
      </c>
    </row>
    <row r="8" spans="1:4" x14ac:dyDescent="0.25">
      <c r="A8">
        <v>2003</v>
      </c>
      <c r="B8" s="1260">
        <f>VLOOKUP(Profile!I3,NMBirths_Trend,45,FALSE)</f>
        <v>0.57236842105263153</v>
      </c>
      <c r="C8" s="1260">
        <f>VLOOKUP(Profile!K3,NMBirths_Trend,45,FALSE)</f>
        <v>0.37942966233146402</v>
      </c>
      <c r="D8" s="1260">
        <f>'NM Births_Trend'!AS5</f>
        <v>0.3059734887282346</v>
      </c>
    </row>
    <row r="9" spans="1:4" x14ac:dyDescent="0.25">
      <c r="A9">
        <v>2004</v>
      </c>
      <c r="B9" s="1260">
        <f>VLOOKUP(Profile!I3,NMBirths_Trend,46,FALSE)</f>
        <v>0.55463917525773199</v>
      </c>
      <c r="C9" s="1260">
        <f>VLOOKUP(Profile!K3,NMBirths_Trend,46,FALSE)</f>
        <v>0.37898931075437725</v>
      </c>
      <c r="D9" s="1260">
        <f>'NM Births_Trend'!AT5</f>
        <v>0.31002600404507369</v>
      </c>
    </row>
    <row r="10" spans="1:4" x14ac:dyDescent="0.25">
      <c r="A10">
        <v>2005</v>
      </c>
      <c r="B10" s="1260">
        <f>VLOOKUP(Profile!I3,NMBirths_Trend,47,FALSE)</f>
        <v>0.59023354564755837</v>
      </c>
      <c r="C10" s="1260">
        <f>VLOOKUP(Profile!K3,NMBirths_Trend,47,FALSE)</f>
        <v>0.38483135114057321</v>
      </c>
      <c r="D10" s="1260">
        <f>'NM Births_Trend'!AU5</f>
        <v>0.32234323558686168</v>
      </c>
    </row>
    <row r="11" spans="1:4" x14ac:dyDescent="0.25">
      <c r="A11">
        <v>2006</v>
      </c>
      <c r="B11" s="1260">
        <f>VLOOKUP(Profile!I3,NMBirths_Trend,48,FALSE)</f>
        <v>0.65638766519823788</v>
      </c>
      <c r="C11" s="1260">
        <f>VLOOKUP(Profile!K3,NMBirths_Trend,48,FALSE)</f>
        <v>0.39784905228633538</v>
      </c>
      <c r="D11" s="1260">
        <f>'NM Births_Trend'!AV5</f>
        <v>0.34083438210267297</v>
      </c>
    </row>
    <row r="12" spans="1:4" x14ac:dyDescent="0.25">
      <c r="A12">
        <v>2007</v>
      </c>
      <c r="B12" s="1260">
        <f>VLOOKUP(Profile!I3,NMBirths_Trend,49,FALSE)</f>
        <v>0.62204724409448819</v>
      </c>
      <c r="C12" s="1260">
        <f>VLOOKUP(Profile!K3,NMBirths_Trend,49,FALSE)</f>
        <v>0.40717948717948715</v>
      </c>
      <c r="D12" s="1260">
        <f>'NM Births_Trend'!AW5</f>
        <v>0.35309038250458874</v>
      </c>
    </row>
    <row r="13" spans="1:4" x14ac:dyDescent="0.25">
      <c r="A13">
        <v>2008</v>
      </c>
      <c r="B13" s="1260">
        <f>VLOOKUP(Profile!I3,NMBirths_Trend,50,FALSE)</f>
        <v>0.61814345991561181</v>
      </c>
      <c r="C13" s="1260">
        <f>VLOOKUP(Profile!K3,NMBirths_Trend,50,FALSE)</f>
        <v>0.42314872433105166</v>
      </c>
      <c r="D13" s="1260">
        <f>'NM Births_Trend'!AX5</f>
        <v>0.35843232186755242</v>
      </c>
    </row>
    <row r="14" spans="1:4" x14ac:dyDescent="0.25">
      <c r="A14">
        <v>2009</v>
      </c>
      <c r="B14" s="1260">
        <f>VLOOKUP(Profile!I3,NMBirths_Trend,51,FALSE)</f>
        <v>0.62383177570093462</v>
      </c>
      <c r="C14" s="1260">
        <f>VLOOKUP(Profile!K3,NMBirths_Trend,51,FALSE)</f>
        <v>0.42440128678660788</v>
      </c>
      <c r="D14" s="1260">
        <f>'NM Births_Trend'!AY5</f>
        <v>0.35824307718686593</v>
      </c>
    </row>
    <row r="15" spans="1:4" x14ac:dyDescent="0.25">
      <c r="A15">
        <v>2010</v>
      </c>
      <c r="B15" s="1260">
        <f>VLOOKUP(Profile!I3,NMBirths_Trend,52,FALSE)</f>
        <v>0.5889145496535797</v>
      </c>
      <c r="C15" s="1260">
        <f>VLOOKUP(Profile!K3,NMBirths_Trend,52,FALSE)</f>
        <v>0.42288821653446723</v>
      </c>
      <c r="D15" s="1260">
        <f>'NM Births_Trend'!AZ5</f>
        <v>0.35490702780422406</v>
      </c>
    </row>
    <row r="16" spans="1:4" x14ac:dyDescent="0.25">
      <c r="A16">
        <v>2011</v>
      </c>
      <c r="B16" s="1260">
        <f>VLOOKUP(Profile!I3,NMBirths_Trend,53,FALSE)</f>
        <v>0.57740585774058573</v>
      </c>
      <c r="C16" s="1260">
        <f>VLOOKUP(Profile!K3,NMBirths_Trend,53,FALSE)</f>
        <v>0.42436647971506941</v>
      </c>
      <c r="D16" s="1260">
        <f>'NM Births_Trend'!BA5</f>
        <v>0.35493782004389174</v>
      </c>
    </row>
    <row r="17" spans="1:4" x14ac:dyDescent="0.25">
      <c r="A17">
        <v>2012</v>
      </c>
      <c r="B17" s="1260">
        <f>VLOOKUP(Profile!I3,NMBirths_Trend,54,FALSE)</f>
        <v>0.56060606060606055</v>
      </c>
      <c r="C17" s="1260">
        <f>VLOOKUP(Profile!K3,NMBirths_Trend,54,FALSE)</f>
        <v>0.42346055560135193</v>
      </c>
      <c r="D17" s="1260">
        <f>'NM Births_Trend'!BB5</f>
        <v>0.35279298907704426</v>
      </c>
    </row>
    <row r="18" spans="1:4" x14ac:dyDescent="0.25">
      <c r="A18">
        <v>2013</v>
      </c>
      <c r="B18" s="1260">
        <f>VLOOKUP(Profile!I3,NMBirths_Trend,55,FALSE)</f>
        <v>0.55585106382978722</v>
      </c>
      <c r="C18" s="1260">
        <f>VLOOKUP(Profile!K3,NMBirths_Trend,55,FALSE)</f>
        <v>0.39805019705455302</v>
      </c>
      <c r="D18" s="1260">
        <f>'NM Births_Trend'!BC5</f>
        <v>0.340045722068194</v>
      </c>
    </row>
    <row r="19" spans="1:4" x14ac:dyDescent="0.25">
      <c r="A19">
        <v>2014</v>
      </c>
      <c r="B19" s="1260">
        <f>VLOOKUP(Profile!I3,NMBirths_Trend,56,FALSE)</f>
        <v>0.55585106382978722</v>
      </c>
      <c r="C19" s="1260">
        <f>VLOOKUP(Profile!K3,NMBirths_Trend,56,FALSE)</f>
        <v>0.39805019705455302</v>
      </c>
      <c r="D19" s="1260">
        <f>'NM Births_Trend'!BD5</f>
        <v>0.340045722068194</v>
      </c>
    </row>
    <row r="21" spans="1:4" x14ac:dyDescent="0.25">
      <c r="A21" t="s">
        <v>888</v>
      </c>
    </row>
    <row r="22" spans="1:4" x14ac:dyDescent="0.25">
      <c r="B22" t="str">
        <f>Profile!D3</f>
        <v>Accomack</v>
      </c>
      <c r="C22" t="str">
        <f>Profile!K3</f>
        <v>Eastern</v>
      </c>
      <c r="D22" t="s">
        <v>861</v>
      </c>
    </row>
    <row r="23" spans="1:4" x14ac:dyDescent="0.25">
      <c r="A23">
        <v>1998</v>
      </c>
      <c r="B23" s="1272">
        <f>VLOOKUP(Profile!I3,TeenBirths_Trend,40,FALSE)</f>
        <v>33.483258370814596</v>
      </c>
      <c r="C23" s="1272">
        <f>VLOOKUP(Profile!K3,TeenBirths_Trend,40,FALSE)</f>
        <v>26.16430374830064</v>
      </c>
      <c r="D23" s="1272">
        <f>'Teen Births_Trend'!AN5</f>
        <v>21.993094229370861</v>
      </c>
    </row>
    <row r="24" spans="1:4" x14ac:dyDescent="0.25">
      <c r="A24">
        <v>1999</v>
      </c>
      <c r="B24" s="1272">
        <f>VLOOKUP(Profile!I3,TeenBirths_Trend,41,FALSE)</f>
        <v>40.520260130065033</v>
      </c>
      <c r="C24" s="1272">
        <f>VLOOKUP(Profile!K3,TeenBirths_Trend,41,FALSE)</f>
        <v>25.422437567612867</v>
      </c>
      <c r="D24" s="1272">
        <f>'Teen Births_Trend'!AO5</f>
        <v>21.672451714894493</v>
      </c>
    </row>
    <row r="25" spans="1:4" x14ac:dyDescent="0.25">
      <c r="A25">
        <v>2000</v>
      </c>
      <c r="B25" s="1272">
        <f>VLOOKUP(Profile!I3,TeenBirths_Trend,42,FALSE)</f>
        <v>34.803723188992308</v>
      </c>
      <c r="C25" s="1272">
        <f>VLOOKUP(Profile!K3,TeenBirths_Trend,42,FALSE)</f>
        <v>24.942933231881302</v>
      </c>
      <c r="D25" s="1272">
        <f>'Teen Births_Trend'!AP5</f>
        <v>20.498076279692203</v>
      </c>
    </row>
    <row r="26" spans="1:4" x14ac:dyDescent="0.25">
      <c r="A26">
        <v>2001</v>
      </c>
      <c r="B26" s="1272">
        <f>VLOOKUP(Profile!I3,TeenBirths_Trend,43,FALSE)</f>
        <v>23.668639053254438</v>
      </c>
      <c r="C26" s="1272">
        <f>VLOOKUP(Profile!K3,TeenBirths_Trend,43,FALSE)</f>
        <v>24.200348308497308</v>
      </c>
      <c r="D26" s="1272">
        <f>'Teen Births_Trend'!AQ5</f>
        <v>19.688543968751606</v>
      </c>
    </row>
    <row r="27" spans="1:4" x14ac:dyDescent="0.25">
      <c r="A27">
        <v>2002</v>
      </c>
      <c r="B27" s="1272">
        <f>VLOOKUP(Profile!I3,TeenBirths_Trend,44,FALSE)</f>
        <v>33.307210031347964</v>
      </c>
      <c r="C27" s="1272">
        <f>VLOOKUP(Profile!K3,TeenBirths_Trend,44,FALSE)</f>
        <v>23.263812888902788</v>
      </c>
      <c r="D27" s="1272">
        <f>'Teen Births_Trend'!AR5</f>
        <v>18.674449210372391</v>
      </c>
    </row>
    <row r="28" spans="1:4" x14ac:dyDescent="0.25">
      <c r="A28">
        <v>2003</v>
      </c>
      <c r="B28" s="1272">
        <f>VLOOKUP(Profile!I3,TeenBirths_Trend,45,FALSE)</f>
        <v>33.397312859884835</v>
      </c>
      <c r="C28" s="1272">
        <f>VLOOKUP(Profile!K3,TeenBirths_Trend,45,FALSE)</f>
        <v>21.303566215447969</v>
      </c>
      <c r="D28" s="1272">
        <f>'Teen Births_Trend'!AS5</f>
        <v>17.903555881281065</v>
      </c>
    </row>
    <row r="29" spans="1:4" x14ac:dyDescent="0.25">
      <c r="A29">
        <v>2004</v>
      </c>
      <c r="B29" s="1272">
        <f>VLOOKUP(Profile!I3,TeenBirths_Trend,46,FALSE)</f>
        <v>28.974158183241972</v>
      </c>
      <c r="C29" s="1272">
        <f>VLOOKUP(Profile!K3,TeenBirths_Trend,46,FALSE)</f>
        <v>21.586554001015838</v>
      </c>
      <c r="D29" s="1272">
        <f>'Teen Births_Trend'!AT5</f>
        <v>17.707166297187989</v>
      </c>
    </row>
    <row r="30" spans="1:4" x14ac:dyDescent="0.25">
      <c r="A30">
        <v>2005</v>
      </c>
      <c r="B30" s="1272">
        <f>VLOOKUP(Profile!I3,TeenBirths_Trend,47,FALSE)</f>
        <v>34.194831013916499</v>
      </c>
      <c r="C30" s="1272">
        <f>VLOOKUP(Profile!K3,TeenBirths_Trend,47,FALSE)</f>
        <v>21.111042222084446</v>
      </c>
      <c r="D30" s="1272">
        <f>'Teen Births_Trend'!AU5</f>
        <v>17.591687162315662</v>
      </c>
    </row>
    <row r="31" spans="1:4" x14ac:dyDescent="0.25">
      <c r="A31">
        <v>2006</v>
      </c>
      <c r="B31" s="1272">
        <f>VLOOKUP(Profile!I3,TeenBirths_Trend,48,FALSE)</f>
        <v>32.271241830065364</v>
      </c>
      <c r="C31" s="1272">
        <f>VLOOKUP(Profile!K3,TeenBirths_Trend,48,FALSE)</f>
        <v>21.461512562932111</v>
      </c>
      <c r="D31" s="1272">
        <f>'Teen Births_Trend'!AV5</f>
        <v>18.306180625228926</v>
      </c>
    </row>
    <row r="32" spans="1:4" x14ac:dyDescent="0.25">
      <c r="A32">
        <v>2007</v>
      </c>
      <c r="B32" s="1272">
        <f>VLOOKUP(Profile!I3,TeenBirths_Trend,49,FALSE)</f>
        <v>37.663986457892513</v>
      </c>
      <c r="C32" s="1272">
        <f>VLOOKUP(Profile!K3,TeenBirths_Trend,49,FALSE)</f>
        <v>21.50318710748461</v>
      </c>
      <c r="D32" s="1272">
        <f>'Teen Births_Trend'!AW5</f>
        <v>18.39683066850121</v>
      </c>
    </row>
    <row r="33" spans="1:4" x14ac:dyDescent="0.25">
      <c r="A33">
        <v>2008</v>
      </c>
      <c r="B33" s="1272">
        <f>VLOOKUP(Profile!I3,TeenBirths_Trend,50,FALSE)</f>
        <v>32.77274687365243</v>
      </c>
      <c r="C33" s="1272">
        <f>VLOOKUP(Profile!K3,TeenBirths_Trend,50,FALSE)</f>
        <v>20.230346309403437</v>
      </c>
      <c r="D33" s="1272">
        <f>'Teen Births_Trend'!AX5</f>
        <v>17.690427455734188</v>
      </c>
    </row>
    <row r="34" spans="1:4" x14ac:dyDescent="0.25">
      <c r="A34">
        <v>2009</v>
      </c>
      <c r="B34" s="1272">
        <f>VLOOKUP(Profile!I3,TeenBirths_Trend,51,FALSE)</f>
        <v>21.557413110426747</v>
      </c>
      <c r="C34" s="1272">
        <f>VLOOKUP(Profile!K3,TeenBirths_Trend,51,FALSE)</f>
        <v>19.306958769150995</v>
      </c>
      <c r="D34" s="1272">
        <f>'Teen Births_Trend'!AY5</f>
        <v>16.372318054611284</v>
      </c>
    </row>
    <row r="35" spans="1:4" x14ac:dyDescent="0.25">
      <c r="A35">
        <v>2010</v>
      </c>
      <c r="B35" s="1272">
        <f>VLOOKUP(Profile!I3,TeenBirths_Trend,52,FALSE)</f>
        <v>29.168959823885526</v>
      </c>
      <c r="C35" s="1272">
        <f>VLOOKUP(Profile!K3,TeenBirths_Trend,52,FALSE)</f>
        <v>17.725513398910337</v>
      </c>
      <c r="D35" s="1272">
        <f>'Teen Births_Trend'!AZ5</f>
        <v>14.340618588477803</v>
      </c>
    </row>
    <row r="36" spans="1:4" x14ac:dyDescent="0.25">
      <c r="A36">
        <v>2011</v>
      </c>
      <c r="B36" s="1272">
        <f>VLOOKUP(Profile!I3,TeenBirths_Trend,53,FALSE)</f>
        <v>23.982152816508645</v>
      </c>
      <c r="C36" s="1272">
        <f>VLOOKUP(Profile!K3,TeenBirths_Trend,53,FALSE)</f>
        <v>15.679046633170904</v>
      </c>
      <c r="D36" s="1272">
        <f>'Teen Births_Trend'!BA5</f>
        <v>12.702167795404645</v>
      </c>
    </row>
    <row r="37" spans="1:4" x14ac:dyDescent="0.25">
      <c r="A37">
        <v>2012</v>
      </c>
      <c r="B37" s="1272">
        <f>VLOOKUP(Profile!I3,TeenBirths_Trend,54,FALSE)</f>
        <v>18.212862834376779</v>
      </c>
      <c r="C37" s="1272">
        <f>VLOOKUP(Profile!K3,TeenBirths_Trend,54,FALSE)</f>
        <v>14.462774596119328</v>
      </c>
      <c r="D37" s="1272">
        <f>'Teen Births_Trend'!BB5</f>
        <v>11.846432840922917</v>
      </c>
    </row>
    <row r="38" spans="1:4" x14ac:dyDescent="0.25">
      <c r="A38">
        <v>2013</v>
      </c>
      <c r="B38" s="1272">
        <f>VLOOKUP(Profile!I3,TeenBirths_Trend,55,FALSE)</f>
        <v>13.248847926267281</v>
      </c>
      <c r="C38" s="1272">
        <f>VLOOKUP(Profile!K3,TeenBirths_Trend,55,FALSE)</f>
        <v>12.424590006041555</v>
      </c>
      <c r="D38" s="1272">
        <f>'Teen Births_Trend'!BC5</f>
        <v>10.25553965050911</v>
      </c>
    </row>
    <row r="39" spans="1:4" x14ac:dyDescent="0.25">
      <c r="A39">
        <v>2014</v>
      </c>
      <c r="B39" s="1871">
        <f>VLOOKUP(Profile!I3,TeenBirths_Trend,56,FALSE)</f>
        <v>17.793594306049823</v>
      </c>
      <c r="C39" s="1272">
        <f>VLOOKUP(Profile!K3,TeenBirths_Trend,56,FALSE)</f>
        <v>10.34276433883238</v>
      </c>
      <c r="D39" s="1272">
        <f>'Teen Births_Trend'!BD5</f>
        <v>9.405709207785387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29"/>
  <sheetViews>
    <sheetView topLeftCell="A100" workbookViewId="0">
      <selection activeCell="A126" sqref="A126:H126"/>
    </sheetView>
  </sheetViews>
  <sheetFormatPr defaultRowHeight="15.75" x14ac:dyDescent="0.25"/>
  <cols>
    <col min="1" max="1" width="5.875" style="529" customWidth="1"/>
    <col min="2" max="2" width="30.25" style="529" customWidth="1"/>
    <col min="3" max="3" width="12.375" style="529" customWidth="1"/>
    <col min="4" max="8" width="10.875" style="529" customWidth="1"/>
    <col min="9" max="9" width="2.5" style="529" customWidth="1"/>
    <col min="10" max="16384" width="9" style="529"/>
  </cols>
  <sheetData>
    <row r="1" spans="1:8" x14ac:dyDescent="0.25">
      <c r="A1" s="258" t="s">
        <v>1260</v>
      </c>
    </row>
    <row r="3" spans="1:8" ht="31.5" x14ac:dyDescent="0.25">
      <c r="A3" s="637" t="s">
        <v>4</v>
      </c>
      <c r="B3" s="592" t="s">
        <v>5</v>
      </c>
      <c r="C3" s="592" t="s">
        <v>251</v>
      </c>
      <c r="D3" s="530" t="s">
        <v>741</v>
      </c>
      <c r="E3" s="530" t="s">
        <v>827</v>
      </c>
      <c r="F3" s="1832" t="s">
        <v>873</v>
      </c>
      <c r="G3" s="1832" t="s">
        <v>1105</v>
      </c>
      <c r="H3" s="1832" t="s">
        <v>1261</v>
      </c>
    </row>
    <row r="4" spans="1:8" x14ac:dyDescent="0.25">
      <c r="A4" s="597">
        <v>999</v>
      </c>
      <c r="B4" s="630" t="s">
        <v>9</v>
      </c>
      <c r="C4" s="593"/>
      <c r="D4" s="557">
        <v>171923</v>
      </c>
      <c r="E4" s="557">
        <v>160579</v>
      </c>
      <c r="F4" s="1583">
        <v>144465</v>
      </c>
      <c r="G4" s="1583">
        <v>129063</v>
      </c>
      <c r="H4" s="1583">
        <v>115414</v>
      </c>
    </row>
    <row r="5" spans="1:8" x14ac:dyDescent="0.25">
      <c r="A5" s="548" t="s">
        <v>10</v>
      </c>
      <c r="B5" s="594" t="s">
        <v>11</v>
      </c>
      <c r="C5" s="594" t="s">
        <v>264</v>
      </c>
      <c r="D5" s="549">
        <v>1127</v>
      </c>
      <c r="E5" s="551">
        <v>1131</v>
      </c>
      <c r="F5" s="551">
        <v>974</v>
      </c>
      <c r="G5" s="1833">
        <v>833</v>
      </c>
      <c r="H5" s="1833">
        <v>759</v>
      </c>
    </row>
    <row r="6" spans="1:8" x14ac:dyDescent="0.25">
      <c r="A6" s="632" t="s">
        <v>12</v>
      </c>
      <c r="B6" s="633" t="s">
        <v>13</v>
      </c>
      <c r="C6" s="633" t="s">
        <v>265</v>
      </c>
      <c r="D6" s="551">
        <v>746</v>
      </c>
      <c r="E6" s="551">
        <v>837</v>
      </c>
      <c r="F6" s="551">
        <v>813</v>
      </c>
      <c r="G6" s="1833">
        <v>734</v>
      </c>
      <c r="H6" s="1833">
        <v>701</v>
      </c>
    </row>
    <row r="7" spans="1:8" x14ac:dyDescent="0.25">
      <c r="A7" s="632" t="s">
        <v>16</v>
      </c>
      <c r="B7" s="633" t="s">
        <v>297</v>
      </c>
      <c r="C7" s="633" t="s">
        <v>265</v>
      </c>
      <c r="D7" s="551">
        <v>528</v>
      </c>
      <c r="E7" s="551">
        <v>512</v>
      </c>
      <c r="F7" s="551">
        <v>476</v>
      </c>
      <c r="G7" s="1833">
        <v>440</v>
      </c>
      <c r="H7" s="1833">
        <v>425</v>
      </c>
    </row>
    <row r="8" spans="1:8" x14ac:dyDescent="0.25">
      <c r="A8" s="632" t="s">
        <v>18</v>
      </c>
      <c r="B8" s="633" t="s">
        <v>19</v>
      </c>
      <c r="C8" s="633" t="s">
        <v>266</v>
      </c>
      <c r="D8" s="551">
        <v>408</v>
      </c>
      <c r="E8" s="551">
        <v>378</v>
      </c>
      <c r="F8" s="551">
        <v>275</v>
      </c>
      <c r="G8" s="1833">
        <v>207</v>
      </c>
      <c r="H8" s="1833">
        <v>118</v>
      </c>
    </row>
    <row r="9" spans="1:8" x14ac:dyDescent="0.25">
      <c r="A9" s="632" t="s">
        <v>20</v>
      </c>
      <c r="B9" s="633" t="s">
        <v>21</v>
      </c>
      <c r="C9" s="633" t="s">
        <v>265</v>
      </c>
      <c r="D9" s="551">
        <v>538</v>
      </c>
      <c r="E9" s="551">
        <v>539</v>
      </c>
      <c r="F9" s="551">
        <v>456</v>
      </c>
      <c r="G9" s="1833">
        <v>412</v>
      </c>
      <c r="H9" s="1833">
        <v>404</v>
      </c>
    </row>
    <row r="10" spans="1:8" x14ac:dyDescent="0.25">
      <c r="A10" s="632" t="s">
        <v>22</v>
      </c>
      <c r="B10" s="633" t="s">
        <v>23</v>
      </c>
      <c r="C10" s="633" t="s">
        <v>265</v>
      </c>
      <c r="D10" s="551">
        <v>477</v>
      </c>
      <c r="E10" s="551">
        <v>523</v>
      </c>
      <c r="F10" s="551">
        <v>492</v>
      </c>
      <c r="G10" s="1833">
        <v>402</v>
      </c>
      <c r="H10" s="1833">
        <v>329</v>
      </c>
    </row>
    <row r="11" spans="1:8" x14ac:dyDescent="0.25">
      <c r="A11" s="632" t="s">
        <v>24</v>
      </c>
      <c r="B11" s="633" t="s">
        <v>25</v>
      </c>
      <c r="C11" s="633" t="s">
        <v>267</v>
      </c>
      <c r="D11" s="551">
        <v>1512</v>
      </c>
      <c r="E11" s="551">
        <v>1315</v>
      </c>
      <c r="F11" s="551">
        <v>1111</v>
      </c>
      <c r="G11" s="1833">
        <v>1037</v>
      </c>
      <c r="H11" s="1833">
        <v>978</v>
      </c>
    </row>
    <row r="12" spans="1:8" x14ac:dyDescent="0.25">
      <c r="A12" s="632" t="s">
        <v>26</v>
      </c>
      <c r="B12" s="633" t="s">
        <v>686</v>
      </c>
      <c r="C12" s="633" t="s">
        <v>265</v>
      </c>
      <c r="D12" s="551">
        <v>3125</v>
      </c>
      <c r="E12" s="551">
        <v>2949</v>
      </c>
      <c r="F12" s="551">
        <v>2534</v>
      </c>
      <c r="G12" s="1833">
        <v>1941</v>
      </c>
      <c r="H12" s="1833">
        <v>1827</v>
      </c>
    </row>
    <row r="13" spans="1:8" x14ac:dyDescent="0.25">
      <c r="A13" s="632" t="s">
        <v>27</v>
      </c>
      <c r="B13" s="633" t="s">
        <v>28</v>
      </c>
      <c r="C13" s="633" t="s">
        <v>265</v>
      </c>
      <c r="D13" s="551">
        <v>42</v>
      </c>
      <c r="E13" s="551">
        <v>24</v>
      </c>
      <c r="F13" s="551">
        <v>24</v>
      </c>
      <c r="G13" s="1833">
        <v>13</v>
      </c>
      <c r="H13" s="1833">
        <v>10</v>
      </c>
    </row>
    <row r="14" spans="1:8" x14ac:dyDescent="0.25">
      <c r="A14" s="632" t="s">
        <v>29</v>
      </c>
      <c r="B14" s="633" t="s">
        <v>924</v>
      </c>
      <c r="C14" s="633" t="s">
        <v>265</v>
      </c>
      <c r="D14" s="551">
        <v>1163</v>
      </c>
      <c r="E14" s="551">
        <v>1046</v>
      </c>
      <c r="F14" s="551">
        <v>1082</v>
      </c>
      <c r="G14" s="1833">
        <v>877</v>
      </c>
      <c r="H14" s="1833">
        <v>769</v>
      </c>
    </row>
    <row r="15" spans="1:8" x14ac:dyDescent="0.25">
      <c r="A15" s="632" t="s">
        <v>30</v>
      </c>
      <c r="B15" s="633" t="s">
        <v>31</v>
      </c>
      <c r="C15" s="633" t="s">
        <v>268</v>
      </c>
      <c r="D15" s="551">
        <v>103</v>
      </c>
      <c r="E15" s="551">
        <v>85</v>
      </c>
      <c r="F15" s="551">
        <v>78</v>
      </c>
      <c r="G15" s="1833">
        <v>67</v>
      </c>
      <c r="H15" s="1833">
        <v>82</v>
      </c>
    </row>
    <row r="16" spans="1:8" x14ac:dyDescent="0.25">
      <c r="A16" s="632" t="s">
        <v>32</v>
      </c>
      <c r="B16" s="633" t="s">
        <v>33</v>
      </c>
      <c r="C16" s="633" t="s">
        <v>265</v>
      </c>
      <c r="D16" s="551">
        <v>238</v>
      </c>
      <c r="E16" s="551">
        <v>212</v>
      </c>
      <c r="F16" s="551">
        <v>175</v>
      </c>
      <c r="G16" s="1833">
        <v>166</v>
      </c>
      <c r="H16" s="1833">
        <v>184</v>
      </c>
    </row>
    <row r="17" spans="1:8" x14ac:dyDescent="0.25">
      <c r="A17" s="632" t="s">
        <v>36</v>
      </c>
      <c r="B17" s="633" t="s">
        <v>37</v>
      </c>
      <c r="C17" s="633" t="s">
        <v>264</v>
      </c>
      <c r="D17" s="551">
        <v>595</v>
      </c>
      <c r="E17" s="551">
        <v>545</v>
      </c>
      <c r="F17" s="551">
        <v>501</v>
      </c>
      <c r="G17" s="1833">
        <v>448</v>
      </c>
      <c r="H17" s="1833">
        <v>371</v>
      </c>
    </row>
    <row r="18" spans="1:8" x14ac:dyDescent="0.25">
      <c r="A18" s="632" t="s">
        <v>38</v>
      </c>
      <c r="B18" s="633" t="s">
        <v>39</v>
      </c>
      <c r="C18" s="633" t="s">
        <v>268</v>
      </c>
      <c r="D18" s="551">
        <v>611</v>
      </c>
      <c r="E18" s="551">
        <v>724</v>
      </c>
      <c r="F18" s="551">
        <v>693</v>
      </c>
      <c r="G18" s="1833">
        <v>648</v>
      </c>
      <c r="H18" s="1833">
        <v>545</v>
      </c>
    </row>
    <row r="19" spans="1:8" x14ac:dyDescent="0.25">
      <c r="A19" s="632" t="s">
        <v>40</v>
      </c>
      <c r="B19" s="633" t="s">
        <v>41</v>
      </c>
      <c r="C19" s="633" t="s">
        <v>266</v>
      </c>
      <c r="D19" s="551">
        <v>430</v>
      </c>
      <c r="E19" s="551">
        <v>416</v>
      </c>
      <c r="F19" s="551">
        <v>335</v>
      </c>
      <c r="G19" s="1833">
        <v>303</v>
      </c>
      <c r="H19" s="1833">
        <v>297</v>
      </c>
    </row>
    <row r="20" spans="1:8" x14ac:dyDescent="0.25">
      <c r="A20" s="632" t="s">
        <v>42</v>
      </c>
      <c r="B20" s="633" t="s">
        <v>43</v>
      </c>
      <c r="C20" s="633" t="s">
        <v>265</v>
      </c>
      <c r="D20" s="551">
        <v>1562</v>
      </c>
      <c r="E20" s="551">
        <v>1382</v>
      </c>
      <c r="F20" s="551">
        <v>1204</v>
      </c>
      <c r="G20" s="1833">
        <v>1043</v>
      </c>
      <c r="H20" s="1833">
        <v>991</v>
      </c>
    </row>
    <row r="21" spans="1:8" x14ac:dyDescent="0.25">
      <c r="A21" s="632" t="s">
        <v>44</v>
      </c>
      <c r="B21" s="633" t="s">
        <v>45</v>
      </c>
      <c r="C21" s="633" t="s">
        <v>266</v>
      </c>
      <c r="D21" s="551">
        <v>1048</v>
      </c>
      <c r="E21" s="551">
        <v>959</v>
      </c>
      <c r="F21" s="551">
        <v>850</v>
      </c>
      <c r="G21" s="1833">
        <v>716</v>
      </c>
      <c r="H21" s="1833">
        <v>608</v>
      </c>
    </row>
    <row r="22" spans="1:8" x14ac:dyDescent="0.25">
      <c r="A22" s="632" t="s">
        <v>46</v>
      </c>
      <c r="B22" s="633" t="s">
        <v>47</v>
      </c>
      <c r="C22" s="633" t="s">
        <v>268</v>
      </c>
      <c r="D22" s="551">
        <v>704</v>
      </c>
      <c r="E22" s="551">
        <v>585</v>
      </c>
      <c r="F22" s="551">
        <v>502</v>
      </c>
      <c r="G22" s="1833">
        <v>428</v>
      </c>
      <c r="H22" s="1833">
        <v>348</v>
      </c>
    </row>
    <row r="23" spans="1:8" x14ac:dyDescent="0.25">
      <c r="A23" s="632" t="s">
        <v>48</v>
      </c>
      <c r="B23" s="633" t="s">
        <v>269</v>
      </c>
      <c r="C23" s="633" t="s">
        <v>266</v>
      </c>
      <c r="D23" s="551">
        <v>125</v>
      </c>
      <c r="E23" s="551">
        <v>96</v>
      </c>
      <c r="F23" s="551">
        <v>70</v>
      </c>
      <c r="G23" s="1833">
        <v>78</v>
      </c>
      <c r="H23" s="1833">
        <v>69</v>
      </c>
    </row>
    <row r="24" spans="1:8" x14ac:dyDescent="0.25">
      <c r="A24" s="632" t="s">
        <v>50</v>
      </c>
      <c r="B24" s="633" t="s">
        <v>51</v>
      </c>
      <c r="C24" s="633" t="s">
        <v>265</v>
      </c>
      <c r="D24" s="551">
        <v>508</v>
      </c>
      <c r="E24" s="551">
        <v>504</v>
      </c>
      <c r="F24" s="551">
        <v>424</v>
      </c>
      <c r="G24" s="1833">
        <v>339</v>
      </c>
      <c r="H24" s="1833">
        <v>265</v>
      </c>
    </row>
    <row r="25" spans="1:8" x14ac:dyDescent="0.25">
      <c r="A25" s="632" t="s">
        <v>56</v>
      </c>
      <c r="B25" s="633" t="s">
        <v>295</v>
      </c>
      <c r="C25" s="633" t="s">
        <v>266</v>
      </c>
      <c r="D25" s="551">
        <v>5765</v>
      </c>
      <c r="E25" s="551">
        <v>5269</v>
      </c>
      <c r="F25" s="551">
        <v>4534</v>
      </c>
      <c r="G25" s="1833">
        <v>3722</v>
      </c>
      <c r="H25" s="1833">
        <v>3141</v>
      </c>
    </row>
    <row r="26" spans="1:8" x14ac:dyDescent="0.25">
      <c r="A26" s="632" t="s">
        <v>58</v>
      </c>
      <c r="B26" s="633" t="s">
        <v>59</v>
      </c>
      <c r="C26" s="633" t="s">
        <v>267</v>
      </c>
      <c r="D26" s="551">
        <v>117</v>
      </c>
      <c r="E26" s="551">
        <v>114</v>
      </c>
      <c r="F26" s="551">
        <v>80</v>
      </c>
      <c r="G26" s="1833">
        <v>48</v>
      </c>
      <c r="H26" s="1833">
        <v>39</v>
      </c>
    </row>
    <row r="27" spans="1:8" x14ac:dyDescent="0.25">
      <c r="A27" s="632" t="s">
        <v>60</v>
      </c>
      <c r="B27" s="633" t="s">
        <v>61</v>
      </c>
      <c r="C27" s="633" t="s">
        <v>265</v>
      </c>
      <c r="D27" s="551">
        <v>78</v>
      </c>
      <c r="E27" s="551">
        <v>59</v>
      </c>
      <c r="F27" s="551">
        <v>61</v>
      </c>
      <c r="G27" s="1833">
        <v>66</v>
      </c>
      <c r="H27" s="1833">
        <v>64</v>
      </c>
    </row>
    <row r="28" spans="1:8" x14ac:dyDescent="0.25">
      <c r="A28" s="632" t="s">
        <v>62</v>
      </c>
      <c r="B28" s="633" t="s">
        <v>63</v>
      </c>
      <c r="C28" s="633" t="s">
        <v>267</v>
      </c>
      <c r="D28" s="551">
        <v>932</v>
      </c>
      <c r="E28" s="551">
        <v>900</v>
      </c>
      <c r="F28" s="551">
        <v>792</v>
      </c>
      <c r="G28" s="1833">
        <v>658</v>
      </c>
      <c r="H28" s="1833">
        <v>636</v>
      </c>
    </row>
    <row r="29" spans="1:8" x14ac:dyDescent="0.25">
      <c r="A29" s="632" t="s">
        <v>64</v>
      </c>
      <c r="B29" s="633" t="s">
        <v>65</v>
      </c>
      <c r="C29" s="633" t="s">
        <v>266</v>
      </c>
      <c r="D29" s="551">
        <v>336</v>
      </c>
      <c r="E29" s="551">
        <v>399</v>
      </c>
      <c r="F29" s="551">
        <v>328</v>
      </c>
      <c r="G29" s="1833">
        <v>290</v>
      </c>
      <c r="H29" s="1833">
        <v>237</v>
      </c>
    </row>
    <row r="30" spans="1:8" x14ac:dyDescent="0.25">
      <c r="A30" s="632" t="s">
        <v>68</v>
      </c>
      <c r="B30" s="633" t="s">
        <v>69</v>
      </c>
      <c r="C30" s="633" t="s">
        <v>268</v>
      </c>
      <c r="D30" s="551">
        <v>440</v>
      </c>
      <c r="E30" s="551">
        <v>343</v>
      </c>
      <c r="F30" s="551">
        <v>364</v>
      </c>
      <c r="G30" s="1833">
        <v>296</v>
      </c>
      <c r="H30" s="1833">
        <v>241</v>
      </c>
    </row>
    <row r="31" spans="1:8" x14ac:dyDescent="0.25">
      <c r="A31" s="632" t="s">
        <v>70</v>
      </c>
      <c r="B31" s="633" t="s">
        <v>71</v>
      </c>
      <c r="C31" s="633" t="s">
        <v>264</v>
      </c>
      <c r="D31" s="551">
        <v>726</v>
      </c>
      <c r="E31" s="551">
        <v>700</v>
      </c>
      <c r="F31" s="551">
        <v>694</v>
      </c>
      <c r="G31" s="1833">
        <v>573</v>
      </c>
      <c r="H31" s="1833">
        <v>476</v>
      </c>
    </row>
    <row r="32" spans="1:8" x14ac:dyDescent="0.25">
      <c r="A32" s="632" t="s">
        <v>72</v>
      </c>
      <c r="B32" s="633" t="s">
        <v>73</v>
      </c>
      <c r="C32" s="633" t="s">
        <v>266</v>
      </c>
      <c r="D32" s="551">
        <v>480</v>
      </c>
      <c r="E32" s="551">
        <v>386</v>
      </c>
      <c r="F32" s="551">
        <v>390</v>
      </c>
      <c r="G32" s="1833">
        <v>353</v>
      </c>
      <c r="H32" s="1833">
        <v>315</v>
      </c>
    </row>
    <row r="33" spans="1:8" x14ac:dyDescent="0.25">
      <c r="A33" s="632" t="s">
        <v>74</v>
      </c>
      <c r="B33" s="633" t="s">
        <v>296</v>
      </c>
      <c r="C33" s="633" t="s">
        <v>267</v>
      </c>
      <c r="D33" s="551">
        <v>8654</v>
      </c>
      <c r="E33" s="551">
        <v>8531</v>
      </c>
      <c r="F33" s="551">
        <v>7527</v>
      </c>
      <c r="G33" s="1833">
        <v>6492</v>
      </c>
      <c r="H33" s="1833">
        <v>5885</v>
      </c>
    </row>
    <row r="34" spans="1:8" x14ac:dyDescent="0.25">
      <c r="A34" s="632" t="s">
        <v>76</v>
      </c>
      <c r="B34" s="633" t="s">
        <v>77</v>
      </c>
      <c r="C34" s="633" t="s">
        <v>267</v>
      </c>
      <c r="D34" s="551">
        <v>631</v>
      </c>
      <c r="E34" s="551">
        <v>517</v>
      </c>
      <c r="F34" s="551">
        <v>450</v>
      </c>
      <c r="G34" s="1833">
        <v>402</v>
      </c>
      <c r="H34" s="1833">
        <v>382</v>
      </c>
    </row>
    <row r="35" spans="1:8" x14ac:dyDescent="0.25">
      <c r="A35" s="632" t="s">
        <v>78</v>
      </c>
      <c r="B35" s="633" t="s">
        <v>79</v>
      </c>
      <c r="C35" s="633" t="s">
        <v>268</v>
      </c>
      <c r="D35" s="551">
        <v>336</v>
      </c>
      <c r="E35" s="551">
        <v>329</v>
      </c>
      <c r="F35" s="551">
        <v>254</v>
      </c>
      <c r="G35" s="1833">
        <v>187</v>
      </c>
      <c r="H35" s="1833">
        <v>191</v>
      </c>
    </row>
    <row r="36" spans="1:8" x14ac:dyDescent="0.25">
      <c r="A36" s="632" t="s">
        <v>80</v>
      </c>
      <c r="B36" s="633" t="s">
        <v>81</v>
      </c>
      <c r="C36" s="633" t="s">
        <v>266</v>
      </c>
      <c r="D36" s="551">
        <v>286</v>
      </c>
      <c r="E36" s="551">
        <v>261</v>
      </c>
      <c r="F36" s="551">
        <v>204</v>
      </c>
      <c r="G36" s="1833">
        <v>216</v>
      </c>
      <c r="H36" s="1833">
        <v>178</v>
      </c>
    </row>
    <row r="37" spans="1:8" x14ac:dyDescent="0.25">
      <c r="A37" s="632" t="s">
        <v>84</v>
      </c>
      <c r="B37" s="633" t="s">
        <v>85</v>
      </c>
      <c r="C37" s="633" t="s">
        <v>265</v>
      </c>
      <c r="D37" s="551">
        <v>1319</v>
      </c>
      <c r="E37" s="551">
        <v>1158</v>
      </c>
      <c r="F37" s="551">
        <v>1018</v>
      </c>
      <c r="G37" s="1833">
        <v>875</v>
      </c>
      <c r="H37" s="1833">
        <v>799</v>
      </c>
    </row>
    <row r="38" spans="1:8" x14ac:dyDescent="0.25">
      <c r="A38" s="632" t="s">
        <v>86</v>
      </c>
      <c r="B38" s="633" t="s">
        <v>87</v>
      </c>
      <c r="C38" s="633" t="s">
        <v>267</v>
      </c>
      <c r="D38" s="551">
        <v>1048</v>
      </c>
      <c r="E38" s="551">
        <v>934</v>
      </c>
      <c r="F38" s="551">
        <v>648</v>
      </c>
      <c r="G38" s="1833">
        <v>395</v>
      </c>
      <c r="H38" s="1833">
        <v>401</v>
      </c>
    </row>
    <row r="39" spans="1:8" x14ac:dyDescent="0.25">
      <c r="A39" s="632" t="s">
        <v>92</v>
      </c>
      <c r="B39" s="633" t="s">
        <v>93</v>
      </c>
      <c r="C39" s="633" t="s">
        <v>268</v>
      </c>
      <c r="D39" s="551">
        <v>284</v>
      </c>
      <c r="E39" s="551">
        <v>331</v>
      </c>
      <c r="F39" s="551">
        <v>223</v>
      </c>
      <c r="G39" s="1833">
        <v>177</v>
      </c>
      <c r="H39" s="1833">
        <v>200</v>
      </c>
    </row>
    <row r="40" spans="1:8" x14ac:dyDescent="0.25">
      <c r="A40" s="632" t="s">
        <v>94</v>
      </c>
      <c r="B40" s="633" t="s">
        <v>95</v>
      </c>
      <c r="C40" s="633" t="s">
        <v>264</v>
      </c>
      <c r="D40" s="551">
        <v>543</v>
      </c>
      <c r="E40" s="551">
        <v>486</v>
      </c>
      <c r="F40" s="551">
        <v>528</v>
      </c>
      <c r="G40" s="1833">
        <v>552</v>
      </c>
      <c r="H40" s="1833">
        <v>434</v>
      </c>
    </row>
    <row r="41" spans="1:8" x14ac:dyDescent="0.25">
      <c r="A41" s="632" t="s">
        <v>96</v>
      </c>
      <c r="B41" s="633" t="s">
        <v>97</v>
      </c>
      <c r="C41" s="633" t="s">
        <v>266</v>
      </c>
      <c r="D41" s="551">
        <v>230</v>
      </c>
      <c r="E41" s="551">
        <v>178</v>
      </c>
      <c r="F41" s="551">
        <v>121</v>
      </c>
      <c r="G41" s="1833">
        <v>127</v>
      </c>
      <c r="H41" s="1833">
        <v>109</v>
      </c>
    </row>
    <row r="42" spans="1:8" x14ac:dyDescent="0.25">
      <c r="A42" s="632" t="s">
        <v>98</v>
      </c>
      <c r="B42" s="633" t="s">
        <v>99</v>
      </c>
      <c r="C42" s="633" t="s">
        <v>268</v>
      </c>
      <c r="D42" s="551">
        <v>263</v>
      </c>
      <c r="E42" s="551">
        <v>251</v>
      </c>
      <c r="F42" s="551">
        <v>251</v>
      </c>
      <c r="G42" s="1833">
        <v>201</v>
      </c>
      <c r="H42" s="1833">
        <v>139</v>
      </c>
    </row>
    <row r="43" spans="1:8" x14ac:dyDescent="0.25">
      <c r="A43" s="632" t="s">
        <v>100</v>
      </c>
      <c r="B43" s="633" t="s">
        <v>101</v>
      </c>
      <c r="C43" s="633" t="s">
        <v>267</v>
      </c>
      <c r="D43" s="551">
        <v>286</v>
      </c>
      <c r="E43" s="551">
        <v>220</v>
      </c>
      <c r="F43" s="551">
        <v>202</v>
      </c>
      <c r="G43" s="1833">
        <v>253</v>
      </c>
      <c r="H43" s="1833">
        <v>266</v>
      </c>
    </row>
    <row r="44" spans="1:8" x14ac:dyDescent="0.25">
      <c r="A44" s="632" t="s">
        <v>102</v>
      </c>
      <c r="B44" s="633" t="s">
        <v>282</v>
      </c>
      <c r="C44" s="633" t="s">
        <v>264</v>
      </c>
      <c r="D44" s="551">
        <v>803</v>
      </c>
      <c r="E44" s="551">
        <v>824</v>
      </c>
      <c r="F44" s="551">
        <v>835</v>
      </c>
      <c r="G44" s="1833">
        <v>720</v>
      </c>
      <c r="H44" s="1833">
        <v>595</v>
      </c>
    </row>
    <row r="45" spans="1:8" x14ac:dyDescent="0.25">
      <c r="A45" s="632" t="s">
        <v>104</v>
      </c>
      <c r="B45" s="633" t="s">
        <v>105</v>
      </c>
      <c r="C45" s="633" t="s">
        <v>265</v>
      </c>
      <c r="D45" s="551">
        <v>1150</v>
      </c>
      <c r="E45" s="551">
        <v>1053</v>
      </c>
      <c r="F45" s="551">
        <v>945</v>
      </c>
      <c r="G45" s="1833">
        <v>858</v>
      </c>
      <c r="H45" s="1833">
        <v>780</v>
      </c>
    </row>
    <row r="46" spans="1:8" x14ac:dyDescent="0.25">
      <c r="A46" s="632" t="s">
        <v>108</v>
      </c>
      <c r="B46" s="633" t="s">
        <v>109</v>
      </c>
      <c r="C46" s="633" t="s">
        <v>266</v>
      </c>
      <c r="D46" s="551">
        <v>834</v>
      </c>
      <c r="E46" s="551">
        <v>731</v>
      </c>
      <c r="F46" s="551">
        <v>718</v>
      </c>
      <c r="G46" s="1833">
        <v>577</v>
      </c>
      <c r="H46" s="1833">
        <v>498</v>
      </c>
    </row>
    <row r="47" spans="1:8" x14ac:dyDescent="0.25">
      <c r="A47" s="632" t="s">
        <v>110</v>
      </c>
      <c r="B47" s="633" t="s">
        <v>111</v>
      </c>
      <c r="C47" s="633" t="s">
        <v>266</v>
      </c>
      <c r="D47" s="551">
        <v>7735</v>
      </c>
      <c r="E47" s="551">
        <v>6921</v>
      </c>
      <c r="F47" s="551">
        <v>6110</v>
      </c>
      <c r="G47" s="1833">
        <v>5607</v>
      </c>
      <c r="H47" s="1833">
        <v>4879</v>
      </c>
    </row>
    <row r="48" spans="1:8" x14ac:dyDescent="0.25">
      <c r="A48" s="632" t="s">
        <v>112</v>
      </c>
      <c r="B48" s="633" t="s">
        <v>300</v>
      </c>
      <c r="C48" s="633" t="s">
        <v>265</v>
      </c>
      <c r="D48" s="551">
        <v>2620</v>
      </c>
      <c r="E48" s="551">
        <v>2347</v>
      </c>
      <c r="F48" s="551">
        <v>2086</v>
      </c>
      <c r="G48" s="1833">
        <v>1990</v>
      </c>
      <c r="H48" s="1833">
        <v>1830</v>
      </c>
    </row>
    <row r="49" spans="1:8" x14ac:dyDescent="0.25">
      <c r="A49" s="632" t="s">
        <v>114</v>
      </c>
      <c r="B49" s="633" t="s">
        <v>115</v>
      </c>
      <c r="C49" s="633" t="s">
        <v>265</v>
      </c>
      <c r="D49" s="551">
        <v>8</v>
      </c>
      <c r="E49" s="551">
        <v>12</v>
      </c>
      <c r="F49" s="551">
        <v>9</v>
      </c>
      <c r="G49" s="1833">
        <v>10</v>
      </c>
      <c r="H49" s="1833">
        <v>12</v>
      </c>
    </row>
    <row r="50" spans="1:8" x14ac:dyDescent="0.25">
      <c r="A50" s="632" t="s">
        <v>118</v>
      </c>
      <c r="B50" s="633" t="s">
        <v>270</v>
      </c>
      <c r="C50" s="633" t="s">
        <v>264</v>
      </c>
      <c r="D50" s="551">
        <v>709</v>
      </c>
      <c r="E50" s="551">
        <v>632</v>
      </c>
      <c r="F50" s="551">
        <v>556</v>
      </c>
      <c r="G50" s="1833">
        <v>477</v>
      </c>
      <c r="H50" s="1833">
        <v>460</v>
      </c>
    </row>
    <row r="51" spans="1:8" x14ac:dyDescent="0.25">
      <c r="A51" s="632" t="s">
        <v>120</v>
      </c>
      <c r="B51" s="633" t="s">
        <v>121</v>
      </c>
      <c r="C51" s="633" t="s">
        <v>264</v>
      </c>
      <c r="D51" s="551">
        <v>836</v>
      </c>
      <c r="E51" s="551">
        <v>881</v>
      </c>
      <c r="F51" s="551">
        <v>767</v>
      </c>
      <c r="G51" s="1833">
        <v>717</v>
      </c>
      <c r="H51" s="1833">
        <v>725</v>
      </c>
    </row>
    <row r="52" spans="1:8" x14ac:dyDescent="0.25">
      <c r="A52" s="632" t="s">
        <v>122</v>
      </c>
      <c r="B52" s="633" t="s">
        <v>287</v>
      </c>
      <c r="C52" s="633" t="s">
        <v>266</v>
      </c>
      <c r="D52" s="551">
        <v>145</v>
      </c>
      <c r="E52" s="551">
        <v>133</v>
      </c>
      <c r="F52" s="551">
        <v>134</v>
      </c>
      <c r="G52" s="1833">
        <v>180</v>
      </c>
      <c r="H52" s="1833">
        <v>134</v>
      </c>
    </row>
    <row r="53" spans="1:8" x14ac:dyDescent="0.25">
      <c r="A53" s="632" t="s">
        <v>124</v>
      </c>
      <c r="B53" s="633" t="s">
        <v>125</v>
      </c>
      <c r="C53" s="633" t="s">
        <v>267</v>
      </c>
      <c r="D53" s="551">
        <v>338</v>
      </c>
      <c r="E53" s="551">
        <v>367</v>
      </c>
      <c r="F53" s="551">
        <v>361</v>
      </c>
      <c r="G53" s="1833">
        <v>268</v>
      </c>
      <c r="H53" s="1833">
        <v>293</v>
      </c>
    </row>
    <row r="54" spans="1:8" x14ac:dyDescent="0.25">
      <c r="A54" s="632" t="s">
        <v>126</v>
      </c>
      <c r="B54" s="633" t="s">
        <v>127</v>
      </c>
      <c r="C54" s="633" t="s">
        <v>266</v>
      </c>
      <c r="D54" s="551">
        <v>246</v>
      </c>
      <c r="E54" s="551">
        <v>231</v>
      </c>
      <c r="F54" s="551">
        <v>218</v>
      </c>
      <c r="G54" s="1833">
        <v>169</v>
      </c>
      <c r="H54" s="1833">
        <v>127</v>
      </c>
    </row>
    <row r="55" spans="1:8" x14ac:dyDescent="0.25">
      <c r="A55" s="632" t="s">
        <v>128</v>
      </c>
      <c r="B55" s="633" t="s">
        <v>129</v>
      </c>
      <c r="C55" s="633" t="s">
        <v>266</v>
      </c>
      <c r="D55" s="551">
        <v>295</v>
      </c>
      <c r="E55" s="551">
        <v>216</v>
      </c>
      <c r="F55" s="551">
        <v>197</v>
      </c>
      <c r="G55" s="1833">
        <v>178</v>
      </c>
      <c r="H55" s="1833">
        <v>186</v>
      </c>
    </row>
    <row r="56" spans="1:8" x14ac:dyDescent="0.25">
      <c r="A56" s="632" t="s">
        <v>130</v>
      </c>
      <c r="B56" s="633" t="s">
        <v>131</v>
      </c>
      <c r="C56" s="633" t="s">
        <v>268</v>
      </c>
      <c r="D56" s="551">
        <v>1403</v>
      </c>
      <c r="E56" s="551">
        <v>1402</v>
      </c>
      <c r="F56" s="551">
        <v>1263</v>
      </c>
      <c r="G56" s="1833">
        <v>1126</v>
      </c>
      <c r="H56" s="1833">
        <v>1042</v>
      </c>
    </row>
    <row r="57" spans="1:8" x14ac:dyDescent="0.25">
      <c r="A57" s="632" t="s">
        <v>132</v>
      </c>
      <c r="B57" s="633" t="s">
        <v>133</v>
      </c>
      <c r="C57" s="633" t="s">
        <v>267</v>
      </c>
      <c r="D57" s="551">
        <v>1523</v>
      </c>
      <c r="E57" s="551">
        <v>1438</v>
      </c>
      <c r="F57" s="551">
        <v>1300</v>
      </c>
      <c r="G57" s="1833">
        <v>1338</v>
      </c>
      <c r="H57" s="1833">
        <v>1271</v>
      </c>
    </row>
    <row r="58" spans="1:8" x14ac:dyDescent="0.25">
      <c r="A58" s="632" t="s">
        <v>134</v>
      </c>
      <c r="B58" s="633" t="s">
        <v>135</v>
      </c>
      <c r="C58" s="633" t="s">
        <v>267</v>
      </c>
      <c r="D58" s="551">
        <v>567</v>
      </c>
      <c r="E58" s="551">
        <v>603</v>
      </c>
      <c r="F58" s="551">
        <v>539</v>
      </c>
      <c r="G58" s="1833">
        <v>490</v>
      </c>
      <c r="H58" s="1833">
        <v>411</v>
      </c>
    </row>
    <row r="59" spans="1:8" x14ac:dyDescent="0.25">
      <c r="A59" s="632" t="s">
        <v>136</v>
      </c>
      <c r="B59" s="633" t="s">
        <v>137</v>
      </c>
      <c r="C59" s="633" t="s">
        <v>266</v>
      </c>
      <c r="D59" s="551">
        <v>412</v>
      </c>
      <c r="E59" s="551">
        <v>336</v>
      </c>
      <c r="F59" s="551">
        <v>326</v>
      </c>
      <c r="G59" s="1833">
        <v>211</v>
      </c>
      <c r="H59" s="1833">
        <v>170</v>
      </c>
    </row>
    <row r="60" spans="1:8" x14ac:dyDescent="0.25">
      <c r="A60" s="632" t="s">
        <v>140</v>
      </c>
      <c r="B60" s="633" t="s">
        <v>141</v>
      </c>
      <c r="C60" s="633" t="s">
        <v>267</v>
      </c>
      <c r="D60" s="551">
        <v>152</v>
      </c>
      <c r="E60" s="551">
        <v>143</v>
      </c>
      <c r="F60" s="551">
        <v>135</v>
      </c>
      <c r="G60" s="1833">
        <v>134</v>
      </c>
      <c r="H60" s="1833">
        <v>95</v>
      </c>
    </row>
    <row r="61" spans="1:8" x14ac:dyDescent="0.25">
      <c r="A61" s="632" t="s">
        <v>146</v>
      </c>
      <c r="B61" s="633" t="s">
        <v>147</v>
      </c>
      <c r="C61" s="633" t="s">
        <v>264</v>
      </c>
      <c r="D61" s="551">
        <v>113</v>
      </c>
      <c r="E61" s="551">
        <v>123</v>
      </c>
      <c r="F61" s="551">
        <v>92</v>
      </c>
      <c r="G61" s="1833">
        <v>81</v>
      </c>
      <c r="H61" s="1833">
        <v>78</v>
      </c>
    </row>
    <row r="62" spans="1:8" x14ac:dyDescent="0.25">
      <c r="A62" s="632" t="s">
        <v>148</v>
      </c>
      <c r="B62" s="633" t="s">
        <v>149</v>
      </c>
      <c r="C62" s="633" t="s">
        <v>265</v>
      </c>
      <c r="D62" s="551">
        <v>814</v>
      </c>
      <c r="E62" s="551">
        <v>814</v>
      </c>
      <c r="F62" s="551">
        <v>813</v>
      </c>
      <c r="G62" s="1833">
        <v>638</v>
      </c>
      <c r="H62" s="1833">
        <v>506</v>
      </c>
    </row>
    <row r="63" spans="1:8" x14ac:dyDescent="0.25">
      <c r="A63" s="632" t="s">
        <v>150</v>
      </c>
      <c r="B63" s="633" t="s">
        <v>151</v>
      </c>
      <c r="C63" s="633" t="s">
        <v>266</v>
      </c>
      <c r="D63" s="551">
        <v>253</v>
      </c>
      <c r="E63" s="551">
        <v>282</v>
      </c>
      <c r="F63" s="551">
        <v>331</v>
      </c>
      <c r="G63" s="1833">
        <v>233</v>
      </c>
      <c r="H63" s="1833">
        <v>232</v>
      </c>
    </row>
    <row r="64" spans="1:8" x14ac:dyDescent="0.25">
      <c r="A64" s="632" t="s">
        <v>152</v>
      </c>
      <c r="B64" s="633" t="s">
        <v>153</v>
      </c>
      <c r="C64" s="633" t="s">
        <v>268</v>
      </c>
      <c r="D64" s="551">
        <v>1851</v>
      </c>
      <c r="E64" s="551">
        <v>1570</v>
      </c>
      <c r="F64" s="551">
        <v>1424</v>
      </c>
      <c r="G64" s="1833">
        <v>1148</v>
      </c>
      <c r="H64" s="1833">
        <v>1082</v>
      </c>
    </row>
    <row r="65" spans="1:8" x14ac:dyDescent="0.25">
      <c r="A65" s="632" t="s">
        <v>154</v>
      </c>
      <c r="B65" s="633" t="s">
        <v>155</v>
      </c>
      <c r="C65" s="633" t="s">
        <v>265</v>
      </c>
      <c r="D65" s="551">
        <v>241</v>
      </c>
      <c r="E65" s="551">
        <v>217</v>
      </c>
      <c r="F65" s="551">
        <v>189</v>
      </c>
      <c r="G65" s="1833">
        <v>191</v>
      </c>
      <c r="H65" s="1833">
        <v>220</v>
      </c>
    </row>
    <row r="66" spans="1:8" x14ac:dyDescent="0.25">
      <c r="A66" s="632" t="s">
        <v>156</v>
      </c>
      <c r="B66" s="633" t="s">
        <v>157</v>
      </c>
      <c r="C66" s="633" t="s">
        <v>266</v>
      </c>
      <c r="D66" s="551">
        <v>266</v>
      </c>
      <c r="E66" s="551">
        <v>219</v>
      </c>
      <c r="F66" s="551">
        <v>196</v>
      </c>
      <c r="G66" s="1833">
        <v>197</v>
      </c>
      <c r="H66" s="1833">
        <v>210</v>
      </c>
    </row>
    <row r="67" spans="1:8" x14ac:dyDescent="0.25">
      <c r="A67" s="632" t="s">
        <v>162</v>
      </c>
      <c r="B67" s="633" t="s">
        <v>163</v>
      </c>
      <c r="C67" s="633" t="s">
        <v>264</v>
      </c>
      <c r="D67" s="551">
        <v>552</v>
      </c>
      <c r="E67" s="551">
        <v>491</v>
      </c>
      <c r="F67" s="551">
        <v>428</v>
      </c>
      <c r="G67" s="1833">
        <v>380</v>
      </c>
      <c r="H67" s="1833">
        <v>267</v>
      </c>
    </row>
    <row r="68" spans="1:8" x14ac:dyDescent="0.25">
      <c r="A68" s="632" t="s">
        <v>164</v>
      </c>
      <c r="B68" s="633" t="s">
        <v>165</v>
      </c>
      <c r="C68" s="633" t="s">
        <v>266</v>
      </c>
      <c r="D68" s="551">
        <v>168</v>
      </c>
      <c r="E68" s="551">
        <v>194</v>
      </c>
      <c r="F68" s="551">
        <v>182</v>
      </c>
      <c r="G68" s="1833">
        <v>177</v>
      </c>
      <c r="H68" s="1833">
        <v>150</v>
      </c>
    </row>
    <row r="69" spans="1:8" x14ac:dyDescent="0.25">
      <c r="A69" s="632" t="s">
        <v>168</v>
      </c>
      <c r="B69" s="633" t="s">
        <v>169</v>
      </c>
      <c r="C69" s="633" t="s">
        <v>266</v>
      </c>
      <c r="D69" s="551">
        <v>730</v>
      </c>
      <c r="E69" s="551">
        <v>737</v>
      </c>
      <c r="F69" s="551">
        <v>653</v>
      </c>
      <c r="G69" s="1833">
        <v>527</v>
      </c>
      <c r="H69" s="1833">
        <v>393</v>
      </c>
    </row>
    <row r="70" spans="1:8" x14ac:dyDescent="0.25">
      <c r="A70" s="632" t="s">
        <v>170</v>
      </c>
      <c r="B70" s="633" t="s">
        <v>171</v>
      </c>
      <c r="C70" s="633" t="s">
        <v>267</v>
      </c>
      <c r="D70" s="551">
        <v>433</v>
      </c>
      <c r="E70" s="551">
        <v>393</v>
      </c>
      <c r="F70" s="551">
        <v>408</v>
      </c>
      <c r="G70" s="1833">
        <v>440</v>
      </c>
      <c r="H70" s="1833">
        <v>437</v>
      </c>
    </row>
    <row r="71" spans="1:8" x14ac:dyDescent="0.25">
      <c r="A71" s="632" t="s">
        <v>172</v>
      </c>
      <c r="B71" s="633" t="s">
        <v>173</v>
      </c>
      <c r="C71" s="633" t="s">
        <v>267</v>
      </c>
      <c r="D71" s="551">
        <v>443</v>
      </c>
      <c r="E71" s="551">
        <v>385</v>
      </c>
      <c r="F71" s="551">
        <v>323</v>
      </c>
      <c r="G71" s="1833">
        <v>241</v>
      </c>
      <c r="H71" s="1833">
        <v>213</v>
      </c>
    </row>
    <row r="72" spans="1:8" x14ac:dyDescent="0.25">
      <c r="A72" s="632" t="s">
        <v>174</v>
      </c>
      <c r="B72" s="633" t="s">
        <v>175</v>
      </c>
      <c r="C72" s="633" t="s">
        <v>268</v>
      </c>
      <c r="D72" s="551">
        <v>664</v>
      </c>
      <c r="E72" s="551">
        <v>539</v>
      </c>
      <c r="F72" s="551">
        <v>508</v>
      </c>
      <c r="G72" s="1833">
        <v>454</v>
      </c>
      <c r="H72" s="1833">
        <v>416</v>
      </c>
    </row>
    <row r="73" spans="1:8" x14ac:dyDescent="0.25">
      <c r="A73" s="632" t="s">
        <v>178</v>
      </c>
      <c r="B73" s="633" t="s">
        <v>179</v>
      </c>
      <c r="C73" s="633" t="s">
        <v>265</v>
      </c>
      <c r="D73" s="551">
        <v>1273</v>
      </c>
      <c r="E73" s="551">
        <v>1191</v>
      </c>
      <c r="F73" s="551">
        <v>1138</v>
      </c>
      <c r="G73" s="1833">
        <v>948</v>
      </c>
      <c r="H73" s="1833">
        <v>912</v>
      </c>
    </row>
    <row r="74" spans="1:8" x14ac:dyDescent="0.25">
      <c r="A74" s="632" t="s">
        <v>182</v>
      </c>
      <c r="B74" s="633" t="s">
        <v>183</v>
      </c>
      <c r="C74" s="633" t="s">
        <v>266</v>
      </c>
      <c r="D74" s="551">
        <v>244</v>
      </c>
      <c r="E74" s="551">
        <v>246</v>
      </c>
      <c r="F74" s="551">
        <v>194</v>
      </c>
      <c r="G74" s="1833">
        <v>178</v>
      </c>
      <c r="H74" s="1833">
        <v>163</v>
      </c>
    </row>
    <row r="75" spans="1:8" x14ac:dyDescent="0.25">
      <c r="A75" s="632" t="s">
        <v>184</v>
      </c>
      <c r="B75" s="633" t="s">
        <v>185</v>
      </c>
      <c r="C75" s="633" t="s">
        <v>266</v>
      </c>
      <c r="D75" s="551">
        <v>700</v>
      </c>
      <c r="E75" s="551">
        <v>766</v>
      </c>
      <c r="F75" s="551">
        <v>680</v>
      </c>
      <c r="G75" s="1833">
        <v>572</v>
      </c>
      <c r="H75" s="1833">
        <v>495</v>
      </c>
    </row>
    <row r="76" spans="1:8" x14ac:dyDescent="0.25">
      <c r="A76" s="632" t="s">
        <v>186</v>
      </c>
      <c r="B76" s="633" t="s">
        <v>187</v>
      </c>
      <c r="C76" s="633" t="s">
        <v>264</v>
      </c>
      <c r="D76" s="551">
        <v>465</v>
      </c>
      <c r="E76" s="551">
        <v>471</v>
      </c>
      <c r="F76" s="551">
        <v>465</v>
      </c>
      <c r="G76" s="1833">
        <v>522</v>
      </c>
      <c r="H76" s="1833">
        <v>452</v>
      </c>
    </row>
    <row r="77" spans="1:8" x14ac:dyDescent="0.25">
      <c r="A77" s="632" t="s">
        <v>188</v>
      </c>
      <c r="B77" s="633" t="s">
        <v>189</v>
      </c>
      <c r="C77" s="633" t="s">
        <v>267</v>
      </c>
      <c r="D77" s="551">
        <v>7093</v>
      </c>
      <c r="E77" s="551">
        <v>6379</v>
      </c>
      <c r="F77" s="551">
        <v>5718</v>
      </c>
      <c r="G77" s="1833">
        <v>5106</v>
      </c>
      <c r="H77" s="1833">
        <v>4565</v>
      </c>
    </row>
    <row r="78" spans="1:8" x14ac:dyDescent="0.25">
      <c r="A78" s="632" t="s">
        <v>190</v>
      </c>
      <c r="B78" s="633" t="s">
        <v>191</v>
      </c>
      <c r="C78" s="633" t="s">
        <v>268</v>
      </c>
      <c r="D78" s="551">
        <v>992</v>
      </c>
      <c r="E78" s="551">
        <v>866</v>
      </c>
      <c r="F78" s="551">
        <v>814</v>
      </c>
      <c r="G78" s="1833">
        <v>665</v>
      </c>
      <c r="H78" s="1833">
        <v>534</v>
      </c>
    </row>
    <row r="79" spans="1:8" x14ac:dyDescent="0.25">
      <c r="A79" s="632" t="s">
        <v>194</v>
      </c>
      <c r="B79" s="633" t="s">
        <v>195</v>
      </c>
      <c r="C79" s="633" t="s">
        <v>267</v>
      </c>
      <c r="D79" s="551">
        <v>47</v>
      </c>
      <c r="E79" s="551">
        <v>66</v>
      </c>
      <c r="F79" s="551">
        <v>54</v>
      </c>
      <c r="G79" s="1833">
        <v>52</v>
      </c>
      <c r="H79" s="1833">
        <v>37</v>
      </c>
    </row>
    <row r="80" spans="1:8" x14ac:dyDescent="0.25">
      <c r="A80" s="632" t="s">
        <v>198</v>
      </c>
      <c r="B80" s="633" t="s">
        <v>272</v>
      </c>
      <c r="C80" s="633" t="s">
        <v>266</v>
      </c>
      <c r="D80" s="551">
        <v>208</v>
      </c>
      <c r="E80" s="551">
        <v>227</v>
      </c>
      <c r="F80" s="551">
        <v>216</v>
      </c>
      <c r="G80" s="1833">
        <v>192</v>
      </c>
      <c r="H80" s="1833">
        <v>191</v>
      </c>
    </row>
    <row r="81" spans="1:8" x14ac:dyDescent="0.25">
      <c r="A81" s="632" t="s">
        <v>202</v>
      </c>
      <c r="B81" s="633" t="s">
        <v>301</v>
      </c>
      <c r="C81" s="633" t="s">
        <v>265</v>
      </c>
      <c r="D81" s="551">
        <v>1527</v>
      </c>
      <c r="E81" s="551">
        <v>1394</v>
      </c>
      <c r="F81" s="551">
        <v>1283</v>
      </c>
      <c r="G81" s="1833">
        <v>1076</v>
      </c>
      <c r="H81" s="1833">
        <v>965</v>
      </c>
    </row>
    <row r="82" spans="1:8" x14ac:dyDescent="0.25">
      <c r="A82" s="632" t="s">
        <v>204</v>
      </c>
      <c r="B82" s="633" t="s">
        <v>293</v>
      </c>
      <c r="C82" s="633" t="s">
        <v>265</v>
      </c>
      <c r="D82" s="551">
        <v>420</v>
      </c>
      <c r="E82" s="551">
        <v>381</v>
      </c>
      <c r="F82" s="551">
        <v>396</v>
      </c>
      <c r="G82" s="1833">
        <v>305</v>
      </c>
      <c r="H82" s="1833">
        <v>277</v>
      </c>
    </row>
    <row r="83" spans="1:8" x14ac:dyDescent="0.25">
      <c r="A83" s="632" t="s">
        <v>206</v>
      </c>
      <c r="B83" s="633" t="s">
        <v>294</v>
      </c>
      <c r="C83" s="633" t="s">
        <v>267</v>
      </c>
      <c r="D83" s="551">
        <v>2001</v>
      </c>
      <c r="E83" s="551">
        <v>1886</v>
      </c>
      <c r="F83" s="551">
        <v>1638</v>
      </c>
      <c r="G83" s="1833">
        <v>1368</v>
      </c>
      <c r="H83" s="1833">
        <v>1323</v>
      </c>
    </row>
    <row r="84" spans="1:8" x14ac:dyDescent="0.25">
      <c r="A84" s="632" t="s">
        <v>208</v>
      </c>
      <c r="B84" s="633" t="s">
        <v>209</v>
      </c>
      <c r="C84" s="633" t="s">
        <v>268</v>
      </c>
      <c r="D84" s="551">
        <v>1113</v>
      </c>
      <c r="E84" s="551">
        <v>1094</v>
      </c>
      <c r="F84" s="551">
        <v>1050</v>
      </c>
      <c r="G84" s="1833">
        <v>839</v>
      </c>
      <c r="H84" s="1833">
        <v>740</v>
      </c>
    </row>
    <row r="85" spans="1:8" x14ac:dyDescent="0.25">
      <c r="A85" s="632" t="s">
        <v>210</v>
      </c>
      <c r="B85" s="633" t="s">
        <v>211</v>
      </c>
      <c r="C85" s="633" t="s">
        <v>268</v>
      </c>
      <c r="D85" s="551">
        <v>963</v>
      </c>
      <c r="E85" s="551">
        <v>829</v>
      </c>
      <c r="F85" s="551">
        <v>768</v>
      </c>
      <c r="G85" s="1833">
        <v>712</v>
      </c>
      <c r="H85" s="1833">
        <v>608</v>
      </c>
    </row>
    <row r="86" spans="1:8" x14ac:dyDescent="0.25">
      <c r="A86" s="632" t="s">
        <v>212</v>
      </c>
      <c r="B86" s="633" t="s">
        <v>213</v>
      </c>
      <c r="C86" s="633" t="s">
        <v>267</v>
      </c>
      <c r="D86" s="551">
        <v>397</v>
      </c>
      <c r="E86" s="551">
        <v>329</v>
      </c>
      <c r="F86" s="551">
        <v>297</v>
      </c>
      <c r="G86" s="1833">
        <v>323</v>
      </c>
      <c r="H86" s="1833">
        <v>274</v>
      </c>
    </row>
    <row r="87" spans="1:8" x14ac:dyDescent="0.25">
      <c r="A87" s="632" t="s">
        <v>214</v>
      </c>
      <c r="B87" s="633" t="s">
        <v>215</v>
      </c>
      <c r="C87" s="633" t="s">
        <v>268</v>
      </c>
      <c r="D87" s="551">
        <v>1138</v>
      </c>
      <c r="E87" s="551">
        <v>1054</v>
      </c>
      <c r="F87" s="551">
        <v>976</v>
      </c>
      <c r="G87" s="1833">
        <v>898</v>
      </c>
      <c r="H87" s="1833">
        <v>744</v>
      </c>
    </row>
    <row r="88" spans="1:8" x14ac:dyDescent="0.25">
      <c r="A88" s="632" t="s">
        <v>216</v>
      </c>
      <c r="B88" s="633" t="s">
        <v>217</v>
      </c>
      <c r="C88" s="633" t="s">
        <v>264</v>
      </c>
      <c r="D88" s="551">
        <v>676</v>
      </c>
      <c r="E88" s="551">
        <v>565</v>
      </c>
      <c r="F88" s="551">
        <v>464</v>
      </c>
      <c r="G88" s="1833">
        <v>382</v>
      </c>
      <c r="H88" s="1833">
        <v>386</v>
      </c>
    </row>
    <row r="89" spans="1:8" x14ac:dyDescent="0.25">
      <c r="A89" s="632" t="s">
        <v>218</v>
      </c>
      <c r="B89" s="633" t="s">
        <v>219</v>
      </c>
      <c r="C89" s="633" t="s">
        <v>267</v>
      </c>
      <c r="D89" s="551">
        <v>2343</v>
      </c>
      <c r="E89" s="551">
        <v>2149</v>
      </c>
      <c r="F89" s="551">
        <v>2022</v>
      </c>
      <c r="G89" s="1833">
        <v>1991</v>
      </c>
      <c r="H89" s="1833">
        <v>1851</v>
      </c>
    </row>
    <row r="90" spans="1:8" x14ac:dyDescent="0.25">
      <c r="A90" s="632" t="s">
        <v>220</v>
      </c>
      <c r="B90" s="633" t="s">
        <v>221</v>
      </c>
      <c r="C90" s="633" t="s">
        <v>267</v>
      </c>
      <c r="D90" s="551">
        <v>1866</v>
      </c>
      <c r="E90" s="551">
        <v>1840</v>
      </c>
      <c r="F90" s="551">
        <v>1592</v>
      </c>
      <c r="G90" s="1833">
        <v>1539</v>
      </c>
      <c r="H90" s="1833">
        <v>1504</v>
      </c>
    </row>
    <row r="91" spans="1:8" x14ac:dyDescent="0.25">
      <c r="A91" s="632" t="s">
        <v>224</v>
      </c>
      <c r="B91" s="633" t="s">
        <v>225</v>
      </c>
      <c r="C91" s="633" t="s">
        <v>264</v>
      </c>
      <c r="D91" s="551">
        <v>237</v>
      </c>
      <c r="E91" s="551">
        <v>229</v>
      </c>
      <c r="F91" s="551">
        <v>195</v>
      </c>
      <c r="G91" s="1833">
        <v>167</v>
      </c>
      <c r="H91" s="1833">
        <v>142</v>
      </c>
    </row>
    <row r="92" spans="1:8" x14ac:dyDescent="0.25">
      <c r="A92" s="632" t="s">
        <v>226</v>
      </c>
      <c r="B92" s="633" t="s">
        <v>227</v>
      </c>
      <c r="C92" s="633" t="s">
        <v>264</v>
      </c>
      <c r="D92" s="551">
        <v>406</v>
      </c>
      <c r="E92" s="551">
        <v>354</v>
      </c>
      <c r="F92" s="551">
        <v>404</v>
      </c>
      <c r="G92" s="1833">
        <v>374</v>
      </c>
      <c r="H92" s="1833">
        <v>342</v>
      </c>
    </row>
    <row r="93" spans="1:8" x14ac:dyDescent="0.25">
      <c r="A93" s="632" t="s">
        <v>228</v>
      </c>
      <c r="B93" s="633" t="s">
        <v>229</v>
      </c>
      <c r="C93" s="633" t="s">
        <v>268</v>
      </c>
      <c r="D93" s="551">
        <v>1398</v>
      </c>
      <c r="E93" s="551">
        <v>1290</v>
      </c>
      <c r="F93" s="551">
        <v>1183</v>
      </c>
      <c r="G93" s="1833">
        <v>1007</v>
      </c>
      <c r="H93" s="1833">
        <v>874</v>
      </c>
    </row>
    <row r="94" spans="1:8" x14ac:dyDescent="0.25">
      <c r="A94" s="632" t="s">
        <v>232</v>
      </c>
      <c r="B94" s="633" t="s">
        <v>233</v>
      </c>
      <c r="C94" s="633" t="s">
        <v>267</v>
      </c>
      <c r="D94" s="551">
        <v>718</v>
      </c>
      <c r="E94" s="551">
        <v>687</v>
      </c>
      <c r="F94" s="551">
        <v>636</v>
      </c>
      <c r="G94" s="1833">
        <v>538</v>
      </c>
      <c r="H94" s="1833">
        <v>508</v>
      </c>
    </row>
    <row r="95" spans="1:8" x14ac:dyDescent="0.25">
      <c r="A95" s="632" t="s">
        <v>234</v>
      </c>
      <c r="B95" s="633" t="s">
        <v>235</v>
      </c>
      <c r="C95" s="633" t="s">
        <v>268</v>
      </c>
      <c r="D95" s="551">
        <v>1045</v>
      </c>
      <c r="E95" s="551">
        <v>1016</v>
      </c>
      <c r="F95" s="551">
        <v>980</v>
      </c>
      <c r="G95" s="1833">
        <v>894</v>
      </c>
      <c r="H95" s="1833">
        <v>866</v>
      </c>
    </row>
    <row r="96" spans="1:8" x14ac:dyDescent="0.25">
      <c r="A96" s="632" t="s">
        <v>236</v>
      </c>
      <c r="B96" s="633" t="s">
        <v>237</v>
      </c>
      <c r="C96" s="633" t="s">
        <v>266</v>
      </c>
      <c r="D96" s="551">
        <v>461</v>
      </c>
      <c r="E96" s="551">
        <v>417</v>
      </c>
      <c r="F96" s="551">
        <v>347</v>
      </c>
      <c r="G96" s="1833">
        <v>391</v>
      </c>
      <c r="H96" s="1833">
        <v>419</v>
      </c>
    </row>
    <row r="97" spans="1:8" x14ac:dyDescent="0.25">
      <c r="A97" s="632" t="s">
        <v>242</v>
      </c>
      <c r="B97" s="633" t="s">
        <v>243</v>
      </c>
      <c r="C97" s="633" t="s">
        <v>268</v>
      </c>
      <c r="D97" s="551">
        <v>2100</v>
      </c>
      <c r="E97" s="551">
        <v>2030</v>
      </c>
      <c r="F97" s="551">
        <v>1816</v>
      </c>
      <c r="G97" s="1833">
        <v>1451</v>
      </c>
      <c r="H97" s="1833">
        <v>1378</v>
      </c>
    </row>
    <row r="98" spans="1:8" x14ac:dyDescent="0.25">
      <c r="A98" s="632" t="s">
        <v>244</v>
      </c>
      <c r="B98" s="633" t="s">
        <v>245</v>
      </c>
      <c r="C98" s="633" t="s">
        <v>268</v>
      </c>
      <c r="D98" s="551">
        <v>706</v>
      </c>
      <c r="E98" s="551">
        <v>540</v>
      </c>
      <c r="F98" s="551">
        <v>526</v>
      </c>
      <c r="G98" s="1833">
        <v>511</v>
      </c>
      <c r="H98" s="1833">
        <v>381</v>
      </c>
    </row>
    <row r="99" spans="1:8" x14ac:dyDescent="0.25">
      <c r="A99" s="632" t="s">
        <v>246</v>
      </c>
      <c r="B99" s="633" t="s">
        <v>247</v>
      </c>
      <c r="C99" s="633" t="s">
        <v>264</v>
      </c>
      <c r="D99" s="551">
        <v>712</v>
      </c>
      <c r="E99" s="551">
        <v>685</v>
      </c>
      <c r="F99" s="551">
        <v>639</v>
      </c>
      <c r="G99" s="1833">
        <v>583</v>
      </c>
      <c r="H99" s="1833">
        <v>589</v>
      </c>
    </row>
    <row r="100" spans="1:8" x14ac:dyDescent="0.25">
      <c r="A100" s="632" t="s">
        <v>14</v>
      </c>
      <c r="B100" s="633" t="s">
        <v>15</v>
      </c>
      <c r="C100" s="633" t="s">
        <v>267</v>
      </c>
      <c r="D100" s="551">
        <v>2346</v>
      </c>
      <c r="E100" s="551">
        <v>2184</v>
      </c>
      <c r="F100" s="551">
        <v>2134</v>
      </c>
      <c r="G100" s="1833">
        <v>2303</v>
      </c>
      <c r="H100" s="1833">
        <v>2273</v>
      </c>
    </row>
    <row r="101" spans="1:8" x14ac:dyDescent="0.25">
      <c r="A101" s="632" t="s">
        <v>34</v>
      </c>
      <c r="B101" s="633" t="s">
        <v>35</v>
      </c>
      <c r="C101" s="633" t="s">
        <v>268</v>
      </c>
      <c r="D101" s="551">
        <v>1559</v>
      </c>
      <c r="E101" s="551">
        <v>1475</v>
      </c>
      <c r="F101" s="551">
        <v>1228</v>
      </c>
      <c r="G101" s="1833">
        <v>1053</v>
      </c>
      <c r="H101" s="1833">
        <v>897</v>
      </c>
    </row>
    <row r="102" spans="1:8" x14ac:dyDescent="0.25">
      <c r="A102" s="632" t="s">
        <v>52</v>
      </c>
      <c r="B102" s="633" t="s">
        <v>53</v>
      </c>
      <c r="C102" s="633" t="s">
        <v>265</v>
      </c>
      <c r="D102" s="551">
        <v>1604</v>
      </c>
      <c r="E102" s="551">
        <v>1499</v>
      </c>
      <c r="F102" s="551">
        <v>1330</v>
      </c>
      <c r="G102" s="1833">
        <v>1213</v>
      </c>
      <c r="H102" s="1833">
        <v>1168</v>
      </c>
    </row>
    <row r="103" spans="1:8" x14ac:dyDescent="0.25">
      <c r="A103" s="632" t="s">
        <v>54</v>
      </c>
      <c r="B103" s="633" t="s">
        <v>55</v>
      </c>
      <c r="C103" s="633" t="s">
        <v>264</v>
      </c>
      <c r="D103" s="551">
        <v>5484</v>
      </c>
      <c r="E103" s="551">
        <v>5058</v>
      </c>
      <c r="F103" s="551">
        <v>4587</v>
      </c>
      <c r="G103" s="1833">
        <v>4222</v>
      </c>
      <c r="H103" s="1833">
        <v>3638</v>
      </c>
    </row>
    <row r="104" spans="1:8" x14ac:dyDescent="0.25">
      <c r="A104" s="632" t="s">
        <v>66</v>
      </c>
      <c r="B104" s="633" t="s">
        <v>67</v>
      </c>
      <c r="C104" s="633" t="s">
        <v>265</v>
      </c>
      <c r="D104" s="551">
        <v>2571</v>
      </c>
      <c r="E104" s="551">
        <v>2499</v>
      </c>
      <c r="F104" s="551">
        <v>2273</v>
      </c>
      <c r="G104" s="1833">
        <v>2144</v>
      </c>
      <c r="H104" s="1833">
        <v>1801</v>
      </c>
    </row>
    <row r="105" spans="1:8" x14ac:dyDescent="0.25">
      <c r="A105" s="632" t="s">
        <v>82</v>
      </c>
      <c r="B105" s="633" t="s">
        <v>83</v>
      </c>
      <c r="C105" s="633" t="s">
        <v>264</v>
      </c>
      <c r="D105" s="551">
        <v>748</v>
      </c>
      <c r="E105" s="551">
        <v>667</v>
      </c>
      <c r="F105" s="551">
        <v>495</v>
      </c>
      <c r="G105" s="1833">
        <v>419</v>
      </c>
      <c r="H105" s="1833">
        <v>342</v>
      </c>
    </row>
    <row r="106" spans="1:8" x14ac:dyDescent="0.25">
      <c r="A106" s="632" t="s">
        <v>88</v>
      </c>
      <c r="B106" s="633" t="s">
        <v>89</v>
      </c>
      <c r="C106" s="633" t="s">
        <v>267</v>
      </c>
      <c r="D106" s="551">
        <v>1162</v>
      </c>
      <c r="E106" s="551">
        <v>1055</v>
      </c>
      <c r="F106" s="551">
        <v>980</v>
      </c>
      <c r="G106" s="1833">
        <v>937</v>
      </c>
      <c r="H106" s="1833">
        <v>828</v>
      </c>
    </row>
    <row r="107" spans="1:8" x14ac:dyDescent="0.25">
      <c r="A107" s="632" t="s">
        <v>90</v>
      </c>
      <c r="B107" s="633" t="s">
        <v>91</v>
      </c>
      <c r="C107" s="633" t="s">
        <v>268</v>
      </c>
      <c r="D107" s="551">
        <v>426</v>
      </c>
      <c r="E107" s="551">
        <v>368</v>
      </c>
      <c r="F107" s="551">
        <v>280</v>
      </c>
      <c r="G107" s="1833">
        <v>216</v>
      </c>
      <c r="H107" s="1833">
        <v>210</v>
      </c>
    </row>
    <row r="108" spans="1:8" x14ac:dyDescent="0.25">
      <c r="A108" s="632" t="s">
        <v>106</v>
      </c>
      <c r="B108" s="633" t="s">
        <v>107</v>
      </c>
      <c r="C108" s="633" t="s">
        <v>264</v>
      </c>
      <c r="D108" s="551">
        <v>6619</v>
      </c>
      <c r="E108" s="551">
        <v>6201</v>
      </c>
      <c r="F108" s="551">
        <v>5672</v>
      </c>
      <c r="G108" s="1833">
        <v>4904</v>
      </c>
      <c r="H108" s="1833">
        <v>4587</v>
      </c>
    </row>
    <row r="109" spans="1:8" x14ac:dyDescent="0.25">
      <c r="A109" s="632" t="s">
        <v>116</v>
      </c>
      <c r="B109" s="633" t="s">
        <v>117</v>
      </c>
      <c r="C109" s="633" t="s">
        <v>266</v>
      </c>
      <c r="D109" s="551">
        <v>1610</v>
      </c>
      <c r="E109" s="551">
        <v>1604</v>
      </c>
      <c r="F109" s="551">
        <v>1555</v>
      </c>
      <c r="G109" s="1833">
        <v>1492</v>
      </c>
      <c r="H109" s="1833">
        <v>1307</v>
      </c>
    </row>
    <row r="110" spans="1:8" x14ac:dyDescent="0.25">
      <c r="A110" s="632" t="s">
        <v>138</v>
      </c>
      <c r="B110" s="633" t="s">
        <v>139</v>
      </c>
      <c r="C110" s="633" t="s">
        <v>265</v>
      </c>
      <c r="D110" s="551">
        <v>3308</v>
      </c>
      <c r="E110" s="551">
        <v>2938</v>
      </c>
      <c r="F110" s="551">
        <v>2629</v>
      </c>
      <c r="G110" s="1833">
        <v>2364</v>
      </c>
      <c r="H110" s="1833">
        <v>2038</v>
      </c>
    </row>
    <row r="111" spans="1:8" x14ac:dyDescent="0.25">
      <c r="A111" s="632" t="s">
        <v>142</v>
      </c>
      <c r="B111" s="633" t="s">
        <v>143</v>
      </c>
      <c r="C111" s="633" t="s">
        <v>267</v>
      </c>
      <c r="D111" s="551">
        <v>1176</v>
      </c>
      <c r="E111" s="551">
        <v>921</v>
      </c>
      <c r="F111" s="551">
        <v>912</v>
      </c>
      <c r="G111" s="1833">
        <v>805</v>
      </c>
      <c r="H111" s="1833">
        <v>584</v>
      </c>
    </row>
    <row r="112" spans="1:8" x14ac:dyDescent="0.25">
      <c r="A112" s="632" t="s">
        <v>144</v>
      </c>
      <c r="B112" s="633" t="s">
        <v>145</v>
      </c>
      <c r="C112" s="633" t="s">
        <v>267</v>
      </c>
      <c r="D112" s="551">
        <v>274</v>
      </c>
      <c r="E112" s="551">
        <v>250</v>
      </c>
      <c r="F112" s="551">
        <v>238</v>
      </c>
      <c r="G112" s="1833">
        <v>179</v>
      </c>
      <c r="H112" s="1833">
        <v>120</v>
      </c>
    </row>
    <row r="113" spans="1:8" x14ac:dyDescent="0.25">
      <c r="A113" s="632" t="s">
        <v>158</v>
      </c>
      <c r="B113" s="633" t="s">
        <v>159</v>
      </c>
      <c r="C113" s="633" t="s">
        <v>264</v>
      </c>
      <c r="D113" s="551">
        <v>9540</v>
      </c>
      <c r="E113" s="551">
        <v>9136</v>
      </c>
      <c r="F113" s="551">
        <v>8076</v>
      </c>
      <c r="G113" s="1833">
        <v>7354</v>
      </c>
      <c r="H113" s="1833">
        <v>7100</v>
      </c>
    </row>
    <row r="114" spans="1:8" x14ac:dyDescent="0.25">
      <c r="A114" s="632" t="s">
        <v>160</v>
      </c>
      <c r="B114" s="633" t="s">
        <v>161</v>
      </c>
      <c r="C114" s="633" t="s">
        <v>264</v>
      </c>
      <c r="D114" s="551">
        <v>11553</v>
      </c>
      <c r="E114" s="551">
        <v>10730</v>
      </c>
      <c r="F114" s="551">
        <v>9686</v>
      </c>
      <c r="G114" s="1833">
        <v>8223</v>
      </c>
      <c r="H114" s="1833">
        <v>7249</v>
      </c>
    </row>
    <row r="115" spans="1:8" x14ac:dyDescent="0.25">
      <c r="A115" s="632" t="s">
        <v>166</v>
      </c>
      <c r="B115" s="633" t="s">
        <v>167</v>
      </c>
      <c r="C115" s="633" t="s">
        <v>268</v>
      </c>
      <c r="D115" s="551">
        <v>255</v>
      </c>
      <c r="E115" s="551">
        <v>244</v>
      </c>
      <c r="F115" s="551">
        <v>259</v>
      </c>
      <c r="G115" s="1833">
        <v>247</v>
      </c>
      <c r="H115" s="1833">
        <v>214</v>
      </c>
    </row>
    <row r="116" spans="1:8" x14ac:dyDescent="0.25">
      <c r="A116" s="632" t="s">
        <v>176</v>
      </c>
      <c r="B116" s="633" t="s">
        <v>177</v>
      </c>
      <c r="C116" s="633" t="s">
        <v>266</v>
      </c>
      <c r="D116" s="551">
        <v>2741</v>
      </c>
      <c r="E116" s="551">
        <v>2556</v>
      </c>
      <c r="F116" s="551">
        <v>2420</v>
      </c>
      <c r="G116" s="1833">
        <v>2387</v>
      </c>
      <c r="H116" s="1833">
        <v>2118</v>
      </c>
    </row>
    <row r="117" spans="1:8" x14ac:dyDescent="0.25">
      <c r="A117" s="632" t="s">
        <v>180</v>
      </c>
      <c r="B117" s="633" t="s">
        <v>181</v>
      </c>
      <c r="C117" s="633" t="s">
        <v>264</v>
      </c>
      <c r="D117" s="551">
        <v>5988</v>
      </c>
      <c r="E117" s="551">
        <v>5595</v>
      </c>
      <c r="F117" s="551">
        <v>5054</v>
      </c>
      <c r="G117" s="1833">
        <v>4647</v>
      </c>
      <c r="H117" s="1833">
        <v>4200</v>
      </c>
    </row>
    <row r="118" spans="1:8" x14ac:dyDescent="0.25">
      <c r="A118" s="632" t="s">
        <v>192</v>
      </c>
      <c r="B118" s="633" t="s">
        <v>193</v>
      </c>
      <c r="C118" s="633" t="s">
        <v>268</v>
      </c>
      <c r="D118" s="551">
        <v>434</v>
      </c>
      <c r="E118" s="551">
        <v>402</v>
      </c>
      <c r="F118" s="551">
        <v>428</v>
      </c>
      <c r="G118" s="1833">
        <v>326</v>
      </c>
      <c r="H118" s="1833">
        <v>268</v>
      </c>
    </row>
    <row r="119" spans="1:8" x14ac:dyDescent="0.25">
      <c r="A119" s="632" t="s">
        <v>196</v>
      </c>
      <c r="B119" s="633" t="s">
        <v>197</v>
      </c>
      <c r="C119" s="633" t="s">
        <v>266</v>
      </c>
      <c r="D119" s="551">
        <v>13801</v>
      </c>
      <c r="E119" s="551">
        <v>12727</v>
      </c>
      <c r="F119" s="551">
        <v>11380</v>
      </c>
      <c r="G119" s="1833">
        <v>10133</v>
      </c>
      <c r="H119" s="1833">
        <v>8841</v>
      </c>
    </row>
    <row r="120" spans="1:8" x14ac:dyDescent="0.25">
      <c r="A120" s="632" t="s">
        <v>200</v>
      </c>
      <c r="B120" s="633" t="s">
        <v>201</v>
      </c>
      <c r="C120" s="633" t="s">
        <v>265</v>
      </c>
      <c r="D120" s="551">
        <v>6804</v>
      </c>
      <c r="E120" s="551">
        <v>6265</v>
      </c>
      <c r="F120" s="551">
        <v>5671</v>
      </c>
      <c r="G120" s="1833">
        <v>4992</v>
      </c>
      <c r="H120" s="1833">
        <v>4522</v>
      </c>
    </row>
    <row r="121" spans="1:8" x14ac:dyDescent="0.25">
      <c r="A121" s="632" t="s">
        <v>222</v>
      </c>
      <c r="B121" s="633" t="s">
        <v>223</v>
      </c>
      <c r="C121" s="633" t="s">
        <v>264</v>
      </c>
      <c r="D121" s="551">
        <v>2095</v>
      </c>
      <c r="E121" s="551">
        <v>2090</v>
      </c>
      <c r="F121" s="551">
        <v>2020</v>
      </c>
      <c r="G121" s="1833">
        <v>1796</v>
      </c>
      <c r="H121" s="1833">
        <v>1760</v>
      </c>
    </row>
    <row r="122" spans="1:8" x14ac:dyDescent="0.25">
      <c r="A122" s="632" t="s">
        <v>230</v>
      </c>
      <c r="B122" s="633" t="s">
        <v>231</v>
      </c>
      <c r="C122" s="633" t="s">
        <v>264</v>
      </c>
      <c r="D122" s="551">
        <v>6070</v>
      </c>
      <c r="E122" s="551">
        <v>5464</v>
      </c>
      <c r="F122" s="551">
        <v>4850</v>
      </c>
      <c r="G122" s="1833">
        <v>4088</v>
      </c>
      <c r="H122" s="1833">
        <v>3363</v>
      </c>
    </row>
    <row r="123" spans="1:8" x14ac:dyDescent="0.25">
      <c r="A123" s="632" t="s">
        <v>238</v>
      </c>
      <c r="B123" s="633" t="s">
        <v>239</v>
      </c>
      <c r="C123" s="633" t="s">
        <v>264</v>
      </c>
      <c r="D123" s="551">
        <v>283</v>
      </c>
      <c r="E123" s="551">
        <v>248</v>
      </c>
      <c r="F123" s="551">
        <v>220</v>
      </c>
      <c r="G123" s="1833">
        <v>195</v>
      </c>
      <c r="H123" s="1833">
        <v>147</v>
      </c>
    </row>
    <row r="124" spans="1:8" x14ac:dyDescent="0.25">
      <c r="A124" s="552" t="s">
        <v>240</v>
      </c>
      <c r="B124" s="541" t="s">
        <v>241</v>
      </c>
      <c r="C124" s="541" t="s">
        <v>267</v>
      </c>
      <c r="D124" s="553">
        <v>888</v>
      </c>
      <c r="E124" s="553">
        <v>782</v>
      </c>
      <c r="F124" s="553">
        <v>608</v>
      </c>
      <c r="G124" s="1834">
        <v>483</v>
      </c>
      <c r="H124" s="1834">
        <v>491</v>
      </c>
    </row>
    <row r="126" spans="1:8" ht="63.75" customHeight="1" x14ac:dyDescent="0.25">
      <c r="A126" s="2270" t="s">
        <v>1365</v>
      </c>
      <c r="B126" s="2270"/>
      <c r="C126" s="2270"/>
      <c r="D126" s="2270"/>
      <c r="E126" s="2270"/>
      <c r="F126" s="2270"/>
      <c r="G126" s="2270"/>
      <c r="H126" s="2270"/>
    </row>
    <row r="128" spans="1:8" s="412" customFormat="1" x14ac:dyDescent="0.25">
      <c r="A128" s="412" t="s">
        <v>248</v>
      </c>
    </row>
    <row r="129" spans="1:3" s="412" customFormat="1" x14ac:dyDescent="0.25">
      <c r="A129" s="413" t="s">
        <v>249</v>
      </c>
      <c r="B129" s="414" t="s">
        <v>250</v>
      </c>
      <c r="C129" s="414"/>
    </row>
  </sheetData>
  <sortState ref="A5:I124">
    <sortCondition ref="A5:A124"/>
  </sortState>
  <mergeCells count="1">
    <mergeCell ref="A126:H126"/>
  </mergeCells>
  <hyperlinks>
    <hyperlink ref="B129"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2"/>
  <sheetViews>
    <sheetView workbookViewId="0">
      <pane ySplit="4" topLeftCell="A101" activePane="bottomLeft" state="frozen"/>
      <selection pane="bottomLeft" sqref="A1:XFD1048576"/>
    </sheetView>
  </sheetViews>
  <sheetFormatPr defaultRowHeight="15.75" x14ac:dyDescent="0.25"/>
  <cols>
    <col min="1" max="1" width="5.875" style="529" customWidth="1"/>
    <col min="2" max="2" width="29.5" style="529" customWidth="1"/>
    <col min="3" max="3" width="16.25" style="529" customWidth="1"/>
    <col min="4" max="10" width="11.375" style="529" customWidth="1"/>
    <col min="11" max="11" width="3.875" style="529" customWidth="1"/>
    <col min="12" max="16384" width="9" style="529"/>
  </cols>
  <sheetData>
    <row r="1" spans="1:10" x14ac:dyDescent="0.25">
      <c r="A1" s="258" t="s">
        <v>1107</v>
      </c>
    </row>
    <row r="3" spans="1:10" ht="31.5" x14ac:dyDescent="0.25">
      <c r="A3" s="637" t="s">
        <v>4</v>
      </c>
      <c r="B3" s="592" t="s">
        <v>5</v>
      </c>
      <c r="C3" s="592" t="s">
        <v>251</v>
      </c>
      <c r="D3" s="643" t="s">
        <v>764</v>
      </c>
      <c r="E3" s="643" t="s">
        <v>765</v>
      </c>
      <c r="F3" s="643" t="s">
        <v>766</v>
      </c>
      <c r="G3" s="643" t="s">
        <v>767</v>
      </c>
      <c r="H3" s="643" t="s">
        <v>828</v>
      </c>
      <c r="I3" s="643" t="s">
        <v>874</v>
      </c>
      <c r="J3" s="1555" t="s">
        <v>1106</v>
      </c>
    </row>
    <row r="4" spans="1:10" x14ac:dyDescent="0.25">
      <c r="A4" s="640">
        <v>999</v>
      </c>
      <c r="B4" s="641" t="s">
        <v>795</v>
      </c>
      <c r="C4" s="641"/>
      <c r="D4" s="642">
        <f>SUM(D5:D124)</f>
        <v>1063886</v>
      </c>
      <c r="E4" s="642">
        <f>SUM(E5:E124)</f>
        <v>1129713</v>
      </c>
      <c r="F4" s="642">
        <f>SUM(F5:F124)</f>
        <v>1188712</v>
      </c>
      <c r="G4" s="642">
        <f>SUM(G5:G124)</f>
        <v>1236732</v>
      </c>
      <c r="H4" s="954">
        <f>SUM(H5:H124)</f>
        <v>1291480</v>
      </c>
      <c r="I4" s="954">
        <v>1313599</v>
      </c>
      <c r="J4" s="1556">
        <v>1389412</v>
      </c>
    </row>
    <row r="5" spans="1:10" s="636" customFormat="1" x14ac:dyDescent="0.25">
      <c r="A5" s="632" t="s">
        <v>10</v>
      </c>
      <c r="B5" s="633" t="s">
        <v>11</v>
      </c>
      <c r="C5" s="633" t="s">
        <v>264</v>
      </c>
      <c r="D5" s="634">
        <v>7838</v>
      </c>
      <c r="E5" s="634">
        <v>7933</v>
      </c>
      <c r="F5" s="634">
        <v>8275</v>
      </c>
      <c r="G5" s="635">
        <v>8453</v>
      </c>
      <c r="H5" s="955">
        <v>8723</v>
      </c>
      <c r="I5" s="955">
        <v>8834</v>
      </c>
      <c r="J5" s="1557">
        <v>9118</v>
      </c>
    </row>
    <row r="6" spans="1:10" s="636" customFormat="1" x14ac:dyDescent="0.25">
      <c r="A6" s="632" t="s">
        <v>12</v>
      </c>
      <c r="B6" s="633" t="s">
        <v>13</v>
      </c>
      <c r="C6" s="633" t="s">
        <v>265</v>
      </c>
      <c r="D6" s="634">
        <v>8176</v>
      </c>
      <c r="E6" s="634">
        <v>8802</v>
      </c>
      <c r="F6" s="634">
        <v>9342</v>
      </c>
      <c r="G6" s="635">
        <v>9739</v>
      </c>
      <c r="H6" s="955">
        <v>10033</v>
      </c>
      <c r="I6" s="955">
        <v>10311</v>
      </c>
      <c r="J6" s="1557">
        <v>11019</v>
      </c>
    </row>
    <row r="7" spans="1:10" s="636" customFormat="1" x14ac:dyDescent="0.25">
      <c r="A7" s="632" t="s">
        <v>16</v>
      </c>
      <c r="B7" s="633" t="s">
        <v>297</v>
      </c>
      <c r="C7" s="633" t="s">
        <v>265</v>
      </c>
      <c r="D7" s="634">
        <v>4828</v>
      </c>
      <c r="E7" s="634">
        <v>4948</v>
      </c>
      <c r="F7" s="634">
        <v>5104</v>
      </c>
      <c r="G7" s="635">
        <v>5268</v>
      </c>
      <c r="H7" s="955">
        <v>5201</v>
      </c>
      <c r="I7" s="955">
        <v>5268</v>
      </c>
      <c r="J7" s="1557">
        <v>5544</v>
      </c>
    </row>
    <row r="8" spans="1:10" s="636" customFormat="1" x14ac:dyDescent="0.25">
      <c r="A8" s="632" t="s">
        <v>18</v>
      </c>
      <c r="B8" s="633" t="s">
        <v>19</v>
      </c>
      <c r="C8" s="633" t="s">
        <v>266</v>
      </c>
      <c r="D8" s="634">
        <v>2246</v>
      </c>
      <c r="E8" s="634">
        <v>2521</v>
      </c>
      <c r="F8" s="634">
        <v>2605</v>
      </c>
      <c r="G8" s="635">
        <v>2798</v>
      </c>
      <c r="H8" s="955">
        <v>2751</v>
      </c>
      <c r="I8" s="955">
        <v>2678</v>
      </c>
      <c r="J8" s="1557">
        <v>2712</v>
      </c>
    </row>
    <row r="9" spans="1:10" s="636" customFormat="1" x14ac:dyDescent="0.25">
      <c r="A9" s="632" t="s">
        <v>20</v>
      </c>
      <c r="B9" s="633" t="s">
        <v>21</v>
      </c>
      <c r="C9" s="633" t="s">
        <v>265</v>
      </c>
      <c r="D9" s="634">
        <v>5174</v>
      </c>
      <c r="E9" s="634">
        <v>5467</v>
      </c>
      <c r="F9" s="634">
        <v>5594</v>
      </c>
      <c r="G9" s="635">
        <v>5642</v>
      </c>
      <c r="H9" s="955">
        <v>5907</v>
      </c>
      <c r="I9" s="955">
        <v>5814</v>
      </c>
      <c r="J9" s="1557">
        <v>6134</v>
      </c>
    </row>
    <row r="10" spans="1:10" s="636" customFormat="1" x14ac:dyDescent="0.25">
      <c r="A10" s="632" t="s">
        <v>22</v>
      </c>
      <c r="B10" s="633" t="s">
        <v>23</v>
      </c>
      <c r="C10" s="633" t="s">
        <v>265</v>
      </c>
      <c r="D10" s="634">
        <v>2975</v>
      </c>
      <c r="E10" s="634">
        <v>3152</v>
      </c>
      <c r="F10" s="634">
        <v>3225</v>
      </c>
      <c r="G10" s="635">
        <v>3410</v>
      </c>
      <c r="H10" s="955">
        <v>3595</v>
      </c>
      <c r="I10" s="955">
        <v>3521</v>
      </c>
      <c r="J10" s="1557">
        <v>3731</v>
      </c>
    </row>
    <row r="11" spans="1:10" s="636" customFormat="1" x14ac:dyDescent="0.25">
      <c r="A11" s="632" t="s">
        <v>24</v>
      </c>
      <c r="B11" s="633" t="s">
        <v>25</v>
      </c>
      <c r="C11" s="633" t="s">
        <v>267</v>
      </c>
      <c r="D11" s="634">
        <v>12005</v>
      </c>
      <c r="E11" s="634">
        <v>12767</v>
      </c>
      <c r="F11" s="634">
        <v>13291</v>
      </c>
      <c r="G11" s="635">
        <v>13920</v>
      </c>
      <c r="H11" s="955">
        <v>14811</v>
      </c>
      <c r="I11" s="955">
        <v>15509</v>
      </c>
      <c r="J11" s="1557">
        <v>16707</v>
      </c>
    </row>
    <row r="12" spans="1:10" s="636" customFormat="1" x14ac:dyDescent="0.25">
      <c r="A12" s="632" t="s">
        <v>26</v>
      </c>
      <c r="B12" s="633" t="s">
        <v>686</v>
      </c>
      <c r="C12" s="633" t="s">
        <v>265</v>
      </c>
      <c r="D12" s="634">
        <v>18094</v>
      </c>
      <c r="E12" s="634">
        <v>19350</v>
      </c>
      <c r="F12" s="634">
        <v>20252</v>
      </c>
      <c r="G12" s="635">
        <v>21261</v>
      </c>
      <c r="H12" s="955">
        <v>22605</v>
      </c>
      <c r="I12" s="955">
        <v>22667</v>
      </c>
      <c r="J12" s="1557">
        <v>23088</v>
      </c>
    </row>
    <row r="13" spans="1:10" s="636" customFormat="1" x14ac:dyDescent="0.25">
      <c r="A13" s="632" t="s">
        <v>27</v>
      </c>
      <c r="B13" s="633" t="s">
        <v>28</v>
      </c>
      <c r="C13" s="633" t="s">
        <v>265</v>
      </c>
      <c r="D13" s="634">
        <v>581</v>
      </c>
      <c r="E13" s="634">
        <v>645</v>
      </c>
      <c r="F13" s="634">
        <v>700</v>
      </c>
      <c r="G13" s="635">
        <v>711</v>
      </c>
      <c r="H13" s="955">
        <v>794</v>
      </c>
      <c r="I13" s="955">
        <v>736</v>
      </c>
      <c r="J13" s="1557">
        <v>847</v>
      </c>
    </row>
    <row r="14" spans="1:10" s="636" customFormat="1" x14ac:dyDescent="0.25">
      <c r="A14" s="632" t="s">
        <v>29</v>
      </c>
      <c r="B14" s="633" t="s">
        <v>924</v>
      </c>
      <c r="C14" s="633" t="s">
        <v>265</v>
      </c>
      <c r="D14" s="634">
        <v>8794</v>
      </c>
      <c r="E14" s="634">
        <v>9666</v>
      </c>
      <c r="F14" s="634">
        <v>10011</v>
      </c>
      <c r="G14" s="635">
        <v>10434</v>
      </c>
      <c r="H14" s="955">
        <v>10773</v>
      </c>
      <c r="I14" s="955">
        <v>11727</v>
      </c>
      <c r="J14" s="1557">
        <v>11159</v>
      </c>
    </row>
    <row r="15" spans="1:10" s="636" customFormat="1" x14ac:dyDescent="0.25">
      <c r="A15" s="632" t="s">
        <v>30</v>
      </c>
      <c r="B15" s="633" t="s">
        <v>31</v>
      </c>
      <c r="C15" s="633" t="s">
        <v>268</v>
      </c>
      <c r="D15" s="634">
        <v>1012</v>
      </c>
      <c r="E15" s="634">
        <v>1033</v>
      </c>
      <c r="F15" s="634">
        <v>1013</v>
      </c>
      <c r="G15" s="635">
        <v>1072</v>
      </c>
      <c r="H15" s="955">
        <v>1141</v>
      </c>
      <c r="I15" s="955">
        <v>1071</v>
      </c>
      <c r="J15" s="1557">
        <v>1135</v>
      </c>
    </row>
    <row r="16" spans="1:10" s="636" customFormat="1" x14ac:dyDescent="0.25">
      <c r="A16" s="632" t="s">
        <v>32</v>
      </c>
      <c r="B16" s="633" t="s">
        <v>33</v>
      </c>
      <c r="C16" s="633" t="s">
        <v>265</v>
      </c>
      <c r="D16" s="634">
        <v>2552</v>
      </c>
      <c r="E16" s="634">
        <v>2753</v>
      </c>
      <c r="F16" s="634">
        <v>2765</v>
      </c>
      <c r="G16" s="635">
        <v>2911</v>
      </c>
      <c r="H16" s="955">
        <v>3022</v>
      </c>
      <c r="I16" s="955">
        <v>3149</v>
      </c>
      <c r="J16" s="1557">
        <v>3509</v>
      </c>
    </row>
    <row r="17" spans="1:10" s="636" customFormat="1" x14ac:dyDescent="0.25">
      <c r="A17" s="632" t="s">
        <v>36</v>
      </c>
      <c r="B17" s="633" t="s">
        <v>37</v>
      </c>
      <c r="C17" s="633" t="s">
        <v>264</v>
      </c>
      <c r="D17" s="634">
        <v>4252</v>
      </c>
      <c r="E17" s="634">
        <v>4356</v>
      </c>
      <c r="F17" s="634">
        <v>4431</v>
      </c>
      <c r="G17" s="635">
        <v>4447</v>
      </c>
      <c r="H17" s="955">
        <v>4598</v>
      </c>
      <c r="I17" s="955">
        <v>4694</v>
      </c>
      <c r="J17" s="1557">
        <v>4883</v>
      </c>
    </row>
    <row r="18" spans="1:10" s="636" customFormat="1" x14ac:dyDescent="0.25">
      <c r="A18" s="632" t="s">
        <v>38</v>
      </c>
      <c r="B18" s="633" t="s">
        <v>39</v>
      </c>
      <c r="C18" s="633" t="s">
        <v>268</v>
      </c>
      <c r="D18" s="634">
        <v>6675</v>
      </c>
      <c r="E18" s="634">
        <v>6666</v>
      </c>
      <c r="F18" s="634">
        <v>6581</v>
      </c>
      <c r="G18" s="635">
        <v>6599</v>
      </c>
      <c r="H18" s="955">
        <v>6789</v>
      </c>
      <c r="I18" s="955">
        <v>6755</v>
      </c>
      <c r="J18" s="1557">
        <v>6989</v>
      </c>
    </row>
    <row r="19" spans="1:10" s="636" customFormat="1" x14ac:dyDescent="0.25">
      <c r="A19" s="632" t="s">
        <v>40</v>
      </c>
      <c r="B19" s="633" t="s">
        <v>41</v>
      </c>
      <c r="C19" s="633" t="s">
        <v>266</v>
      </c>
      <c r="D19" s="634">
        <v>3183</v>
      </c>
      <c r="E19" s="634">
        <v>3390</v>
      </c>
      <c r="F19" s="634">
        <v>3515</v>
      </c>
      <c r="G19" s="635">
        <v>3661</v>
      </c>
      <c r="H19" s="955">
        <v>3855</v>
      </c>
      <c r="I19" s="955">
        <v>3873</v>
      </c>
      <c r="J19" s="1557">
        <v>4087</v>
      </c>
    </row>
    <row r="20" spans="1:10" s="636" customFormat="1" x14ac:dyDescent="0.25">
      <c r="A20" s="632" t="s">
        <v>42</v>
      </c>
      <c r="B20" s="633" t="s">
        <v>43</v>
      </c>
      <c r="C20" s="633" t="s">
        <v>265</v>
      </c>
      <c r="D20" s="634">
        <v>9260</v>
      </c>
      <c r="E20" s="634">
        <v>9829</v>
      </c>
      <c r="F20" s="634">
        <v>10297</v>
      </c>
      <c r="G20" s="635">
        <v>10702</v>
      </c>
      <c r="H20" s="955">
        <v>11112</v>
      </c>
      <c r="I20" s="955">
        <v>11215</v>
      </c>
      <c r="J20" s="1557">
        <v>11752</v>
      </c>
    </row>
    <row r="21" spans="1:10" s="636" customFormat="1" x14ac:dyDescent="0.25">
      <c r="A21" s="632" t="s">
        <v>44</v>
      </c>
      <c r="B21" s="633" t="s">
        <v>45</v>
      </c>
      <c r="C21" s="633" t="s">
        <v>266</v>
      </c>
      <c r="D21" s="634">
        <v>4948</v>
      </c>
      <c r="E21" s="634">
        <v>5235</v>
      </c>
      <c r="F21" s="634">
        <v>5427</v>
      </c>
      <c r="G21" s="635">
        <v>5688</v>
      </c>
      <c r="H21" s="955">
        <v>5852</v>
      </c>
      <c r="I21" s="955">
        <v>5813</v>
      </c>
      <c r="J21" s="1557">
        <v>6396</v>
      </c>
    </row>
    <row r="22" spans="1:10" s="636" customFormat="1" x14ac:dyDescent="0.25">
      <c r="A22" s="632" t="s">
        <v>46</v>
      </c>
      <c r="B22" s="633" t="s">
        <v>47</v>
      </c>
      <c r="C22" s="633" t="s">
        <v>268</v>
      </c>
      <c r="D22" s="634">
        <v>6445</v>
      </c>
      <c r="E22" s="634">
        <v>6690</v>
      </c>
      <c r="F22" s="634">
        <v>6980</v>
      </c>
      <c r="G22" s="635">
        <v>7218</v>
      </c>
      <c r="H22" s="955">
        <v>7309</v>
      </c>
      <c r="I22" s="955">
        <v>7237</v>
      </c>
      <c r="J22" s="1557">
        <v>7486</v>
      </c>
    </row>
    <row r="23" spans="1:10" s="636" customFormat="1" x14ac:dyDescent="0.25">
      <c r="A23" s="632" t="s">
        <v>48</v>
      </c>
      <c r="B23" s="633" t="s">
        <v>269</v>
      </c>
      <c r="C23" s="633" t="s">
        <v>266</v>
      </c>
      <c r="D23" s="634">
        <v>1111</v>
      </c>
      <c r="E23" s="634">
        <v>1161</v>
      </c>
      <c r="F23" s="634">
        <v>1216</v>
      </c>
      <c r="G23" s="635">
        <v>1224</v>
      </c>
      <c r="H23" s="955">
        <v>1262</v>
      </c>
      <c r="I23" s="955">
        <v>1227</v>
      </c>
      <c r="J23" s="1557">
        <v>1344</v>
      </c>
    </row>
    <row r="24" spans="1:10" s="636" customFormat="1" x14ac:dyDescent="0.25">
      <c r="A24" s="632" t="s">
        <v>50</v>
      </c>
      <c r="B24" s="633" t="s">
        <v>51</v>
      </c>
      <c r="C24" s="633" t="s">
        <v>265</v>
      </c>
      <c r="D24" s="634">
        <v>3207</v>
      </c>
      <c r="E24" s="634">
        <v>3258</v>
      </c>
      <c r="F24" s="634">
        <v>3332</v>
      </c>
      <c r="G24" s="635">
        <v>3389</v>
      </c>
      <c r="H24" s="955">
        <v>3384</v>
      </c>
      <c r="I24" s="955">
        <v>3295</v>
      </c>
      <c r="J24" s="1557">
        <v>3441</v>
      </c>
    </row>
    <row r="25" spans="1:10" s="636" customFormat="1" x14ac:dyDescent="0.25">
      <c r="A25" s="632" t="s">
        <v>56</v>
      </c>
      <c r="B25" s="633" t="s">
        <v>295</v>
      </c>
      <c r="C25" s="633" t="s">
        <v>266</v>
      </c>
      <c r="D25" s="634">
        <v>35855</v>
      </c>
      <c r="E25" s="634">
        <v>39703</v>
      </c>
      <c r="F25" s="634">
        <v>42522</v>
      </c>
      <c r="G25" s="635">
        <v>44327</v>
      </c>
      <c r="H25" s="955">
        <v>46644</v>
      </c>
      <c r="I25" s="955">
        <v>47977</v>
      </c>
      <c r="J25" s="1557">
        <v>52998</v>
      </c>
    </row>
    <row r="26" spans="1:10" s="636" customFormat="1" x14ac:dyDescent="0.25">
      <c r="A26" s="632" t="s">
        <v>58</v>
      </c>
      <c r="B26" s="633" t="s">
        <v>59</v>
      </c>
      <c r="C26" s="633" t="s">
        <v>267</v>
      </c>
      <c r="D26" s="634">
        <v>1146</v>
      </c>
      <c r="E26" s="634">
        <v>1243</v>
      </c>
      <c r="F26" s="634">
        <v>1250</v>
      </c>
      <c r="G26" s="635">
        <v>1266</v>
      </c>
      <c r="H26" s="955">
        <v>1329</v>
      </c>
      <c r="I26" s="955">
        <v>1366</v>
      </c>
      <c r="J26" s="1557">
        <v>1380</v>
      </c>
    </row>
    <row r="27" spans="1:10" s="636" customFormat="1" x14ac:dyDescent="0.25">
      <c r="A27" s="632" t="s">
        <v>60</v>
      </c>
      <c r="B27" s="633" t="s">
        <v>61</v>
      </c>
      <c r="C27" s="633" t="s">
        <v>265</v>
      </c>
      <c r="D27" s="634">
        <v>768</v>
      </c>
      <c r="E27" s="634">
        <v>856</v>
      </c>
      <c r="F27" s="634">
        <v>908</v>
      </c>
      <c r="G27" s="635">
        <v>931</v>
      </c>
      <c r="H27" s="955">
        <v>1004</v>
      </c>
      <c r="I27" s="955">
        <v>992</v>
      </c>
      <c r="J27" s="1557">
        <v>1091</v>
      </c>
    </row>
    <row r="28" spans="1:10" s="636" customFormat="1" x14ac:dyDescent="0.25">
      <c r="A28" s="632" t="s">
        <v>62</v>
      </c>
      <c r="B28" s="633" t="s">
        <v>63</v>
      </c>
      <c r="C28" s="633" t="s">
        <v>267</v>
      </c>
      <c r="D28" s="634">
        <v>6626</v>
      </c>
      <c r="E28" s="634">
        <v>7181</v>
      </c>
      <c r="F28" s="634">
        <v>7680</v>
      </c>
      <c r="G28" s="635">
        <v>8058</v>
      </c>
      <c r="H28" s="955">
        <v>8468</v>
      </c>
      <c r="I28" s="955">
        <v>8570</v>
      </c>
      <c r="J28" s="1557">
        <v>9104</v>
      </c>
    </row>
    <row r="29" spans="1:10" s="636" customFormat="1" x14ac:dyDescent="0.25">
      <c r="A29" s="632" t="s">
        <v>64</v>
      </c>
      <c r="B29" s="633" t="s">
        <v>65</v>
      </c>
      <c r="C29" s="633" t="s">
        <v>266</v>
      </c>
      <c r="D29" s="634">
        <v>2383</v>
      </c>
      <c r="E29" s="634">
        <v>2460</v>
      </c>
      <c r="F29" s="634">
        <v>2552</v>
      </c>
      <c r="G29" s="635">
        <v>2632</v>
      </c>
      <c r="H29" s="955">
        <v>2756</v>
      </c>
      <c r="I29" s="955">
        <v>2814</v>
      </c>
      <c r="J29" s="1557">
        <v>2900</v>
      </c>
    </row>
    <row r="30" spans="1:10" s="636" customFormat="1" x14ac:dyDescent="0.25">
      <c r="A30" s="632" t="s">
        <v>68</v>
      </c>
      <c r="B30" s="633" t="s">
        <v>69</v>
      </c>
      <c r="C30" s="633" t="s">
        <v>268</v>
      </c>
      <c r="D30" s="634">
        <v>4826</v>
      </c>
      <c r="E30" s="634">
        <v>4741</v>
      </c>
      <c r="F30" s="634">
        <v>4783</v>
      </c>
      <c r="G30" s="635">
        <v>4812</v>
      </c>
      <c r="H30" s="955">
        <v>4986</v>
      </c>
      <c r="I30" s="955">
        <v>4913</v>
      </c>
      <c r="J30" s="1557">
        <v>5086</v>
      </c>
    </row>
    <row r="31" spans="1:10" s="636" customFormat="1" x14ac:dyDescent="0.25">
      <c r="A31" s="632" t="s">
        <v>70</v>
      </c>
      <c r="B31" s="633" t="s">
        <v>71</v>
      </c>
      <c r="C31" s="633" t="s">
        <v>264</v>
      </c>
      <c r="D31" s="634">
        <v>4897</v>
      </c>
      <c r="E31" s="634">
        <v>5141</v>
      </c>
      <c r="F31" s="634">
        <v>5363</v>
      </c>
      <c r="G31" s="635">
        <v>5597</v>
      </c>
      <c r="H31" s="955">
        <v>5744</v>
      </c>
      <c r="I31" s="955">
        <v>5702</v>
      </c>
      <c r="J31" s="1557">
        <v>6145</v>
      </c>
    </row>
    <row r="32" spans="1:10" s="636" customFormat="1" x14ac:dyDescent="0.25">
      <c r="A32" s="632" t="s">
        <v>72</v>
      </c>
      <c r="B32" s="633" t="s">
        <v>73</v>
      </c>
      <c r="C32" s="633" t="s">
        <v>266</v>
      </c>
      <c r="D32" s="634">
        <v>2500</v>
      </c>
      <c r="E32" s="634">
        <v>2606</v>
      </c>
      <c r="F32" s="634">
        <v>2734</v>
      </c>
      <c r="G32" s="635">
        <v>2886</v>
      </c>
      <c r="H32" s="955">
        <v>2966</v>
      </c>
      <c r="I32" s="955">
        <v>2901</v>
      </c>
      <c r="J32" s="1557">
        <v>3036</v>
      </c>
    </row>
    <row r="33" spans="1:10" s="636" customFormat="1" x14ac:dyDescent="0.25">
      <c r="A33" s="632" t="s">
        <v>74</v>
      </c>
      <c r="B33" s="633" t="s">
        <v>296</v>
      </c>
      <c r="C33" s="633" t="s">
        <v>267</v>
      </c>
      <c r="D33" s="634">
        <v>75812</v>
      </c>
      <c r="E33" s="634">
        <v>84858</v>
      </c>
      <c r="F33" s="634">
        <v>92407</v>
      </c>
      <c r="G33" s="635">
        <v>93029</v>
      </c>
      <c r="H33" s="955">
        <v>98429</v>
      </c>
      <c r="I33" s="955">
        <v>100667</v>
      </c>
      <c r="J33" s="1557">
        <v>109634</v>
      </c>
    </row>
    <row r="34" spans="1:10" s="636" customFormat="1" x14ac:dyDescent="0.25">
      <c r="A34" s="632" t="s">
        <v>76</v>
      </c>
      <c r="B34" s="633" t="s">
        <v>77</v>
      </c>
      <c r="C34" s="633" t="s">
        <v>267</v>
      </c>
      <c r="D34" s="634">
        <v>5699</v>
      </c>
      <c r="E34" s="634">
        <v>6253</v>
      </c>
      <c r="F34" s="634">
        <v>6341</v>
      </c>
      <c r="G34" s="635">
        <v>6717</v>
      </c>
      <c r="H34" s="955">
        <v>7064</v>
      </c>
      <c r="I34" s="955">
        <v>7051</v>
      </c>
      <c r="J34" s="1557">
        <v>7690</v>
      </c>
    </row>
    <row r="35" spans="1:10" s="636" customFormat="1" x14ac:dyDescent="0.25">
      <c r="A35" s="632" t="s">
        <v>78</v>
      </c>
      <c r="B35" s="633" t="s">
        <v>79</v>
      </c>
      <c r="C35" s="633" t="s">
        <v>268</v>
      </c>
      <c r="D35" s="634">
        <v>2390</v>
      </c>
      <c r="E35" s="634">
        <v>2606</v>
      </c>
      <c r="F35" s="634">
        <v>2757</v>
      </c>
      <c r="G35" s="635">
        <v>2879</v>
      </c>
      <c r="H35" s="955">
        <v>2997</v>
      </c>
      <c r="I35" s="955">
        <v>2979</v>
      </c>
      <c r="J35" s="1557">
        <v>3154</v>
      </c>
    </row>
    <row r="36" spans="1:10" s="636" customFormat="1" x14ac:dyDescent="0.25">
      <c r="A36" s="632" t="s">
        <v>80</v>
      </c>
      <c r="B36" s="633" t="s">
        <v>81</v>
      </c>
      <c r="C36" s="633" t="s">
        <v>266</v>
      </c>
      <c r="D36" s="634">
        <v>2221</v>
      </c>
      <c r="E36" s="634">
        <v>2414</v>
      </c>
      <c r="F36" s="634">
        <v>2576</v>
      </c>
      <c r="G36" s="635">
        <v>2788</v>
      </c>
      <c r="H36" s="955">
        <v>3055</v>
      </c>
      <c r="I36" s="955">
        <v>3091</v>
      </c>
      <c r="J36" s="1557">
        <v>3269</v>
      </c>
    </row>
    <row r="37" spans="1:10" s="636" customFormat="1" x14ac:dyDescent="0.25">
      <c r="A37" s="632" t="s">
        <v>84</v>
      </c>
      <c r="B37" s="633" t="s">
        <v>85</v>
      </c>
      <c r="C37" s="633" t="s">
        <v>265</v>
      </c>
      <c r="D37" s="634">
        <v>9262</v>
      </c>
      <c r="E37" s="634">
        <v>9646</v>
      </c>
      <c r="F37" s="634">
        <v>9931</v>
      </c>
      <c r="G37" s="635">
        <v>10534</v>
      </c>
      <c r="H37" s="955">
        <v>10836</v>
      </c>
      <c r="I37" s="955">
        <v>10648</v>
      </c>
      <c r="J37" s="1557">
        <v>11100</v>
      </c>
    </row>
    <row r="38" spans="1:10" s="636" customFormat="1" x14ac:dyDescent="0.25">
      <c r="A38" s="632" t="s">
        <v>86</v>
      </c>
      <c r="B38" s="633" t="s">
        <v>87</v>
      </c>
      <c r="C38" s="633" t="s">
        <v>267</v>
      </c>
      <c r="D38" s="634">
        <v>8033</v>
      </c>
      <c r="E38" s="634">
        <v>9008</v>
      </c>
      <c r="F38" s="634">
        <v>10014</v>
      </c>
      <c r="G38" s="635">
        <v>10594</v>
      </c>
      <c r="H38" s="955">
        <v>11299</v>
      </c>
      <c r="I38" s="955">
        <v>11379</v>
      </c>
      <c r="J38" s="1557">
        <v>11993</v>
      </c>
    </row>
    <row r="39" spans="1:10" s="636" customFormat="1" x14ac:dyDescent="0.25">
      <c r="A39" s="632" t="s">
        <v>92</v>
      </c>
      <c r="B39" s="633" t="s">
        <v>93</v>
      </c>
      <c r="C39" s="633" t="s">
        <v>268</v>
      </c>
      <c r="D39" s="634">
        <v>3194</v>
      </c>
      <c r="E39" s="634">
        <v>3335</v>
      </c>
      <c r="F39" s="634">
        <v>3529</v>
      </c>
      <c r="G39" s="635">
        <v>3525</v>
      </c>
      <c r="H39" s="955">
        <v>3480</v>
      </c>
      <c r="I39" s="955">
        <v>3563</v>
      </c>
      <c r="J39" s="1557">
        <v>3854</v>
      </c>
    </row>
    <row r="40" spans="1:10" s="636" customFormat="1" x14ac:dyDescent="0.25">
      <c r="A40" s="632" t="s">
        <v>94</v>
      </c>
      <c r="B40" s="633" t="s">
        <v>95</v>
      </c>
      <c r="C40" s="633" t="s">
        <v>264</v>
      </c>
      <c r="D40" s="634">
        <v>4441</v>
      </c>
      <c r="E40" s="634">
        <v>4854</v>
      </c>
      <c r="F40" s="634">
        <v>5019</v>
      </c>
      <c r="G40" s="635">
        <v>5270</v>
      </c>
      <c r="H40" s="955">
        <v>5430</v>
      </c>
      <c r="I40" s="955">
        <v>5549</v>
      </c>
      <c r="J40" s="1557">
        <v>5882</v>
      </c>
    </row>
    <row r="41" spans="1:10" s="636" customFormat="1" x14ac:dyDescent="0.25">
      <c r="A41" s="632" t="s">
        <v>96</v>
      </c>
      <c r="B41" s="633" t="s">
        <v>97</v>
      </c>
      <c r="C41" s="633" t="s">
        <v>266</v>
      </c>
      <c r="D41" s="634">
        <v>1610</v>
      </c>
      <c r="E41" s="634">
        <v>1710</v>
      </c>
      <c r="F41" s="634">
        <v>1846</v>
      </c>
      <c r="G41" s="635">
        <v>1847</v>
      </c>
      <c r="H41" s="955">
        <v>1930</v>
      </c>
      <c r="I41" s="955">
        <v>1965</v>
      </c>
      <c r="J41" s="1557">
        <v>2153</v>
      </c>
    </row>
    <row r="42" spans="1:10" s="636" customFormat="1" x14ac:dyDescent="0.25">
      <c r="A42" s="632" t="s">
        <v>98</v>
      </c>
      <c r="B42" s="633" t="s">
        <v>99</v>
      </c>
      <c r="C42" s="633" t="s">
        <v>268</v>
      </c>
      <c r="D42" s="634">
        <v>3701</v>
      </c>
      <c r="E42" s="634">
        <v>3745</v>
      </c>
      <c r="F42" s="634">
        <v>3855</v>
      </c>
      <c r="G42" s="635">
        <v>3956</v>
      </c>
      <c r="H42" s="955">
        <v>4123</v>
      </c>
      <c r="I42" s="955">
        <v>4094</v>
      </c>
      <c r="J42" s="1557">
        <v>4204</v>
      </c>
    </row>
    <row r="43" spans="1:10" s="636" customFormat="1" x14ac:dyDescent="0.25">
      <c r="A43" s="632" t="s">
        <v>100</v>
      </c>
      <c r="B43" s="633" t="s">
        <v>101</v>
      </c>
      <c r="C43" s="633" t="s">
        <v>267</v>
      </c>
      <c r="D43" s="634">
        <v>2456</v>
      </c>
      <c r="E43" s="634">
        <v>2711</v>
      </c>
      <c r="F43" s="634">
        <v>2814</v>
      </c>
      <c r="G43" s="635">
        <v>2943</v>
      </c>
      <c r="H43" s="955">
        <v>3142</v>
      </c>
      <c r="I43" s="955">
        <v>3216</v>
      </c>
      <c r="J43" s="1557">
        <v>3371</v>
      </c>
    </row>
    <row r="44" spans="1:10" s="636" customFormat="1" x14ac:dyDescent="0.25">
      <c r="A44" s="632" t="s">
        <v>102</v>
      </c>
      <c r="B44" s="633" t="s">
        <v>282</v>
      </c>
      <c r="C44" s="633" t="s">
        <v>264</v>
      </c>
      <c r="D44" s="634">
        <v>4538</v>
      </c>
      <c r="E44" s="634">
        <v>4651</v>
      </c>
      <c r="F44" s="634">
        <v>4913</v>
      </c>
      <c r="G44" s="635">
        <v>5090</v>
      </c>
      <c r="H44" s="955">
        <v>5264</v>
      </c>
      <c r="I44" s="955">
        <v>5214</v>
      </c>
      <c r="J44" s="1557">
        <v>5555</v>
      </c>
    </row>
    <row r="45" spans="1:10" s="636" customFormat="1" x14ac:dyDescent="0.25">
      <c r="A45" s="632" t="s">
        <v>104</v>
      </c>
      <c r="B45" s="633" t="s">
        <v>105</v>
      </c>
      <c r="C45" s="633" t="s">
        <v>265</v>
      </c>
      <c r="D45" s="634">
        <v>8753</v>
      </c>
      <c r="E45" s="634">
        <v>9055</v>
      </c>
      <c r="F45" s="634">
        <v>9295</v>
      </c>
      <c r="G45" s="635">
        <v>9493</v>
      </c>
      <c r="H45" s="955">
        <v>9608</v>
      </c>
      <c r="I45" s="955">
        <v>9623</v>
      </c>
      <c r="J45" s="1557">
        <v>10065</v>
      </c>
    </row>
    <row r="46" spans="1:10" s="636" customFormat="1" x14ac:dyDescent="0.25">
      <c r="A46" s="632" t="s">
        <v>108</v>
      </c>
      <c r="B46" s="633" t="s">
        <v>109</v>
      </c>
      <c r="C46" s="633" t="s">
        <v>266</v>
      </c>
      <c r="D46" s="634">
        <v>6854</v>
      </c>
      <c r="E46" s="634">
        <v>7567</v>
      </c>
      <c r="F46" s="634">
        <v>8063</v>
      </c>
      <c r="G46" s="635">
        <v>8392</v>
      </c>
      <c r="H46" s="955">
        <v>8666</v>
      </c>
      <c r="I46" s="955">
        <v>8913</v>
      </c>
      <c r="J46" s="1557">
        <v>9663</v>
      </c>
    </row>
    <row r="47" spans="1:10" s="636" customFormat="1" x14ac:dyDescent="0.25">
      <c r="A47" s="632" t="s">
        <v>110</v>
      </c>
      <c r="B47" s="633" t="s">
        <v>111</v>
      </c>
      <c r="C47" s="633" t="s">
        <v>266</v>
      </c>
      <c r="D47" s="634">
        <v>35618</v>
      </c>
      <c r="E47" s="634">
        <v>39553</v>
      </c>
      <c r="F47" s="634">
        <v>42070</v>
      </c>
      <c r="G47" s="635">
        <v>44367</v>
      </c>
      <c r="H47" s="955">
        <v>46486</v>
      </c>
      <c r="I47" s="955">
        <v>47798</v>
      </c>
      <c r="J47" s="1557">
        <v>49934</v>
      </c>
    </row>
    <row r="48" spans="1:10" s="636" customFormat="1" x14ac:dyDescent="0.25">
      <c r="A48" s="632" t="s">
        <v>112</v>
      </c>
      <c r="B48" s="633" t="s">
        <v>300</v>
      </c>
      <c r="C48" s="633" t="s">
        <v>265</v>
      </c>
      <c r="D48" s="634">
        <v>17644</v>
      </c>
      <c r="E48" s="634">
        <v>18295</v>
      </c>
      <c r="F48" s="634">
        <v>18853</v>
      </c>
      <c r="G48" s="635">
        <v>20095</v>
      </c>
      <c r="H48" s="955">
        <v>20770</v>
      </c>
      <c r="I48" s="955">
        <v>20831</v>
      </c>
      <c r="J48" s="1557">
        <v>21857</v>
      </c>
    </row>
    <row r="49" spans="1:10" s="636" customFormat="1" x14ac:dyDescent="0.25">
      <c r="A49" s="632" t="s">
        <v>114</v>
      </c>
      <c r="B49" s="633" t="s">
        <v>115</v>
      </c>
      <c r="C49" s="633" t="s">
        <v>265</v>
      </c>
      <c r="D49" s="634">
        <v>275</v>
      </c>
      <c r="E49" s="634">
        <v>261</v>
      </c>
      <c r="F49" s="634">
        <v>287</v>
      </c>
      <c r="G49" s="635">
        <v>295</v>
      </c>
      <c r="H49" s="955">
        <v>267</v>
      </c>
      <c r="I49" s="955">
        <v>351</v>
      </c>
      <c r="J49" s="1557">
        <v>442</v>
      </c>
    </row>
    <row r="50" spans="1:10" s="636" customFormat="1" x14ac:dyDescent="0.25">
      <c r="A50" s="632" t="s">
        <v>118</v>
      </c>
      <c r="B50" s="633" t="s">
        <v>270</v>
      </c>
      <c r="C50" s="633" t="s">
        <v>264</v>
      </c>
      <c r="D50" s="634">
        <v>4709</v>
      </c>
      <c r="E50" s="634">
        <v>4874</v>
      </c>
      <c r="F50" s="634">
        <v>5101</v>
      </c>
      <c r="G50" s="635">
        <v>5242</v>
      </c>
      <c r="H50" s="955">
        <v>5453</v>
      </c>
      <c r="I50" s="955">
        <v>5323</v>
      </c>
      <c r="J50" s="1557">
        <v>5693</v>
      </c>
    </row>
    <row r="51" spans="1:10" s="636" customFormat="1" x14ac:dyDescent="0.25">
      <c r="A51" s="632" t="s">
        <v>120</v>
      </c>
      <c r="B51" s="633" t="s">
        <v>121</v>
      </c>
      <c r="C51" s="633" t="s">
        <v>264</v>
      </c>
      <c r="D51" s="634">
        <v>5508</v>
      </c>
      <c r="E51" s="634">
        <v>5830</v>
      </c>
      <c r="F51" s="634">
        <v>6130</v>
      </c>
      <c r="G51" s="635">
        <v>6540</v>
      </c>
      <c r="H51" s="955">
        <v>6928</v>
      </c>
      <c r="I51" s="955">
        <v>7079</v>
      </c>
      <c r="J51" s="1557">
        <v>7542</v>
      </c>
    </row>
    <row r="52" spans="1:10" s="636" customFormat="1" x14ac:dyDescent="0.25">
      <c r="A52" s="632" t="s">
        <v>122</v>
      </c>
      <c r="B52" s="633" t="s">
        <v>287</v>
      </c>
      <c r="C52" s="633" t="s">
        <v>266</v>
      </c>
      <c r="D52" s="634">
        <v>1384</v>
      </c>
      <c r="E52" s="634">
        <v>1512</v>
      </c>
      <c r="F52" s="634">
        <v>1551</v>
      </c>
      <c r="G52" s="635">
        <v>1573</v>
      </c>
      <c r="H52" s="955">
        <v>1638</v>
      </c>
      <c r="I52" s="955">
        <v>1720</v>
      </c>
      <c r="J52" s="1557">
        <v>1765</v>
      </c>
    </row>
    <row r="53" spans="1:10" s="636" customFormat="1" x14ac:dyDescent="0.25">
      <c r="A53" s="632" t="s">
        <v>124</v>
      </c>
      <c r="B53" s="633" t="s">
        <v>125</v>
      </c>
      <c r="C53" s="633" t="s">
        <v>267</v>
      </c>
      <c r="D53" s="634">
        <v>2611</v>
      </c>
      <c r="E53" s="634">
        <v>2863</v>
      </c>
      <c r="F53" s="634">
        <v>3263</v>
      </c>
      <c r="G53" s="635">
        <v>3559</v>
      </c>
      <c r="H53" s="955">
        <v>3685</v>
      </c>
      <c r="I53" s="955">
        <v>3720</v>
      </c>
      <c r="J53" s="1557">
        <v>3985</v>
      </c>
    </row>
    <row r="54" spans="1:10" s="636" customFormat="1" x14ac:dyDescent="0.25">
      <c r="A54" s="632" t="s">
        <v>126</v>
      </c>
      <c r="B54" s="633" t="s">
        <v>127</v>
      </c>
      <c r="C54" s="633" t="s">
        <v>266</v>
      </c>
      <c r="D54" s="634">
        <v>1893</v>
      </c>
      <c r="E54" s="634">
        <v>2108</v>
      </c>
      <c r="F54" s="634">
        <v>2304</v>
      </c>
      <c r="G54" s="635">
        <v>2499</v>
      </c>
      <c r="H54" s="955">
        <v>2536</v>
      </c>
      <c r="I54" s="955">
        <v>2563</v>
      </c>
      <c r="J54" s="1557">
        <v>2623</v>
      </c>
    </row>
    <row r="55" spans="1:10" s="636" customFormat="1" x14ac:dyDescent="0.25">
      <c r="A55" s="632" t="s">
        <v>128</v>
      </c>
      <c r="B55" s="633" t="s">
        <v>129</v>
      </c>
      <c r="C55" s="633" t="s">
        <v>266</v>
      </c>
      <c r="D55" s="634">
        <v>1959</v>
      </c>
      <c r="E55" s="634">
        <v>2012</v>
      </c>
      <c r="F55" s="634">
        <v>2116</v>
      </c>
      <c r="G55" s="635">
        <v>2213</v>
      </c>
      <c r="H55" s="955">
        <v>2298</v>
      </c>
      <c r="I55" s="955">
        <v>2289</v>
      </c>
      <c r="J55" s="1557">
        <v>2376</v>
      </c>
    </row>
    <row r="56" spans="1:10" s="636" customFormat="1" x14ac:dyDescent="0.25">
      <c r="A56" s="632" t="s">
        <v>130</v>
      </c>
      <c r="B56" s="633" t="s">
        <v>131</v>
      </c>
      <c r="C56" s="633" t="s">
        <v>268</v>
      </c>
      <c r="D56" s="634">
        <v>7825</v>
      </c>
      <c r="E56" s="634">
        <v>7866</v>
      </c>
      <c r="F56" s="634">
        <v>7907</v>
      </c>
      <c r="G56" s="635">
        <v>8111</v>
      </c>
      <c r="H56" s="955">
        <v>8264</v>
      </c>
      <c r="I56" s="955">
        <v>8287</v>
      </c>
      <c r="J56" s="1557">
        <v>8384</v>
      </c>
    </row>
    <row r="57" spans="1:10" s="636" customFormat="1" x14ac:dyDescent="0.25">
      <c r="A57" s="632" t="s">
        <v>132</v>
      </c>
      <c r="B57" s="633" t="s">
        <v>133</v>
      </c>
      <c r="C57" s="633" t="s">
        <v>267</v>
      </c>
      <c r="D57" s="634">
        <v>13527</v>
      </c>
      <c r="E57" s="634">
        <v>15547</v>
      </c>
      <c r="F57" s="634">
        <v>17321</v>
      </c>
      <c r="G57" s="635">
        <v>18721</v>
      </c>
      <c r="H57" s="955">
        <v>20358</v>
      </c>
      <c r="I57" s="955">
        <v>21076</v>
      </c>
      <c r="J57" s="1557">
        <v>24210</v>
      </c>
    </row>
    <row r="58" spans="1:10" s="636" customFormat="1" x14ac:dyDescent="0.25">
      <c r="A58" s="632" t="s">
        <v>134</v>
      </c>
      <c r="B58" s="633" t="s">
        <v>135</v>
      </c>
      <c r="C58" s="633" t="s">
        <v>267</v>
      </c>
      <c r="D58" s="634">
        <v>4734</v>
      </c>
      <c r="E58" s="634">
        <v>5158</v>
      </c>
      <c r="F58" s="634">
        <v>5533</v>
      </c>
      <c r="G58" s="635">
        <v>5794</v>
      </c>
      <c r="H58" s="955">
        <v>6083</v>
      </c>
      <c r="I58" s="955">
        <v>6281</v>
      </c>
      <c r="J58" s="1557">
        <v>6853</v>
      </c>
    </row>
    <row r="59" spans="1:10" s="636" customFormat="1" x14ac:dyDescent="0.25">
      <c r="A59" s="632" t="s">
        <v>136</v>
      </c>
      <c r="B59" s="633" t="s">
        <v>137</v>
      </c>
      <c r="C59" s="633" t="s">
        <v>266</v>
      </c>
      <c r="D59" s="634">
        <v>2964</v>
      </c>
      <c r="E59" s="634">
        <v>2969</v>
      </c>
      <c r="F59" s="634">
        <v>3156</v>
      </c>
      <c r="G59" s="635">
        <v>3163</v>
      </c>
      <c r="H59" s="955">
        <v>3160</v>
      </c>
      <c r="I59" s="955">
        <v>3264</v>
      </c>
      <c r="J59" s="1557">
        <v>3422</v>
      </c>
    </row>
    <row r="60" spans="1:10" s="636" customFormat="1" x14ac:dyDescent="0.25">
      <c r="A60" s="632" t="s">
        <v>140</v>
      </c>
      <c r="B60" s="633" t="s">
        <v>141</v>
      </c>
      <c r="C60" s="633" t="s">
        <v>267</v>
      </c>
      <c r="D60" s="634">
        <v>1705</v>
      </c>
      <c r="E60" s="634">
        <v>1925</v>
      </c>
      <c r="F60" s="634">
        <v>2021</v>
      </c>
      <c r="G60" s="635">
        <v>2143</v>
      </c>
      <c r="H60" s="955">
        <v>2306</v>
      </c>
      <c r="I60" s="955">
        <v>2312</v>
      </c>
      <c r="J60" s="1557">
        <v>2483</v>
      </c>
    </row>
    <row r="61" spans="1:10" s="636" customFormat="1" x14ac:dyDescent="0.25">
      <c r="A61" s="632" t="s">
        <v>146</v>
      </c>
      <c r="B61" s="633" t="s">
        <v>147</v>
      </c>
      <c r="C61" s="633" t="s">
        <v>264</v>
      </c>
      <c r="D61" s="634">
        <v>1066</v>
      </c>
      <c r="E61" s="634">
        <v>1162</v>
      </c>
      <c r="F61" s="634">
        <v>1164</v>
      </c>
      <c r="G61" s="635">
        <v>1206</v>
      </c>
      <c r="H61" s="955">
        <v>1249</v>
      </c>
      <c r="I61" s="955">
        <v>1254</v>
      </c>
      <c r="J61" s="1557">
        <v>1352</v>
      </c>
    </row>
    <row r="62" spans="1:10" s="636" customFormat="1" x14ac:dyDescent="0.25">
      <c r="A62" s="632" t="s">
        <v>148</v>
      </c>
      <c r="B62" s="633" t="s">
        <v>149</v>
      </c>
      <c r="C62" s="633" t="s">
        <v>265</v>
      </c>
      <c r="D62" s="634">
        <v>6628</v>
      </c>
      <c r="E62" s="634">
        <v>6924</v>
      </c>
      <c r="F62" s="634">
        <v>7151</v>
      </c>
      <c r="G62" s="635">
        <v>7468</v>
      </c>
      <c r="H62" s="955">
        <v>7722</v>
      </c>
      <c r="I62" s="955">
        <v>7792</v>
      </c>
      <c r="J62" s="1557">
        <v>7996</v>
      </c>
    </row>
    <row r="63" spans="1:10" s="636" customFormat="1" x14ac:dyDescent="0.25">
      <c r="A63" s="632" t="s">
        <v>150</v>
      </c>
      <c r="B63" s="633" t="s">
        <v>151</v>
      </c>
      <c r="C63" s="633" t="s">
        <v>266</v>
      </c>
      <c r="D63" s="634">
        <v>1547</v>
      </c>
      <c r="E63" s="634">
        <v>1614</v>
      </c>
      <c r="F63" s="634">
        <v>1767</v>
      </c>
      <c r="G63" s="635">
        <v>2018</v>
      </c>
      <c r="H63" s="955">
        <v>2100</v>
      </c>
      <c r="I63" s="955">
        <v>2108</v>
      </c>
      <c r="J63" s="1557">
        <v>2268</v>
      </c>
    </row>
    <row r="64" spans="1:10" s="636" customFormat="1" x14ac:dyDescent="0.25">
      <c r="A64" s="632" t="s">
        <v>152</v>
      </c>
      <c r="B64" s="633" t="s">
        <v>153</v>
      </c>
      <c r="C64" s="633" t="s">
        <v>268</v>
      </c>
      <c r="D64" s="634">
        <v>9697</v>
      </c>
      <c r="E64" s="634">
        <v>10197</v>
      </c>
      <c r="F64" s="634">
        <v>10461</v>
      </c>
      <c r="G64" s="635">
        <v>10787</v>
      </c>
      <c r="H64" s="955">
        <v>11158</v>
      </c>
      <c r="I64" s="955">
        <v>11243</v>
      </c>
      <c r="J64" s="1557">
        <v>11453</v>
      </c>
    </row>
    <row r="65" spans="1:10" s="636" customFormat="1" x14ac:dyDescent="0.25">
      <c r="A65" s="632" t="s">
        <v>154</v>
      </c>
      <c r="B65" s="633" t="s">
        <v>155</v>
      </c>
      <c r="C65" s="633" t="s">
        <v>265</v>
      </c>
      <c r="D65" s="634">
        <v>2711</v>
      </c>
      <c r="E65" s="634">
        <v>2812</v>
      </c>
      <c r="F65" s="634">
        <v>2904</v>
      </c>
      <c r="G65" s="635">
        <v>3017</v>
      </c>
      <c r="H65" s="955">
        <v>3094</v>
      </c>
      <c r="I65" s="955">
        <v>3113</v>
      </c>
      <c r="J65" s="1557">
        <v>3327</v>
      </c>
    </row>
    <row r="66" spans="1:10" s="636" customFormat="1" x14ac:dyDescent="0.25">
      <c r="A66" s="632" t="s">
        <v>156</v>
      </c>
      <c r="B66" s="633" t="s">
        <v>157</v>
      </c>
      <c r="C66" s="633" t="s">
        <v>266</v>
      </c>
      <c r="D66" s="634">
        <v>1293</v>
      </c>
      <c r="E66" s="634">
        <v>1499</v>
      </c>
      <c r="F66" s="634">
        <v>1602</v>
      </c>
      <c r="G66" s="635">
        <v>1778</v>
      </c>
      <c r="H66" s="955">
        <v>1812</v>
      </c>
      <c r="I66" s="955">
        <v>1879</v>
      </c>
      <c r="J66" s="1557">
        <v>2187</v>
      </c>
    </row>
    <row r="67" spans="1:10" s="636" customFormat="1" x14ac:dyDescent="0.25">
      <c r="A67" s="632" t="s">
        <v>162</v>
      </c>
      <c r="B67" s="633" t="s">
        <v>163</v>
      </c>
      <c r="C67" s="633" t="s">
        <v>264</v>
      </c>
      <c r="D67" s="634">
        <v>3586</v>
      </c>
      <c r="E67" s="634">
        <v>3602</v>
      </c>
      <c r="F67" s="634">
        <v>3685</v>
      </c>
      <c r="G67" s="635">
        <v>3771</v>
      </c>
      <c r="H67" s="955">
        <v>3905</v>
      </c>
      <c r="I67" s="955">
        <v>3874</v>
      </c>
      <c r="J67" s="1557">
        <v>3933</v>
      </c>
    </row>
    <row r="68" spans="1:10" s="636" customFormat="1" x14ac:dyDescent="0.25">
      <c r="A68" s="632" t="s">
        <v>164</v>
      </c>
      <c r="B68" s="633" t="s">
        <v>165</v>
      </c>
      <c r="C68" s="633" t="s">
        <v>266</v>
      </c>
      <c r="D68" s="634">
        <v>1835</v>
      </c>
      <c r="E68" s="634">
        <v>1998</v>
      </c>
      <c r="F68" s="634">
        <v>2101</v>
      </c>
      <c r="G68" s="635">
        <v>2234</v>
      </c>
      <c r="H68" s="955">
        <v>2458</v>
      </c>
      <c r="I68" s="955">
        <v>2492</v>
      </c>
      <c r="J68" s="1557">
        <v>2579</v>
      </c>
    </row>
    <row r="69" spans="1:10" s="636" customFormat="1" x14ac:dyDescent="0.25">
      <c r="A69" s="632" t="s">
        <v>168</v>
      </c>
      <c r="B69" s="633" t="s">
        <v>169</v>
      </c>
      <c r="C69" s="633" t="s">
        <v>266</v>
      </c>
      <c r="D69" s="634">
        <v>3728</v>
      </c>
      <c r="E69" s="634">
        <v>3802</v>
      </c>
      <c r="F69" s="634">
        <v>4039</v>
      </c>
      <c r="G69" s="635">
        <v>4252</v>
      </c>
      <c r="H69" s="955">
        <v>4410</v>
      </c>
      <c r="I69" s="955">
        <v>4431</v>
      </c>
      <c r="J69" s="1557">
        <v>4600</v>
      </c>
    </row>
    <row r="70" spans="1:10" s="636" customFormat="1" x14ac:dyDescent="0.25">
      <c r="A70" s="632" t="s">
        <v>170</v>
      </c>
      <c r="B70" s="633" t="s">
        <v>171</v>
      </c>
      <c r="C70" s="633" t="s">
        <v>267</v>
      </c>
      <c r="D70" s="634">
        <v>4386</v>
      </c>
      <c r="E70" s="634">
        <v>4670</v>
      </c>
      <c r="F70" s="634">
        <v>4928</v>
      </c>
      <c r="G70" s="635">
        <v>5150</v>
      </c>
      <c r="H70" s="955">
        <v>5445</v>
      </c>
      <c r="I70" s="955">
        <v>5604</v>
      </c>
      <c r="J70" s="1557">
        <v>6030</v>
      </c>
    </row>
    <row r="71" spans="1:10" s="636" customFormat="1" x14ac:dyDescent="0.25">
      <c r="A71" s="632" t="s">
        <v>172</v>
      </c>
      <c r="B71" s="633" t="s">
        <v>173</v>
      </c>
      <c r="C71" s="633" t="s">
        <v>267</v>
      </c>
      <c r="D71" s="634">
        <v>4471</v>
      </c>
      <c r="E71" s="634">
        <v>4781</v>
      </c>
      <c r="F71" s="634">
        <v>4859</v>
      </c>
      <c r="G71" s="635">
        <v>5128</v>
      </c>
      <c r="H71" s="955">
        <v>5306</v>
      </c>
      <c r="I71" s="955">
        <v>5237</v>
      </c>
      <c r="J71" s="1557">
        <v>5512</v>
      </c>
    </row>
    <row r="72" spans="1:10" s="636" customFormat="1" x14ac:dyDescent="0.25">
      <c r="A72" s="632" t="s">
        <v>174</v>
      </c>
      <c r="B72" s="633" t="s">
        <v>175</v>
      </c>
      <c r="C72" s="633" t="s">
        <v>268</v>
      </c>
      <c r="D72" s="634">
        <v>4334</v>
      </c>
      <c r="E72" s="634">
        <v>4332</v>
      </c>
      <c r="F72" s="634">
        <v>4497</v>
      </c>
      <c r="G72" s="635">
        <v>4727</v>
      </c>
      <c r="H72" s="955">
        <v>4850</v>
      </c>
      <c r="I72" s="955">
        <v>4753</v>
      </c>
      <c r="J72" s="1557">
        <v>4882</v>
      </c>
    </row>
    <row r="73" spans="1:10" s="636" customFormat="1" x14ac:dyDescent="0.25">
      <c r="A73" s="632" t="s">
        <v>178</v>
      </c>
      <c r="B73" s="633" t="s">
        <v>179</v>
      </c>
      <c r="C73" s="633" t="s">
        <v>265</v>
      </c>
      <c r="D73" s="634">
        <v>12093</v>
      </c>
      <c r="E73" s="634">
        <v>12723</v>
      </c>
      <c r="F73" s="634">
        <v>13387</v>
      </c>
      <c r="G73" s="635">
        <v>13553</v>
      </c>
      <c r="H73" s="955">
        <v>14060</v>
      </c>
      <c r="I73" s="955">
        <v>14469</v>
      </c>
      <c r="J73" s="1557">
        <v>15185</v>
      </c>
    </row>
    <row r="74" spans="1:10" s="636" customFormat="1" x14ac:dyDescent="0.25">
      <c r="A74" s="632" t="s">
        <v>182</v>
      </c>
      <c r="B74" s="633" t="s">
        <v>183</v>
      </c>
      <c r="C74" s="633" t="s">
        <v>266</v>
      </c>
      <c r="D74" s="634">
        <v>1774</v>
      </c>
      <c r="E74" s="634">
        <v>1994</v>
      </c>
      <c r="F74" s="634">
        <v>2185</v>
      </c>
      <c r="G74" s="635">
        <v>2340</v>
      </c>
      <c r="H74" s="955">
        <v>2414</v>
      </c>
      <c r="I74" s="955">
        <v>2398</v>
      </c>
      <c r="J74" s="1557">
        <v>2552</v>
      </c>
    </row>
    <row r="75" spans="1:10" s="636" customFormat="1" x14ac:dyDescent="0.25">
      <c r="A75" s="632" t="s">
        <v>184</v>
      </c>
      <c r="B75" s="633" t="s">
        <v>185</v>
      </c>
      <c r="C75" s="633" t="s">
        <v>266</v>
      </c>
      <c r="D75" s="634">
        <v>4344</v>
      </c>
      <c r="E75" s="634">
        <v>4516</v>
      </c>
      <c r="F75" s="634">
        <v>4758</v>
      </c>
      <c r="G75" s="635">
        <v>4873</v>
      </c>
      <c r="H75" s="955">
        <v>4999</v>
      </c>
      <c r="I75" s="955">
        <v>5166</v>
      </c>
      <c r="J75" s="1557">
        <v>5249</v>
      </c>
    </row>
    <row r="76" spans="1:10" s="636" customFormat="1" x14ac:dyDescent="0.25">
      <c r="A76" s="632" t="s">
        <v>186</v>
      </c>
      <c r="B76" s="633" t="s">
        <v>187</v>
      </c>
      <c r="C76" s="633" t="s">
        <v>264</v>
      </c>
      <c r="D76" s="634">
        <v>3101</v>
      </c>
      <c r="E76" s="634">
        <v>3307</v>
      </c>
      <c r="F76" s="634">
        <v>3567</v>
      </c>
      <c r="G76" s="635">
        <v>3756</v>
      </c>
      <c r="H76" s="955">
        <v>3948</v>
      </c>
      <c r="I76" s="955">
        <v>4265</v>
      </c>
      <c r="J76" s="1557">
        <v>4774</v>
      </c>
    </row>
    <row r="77" spans="1:10" s="636" customFormat="1" x14ac:dyDescent="0.25">
      <c r="A77" s="632" t="s">
        <v>188</v>
      </c>
      <c r="B77" s="633" t="s">
        <v>189</v>
      </c>
      <c r="C77" s="633" t="s">
        <v>267</v>
      </c>
      <c r="D77" s="634">
        <v>41210</v>
      </c>
      <c r="E77" s="634">
        <v>45513</v>
      </c>
      <c r="F77" s="634">
        <v>49733</v>
      </c>
      <c r="G77" s="635">
        <v>52912</v>
      </c>
      <c r="H77" s="955">
        <v>56295</v>
      </c>
      <c r="I77" s="955">
        <v>57308</v>
      </c>
      <c r="J77" s="1557">
        <v>61561</v>
      </c>
    </row>
    <row r="78" spans="1:10" s="636" customFormat="1" x14ac:dyDescent="0.25">
      <c r="A78" s="632" t="s">
        <v>190</v>
      </c>
      <c r="B78" s="633" t="s">
        <v>191</v>
      </c>
      <c r="C78" s="633" t="s">
        <v>268</v>
      </c>
      <c r="D78" s="634">
        <v>6537</v>
      </c>
      <c r="E78" s="634">
        <v>6915</v>
      </c>
      <c r="F78" s="634">
        <v>7262</v>
      </c>
      <c r="G78" s="635">
        <v>7440</v>
      </c>
      <c r="H78" s="955">
        <v>7718</v>
      </c>
      <c r="I78" s="955">
        <v>7885</v>
      </c>
      <c r="J78" s="1557">
        <v>8022</v>
      </c>
    </row>
    <row r="79" spans="1:10" s="636" customFormat="1" x14ac:dyDescent="0.25">
      <c r="A79" s="632" t="s">
        <v>194</v>
      </c>
      <c r="B79" s="633" t="s">
        <v>195</v>
      </c>
      <c r="C79" s="633" t="s">
        <v>267</v>
      </c>
      <c r="D79" s="634">
        <v>750</v>
      </c>
      <c r="E79" s="634">
        <v>778</v>
      </c>
      <c r="F79" s="634">
        <v>857</v>
      </c>
      <c r="G79" s="635">
        <v>972</v>
      </c>
      <c r="H79" s="955">
        <v>986</v>
      </c>
      <c r="I79" s="955">
        <v>977</v>
      </c>
      <c r="J79" s="1557">
        <v>1027</v>
      </c>
    </row>
    <row r="80" spans="1:10" s="636" customFormat="1" x14ac:dyDescent="0.25">
      <c r="A80" s="632" t="s">
        <v>198</v>
      </c>
      <c r="B80" s="633" t="s">
        <v>272</v>
      </c>
      <c r="C80" s="633" t="s">
        <v>266</v>
      </c>
      <c r="D80" s="634">
        <v>1605</v>
      </c>
      <c r="E80" s="634">
        <v>1668</v>
      </c>
      <c r="F80" s="634">
        <v>1752</v>
      </c>
      <c r="G80" s="635">
        <v>1755</v>
      </c>
      <c r="H80" s="955">
        <v>1874</v>
      </c>
      <c r="I80" s="955">
        <v>1914</v>
      </c>
      <c r="J80" s="1557">
        <v>2077</v>
      </c>
    </row>
    <row r="81" spans="1:10" s="636" customFormat="1" x14ac:dyDescent="0.25">
      <c r="A81" s="632" t="s">
        <v>202</v>
      </c>
      <c r="B81" s="633" t="s">
        <v>301</v>
      </c>
      <c r="C81" s="633" t="s">
        <v>265</v>
      </c>
      <c r="D81" s="634">
        <v>11187</v>
      </c>
      <c r="E81" s="634">
        <v>12292</v>
      </c>
      <c r="F81" s="634">
        <v>13171</v>
      </c>
      <c r="G81" s="635">
        <v>13784</v>
      </c>
      <c r="H81" s="955">
        <v>14474</v>
      </c>
      <c r="I81" s="955">
        <v>14703</v>
      </c>
      <c r="J81" s="1557">
        <v>15407</v>
      </c>
    </row>
    <row r="82" spans="1:10" s="636" customFormat="1" x14ac:dyDescent="0.25">
      <c r="A82" s="632" t="s">
        <v>204</v>
      </c>
      <c r="B82" s="633" t="s">
        <v>293</v>
      </c>
      <c r="C82" s="633" t="s">
        <v>265</v>
      </c>
      <c r="D82" s="634">
        <v>5155</v>
      </c>
      <c r="E82" s="634">
        <v>5260</v>
      </c>
      <c r="F82" s="634">
        <v>5506</v>
      </c>
      <c r="G82" s="635">
        <v>5785</v>
      </c>
      <c r="H82" s="955">
        <v>6052</v>
      </c>
      <c r="I82" s="955">
        <v>6236</v>
      </c>
      <c r="J82" s="1557">
        <v>6453</v>
      </c>
    </row>
    <row r="83" spans="1:10" s="636" customFormat="1" x14ac:dyDescent="0.25">
      <c r="A83" s="632" t="s">
        <v>206</v>
      </c>
      <c r="B83" s="633" t="s">
        <v>294</v>
      </c>
      <c r="C83" s="633" t="s">
        <v>267</v>
      </c>
      <c r="D83" s="634">
        <v>15002</v>
      </c>
      <c r="E83" s="634">
        <v>16315</v>
      </c>
      <c r="F83" s="634">
        <v>17090</v>
      </c>
      <c r="G83" s="635">
        <v>17852</v>
      </c>
      <c r="H83" s="955">
        <v>18900</v>
      </c>
      <c r="I83" s="955">
        <v>19327</v>
      </c>
      <c r="J83" s="1557">
        <v>20248</v>
      </c>
    </row>
    <row r="84" spans="1:10" s="636" customFormat="1" x14ac:dyDescent="0.25">
      <c r="A84" s="632" t="s">
        <v>208</v>
      </c>
      <c r="B84" s="633" t="s">
        <v>209</v>
      </c>
      <c r="C84" s="633" t="s">
        <v>268</v>
      </c>
      <c r="D84" s="634">
        <v>7701</v>
      </c>
      <c r="E84" s="634">
        <v>7806</v>
      </c>
      <c r="F84" s="634">
        <v>7863</v>
      </c>
      <c r="G84" s="635">
        <v>7829</v>
      </c>
      <c r="H84" s="955">
        <v>8019</v>
      </c>
      <c r="I84" s="955">
        <v>8260</v>
      </c>
      <c r="J84" s="1557">
        <v>8420</v>
      </c>
    </row>
    <row r="85" spans="1:10" s="636" customFormat="1" x14ac:dyDescent="0.25">
      <c r="A85" s="632" t="s">
        <v>210</v>
      </c>
      <c r="B85" s="633" t="s">
        <v>211</v>
      </c>
      <c r="C85" s="633" t="s">
        <v>268</v>
      </c>
      <c r="D85" s="634">
        <v>5369</v>
      </c>
      <c r="E85" s="634">
        <v>5449</v>
      </c>
      <c r="F85" s="634">
        <v>5614</v>
      </c>
      <c r="G85" s="635">
        <v>5825</v>
      </c>
      <c r="H85" s="955">
        <v>6025</v>
      </c>
      <c r="I85" s="955">
        <v>6067</v>
      </c>
      <c r="J85" s="1557">
        <v>6114</v>
      </c>
    </row>
    <row r="86" spans="1:10" s="636" customFormat="1" x14ac:dyDescent="0.25">
      <c r="A86" s="632" t="s">
        <v>212</v>
      </c>
      <c r="B86" s="633" t="s">
        <v>213</v>
      </c>
      <c r="C86" s="633" t="s">
        <v>267</v>
      </c>
      <c r="D86" s="634">
        <v>6009</v>
      </c>
      <c r="E86" s="634">
        <v>6355</v>
      </c>
      <c r="F86" s="634">
        <v>6712</v>
      </c>
      <c r="G86" s="635">
        <v>7275</v>
      </c>
      <c r="H86" s="955">
        <v>7645</v>
      </c>
      <c r="I86" s="955">
        <v>7718</v>
      </c>
      <c r="J86" s="1557">
        <v>7931</v>
      </c>
    </row>
    <row r="87" spans="1:10" s="636" customFormat="1" x14ac:dyDescent="0.25">
      <c r="A87" s="632" t="s">
        <v>214</v>
      </c>
      <c r="B87" s="633" t="s">
        <v>215</v>
      </c>
      <c r="C87" s="633" t="s">
        <v>268</v>
      </c>
      <c r="D87" s="634">
        <v>7664</v>
      </c>
      <c r="E87" s="634">
        <v>7866</v>
      </c>
      <c r="F87" s="634">
        <v>8130</v>
      </c>
      <c r="G87" s="635">
        <v>8383</v>
      </c>
      <c r="H87" s="955">
        <v>8746</v>
      </c>
      <c r="I87" s="955">
        <v>8726</v>
      </c>
      <c r="J87" s="1557">
        <v>8822</v>
      </c>
    </row>
    <row r="88" spans="1:10" s="636" customFormat="1" x14ac:dyDescent="0.25">
      <c r="A88" s="632" t="s">
        <v>216</v>
      </c>
      <c r="B88" s="633" t="s">
        <v>217</v>
      </c>
      <c r="C88" s="633" t="s">
        <v>264</v>
      </c>
      <c r="D88" s="634">
        <v>3635</v>
      </c>
      <c r="E88" s="634">
        <v>3656</v>
      </c>
      <c r="F88" s="634">
        <v>3702</v>
      </c>
      <c r="G88" s="635">
        <v>3898</v>
      </c>
      <c r="H88" s="955">
        <v>3971</v>
      </c>
      <c r="I88" s="955">
        <v>4048</v>
      </c>
      <c r="J88" s="1557">
        <v>4156</v>
      </c>
    </row>
    <row r="89" spans="1:10" s="636" customFormat="1" x14ac:dyDescent="0.25">
      <c r="A89" s="632" t="s">
        <v>218</v>
      </c>
      <c r="B89" s="633" t="s">
        <v>219</v>
      </c>
      <c r="C89" s="633" t="s">
        <v>267</v>
      </c>
      <c r="D89" s="634">
        <v>13315</v>
      </c>
      <c r="E89" s="634">
        <v>14447</v>
      </c>
      <c r="F89" s="634">
        <v>15933</v>
      </c>
      <c r="G89" s="635">
        <v>16451</v>
      </c>
      <c r="H89" s="955">
        <v>17598</v>
      </c>
      <c r="I89" s="955">
        <v>18481</v>
      </c>
      <c r="J89" s="1557">
        <v>20416</v>
      </c>
    </row>
    <row r="90" spans="1:10" s="636" customFormat="1" x14ac:dyDescent="0.25">
      <c r="A90" s="632" t="s">
        <v>220</v>
      </c>
      <c r="B90" s="633" t="s">
        <v>221</v>
      </c>
      <c r="C90" s="633" t="s">
        <v>267</v>
      </c>
      <c r="D90" s="634">
        <v>11208</v>
      </c>
      <c r="E90" s="634">
        <v>12273</v>
      </c>
      <c r="F90" s="634">
        <v>13088</v>
      </c>
      <c r="G90" s="635">
        <v>13923</v>
      </c>
      <c r="H90" s="955">
        <v>14780</v>
      </c>
      <c r="I90" s="955">
        <v>15224</v>
      </c>
      <c r="J90" s="1557">
        <v>16832</v>
      </c>
    </row>
    <row r="91" spans="1:10" s="636" customFormat="1" x14ac:dyDescent="0.25">
      <c r="A91" s="632" t="s">
        <v>224</v>
      </c>
      <c r="B91" s="633" t="s">
        <v>225</v>
      </c>
      <c r="C91" s="633" t="s">
        <v>264</v>
      </c>
      <c r="D91" s="634">
        <v>1186</v>
      </c>
      <c r="E91" s="634">
        <v>1276</v>
      </c>
      <c r="F91" s="634">
        <v>1312</v>
      </c>
      <c r="G91" s="635">
        <v>1314</v>
      </c>
      <c r="H91" s="955">
        <v>1369</v>
      </c>
      <c r="I91" s="955">
        <v>1407</v>
      </c>
      <c r="J91" s="1557">
        <v>1433</v>
      </c>
    </row>
    <row r="92" spans="1:10" s="636" customFormat="1" x14ac:dyDescent="0.25">
      <c r="A92" s="632" t="s">
        <v>226</v>
      </c>
      <c r="B92" s="633" t="s">
        <v>227</v>
      </c>
      <c r="C92" s="633" t="s">
        <v>264</v>
      </c>
      <c r="D92" s="634">
        <v>2270</v>
      </c>
      <c r="E92" s="634">
        <v>2364</v>
      </c>
      <c r="F92" s="634">
        <v>2319</v>
      </c>
      <c r="G92" s="635">
        <v>2430</v>
      </c>
      <c r="H92" s="955">
        <v>2579</v>
      </c>
      <c r="I92" s="955">
        <v>2575</v>
      </c>
      <c r="J92" s="1557">
        <v>2658</v>
      </c>
    </row>
    <row r="93" spans="1:10" s="636" customFormat="1" x14ac:dyDescent="0.25">
      <c r="A93" s="632" t="s">
        <v>228</v>
      </c>
      <c r="B93" s="633" t="s">
        <v>229</v>
      </c>
      <c r="C93" s="633" t="s">
        <v>268</v>
      </c>
      <c r="D93" s="634">
        <v>10056</v>
      </c>
      <c r="E93" s="634">
        <v>10416</v>
      </c>
      <c r="F93" s="634">
        <v>10534</v>
      </c>
      <c r="G93" s="635">
        <v>10662</v>
      </c>
      <c r="H93" s="955">
        <v>11056</v>
      </c>
      <c r="I93" s="955">
        <v>11169</v>
      </c>
      <c r="J93" s="1557">
        <v>11591</v>
      </c>
    </row>
    <row r="94" spans="1:10" s="636" customFormat="1" x14ac:dyDescent="0.25">
      <c r="A94" s="632" t="s">
        <v>232</v>
      </c>
      <c r="B94" s="633" t="s">
        <v>233</v>
      </c>
      <c r="C94" s="633" t="s">
        <v>267</v>
      </c>
      <c r="D94" s="634">
        <v>5021</v>
      </c>
      <c r="E94" s="634">
        <v>5496</v>
      </c>
      <c r="F94" s="634">
        <v>5898</v>
      </c>
      <c r="G94" s="635">
        <v>6197</v>
      </c>
      <c r="H94" s="955">
        <v>6615</v>
      </c>
      <c r="I94" s="955">
        <v>6678</v>
      </c>
      <c r="J94" s="1557">
        <v>7167</v>
      </c>
    </row>
    <row r="95" spans="1:10" s="636" customFormat="1" x14ac:dyDescent="0.25">
      <c r="A95" s="632" t="s">
        <v>234</v>
      </c>
      <c r="B95" s="633" t="s">
        <v>235</v>
      </c>
      <c r="C95" s="633" t="s">
        <v>268</v>
      </c>
      <c r="D95" s="634">
        <v>9268</v>
      </c>
      <c r="E95" s="634">
        <v>9845</v>
      </c>
      <c r="F95" s="634">
        <v>10107</v>
      </c>
      <c r="G95" s="635">
        <v>10502</v>
      </c>
      <c r="H95" s="955">
        <v>11157</v>
      </c>
      <c r="I95" s="955">
        <v>11412</v>
      </c>
      <c r="J95" s="1557">
        <v>11609</v>
      </c>
    </row>
    <row r="96" spans="1:10" s="636" customFormat="1" x14ac:dyDescent="0.25">
      <c r="A96" s="632" t="s">
        <v>236</v>
      </c>
      <c r="B96" s="633" t="s">
        <v>237</v>
      </c>
      <c r="C96" s="633" t="s">
        <v>266</v>
      </c>
      <c r="D96" s="634">
        <v>3399</v>
      </c>
      <c r="E96" s="634">
        <v>3659</v>
      </c>
      <c r="F96" s="634">
        <v>3951</v>
      </c>
      <c r="G96" s="635">
        <v>4039</v>
      </c>
      <c r="H96" s="955">
        <v>4123</v>
      </c>
      <c r="I96" s="955">
        <v>4117</v>
      </c>
      <c r="J96" s="1557">
        <v>4495</v>
      </c>
    </row>
    <row r="97" spans="1:10" s="636" customFormat="1" x14ac:dyDescent="0.25">
      <c r="A97" s="632" t="s">
        <v>242</v>
      </c>
      <c r="B97" s="633" t="s">
        <v>243</v>
      </c>
      <c r="C97" s="633" t="s">
        <v>268</v>
      </c>
      <c r="D97" s="634">
        <v>11363</v>
      </c>
      <c r="E97" s="634">
        <v>11376</v>
      </c>
      <c r="F97" s="634">
        <v>11483</v>
      </c>
      <c r="G97" s="635">
        <v>11654</v>
      </c>
      <c r="H97" s="955">
        <v>12033</v>
      </c>
      <c r="I97" s="955">
        <v>12226</v>
      </c>
      <c r="J97" s="1557">
        <v>12301</v>
      </c>
    </row>
    <row r="98" spans="1:10" s="636" customFormat="1" x14ac:dyDescent="0.25">
      <c r="A98" s="632" t="s">
        <v>244</v>
      </c>
      <c r="B98" s="633" t="s">
        <v>245</v>
      </c>
      <c r="C98" s="633" t="s">
        <v>268</v>
      </c>
      <c r="D98" s="634">
        <v>5811</v>
      </c>
      <c r="E98" s="634">
        <v>5977</v>
      </c>
      <c r="F98" s="634">
        <v>6171</v>
      </c>
      <c r="G98" s="635">
        <v>6459</v>
      </c>
      <c r="H98" s="955">
        <v>6701</v>
      </c>
      <c r="I98" s="955">
        <v>6669</v>
      </c>
      <c r="J98" s="1557">
        <v>6866</v>
      </c>
    </row>
    <row r="99" spans="1:10" s="636" customFormat="1" x14ac:dyDescent="0.25">
      <c r="A99" s="632" t="s">
        <v>246</v>
      </c>
      <c r="B99" s="633" t="s">
        <v>247</v>
      </c>
      <c r="C99" s="633" t="s">
        <v>264</v>
      </c>
      <c r="D99" s="634">
        <v>4081</v>
      </c>
      <c r="E99" s="634">
        <v>4442</v>
      </c>
      <c r="F99" s="634">
        <v>4995</v>
      </c>
      <c r="G99" s="635">
        <v>5306</v>
      </c>
      <c r="H99" s="955">
        <v>5520</v>
      </c>
      <c r="I99" s="955">
        <v>5698</v>
      </c>
      <c r="J99" s="1557">
        <v>6071</v>
      </c>
    </row>
    <row r="100" spans="1:10" s="636" customFormat="1" x14ac:dyDescent="0.25">
      <c r="A100" s="632" t="s">
        <v>14</v>
      </c>
      <c r="B100" s="633" t="s">
        <v>15</v>
      </c>
      <c r="C100" s="633" t="s">
        <v>267</v>
      </c>
      <c r="D100" s="634">
        <v>13029</v>
      </c>
      <c r="E100" s="634">
        <v>14056</v>
      </c>
      <c r="F100" s="634">
        <v>14657</v>
      </c>
      <c r="G100" s="635">
        <v>15158</v>
      </c>
      <c r="H100" s="955">
        <v>16053</v>
      </c>
      <c r="I100" s="955">
        <v>16347</v>
      </c>
      <c r="J100" s="1557">
        <v>18338</v>
      </c>
    </row>
    <row r="101" spans="1:10" s="636" customFormat="1" x14ac:dyDescent="0.25">
      <c r="A101" s="632" t="s">
        <v>34</v>
      </c>
      <c r="B101" s="633" t="s">
        <v>35</v>
      </c>
      <c r="C101" s="633" t="s">
        <v>268</v>
      </c>
      <c r="D101" s="634">
        <v>5372</v>
      </c>
      <c r="E101" s="634">
        <v>5548</v>
      </c>
      <c r="F101" s="634">
        <v>5763</v>
      </c>
      <c r="G101" s="635">
        <v>5907</v>
      </c>
      <c r="H101" s="955">
        <v>6229</v>
      </c>
      <c r="I101" s="955">
        <v>6006</v>
      </c>
      <c r="J101" s="1557">
        <v>5833</v>
      </c>
    </row>
    <row r="102" spans="1:10" s="636" customFormat="1" x14ac:dyDescent="0.25">
      <c r="A102" s="632" t="s">
        <v>52</v>
      </c>
      <c r="B102" s="633" t="s">
        <v>53</v>
      </c>
      <c r="C102" s="633" t="s">
        <v>265</v>
      </c>
      <c r="D102" s="634">
        <v>7041</v>
      </c>
      <c r="E102" s="634">
        <v>7248</v>
      </c>
      <c r="F102" s="634">
        <v>7391</v>
      </c>
      <c r="G102" s="635">
        <v>7564</v>
      </c>
      <c r="H102" s="955">
        <v>7765</v>
      </c>
      <c r="I102" s="955">
        <v>7497</v>
      </c>
      <c r="J102" s="1557">
        <v>7686</v>
      </c>
    </row>
    <row r="103" spans="1:10" s="636" customFormat="1" x14ac:dyDescent="0.25">
      <c r="A103" s="632" t="s">
        <v>54</v>
      </c>
      <c r="B103" s="633" t="s">
        <v>55</v>
      </c>
      <c r="C103" s="633" t="s">
        <v>264</v>
      </c>
      <c r="D103" s="634">
        <v>26544</v>
      </c>
      <c r="E103" s="634">
        <v>28694</v>
      </c>
      <c r="F103" s="634">
        <v>30023</v>
      </c>
      <c r="G103" s="635">
        <v>31405</v>
      </c>
      <c r="H103" s="955">
        <v>33054</v>
      </c>
      <c r="I103" s="955">
        <v>34104</v>
      </c>
      <c r="J103" s="1557">
        <v>35837</v>
      </c>
    </row>
    <row r="104" spans="1:10" s="636" customFormat="1" x14ac:dyDescent="0.25">
      <c r="A104" s="632" t="s">
        <v>66</v>
      </c>
      <c r="B104" s="633" t="s">
        <v>67</v>
      </c>
      <c r="C104" s="633" t="s">
        <v>265</v>
      </c>
      <c r="D104" s="634">
        <v>14027</v>
      </c>
      <c r="E104" s="634">
        <v>14616</v>
      </c>
      <c r="F104" s="634">
        <v>15065</v>
      </c>
      <c r="G104" s="635">
        <v>15726</v>
      </c>
      <c r="H104" s="955">
        <v>16291</v>
      </c>
      <c r="I104" s="955">
        <v>16561</v>
      </c>
      <c r="J104" s="1557">
        <v>17125</v>
      </c>
    </row>
    <row r="105" spans="1:10" s="636" customFormat="1" x14ac:dyDescent="0.25">
      <c r="A105" s="632" t="s">
        <v>82</v>
      </c>
      <c r="B105" s="633" t="s">
        <v>83</v>
      </c>
      <c r="C105" s="633" t="s">
        <v>264</v>
      </c>
      <c r="D105" s="634">
        <v>2546</v>
      </c>
      <c r="E105" s="634">
        <v>2688</v>
      </c>
      <c r="F105" s="634">
        <v>2894</v>
      </c>
      <c r="G105" s="635">
        <v>3194</v>
      </c>
      <c r="H105" s="955">
        <v>3315</v>
      </c>
      <c r="I105" s="955">
        <v>3311</v>
      </c>
      <c r="J105" s="1557">
        <v>3374</v>
      </c>
    </row>
    <row r="106" spans="1:10" s="636" customFormat="1" x14ac:dyDescent="0.25">
      <c r="A106" s="632" t="s">
        <v>88</v>
      </c>
      <c r="B106" s="633" t="s">
        <v>89</v>
      </c>
      <c r="C106" s="633" t="s">
        <v>267</v>
      </c>
      <c r="D106" s="634">
        <v>4846</v>
      </c>
      <c r="E106" s="634">
        <v>5187</v>
      </c>
      <c r="F106" s="634">
        <v>5534</v>
      </c>
      <c r="G106" s="635">
        <v>5906</v>
      </c>
      <c r="H106" s="955">
        <v>6094</v>
      </c>
      <c r="I106" s="955">
        <v>6324</v>
      </c>
      <c r="J106" s="1557">
        <v>6788</v>
      </c>
    </row>
    <row r="107" spans="1:10" s="636" customFormat="1" x14ac:dyDescent="0.25">
      <c r="A107" s="632" t="s">
        <v>90</v>
      </c>
      <c r="B107" s="633" t="s">
        <v>91</v>
      </c>
      <c r="C107" s="633" t="s">
        <v>268</v>
      </c>
      <c r="D107" s="634">
        <v>2525</v>
      </c>
      <c r="E107" s="634">
        <v>2574</v>
      </c>
      <c r="F107" s="634">
        <v>2486</v>
      </c>
      <c r="G107" s="635">
        <v>2518</v>
      </c>
      <c r="H107" s="955">
        <v>2566</v>
      </c>
      <c r="I107" s="955">
        <v>2682</v>
      </c>
      <c r="J107" s="1557">
        <v>2661</v>
      </c>
    </row>
    <row r="108" spans="1:10" s="636" customFormat="1" x14ac:dyDescent="0.25">
      <c r="A108" s="632" t="s">
        <v>106</v>
      </c>
      <c r="B108" s="633" t="s">
        <v>107</v>
      </c>
      <c r="C108" s="633" t="s">
        <v>264</v>
      </c>
      <c r="D108" s="634">
        <v>23612</v>
      </c>
      <c r="E108" s="634">
        <v>24651</v>
      </c>
      <c r="F108" s="634">
        <v>26228</v>
      </c>
      <c r="G108" s="635">
        <v>27614</v>
      </c>
      <c r="H108" s="955">
        <v>28769</v>
      </c>
      <c r="I108" s="955">
        <v>29538</v>
      </c>
      <c r="J108" s="1557">
        <v>31530</v>
      </c>
    </row>
    <row r="109" spans="1:10" s="636" customFormat="1" x14ac:dyDescent="0.25">
      <c r="A109" s="632" t="s">
        <v>116</v>
      </c>
      <c r="B109" s="633" t="s">
        <v>117</v>
      </c>
      <c r="C109" s="633" t="s">
        <v>266</v>
      </c>
      <c r="D109" s="634">
        <v>6711</v>
      </c>
      <c r="E109" s="634">
        <v>6971</v>
      </c>
      <c r="F109" s="634">
        <v>7303</v>
      </c>
      <c r="G109" s="635">
        <v>7704</v>
      </c>
      <c r="H109" s="955">
        <v>8056</v>
      </c>
      <c r="I109" s="955">
        <v>8292</v>
      </c>
      <c r="J109" s="1557">
        <v>9004</v>
      </c>
    </row>
    <row r="110" spans="1:10" s="636" customFormat="1" x14ac:dyDescent="0.25">
      <c r="A110" s="632" t="s">
        <v>138</v>
      </c>
      <c r="B110" s="633" t="s">
        <v>139</v>
      </c>
      <c r="C110" s="633" t="s">
        <v>265</v>
      </c>
      <c r="D110" s="634">
        <v>14716</v>
      </c>
      <c r="E110" s="634">
        <v>15489</v>
      </c>
      <c r="F110" s="634">
        <v>16122</v>
      </c>
      <c r="G110" s="635">
        <v>16822</v>
      </c>
      <c r="H110" s="955">
        <v>17494</v>
      </c>
      <c r="I110" s="955">
        <v>17725</v>
      </c>
      <c r="J110" s="1557">
        <v>18584</v>
      </c>
    </row>
    <row r="111" spans="1:10" s="636" customFormat="1" x14ac:dyDescent="0.25">
      <c r="A111" s="632" t="s">
        <v>142</v>
      </c>
      <c r="B111" s="633" t="s">
        <v>143</v>
      </c>
      <c r="C111" s="633" t="s">
        <v>267</v>
      </c>
      <c r="D111" s="634">
        <v>6165</v>
      </c>
      <c r="E111" s="634">
        <v>6953</v>
      </c>
      <c r="F111" s="634">
        <v>7318</v>
      </c>
      <c r="G111" s="635">
        <v>7505</v>
      </c>
      <c r="H111" s="955">
        <v>7934</v>
      </c>
      <c r="I111" s="955">
        <v>8376</v>
      </c>
      <c r="J111" s="1557">
        <v>8943</v>
      </c>
    </row>
    <row r="112" spans="1:10" s="636" customFormat="1" x14ac:dyDescent="0.25">
      <c r="A112" s="632" t="s">
        <v>144</v>
      </c>
      <c r="B112" s="633" t="s">
        <v>145</v>
      </c>
      <c r="C112" s="633" t="s">
        <v>267</v>
      </c>
      <c r="D112" s="634">
        <v>2321</v>
      </c>
      <c r="E112" s="634">
        <v>2366</v>
      </c>
      <c r="F112" s="634">
        <v>2460</v>
      </c>
      <c r="G112" s="635">
        <v>2507</v>
      </c>
      <c r="H112" s="955">
        <v>2804</v>
      </c>
      <c r="I112" s="955">
        <v>2748</v>
      </c>
      <c r="J112" s="1557">
        <v>3220</v>
      </c>
    </row>
    <row r="113" spans="1:11" s="636" customFormat="1" x14ac:dyDescent="0.25">
      <c r="A113" s="632" t="s">
        <v>158</v>
      </c>
      <c r="B113" s="633" t="s">
        <v>159</v>
      </c>
      <c r="C113" s="633" t="s">
        <v>264</v>
      </c>
      <c r="D113" s="634">
        <v>36779</v>
      </c>
      <c r="E113" s="634">
        <v>38337</v>
      </c>
      <c r="F113" s="634">
        <v>40818</v>
      </c>
      <c r="G113" s="635">
        <v>42505</v>
      </c>
      <c r="H113" s="955">
        <v>43949</v>
      </c>
      <c r="I113" s="955">
        <v>44162</v>
      </c>
      <c r="J113" s="1557">
        <v>45837</v>
      </c>
    </row>
    <row r="114" spans="1:11" s="636" customFormat="1" x14ac:dyDescent="0.25">
      <c r="A114" s="632" t="s">
        <v>160</v>
      </c>
      <c r="B114" s="633" t="s">
        <v>161</v>
      </c>
      <c r="C114" s="633" t="s">
        <v>264</v>
      </c>
      <c r="D114" s="634">
        <v>50442</v>
      </c>
      <c r="E114" s="634">
        <v>50455</v>
      </c>
      <c r="F114" s="634">
        <v>52054</v>
      </c>
      <c r="G114" s="635">
        <v>54448</v>
      </c>
      <c r="H114" s="955">
        <v>56361</v>
      </c>
      <c r="I114" s="955">
        <v>57649</v>
      </c>
      <c r="J114" s="1557">
        <v>60128</v>
      </c>
    </row>
    <row r="115" spans="1:11" s="636" customFormat="1" x14ac:dyDescent="0.25">
      <c r="A115" s="632" t="s">
        <v>166</v>
      </c>
      <c r="B115" s="633" t="s">
        <v>167</v>
      </c>
      <c r="C115" s="633" t="s">
        <v>268</v>
      </c>
      <c r="D115" s="634">
        <v>1419</v>
      </c>
      <c r="E115" s="634">
        <v>1377</v>
      </c>
      <c r="F115" s="634">
        <v>1392</v>
      </c>
      <c r="G115" s="635">
        <v>1494</v>
      </c>
      <c r="H115" s="955">
        <v>1503</v>
      </c>
      <c r="I115" s="955">
        <v>1494</v>
      </c>
      <c r="J115" s="1557">
        <v>1486</v>
      </c>
    </row>
    <row r="116" spans="1:11" s="636" customFormat="1" x14ac:dyDescent="0.25">
      <c r="A116" s="632" t="s">
        <v>176</v>
      </c>
      <c r="B116" s="633" t="s">
        <v>177</v>
      </c>
      <c r="C116" s="633" t="s">
        <v>266</v>
      </c>
      <c r="D116" s="634">
        <v>11093</v>
      </c>
      <c r="E116" s="634">
        <v>11308</v>
      </c>
      <c r="F116" s="634">
        <v>11830</v>
      </c>
      <c r="G116" s="635">
        <v>11991</v>
      </c>
      <c r="H116" s="955">
        <v>12152</v>
      </c>
      <c r="I116" s="955">
        <v>12186</v>
      </c>
      <c r="J116" s="1557">
        <v>12744</v>
      </c>
    </row>
    <row r="117" spans="1:11" s="636" customFormat="1" x14ac:dyDescent="0.25">
      <c r="A117" s="632" t="s">
        <v>180</v>
      </c>
      <c r="B117" s="633" t="s">
        <v>181</v>
      </c>
      <c r="C117" s="633" t="s">
        <v>264</v>
      </c>
      <c r="D117" s="634">
        <v>23479</v>
      </c>
      <c r="E117" s="634">
        <v>24259</v>
      </c>
      <c r="F117" s="634">
        <v>25241</v>
      </c>
      <c r="G117" s="635">
        <v>26822</v>
      </c>
      <c r="H117" s="955">
        <v>27875</v>
      </c>
      <c r="I117" s="955">
        <v>28467</v>
      </c>
      <c r="J117" s="1557">
        <v>30501</v>
      </c>
    </row>
    <row r="118" spans="1:11" s="636" customFormat="1" x14ac:dyDescent="0.25">
      <c r="A118" s="632" t="s">
        <v>192</v>
      </c>
      <c r="B118" s="633" t="s">
        <v>193</v>
      </c>
      <c r="C118" s="633" t="s">
        <v>268</v>
      </c>
      <c r="D118" s="634">
        <v>2076</v>
      </c>
      <c r="E118" s="634">
        <v>2127</v>
      </c>
      <c r="F118" s="634">
        <v>2238</v>
      </c>
      <c r="G118" s="635">
        <v>2314</v>
      </c>
      <c r="H118" s="955">
        <v>2371</v>
      </c>
      <c r="I118" s="955">
        <v>2467</v>
      </c>
      <c r="J118" s="1557">
        <v>2540</v>
      </c>
    </row>
    <row r="119" spans="1:11" s="636" customFormat="1" x14ac:dyDescent="0.25">
      <c r="A119" s="632" t="s">
        <v>196</v>
      </c>
      <c r="B119" s="633" t="s">
        <v>197</v>
      </c>
      <c r="C119" s="633" t="s">
        <v>266</v>
      </c>
      <c r="D119" s="634">
        <v>53763</v>
      </c>
      <c r="E119" s="634">
        <v>54660</v>
      </c>
      <c r="F119" s="634">
        <v>55559</v>
      </c>
      <c r="G119" s="635">
        <v>56264</v>
      </c>
      <c r="H119" s="955">
        <v>57781</v>
      </c>
      <c r="I119" s="955">
        <v>58266</v>
      </c>
      <c r="J119" s="1557">
        <v>60000</v>
      </c>
    </row>
    <row r="120" spans="1:11" s="636" customFormat="1" x14ac:dyDescent="0.25">
      <c r="A120" s="632" t="s">
        <v>200</v>
      </c>
      <c r="B120" s="633" t="s">
        <v>201</v>
      </c>
      <c r="C120" s="633" t="s">
        <v>265</v>
      </c>
      <c r="D120" s="634">
        <v>26027</v>
      </c>
      <c r="E120" s="634">
        <v>27247</v>
      </c>
      <c r="F120" s="634">
        <v>28258</v>
      </c>
      <c r="G120" s="635">
        <v>29646</v>
      </c>
      <c r="H120" s="955">
        <v>30805</v>
      </c>
      <c r="I120" s="955">
        <v>31083</v>
      </c>
      <c r="J120" s="1557">
        <v>31771</v>
      </c>
    </row>
    <row r="121" spans="1:11" s="636" customFormat="1" x14ac:dyDescent="0.25">
      <c r="A121" s="632" t="s">
        <v>222</v>
      </c>
      <c r="B121" s="633" t="s">
        <v>223</v>
      </c>
      <c r="C121" s="633" t="s">
        <v>264</v>
      </c>
      <c r="D121" s="634">
        <v>13356</v>
      </c>
      <c r="E121" s="634">
        <v>14165</v>
      </c>
      <c r="F121" s="634">
        <v>15116</v>
      </c>
      <c r="G121" s="635">
        <v>15757</v>
      </c>
      <c r="H121" s="955">
        <v>16510</v>
      </c>
      <c r="I121" s="955">
        <v>16884</v>
      </c>
      <c r="J121" s="1557">
        <v>17519</v>
      </c>
    </row>
    <row r="122" spans="1:11" s="636" customFormat="1" x14ac:dyDescent="0.25">
      <c r="A122" s="632" t="s">
        <v>230</v>
      </c>
      <c r="B122" s="633" t="s">
        <v>231</v>
      </c>
      <c r="C122" s="633" t="s">
        <v>264</v>
      </c>
      <c r="D122" s="634">
        <v>40826</v>
      </c>
      <c r="E122" s="634">
        <v>43882</v>
      </c>
      <c r="F122" s="634">
        <v>46581</v>
      </c>
      <c r="G122" s="635">
        <v>49219</v>
      </c>
      <c r="H122" s="955">
        <v>51524</v>
      </c>
      <c r="I122" s="955">
        <v>52794</v>
      </c>
      <c r="J122" s="1557">
        <v>57656</v>
      </c>
    </row>
    <row r="123" spans="1:11" s="636" customFormat="1" x14ac:dyDescent="0.25">
      <c r="A123" s="632" t="s">
        <v>238</v>
      </c>
      <c r="B123" s="633" t="s">
        <v>239</v>
      </c>
      <c r="C123" s="633" t="s">
        <v>264</v>
      </c>
      <c r="D123" s="634">
        <v>1132</v>
      </c>
      <c r="E123" s="634">
        <v>1262</v>
      </c>
      <c r="F123" s="634">
        <v>1479</v>
      </c>
      <c r="G123" s="635">
        <v>1524</v>
      </c>
      <c r="H123" s="955">
        <v>1610</v>
      </c>
      <c r="I123" s="955">
        <v>1678</v>
      </c>
      <c r="J123" s="1557">
        <v>1781</v>
      </c>
    </row>
    <row r="124" spans="1:11" s="636" customFormat="1" x14ac:dyDescent="0.25">
      <c r="A124" s="632" t="s">
        <v>240</v>
      </c>
      <c r="B124" s="633" t="s">
        <v>241</v>
      </c>
      <c r="C124" s="633" t="s">
        <v>267</v>
      </c>
      <c r="D124" s="634">
        <v>4966</v>
      </c>
      <c r="E124" s="634">
        <v>5477</v>
      </c>
      <c r="F124" s="634">
        <v>5943</v>
      </c>
      <c r="G124" s="635">
        <v>6085</v>
      </c>
      <c r="H124" s="955">
        <v>6480</v>
      </c>
      <c r="I124" s="955">
        <v>6580</v>
      </c>
      <c r="J124" s="1557">
        <v>6993</v>
      </c>
    </row>
    <row r="125" spans="1:11" ht="29.25" customHeight="1" x14ac:dyDescent="0.25">
      <c r="A125" s="558" t="s">
        <v>8</v>
      </c>
      <c r="B125" s="638" t="s">
        <v>796</v>
      </c>
      <c r="C125" s="631"/>
      <c r="D125" s="547">
        <v>1065610</v>
      </c>
      <c r="E125" s="547">
        <v>1131369</v>
      </c>
      <c r="F125" s="547">
        <v>1190299</v>
      </c>
      <c r="G125" s="639">
        <v>1238189</v>
      </c>
      <c r="H125" s="639">
        <v>1292800</v>
      </c>
      <c r="I125" s="639">
        <v>1314786</v>
      </c>
      <c r="J125" s="1558">
        <v>1390460</v>
      </c>
    </row>
    <row r="127" spans="1:11" ht="12.75" customHeight="1" x14ac:dyDescent="0.25">
      <c r="A127" s="2270" t="s">
        <v>1108</v>
      </c>
      <c r="B127" s="2271"/>
      <c r="C127" s="2271"/>
      <c r="D127" s="2271"/>
      <c r="E127" s="2271"/>
      <c r="F127" s="2271"/>
      <c r="G127" s="2271"/>
      <c r="H127" s="2271"/>
      <c r="I127" s="2271"/>
      <c r="J127" s="2271"/>
      <c r="K127" s="2271"/>
    </row>
    <row r="128" spans="1:11" x14ac:dyDescent="0.25">
      <c r="A128" s="2271"/>
      <c r="B128" s="2271"/>
      <c r="C128" s="2271"/>
      <c r="D128" s="2271"/>
      <c r="E128" s="2271"/>
      <c r="F128" s="2271"/>
      <c r="G128" s="2271"/>
      <c r="H128" s="2271"/>
      <c r="I128" s="2271"/>
      <c r="J128" s="2271"/>
      <c r="K128" s="2271"/>
    </row>
    <row r="129" spans="1:11" ht="18" customHeight="1" x14ac:dyDescent="0.25">
      <c r="A129" s="2271"/>
      <c r="B129" s="2271"/>
      <c r="C129" s="2271"/>
      <c r="D129" s="2271"/>
      <c r="E129" s="2271"/>
      <c r="F129" s="2271"/>
      <c r="G129" s="2271"/>
      <c r="H129" s="2271"/>
      <c r="I129" s="2271"/>
      <c r="J129" s="2271"/>
      <c r="K129" s="2271"/>
    </row>
    <row r="130" spans="1:11" x14ac:dyDescent="0.25">
      <c r="A130" s="559"/>
      <c r="B130" s="559"/>
      <c r="C130" s="559"/>
      <c r="D130" s="559"/>
      <c r="E130" s="559"/>
      <c r="F130" s="559"/>
      <c r="G130" s="559"/>
      <c r="H130" s="950"/>
      <c r="I130" s="1148"/>
      <c r="J130" s="1547"/>
      <c r="K130" s="559"/>
    </row>
    <row r="131" spans="1:11" s="412" customFormat="1" x14ac:dyDescent="0.25">
      <c r="A131" s="412" t="s">
        <v>248</v>
      </c>
    </row>
    <row r="132" spans="1:11" s="412" customFormat="1" x14ac:dyDescent="0.25">
      <c r="A132" s="413" t="s">
        <v>249</v>
      </c>
      <c r="B132" s="414" t="s">
        <v>250</v>
      </c>
      <c r="C132" s="414"/>
    </row>
  </sheetData>
  <autoFilter ref="A3:C3"/>
  <sortState ref="A5:K124">
    <sortCondition ref="A5:A124"/>
  </sortState>
  <mergeCells count="1">
    <mergeCell ref="A127:K129"/>
  </mergeCells>
  <hyperlinks>
    <hyperlink ref="B13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31"/>
  <sheetViews>
    <sheetView workbookViewId="0">
      <selection activeCell="A3" sqref="A3:H124"/>
    </sheetView>
  </sheetViews>
  <sheetFormatPr defaultRowHeight="15.75" x14ac:dyDescent="0.25"/>
  <cols>
    <col min="1" max="1" width="5.875" style="529" customWidth="1"/>
    <col min="2" max="2" width="29.5" style="529" customWidth="1"/>
    <col min="3" max="3" width="16.25" style="529" customWidth="1"/>
    <col min="4" max="8" width="11.375" style="529" customWidth="1"/>
    <col min="9" max="9" width="3.875" style="529" customWidth="1"/>
    <col min="10" max="16384" width="9" style="529"/>
  </cols>
  <sheetData>
    <row r="1" spans="1:8" x14ac:dyDescent="0.25">
      <c r="A1" s="258" t="s">
        <v>1263</v>
      </c>
    </row>
    <row r="3" spans="1:8" ht="31.5" x14ac:dyDescent="0.25">
      <c r="A3" s="637" t="s">
        <v>4</v>
      </c>
      <c r="B3" s="592" t="s">
        <v>5</v>
      </c>
      <c r="C3" s="592" t="s">
        <v>251</v>
      </c>
      <c r="D3" s="643" t="s">
        <v>767</v>
      </c>
      <c r="E3" s="643" t="s">
        <v>828</v>
      </c>
      <c r="F3" s="643" t="s">
        <v>874</v>
      </c>
      <c r="G3" s="1555" t="s">
        <v>1106</v>
      </c>
      <c r="H3" s="1555" t="s">
        <v>1262</v>
      </c>
    </row>
    <row r="4" spans="1:8" x14ac:dyDescent="0.25">
      <c r="A4" s="640">
        <v>999</v>
      </c>
      <c r="B4" s="641" t="s">
        <v>795</v>
      </c>
      <c r="C4" s="641"/>
      <c r="D4" s="954">
        <v>1162309</v>
      </c>
      <c r="E4" s="954">
        <v>1208643</v>
      </c>
      <c r="F4" s="954">
        <v>1243684</v>
      </c>
      <c r="G4" s="1556">
        <v>1316693</v>
      </c>
      <c r="H4" s="1835">
        <v>1332753</v>
      </c>
    </row>
    <row r="5" spans="1:8" s="636" customFormat="1" x14ac:dyDescent="0.25">
      <c r="A5" s="632" t="s">
        <v>10</v>
      </c>
      <c r="B5" s="633" t="s">
        <v>11</v>
      </c>
      <c r="C5" s="633" t="s">
        <v>264</v>
      </c>
      <c r="D5" s="955">
        <v>7700</v>
      </c>
      <c r="E5" s="955">
        <v>8722</v>
      </c>
      <c r="F5" s="955">
        <v>8891</v>
      </c>
      <c r="G5" s="1557">
        <v>9155</v>
      </c>
      <c r="H5" s="1642">
        <v>9712</v>
      </c>
    </row>
    <row r="6" spans="1:8" s="636" customFormat="1" x14ac:dyDescent="0.25">
      <c r="A6" s="632" t="s">
        <v>12</v>
      </c>
      <c r="B6" s="633" t="s">
        <v>13</v>
      </c>
      <c r="C6" s="633" t="s">
        <v>265</v>
      </c>
      <c r="D6" s="955">
        <v>8499</v>
      </c>
      <c r="E6" s="955">
        <v>10028</v>
      </c>
      <c r="F6" s="955">
        <v>10348</v>
      </c>
      <c r="G6" s="1557">
        <v>11091</v>
      </c>
      <c r="H6" s="1642">
        <v>11277</v>
      </c>
    </row>
    <row r="7" spans="1:8" s="636" customFormat="1" x14ac:dyDescent="0.25">
      <c r="A7" s="632" t="s">
        <v>16</v>
      </c>
      <c r="B7" s="633" t="s">
        <v>297</v>
      </c>
      <c r="C7" s="633" t="s">
        <v>265</v>
      </c>
      <c r="D7" s="955">
        <v>4660</v>
      </c>
      <c r="E7" s="955">
        <v>5201</v>
      </c>
      <c r="F7" s="955">
        <v>5300</v>
      </c>
      <c r="G7" s="1557">
        <v>5577</v>
      </c>
      <c r="H7" s="1642">
        <v>5633</v>
      </c>
    </row>
    <row r="8" spans="1:8" s="636" customFormat="1" x14ac:dyDescent="0.25">
      <c r="A8" s="632" t="s">
        <v>18</v>
      </c>
      <c r="B8" s="633" t="s">
        <v>19</v>
      </c>
      <c r="C8" s="633" t="s">
        <v>266</v>
      </c>
      <c r="D8" s="955">
        <v>2482</v>
      </c>
      <c r="E8" s="955">
        <v>2750</v>
      </c>
      <c r="F8" s="955">
        <v>2692</v>
      </c>
      <c r="G8" s="1557">
        <v>2716</v>
      </c>
      <c r="H8" s="1642">
        <v>2744</v>
      </c>
    </row>
    <row r="9" spans="1:8" s="636" customFormat="1" x14ac:dyDescent="0.25">
      <c r="A9" s="632" t="s">
        <v>20</v>
      </c>
      <c r="B9" s="633" t="s">
        <v>21</v>
      </c>
      <c r="C9" s="633" t="s">
        <v>265</v>
      </c>
      <c r="D9" s="955">
        <v>5052</v>
      </c>
      <c r="E9" s="955">
        <v>5903</v>
      </c>
      <c r="F9" s="955">
        <v>5870</v>
      </c>
      <c r="G9" s="1557">
        <v>6147</v>
      </c>
      <c r="H9" s="1642">
        <v>6420</v>
      </c>
    </row>
    <row r="10" spans="1:8" s="636" customFormat="1" x14ac:dyDescent="0.25">
      <c r="A10" s="632" t="s">
        <v>22</v>
      </c>
      <c r="B10" s="633" t="s">
        <v>23</v>
      </c>
      <c r="C10" s="633" t="s">
        <v>265</v>
      </c>
      <c r="D10" s="955">
        <v>3076</v>
      </c>
      <c r="E10" s="955">
        <v>3595</v>
      </c>
      <c r="F10" s="955">
        <v>3552</v>
      </c>
      <c r="G10" s="1557">
        <v>3735</v>
      </c>
      <c r="H10" s="1642">
        <v>3837</v>
      </c>
    </row>
    <row r="11" spans="1:8" s="636" customFormat="1" x14ac:dyDescent="0.25">
      <c r="A11" s="632" t="s">
        <v>24</v>
      </c>
      <c r="B11" s="633" t="s">
        <v>25</v>
      </c>
      <c r="C11" s="633" t="s">
        <v>267</v>
      </c>
      <c r="D11" s="955">
        <v>12737</v>
      </c>
      <c r="E11" s="955">
        <v>14796</v>
      </c>
      <c r="F11" s="955">
        <v>15579</v>
      </c>
      <c r="G11" s="1557">
        <v>16871</v>
      </c>
      <c r="H11" s="1642">
        <v>17116</v>
      </c>
    </row>
    <row r="12" spans="1:8" s="636" customFormat="1" x14ac:dyDescent="0.25">
      <c r="A12" s="632" t="s">
        <v>26</v>
      </c>
      <c r="B12" s="633" t="s">
        <v>686</v>
      </c>
      <c r="C12" s="633" t="s">
        <v>265</v>
      </c>
      <c r="D12" s="955">
        <v>18647</v>
      </c>
      <c r="E12" s="955">
        <v>22602</v>
      </c>
      <c r="F12" s="955">
        <v>22738</v>
      </c>
      <c r="G12" s="1557">
        <v>23152</v>
      </c>
      <c r="H12" s="1642">
        <v>23529</v>
      </c>
    </row>
    <row r="13" spans="1:8" s="636" customFormat="1" x14ac:dyDescent="0.25">
      <c r="A13" s="632" t="s">
        <v>27</v>
      </c>
      <c r="B13" s="633" t="s">
        <v>28</v>
      </c>
      <c r="C13" s="633" t="s">
        <v>265</v>
      </c>
      <c r="D13" s="955">
        <v>643</v>
      </c>
      <c r="E13" s="955">
        <v>794</v>
      </c>
      <c r="F13" s="955">
        <v>746</v>
      </c>
      <c r="G13" s="1557">
        <v>847</v>
      </c>
      <c r="H13" s="1642">
        <v>838</v>
      </c>
    </row>
    <row r="14" spans="1:8" s="636" customFormat="1" x14ac:dyDescent="0.25">
      <c r="A14" s="632" t="s">
        <v>29</v>
      </c>
      <c r="B14" s="633" t="s">
        <v>924</v>
      </c>
      <c r="C14" s="633" t="s">
        <v>265</v>
      </c>
      <c r="D14" s="955">
        <v>9131</v>
      </c>
      <c r="E14" s="955">
        <v>10769</v>
      </c>
      <c r="F14" s="955">
        <v>11781</v>
      </c>
      <c r="G14" s="1557">
        <v>11201</v>
      </c>
      <c r="H14" s="1642">
        <v>11262</v>
      </c>
    </row>
    <row r="15" spans="1:8" s="636" customFormat="1" x14ac:dyDescent="0.25">
      <c r="A15" s="632" t="s">
        <v>30</v>
      </c>
      <c r="B15" s="633" t="s">
        <v>31</v>
      </c>
      <c r="C15" s="633" t="s">
        <v>268</v>
      </c>
      <c r="D15" s="955">
        <v>957</v>
      </c>
      <c r="E15" s="955">
        <v>1141</v>
      </c>
      <c r="F15" s="955">
        <v>1079</v>
      </c>
      <c r="G15" s="1557">
        <v>1135</v>
      </c>
      <c r="H15" s="1642">
        <v>1178</v>
      </c>
    </row>
    <row r="16" spans="1:8" s="636" customFormat="1" x14ac:dyDescent="0.25">
      <c r="A16" s="632" t="s">
        <v>32</v>
      </c>
      <c r="B16" s="633" t="s">
        <v>33</v>
      </c>
      <c r="C16" s="633" t="s">
        <v>265</v>
      </c>
      <c r="D16" s="955">
        <v>2517</v>
      </c>
      <c r="E16" s="955">
        <v>3021</v>
      </c>
      <c r="F16" s="955">
        <v>3162</v>
      </c>
      <c r="G16" s="1557">
        <v>3517</v>
      </c>
      <c r="H16" s="1642">
        <v>3788</v>
      </c>
    </row>
    <row r="17" spans="1:8" s="636" customFormat="1" x14ac:dyDescent="0.25">
      <c r="A17" s="632" t="s">
        <v>36</v>
      </c>
      <c r="B17" s="633" t="s">
        <v>37</v>
      </c>
      <c r="C17" s="633" t="s">
        <v>264</v>
      </c>
      <c r="D17" s="955">
        <v>4053</v>
      </c>
      <c r="E17" s="955">
        <v>4599</v>
      </c>
      <c r="F17" s="955">
        <v>4717</v>
      </c>
      <c r="G17" s="1557">
        <v>4891</v>
      </c>
      <c r="H17" s="1642">
        <v>4966</v>
      </c>
    </row>
    <row r="18" spans="1:8" s="636" customFormat="1" x14ac:dyDescent="0.25">
      <c r="A18" s="632" t="s">
        <v>38</v>
      </c>
      <c r="B18" s="633" t="s">
        <v>39</v>
      </c>
      <c r="C18" s="633" t="s">
        <v>268</v>
      </c>
      <c r="D18" s="955">
        <v>6027</v>
      </c>
      <c r="E18" s="955">
        <v>6790</v>
      </c>
      <c r="F18" s="955">
        <v>6782</v>
      </c>
      <c r="G18" s="1557">
        <v>6995</v>
      </c>
      <c r="H18" s="1642">
        <v>7154</v>
      </c>
    </row>
    <row r="19" spans="1:8" s="636" customFormat="1" x14ac:dyDescent="0.25">
      <c r="A19" s="632" t="s">
        <v>40</v>
      </c>
      <c r="B19" s="633" t="s">
        <v>41</v>
      </c>
      <c r="C19" s="633" t="s">
        <v>266</v>
      </c>
      <c r="D19" s="955">
        <v>3294</v>
      </c>
      <c r="E19" s="955">
        <v>3854</v>
      </c>
      <c r="F19" s="955">
        <v>3910</v>
      </c>
      <c r="G19" s="1557">
        <v>4093</v>
      </c>
      <c r="H19" s="1642">
        <v>4106</v>
      </c>
    </row>
    <row r="20" spans="1:8" s="636" customFormat="1" x14ac:dyDescent="0.25">
      <c r="A20" s="632" t="s">
        <v>42</v>
      </c>
      <c r="B20" s="633" t="s">
        <v>43</v>
      </c>
      <c r="C20" s="633" t="s">
        <v>265</v>
      </c>
      <c r="D20" s="955">
        <v>9574</v>
      </c>
      <c r="E20" s="955">
        <v>11108</v>
      </c>
      <c r="F20" s="955">
        <v>11288</v>
      </c>
      <c r="G20" s="1557">
        <v>11796</v>
      </c>
      <c r="H20" s="1642">
        <v>12088</v>
      </c>
    </row>
    <row r="21" spans="1:8" s="636" customFormat="1" x14ac:dyDescent="0.25">
      <c r="A21" s="632" t="s">
        <v>44</v>
      </c>
      <c r="B21" s="633" t="s">
        <v>45</v>
      </c>
      <c r="C21" s="633" t="s">
        <v>266</v>
      </c>
      <c r="D21" s="955">
        <v>5014</v>
      </c>
      <c r="E21" s="955">
        <v>5851</v>
      </c>
      <c r="F21" s="955">
        <v>5839</v>
      </c>
      <c r="G21" s="1557">
        <v>6414</v>
      </c>
      <c r="H21" s="1642">
        <v>6653</v>
      </c>
    </row>
    <row r="22" spans="1:8" s="636" customFormat="1" x14ac:dyDescent="0.25">
      <c r="A22" s="632" t="s">
        <v>46</v>
      </c>
      <c r="B22" s="633" t="s">
        <v>47</v>
      </c>
      <c r="C22" s="633" t="s">
        <v>268</v>
      </c>
      <c r="D22" s="955">
        <v>6468</v>
      </c>
      <c r="E22" s="955">
        <v>7310</v>
      </c>
      <c r="F22" s="955">
        <v>7293</v>
      </c>
      <c r="G22" s="1557">
        <v>7502</v>
      </c>
      <c r="H22" s="1642">
        <v>7549</v>
      </c>
    </row>
    <row r="23" spans="1:8" s="636" customFormat="1" x14ac:dyDescent="0.25">
      <c r="A23" s="632" t="s">
        <v>48</v>
      </c>
      <c r="B23" s="633" t="s">
        <v>269</v>
      </c>
      <c r="C23" s="633" t="s">
        <v>266</v>
      </c>
      <c r="D23" s="955">
        <v>1088</v>
      </c>
      <c r="E23" s="955">
        <v>1262</v>
      </c>
      <c r="F23" s="955">
        <v>1242</v>
      </c>
      <c r="G23" s="1557">
        <v>1347</v>
      </c>
      <c r="H23" s="1642">
        <v>1500</v>
      </c>
    </row>
    <row r="24" spans="1:8" s="636" customFormat="1" x14ac:dyDescent="0.25">
      <c r="A24" s="632" t="s">
        <v>50</v>
      </c>
      <c r="B24" s="633" t="s">
        <v>51</v>
      </c>
      <c r="C24" s="633" t="s">
        <v>265</v>
      </c>
      <c r="D24" s="955">
        <v>3016</v>
      </c>
      <c r="E24" s="955">
        <v>3385</v>
      </c>
      <c r="F24" s="955">
        <v>3331</v>
      </c>
      <c r="G24" s="1557">
        <v>3441</v>
      </c>
      <c r="H24" s="1642">
        <v>3386</v>
      </c>
    </row>
    <row r="25" spans="1:8" s="636" customFormat="1" x14ac:dyDescent="0.25">
      <c r="A25" s="632" t="s">
        <v>56</v>
      </c>
      <c r="B25" s="633" t="s">
        <v>295</v>
      </c>
      <c r="C25" s="633" t="s">
        <v>266</v>
      </c>
      <c r="D25" s="955">
        <v>39492</v>
      </c>
      <c r="E25" s="955">
        <v>46535</v>
      </c>
      <c r="F25" s="955">
        <v>47972</v>
      </c>
      <c r="G25" s="1557">
        <v>53615</v>
      </c>
      <c r="H25" s="1642">
        <v>58350</v>
      </c>
    </row>
    <row r="26" spans="1:8" s="636" customFormat="1" x14ac:dyDescent="0.25">
      <c r="A26" s="632" t="s">
        <v>58</v>
      </c>
      <c r="B26" s="633" t="s">
        <v>59</v>
      </c>
      <c r="C26" s="633" t="s">
        <v>267</v>
      </c>
      <c r="D26" s="955">
        <v>1123</v>
      </c>
      <c r="E26" s="955">
        <v>1330</v>
      </c>
      <c r="F26" s="955">
        <v>1369</v>
      </c>
      <c r="G26" s="1557">
        <v>1382</v>
      </c>
      <c r="H26" s="1642">
        <v>1395</v>
      </c>
    </row>
    <row r="27" spans="1:8" s="636" customFormat="1" x14ac:dyDescent="0.25">
      <c r="A27" s="632" t="s">
        <v>60</v>
      </c>
      <c r="B27" s="633" t="s">
        <v>61</v>
      </c>
      <c r="C27" s="633" t="s">
        <v>265</v>
      </c>
      <c r="D27" s="955">
        <v>846</v>
      </c>
      <c r="E27" s="955">
        <v>1004</v>
      </c>
      <c r="F27" s="955">
        <v>1006</v>
      </c>
      <c r="G27" s="1557">
        <v>1091</v>
      </c>
      <c r="H27" s="1642">
        <v>1104</v>
      </c>
    </row>
    <row r="28" spans="1:8" s="636" customFormat="1" x14ac:dyDescent="0.25">
      <c r="A28" s="632" t="s">
        <v>62</v>
      </c>
      <c r="B28" s="633" t="s">
        <v>63</v>
      </c>
      <c r="C28" s="633" t="s">
        <v>267</v>
      </c>
      <c r="D28" s="955">
        <v>7134</v>
      </c>
      <c r="E28" s="955">
        <v>8464</v>
      </c>
      <c r="F28" s="955">
        <v>8650</v>
      </c>
      <c r="G28" s="1557">
        <v>9204</v>
      </c>
      <c r="H28" s="1642">
        <v>9373</v>
      </c>
    </row>
    <row r="29" spans="1:8" s="636" customFormat="1" x14ac:dyDescent="0.25">
      <c r="A29" s="632" t="s">
        <v>64</v>
      </c>
      <c r="B29" s="633" t="s">
        <v>65</v>
      </c>
      <c r="C29" s="633" t="s">
        <v>266</v>
      </c>
      <c r="D29" s="955">
        <v>2324</v>
      </c>
      <c r="E29" s="955">
        <v>2756</v>
      </c>
      <c r="F29" s="955">
        <v>2826</v>
      </c>
      <c r="G29" s="1557">
        <v>2903</v>
      </c>
      <c r="H29" s="1642">
        <v>2959</v>
      </c>
    </row>
    <row r="30" spans="1:8" s="636" customFormat="1" x14ac:dyDescent="0.25">
      <c r="A30" s="632" t="s">
        <v>68</v>
      </c>
      <c r="B30" s="633" t="s">
        <v>69</v>
      </c>
      <c r="C30" s="633" t="s">
        <v>268</v>
      </c>
      <c r="D30" s="955">
        <v>4376</v>
      </c>
      <c r="E30" s="955">
        <v>4986</v>
      </c>
      <c r="F30" s="955">
        <v>4948</v>
      </c>
      <c r="G30" s="1557">
        <v>5092</v>
      </c>
      <c r="H30" s="1642">
        <v>5324</v>
      </c>
    </row>
    <row r="31" spans="1:8" s="636" customFormat="1" x14ac:dyDescent="0.25">
      <c r="A31" s="632" t="s">
        <v>70</v>
      </c>
      <c r="B31" s="633" t="s">
        <v>71</v>
      </c>
      <c r="C31" s="633" t="s">
        <v>264</v>
      </c>
      <c r="D31" s="955">
        <v>4957</v>
      </c>
      <c r="E31" s="955">
        <v>5740</v>
      </c>
      <c r="F31" s="955">
        <v>5730</v>
      </c>
      <c r="G31" s="1557">
        <v>6179</v>
      </c>
      <c r="H31" s="1642">
        <v>6364</v>
      </c>
    </row>
    <row r="32" spans="1:8" s="636" customFormat="1" x14ac:dyDescent="0.25">
      <c r="A32" s="632" t="s">
        <v>72</v>
      </c>
      <c r="B32" s="633" t="s">
        <v>73</v>
      </c>
      <c r="C32" s="633" t="s">
        <v>266</v>
      </c>
      <c r="D32" s="955">
        <v>2621</v>
      </c>
      <c r="E32" s="955">
        <v>2965</v>
      </c>
      <c r="F32" s="955">
        <v>2911</v>
      </c>
      <c r="G32" s="1557">
        <v>3042</v>
      </c>
      <c r="H32" s="1642">
        <v>3151</v>
      </c>
    </row>
    <row r="33" spans="1:8" s="636" customFormat="1" x14ac:dyDescent="0.25">
      <c r="A33" s="632" t="s">
        <v>74</v>
      </c>
      <c r="B33" s="633" t="s">
        <v>296</v>
      </c>
      <c r="C33" s="633" t="s">
        <v>267</v>
      </c>
      <c r="D33" s="955">
        <v>84182</v>
      </c>
      <c r="E33" s="955">
        <v>97960</v>
      </c>
      <c r="F33" s="955">
        <v>100274</v>
      </c>
      <c r="G33" s="1557">
        <v>111943</v>
      </c>
      <c r="H33" s="1642">
        <v>110319</v>
      </c>
    </row>
    <row r="34" spans="1:8" s="636" customFormat="1" x14ac:dyDescent="0.25">
      <c r="A34" s="632" t="s">
        <v>76</v>
      </c>
      <c r="B34" s="633" t="s">
        <v>77</v>
      </c>
      <c r="C34" s="633" t="s">
        <v>267</v>
      </c>
      <c r="D34" s="955">
        <v>5926</v>
      </c>
      <c r="E34" s="955">
        <v>7061</v>
      </c>
      <c r="F34" s="955">
        <v>7078</v>
      </c>
      <c r="G34" s="1557">
        <v>7728</v>
      </c>
      <c r="H34" s="1642">
        <v>7573</v>
      </c>
    </row>
    <row r="35" spans="1:8" s="636" customFormat="1" x14ac:dyDescent="0.25">
      <c r="A35" s="632" t="s">
        <v>78</v>
      </c>
      <c r="B35" s="633" t="s">
        <v>79</v>
      </c>
      <c r="C35" s="633" t="s">
        <v>268</v>
      </c>
      <c r="D35" s="955">
        <v>2595</v>
      </c>
      <c r="E35" s="955">
        <v>2996</v>
      </c>
      <c r="F35" s="955">
        <v>3003</v>
      </c>
      <c r="G35" s="1557">
        <v>3157</v>
      </c>
      <c r="H35" s="1642">
        <v>3189</v>
      </c>
    </row>
    <row r="36" spans="1:8" s="636" customFormat="1" x14ac:dyDescent="0.25">
      <c r="A36" s="632" t="s">
        <v>80</v>
      </c>
      <c r="B36" s="633" t="s">
        <v>81</v>
      </c>
      <c r="C36" s="633" t="s">
        <v>266</v>
      </c>
      <c r="D36" s="955">
        <v>2530</v>
      </c>
      <c r="E36" s="955">
        <v>3055</v>
      </c>
      <c r="F36" s="955">
        <v>3107</v>
      </c>
      <c r="G36" s="1557">
        <v>3275</v>
      </c>
      <c r="H36" s="1642">
        <v>3477</v>
      </c>
    </row>
    <row r="37" spans="1:8" s="636" customFormat="1" x14ac:dyDescent="0.25">
      <c r="A37" s="632" t="s">
        <v>84</v>
      </c>
      <c r="B37" s="633" t="s">
        <v>85</v>
      </c>
      <c r="C37" s="633" t="s">
        <v>265</v>
      </c>
      <c r="D37" s="955">
        <v>9440</v>
      </c>
      <c r="E37" s="955">
        <v>10832</v>
      </c>
      <c r="F37" s="955">
        <v>10737</v>
      </c>
      <c r="G37" s="1557">
        <v>11137</v>
      </c>
      <c r="H37" s="1642">
        <v>11434</v>
      </c>
    </row>
    <row r="38" spans="1:8" s="636" customFormat="1" x14ac:dyDescent="0.25">
      <c r="A38" s="632" t="s">
        <v>86</v>
      </c>
      <c r="B38" s="633" t="s">
        <v>87</v>
      </c>
      <c r="C38" s="633" t="s">
        <v>267</v>
      </c>
      <c r="D38" s="955">
        <v>9343</v>
      </c>
      <c r="E38" s="955">
        <v>11284</v>
      </c>
      <c r="F38" s="955">
        <v>11415</v>
      </c>
      <c r="G38" s="1557">
        <v>12057</v>
      </c>
      <c r="H38" s="1642">
        <v>12355</v>
      </c>
    </row>
    <row r="39" spans="1:8" s="636" customFormat="1" x14ac:dyDescent="0.25">
      <c r="A39" s="632" t="s">
        <v>92</v>
      </c>
      <c r="B39" s="633" t="s">
        <v>93</v>
      </c>
      <c r="C39" s="633" t="s">
        <v>268</v>
      </c>
      <c r="D39" s="955">
        <v>3188</v>
      </c>
      <c r="E39" s="955">
        <v>3480</v>
      </c>
      <c r="F39" s="955">
        <v>3586</v>
      </c>
      <c r="G39" s="1557">
        <v>3857</v>
      </c>
      <c r="H39" s="1642">
        <v>3942</v>
      </c>
    </row>
    <row r="40" spans="1:8" s="636" customFormat="1" x14ac:dyDescent="0.25">
      <c r="A40" s="632" t="s">
        <v>94</v>
      </c>
      <c r="B40" s="633" t="s">
        <v>95</v>
      </c>
      <c r="C40" s="633" t="s">
        <v>264</v>
      </c>
      <c r="D40" s="955">
        <v>4696</v>
      </c>
      <c r="E40" s="955">
        <v>5429</v>
      </c>
      <c r="F40" s="955">
        <v>5565</v>
      </c>
      <c r="G40" s="1557">
        <v>5896</v>
      </c>
      <c r="H40" s="1642">
        <v>6197</v>
      </c>
    </row>
    <row r="41" spans="1:8" s="636" customFormat="1" x14ac:dyDescent="0.25">
      <c r="A41" s="632" t="s">
        <v>96</v>
      </c>
      <c r="B41" s="633" t="s">
        <v>97</v>
      </c>
      <c r="C41" s="633" t="s">
        <v>266</v>
      </c>
      <c r="D41" s="955">
        <v>1629</v>
      </c>
      <c r="E41" s="955">
        <v>1929</v>
      </c>
      <c r="F41" s="955">
        <v>1984</v>
      </c>
      <c r="G41" s="1557">
        <v>2158</v>
      </c>
      <c r="H41" s="1642">
        <v>2183</v>
      </c>
    </row>
    <row r="42" spans="1:8" s="636" customFormat="1" x14ac:dyDescent="0.25">
      <c r="A42" s="632" t="s">
        <v>98</v>
      </c>
      <c r="B42" s="633" t="s">
        <v>99</v>
      </c>
      <c r="C42" s="633" t="s">
        <v>268</v>
      </c>
      <c r="D42" s="955">
        <v>3565</v>
      </c>
      <c r="E42" s="955">
        <v>4123</v>
      </c>
      <c r="F42" s="955">
        <v>4118</v>
      </c>
      <c r="G42" s="1557">
        <v>4213</v>
      </c>
      <c r="H42" s="1642">
        <v>4207</v>
      </c>
    </row>
    <row r="43" spans="1:8" s="636" customFormat="1" x14ac:dyDescent="0.25">
      <c r="A43" s="632" t="s">
        <v>100</v>
      </c>
      <c r="B43" s="633" t="s">
        <v>101</v>
      </c>
      <c r="C43" s="633" t="s">
        <v>267</v>
      </c>
      <c r="D43" s="955">
        <v>2668</v>
      </c>
      <c r="E43" s="955">
        <v>3140</v>
      </c>
      <c r="F43" s="955">
        <v>3227</v>
      </c>
      <c r="G43" s="1557">
        <v>3377</v>
      </c>
      <c r="H43" s="1642">
        <v>3510</v>
      </c>
    </row>
    <row r="44" spans="1:8" s="636" customFormat="1" x14ac:dyDescent="0.25">
      <c r="A44" s="632" t="s">
        <v>102</v>
      </c>
      <c r="B44" s="633" t="s">
        <v>282</v>
      </c>
      <c r="C44" s="633" t="s">
        <v>264</v>
      </c>
      <c r="D44" s="955">
        <v>4507</v>
      </c>
      <c r="E44" s="955">
        <v>5263</v>
      </c>
      <c r="F44" s="955">
        <v>5238</v>
      </c>
      <c r="G44" s="1557">
        <v>5598</v>
      </c>
      <c r="H44" s="1642">
        <v>5685</v>
      </c>
    </row>
    <row r="45" spans="1:8" s="636" customFormat="1" x14ac:dyDescent="0.25">
      <c r="A45" s="632" t="s">
        <v>104</v>
      </c>
      <c r="B45" s="633" t="s">
        <v>105</v>
      </c>
      <c r="C45" s="633" t="s">
        <v>265</v>
      </c>
      <c r="D45" s="955">
        <v>8719</v>
      </c>
      <c r="E45" s="955">
        <v>9610</v>
      </c>
      <c r="F45" s="955">
        <v>9716</v>
      </c>
      <c r="G45" s="1557">
        <v>10094</v>
      </c>
      <c r="H45" s="1642">
        <v>10201</v>
      </c>
    </row>
    <row r="46" spans="1:8" s="636" customFormat="1" x14ac:dyDescent="0.25">
      <c r="A46" s="632" t="s">
        <v>108</v>
      </c>
      <c r="B46" s="633" t="s">
        <v>109</v>
      </c>
      <c r="C46" s="633" t="s">
        <v>266</v>
      </c>
      <c r="D46" s="955">
        <v>7379</v>
      </c>
      <c r="E46" s="955">
        <v>8664</v>
      </c>
      <c r="F46" s="955">
        <v>8962</v>
      </c>
      <c r="G46" s="1557">
        <v>9708</v>
      </c>
      <c r="H46" s="1642">
        <v>10016</v>
      </c>
    </row>
    <row r="47" spans="1:8" s="636" customFormat="1" x14ac:dyDescent="0.25">
      <c r="A47" s="632" t="s">
        <v>110</v>
      </c>
      <c r="B47" s="633" t="s">
        <v>111</v>
      </c>
      <c r="C47" s="633" t="s">
        <v>266</v>
      </c>
      <c r="D47" s="955">
        <v>39506</v>
      </c>
      <c r="E47" s="955">
        <v>46382</v>
      </c>
      <c r="F47" s="955">
        <v>47852</v>
      </c>
      <c r="G47" s="1557">
        <v>50663</v>
      </c>
      <c r="H47" s="1642">
        <v>53073</v>
      </c>
    </row>
    <row r="48" spans="1:8" s="636" customFormat="1" x14ac:dyDescent="0.25">
      <c r="A48" s="632" t="s">
        <v>112</v>
      </c>
      <c r="B48" s="633" t="s">
        <v>300</v>
      </c>
      <c r="C48" s="633" t="s">
        <v>265</v>
      </c>
      <c r="D48" s="955">
        <v>18213</v>
      </c>
      <c r="E48" s="955">
        <v>20775</v>
      </c>
      <c r="F48" s="955">
        <v>20890</v>
      </c>
      <c r="G48" s="1557">
        <v>21924</v>
      </c>
      <c r="H48" s="1642">
        <v>22256</v>
      </c>
    </row>
    <row r="49" spans="1:8" s="636" customFormat="1" x14ac:dyDescent="0.25">
      <c r="A49" s="632" t="s">
        <v>114</v>
      </c>
      <c r="B49" s="633" t="s">
        <v>115</v>
      </c>
      <c r="C49" s="633" t="s">
        <v>265</v>
      </c>
      <c r="D49" s="955">
        <v>249</v>
      </c>
      <c r="E49" s="955">
        <v>267</v>
      </c>
      <c r="F49" s="955">
        <v>353</v>
      </c>
      <c r="G49" s="1557">
        <v>441</v>
      </c>
      <c r="H49" s="1642">
        <v>323</v>
      </c>
    </row>
    <row r="50" spans="1:8" s="636" customFormat="1" x14ac:dyDescent="0.25">
      <c r="A50" s="632" t="s">
        <v>118</v>
      </c>
      <c r="B50" s="633" t="s">
        <v>270</v>
      </c>
      <c r="C50" s="633" t="s">
        <v>264</v>
      </c>
      <c r="D50" s="955">
        <v>4675</v>
      </c>
      <c r="E50" s="955">
        <v>5453</v>
      </c>
      <c r="F50" s="955">
        <v>5348</v>
      </c>
      <c r="G50" s="1557">
        <v>5703</v>
      </c>
      <c r="H50" s="1642">
        <v>5858</v>
      </c>
    </row>
    <row r="51" spans="1:8" s="636" customFormat="1" x14ac:dyDescent="0.25">
      <c r="A51" s="632" t="s">
        <v>120</v>
      </c>
      <c r="B51" s="633" t="s">
        <v>121</v>
      </c>
      <c r="C51" s="633" t="s">
        <v>264</v>
      </c>
      <c r="D51" s="955">
        <v>5783</v>
      </c>
      <c r="E51" s="955">
        <v>6928</v>
      </c>
      <c r="F51" s="955">
        <v>7110</v>
      </c>
      <c r="G51" s="1557">
        <v>7569</v>
      </c>
      <c r="H51" s="1642">
        <v>8018</v>
      </c>
    </row>
    <row r="52" spans="1:8" s="636" customFormat="1" x14ac:dyDescent="0.25">
      <c r="A52" s="632" t="s">
        <v>122</v>
      </c>
      <c r="B52" s="633" t="s">
        <v>287</v>
      </c>
      <c r="C52" s="633" t="s">
        <v>266</v>
      </c>
      <c r="D52" s="955">
        <v>1425</v>
      </c>
      <c r="E52" s="955">
        <v>1638</v>
      </c>
      <c r="F52" s="955">
        <v>1726</v>
      </c>
      <c r="G52" s="1557">
        <v>1766</v>
      </c>
      <c r="H52" s="1642">
        <v>1741</v>
      </c>
    </row>
    <row r="53" spans="1:8" s="636" customFormat="1" x14ac:dyDescent="0.25">
      <c r="A53" s="632" t="s">
        <v>124</v>
      </c>
      <c r="B53" s="633" t="s">
        <v>125</v>
      </c>
      <c r="C53" s="633" t="s">
        <v>267</v>
      </c>
      <c r="D53" s="955">
        <v>3158</v>
      </c>
      <c r="E53" s="955">
        <v>3685</v>
      </c>
      <c r="F53" s="955">
        <v>3731</v>
      </c>
      <c r="G53" s="1557">
        <v>3990</v>
      </c>
      <c r="H53" s="1642">
        <v>3971</v>
      </c>
    </row>
    <row r="54" spans="1:8" s="636" customFormat="1" x14ac:dyDescent="0.25">
      <c r="A54" s="632" t="s">
        <v>126</v>
      </c>
      <c r="B54" s="633" t="s">
        <v>127</v>
      </c>
      <c r="C54" s="633" t="s">
        <v>266</v>
      </c>
      <c r="D54" s="955">
        <v>2214</v>
      </c>
      <c r="E54" s="955">
        <v>2534</v>
      </c>
      <c r="F54" s="955">
        <v>2584</v>
      </c>
      <c r="G54" s="1557">
        <v>2629</v>
      </c>
      <c r="H54" s="1642">
        <v>2749</v>
      </c>
    </row>
    <row r="55" spans="1:8" s="636" customFormat="1" x14ac:dyDescent="0.25">
      <c r="A55" s="632" t="s">
        <v>128</v>
      </c>
      <c r="B55" s="633" t="s">
        <v>129</v>
      </c>
      <c r="C55" s="633" t="s">
        <v>266</v>
      </c>
      <c r="D55" s="955">
        <v>1977</v>
      </c>
      <c r="E55" s="955">
        <v>2297</v>
      </c>
      <c r="F55" s="955">
        <v>2297</v>
      </c>
      <c r="G55" s="1557">
        <v>2377</v>
      </c>
      <c r="H55" s="1642">
        <v>2311</v>
      </c>
    </row>
    <row r="56" spans="1:8" s="636" customFormat="1" x14ac:dyDescent="0.25">
      <c r="A56" s="632" t="s">
        <v>130</v>
      </c>
      <c r="B56" s="633" t="s">
        <v>131</v>
      </c>
      <c r="C56" s="633" t="s">
        <v>268</v>
      </c>
      <c r="D56" s="955">
        <v>7523</v>
      </c>
      <c r="E56" s="955">
        <v>8264</v>
      </c>
      <c r="F56" s="955">
        <v>8314</v>
      </c>
      <c r="G56" s="1557">
        <v>8399</v>
      </c>
      <c r="H56" s="1642">
        <v>8571</v>
      </c>
    </row>
    <row r="57" spans="1:8" s="636" customFormat="1" x14ac:dyDescent="0.25">
      <c r="A57" s="632" t="s">
        <v>132</v>
      </c>
      <c r="B57" s="633" t="s">
        <v>133</v>
      </c>
      <c r="C57" s="633" t="s">
        <v>267</v>
      </c>
      <c r="D57" s="955">
        <v>17019</v>
      </c>
      <c r="E57" s="955">
        <v>20281</v>
      </c>
      <c r="F57" s="955">
        <v>21046</v>
      </c>
      <c r="G57" s="1557">
        <v>24648</v>
      </c>
      <c r="H57" s="1642">
        <v>27473</v>
      </c>
    </row>
    <row r="58" spans="1:8" s="636" customFormat="1" x14ac:dyDescent="0.25">
      <c r="A58" s="632" t="s">
        <v>134</v>
      </c>
      <c r="B58" s="633" t="s">
        <v>135</v>
      </c>
      <c r="C58" s="633" t="s">
        <v>267</v>
      </c>
      <c r="D58" s="955">
        <v>5143</v>
      </c>
      <c r="E58" s="955">
        <v>6081</v>
      </c>
      <c r="F58" s="955">
        <v>6324</v>
      </c>
      <c r="G58" s="1557">
        <v>6872</v>
      </c>
      <c r="H58" s="1642">
        <v>6884</v>
      </c>
    </row>
    <row r="59" spans="1:8" s="636" customFormat="1" x14ac:dyDescent="0.25">
      <c r="A59" s="632" t="s">
        <v>136</v>
      </c>
      <c r="B59" s="633" t="s">
        <v>137</v>
      </c>
      <c r="C59" s="633" t="s">
        <v>266</v>
      </c>
      <c r="D59" s="955">
        <v>2816</v>
      </c>
      <c r="E59" s="955">
        <v>3158</v>
      </c>
      <c r="F59" s="955">
        <v>3304</v>
      </c>
      <c r="G59" s="1557">
        <v>3428</v>
      </c>
      <c r="H59" s="1642">
        <v>3389</v>
      </c>
    </row>
    <row r="60" spans="1:8" s="636" customFormat="1" x14ac:dyDescent="0.25">
      <c r="A60" s="632" t="s">
        <v>140</v>
      </c>
      <c r="B60" s="633" t="s">
        <v>141</v>
      </c>
      <c r="C60" s="633" t="s">
        <v>267</v>
      </c>
      <c r="D60" s="955">
        <v>1904</v>
      </c>
      <c r="E60" s="955">
        <v>2306</v>
      </c>
      <c r="F60" s="955">
        <v>2325</v>
      </c>
      <c r="G60" s="1557">
        <v>2490</v>
      </c>
      <c r="H60" s="1642">
        <v>2509</v>
      </c>
    </row>
    <row r="61" spans="1:8" s="636" customFormat="1" x14ac:dyDescent="0.25">
      <c r="A61" s="632" t="s">
        <v>146</v>
      </c>
      <c r="B61" s="633" t="s">
        <v>147</v>
      </c>
      <c r="C61" s="633" t="s">
        <v>264</v>
      </c>
      <c r="D61" s="955">
        <v>1063</v>
      </c>
      <c r="E61" s="955">
        <v>1249</v>
      </c>
      <c r="F61" s="955">
        <v>1262</v>
      </c>
      <c r="G61" s="1557">
        <v>1354</v>
      </c>
      <c r="H61" s="1642">
        <v>1379</v>
      </c>
    </row>
    <row r="62" spans="1:8" s="636" customFormat="1" x14ac:dyDescent="0.25">
      <c r="A62" s="632" t="s">
        <v>148</v>
      </c>
      <c r="B62" s="633" t="s">
        <v>149</v>
      </c>
      <c r="C62" s="633" t="s">
        <v>265</v>
      </c>
      <c r="D62" s="955">
        <v>6729</v>
      </c>
      <c r="E62" s="955">
        <v>7722</v>
      </c>
      <c r="F62" s="955">
        <v>7885</v>
      </c>
      <c r="G62" s="1557">
        <v>8010</v>
      </c>
      <c r="H62" s="1642">
        <v>7852</v>
      </c>
    </row>
    <row r="63" spans="1:8" s="636" customFormat="1" x14ac:dyDescent="0.25">
      <c r="A63" s="632" t="s">
        <v>150</v>
      </c>
      <c r="B63" s="633" t="s">
        <v>151</v>
      </c>
      <c r="C63" s="633" t="s">
        <v>266</v>
      </c>
      <c r="D63" s="955">
        <v>1809</v>
      </c>
      <c r="E63" s="955">
        <v>2099</v>
      </c>
      <c r="F63" s="955">
        <v>2121</v>
      </c>
      <c r="G63" s="1557">
        <v>2273</v>
      </c>
      <c r="H63" s="1642">
        <v>2340</v>
      </c>
    </row>
    <row r="64" spans="1:8" s="636" customFormat="1" x14ac:dyDescent="0.25">
      <c r="A64" s="632" t="s">
        <v>152</v>
      </c>
      <c r="B64" s="633" t="s">
        <v>153</v>
      </c>
      <c r="C64" s="633" t="s">
        <v>268</v>
      </c>
      <c r="D64" s="955">
        <v>9699</v>
      </c>
      <c r="E64" s="955">
        <v>11152</v>
      </c>
      <c r="F64" s="955">
        <v>11308</v>
      </c>
      <c r="G64" s="1557">
        <v>11516</v>
      </c>
      <c r="H64" s="1642">
        <v>11401</v>
      </c>
    </row>
    <row r="65" spans="1:8" s="636" customFormat="1" x14ac:dyDescent="0.25">
      <c r="A65" s="632" t="s">
        <v>154</v>
      </c>
      <c r="B65" s="633" t="s">
        <v>155</v>
      </c>
      <c r="C65" s="633" t="s">
        <v>265</v>
      </c>
      <c r="D65" s="955">
        <v>2708</v>
      </c>
      <c r="E65" s="955">
        <v>3093</v>
      </c>
      <c r="F65" s="955">
        <v>3147</v>
      </c>
      <c r="G65" s="1557">
        <v>3332</v>
      </c>
      <c r="H65" s="1642">
        <v>3254</v>
      </c>
    </row>
    <row r="66" spans="1:8" s="636" customFormat="1" x14ac:dyDescent="0.25">
      <c r="A66" s="632" t="s">
        <v>156</v>
      </c>
      <c r="B66" s="633" t="s">
        <v>157</v>
      </c>
      <c r="C66" s="633" t="s">
        <v>266</v>
      </c>
      <c r="D66" s="955">
        <v>1546</v>
      </c>
      <c r="E66" s="955">
        <v>1810</v>
      </c>
      <c r="F66" s="955">
        <v>1878</v>
      </c>
      <c r="G66" s="1557">
        <v>2187</v>
      </c>
      <c r="H66" s="1642">
        <v>2294</v>
      </c>
    </row>
    <row r="67" spans="1:8" s="636" customFormat="1" x14ac:dyDescent="0.25">
      <c r="A67" s="632" t="s">
        <v>162</v>
      </c>
      <c r="B67" s="633" t="s">
        <v>163</v>
      </c>
      <c r="C67" s="633" t="s">
        <v>264</v>
      </c>
      <c r="D67" s="955">
        <v>3482</v>
      </c>
      <c r="E67" s="955">
        <v>3904</v>
      </c>
      <c r="F67" s="955">
        <v>3908</v>
      </c>
      <c r="G67" s="1557">
        <v>3936</v>
      </c>
      <c r="H67" s="1642">
        <v>3930</v>
      </c>
    </row>
    <row r="68" spans="1:8" s="636" customFormat="1" x14ac:dyDescent="0.25">
      <c r="A68" s="632" t="s">
        <v>164</v>
      </c>
      <c r="B68" s="633" t="s">
        <v>165</v>
      </c>
      <c r="C68" s="633" t="s">
        <v>266</v>
      </c>
      <c r="D68" s="955">
        <v>2022</v>
      </c>
      <c r="E68" s="955">
        <v>2459</v>
      </c>
      <c r="F68" s="955">
        <v>2515</v>
      </c>
      <c r="G68" s="1557">
        <v>2582</v>
      </c>
      <c r="H68" s="1642">
        <v>2659</v>
      </c>
    </row>
    <row r="69" spans="1:8" s="636" customFormat="1" x14ac:dyDescent="0.25">
      <c r="A69" s="632" t="s">
        <v>168</v>
      </c>
      <c r="B69" s="633" t="s">
        <v>169</v>
      </c>
      <c r="C69" s="633" t="s">
        <v>266</v>
      </c>
      <c r="D69" s="955">
        <v>3807</v>
      </c>
      <c r="E69" s="955">
        <v>4409</v>
      </c>
      <c r="F69" s="955">
        <v>4451</v>
      </c>
      <c r="G69" s="1557">
        <v>4608</v>
      </c>
      <c r="H69" s="1642">
        <v>4610</v>
      </c>
    </row>
    <row r="70" spans="1:8" s="636" customFormat="1" x14ac:dyDescent="0.25">
      <c r="A70" s="632" t="s">
        <v>170</v>
      </c>
      <c r="B70" s="633" t="s">
        <v>171</v>
      </c>
      <c r="C70" s="633" t="s">
        <v>267</v>
      </c>
      <c r="D70" s="955">
        <v>4538</v>
      </c>
      <c r="E70" s="955">
        <v>5441</v>
      </c>
      <c r="F70" s="955">
        <v>5644</v>
      </c>
      <c r="G70" s="1557">
        <v>6057</v>
      </c>
      <c r="H70" s="1642">
        <v>6136</v>
      </c>
    </row>
    <row r="71" spans="1:8" s="636" customFormat="1" x14ac:dyDescent="0.25">
      <c r="A71" s="632" t="s">
        <v>172</v>
      </c>
      <c r="B71" s="633" t="s">
        <v>173</v>
      </c>
      <c r="C71" s="633" t="s">
        <v>267</v>
      </c>
      <c r="D71" s="955">
        <v>4699</v>
      </c>
      <c r="E71" s="955">
        <v>5315</v>
      </c>
      <c r="F71" s="955">
        <v>5291</v>
      </c>
      <c r="G71" s="1557">
        <v>5529</v>
      </c>
      <c r="H71" s="1642">
        <v>5570</v>
      </c>
    </row>
    <row r="72" spans="1:8" s="636" customFormat="1" x14ac:dyDescent="0.25">
      <c r="A72" s="632" t="s">
        <v>174</v>
      </c>
      <c r="B72" s="633" t="s">
        <v>175</v>
      </c>
      <c r="C72" s="633" t="s">
        <v>268</v>
      </c>
      <c r="D72" s="955">
        <v>4321</v>
      </c>
      <c r="E72" s="955">
        <v>4850</v>
      </c>
      <c r="F72" s="955">
        <v>4801</v>
      </c>
      <c r="G72" s="1557">
        <v>4888</v>
      </c>
      <c r="H72" s="1642">
        <v>4795</v>
      </c>
    </row>
    <row r="73" spans="1:8" s="636" customFormat="1" x14ac:dyDescent="0.25">
      <c r="A73" s="632" t="s">
        <v>178</v>
      </c>
      <c r="B73" s="633" t="s">
        <v>179</v>
      </c>
      <c r="C73" s="633" t="s">
        <v>265</v>
      </c>
      <c r="D73" s="955">
        <v>12221</v>
      </c>
      <c r="E73" s="955">
        <v>14064</v>
      </c>
      <c r="F73" s="955">
        <v>14574</v>
      </c>
      <c r="G73" s="1557">
        <v>15218</v>
      </c>
      <c r="H73" s="1642">
        <v>15603</v>
      </c>
    </row>
    <row r="74" spans="1:8" s="636" customFormat="1" x14ac:dyDescent="0.25">
      <c r="A74" s="632" t="s">
        <v>182</v>
      </c>
      <c r="B74" s="633" t="s">
        <v>183</v>
      </c>
      <c r="C74" s="633" t="s">
        <v>266</v>
      </c>
      <c r="D74" s="955">
        <v>2057</v>
      </c>
      <c r="E74" s="955">
        <v>2414</v>
      </c>
      <c r="F74" s="955">
        <v>2415</v>
      </c>
      <c r="G74" s="1557">
        <v>2554</v>
      </c>
      <c r="H74" s="1642">
        <v>2675</v>
      </c>
    </row>
    <row r="75" spans="1:8" s="636" customFormat="1" x14ac:dyDescent="0.25">
      <c r="A75" s="632" t="s">
        <v>184</v>
      </c>
      <c r="B75" s="633" t="s">
        <v>185</v>
      </c>
      <c r="C75" s="633" t="s">
        <v>266</v>
      </c>
      <c r="D75" s="955">
        <v>4424</v>
      </c>
      <c r="E75" s="955">
        <v>4998</v>
      </c>
      <c r="F75" s="955">
        <v>5172</v>
      </c>
      <c r="G75" s="1557">
        <v>5253</v>
      </c>
      <c r="H75" s="1642">
        <v>5297</v>
      </c>
    </row>
    <row r="76" spans="1:8" s="636" customFormat="1" x14ac:dyDescent="0.25">
      <c r="A76" s="632" t="s">
        <v>186</v>
      </c>
      <c r="B76" s="633" t="s">
        <v>187</v>
      </c>
      <c r="C76" s="633" t="s">
        <v>264</v>
      </c>
      <c r="D76" s="955">
        <v>3215</v>
      </c>
      <c r="E76" s="955">
        <v>3944</v>
      </c>
      <c r="F76" s="955">
        <v>4301</v>
      </c>
      <c r="G76" s="1557">
        <v>4794</v>
      </c>
      <c r="H76" s="1642">
        <v>5245</v>
      </c>
    </row>
    <row r="77" spans="1:8" s="636" customFormat="1" x14ac:dyDescent="0.25">
      <c r="A77" s="632" t="s">
        <v>188</v>
      </c>
      <c r="B77" s="633" t="s">
        <v>189</v>
      </c>
      <c r="C77" s="633" t="s">
        <v>267</v>
      </c>
      <c r="D77" s="955">
        <v>47200</v>
      </c>
      <c r="E77" s="955">
        <v>56097</v>
      </c>
      <c r="F77" s="955">
        <v>57061</v>
      </c>
      <c r="G77" s="1557">
        <v>62474</v>
      </c>
      <c r="H77" s="1642">
        <v>64879</v>
      </c>
    </row>
    <row r="78" spans="1:8" s="636" customFormat="1" x14ac:dyDescent="0.25">
      <c r="A78" s="632" t="s">
        <v>190</v>
      </c>
      <c r="B78" s="633" t="s">
        <v>191</v>
      </c>
      <c r="C78" s="633" t="s">
        <v>268</v>
      </c>
      <c r="D78" s="955">
        <v>6657</v>
      </c>
      <c r="E78" s="955">
        <v>7717</v>
      </c>
      <c r="F78" s="955">
        <v>7902</v>
      </c>
      <c r="G78" s="1557">
        <v>8047</v>
      </c>
      <c r="H78" s="1642">
        <v>8121</v>
      </c>
    </row>
    <row r="79" spans="1:8" s="636" customFormat="1" x14ac:dyDescent="0.25">
      <c r="A79" s="632" t="s">
        <v>194</v>
      </c>
      <c r="B79" s="633" t="s">
        <v>195</v>
      </c>
      <c r="C79" s="633" t="s">
        <v>267</v>
      </c>
      <c r="D79" s="955">
        <v>850</v>
      </c>
      <c r="E79" s="955">
        <v>986</v>
      </c>
      <c r="F79" s="955">
        <v>979</v>
      </c>
      <c r="G79" s="1557">
        <v>1027</v>
      </c>
      <c r="H79" s="1642">
        <v>1017</v>
      </c>
    </row>
    <row r="80" spans="1:8" s="636" customFormat="1" x14ac:dyDescent="0.25">
      <c r="A80" s="632" t="s">
        <v>198</v>
      </c>
      <c r="B80" s="633" t="s">
        <v>272</v>
      </c>
      <c r="C80" s="633" t="s">
        <v>266</v>
      </c>
      <c r="D80" s="955">
        <v>1535</v>
      </c>
      <c r="E80" s="955">
        <v>1874</v>
      </c>
      <c r="F80" s="955">
        <v>1914</v>
      </c>
      <c r="G80" s="1557">
        <v>2080</v>
      </c>
      <c r="H80" s="1642">
        <v>2147</v>
      </c>
    </row>
    <row r="81" spans="1:8" s="636" customFormat="1" x14ac:dyDescent="0.25">
      <c r="A81" s="632" t="s">
        <v>202</v>
      </c>
      <c r="B81" s="633" t="s">
        <v>301</v>
      </c>
      <c r="C81" s="633" t="s">
        <v>265</v>
      </c>
      <c r="D81" s="955">
        <v>11981</v>
      </c>
      <c r="E81" s="955">
        <v>14472</v>
      </c>
      <c r="F81" s="955">
        <v>14703</v>
      </c>
      <c r="G81" s="1557">
        <v>15468</v>
      </c>
      <c r="H81" s="1642">
        <v>15679</v>
      </c>
    </row>
    <row r="82" spans="1:8" s="636" customFormat="1" x14ac:dyDescent="0.25">
      <c r="A82" s="632" t="s">
        <v>204</v>
      </c>
      <c r="B82" s="633" t="s">
        <v>293</v>
      </c>
      <c r="C82" s="633" t="s">
        <v>265</v>
      </c>
      <c r="D82" s="955">
        <v>5166</v>
      </c>
      <c r="E82" s="955">
        <v>6054</v>
      </c>
      <c r="F82" s="955">
        <v>6238</v>
      </c>
      <c r="G82" s="1557">
        <v>6461</v>
      </c>
      <c r="H82" s="1642">
        <v>6846</v>
      </c>
    </row>
    <row r="83" spans="1:8" s="636" customFormat="1" x14ac:dyDescent="0.25">
      <c r="A83" s="632" t="s">
        <v>206</v>
      </c>
      <c r="B83" s="633" t="s">
        <v>294</v>
      </c>
      <c r="C83" s="633" t="s">
        <v>267</v>
      </c>
      <c r="D83" s="955">
        <v>16008</v>
      </c>
      <c r="E83" s="955">
        <v>18886</v>
      </c>
      <c r="F83" s="955">
        <v>19333</v>
      </c>
      <c r="G83" s="1557">
        <v>20370</v>
      </c>
      <c r="H83" s="1642">
        <v>21119</v>
      </c>
    </row>
    <row r="84" spans="1:8" s="636" customFormat="1" x14ac:dyDescent="0.25">
      <c r="A84" s="632" t="s">
        <v>208</v>
      </c>
      <c r="B84" s="633" t="s">
        <v>209</v>
      </c>
      <c r="C84" s="633" t="s">
        <v>268</v>
      </c>
      <c r="D84" s="955">
        <v>7119</v>
      </c>
      <c r="E84" s="955">
        <v>8019</v>
      </c>
      <c r="F84" s="955">
        <v>8264</v>
      </c>
      <c r="G84" s="1557">
        <v>8430</v>
      </c>
      <c r="H84" s="1642">
        <v>8584</v>
      </c>
    </row>
    <row r="85" spans="1:8" s="636" customFormat="1" x14ac:dyDescent="0.25">
      <c r="A85" s="632" t="s">
        <v>210</v>
      </c>
      <c r="B85" s="633" t="s">
        <v>211</v>
      </c>
      <c r="C85" s="633" t="s">
        <v>268</v>
      </c>
      <c r="D85" s="955">
        <v>5325</v>
      </c>
      <c r="E85" s="955">
        <v>6026</v>
      </c>
      <c r="F85" s="955">
        <v>6068</v>
      </c>
      <c r="G85" s="1557">
        <v>6125</v>
      </c>
      <c r="H85" s="1642">
        <v>6193</v>
      </c>
    </row>
    <row r="86" spans="1:8" s="636" customFormat="1" x14ac:dyDescent="0.25">
      <c r="A86" s="632" t="s">
        <v>212</v>
      </c>
      <c r="B86" s="633" t="s">
        <v>213</v>
      </c>
      <c r="C86" s="633" t="s">
        <v>267</v>
      </c>
      <c r="D86" s="955">
        <v>6548</v>
      </c>
      <c r="E86" s="955">
        <v>7641</v>
      </c>
      <c r="F86" s="955">
        <v>7717</v>
      </c>
      <c r="G86" s="1557">
        <v>7970</v>
      </c>
      <c r="H86" s="1642">
        <v>8374</v>
      </c>
    </row>
    <row r="87" spans="1:8" s="636" customFormat="1" x14ac:dyDescent="0.25">
      <c r="A87" s="632" t="s">
        <v>214</v>
      </c>
      <c r="B87" s="633" t="s">
        <v>215</v>
      </c>
      <c r="C87" s="633" t="s">
        <v>268</v>
      </c>
      <c r="D87" s="955">
        <v>7716</v>
      </c>
      <c r="E87" s="955">
        <v>8744</v>
      </c>
      <c r="F87" s="955">
        <v>8727</v>
      </c>
      <c r="G87" s="1557">
        <v>8830</v>
      </c>
      <c r="H87" s="1642">
        <v>8721</v>
      </c>
    </row>
    <row r="88" spans="1:8" s="636" customFormat="1" x14ac:dyDescent="0.25">
      <c r="A88" s="632" t="s">
        <v>216</v>
      </c>
      <c r="B88" s="633" t="s">
        <v>217</v>
      </c>
      <c r="C88" s="633" t="s">
        <v>264</v>
      </c>
      <c r="D88" s="955">
        <v>3397</v>
      </c>
      <c r="E88" s="955">
        <v>3971</v>
      </c>
      <c r="F88" s="955">
        <v>4047</v>
      </c>
      <c r="G88" s="1557">
        <v>4196</v>
      </c>
      <c r="H88" s="1642">
        <v>4203</v>
      </c>
    </row>
    <row r="89" spans="1:8" s="636" customFormat="1" x14ac:dyDescent="0.25">
      <c r="A89" s="632" t="s">
        <v>218</v>
      </c>
      <c r="B89" s="633" t="s">
        <v>219</v>
      </c>
      <c r="C89" s="633" t="s">
        <v>267</v>
      </c>
      <c r="D89" s="955">
        <v>14601</v>
      </c>
      <c r="E89" s="955">
        <v>17575</v>
      </c>
      <c r="F89" s="955">
        <v>18454</v>
      </c>
      <c r="G89" s="1557">
        <v>20591</v>
      </c>
      <c r="H89" s="1642">
        <v>21841</v>
      </c>
    </row>
    <row r="90" spans="1:8" s="636" customFormat="1" x14ac:dyDescent="0.25">
      <c r="A90" s="632" t="s">
        <v>220</v>
      </c>
      <c r="B90" s="633" t="s">
        <v>221</v>
      </c>
      <c r="C90" s="633" t="s">
        <v>267</v>
      </c>
      <c r="D90" s="955">
        <v>12192</v>
      </c>
      <c r="E90" s="955">
        <v>14762</v>
      </c>
      <c r="F90" s="955">
        <v>15216</v>
      </c>
      <c r="G90" s="1557">
        <v>16922</v>
      </c>
      <c r="H90" s="1642">
        <v>18527</v>
      </c>
    </row>
    <row r="91" spans="1:8" s="636" customFormat="1" x14ac:dyDescent="0.25">
      <c r="A91" s="632" t="s">
        <v>224</v>
      </c>
      <c r="B91" s="633" t="s">
        <v>225</v>
      </c>
      <c r="C91" s="633" t="s">
        <v>264</v>
      </c>
      <c r="D91" s="955">
        <v>1173</v>
      </c>
      <c r="E91" s="955">
        <v>1369</v>
      </c>
      <c r="F91" s="955">
        <v>1410</v>
      </c>
      <c r="G91" s="1557">
        <v>1437</v>
      </c>
      <c r="H91" s="1642">
        <v>1488</v>
      </c>
    </row>
    <row r="92" spans="1:8" s="636" customFormat="1" x14ac:dyDescent="0.25">
      <c r="A92" s="632" t="s">
        <v>226</v>
      </c>
      <c r="B92" s="633" t="s">
        <v>227</v>
      </c>
      <c r="C92" s="633" t="s">
        <v>264</v>
      </c>
      <c r="D92" s="955">
        <v>2191</v>
      </c>
      <c r="E92" s="955">
        <v>2578</v>
      </c>
      <c r="F92" s="955">
        <v>2577</v>
      </c>
      <c r="G92" s="1557">
        <v>2665</v>
      </c>
      <c r="H92" s="1642">
        <v>2692</v>
      </c>
    </row>
    <row r="93" spans="1:8" s="636" customFormat="1" x14ac:dyDescent="0.25">
      <c r="A93" s="632" t="s">
        <v>228</v>
      </c>
      <c r="B93" s="633" t="s">
        <v>229</v>
      </c>
      <c r="C93" s="633" t="s">
        <v>268</v>
      </c>
      <c r="D93" s="955">
        <v>9633</v>
      </c>
      <c r="E93" s="955">
        <v>11053</v>
      </c>
      <c r="F93" s="955">
        <v>11167</v>
      </c>
      <c r="G93" s="1557">
        <v>11649</v>
      </c>
      <c r="H93" s="1642">
        <v>12017</v>
      </c>
    </row>
    <row r="94" spans="1:8" s="636" customFormat="1" x14ac:dyDescent="0.25">
      <c r="A94" s="632" t="s">
        <v>232</v>
      </c>
      <c r="B94" s="633" t="s">
        <v>233</v>
      </c>
      <c r="C94" s="633" t="s">
        <v>267</v>
      </c>
      <c r="D94" s="955">
        <v>5461</v>
      </c>
      <c r="E94" s="955">
        <v>6613</v>
      </c>
      <c r="F94" s="955">
        <v>6681</v>
      </c>
      <c r="G94" s="1557">
        <v>7196</v>
      </c>
      <c r="H94" s="1642">
        <v>7352</v>
      </c>
    </row>
    <row r="95" spans="1:8" s="636" customFormat="1" x14ac:dyDescent="0.25">
      <c r="A95" s="632" t="s">
        <v>234</v>
      </c>
      <c r="B95" s="633" t="s">
        <v>235</v>
      </c>
      <c r="C95" s="633" t="s">
        <v>268</v>
      </c>
      <c r="D95" s="955">
        <v>9483</v>
      </c>
      <c r="E95" s="955">
        <v>11154</v>
      </c>
      <c r="F95" s="955">
        <v>11420</v>
      </c>
      <c r="G95" s="1557">
        <v>11634</v>
      </c>
      <c r="H95" s="1642">
        <v>11711</v>
      </c>
    </row>
    <row r="96" spans="1:8" s="636" customFormat="1" x14ac:dyDescent="0.25">
      <c r="A96" s="632" t="s">
        <v>236</v>
      </c>
      <c r="B96" s="633" t="s">
        <v>237</v>
      </c>
      <c r="C96" s="633" t="s">
        <v>266</v>
      </c>
      <c r="D96" s="955">
        <v>3597</v>
      </c>
      <c r="E96" s="955">
        <v>4123</v>
      </c>
      <c r="F96" s="955">
        <v>4117</v>
      </c>
      <c r="G96" s="1557">
        <v>4501</v>
      </c>
      <c r="H96" s="1642">
        <v>4712</v>
      </c>
    </row>
    <row r="97" spans="1:8" s="636" customFormat="1" x14ac:dyDescent="0.25">
      <c r="A97" s="632" t="s">
        <v>242</v>
      </c>
      <c r="B97" s="633" t="s">
        <v>243</v>
      </c>
      <c r="C97" s="633" t="s">
        <v>268</v>
      </c>
      <c r="D97" s="955">
        <v>10595</v>
      </c>
      <c r="E97" s="955">
        <v>12033</v>
      </c>
      <c r="F97" s="955">
        <v>12231</v>
      </c>
      <c r="G97" s="1557">
        <v>12335</v>
      </c>
      <c r="H97" s="1642">
        <v>12486</v>
      </c>
    </row>
    <row r="98" spans="1:8" s="636" customFormat="1" x14ac:dyDescent="0.25">
      <c r="A98" s="632" t="s">
        <v>244</v>
      </c>
      <c r="B98" s="633" t="s">
        <v>245</v>
      </c>
      <c r="C98" s="633" t="s">
        <v>268</v>
      </c>
      <c r="D98" s="955">
        <v>5853</v>
      </c>
      <c r="E98" s="955">
        <v>6705</v>
      </c>
      <c r="F98" s="955">
        <v>6687</v>
      </c>
      <c r="G98" s="1557">
        <v>6882</v>
      </c>
      <c r="H98" s="1642">
        <v>6844</v>
      </c>
    </row>
    <row r="99" spans="1:8" s="636" customFormat="1" x14ac:dyDescent="0.25">
      <c r="A99" s="632" t="s">
        <v>246</v>
      </c>
      <c r="B99" s="633" t="s">
        <v>247</v>
      </c>
      <c r="C99" s="633" t="s">
        <v>264</v>
      </c>
      <c r="D99" s="955">
        <v>4500</v>
      </c>
      <c r="E99" s="955">
        <v>5517</v>
      </c>
      <c r="F99" s="955">
        <v>5699</v>
      </c>
      <c r="G99" s="1557">
        <v>6089</v>
      </c>
      <c r="H99" s="1642">
        <v>6193</v>
      </c>
    </row>
    <row r="100" spans="1:8" s="636" customFormat="1" x14ac:dyDescent="0.25">
      <c r="A100" s="632" t="s">
        <v>14</v>
      </c>
      <c r="B100" s="633" t="s">
        <v>15</v>
      </c>
      <c r="C100" s="633" t="s">
        <v>267</v>
      </c>
      <c r="D100" s="955">
        <v>13527</v>
      </c>
      <c r="E100" s="955">
        <v>16034</v>
      </c>
      <c r="F100" s="955">
        <v>16340</v>
      </c>
      <c r="G100" s="1557">
        <v>18483</v>
      </c>
      <c r="H100" s="1642">
        <v>19758</v>
      </c>
    </row>
    <row r="101" spans="1:8" s="636" customFormat="1" x14ac:dyDescent="0.25">
      <c r="A101" s="632" t="s">
        <v>34</v>
      </c>
      <c r="B101" s="633" t="s">
        <v>35</v>
      </c>
      <c r="C101" s="633" t="s">
        <v>268</v>
      </c>
      <c r="D101" s="955">
        <v>5156</v>
      </c>
      <c r="E101" s="955">
        <v>6228</v>
      </c>
      <c r="F101" s="955">
        <v>6006</v>
      </c>
      <c r="G101" s="1557">
        <v>5843</v>
      </c>
      <c r="H101" s="1642">
        <v>5841</v>
      </c>
    </row>
    <row r="102" spans="1:8" s="636" customFormat="1" x14ac:dyDescent="0.25">
      <c r="A102" s="632" t="s">
        <v>52</v>
      </c>
      <c r="B102" s="633" t="s">
        <v>53</v>
      </c>
      <c r="C102" s="633" t="s">
        <v>265</v>
      </c>
      <c r="D102" s="955">
        <v>6721</v>
      </c>
      <c r="E102" s="955">
        <v>7762</v>
      </c>
      <c r="F102" s="955">
        <v>7504</v>
      </c>
      <c r="G102" s="1557">
        <v>7721</v>
      </c>
      <c r="H102" s="1642">
        <v>7751</v>
      </c>
    </row>
    <row r="103" spans="1:8" s="636" customFormat="1" x14ac:dyDescent="0.25">
      <c r="A103" s="632" t="s">
        <v>54</v>
      </c>
      <c r="B103" s="633" t="s">
        <v>55</v>
      </c>
      <c r="C103" s="633" t="s">
        <v>264</v>
      </c>
      <c r="D103" s="955">
        <v>27867</v>
      </c>
      <c r="E103" s="955">
        <v>33015</v>
      </c>
      <c r="F103" s="955">
        <v>34058</v>
      </c>
      <c r="G103" s="1557">
        <v>36100</v>
      </c>
      <c r="H103" s="1642">
        <v>37998</v>
      </c>
    </row>
    <row r="104" spans="1:8" s="636" customFormat="1" x14ac:dyDescent="0.25">
      <c r="A104" s="632" t="s">
        <v>66</v>
      </c>
      <c r="B104" s="633" t="s">
        <v>67</v>
      </c>
      <c r="C104" s="633" t="s">
        <v>265</v>
      </c>
      <c r="D104" s="955">
        <v>14414</v>
      </c>
      <c r="E104" s="955">
        <v>16289</v>
      </c>
      <c r="F104" s="955">
        <v>16575</v>
      </c>
      <c r="G104" s="1557">
        <v>17179</v>
      </c>
      <c r="H104" s="1642">
        <v>17312</v>
      </c>
    </row>
    <row r="105" spans="1:8" s="636" customFormat="1" x14ac:dyDescent="0.25">
      <c r="A105" s="632" t="s">
        <v>82</v>
      </c>
      <c r="B105" s="633" t="s">
        <v>83</v>
      </c>
      <c r="C105" s="633" t="s">
        <v>264</v>
      </c>
      <c r="D105" s="955">
        <v>2861</v>
      </c>
      <c r="E105" s="955">
        <v>3315</v>
      </c>
      <c r="F105" s="955">
        <v>3312</v>
      </c>
      <c r="G105" s="1557">
        <v>3377</v>
      </c>
      <c r="H105" s="1642">
        <v>3352</v>
      </c>
    </row>
    <row r="106" spans="1:8" s="636" customFormat="1" x14ac:dyDescent="0.25">
      <c r="A106" s="632" t="s">
        <v>88</v>
      </c>
      <c r="B106" s="633" t="s">
        <v>89</v>
      </c>
      <c r="C106" s="633" t="s">
        <v>267</v>
      </c>
      <c r="D106" s="955">
        <v>4951</v>
      </c>
      <c r="E106" s="955">
        <v>6083</v>
      </c>
      <c r="F106" s="955">
        <v>6322</v>
      </c>
      <c r="G106" s="1557">
        <v>6829</v>
      </c>
      <c r="H106" s="1642">
        <v>6502</v>
      </c>
    </row>
    <row r="107" spans="1:8" s="636" customFormat="1" x14ac:dyDescent="0.25">
      <c r="A107" s="632" t="s">
        <v>90</v>
      </c>
      <c r="B107" s="633" t="s">
        <v>91</v>
      </c>
      <c r="C107" s="633" t="s">
        <v>268</v>
      </c>
      <c r="D107" s="955">
        <v>2204</v>
      </c>
      <c r="E107" s="955">
        <v>2565</v>
      </c>
      <c r="F107" s="955">
        <v>2691</v>
      </c>
      <c r="G107" s="1557">
        <v>2665</v>
      </c>
      <c r="H107" s="1642">
        <v>2643</v>
      </c>
    </row>
    <row r="108" spans="1:8" s="636" customFormat="1" x14ac:dyDescent="0.25">
      <c r="A108" s="632" t="s">
        <v>106</v>
      </c>
      <c r="B108" s="633" t="s">
        <v>107</v>
      </c>
      <c r="C108" s="633" t="s">
        <v>264</v>
      </c>
      <c r="D108" s="955">
        <v>24491</v>
      </c>
      <c r="E108" s="955">
        <v>28740</v>
      </c>
      <c r="F108" s="955">
        <v>29528</v>
      </c>
      <c r="G108" s="1557">
        <v>31795</v>
      </c>
      <c r="H108" s="1642">
        <v>31481</v>
      </c>
    </row>
    <row r="109" spans="1:8" s="636" customFormat="1" x14ac:dyDescent="0.25">
      <c r="A109" s="632" t="s">
        <v>116</v>
      </c>
      <c r="B109" s="633" t="s">
        <v>117</v>
      </c>
      <c r="C109" s="633" t="s">
        <v>266</v>
      </c>
      <c r="D109" s="955">
        <v>6960</v>
      </c>
      <c r="E109" s="955">
        <v>8056</v>
      </c>
      <c r="F109" s="955">
        <v>8327</v>
      </c>
      <c r="G109" s="1557">
        <v>9089</v>
      </c>
      <c r="H109" s="1642">
        <v>9234</v>
      </c>
    </row>
    <row r="110" spans="1:8" s="636" customFormat="1" x14ac:dyDescent="0.25">
      <c r="A110" s="632" t="s">
        <v>138</v>
      </c>
      <c r="B110" s="633" t="s">
        <v>139</v>
      </c>
      <c r="C110" s="633" t="s">
        <v>265</v>
      </c>
      <c r="D110" s="955">
        <v>15311</v>
      </c>
      <c r="E110" s="955">
        <v>17487</v>
      </c>
      <c r="F110" s="955">
        <v>17722</v>
      </c>
      <c r="G110" s="1557">
        <v>18710</v>
      </c>
      <c r="H110" s="1642">
        <v>18669</v>
      </c>
    </row>
    <row r="111" spans="1:8" s="636" customFormat="1" x14ac:dyDescent="0.25">
      <c r="A111" s="632" t="s">
        <v>142</v>
      </c>
      <c r="B111" s="633" t="s">
        <v>143</v>
      </c>
      <c r="C111" s="633" t="s">
        <v>267</v>
      </c>
      <c r="D111" s="955">
        <v>6617</v>
      </c>
      <c r="E111" s="955">
        <v>7927</v>
      </c>
      <c r="F111" s="955">
        <v>8372</v>
      </c>
      <c r="G111" s="1557">
        <v>9025</v>
      </c>
      <c r="H111" s="1642">
        <v>9108</v>
      </c>
    </row>
    <row r="112" spans="1:8" s="636" customFormat="1" x14ac:dyDescent="0.25">
      <c r="A112" s="632" t="s">
        <v>144</v>
      </c>
      <c r="B112" s="633" t="s">
        <v>145</v>
      </c>
      <c r="C112" s="633" t="s">
        <v>267</v>
      </c>
      <c r="D112" s="955">
        <v>2189</v>
      </c>
      <c r="E112" s="955">
        <v>2801</v>
      </c>
      <c r="F112" s="955">
        <v>2747</v>
      </c>
      <c r="G112" s="1557">
        <v>3227</v>
      </c>
      <c r="H112" s="1642">
        <v>3402</v>
      </c>
    </row>
    <row r="113" spans="1:9" s="636" customFormat="1" x14ac:dyDescent="0.25">
      <c r="A113" s="632" t="s">
        <v>158</v>
      </c>
      <c r="B113" s="633" t="s">
        <v>159</v>
      </c>
      <c r="C113" s="633" t="s">
        <v>264</v>
      </c>
      <c r="D113" s="955">
        <v>37582</v>
      </c>
      <c r="E113" s="955">
        <v>43878</v>
      </c>
      <c r="F113" s="955">
        <v>44076</v>
      </c>
      <c r="G113" s="1557">
        <v>46390</v>
      </c>
      <c r="H113" s="1642">
        <v>47325</v>
      </c>
    </row>
    <row r="114" spans="1:9" s="636" customFormat="1" x14ac:dyDescent="0.25">
      <c r="A114" s="632" t="s">
        <v>160</v>
      </c>
      <c r="B114" s="633" t="s">
        <v>161</v>
      </c>
      <c r="C114" s="633" t="s">
        <v>264</v>
      </c>
      <c r="D114" s="955">
        <v>49102</v>
      </c>
      <c r="E114" s="955">
        <v>56247</v>
      </c>
      <c r="F114" s="955">
        <v>57481</v>
      </c>
      <c r="G114" s="1557">
        <v>60771</v>
      </c>
      <c r="H114" s="1642">
        <v>60525</v>
      </c>
    </row>
    <row r="115" spans="1:9" s="636" customFormat="1" x14ac:dyDescent="0.25">
      <c r="A115" s="632" t="s">
        <v>166</v>
      </c>
      <c r="B115" s="633" t="s">
        <v>167</v>
      </c>
      <c r="C115" s="633" t="s">
        <v>268</v>
      </c>
      <c r="D115" s="955">
        <v>1308</v>
      </c>
      <c r="E115" s="955">
        <v>1503</v>
      </c>
      <c r="F115" s="955">
        <v>1495</v>
      </c>
      <c r="G115" s="1557">
        <v>1488</v>
      </c>
      <c r="H115" s="1642">
        <v>1553</v>
      </c>
    </row>
    <row r="116" spans="1:9" s="636" customFormat="1" x14ac:dyDescent="0.25">
      <c r="A116" s="632" t="s">
        <v>176</v>
      </c>
      <c r="B116" s="633" t="s">
        <v>177</v>
      </c>
      <c r="C116" s="633" t="s">
        <v>266</v>
      </c>
      <c r="D116" s="955">
        <v>10742</v>
      </c>
      <c r="E116" s="955">
        <v>12143</v>
      </c>
      <c r="F116" s="955">
        <v>12180</v>
      </c>
      <c r="G116" s="1557">
        <v>12904</v>
      </c>
      <c r="H116" s="1642">
        <v>13803</v>
      </c>
    </row>
    <row r="117" spans="1:9" s="636" customFormat="1" x14ac:dyDescent="0.25">
      <c r="A117" s="632" t="s">
        <v>180</v>
      </c>
      <c r="B117" s="633" t="s">
        <v>181</v>
      </c>
      <c r="C117" s="633" t="s">
        <v>264</v>
      </c>
      <c r="D117" s="955">
        <v>24303</v>
      </c>
      <c r="E117" s="955">
        <v>27860</v>
      </c>
      <c r="F117" s="955">
        <v>28438</v>
      </c>
      <c r="G117" s="1557">
        <v>30727</v>
      </c>
      <c r="H117" s="1642">
        <v>30890</v>
      </c>
    </row>
    <row r="118" spans="1:9" s="636" customFormat="1" x14ac:dyDescent="0.25">
      <c r="A118" s="632" t="s">
        <v>192</v>
      </c>
      <c r="B118" s="633" t="s">
        <v>193</v>
      </c>
      <c r="C118" s="633" t="s">
        <v>268</v>
      </c>
      <c r="D118" s="955">
        <v>1992</v>
      </c>
      <c r="E118" s="955">
        <v>2371</v>
      </c>
      <c r="F118" s="955">
        <v>2470</v>
      </c>
      <c r="G118" s="1557">
        <v>2545</v>
      </c>
      <c r="H118" s="1642">
        <v>2575</v>
      </c>
    </row>
    <row r="119" spans="1:9" s="636" customFormat="1" x14ac:dyDescent="0.25">
      <c r="A119" s="632" t="s">
        <v>196</v>
      </c>
      <c r="B119" s="633" t="s">
        <v>197</v>
      </c>
      <c r="C119" s="633" t="s">
        <v>266</v>
      </c>
      <c r="D119" s="955">
        <v>51121</v>
      </c>
      <c r="E119" s="955">
        <v>57661</v>
      </c>
      <c r="F119" s="955">
        <v>58100</v>
      </c>
      <c r="G119" s="1557">
        <v>61179</v>
      </c>
      <c r="H119" s="1642">
        <v>64680</v>
      </c>
    </row>
    <row r="120" spans="1:9" s="636" customFormat="1" x14ac:dyDescent="0.25">
      <c r="A120" s="632" t="s">
        <v>200</v>
      </c>
      <c r="B120" s="633" t="s">
        <v>201</v>
      </c>
      <c r="C120" s="633" t="s">
        <v>265</v>
      </c>
      <c r="D120" s="955">
        <v>26470</v>
      </c>
      <c r="E120" s="955">
        <v>30786</v>
      </c>
      <c r="F120" s="955">
        <v>31080</v>
      </c>
      <c r="G120" s="1557">
        <v>32100</v>
      </c>
      <c r="H120" s="1642">
        <v>32356</v>
      </c>
    </row>
    <row r="121" spans="1:9" s="636" customFormat="1" x14ac:dyDescent="0.25">
      <c r="A121" s="632" t="s">
        <v>222</v>
      </c>
      <c r="B121" s="633" t="s">
        <v>223</v>
      </c>
      <c r="C121" s="633" t="s">
        <v>264</v>
      </c>
      <c r="D121" s="955">
        <v>14286</v>
      </c>
      <c r="E121" s="955">
        <v>16504</v>
      </c>
      <c r="F121" s="955">
        <v>16875</v>
      </c>
      <c r="G121" s="1557">
        <v>17583</v>
      </c>
      <c r="H121" s="1642">
        <v>18121</v>
      </c>
    </row>
    <row r="122" spans="1:9" s="636" customFormat="1" x14ac:dyDescent="0.25">
      <c r="A122" s="632" t="s">
        <v>230</v>
      </c>
      <c r="B122" s="633" t="s">
        <v>231</v>
      </c>
      <c r="C122" s="633" t="s">
        <v>264</v>
      </c>
      <c r="D122" s="955">
        <v>43430</v>
      </c>
      <c r="E122" s="955">
        <v>51350</v>
      </c>
      <c r="F122" s="955">
        <v>52599</v>
      </c>
      <c r="G122" s="1557">
        <v>58235</v>
      </c>
      <c r="H122" s="1642">
        <v>58035</v>
      </c>
    </row>
    <row r="123" spans="1:9" s="636" customFormat="1" x14ac:dyDescent="0.25">
      <c r="A123" s="632" t="s">
        <v>238</v>
      </c>
      <c r="B123" s="633" t="s">
        <v>239</v>
      </c>
      <c r="C123" s="633" t="s">
        <v>264</v>
      </c>
      <c r="D123" s="955">
        <v>1243</v>
      </c>
      <c r="E123" s="955">
        <v>1610</v>
      </c>
      <c r="F123" s="955">
        <v>1680</v>
      </c>
      <c r="G123" s="1557">
        <v>1783</v>
      </c>
      <c r="H123" s="1642">
        <v>1734</v>
      </c>
    </row>
    <row r="124" spans="1:9" s="636" customFormat="1" x14ac:dyDescent="0.25">
      <c r="A124" s="632" t="s">
        <v>240</v>
      </c>
      <c r="B124" s="633" t="s">
        <v>241</v>
      </c>
      <c r="C124" s="633" t="s">
        <v>267</v>
      </c>
      <c r="D124" s="955">
        <v>5323</v>
      </c>
      <c r="E124" s="955">
        <v>6479</v>
      </c>
      <c r="F124" s="955">
        <v>6581</v>
      </c>
      <c r="G124" s="1557">
        <v>7032</v>
      </c>
      <c r="H124" s="1642">
        <v>7281</v>
      </c>
    </row>
    <row r="126" spans="1:9" ht="12.75" customHeight="1" x14ac:dyDescent="0.25">
      <c r="A126" s="2270" t="s">
        <v>1264</v>
      </c>
      <c r="B126" s="2271"/>
      <c r="C126" s="2271"/>
      <c r="D126" s="2271"/>
      <c r="E126" s="2271"/>
      <c r="F126" s="2271"/>
      <c r="G126" s="2271"/>
      <c r="H126" s="2271"/>
      <c r="I126" s="2271"/>
    </row>
    <row r="127" spans="1:9" x14ac:dyDescent="0.25">
      <c r="A127" s="2271"/>
      <c r="B127" s="2271"/>
      <c r="C127" s="2271"/>
      <c r="D127" s="2271"/>
      <c r="E127" s="2271"/>
      <c r="F127" s="2271"/>
      <c r="G127" s="2271"/>
      <c r="H127" s="2271"/>
      <c r="I127" s="2271"/>
    </row>
    <row r="128" spans="1:9" ht="18" customHeight="1" x14ac:dyDescent="0.25">
      <c r="A128" s="2271"/>
      <c r="B128" s="2271"/>
      <c r="C128" s="2271"/>
      <c r="D128" s="2271"/>
      <c r="E128" s="2271"/>
      <c r="F128" s="2271"/>
      <c r="G128" s="2271"/>
      <c r="H128" s="2271"/>
      <c r="I128" s="2271"/>
    </row>
    <row r="129" spans="1:9" x14ac:dyDescent="0.25">
      <c r="A129" s="1824"/>
      <c r="B129" s="1824"/>
      <c r="C129" s="1824"/>
      <c r="D129" s="1824"/>
      <c r="E129" s="1824"/>
      <c r="F129" s="1824"/>
      <c r="G129" s="1824"/>
      <c r="H129" s="1828"/>
      <c r="I129" s="1824"/>
    </row>
    <row r="130" spans="1:9" s="412" customFormat="1" x14ac:dyDescent="0.25">
      <c r="A130" s="412" t="s">
        <v>248</v>
      </c>
    </row>
    <row r="131" spans="1:9" s="412" customFormat="1" x14ac:dyDescent="0.25">
      <c r="A131" s="413" t="s">
        <v>249</v>
      </c>
      <c r="B131" s="414" t="s">
        <v>250</v>
      </c>
      <c r="C131" s="414"/>
    </row>
  </sheetData>
  <sortState ref="A5:L124">
    <sortCondition ref="A5:A124"/>
  </sortState>
  <mergeCells count="1">
    <mergeCell ref="A126:I128"/>
  </mergeCells>
  <hyperlinks>
    <hyperlink ref="B131"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31"/>
  <sheetViews>
    <sheetView workbookViewId="0">
      <selection activeCell="H8" sqref="H8"/>
    </sheetView>
  </sheetViews>
  <sheetFormatPr defaultRowHeight="15.75" x14ac:dyDescent="0.25"/>
  <cols>
    <col min="1" max="1" width="5.875" style="529" customWidth="1"/>
    <col min="2" max="2" width="29.5" style="529" customWidth="1"/>
    <col min="3" max="3" width="16.25" style="529" customWidth="1"/>
    <col min="4" max="6" width="11.375" style="529" customWidth="1"/>
    <col min="7" max="7" width="3.875" style="529" customWidth="1"/>
    <col min="8" max="16384" width="9" style="529"/>
  </cols>
  <sheetData>
    <row r="1" spans="1:6" x14ac:dyDescent="0.25">
      <c r="A1" s="258" t="s">
        <v>1112</v>
      </c>
    </row>
    <row r="3" spans="1:6" x14ac:dyDescent="0.25">
      <c r="A3" s="637" t="s">
        <v>4</v>
      </c>
      <c r="B3" s="592" t="s">
        <v>5</v>
      </c>
      <c r="C3" s="592" t="s">
        <v>251</v>
      </c>
      <c r="D3" s="643" t="s">
        <v>914</v>
      </c>
      <c r="E3" s="643" t="s">
        <v>915</v>
      </c>
      <c r="F3" s="643" t="s">
        <v>1111</v>
      </c>
    </row>
    <row r="4" spans="1:6" x14ac:dyDescent="0.25">
      <c r="A4" s="640">
        <v>999</v>
      </c>
      <c r="B4" s="641" t="s">
        <v>795</v>
      </c>
      <c r="C4" s="641"/>
      <c r="D4" s="954">
        <f>SUM(D5:D124)</f>
        <v>414719</v>
      </c>
      <c r="E4" s="954">
        <f>SUM(E5:E124)</f>
        <v>381256</v>
      </c>
      <c r="F4" s="1553"/>
    </row>
    <row r="5" spans="1:6" s="636" customFormat="1" x14ac:dyDescent="0.25">
      <c r="A5" s="632" t="s">
        <v>10</v>
      </c>
      <c r="B5" s="633" t="s">
        <v>11</v>
      </c>
      <c r="C5" s="633" t="s">
        <v>264</v>
      </c>
      <c r="D5" s="955">
        <v>5135</v>
      </c>
      <c r="E5" s="955">
        <v>4948</v>
      </c>
      <c r="F5" s="1554"/>
    </row>
    <row r="6" spans="1:6" s="636" customFormat="1" x14ac:dyDescent="0.25">
      <c r="A6" s="632" t="s">
        <v>12</v>
      </c>
      <c r="B6" s="633" t="s">
        <v>13</v>
      </c>
      <c r="C6" s="633" t="s">
        <v>265</v>
      </c>
      <c r="D6" s="955">
        <v>3348</v>
      </c>
      <c r="E6" s="955">
        <v>2836</v>
      </c>
      <c r="F6" s="1554"/>
    </row>
    <row r="7" spans="1:6" s="636" customFormat="1" x14ac:dyDescent="0.25">
      <c r="A7" s="632" t="s">
        <v>16</v>
      </c>
      <c r="B7" s="633" t="s">
        <v>297</v>
      </c>
      <c r="C7" s="633" t="s">
        <v>265</v>
      </c>
      <c r="D7" s="955">
        <v>3000</v>
      </c>
      <c r="E7" s="955">
        <v>2922</v>
      </c>
      <c r="F7" s="1554"/>
    </row>
    <row r="8" spans="1:6" s="636" customFormat="1" x14ac:dyDescent="0.25">
      <c r="A8" s="632" t="s">
        <v>18</v>
      </c>
      <c r="B8" s="633" t="s">
        <v>19</v>
      </c>
      <c r="C8" s="633" t="s">
        <v>266</v>
      </c>
      <c r="D8" s="955">
        <v>1145</v>
      </c>
      <c r="E8" s="955">
        <v>1023</v>
      </c>
      <c r="F8" s="1554"/>
    </row>
    <row r="9" spans="1:6" s="636" customFormat="1" x14ac:dyDescent="0.25">
      <c r="A9" s="632" t="s">
        <v>20</v>
      </c>
      <c r="B9" s="633" t="s">
        <v>21</v>
      </c>
      <c r="C9" s="633" t="s">
        <v>265</v>
      </c>
      <c r="D9" s="955">
        <v>2843</v>
      </c>
      <c r="E9" s="955">
        <v>2482</v>
      </c>
      <c r="F9" s="1554"/>
    </row>
    <row r="10" spans="1:6" s="636" customFormat="1" x14ac:dyDescent="0.25">
      <c r="A10" s="632" t="s">
        <v>22</v>
      </c>
      <c r="B10" s="633" t="s">
        <v>23</v>
      </c>
      <c r="C10" s="633" t="s">
        <v>265</v>
      </c>
      <c r="D10" s="955">
        <v>1954</v>
      </c>
      <c r="E10" s="955">
        <v>1977</v>
      </c>
      <c r="F10" s="1554"/>
    </row>
    <row r="11" spans="1:6" s="636" customFormat="1" x14ac:dyDescent="0.25">
      <c r="A11" s="632" t="s">
        <v>24</v>
      </c>
      <c r="B11" s="633" t="s">
        <v>25</v>
      </c>
      <c r="C11" s="633" t="s">
        <v>267</v>
      </c>
      <c r="D11" s="955">
        <v>1563</v>
      </c>
      <c r="E11" s="955">
        <v>1515</v>
      </c>
      <c r="F11" s="1554"/>
    </row>
    <row r="12" spans="1:6" s="636" customFormat="1" x14ac:dyDescent="0.25">
      <c r="A12" s="632" t="s">
        <v>26</v>
      </c>
      <c r="B12" s="633" t="s">
        <v>686</v>
      </c>
      <c r="C12" s="633" t="s">
        <v>265</v>
      </c>
      <c r="D12" s="955">
        <v>7954</v>
      </c>
      <c r="E12" s="955">
        <v>7239</v>
      </c>
      <c r="F12" s="1554"/>
    </row>
    <row r="13" spans="1:6" s="636" customFormat="1" x14ac:dyDescent="0.25">
      <c r="A13" s="632" t="s">
        <v>27</v>
      </c>
      <c r="B13" s="633" t="s">
        <v>28</v>
      </c>
      <c r="C13" s="633" t="s">
        <v>265</v>
      </c>
      <c r="D13" s="955">
        <v>306</v>
      </c>
      <c r="E13" s="955">
        <v>317</v>
      </c>
      <c r="F13" s="1554"/>
    </row>
    <row r="14" spans="1:6" s="636" customFormat="1" x14ac:dyDescent="0.25">
      <c r="A14" s="632" t="s">
        <v>29</v>
      </c>
      <c r="B14" s="633" t="s">
        <v>924</v>
      </c>
      <c r="C14" s="633" t="s">
        <v>265</v>
      </c>
      <c r="D14" s="955">
        <v>3517</v>
      </c>
      <c r="E14" s="955">
        <v>3155</v>
      </c>
      <c r="F14" s="1554"/>
    </row>
    <row r="15" spans="1:6" s="636" customFormat="1" x14ac:dyDescent="0.25">
      <c r="A15" s="632" t="s">
        <v>30</v>
      </c>
      <c r="B15" s="633" t="s">
        <v>31</v>
      </c>
      <c r="C15" s="633" t="s">
        <v>268</v>
      </c>
      <c r="D15" s="955">
        <v>536</v>
      </c>
      <c r="E15" s="955">
        <v>469</v>
      </c>
      <c r="F15" s="1554"/>
    </row>
    <row r="16" spans="1:6" s="636" customFormat="1" x14ac:dyDescent="0.25">
      <c r="A16" s="632" t="s">
        <v>32</v>
      </c>
      <c r="B16" s="633" t="s">
        <v>33</v>
      </c>
      <c r="C16" s="633" t="s">
        <v>265</v>
      </c>
      <c r="D16" s="955">
        <v>938</v>
      </c>
      <c r="E16" s="955">
        <v>927</v>
      </c>
      <c r="F16" s="1554"/>
    </row>
    <row r="17" spans="1:6" s="636" customFormat="1" x14ac:dyDescent="0.25">
      <c r="A17" s="632" t="s">
        <v>36</v>
      </c>
      <c r="B17" s="633" t="s">
        <v>37</v>
      </c>
      <c r="C17" s="633" t="s">
        <v>264</v>
      </c>
      <c r="D17" s="955">
        <v>3045</v>
      </c>
      <c r="E17" s="955">
        <v>2889</v>
      </c>
      <c r="F17" s="1554"/>
    </row>
    <row r="18" spans="1:6" s="636" customFormat="1" x14ac:dyDescent="0.25">
      <c r="A18" s="632" t="s">
        <v>38</v>
      </c>
      <c r="B18" s="633" t="s">
        <v>39</v>
      </c>
      <c r="C18" s="633" t="s">
        <v>268</v>
      </c>
      <c r="D18" s="955">
        <v>4906</v>
      </c>
      <c r="E18" s="955">
        <v>4617</v>
      </c>
      <c r="F18" s="1554"/>
    </row>
    <row r="19" spans="1:6" s="636" customFormat="1" x14ac:dyDescent="0.25">
      <c r="A19" s="632" t="s">
        <v>40</v>
      </c>
      <c r="B19" s="633" t="s">
        <v>41</v>
      </c>
      <c r="C19" s="633" t="s">
        <v>266</v>
      </c>
      <c r="D19" s="955">
        <v>2351</v>
      </c>
      <c r="E19" s="955">
        <v>2149</v>
      </c>
      <c r="F19" s="1554"/>
    </row>
    <row r="20" spans="1:6" s="636" customFormat="1" x14ac:dyDescent="0.25">
      <c r="A20" s="632" t="s">
        <v>42</v>
      </c>
      <c r="B20" s="633" t="s">
        <v>43</v>
      </c>
      <c r="C20" s="633" t="s">
        <v>265</v>
      </c>
      <c r="D20" s="955">
        <v>5296</v>
      </c>
      <c r="E20" s="955">
        <v>4894</v>
      </c>
      <c r="F20" s="1554"/>
    </row>
    <row r="21" spans="1:6" s="636" customFormat="1" x14ac:dyDescent="0.25">
      <c r="A21" s="632" t="s">
        <v>44</v>
      </c>
      <c r="B21" s="633" t="s">
        <v>45</v>
      </c>
      <c r="C21" s="633" t="s">
        <v>266</v>
      </c>
      <c r="D21" s="955">
        <v>1562</v>
      </c>
      <c r="E21" s="955">
        <v>1516</v>
      </c>
      <c r="F21" s="1554"/>
    </row>
    <row r="22" spans="1:6" s="636" customFormat="1" x14ac:dyDescent="0.25">
      <c r="A22" s="632" t="s">
        <v>46</v>
      </c>
      <c r="B22" s="633" t="s">
        <v>47</v>
      </c>
      <c r="C22" s="633" t="s">
        <v>268</v>
      </c>
      <c r="D22" s="955">
        <v>4580</v>
      </c>
      <c r="E22" s="955">
        <v>4329</v>
      </c>
      <c r="F22" s="1554"/>
    </row>
    <row r="23" spans="1:6" s="636" customFormat="1" x14ac:dyDescent="0.25">
      <c r="A23" s="632" t="s">
        <v>48</v>
      </c>
      <c r="B23" s="633" t="s">
        <v>269</v>
      </c>
      <c r="C23" s="633" t="s">
        <v>266</v>
      </c>
      <c r="D23" s="955">
        <v>603</v>
      </c>
      <c r="E23" s="955">
        <v>555</v>
      </c>
      <c r="F23" s="1554"/>
    </row>
    <row r="24" spans="1:6" s="636" customFormat="1" x14ac:dyDescent="0.25">
      <c r="A24" s="632" t="s">
        <v>50</v>
      </c>
      <c r="B24" s="633" t="s">
        <v>51</v>
      </c>
      <c r="C24" s="633" t="s">
        <v>265</v>
      </c>
      <c r="D24" s="955">
        <v>2007</v>
      </c>
      <c r="E24" s="955">
        <v>1943</v>
      </c>
      <c r="F24" s="1554"/>
    </row>
    <row r="25" spans="1:6" s="636" customFormat="1" x14ac:dyDescent="0.25">
      <c r="A25" s="632" t="s">
        <v>56</v>
      </c>
      <c r="B25" s="633" t="s">
        <v>295</v>
      </c>
      <c r="C25" s="633" t="s">
        <v>266</v>
      </c>
      <c r="D25" s="955">
        <v>9458</v>
      </c>
      <c r="E25" s="955">
        <v>8280</v>
      </c>
      <c r="F25" s="1554"/>
    </row>
    <row r="26" spans="1:6" s="636" customFormat="1" x14ac:dyDescent="0.25">
      <c r="A26" s="632" t="s">
        <v>58</v>
      </c>
      <c r="B26" s="633" t="s">
        <v>59</v>
      </c>
      <c r="C26" s="633" t="s">
        <v>267</v>
      </c>
      <c r="D26" s="955">
        <v>256</v>
      </c>
      <c r="E26" s="955">
        <v>213</v>
      </c>
      <c r="F26" s="1554"/>
    </row>
    <row r="27" spans="1:6" s="636" customFormat="1" x14ac:dyDescent="0.25">
      <c r="A27" s="632" t="s">
        <v>60</v>
      </c>
      <c r="B27" s="633" t="s">
        <v>61</v>
      </c>
      <c r="C27" s="633" t="s">
        <v>265</v>
      </c>
      <c r="D27" s="955">
        <v>566</v>
      </c>
      <c r="E27" s="955">
        <v>504</v>
      </c>
      <c r="F27" s="1554"/>
    </row>
    <row r="28" spans="1:6" s="636" customFormat="1" x14ac:dyDescent="0.25">
      <c r="A28" s="632" t="s">
        <v>62</v>
      </c>
      <c r="B28" s="633" t="s">
        <v>63</v>
      </c>
      <c r="C28" s="633" t="s">
        <v>267</v>
      </c>
      <c r="D28" s="955">
        <v>2480</v>
      </c>
      <c r="E28" s="955">
        <v>2105</v>
      </c>
      <c r="F28" s="1554"/>
    </row>
    <row r="29" spans="1:6" s="636" customFormat="1" x14ac:dyDescent="0.25">
      <c r="A29" s="632" t="s">
        <v>64</v>
      </c>
      <c r="B29" s="633" t="s">
        <v>65</v>
      </c>
      <c r="C29" s="633" t="s">
        <v>266</v>
      </c>
      <c r="D29" s="955">
        <v>1416</v>
      </c>
      <c r="E29" s="955">
        <v>1275</v>
      </c>
      <c r="F29" s="1554"/>
    </row>
    <row r="30" spans="1:6" s="636" customFormat="1" x14ac:dyDescent="0.25">
      <c r="A30" s="632" t="s">
        <v>68</v>
      </c>
      <c r="B30" s="633" t="s">
        <v>69</v>
      </c>
      <c r="C30" s="633" t="s">
        <v>268</v>
      </c>
      <c r="D30" s="955">
        <v>3288</v>
      </c>
      <c r="E30" s="955">
        <v>3119</v>
      </c>
      <c r="F30" s="1554"/>
    </row>
    <row r="31" spans="1:6" s="636" customFormat="1" x14ac:dyDescent="0.25">
      <c r="A31" s="632" t="s">
        <v>70</v>
      </c>
      <c r="B31" s="633" t="s">
        <v>71</v>
      </c>
      <c r="C31" s="633" t="s">
        <v>264</v>
      </c>
      <c r="D31" s="955">
        <v>2650</v>
      </c>
      <c r="E31" s="955">
        <v>2384</v>
      </c>
      <c r="F31" s="1554"/>
    </row>
    <row r="32" spans="1:6" s="636" customFormat="1" x14ac:dyDescent="0.25">
      <c r="A32" s="632" t="s">
        <v>72</v>
      </c>
      <c r="B32" s="633" t="s">
        <v>73</v>
      </c>
      <c r="C32" s="633" t="s">
        <v>266</v>
      </c>
      <c r="D32" s="955">
        <v>1498</v>
      </c>
      <c r="E32" s="955">
        <v>1419</v>
      </c>
      <c r="F32" s="1554"/>
    </row>
    <row r="33" spans="1:6" s="636" customFormat="1" x14ac:dyDescent="0.25">
      <c r="A33" s="632" t="s">
        <v>74</v>
      </c>
      <c r="B33" s="633" t="s">
        <v>296</v>
      </c>
      <c r="C33" s="633" t="s">
        <v>267</v>
      </c>
      <c r="D33" s="955">
        <v>5103</v>
      </c>
      <c r="E33" s="955">
        <v>5090</v>
      </c>
      <c r="F33" s="1554"/>
    </row>
    <row r="34" spans="1:6" s="636" customFormat="1" x14ac:dyDescent="0.25">
      <c r="A34" s="632" t="s">
        <v>76</v>
      </c>
      <c r="B34" s="633" t="s">
        <v>77</v>
      </c>
      <c r="C34" s="633" t="s">
        <v>267</v>
      </c>
      <c r="D34" s="955">
        <v>1288</v>
      </c>
      <c r="E34" s="955">
        <v>1055</v>
      </c>
      <c r="F34" s="1554"/>
    </row>
    <row r="35" spans="1:6" s="636" customFormat="1" x14ac:dyDescent="0.25">
      <c r="A35" s="632" t="s">
        <v>78</v>
      </c>
      <c r="B35" s="633" t="s">
        <v>79</v>
      </c>
      <c r="C35" s="633" t="s">
        <v>268</v>
      </c>
      <c r="D35" s="955">
        <v>1412</v>
      </c>
      <c r="E35" s="955">
        <v>1292</v>
      </c>
      <c r="F35" s="1554"/>
    </row>
    <row r="36" spans="1:6" s="636" customFormat="1" x14ac:dyDescent="0.25">
      <c r="A36" s="632" t="s">
        <v>80</v>
      </c>
      <c r="B36" s="633" t="s">
        <v>81</v>
      </c>
      <c r="C36" s="633" t="s">
        <v>266</v>
      </c>
      <c r="D36" s="955">
        <v>1026</v>
      </c>
      <c r="E36" s="955">
        <v>1000</v>
      </c>
      <c r="F36" s="1554"/>
    </row>
    <row r="37" spans="1:6" s="636" customFormat="1" x14ac:dyDescent="0.25">
      <c r="A37" s="632" t="s">
        <v>84</v>
      </c>
      <c r="B37" s="633" t="s">
        <v>85</v>
      </c>
      <c r="C37" s="633" t="s">
        <v>265</v>
      </c>
      <c r="D37" s="955">
        <v>5353</v>
      </c>
      <c r="E37" s="955">
        <v>4741</v>
      </c>
      <c r="F37" s="1554"/>
    </row>
    <row r="38" spans="1:6" s="636" customFormat="1" x14ac:dyDescent="0.25">
      <c r="A38" s="632" t="s">
        <v>86</v>
      </c>
      <c r="B38" s="633" t="s">
        <v>87</v>
      </c>
      <c r="C38" s="633" t="s">
        <v>267</v>
      </c>
      <c r="D38" s="955">
        <v>2194</v>
      </c>
      <c r="E38" s="955">
        <v>1704</v>
      </c>
      <c r="F38" s="1554"/>
    </row>
    <row r="39" spans="1:6" s="636" customFormat="1" x14ac:dyDescent="0.25">
      <c r="A39" s="632" t="s">
        <v>92</v>
      </c>
      <c r="B39" s="633" t="s">
        <v>93</v>
      </c>
      <c r="C39" s="633" t="s">
        <v>268</v>
      </c>
      <c r="D39" s="955">
        <v>1810</v>
      </c>
      <c r="E39" s="955">
        <v>1797</v>
      </c>
      <c r="F39" s="1554"/>
    </row>
    <row r="40" spans="1:6" s="636" customFormat="1" x14ac:dyDescent="0.25">
      <c r="A40" s="632" t="s">
        <v>94</v>
      </c>
      <c r="B40" s="633" t="s">
        <v>95</v>
      </c>
      <c r="C40" s="633" t="s">
        <v>264</v>
      </c>
      <c r="D40" s="955">
        <v>1998</v>
      </c>
      <c r="E40" s="955">
        <v>1874</v>
      </c>
      <c r="F40" s="1554"/>
    </row>
    <row r="41" spans="1:6" s="636" customFormat="1" x14ac:dyDescent="0.25">
      <c r="A41" s="632" t="s">
        <v>96</v>
      </c>
      <c r="B41" s="633" t="s">
        <v>97</v>
      </c>
      <c r="C41" s="633" t="s">
        <v>266</v>
      </c>
      <c r="D41" s="955">
        <v>730</v>
      </c>
      <c r="E41" s="955">
        <v>660</v>
      </c>
      <c r="F41" s="1554"/>
    </row>
    <row r="42" spans="1:6" s="636" customFormat="1" x14ac:dyDescent="0.25">
      <c r="A42" s="632" t="s">
        <v>98</v>
      </c>
      <c r="B42" s="633" t="s">
        <v>99</v>
      </c>
      <c r="C42" s="633" t="s">
        <v>268</v>
      </c>
      <c r="D42" s="955">
        <v>2764</v>
      </c>
      <c r="E42" s="955">
        <v>2618</v>
      </c>
      <c r="F42" s="1554"/>
    </row>
    <row r="43" spans="1:6" s="636" customFormat="1" x14ac:dyDescent="0.25">
      <c r="A43" s="632" t="s">
        <v>100</v>
      </c>
      <c r="B43" s="633" t="s">
        <v>101</v>
      </c>
      <c r="C43" s="633" t="s">
        <v>267</v>
      </c>
      <c r="D43" s="955">
        <v>1044</v>
      </c>
      <c r="E43" s="955">
        <v>913</v>
      </c>
      <c r="F43" s="1554"/>
    </row>
    <row r="44" spans="1:6" s="636" customFormat="1" x14ac:dyDescent="0.25">
      <c r="A44" s="632" t="s">
        <v>102</v>
      </c>
      <c r="B44" s="633" t="s">
        <v>282</v>
      </c>
      <c r="C44" s="633" t="s">
        <v>264</v>
      </c>
      <c r="D44" s="955">
        <v>2679</v>
      </c>
      <c r="E44" s="955">
        <v>2595</v>
      </c>
      <c r="F44" s="1554"/>
    </row>
    <row r="45" spans="1:6" s="636" customFormat="1" x14ac:dyDescent="0.25">
      <c r="A45" s="632" t="s">
        <v>104</v>
      </c>
      <c r="B45" s="633" t="s">
        <v>105</v>
      </c>
      <c r="C45" s="633" t="s">
        <v>265</v>
      </c>
      <c r="D45" s="955">
        <v>6370</v>
      </c>
      <c r="E45" s="955">
        <v>6012</v>
      </c>
      <c r="F45" s="1554"/>
    </row>
    <row r="46" spans="1:6" s="636" customFormat="1" x14ac:dyDescent="0.25">
      <c r="A46" s="632" t="s">
        <v>108</v>
      </c>
      <c r="B46" s="633" t="s">
        <v>109</v>
      </c>
      <c r="C46" s="633" t="s">
        <v>266</v>
      </c>
      <c r="D46" s="955">
        <v>2224</v>
      </c>
      <c r="E46" s="955">
        <v>1840</v>
      </c>
      <c r="F46" s="1554"/>
    </row>
    <row r="47" spans="1:6" s="636" customFormat="1" x14ac:dyDescent="0.25">
      <c r="A47" s="632" t="s">
        <v>110</v>
      </c>
      <c r="B47" s="633" t="s">
        <v>111</v>
      </c>
      <c r="C47" s="633" t="s">
        <v>266</v>
      </c>
      <c r="D47" s="955">
        <v>13246</v>
      </c>
      <c r="E47" s="955">
        <v>11764</v>
      </c>
      <c r="F47" s="1554"/>
    </row>
    <row r="48" spans="1:6" s="636" customFormat="1" x14ac:dyDescent="0.25">
      <c r="A48" s="632" t="s">
        <v>112</v>
      </c>
      <c r="B48" s="633" t="s">
        <v>300</v>
      </c>
      <c r="C48" s="633" t="s">
        <v>265</v>
      </c>
      <c r="D48" s="955">
        <v>10516</v>
      </c>
      <c r="E48" s="955">
        <v>9695</v>
      </c>
      <c r="F48" s="1554"/>
    </row>
    <row r="49" spans="1:6" s="636" customFormat="1" x14ac:dyDescent="0.25">
      <c r="A49" s="632" t="s">
        <v>114</v>
      </c>
      <c r="B49" s="633" t="s">
        <v>115</v>
      </c>
      <c r="C49" s="633" t="s">
        <v>265</v>
      </c>
      <c r="D49" s="955">
        <v>106</v>
      </c>
      <c r="E49" s="955">
        <v>115</v>
      </c>
      <c r="F49" s="1554"/>
    </row>
    <row r="50" spans="1:6" s="636" customFormat="1" x14ac:dyDescent="0.25">
      <c r="A50" s="632" t="s">
        <v>118</v>
      </c>
      <c r="B50" s="633" t="s">
        <v>270</v>
      </c>
      <c r="C50" s="633" t="s">
        <v>264</v>
      </c>
      <c r="D50" s="955">
        <v>1987</v>
      </c>
      <c r="E50" s="955">
        <v>1742</v>
      </c>
      <c r="F50" s="1554"/>
    </row>
    <row r="51" spans="1:6" s="636" customFormat="1" x14ac:dyDescent="0.25">
      <c r="A51" s="632" t="s">
        <v>120</v>
      </c>
      <c r="B51" s="633" t="s">
        <v>121</v>
      </c>
      <c r="C51" s="633" t="s">
        <v>264</v>
      </c>
      <c r="D51" s="955">
        <v>2015</v>
      </c>
      <c r="E51" s="955">
        <v>1771</v>
      </c>
      <c r="F51" s="1554"/>
    </row>
    <row r="52" spans="1:6" s="636" customFormat="1" x14ac:dyDescent="0.25">
      <c r="A52" s="632" t="s">
        <v>122</v>
      </c>
      <c r="B52" s="633" t="s">
        <v>287</v>
      </c>
      <c r="C52" s="633" t="s">
        <v>266</v>
      </c>
      <c r="D52" s="955">
        <v>741</v>
      </c>
      <c r="E52" s="955">
        <v>708</v>
      </c>
      <c r="F52" s="1554"/>
    </row>
    <row r="53" spans="1:6" s="636" customFormat="1" x14ac:dyDescent="0.25">
      <c r="A53" s="632" t="s">
        <v>124</v>
      </c>
      <c r="B53" s="633" t="s">
        <v>125</v>
      </c>
      <c r="C53" s="633" t="s">
        <v>267</v>
      </c>
      <c r="D53" s="955">
        <v>1462</v>
      </c>
      <c r="E53" s="955">
        <v>1379</v>
      </c>
      <c r="F53" s="1554"/>
    </row>
    <row r="54" spans="1:6" s="636" customFormat="1" x14ac:dyDescent="0.25">
      <c r="A54" s="632" t="s">
        <v>126</v>
      </c>
      <c r="B54" s="633" t="s">
        <v>127</v>
      </c>
      <c r="C54" s="633" t="s">
        <v>266</v>
      </c>
      <c r="D54" s="955">
        <v>949</v>
      </c>
      <c r="E54" s="955">
        <v>815</v>
      </c>
      <c r="F54" s="1554"/>
    </row>
    <row r="55" spans="1:6" s="636" customFormat="1" x14ac:dyDescent="0.25">
      <c r="A55" s="632" t="s">
        <v>128</v>
      </c>
      <c r="B55" s="633" t="s">
        <v>129</v>
      </c>
      <c r="C55" s="633" t="s">
        <v>266</v>
      </c>
      <c r="D55" s="955">
        <v>1299</v>
      </c>
      <c r="E55" s="955">
        <v>1101</v>
      </c>
      <c r="F55" s="1554"/>
    </row>
    <row r="56" spans="1:6" s="636" customFormat="1" x14ac:dyDescent="0.25">
      <c r="A56" s="632" t="s">
        <v>130</v>
      </c>
      <c r="B56" s="633" t="s">
        <v>131</v>
      </c>
      <c r="C56" s="633" t="s">
        <v>268</v>
      </c>
      <c r="D56" s="955">
        <v>6204</v>
      </c>
      <c r="E56" s="955">
        <v>6196</v>
      </c>
      <c r="F56" s="1554"/>
    </row>
    <row r="57" spans="1:6" s="636" customFormat="1" x14ac:dyDescent="0.25">
      <c r="A57" s="632" t="s">
        <v>132</v>
      </c>
      <c r="B57" s="633" t="s">
        <v>133</v>
      </c>
      <c r="C57" s="633" t="s">
        <v>267</v>
      </c>
      <c r="D57" s="955">
        <v>894</v>
      </c>
      <c r="E57" s="955">
        <v>771</v>
      </c>
      <c r="F57" s="1554"/>
    </row>
    <row r="58" spans="1:6" s="636" customFormat="1" x14ac:dyDescent="0.25">
      <c r="A58" s="632" t="s">
        <v>134</v>
      </c>
      <c r="B58" s="633" t="s">
        <v>135</v>
      </c>
      <c r="C58" s="633" t="s">
        <v>267</v>
      </c>
      <c r="D58" s="955">
        <v>2819</v>
      </c>
      <c r="E58" s="955">
        <v>2819</v>
      </c>
      <c r="F58" s="1554"/>
    </row>
    <row r="59" spans="1:6" s="636" customFormat="1" x14ac:dyDescent="0.25">
      <c r="A59" s="632" t="s">
        <v>136</v>
      </c>
      <c r="B59" s="633" t="s">
        <v>137</v>
      </c>
      <c r="C59" s="633" t="s">
        <v>266</v>
      </c>
      <c r="D59" s="955">
        <v>2079</v>
      </c>
      <c r="E59" s="955">
        <v>1973</v>
      </c>
      <c r="F59" s="1554"/>
    </row>
    <row r="60" spans="1:6" s="636" customFormat="1" x14ac:dyDescent="0.25">
      <c r="A60" s="632" t="s">
        <v>140</v>
      </c>
      <c r="B60" s="633" t="s">
        <v>141</v>
      </c>
      <c r="C60" s="633" t="s">
        <v>267</v>
      </c>
      <c r="D60" s="955">
        <v>841</v>
      </c>
      <c r="E60" s="955">
        <v>839</v>
      </c>
      <c r="F60" s="1554"/>
    </row>
    <row r="61" spans="1:6" s="636" customFormat="1" x14ac:dyDescent="0.25">
      <c r="A61" s="632" t="s">
        <v>146</v>
      </c>
      <c r="B61" s="633" t="s">
        <v>147</v>
      </c>
      <c r="C61" s="633" t="s">
        <v>264</v>
      </c>
      <c r="D61" s="955">
        <v>579</v>
      </c>
      <c r="E61" s="955">
        <v>629</v>
      </c>
      <c r="F61" s="1554"/>
    </row>
    <row r="62" spans="1:6" s="636" customFormat="1" x14ac:dyDescent="0.25">
      <c r="A62" s="632" t="s">
        <v>148</v>
      </c>
      <c r="B62" s="633" t="s">
        <v>149</v>
      </c>
      <c r="C62" s="633" t="s">
        <v>265</v>
      </c>
      <c r="D62" s="955">
        <v>4954</v>
      </c>
      <c r="E62" s="955">
        <v>4501</v>
      </c>
      <c r="F62" s="1554"/>
    </row>
    <row r="63" spans="1:6" s="636" customFormat="1" x14ac:dyDescent="0.25">
      <c r="A63" s="632" t="s">
        <v>150</v>
      </c>
      <c r="B63" s="633" t="s">
        <v>151</v>
      </c>
      <c r="C63" s="633" t="s">
        <v>266</v>
      </c>
      <c r="D63" s="955">
        <v>886</v>
      </c>
      <c r="E63" s="955">
        <v>960</v>
      </c>
      <c r="F63" s="1554"/>
    </row>
    <row r="64" spans="1:6" s="636" customFormat="1" x14ac:dyDescent="0.25">
      <c r="A64" s="632" t="s">
        <v>152</v>
      </c>
      <c r="B64" s="633" t="s">
        <v>153</v>
      </c>
      <c r="C64" s="633" t="s">
        <v>268</v>
      </c>
      <c r="D64" s="955">
        <v>4987</v>
      </c>
      <c r="E64" s="955">
        <v>4547</v>
      </c>
      <c r="F64" s="1554"/>
    </row>
    <row r="65" spans="1:6" s="636" customFormat="1" x14ac:dyDescent="0.25">
      <c r="A65" s="632" t="s">
        <v>154</v>
      </c>
      <c r="B65" s="633" t="s">
        <v>155</v>
      </c>
      <c r="C65" s="633" t="s">
        <v>265</v>
      </c>
      <c r="D65" s="955">
        <v>1854</v>
      </c>
      <c r="E65" s="955">
        <v>1771</v>
      </c>
      <c r="F65" s="1554"/>
    </row>
    <row r="66" spans="1:6" s="636" customFormat="1" x14ac:dyDescent="0.25">
      <c r="A66" s="632" t="s">
        <v>156</v>
      </c>
      <c r="B66" s="633" t="s">
        <v>157</v>
      </c>
      <c r="C66" s="633" t="s">
        <v>266</v>
      </c>
      <c r="D66" s="955">
        <v>371</v>
      </c>
      <c r="E66" s="955">
        <v>391</v>
      </c>
      <c r="F66" s="1554"/>
    </row>
    <row r="67" spans="1:6" s="636" customFormat="1" x14ac:dyDescent="0.25">
      <c r="A67" s="632" t="s">
        <v>162</v>
      </c>
      <c r="B67" s="633" t="s">
        <v>163</v>
      </c>
      <c r="C67" s="633" t="s">
        <v>264</v>
      </c>
      <c r="D67" s="955">
        <v>2303</v>
      </c>
      <c r="E67" s="955">
        <v>2311</v>
      </c>
      <c r="F67" s="1554"/>
    </row>
    <row r="68" spans="1:6" s="636" customFormat="1" x14ac:dyDescent="0.25">
      <c r="A68" s="632" t="s">
        <v>164</v>
      </c>
      <c r="B68" s="633" t="s">
        <v>165</v>
      </c>
      <c r="C68" s="633" t="s">
        <v>266</v>
      </c>
      <c r="D68" s="955">
        <v>1207</v>
      </c>
      <c r="E68" s="955">
        <v>1261</v>
      </c>
      <c r="F68" s="1554"/>
    </row>
    <row r="69" spans="1:6" s="636" customFormat="1" x14ac:dyDescent="0.25">
      <c r="A69" s="632" t="s">
        <v>168</v>
      </c>
      <c r="B69" s="633" t="s">
        <v>169</v>
      </c>
      <c r="C69" s="633" t="s">
        <v>266</v>
      </c>
      <c r="D69" s="955">
        <v>2516</v>
      </c>
      <c r="E69" s="955">
        <v>2256</v>
      </c>
      <c r="F69" s="1554"/>
    </row>
    <row r="70" spans="1:6" s="636" customFormat="1" x14ac:dyDescent="0.25">
      <c r="A70" s="632" t="s">
        <v>170</v>
      </c>
      <c r="B70" s="633" t="s">
        <v>171</v>
      </c>
      <c r="C70" s="633" t="s">
        <v>267</v>
      </c>
      <c r="D70" s="955">
        <v>1704</v>
      </c>
      <c r="E70" s="955">
        <v>1707</v>
      </c>
      <c r="F70" s="1554"/>
    </row>
    <row r="71" spans="1:6" s="636" customFormat="1" x14ac:dyDescent="0.25">
      <c r="A71" s="632" t="s">
        <v>172</v>
      </c>
      <c r="B71" s="633" t="s">
        <v>173</v>
      </c>
      <c r="C71" s="633" t="s">
        <v>267</v>
      </c>
      <c r="D71" s="955">
        <v>2497</v>
      </c>
      <c r="E71" s="955">
        <v>2395</v>
      </c>
      <c r="F71" s="1554"/>
    </row>
    <row r="72" spans="1:6" s="636" customFormat="1" x14ac:dyDescent="0.25">
      <c r="A72" s="632" t="s">
        <v>174</v>
      </c>
      <c r="B72" s="633" t="s">
        <v>175</v>
      </c>
      <c r="C72" s="633" t="s">
        <v>268</v>
      </c>
      <c r="D72" s="955">
        <v>2770</v>
      </c>
      <c r="E72" s="955">
        <v>2680</v>
      </c>
      <c r="F72" s="1554"/>
    </row>
    <row r="73" spans="1:6" s="636" customFormat="1" x14ac:dyDescent="0.25">
      <c r="A73" s="632" t="s">
        <v>178</v>
      </c>
      <c r="B73" s="633" t="s">
        <v>179</v>
      </c>
      <c r="C73" s="633" t="s">
        <v>265</v>
      </c>
      <c r="D73" s="955">
        <v>6712</v>
      </c>
      <c r="E73" s="955">
        <v>6334</v>
      </c>
      <c r="F73" s="1554"/>
    </row>
    <row r="74" spans="1:6" s="636" customFormat="1" x14ac:dyDescent="0.25">
      <c r="A74" s="632" t="s">
        <v>182</v>
      </c>
      <c r="B74" s="633" t="s">
        <v>183</v>
      </c>
      <c r="C74" s="633" t="s">
        <v>266</v>
      </c>
      <c r="D74" s="955">
        <v>606</v>
      </c>
      <c r="E74" s="955">
        <v>485</v>
      </c>
      <c r="F74" s="1554"/>
    </row>
    <row r="75" spans="1:6" s="636" customFormat="1" x14ac:dyDescent="0.25">
      <c r="A75" s="632" t="s">
        <v>184</v>
      </c>
      <c r="B75" s="633" t="s">
        <v>185</v>
      </c>
      <c r="C75" s="633" t="s">
        <v>266</v>
      </c>
      <c r="D75" s="955">
        <v>2840</v>
      </c>
      <c r="E75" s="955">
        <v>2572</v>
      </c>
      <c r="F75" s="1554"/>
    </row>
    <row r="76" spans="1:6" s="636" customFormat="1" x14ac:dyDescent="0.25">
      <c r="A76" s="632" t="s">
        <v>186</v>
      </c>
      <c r="B76" s="633" t="s">
        <v>187</v>
      </c>
      <c r="C76" s="633" t="s">
        <v>264</v>
      </c>
      <c r="D76" s="955">
        <v>1044</v>
      </c>
      <c r="E76" s="955">
        <v>968</v>
      </c>
      <c r="F76" s="1554"/>
    </row>
    <row r="77" spans="1:6" s="636" customFormat="1" x14ac:dyDescent="0.25">
      <c r="A77" s="632" t="s">
        <v>188</v>
      </c>
      <c r="B77" s="633" t="s">
        <v>189</v>
      </c>
      <c r="C77" s="633" t="s">
        <v>267</v>
      </c>
      <c r="D77" s="955">
        <v>4063</v>
      </c>
      <c r="E77" s="955">
        <v>3776</v>
      </c>
      <c r="F77" s="1554"/>
    </row>
    <row r="78" spans="1:6" s="636" customFormat="1" x14ac:dyDescent="0.25">
      <c r="A78" s="632" t="s">
        <v>190</v>
      </c>
      <c r="B78" s="633" t="s">
        <v>191</v>
      </c>
      <c r="C78" s="633" t="s">
        <v>268</v>
      </c>
      <c r="D78" s="955">
        <v>4744</v>
      </c>
      <c r="E78" s="955">
        <v>4368</v>
      </c>
      <c r="F78" s="1554"/>
    </row>
    <row r="79" spans="1:6" s="636" customFormat="1" x14ac:dyDescent="0.25">
      <c r="A79" s="632" t="s">
        <v>194</v>
      </c>
      <c r="B79" s="633" t="s">
        <v>195</v>
      </c>
      <c r="C79" s="633" t="s">
        <v>267</v>
      </c>
      <c r="D79" s="955">
        <v>239</v>
      </c>
      <c r="E79" s="955">
        <v>187</v>
      </c>
      <c r="F79" s="1554"/>
    </row>
    <row r="80" spans="1:6" s="636" customFormat="1" x14ac:dyDescent="0.25">
      <c r="A80" s="632" t="s">
        <v>198</v>
      </c>
      <c r="B80" s="633" t="s">
        <v>272</v>
      </c>
      <c r="C80" s="633" t="s">
        <v>266</v>
      </c>
      <c r="D80" s="955">
        <v>1040</v>
      </c>
      <c r="E80" s="955">
        <v>1004</v>
      </c>
      <c r="F80" s="1554"/>
    </row>
    <row r="81" spans="1:6" s="636" customFormat="1" x14ac:dyDescent="0.25">
      <c r="A81" s="632" t="s">
        <v>202</v>
      </c>
      <c r="B81" s="633" t="s">
        <v>301</v>
      </c>
      <c r="C81" s="633" t="s">
        <v>265</v>
      </c>
      <c r="D81" s="955">
        <v>3484</v>
      </c>
      <c r="E81" s="955">
        <v>3272</v>
      </c>
      <c r="F81" s="1554"/>
    </row>
    <row r="82" spans="1:6" s="636" customFormat="1" x14ac:dyDescent="0.25">
      <c r="A82" s="632" t="s">
        <v>204</v>
      </c>
      <c r="B82" s="633" t="s">
        <v>293</v>
      </c>
      <c r="C82" s="633" t="s">
        <v>265</v>
      </c>
      <c r="D82" s="955">
        <v>3464</v>
      </c>
      <c r="E82" s="955">
        <v>3303</v>
      </c>
      <c r="F82" s="1554"/>
    </row>
    <row r="83" spans="1:6" s="636" customFormat="1" x14ac:dyDescent="0.25">
      <c r="A83" s="632" t="s">
        <v>206</v>
      </c>
      <c r="B83" s="633" t="s">
        <v>294</v>
      </c>
      <c r="C83" s="633" t="s">
        <v>267</v>
      </c>
      <c r="D83" s="955">
        <v>6339</v>
      </c>
      <c r="E83" s="955">
        <v>6081</v>
      </c>
      <c r="F83" s="1554"/>
    </row>
    <row r="84" spans="1:6" s="636" customFormat="1" x14ac:dyDescent="0.25">
      <c r="A84" s="632" t="s">
        <v>208</v>
      </c>
      <c r="B84" s="633" t="s">
        <v>209</v>
      </c>
      <c r="C84" s="633" t="s">
        <v>268</v>
      </c>
      <c r="D84" s="955">
        <v>5383</v>
      </c>
      <c r="E84" s="955">
        <v>5413</v>
      </c>
      <c r="F84" s="1554"/>
    </row>
    <row r="85" spans="1:6" s="636" customFormat="1" x14ac:dyDescent="0.25">
      <c r="A85" s="632" t="s">
        <v>210</v>
      </c>
      <c r="B85" s="633" t="s">
        <v>211</v>
      </c>
      <c r="C85" s="633" t="s">
        <v>268</v>
      </c>
      <c r="D85" s="955">
        <v>3633</v>
      </c>
      <c r="E85" s="955">
        <v>3500</v>
      </c>
      <c r="F85" s="1554"/>
    </row>
    <row r="86" spans="1:6" s="636" customFormat="1" x14ac:dyDescent="0.25">
      <c r="A86" s="632" t="s">
        <v>212</v>
      </c>
      <c r="B86" s="633" t="s">
        <v>213</v>
      </c>
      <c r="C86" s="633" t="s">
        <v>267</v>
      </c>
      <c r="D86" s="955">
        <v>3343</v>
      </c>
      <c r="E86" s="955">
        <v>3134</v>
      </c>
      <c r="F86" s="1554"/>
    </row>
    <row r="87" spans="1:6" s="636" customFormat="1" x14ac:dyDescent="0.25">
      <c r="A87" s="632" t="s">
        <v>214</v>
      </c>
      <c r="B87" s="633" t="s">
        <v>215</v>
      </c>
      <c r="C87" s="633" t="s">
        <v>268</v>
      </c>
      <c r="D87" s="955">
        <v>5116</v>
      </c>
      <c r="E87" s="955">
        <v>4800</v>
      </c>
      <c r="F87" s="1554"/>
    </row>
    <row r="88" spans="1:6" s="636" customFormat="1" x14ac:dyDescent="0.25">
      <c r="A88" s="632" t="s">
        <v>216</v>
      </c>
      <c r="B88" s="633" t="s">
        <v>217</v>
      </c>
      <c r="C88" s="633" t="s">
        <v>264</v>
      </c>
      <c r="D88" s="955">
        <v>1974</v>
      </c>
      <c r="E88" s="955">
        <v>1723</v>
      </c>
      <c r="F88" s="1554"/>
    </row>
    <row r="89" spans="1:6" s="636" customFormat="1" x14ac:dyDescent="0.25">
      <c r="A89" s="632" t="s">
        <v>218</v>
      </c>
      <c r="B89" s="633" t="s">
        <v>219</v>
      </c>
      <c r="C89" s="633" t="s">
        <v>267</v>
      </c>
      <c r="D89" s="955">
        <v>3337</v>
      </c>
      <c r="E89" s="955">
        <v>2899</v>
      </c>
      <c r="F89" s="1554"/>
    </row>
    <row r="90" spans="1:6" s="636" customFormat="1" x14ac:dyDescent="0.25">
      <c r="A90" s="632" t="s">
        <v>220</v>
      </c>
      <c r="B90" s="633" t="s">
        <v>221</v>
      </c>
      <c r="C90" s="633" t="s">
        <v>267</v>
      </c>
      <c r="D90" s="955">
        <v>1900</v>
      </c>
      <c r="E90" s="955">
        <v>1782</v>
      </c>
      <c r="F90" s="1554"/>
    </row>
    <row r="91" spans="1:6" s="636" customFormat="1" x14ac:dyDescent="0.25">
      <c r="A91" s="632" t="s">
        <v>224</v>
      </c>
      <c r="B91" s="633" t="s">
        <v>225</v>
      </c>
      <c r="C91" s="633" t="s">
        <v>264</v>
      </c>
      <c r="D91" s="955">
        <v>551</v>
      </c>
      <c r="E91" s="955">
        <v>583</v>
      </c>
      <c r="F91" s="1554"/>
    </row>
    <row r="92" spans="1:6" s="636" customFormat="1" x14ac:dyDescent="0.25">
      <c r="A92" s="632" t="s">
        <v>226</v>
      </c>
      <c r="B92" s="633" t="s">
        <v>227</v>
      </c>
      <c r="C92" s="633" t="s">
        <v>264</v>
      </c>
      <c r="D92" s="955">
        <v>1311</v>
      </c>
      <c r="E92" s="955">
        <v>1210</v>
      </c>
      <c r="F92" s="1554"/>
    </row>
    <row r="93" spans="1:6" s="636" customFormat="1" x14ac:dyDescent="0.25">
      <c r="A93" s="632" t="s">
        <v>228</v>
      </c>
      <c r="B93" s="633" t="s">
        <v>229</v>
      </c>
      <c r="C93" s="633" t="s">
        <v>268</v>
      </c>
      <c r="D93" s="955">
        <v>6448</v>
      </c>
      <c r="E93" s="955">
        <v>6169</v>
      </c>
      <c r="F93" s="1554"/>
    </row>
    <row r="94" spans="1:6" s="636" customFormat="1" x14ac:dyDescent="0.25">
      <c r="A94" s="632" t="s">
        <v>232</v>
      </c>
      <c r="B94" s="633" t="s">
        <v>233</v>
      </c>
      <c r="C94" s="633" t="s">
        <v>267</v>
      </c>
      <c r="D94" s="955">
        <v>2085</v>
      </c>
      <c r="E94" s="955">
        <v>1874</v>
      </c>
      <c r="F94" s="1554"/>
    </row>
    <row r="95" spans="1:6" s="636" customFormat="1" x14ac:dyDescent="0.25">
      <c r="A95" s="632" t="s">
        <v>234</v>
      </c>
      <c r="B95" s="633" t="s">
        <v>235</v>
      </c>
      <c r="C95" s="633" t="s">
        <v>268</v>
      </c>
      <c r="D95" s="955">
        <v>5415</v>
      </c>
      <c r="E95" s="955">
        <v>5097</v>
      </c>
      <c r="F95" s="1554"/>
    </row>
    <row r="96" spans="1:6" s="636" customFormat="1" x14ac:dyDescent="0.25">
      <c r="A96" s="632" t="s">
        <v>236</v>
      </c>
      <c r="B96" s="633" t="s">
        <v>237</v>
      </c>
      <c r="C96" s="633" t="s">
        <v>266</v>
      </c>
      <c r="D96" s="955">
        <v>2279</v>
      </c>
      <c r="E96" s="955">
        <v>2138</v>
      </c>
      <c r="F96" s="1554"/>
    </row>
    <row r="97" spans="1:6" s="636" customFormat="1" x14ac:dyDescent="0.25">
      <c r="A97" s="632" t="s">
        <v>242</v>
      </c>
      <c r="B97" s="633" t="s">
        <v>243</v>
      </c>
      <c r="C97" s="633" t="s">
        <v>268</v>
      </c>
      <c r="D97" s="955">
        <v>7015</v>
      </c>
      <c r="E97" s="955">
        <v>6770</v>
      </c>
      <c r="F97" s="1554"/>
    </row>
    <row r="98" spans="1:6" s="636" customFormat="1" x14ac:dyDescent="0.25">
      <c r="A98" s="632" t="s">
        <v>244</v>
      </c>
      <c r="B98" s="633" t="s">
        <v>245</v>
      </c>
      <c r="C98" s="633" t="s">
        <v>268</v>
      </c>
      <c r="D98" s="955">
        <v>3313</v>
      </c>
      <c r="E98" s="955">
        <v>3146</v>
      </c>
      <c r="F98" s="1554"/>
    </row>
    <row r="99" spans="1:6" s="636" customFormat="1" x14ac:dyDescent="0.25">
      <c r="A99" s="632" t="s">
        <v>246</v>
      </c>
      <c r="B99" s="633" t="s">
        <v>247</v>
      </c>
      <c r="C99" s="633" t="s">
        <v>264</v>
      </c>
      <c r="D99" s="955">
        <v>1107</v>
      </c>
      <c r="E99" s="955">
        <v>990</v>
      </c>
      <c r="F99" s="1554"/>
    </row>
    <row r="100" spans="1:6" s="636" customFormat="1" x14ac:dyDescent="0.25">
      <c r="A100" s="632" t="s">
        <v>14</v>
      </c>
      <c r="B100" s="633" t="s">
        <v>15</v>
      </c>
      <c r="C100" s="633" t="s">
        <v>267</v>
      </c>
      <c r="D100" s="955">
        <v>2014</v>
      </c>
      <c r="E100" s="955">
        <v>1912</v>
      </c>
      <c r="F100" s="1554"/>
    </row>
    <row r="101" spans="1:6" s="636" customFormat="1" x14ac:dyDescent="0.25">
      <c r="A101" s="632" t="s">
        <v>34</v>
      </c>
      <c r="B101" s="633" t="s">
        <v>35</v>
      </c>
      <c r="C101" s="633" t="s">
        <v>268</v>
      </c>
      <c r="D101" s="955">
        <v>1991</v>
      </c>
      <c r="E101" s="955">
        <v>1829</v>
      </c>
      <c r="F101" s="1554"/>
    </row>
    <row r="102" spans="1:6" s="636" customFormat="1" x14ac:dyDescent="0.25">
      <c r="A102" s="632" t="s">
        <v>52</v>
      </c>
      <c r="B102" s="633" t="s">
        <v>53</v>
      </c>
      <c r="C102" s="633" t="s">
        <v>265</v>
      </c>
      <c r="D102" s="955">
        <v>2081</v>
      </c>
      <c r="E102" s="955">
        <v>1831</v>
      </c>
      <c r="F102" s="1554"/>
    </row>
    <row r="103" spans="1:6" s="636" customFormat="1" x14ac:dyDescent="0.25">
      <c r="A103" s="632" t="s">
        <v>54</v>
      </c>
      <c r="B103" s="633" t="s">
        <v>55</v>
      </c>
      <c r="C103" s="633" t="s">
        <v>264</v>
      </c>
      <c r="D103" s="955">
        <v>7944</v>
      </c>
      <c r="E103" s="955">
        <v>6871</v>
      </c>
      <c r="F103" s="1554"/>
    </row>
    <row r="104" spans="1:6" s="636" customFormat="1" x14ac:dyDescent="0.25">
      <c r="A104" s="632" t="s">
        <v>66</v>
      </c>
      <c r="B104" s="633" t="s">
        <v>67</v>
      </c>
      <c r="C104" s="633" t="s">
        <v>265</v>
      </c>
      <c r="D104" s="955">
        <v>8490</v>
      </c>
      <c r="E104" s="955">
        <v>7600</v>
      </c>
      <c r="F104" s="1554"/>
    </row>
    <row r="105" spans="1:6" s="636" customFormat="1" x14ac:dyDescent="0.25">
      <c r="A105" s="632" t="s">
        <v>82</v>
      </c>
      <c r="B105" s="633" t="s">
        <v>83</v>
      </c>
      <c r="C105" s="633" t="s">
        <v>264</v>
      </c>
      <c r="D105" s="955">
        <v>2018</v>
      </c>
      <c r="E105" s="955">
        <v>2019</v>
      </c>
      <c r="F105" s="1554"/>
    </row>
    <row r="106" spans="1:6" s="636" customFormat="1" x14ac:dyDescent="0.25">
      <c r="A106" s="632" t="s">
        <v>88</v>
      </c>
      <c r="B106" s="633" t="s">
        <v>89</v>
      </c>
      <c r="C106" s="633" t="s">
        <v>267</v>
      </c>
      <c r="D106" s="955">
        <v>1547</v>
      </c>
      <c r="E106" s="955">
        <v>1478</v>
      </c>
      <c r="F106" s="1554"/>
    </row>
    <row r="107" spans="1:6" s="636" customFormat="1" x14ac:dyDescent="0.25">
      <c r="A107" s="632" t="s">
        <v>90</v>
      </c>
      <c r="B107" s="633" t="s">
        <v>91</v>
      </c>
      <c r="C107" s="633" t="s">
        <v>268</v>
      </c>
      <c r="D107" s="955">
        <v>1602</v>
      </c>
      <c r="E107" s="955">
        <v>1539</v>
      </c>
      <c r="F107" s="1554"/>
    </row>
    <row r="108" spans="1:6" s="636" customFormat="1" x14ac:dyDescent="0.25">
      <c r="A108" s="632" t="s">
        <v>106</v>
      </c>
      <c r="B108" s="633" t="s">
        <v>107</v>
      </c>
      <c r="C108" s="633" t="s">
        <v>264</v>
      </c>
      <c r="D108" s="955">
        <v>8706</v>
      </c>
      <c r="E108" s="955">
        <v>7386</v>
      </c>
      <c r="F108" s="1554"/>
    </row>
    <row r="109" spans="1:6" s="636" customFormat="1" x14ac:dyDescent="0.25">
      <c r="A109" s="632" t="s">
        <v>116</v>
      </c>
      <c r="B109" s="633" t="s">
        <v>117</v>
      </c>
      <c r="C109" s="633" t="s">
        <v>266</v>
      </c>
      <c r="D109" s="955">
        <v>2680</v>
      </c>
      <c r="E109" s="955">
        <v>2700</v>
      </c>
      <c r="F109" s="1554"/>
    </row>
    <row r="110" spans="1:6" s="636" customFormat="1" x14ac:dyDescent="0.25">
      <c r="A110" s="632" t="s">
        <v>138</v>
      </c>
      <c r="B110" s="633" t="s">
        <v>139</v>
      </c>
      <c r="C110" s="633" t="s">
        <v>265</v>
      </c>
      <c r="D110" s="955">
        <v>9361</v>
      </c>
      <c r="E110" s="955">
        <v>8856</v>
      </c>
      <c r="F110" s="1554"/>
    </row>
    <row r="111" spans="1:6" s="636" customFormat="1" x14ac:dyDescent="0.25">
      <c r="A111" s="632" t="s">
        <v>142</v>
      </c>
      <c r="B111" s="633" t="s">
        <v>143</v>
      </c>
      <c r="C111" s="633" t="s">
        <v>267</v>
      </c>
      <c r="D111" s="955">
        <v>456</v>
      </c>
      <c r="E111" s="955">
        <v>465</v>
      </c>
      <c r="F111" s="1554"/>
    </row>
    <row r="112" spans="1:6" s="636" customFormat="1" x14ac:dyDescent="0.25">
      <c r="A112" s="632" t="s">
        <v>144</v>
      </c>
      <c r="B112" s="633" t="s">
        <v>145</v>
      </c>
      <c r="C112" s="633" t="s">
        <v>267</v>
      </c>
      <c r="D112" s="955">
        <v>189</v>
      </c>
      <c r="E112" s="955">
        <v>171</v>
      </c>
      <c r="F112" s="1554"/>
    </row>
    <row r="113" spans="1:7" s="636" customFormat="1" x14ac:dyDescent="0.25">
      <c r="A113" s="632" t="s">
        <v>158</v>
      </c>
      <c r="B113" s="633" t="s">
        <v>159</v>
      </c>
      <c r="C113" s="633" t="s">
        <v>264</v>
      </c>
      <c r="D113" s="955">
        <v>13154</v>
      </c>
      <c r="E113" s="955">
        <v>11622</v>
      </c>
      <c r="F113" s="1554"/>
    </row>
    <row r="114" spans="1:7" s="636" customFormat="1" x14ac:dyDescent="0.25">
      <c r="A114" s="632" t="s">
        <v>160</v>
      </c>
      <c r="B114" s="633" t="s">
        <v>161</v>
      </c>
      <c r="C114" s="633" t="s">
        <v>264</v>
      </c>
      <c r="D114" s="955">
        <v>16624</v>
      </c>
      <c r="E114" s="955">
        <v>14236</v>
      </c>
      <c r="F114" s="1554"/>
    </row>
    <row r="115" spans="1:7" s="636" customFormat="1" x14ac:dyDescent="0.25">
      <c r="A115" s="632" t="s">
        <v>166</v>
      </c>
      <c r="B115" s="633" t="s">
        <v>167</v>
      </c>
      <c r="C115" s="633" t="s">
        <v>268</v>
      </c>
      <c r="D115" s="955">
        <v>879</v>
      </c>
      <c r="E115" s="955">
        <v>787</v>
      </c>
      <c r="F115" s="1554"/>
    </row>
    <row r="116" spans="1:7" s="636" customFormat="1" x14ac:dyDescent="0.25">
      <c r="A116" s="632" t="s">
        <v>176</v>
      </c>
      <c r="B116" s="633" t="s">
        <v>177</v>
      </c>
      <c r="C116" s="633" t="s">
        <v>266</v>
      </c>
      <c r="D116" s="955">
        <v>4916</v>
      </c>
      <c r="E116" s="955">
        <v>4267</v>
      </c>
      <c r="F116" s="1554"/>
    </row>
    <row r="117" spans="1:7" s="636" customFormat="1" x14ac:dyDescent="0.25">
      <c r="A117" s="632" t="s">
        <v>180</v>
      </c>
      <c r="B117" s="633" t="s">
        <v>181</v>
      </c>
      <c r="C117" s="633" t="s">
        <v>264</v>
      </c>
      <c r="D117" s="955">
        <v>7585</v>
      </c>
      <c r="E117" s="955">
        <v>6678</v>
      </c>
      <c r="F117" s="1554"/>
    </row>
    <row r="118" spans="1:7" s="636" customFormat="1" x14ac:dyDescent="0.25">
      <c r="A118" s="632" t="s">
        <v>192</v>
      </c>
      <c r="B118" s="633" t="s">
        <v>193</v>
      </c>
      <c r="C118" s="633" t="s">
        <v>268</v>
      </c>
      <c r="D118" s="955">
        <v>1225</v>
      </c>
      <c r="E118" s="955">
        <v>1018</v>
      </c>
      <c r="F118" s="1554"/>
    </row>
    <row r="119" spans="1:7" s="636" customFormat="1" x14ac:dyDescent="0.25">
      <c r="A119" s="632" t="s">
        <v>196</v>
      </c>
      <c r="B119" s="633" t="s">
        <v>197</v>
      </c>
      <c r="C119" s="633" t="s">
        <v>266</v>
      </c>
      <c r="D119" s="955">
        <v>17167</v>
      </c>
      <c r="E119" s="955">
        <v>16045</v>
      </c>
      <c r="F119" s="1554"/>
    </row>
    <row r="120" spans="1:7" s="636" customFormat="1" x14ac:dyDescent="0.25">
      <c r="A120" s="632" t="s">
        <v>200</v>
      </c>
      <c r="B120" s="633" t="s">
        <v>201</v>
      </c>
      <c r="C120" s="633" t="s">
        <v>265</v>
      </c>
      <c r="D120" s="955">
        <v>10856</v>
      </c>
      <c r="E120" s="955">
        <v>9998</v>
      </c>
      <c r="F120" s="1554"/>
    </row>
    <row r="121" spans="1:7" s="636" customFormat="1" x14ac:dyDescent="0.25">
      <c r="A121" s="632" t="s">
        <v>222</v>
      </c>
      <c r="B121" s="633" t="s">
        <v>223</v>
      </c>
      <c r="C121" s="633" t="s">
        <v>264</v>
      </c>
      <c r="D121" s="955">
        <v>6436</v>
      </c>
      <c r="E121" s="955">
        <v>5703</v>
      </c>
      <c r="F121" s="1554"/>
    </row>
    <row r="122" spans="1:7" s="636" customFormat="1" x14ac:dyDescent="0.25">
      <c r="A122" s="632" t="s">
        <v>230</v>
      </c>
      <c r="B122" s="633" t="s">
        <v>231</v>
      </c>
      <c r="C122" s="633" t="s">
        <v>264</v>
      </c>
      <c r="D122" s="955">
        <v>10353</v>
      </c>
      <c r="E122" s="955">
        <v>8975</v>
      </c>
      <c r="F122" s="1554"/>
    </row>
    <row r="123" spans="1:7" s="636" customFormat="1" x14ac:dyDescent="0.25">
      <c r="A123" s="632" t="s">
        <v>238</v>
      </c>
      <c r="B123" s="633" t="s">
        <v>239</v>
      </c>
      <c r="C123" s="633" t="s">
        <v>264</v>
      </c>
      <c r="D123" s="955">
        <v>186</v>
      </c>
      <c r="E123" s="955">
        <v>163</v>
      </c>
      <c r="F123" s="1554"/>
    </row>
    <row r="124" spans="1:7" s="636" customFormat="1" x14ac:dyDescent="0.25">
      <c r="A124" s="632" t="s">
        <v>240</v>
      </c>
      <c r="B124" s="633" t="s">
        <v>241</v>
      </c>
      <c r="C124" s="633" t="s">
        <v>267</v>
      </c>
      <c r="D124" s="955">
        <v>1492</v>
      </c>
      <c r="E124" s="955">
        <v>1240</v>
      </c>
      <c r="F124" s="1554"/>
    </row>
    <row r="126" spans="1:7" ht="12.75" customHeight="1" x14ac:dyDescent="0.25">
      <c r="A126" s="2270" t="s">
        <v>916</v>
      </c>
      <c r="B126" s="2271"/>
      <c r="C126" s="2271"/>
      <c r="D126" s="2271"/>
      <c r="E126" s="2271"/>
      <c r="F126" s="2271"/>
      <c r="G126" s="2271"/>
    </row>
    <row r="127" spans="1:7" x14ac:dyDescent="0.25">
      <c r="A127" s="2271"/>
      <c r="B127" s="2271"/>
      <c r="C127" s="2271"/>
      <c r="D127" s="2271"/>
      <c r="E127" s="2271"/>
      <c r="F127" s="2271"/>
      <c r="G127" s="2271"/>
    </row>
    <row r="128" spans="1:7" ht="18" customHeight="1" x14ac:dyDescent="0.25">
      <c r="A128" s="2271"/>
      <c r="B128" s="2271"/>
      <c r="C128" s="2271"/>
      <c r="D128" s="2271"/>
      <c r="E128" s="2271"/>
      <c r="F128" s="2271"/>
      <c r="G128" s="2271"/>
    </row>
    <row r="129" spans="1:7" x14ac:dyDescent="0.25">
      <c r="A129" s="1334"/>
      <c r="B129" s="1334"/>
      <c r="C129" s="1334"/>
      <c r="D129" s="1334"/>
      <c r="E129" s="1334"/>
      <c r="F129" s="1547"/>
      <c r="G129" s="1334"/>
    </row>
    <row r="130" spans="1:7" s="412" customFormat="1" x14ac:dyDescent="0.25">
      <c r="A130" s="412" t="s">
        <v>248</v>
      </c>
    </row>
    <row r="131" spans="1:7" s="412" customFormat="1" x14ac:dyDescent="0.25">
      <c r="A131" s="413" t="s">
        <v>249</v>
      </c>
      <c r="B131" s="414" t="s">
        <v>250</v>
      </c>
      <c r="C131" s="414"/>
    </row>
  </sheetData>
  <sortState ref="A4:E124">
    <sortCondition ref="A5:A124"/>
  </sortState>
  <mergeCells count="1">
    <mergeCell ref="A126:G128"/>
  </mergeCells>
  <hyperlinks>
    <hyperlink ref="B131"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workbookViewId="0">
      <pane ySplit="4" topLeftCell="A84" activePane="bottomLeft" state="frozen"/>
      <selection pane="bottomLeft" activeCell="A3" sqref="A3:H124"/>
    </sheetView>
  </sheetViews>
  <sheetFormatPr defaultRowHeight="15.75" x14ac:dyDescent="0.25"/>
  <cols>
    <col min="1" max="1" width="9" style="270"/>
    <col min="2" max="2" width="34.375" style="270" customWidth="1"/>
    <col min="3" max="3" width="15" style="270" customWidth="1"/>
    <col min="4" max="4" width="11.125" style="270" customWidth="1"/>
    <col min="5" max="6" width="11.375" style="270" customWidth="1"/>
    <col min="7" max="7" width="12.625" style="270" bestFit="1" customWidth="1"/>
    <col min="8" max="8" width="12.625" style="270" customWidth="1"/>
    <col min="9" max="9" width="9" style="270"/>
    <col min="10" max="10" width="9.25" style="270" customWidth="1"/>
    <col min="11" max="16384" width="9" style="270"/>
  </cols>
  <sheetData>
    <row r="1" spans="1:8" x14ac:dyDescent="0.25">
      <c r="A1" s="64" t="s">
        <v>1230</v>
      </c>
    </row>
    <row r="3" spans="1:8" x14ac:dyDescent="0.25">
      <c r="A3" s="64" t="s">
        <v>4</v>
      </c>
      <c r="B3" s="64" t="s">
        <v>5</v>
      </c>
      <c r="C3" s="64" t="s">
        <v>251</v>
      </c>
      <c r="D3" s="64" t="s">
        <v>786</v>
      </c>
      <c r="E3" s="64" t="s">
        <v>825</v>
      </c>
      <c r="F3" s="64" t="s">
        <v>875</v>
      </c>
      <c r="G3" s="64" t="s">
        <v>1110</v>
      </c>
      <c r="H3" s="64" t="s">
        <v>1229</v>
      </c>
    </row>
    <row r="4" spans="1:8" x14ac:dyDescent="0.25">
      <c r="A4" s="644">
        <v>999</v>
      </c>
      <c r="B4" s="645" t="s">
        <v>9</v>
      </c>
      <c r="C4" s="645"/>
      <c r="D4" s="646">
        <v>1578627</v>
      </c>
      <c r="E4" s="646">
        <v>1640832</v>
      </c>
      <c r="F4" s="646">
        <v>1656128</v>
      </c>
      <c r="G4" s="1563">
        <v>1654999</v>
      </c>
      <c r="H4" s="1563">
        <v>1632743</v>
      </c>
    </row>
    <row r="5" spans="1:8" x14ac:dyDescent="0.25">
      <c r="A5" s="526" t="s">
        <v>10</v>
      </c>
      <c r="B5" s="527" t="s">
        <v>11</v>
      </c>
      <c r="C5" s="578" t="s">
        <v>264</v>
      </c>
      <c r="D5" s="273">
        <v>11400</v>
      </c>
      <c r="E5" s="271">
        <v>12029</v>
      </c>
      <c r="F5" s="271">
        <v>11868</v>
      </c>
      <c r="G5" s="273">
        <v>11785</v>
      </c>
      <c r="H5" s="273">
        <v>11816</v>
      </c>
    </row>
    <row r="6" spans="1:8" x14ac:dyDescent="0.25">
      <c r="A6" s="526" t="s">
        <v>12</v>
      </c>
      <c r="B6" s="527" t="s">
        <v>13</v>
      </c>
      <c r="C6" s="578" t="s">
        <v>265</v>
      </c>
      <c r="D6" s="273">
        <v>12890</v>
      </c>
      <c r="E6" s="271">
        <v>13764</v>
      </c>
      <c r="F6" s="271">
        <v>13750</v>
      </c>
      <c r="G6" s="273">
        <v>14117</v>
      </c>
      <c r="H6" s="273">
        <v>13595</v>
      </c>
    </row>
    <row r="7" spans="1:8" x14ac:dyDescent="0.25">
      <c r="A7" s="526" t="s">
        <v>16</v>
      </c>
      <c r="B7" s="527" t="s">
        <v>297</v>
      </c>
      <c r="C7" s="578" t="s">
        <v>265</v>
      </c>
      <c r="D7" s="273">
        <v>6813</v>
      </c>
      <c r="E7" s="271">
        <v>7232</v>
      </c>
      <c r="F7" s="271">
        <v>7042</v>
      </c>
      <c r="G7" s="273">
        <v>7061</v>
      </c>
      <c r="H7" s="273">
        <v>7067</v>
      </c>
    </row>
    <row r="8" spans="1:8" x14ac:dyDescent="0.25">
      <c r="A8" s="526" t="s">
        <v>18</v>
      </c>
      <c r="B8" s="527" t="s">
        <v>19</v>
      </c>
      <c r="C8" s="578" t="s">
        <v>266</v>
      </c>
      <c r="D8" s="273">
        <v>3728</v>
      </c>
      <c r="E8" s="271">
        <v>3746</v>
      </c>
      <c r="F8" s="271">
        <v>3531</v>
      </c>
      <c r="G8" s="273">
        <v>3458</v>
      </c>
      <c r="H8" s="273">
        <v>3408</v>
      </c>
    </row>
    <row r="9" spans="1:8" x14ac:dyDescent="0.25">
      <c r="A9" s="526" t="s">
        <v>20</v>
      </c>
      <c r="B9" s="527" t="s">
        <v>21</v>
      </c>
      <c r="C9" s="578" t="s">
        <v>265</v>
      </c>
      <c r="D9" s="273">
        <v>7689</v>
      </c>
      <c r="E9" s="271">
        <v>8189</v>
      </c>
      <c r="F9" s="271">
        <v>7812</v>
      </c>
      <c r="G9" s="273">
        <v>7725</v>
      </c>
      <c r="H9" s="273">
        <v>7939</v>
      </c>
    </row>
    <row r="10" spans="1:8" x14ac:dyDescent="0.25">
      <c r="A10" s="526" t="s">
        <v>22</v>
      </c>
      <c r="B10" s="527" t="s">
        <v>23</v>
      </c>
      <c r="C10" s="578" t="s">
        <v>265</v>
      </c>
      <c r="D10" s="273">
        <v>4553</v>
      </c>
      <c r="E10" s="271">
        <v>4824</v>
      </c>
      <c r="F10" s="271">
        <v>4717</v>
      </c>
      <c r="G10" s="273">
        <v>4709</v>
      </c>
      <c r="H10" s="273">
        <v>4750</v>
      </c>
    </row>
    <row r="11" spans="1:8" x14ac:dyDescent="0.25">
      <c r="A11" s="526" t="s">
        <v>24</v>
      </c>
      <c r="B11" s="527" t="s">
        <v>25</v>
      </c>
      <c r="C11" s="578" t="s">
        <v>267</v>
      </c>
      <c r="D11" s="273">
        <v>16343</v>
      </c>
      <c r="E11" s="271">
        <v>17982</v>
      </c>
      <c r="F11" s="271">
        <v>18759</v>
      </c>
      <c r="G11" s="273">
        <v>19669</v>
      </c>
      <c r="H11" s="273">
        <v>19581</v>
      </c>
    </row>
    <row r="12" spans="1:8" x14ac:dyDescent="0.25">
      <c r="A12" s="526" t="s">
        <v>26</v>
      </c>
      <c r="B12" s="527" t="s">
        <v>686</v>
      </c>
      <c r="C12" s="578" t="s">
        <v>265</v>
      </c>
      <c r="D12" s="273">
        <v>29392</v>
      </c>
      <c r="E12" s="271">
        <v>32975</v>
      </c>
      <c r="F12" s="271">
        <v>30798</v>
      </c>
      <c r="G12" s="273">
        <v>30323</v>
      </c>
      <c r="H12" s="273">
        <v>30029</v>
      </c>
    </row>
    <row r="13" spans="1:8" x14ac:dyDescent="0.25">
      <c r="A13" s="526" t="s">
        <v>27</v>
      </c>
      <c r="B13" s="527" t="s">
        <v>28</v>
      </c>
      <c r="C13" s="583" t="s">
        <v>265</v>
      </c>
      <c r="D13" s="273">
        <v>952</v>
      </c>
      <c r="E13" s="271">
        <v>1082</v>
      </c>
      <c r="F13" s="271">
        <v>981</v>
      </c>
      <c r="G13" s="273">
        <v>1025</v>
      </c>
      <c r="H13" s="273">
        <v>1003</v>
      </c>
    </row>
    <row r="14" spans="1:8" x14ac:dyDescent="0.25">
      <c r="A14" s="526" t="s">
        <v>29</v>
      </c>
      <c r="B14" s="527" t="s">
        <v>924</v>
      </c>
      <c r="C14" s="583" t="s">
        <v>265</v>
      </c>
      <c r="D14" s="273">
        <v>13938</v>
      </c>
      <c r="E14" s="271">
        <v>14879</v>
      </c>
      <c r="F14" s="271">
        <v>15695</v>
      </c>
      <c r="G14" s="273">
        <v>14177</v>
      </c>
      <c r="H14" s="273">
        <v>13795</v>
      </c>
    </row>
    <row r="15" spans="1:8" x14ac:dyDescent="0.25">
      <c r="A15" s="526" t="s">
        <v>30</v>
      </c>
      <c r="B15" s="527" t="s">
        <v>31</v>
      </c>
      <c r="C15" s="583" t="s">
        <v>268</v>
      </c>
      <c r="D15" s="273">
        <v>1340</v>
      </c>
      <c r="E15" s="271">
        <v>1458</v>
      </c>
      <c r="F15" s="271">
        <v>1363</v>
      </c>
      <c r="G15" s="273">
        <v>1374</v>
      </c>
      <c r="H15" s="273">
        <v>1373</v>
      </c>
    </row>
    <row r="16" spans="1:8" x14ac:dyDescent="0.25">
      <c r="A16" s="526" t="s">
        <v>32</v>
      </c>
      <c r="B16" s="527" t="s">
        <v>33</v>
      </c>
      <c r="C16" s="583" t="s">
        <v>265</v>
      </c>
      <c r="D16" s="273">
        <v>3786</v>
      </c>
      <c r="E16" s="271">
        <v>4106</v>
      </c>
      <c r="F16" s="271">
        <v>4200</v>
      </c>
      <c r="G16" s="273">
        <v>4453</v>
      </c>
      <c r="H16" s="273">
        <v>4658</v>
      </c>
    </row>
    <row r="17" spans="1:8" x14ac:dyDescent="0.25">
      <c r="A17" s="526" t="s">
        <v>36</v>
      </c>
      <c r="B17" s="527" t="s">
        <v>37</v>
      </c>
      <c r="C17" s="583" t="s">
        <v>264</v>
      </c>
      <c r="D17" s="273">
        <v>6180</v>
      </c>
      <c r="E17" s="271">
        <v>6360</v>
      </c>
      <c r="F17" s="271">
        <v>6307</v>
      </c>
      <c r="G17" s="273">
        <v>6244</v>
      </c>
      <c r="H17" s="273">
        <v>6261</v>
      </c>
    </row>
    <row r="18" spans="1:8" x14ac:dyDescent="0.25">
      <c r="A18" s="526" t="s">
        <v>38</v>
      </c>
      <c r="B18" s="527" t="s">
        <v>39</v>
      </c>
      <c r="C18" s="583" t="s">
        <v>268</v>
      </c>
      <c r="D18" s="273">
        <v>8054</v>
      </c>
      <c r="E18" s="271">
        <v>8681</v>
      </c>
      <c r="F18" s="271">
        <v>8496</v>
      </c>
      <c r="G18" s="273">
        <v>8602</v>
      </c>
      <c r="H18" s="273">
        <v>8744</v>
      </c>
    </row>
    <row r="19" spans="1:8" x14ac:dyDescent="0.25">
      <c r="A19" s="526" t="s">
        <v>40</v>
      </c>
      <c r="B19" s="527" t="s">
        <v>41</v>
      </c>
      <c r="C19" s="583" t="s">
        <v>266</v>
      </c>
      <c r="D19" s="273">
        <v>5580</v>
      </c>
      <c r="E19" s="271">
        <v>5813</v>
      </c>
      <c r="F19" s="271">
        <v>5550</v>
      </c>
      <c r="G19" s="273">
        <v>5544</v>
      </c>
      <c r="H19" s="273">
        <v>5308</v>
      </c>
    </row>
    <row r="20" spans="1:8" x14ac:dyDescent="0.25">
      <c r="A20" s="526" t="s">
        <v>42</v>
      </c>
      <c r="B20" s="527" t="s">
        <v>43</v>
      </c>
      <c r="C20" s="583" t="s">
        <v>265</v>
      </c>
      <c r="D20" s="273">
        <v>14188</v>
      </c>
      <c r="E20" s="271">
        <v>15002</v>
      </c>
      <c r="F20" s="271">
        <v>14814</v>
      </c>
      <c r="G20" s="273">
        <v>15023</v>
      </c>
      <c r="H20" s="273">
        <v>15061</v>
      </c>
    </row>
    <row r="21" spans="1:8" x14ac:dyDescent="0.25">
      <c r="A21" s="526" t="s">
        <v>44</v>
      </c>
      <c r="B21" s="527" t="s">
        <v>45</v>
      </c>
      <c r="C21" s="583" t="s">
        <v>266</v>
      </c>
      <c r="D21" s="273">
        <v>8455</v>
      </c>
      <c r="E21" s="271">
        <v>8950</v>
      </c>
      <c r="F21" s="271">
        <v>8601</v>
      </c>
      <c r="G21" s="273">
        <v>8829</v>
      </c>
      <c r="H21" s="273">
        <v>8718</v>
      </c>
    </row>
    <row r="22" spans="1:8" x14ac:dyDescent="0.25">
      <c r="A22" s="526" t="s">
        <v>46</v>
      </c>
      <c r="B22" s="527" t="s">
        <v>47</v>
      </c>
      <c r="C22" s="583" t="s">
        <v>268</v>
      </c>
      <c r="D22" s="273">
        <v>9725</v>
      </c>
      <c r="E22" s="271">
        <v>10163</v>
      </c>
      <c r="F22" s="271">
        <v>9884</v>
      </c>
      <c r="G22" s="273">
        <v>9765</v>
      </c>
      <c r="H22" s="273">
        <v>9628</v>
      </c>
    </row>
    <row r="23" spans="1:8" x14ac:dyDescent="0.25">
      <c r="A23" s="526" t="s">
        <v>48</v>
      </c>
      <c r="B23" s="527" t="s">
        <v>269</v>
      </c>
      <c r="C23" s="583" t="s">
        <v>266</v>
      </c>
      <c r="D23" s="273">
        <v>1845</v>
      </c>
      <c r="E23" s="271">
        <v>1978</v>
      </c>
      <c r="F23" s="271">
        <v>1880</v>
      </c>
      <c r="G23" s="273">
        <v>1884</v>
      </c>
      <c r="H23" s="273">
        <v>1923</v>
      </c>
    </row>
    <row r="24" spans="1:8" x14ac:dyDescent="0.25">
      <c r="A24" s="526" t="s">
        <v>50</v>
      </c>
      <c r="B24" s="527" t="s">
        <v>51</v>
      </c>
      <c r="C24" s="583" t="s">
        <v>265</v>
      </c>
      <c r="D24" s="273">
        <v>4434</v>
      </c>
      <c r="E24" s="271">
        <v>4508</v>
      </c>
      <c r="F24" s="271">
        <v>4263</v>
      </c>
      <c r="G24" s="273">
        <v>4294</v>
      </c>
      <c r="H24" s="273">
        <v>4217</v>
      </c>
    </row>
    <row r="25" spans="1:8" x14ac:dyDescent="0.25">
      <c r="A25" s="526" t="s">
        <v>56</v>
      </c>
      <c r="B25" s="527" t="s">
        <v>295</v>
      </c>
      <c r="C25" s="583" t="s">
        <v>266</v>
      </c>
      <c r="D25" s="273">
        <v>59614</v>
      </c>
      <c r="E25" s="271">
        <v>64839</v>
      </c>
      <c r="F25" s="271">
        <v>65215</v>
      </c>
      <c r="G25" s="273">
        <v>68440</v>
      </c>
      <c r="H25" s="273">
        <v>71226</v>
      </c>
    </row>
    <row r="26" spans="1:8" x14ac:dyDescent="0.25">
      <c r="A26" s="526" t="s">
        <v>58</v>
      </c>
      <c r="B26" s="527" t="s">
        <v>59</v>
      </c>
      <c r="C26" s="583" t="s">
        <v>267</v>
      </c>
      <c r="D26" s="273">
        <v>1705</v>
      </c>
      <c r="E26" s="271">
        <v>1810</v>
      </c>
      <c r="F26" s="271">
        <v>1794</v>
      </c>
      <c r="G26" s="273">
        <v>1710</v>
      </c>
      <c r="H26" s="273">
        <v>1665</v>
      </c>
    </row>
    <row r="27" spans="1:8" x14ac:dyDescent="0.25">
      <c r="A27" s="526" t="s">
        <v>60</v>
      </c>
      <c r="B27" s="527" t="s">
        <v>61</v>
      </c>
      <c r="C27" s="583" t="s">
        <v>265</v>
      </c>
      <c r="D27" s="273">
        <v>1208</v>
      </c>
      <c r="E27" s="271">
        <v>1308</v>
      </c>
      <c r="F27" s="271">
        <v>1285</v>
      </c>
      <c r="G27" s="273">
        <v>1305</v>
      </c>
      <c r="H27" s="273">
        <v>1327</v>
      </c>
    </row>
    <row r="28" spans="1:8" x14ac:dyDescent="0.25">
      <c r="A28" s="526" t="s">
        <v>62</v>
      </c>
      <c r="B28" s="527" t="s">
        <v>63</v>
      </c>
      <c r="C28" s="583" t="s">
        <v>267</v>
      </c>
      <c r="D28" s="273">
        <v>10623</v>
      </c>
      <c r="E28" s="271">
        <v>11564</v>
      </c>
      <c r="F28" s="271">
        <v>11400</v>
      </c>
      <c r="G28" s="273">
        <v>11714</v>
      </c>
      <c r="H28" s="273">
        <v>11494</v>
      </c>
    </row>
    <row r="29" spans="1:8" x14ac:dyDescent="0.25">
      <c r="A29" s="526" t="s">
        <v>64</v>
      </c>
      <c r="B29" s="527" t="s">
        <v>65</v>
      </c>
      <c r="C29" s="583" t="s">
        <v>266</v>
      </c>
      <c r="D29" s="273">
        <v>3736</v>
      </c>
      <c r="E29" s="271">
        <v>3881</v>
      </c>
      <c r="F29" s="271">
        <v>3854</v>
      </c>
      <c r="G29" s="273">
        <v>3796</v>
      </c>
      <c r="H29" s="273">
        <v>3616</v>
      </c>
    </row>
    <row r="30" spans="1:8" x14ac:dyDescent="0.25">
      <c r="A30" s="526" t="s">
        <v>68</v>
      </c>
      <c r="B30" s="527" t="s">
        <v>69</v>
      </c>
      <c r="C30" s="583" t="s">
        <v>268</v>
      </c>
      <c r="D30" s="273">
        <v>6077</v>
      </c>
      <c r="E30" s="271">
        <v>6501</v>
      </c>
      <c r="F30" s="271">
        <v>6315</v>
      </c>
      <c r="G30" s="273">
        <v>6334</v>
      </c>
      <c r="H30" s="273">
        <v>6525</v>
      </c>
    </row>
    <row r="31" spans="1:8" x14ac:dyDescent="0.25">
      <c r="A31" s="526" t="s">
        <v>70</v>
      </c>
      <c r="B31" s="527" t="s">
        <v>71</v>
      </c>
      <c r="C31" s="583" t="s">
        <v>264</v>
      </c>
      <c r="D31" s="273">
        <v>8101</v>
      </c>
      <c r="E31" s="271">
        <v>8409</v>
      </c>
      <c r="F31" s="271">
        <v>8183</v>
      </c>
      <c r="G31" s="273">
        <v>8432</v>
      </c>
      <c r="H31" s="273">
        <v>8375</v>
      </c>
    </row>
    <row r="32" spans="1:8" x14ac:dyDescent="0.25">
      <c r="A32" s="526" t="s">
        <v>72</v>
      </c>
      <c r="B32" s="527" t="s">
        <v>73</v>
      </c>
      <c r="C32" s="583" t="s">
        <v>266</v>
      </c>
      <c r="D32" s="273">
        <v>4066</v>
      </c>
      <c r="E32" s="271">
        <v>4208</v>
      </c>
      <c r="F32" s="271">
        <v>4081</v>
      </c>
      <c r="G32" s="273">
        <v>4052</v>
      </c>
      <c r="H32" s="273">
        <v>3943</v>
      </c>
    </row>
    <row r="33" spans="1:8" x14ac:dyDescent="0.25">
      <c r="A33" s="526" t="s">
        <v>74</v>
      </c>
      <c r="B33" s="527" t="s">
        <v>296</v>
      </c>
      <c r="C33" s="583" t="s">
        <v>267</v>
      </c>
      <c r="D33" s="273">
        <v>106610</v>
      </c>
      <c r="E33" s="271">
        <v>118448</v>
      </c>
      <c r="F33" s="271">
        <v>120167</v>
      </c>
      <c r="G33" s="273">
        <v>128977</v>
      </c>
      <c r="H33" s="273">
        <v>127118</v>
      </c>
    </row>
    <row r="34" spans="1:8" x14ac:dyDescent="0.25">
      <c r="A34" s="526" t="s">
        <v>76</v>
      </c>
      <c r="B34" s="527" t="s">
        <v>77</v>
      </c>
      <c r="C34" s="583" t="s">
        <v>267</v>
      </c>
      <c r="D34" s="273">
        <v>8954</v>
      </c>
      <c r="E34" s="271">
        <v>9595</v>
      </c>
      <c r="F34" s="271">
        <v>9415</v>
      </c>
      <c r="G34" s="273">
        <v>9654</v>
      </c>
      <c r="H34" s="273">
        <v>9188</v>
      </c>
    </row>
    <row r="35" spans="1:8" x14ac:dyDescent="0.25">
      <c r="A35" s="526" t="s">
        <v>78</v>
      </c>
      <c r="B35" s="527" t="s">
        <v>79</v>
      </c>
      <c r="C35" s="583" t="s">
        <v>268</v>
      </c>
      <c r="D35" s="273">
        <v>3857</v>
      </c>
      <c r="E35" s="271">
        <v>4009</v>
      </c>
      <c r="F35" s="271">
        <v>3893</v>
      </c>
      <c r="G35" s="273">
        <v>3872</v>
      </c>
      <c r="H35" s="273">
        <v>3780</v>
      </c>
    </row>
    <row r="36" spans="1:8" x14ac:dyDescent="0.25">
      <c r="A36" s="526" t="s">
        <v>80</v>
      </c>
      <c r="B36" s="527" t="s">
        <v>81</v>
      </c>
      <c r="C36" s="583" t="s">
        <v>266</v>
      </c>
      <c r="D36" s="273">
        <v>3860</v>
      </c>
      <c r="E36" s="271">
        <v>4110</v>
      </c>
      <c r="F36" s="271">
        <v>4040</v>
      </c>
      <c r="G36" s="273">
        <v>4103</v>
      </c>
      <c r="H36" s="273">
        <v>4128</v>
      </c>
    </row>
    <row r="37" spans="1:8" x14ac:dyDescent="0.25">
      <c r="A37" s="526" t="s">
        <v>84</v>
      </c>
      <c r="B37" s="527" t="s">
        <v>85</v>
      </c>
      <c r="C37" s="583" t="s">
        <v>265</v>
      </c>
      <c r="D37" s="273">
        <v>14191</v>
      </c>
      <c r="E37" s="271">
        <v>14814</v>
      </c>
      <c r="F37" s="271">
        <v>14405</v>
      </c>
      <c r="G37" s="273">
        <v>14326</v>
      </c>
      <c r="H37" s="273">
        <v>14131</v>
      </c>
    </row>
    <row r="38" spans="1:8" x14ac:dyDescent="0.25">
      <c r="A38" s="526" t="s">
        <v>86</v>
      </c>
      <c r="B38" s="527" t="s">
        <v>87</v>
      </c>
      <c r="C38" s="583" t="s">
        <v>267</v>
      </c>
      <c r="D38" s="273">
        <v>14340</v>
      </c>
      <c r="E38" s="271">
        <v>15395</v>
      </c>
      <c r="F38" s="271">
        <v>14685</v>
      </c>
      <c r="G38" s="273">
        <v>14771</v>
      </c>
      <c r="H38" s="273">
        <v>14649</v>
      </c>
    </row>
    <row r="39" spans="1:8" x14ac:dyDescent="0.25">
      <c r="A39" s="526" t="s">
        <v>92</v>
      </c>
      <c r="B39" s="527" t="s">
        <v>93</v>
      </c>
      <c r="C39" s="583" t="s">
        <v>268</v>
      </c>
      <c r="D39" s="273">
        <v>4639</v>
      </c>
      <c r="E39" s="271">
        <v>4756</v>
      </c>
      <c r="F39" s="271">
        <v>4759</v>
      </c>
      <c r="G39" s="273">
        <v>4773</v>
      </c>
      <c r="H39" s="273">
        <v>4780</v>
      </c>
    </row>
    <row r="40" spans="1:8" x14ac:dyDescent="0.25">
      <c r="A40" s="526" t="s">
        <v>94</v>
      </c>
      <c r="B40" s="527" t="s">
        <v>95</v>
      </c>
      <c r="C40" s="583" t="s">
        <v>264</v>
      </c>
      <c r="D40" s="273">
        <v>7870</v>
      </c>
      <c r="E40" s="271">
        <v>8205</v>
      </c>
      <c r="F40" s="271">
        <v>8047</v>
      </c>
      <c r="G40" s="273">
        <v>8093</v>
      </c>
      <c r="H40" s="273">
        <v>7980</v>
      </c>
    </row>
    <row r="41" spans="1:8" x14ac:dyDescent="0.25">
      <c r="A41" s="526" t="s">
        <v>96</v>
      </c>
      <c r="B41" s="527" t="s">
        <v>97</v>
      </c>
      <c r="C41" s="583" t="s">
        <v>266</v>
      </c>
      <c r="D41" s="273">
        <v>2543</v>
      </c>
      <c r="E41" s="271">
        <v>2693</v>
      </c>
      <c r="F41" s="271">
        <v>2706</v>
      </c>
      <c r="G41" s="273">
        <v>2792</v>
      </c>
      <c r="H41" s="273">
        <v>2728</v>
      </c>
    </row>
    <row r="42" spans="1:8" x14ac:dyDescent="0.25">
      <c r="A42" s="526" t="s">
        <v>98</v>
      </c>
      <c r="B42" s="527" t="s">
        <v>99</v>
      </c>
      <c r="C42" s="583" t="s">
        <v>268</v>
      </c>
      <c r="D42" s="273">
        <v>5204</v>
      </c>
      <c r="E42" s="271">
        <v>5493</v>
      </c>
      <c r="F42" s="271">
        <v>5333</v>
      </c>
      <c r="G42" s="273">
        <v>5276</v>
      </c>
      <c r="H42" s="273">
        <v>5181</v>
      </c>
    </row>
    <row r="43" spans="1:8" x14ac:dyDescent="0.25">
      <c r="A43" s="526" t="s">
        <v>100</v>
      </c>
      <c r="B43" s="527" t="s">
        <v>101</v>
      </c>
      <c r="C43" s="583" t="s">
        <v>267</v>
      </c>
      <c r="D43" s="273">
        <v>3959</v>
      </c>
      <c r="E43" s="271">
        <v>4257</v>
      </c>
      <c r="F43" s="271">
        <v>4244</v>
      </c>
      <c r="G43" s="273">
        <v>4324</v>
      </c>
      <c r="H43" s="273">
        <v>4374</v>
      </c>
    </row>
    <row r="44" spans="1:8" x14ac:dyDescent="0.25">
      <c r="A44" s="526" t="s">
        <v>102</v>
      </c>
      <c r="B44" s="527" t="s">
        <v>282</v>
      </c>
      <c r="C44" s="583" t="s">
        <v>264</v>
      </c>
      <c r="D44" s="273">
        <v>6858</v>
      </c>
      <c r="E44" s="271">
        <v>7620</v>
      </c>
      <c r="F44" s="271">
        <v>7247</v>
      </c>
      <c r="G44" s="273">
        <v>7693</v>
      </c>
      <c r="H44" s="273">
        <v>7603</v>
      </c>
    </row>
    <row r="45" spans="1:8" x14ac:dyDescent="0.25">
      <c r="A45" s="526" t="s">
        <v>104</v>
      </c>
      <c r="B45" s="527" t="s">
        <v>105</v>
      </c>
      <c r="C45" s="583" t="s">
        <v>265</v>
      </c>
      <c r="D45" s="273">
        <v>12168</v>
      </c>
      <c r="E45" s="271">
        <v>12512</v>
      </c>
      <c r="F45" s="271">
        <v>12293</v>
      </c>
      <c r="G45" s="273">
        <v>12421</v>
      </c>
      <c r="H45" s="273">
        <v>12363</v>
      </c>
    </row>
    <row r="46" spans="1:8" x14ac:dyDescent="0.25">
      <c r="A46" s="526" t="s">
        <v>108</v>
      </c>
      <c r="B46" s="527" t="s">
        <v>109</v>
      </c>
      <c r="C46" s="583" t="s">
        <v>266</v>
      </c>
      <c r="D46" s="273">
        <v>11496</v>
      </c>
      <c r="E46" s="271">
        <v>12204</v>
      </c>
      <c r="F46" s="271">
        <v>12170</v>
      </c>
      <c r="G46" s="273">
        <v>12517</v>
      </c>
      <c r="H46" s="273">
        <v>12433</v>
      </c>
    </row>
    <row r="47" spans="1:8" x14ac:dyDescent="0.25">
      <c r="A47" s="526" t="s">
        <v>110</v>
      </c>
      <c r="B47" s="527" t="s">
        <v>111</v>
      </c>
      <c r="C47" s="583" t="s">
        <v>266</v>
      </c>
      <c r="D47" s="273">
        <v>60188</v>
      </c>
      <c r="E47" s="271">
        <v>64927</v>
      </c>
      <c r="F47" s="271">
        <v>64583</v>
      </c>
      <c r="G47" s="273">
        <v>66505</v>
      </c>
      <c r="H47" s="273">
        <v>67849</v>
      </c>
    </row>
    <row r="48" spans="1:8" x14ac:dyDescent="0.25">
      <c r="A48" s="526" t="s">
        <v>112</v>
      </c>
      <c r="B48" s="527" t="s">
        <v>300</v>
      </c>
      <c r="C48" s="583" t="s">
        <v>265</v>
      </c>
      <c r="D48" s="273">
        <v>27516</v>
      </c>
      <c r="E48" s="271">
        <v>29273</v>
      </c>
      <c r="F48" s="271">
        <v>28051</v>
      </c>
      <c r="G48" s="273">
        <v>28500</v>
      </c>
      <c r="H48" s="273">
        <v>28576</v>
      </c>
    </row>
    <row r="49" spans="1:8" x14ac:dyDescent="0.25">
      <c r="A49" s="526" t="s">
        <v>114</v>
      </c>
      <c r="B49" s="527" t="s">
        <v>115</v>
      </c>
      <c r="C49" s="583" t="s">
        <v>265</v>
      </c>
      <c r="D49" s="273">
        <v>390</v>
      </c>
      <c r="E49" s="271">
        <v>384</v>
      </c>
      <c r="F49" s="271">
        <v>470</v>
      </c>
      <c r="G49" s="273">
        <v>524</v>
      </c>
      <c r="H49" s="273">
        <v>399</v>
      </c>
    </row>
    <row r="50" spans="1:8" x14ac:dyDescent="0.25">
      <c r="A50" s="526" t="s">
        <v>118</v>
      </c>
      <c r="B50" s="527" t="s">
        <v>270</v>
      </c>
      <c r="C50" s="583" t="s">
        <v>264</v>
      </c>
      <c r="D50" s="273">
        <v>7269</v>
      </c>
      <c r="E50" s="271">
        <v>7692</v>
      </c>
      <c r="F50" s="271">
        <v>7343</v>
      </c>
      <c r="G50" s="273">
        <v>7515</v>
      </c>
      <c r="H50" s="273">
        <v>7385</v>
      </c>
    </row>
    <row r="51" spans="1:8" x14ac:dyDescent="0.25">
      <c r="A51" s="526" t="s">
        <v>120</v>
      </c>
      <c r="B51" s="527" t="s">
        <v>121</v>
      </c>
      <c r="C51" s="583" t="s">
        <v>264</v>
      </c>
      <c r="D51" s="273">
        <v>8956</v>
      </c>
      <c r="E51" s="271">
        <v>9807</v>
      </c>
      <c r="F51" s="271">
        <v>9688</v>
      </c>
      <c r="G51" s="273">
        <v>9944</v>
      </c>
      <c r="H51" s="273">
        <v>10103</v>
      </c>
    </row>
    <row r="52" spans="1:8" x14ac:dyDescent="0.25">
      <c r="A52" s="526" t="s">
        <v>122</v>
      </c>
      <c r="B52" s="527" t="s">
        <v>287</v>
      </c>
      <c r="C52" s="583" t="s">
        <v>266</v>
      </c>
      <c r="D52" s="273">
        <v>2092</v>
      </c>
      <c r="E52" s="271">
        <v>2301</v>
      </c>
      <c r="F52" s="271">
        <v>2281</v>
      </c>
      <c r="G52" s="273">
        <v>2263</v>
      </c>
      <c r="H52" s="273">
        <v>2170</v>
      </c>
    </row>
    <row r="53" spans="1:8" x14ac:dyDescent="0.25">
      <c r="A53" s="526" t="s">
        <v>124</v>
      </c>
      <c r="B53" s="527" t="s">
        <v>125</v>
      </c>
      <c r="C53" s="583" t="s">
        <v>267</v>
      </c>
      <c r="D53" s="273">
        <v>5029</v>
      </c>
      <c r="E53" s="271">
        <v>5384</v>
      </c>
      <c r="F53" s="271">
        <v>5381</v>
      </c>
      <c r="G53" s="273">
        <v>5411</v>
      </c>
      <c r="H53" s="273">
        <v>5207</v>
      </c>
    </row>
    <row r="54" spans="1:8" x14ac:dyDescent="0.25">
      <c r="A54" s="526" t="s">
        <v>126</v>
      </c>
      <c r="B54" s="527" t="s">
        <v>127</v>
      </c>
      <c r="C54" s="583" t="s">
        <v>266</v>
      </c>
      <c r="D54" s="273">
        <v>3497</v>
      </c>
      <c r="E54" s="271">
        <v>3645</v>
      </c>
      <c r="F54" s="271">
        <v>3550</v>
      </c>
      <c r="G54" s="273">
        <v>3529</v>
      </c>
      <c r="H54" s="273">
        <v>3519</v>
      </c>
    </row>
    <row r="55" spans="1:8" x14ac:dyDescent="0.25">
      <c r="A55" s="526" t="s">
        <v>128</v>
      </c>
      <c r="B55" s="527" t="s">
        <v>129</v>
      </c>
      <c r="C55" s="583" t="s">
        <v>266</v>
      </c>
      <c r="D55" s="273">
        <v>3017</v>
      </c>
      <c r="E55" s="271">
        <v>3166</v>
      </c>
      <c r="F55" s="271">
        <v>3078</v>
      </c>
      <c r="G55" s="273">
        <v>3045</v>
      </c>
      <c r="H55" s="273">
        <v>2907</v>
      </c>
    </row>
    <row r="56" spans="1:8" x14ac:dyDescent="0.25">
      <c r="A56" s="526" t="s">
        <v>130</v>
      </c>
      <c r="B56" s="527" t="s">
        <v>131</v>
      </c>
      <c r="C56" s="583" t="s">
        <v>268</v>
      </c>
      <c r="D56" s="273">
        <v>10255</v>
      </c>
      <c r="E56" s="271">
        <v>10651</v>
      </c>
      <c r="F56" s="271">
        <v>10597</v>
      </c>
      <c r="G56" s="273">
        <v>10372</v>
      </c>
      <c r="H56" s="273">
        <v>10438</v>
      </c>
    </row>
    <row r="57" spans="1:8" x14ac:dyDescent="0.25">
      <c r="A57" s="526" t="s">
        <v>132</v>
      </c>
      <c r="B57" s="527" t="s">
        <v>133</v>
      </c>
      <c r="C57" s="583" t="s">
        <v>267</v>
      </c>
      <c r="D57" s="273">
        <v>22211</v>
      </c>
      <c r="E57" s="271">
        <v>25069</v>
      </c>
      <c r="F57" s="271">
        <v>25981</v>
      </c>
      <c r="G57" s="273">
        <v>28995</v>
      </c>
      <c r="H57" s="273">
        <v>31478</v>
      </c>
    </row>
    <row r="58" spans="1:8" x14ac:dyDescent="0.25">
      <c r="A58" s="526" t="s">
        <v>134</v>
      </c>
      <c r="B58" s="527" t="s">
        <v>135</v>
      </c>
      <c r="C58" s="583" t="s">
        <v>267</v>
      </c>
      <c r="D58" s="273">
        <v>8044</v>
      </c>
      <c r="E58" s="271">
        <v>8661</v>
      </c>
      <c r="F58" s="271">
        <v>8699</v>
      </c>
      <c r="G58" s="273">
        <v>8922</v>
      </c>
      <c r="H58" s="273">
        <v>8719</v>
      </c>
    </row>
    <row r="59" spans="1:8" x14ac:dyDescent="0.25">
      <c r="A59" s="526" t="s">
        <v>136</v>
      </c>
      <c r="B59" s="527" t="s">
        <v>137</v>
      </c>
      <c r="C59" s="583" t="s">
        <v>266</v>
      </c>
      <c r="D59" s="273">
        <v>4311</v>
      </c>
      <c r="E59" s="271">
        <v>4344</v>
      </c>
      <c r="F59" s="271">
        <v>4364</v>
      </c>
      <c r="G59" s="273">
        <v>4390</v>
      </c>
      <c r="H59" s="273">
        <v>4257</v>
      </c>
    </row>
    <row r="60" spans="1:8" x14ac:dyDescent="0.25">
      <c r="A60" s="526" t="s">
        <v>140</v>
      </c>
      <c r="B60" s="527" t="s">
        <v>141</v>
      </c>
      <c r="C60" s="583" t="s">
        <v>267</v>
      </c>
      <c r="D60" s="273">
        <v>2993</v>
      </c>
      <c r="E60" s="271">
        <v>3291</v>
      </c>
      <c r="F60" s="271">
        <v>3240</v>
      </c>
      <c r="G60" s="273">
        <v>3318</v>
      </c>
      <c r="H60" s="273">
        <v>3217</v>
      </c>
    </row>
    <row r="61" spans="1:8" x14ac:dyDescent="0.25">
      <c r="A61" s="526" t="s">
        <v>146</v>
      </c>
      <c r="B61" s="527" t="s">
        <v>147</v>
      </c>
      <c r="C61" s="583" t="s">
        <v>264</v>
      </c>
      <c r="D61" s="273">
        <v>1788</v>
      </c>
      <c r="E61" s="271">
        <v>1911</v>
      </c>
      <c r="F61" s="271">
        <v>1850</v>
      </c>
      <c r="G61" s="273">
        <v>1895</v>
      </c>
      <c r="H61" s="273">
        <v>1858</v>
      </c>
    </row>
    <row r="62" spans="1:8" x14ac:dyDescent="0.25">
      <c r="A62" s="526" t="s">
        <v>148</v>
      </c>
      <c r="B62" s="527" t="s">
        <v>149</v>
      </c>
      <c r="C62" s="583" t="s">
        <v>265</v>
      </c>
      <c r="D62" s="273">
        <v>9761</v>
      </c>
      <c r="E62" s="271">
        <v>10341</v>
      </c>
      <c r="F62" s="271">
        <v>10168</v>
      </c>
      <c r="G62" s="273">
        <v>10082</v>
      </c>
      <c r="H62" s="273">
        <v>9729</v>
      </c>
    </row>
    <row r="63" spans="1:8" x14ac:dyDescent="0.25">
      <c r="A63" s="526" t="s">
        <v>150</v>
      </c>
      <c r="B63" s="527" t="s">
        <v>151</v>
      </c>
      <c r="C63" s="583" t="s">
        <v>266</v>
      </c>
      <c r="D63" s="273">
        <v>2811</v>
      </c>
      <c r="E63" s="271">
        <v>2979</v>
      </c>
      <c r="F63" s="271">
        <v>2919</v>
      </c>
      <c r="G63" s="273">
        <v>2970</v>
      </c>
      <c r="H63" s="273">
        <v>2972</v>
      </c>
    </row>
    <row r="64" spans="1:8" x14ac:dyDescent="0.25">
      <c r="A64" s="526" t="s">
        <v>152</v>
      </c>
      <c r="B64" s="527" t="s">
        <v>153</v>
      </c>
      <c r="C64" s="583" t="s">
        <v>268</v>
      </c>
      <c r="D64" s="273">
        <v>14119</v>
      </c>
      <c r="E64" s="271">
        <v>15037</v>
      </c>
      <c r="F64" s="271">
        <v>14615</v>
      </c>
      <c r="G64" s="273">
        <v>14424</v>
      </c>
      <c r="H64" s="273">
        <v>13952</v>
      </c>
    </row>
    <row r="65" spans="1:8" x14ac:dyDescent="0.25">
      <c r="A65" s="526" t="s">
        <v>154</v>
      </c>
      <c r="B65" s="527" t="s">
        <v>155</v>
      </c>
      <c r="C65" s="583" t="s">
        <v>265</v>
      </c>
      <c r="D65" s="273">
        <v>4108</v>
      </c>
      <c r="E65" s="271">
        <v>4365</v>
      </c>
      <c r="F65" s="271">
        <v>4317</v>
      </c>
      <c r="G65" s="273">
        <v>4223</v>
      </c>
      <c r="H65" s="273">
        <v>3977</v>
      </c>
    </row>
    <row r="66" spans="1:8" x14ac:dyDescent="0.25">
      <c r="A66" s="526" t="s">
        <v>156</v>
      </c>
      <c r="B66" s="527" t="s">
        <v>157</v>
      </c>
      <c r="C66" s="583" t="s">
        <v>266</v>
      </c>
      <c r="D66" s="273">
        <v>2487</v>
      </c>
      <c r="E66" s="271">
        <v>2653</v>
      </c>
      <c r="F66" s="271">
        <v>2571</v>
      </c>
      <c r="G66" s="273">
        <v>2851</v>
      </c>
      <c r="H66" s="273">
        <v>2846</v>
      </c>
    </row>
    <row r="67" spans="1:8" x14ac:dyDescent="0.25">
      <c r="A67" s="526" t="s">
        <v>162</v>
      </c>
      <c r="B67" s="527" t="s">
        <v>163</v>
      </c>
      <c r="C67" s="583" t="s">
        <v>264</v>
      </c>
      <c r="D67" s="273">
        <v>4913</v>
      </c>
      <c r="E67" s="271">
        <v>5127</v>
      </c>
      <c r="F67" s="271">
        <v>5026</v>
      </c>
      <c r="G67" s="273">
        <v>4957</v>
      </c>
      <c r="H67" s="273">
        <v>4777</v>
      </c>
    </row>
    <row r="68" spans="1:8" x14ac:dyDescent="0.25">
      <c r="A68" s="526" t="s">
        <v>164</v>
      </c>
      <c r="B68" s="527" t="s">
        <v>165</v>
      </c>
      <c r="C68" s="583" t="s">
        <v>266</v>
      </c>
      <c r="D68" s="273">
        <v>2906</v>
      </c>
      <c r="E68" s="271">
        <v>3257</v>
      </c>
      <c r="F68" s="271">
        <v>3236</v>
      </c>
      <c r="G68" s="273">
        <v>3245</v>
      </c>
      <c r="H68" s="273">
        <v>3264</v>
      </c>
    </row>
    <row r="69" spans="1:8" x14ac:dyDescent="0.25">
      <c r="A69" s="526" t="s">
        <v>168</v>
      </c>
      <c r="B69" s="527" t="s">
        <v>169</v>
      </c>
      <c r="C69" s="583" t="s">
        <v>266</v>
      </c>
      <c r="D69" s="273">
        <v>5671</v>
      </c>
      <c r="E69" s="271">
        <v>5857</v>
      </c>
      <c r="F69" s="271">
        <v>5833</v>
      </c>
      <c r="G69" s="273">
        <v>5791</v>
      </c>
      <c r="H69" s="273">
        <v>5704</v>
      </c>
    </row>
    <row r="70" spans="1:8" x14ac:dyDescent="0.25">
      <c r="A70" s="526" t="s">
        <v>170</v>
      </c>
      <c r="B70" s="527" t="s">
        <v>171</v>
      </c>
      <c r="C70" s="583" t="s">
        <v>267</v>
      </c>
      <c r="D70" s="273">
        <v>6895</v>
      </c>
      <c r="E70" s="271">
        <v>7450</v>
      </c>
      <c r="F70" s="271">
        <v>7477</v>
      </c>
      <c r="G70" s="273">
        <v>7649</v>
      </c>
      <c r="H70" s="273">
        <v>7596</v>
      </c>
    </row>
    <row r="71" spans="1:8" x14ac:dyDescent="0.25">
      <c r="A71" s="526" t="s">
        <v>172</v>
      </c>
      <c r="B71" s="527" t="s">
        <v>173</v>
      </c>
      <c r="C71" s="583" t="s">
        <v>267</v>
      </c>
      <c r="D71" s="273">
        <v>7041</v>
      </c>
      <c r="E71" s="271">
        <v>7374</v>
      </c>
      <c r="F71" s="271">
        <v>7302</v>
      </c>
      <c r="G71" s="273">
        <v>7238</v>
      </c>
      <c r="H71" s="273">
        <v>7116</v>
      </c>
    </row>
    <row r="72" spans="1:8" x14ac:dyDescent="0.25">
      <c r="A72" s="526" t="s">
        <v>174</v>
      </c>
      <c r="B72" s="527" t="s">
        <v>175</v>
      </c>
      <c r="C72" s="583" t="s">
        <v>268</v>
      </c>
      <c r="D72" s="273">
        <v>6234</v>
      </c>
      <c r="E72" s="271">
        <v>6321</v>
      </c>
      <c r="F72" s="271">
        <v>6037</v>
      </c>
      <c r="G72" s="273">
        <v>5979</v>
      </c>
      <c r="H72" s="273">
        <v>5908</v>
      </c>
    </row>
    <row r="73" spans="1:8" x14ac:dyDescent="0.25">
      <c r="A73" s="526" t="s">
        <v>178</v>
      </c>
      <c r="B73" s="527" t="s">
        <v>179</v>
      </c>
      <c r="C73" s="583" t="s">
        <v>265</v>
      </c>
      <c r="D73" s="273">
        <v>18022</v>
      </c>
      <c r="E73" s="271">
        <v>19040</v>
      </c>
      <c r="F73" s="271">
        <v>19116</v>
      </c>
      <c r="G73" s="273">
        <v>19050</v>
      </c>
      <c r="H73" s="273">
        <v>18849</v>
      </c>
    </row>
    <row r="74" spans="1:8" x14ac:dyDescent="0.25">
      <c r="A74" s="526" t="s">
        <v>182</v>
      </c>
      <c r="B74" s="527" t="s">
        <v>183</v>
      </c>
      <c r="C74" s="583" t="s">
        <v>266</v>
      </c>
      <c r="D74" s="273">
        <v>3076</v>
      </c>
      <c r="E74" s="271">
        <v>3267</v>
      </c>
      <c r="F74" s="271">
        <v>3190</v>
      </c>
      <c r="G74" s="273">
        <v>3245</v>
      </c>
      <c r="H74" s="273">
        <v>3205</v>
      </c>
    </row>
    <row r="75" spans="1:8" x14ac:dyDescent="0.25">
      <c r="A75" s="526" t="s">
        <v>184</v>
      </c>
      <c r="B75" s="527" t="s">
        <v>185</v>
      </c>
      <c r="C75" s="583" t="s">
        <v>266</v>
      </c>
      <c r="D75" s="273">
        <v>6436</v>
      </c>
      <c r="E75" s="271">
        <v>6709</v>
      </c>
      <c r="F75" s="271">
        <v>6596</v>
      </c>
      <c r="G75" s="273">
        <v>6532</v>
      </c>
      <c r="H75" s="273">
        <v>6493</v>
      </c>
    </row>
    <row r="76" spans="1:8" x14ac:dyDescent="0.25">
      <c r="A76" s="526" t="s">
        <v>186</v>
      </c>
      <c r="B76" s="527" t="s">
        <v>187</v>
      </c>
      <c r="C76" s="583" t="s">
        <v>264</v>
      </c>
      <c r="D76" s="273">
        <v>5378</v>
      </c>
      <c r="E76" s="271">
        <v>5951</v>
      </c>
      <c r="F76" s="271">
        <v>6208</v>
      </c>
      <c r="G76" s="273">
        <v>6596</v>
      </c>
      <c r="H76" s="273">
        <v>6895</v>
      </c>
    </row>
    <row r="77" spans="1:8" x14ac:dyDescent="0.25">
      <c r="A77" s="526" t="s">
        <v>188</v>
      </c>
      <c r="B77" s="527" t="s">
        <v>189</v>
      </c>
      <c r="C77" s="583" t="s">
        <v>267</v>
      </c>
      <c r="D77" s="273">
        <v>62835</v>
      </c>
      <c r="E77" s="271">
        <v>69625</v>
      </c>
      <c r="F77" s="271">
        <v>69829</v>
      </c>
      <c r="G77" s="273">
        <v>74151</v>
      </c>
      <c r="H77" s="273">
        <v>75745</v>
      </c>
    </row>
    <row r="78" spans="1:8" x14ac:dyDescent="0.25">
      <c r="A78" s="526" t="s">
        <v>190</v>
      </c>
      <c r="B78" s="527" t="s">
        <v>191</v>
      </c>
      <c r="C78" s="583" t="s">
        <v>268</v>
      </c>
      <c r="D78" s="273">
        <v>10186</v>
      </c>
      <c r="E78" s="271">
        <v>10793</v>
      </c>
      <c r="F78" s="271">
        <v>10612</v>
      </c>
      <c r="G78" s="273">
        <v>10370</v>
      </c>
      <c r="H78" s="273">
        <v>10192</v>
      </c>
    </row>
    <row r="79" spans="1:8" x14ac:dyDescent="0.25">
      <c r="A79" s="526" t="s">
        <v>194</v>
      </c>
      <c r="B79" s="527" t="s">
        <v>195</v>
      </c>
      <c r="C79" s="583" t="s">
        <v>267</v>
      </c>
      <c r="D79" s="273">
        <v>1257</v>
      </c>
      <c r="E79" s="271">
        <v>1264</v>
      </c>
      <c r="F79" s="271">
        <v>1201</v>
      </c>
      <c r="G79" s="273">
        <v>1188</v>
      </c>
      <c r="H79" s="273">
        <v>1165</v>
      </c>
    </row>
    <row r="80" spans="1:8" x14ac:dyDescent="0.25">
      <c r="A80" s="526" t="s">
        <v>198</v>
      </c>
      <c r="B80" s="527" t="s">
        <v>272</v>
      </c>
      <c r="C80" s="583" t="s">
        <v>266</v>
      </c>
      <c r="D80" s="273">
        <v>2553</v>
      </c>
      <c r="E80" s="271">
        <v>2766</v>
      </c>
      <c r="F80" s="271">
        <v>2745</v>
      </c>
      <c r="G80" s="273">
        <v>2824</v>
      </c>
      <c r="H80" s="273">
        <v>2849</v>
      </c>
    </row>
    <row r="81" spans="1:8" x14ac:dyDescent="0.25">
      <c r="A81" s="526" t="s">
        <v>202</v>
      </c>
      <c r="B81" s="527" t="s">
        <v>301</v>
      </c>
      <c r="C81" s="583" t="s">
        <v>265</v>
      </c>
      <c r="D81" s="273">
        <v>17074</v>
      </c>
      <c r="E81" s="271">
        <v>18639</v>
      </c>
      <c r="F81" s="271">
        <v>18682</v>
      </c>
      <c r="G81" s="273">
        <v>19343</v>
      </c>
      <c r="H81" s="273">
        <v>18808</v>
      </c>
    </row>
    <row r="82" spans="1:8" x14ac:dyDescent="0.25">
      <c r="A82" s="526" t="s">
        <v>204</v>
      </c>
      <c r="B82" s="527" t="s">
        <v>293</v>
      </c>
      <c r="C82" s="583" t="s">
        <v>265</v>
      </c>
      <c r="D82" s="273">
        <v>7789</v>
      </c>
      <c r="E82" s="271">
        <v>8595</v>
      </c>
      <c r="F82" s="271">
        <v>8478</v>
      </c>
      <c r="G82" s="273">
        <v>8558</v>
      </c>
      <c r="H82" s="273">
        <v>8818</v>
      </c>
    </row>
    <row r="83" spans="1:8" x14ac:dyDescent="0.25">
      <c r="A83" s="526" t="s">
        <v>206</v>
      </c>
      <c r="B83" s="527" t="s">
        <v>294</v>
      </c>
      <c r="C83" s="583" t="s">
        <v>267</v>
      </c>
      <c r="D83" s="273">
        <v>23605</v>
      </c>
      <c r="E83" s="271">
        <v>25976</v>
      </c>
      <c r="F83" s="271">
        <v>25431</v>
      </c>
      <c r="G83" s="273">
        <v>25746</v>
      </c>
      <c r="H83" s="273">
        <v>26018</v>
      </c>
    </row>
    <row r="84" spans="1:8" x14ac:dyDescent="0.25">
      <c r="A84" s="526" t="s">
        <v>208</v>
      </c>
      <c r="B84" s="527" t="s">
        <v>209</v>
      </c>
      <c r="C84" s="583" t="s">
        <v>268</v>
      </c>
      <c r="D84" s="273">
        <v>9980</v>
      </c>
      <c r="E84" s="271">
        <v>10460</v>
      </c>
      <c r="F84" s="271">
        <v>10546</v>
      </c>
      <c r="G84" s="273">
        <v>10382</v>
      </c>
      <c r="H84" s="273">
        <v>10367</v>
      </c>
    </row>
    <row r="85" spans="1:8" x14ac:dyDescent="0.25">
      <c r="A85" s="526" t="s">
        <v>210</v>
      </c>
      <c r="B85" s="527" t="s">
        <v>211</v>
      </c>
      <c r="C85" s="583" t="s">
        <v>268</v>
      </c>
      <c r="D85" s="273">
        <v>7259</v>
      </c>
      <c r="E85" s="271">
        <v>7706</v>
      </c>
      <c r="F85" s="271">
        <v>7617</v>
      </c>
      <c r="G85" s="273">
        <v>7479</v>
      </c>
      <c r="H85" s="273">
        <v>7416</v>
      </c>
    </row>
    <row r="86" spans="1:8" x14ac:dyDescent="0.25">
      <c r="A86" s="526" t="s">
        <v>212</v>
      </c>
      <c r="B86" s="527" t="s">
        <v>213</v>
      </c>
      <c r="C86" s="583" t="s">
        <v>267</v>
      </c>
      <c r="D86" s="273">
        <v>9929</v>
      </c>
      <c r="E86" s="271">
        <v>10619</v>
      </c>
      <c r="F86" s="271">
        <v>10511</v>
      </c>
      <c r="G86" s="273">
        <v>10486</v>
      </c>
      <c r="H86" s="273">
        <v>10564</v>
      </c>
    </row>
    <row r="87" spans="1:8" x14ac:dyDescent="0.25">
      <c r="A87" s="526" t="s">
        <v>214</v>
      </c>
      <c r="B87" s="527" t="s">
        <v>215</v>
      </c>
      <c r="C87" s="583" t="s">
        <v>268</v>
      </c>
      <c r="D87" s="273">
        <v>11107</v>
      </c>
      <c r="E87" s="271">
        <v>11659</v>
      </c>
      <c r="F87" s="271">
        <v>11340</v>
      </c>
      <c r="G87" s="273">
        <v>11223</v>
      </c>
      <c r="H87" s="273">
        <v>11100</v>
      </c>
    </row>
    <row r="88" spans="1:8" x14ac:dyDescent="0.25">
      <c r="A88" s="526" t="s">
        <v>216</v>
      </c>
      <c r="B88" s="527" t="s">
        <v>217</v>
      </c>
      <c r="C88" s="583" t="s">
        <v>264</v>
      </c>
      <c r="D88" s="273">
        <v>5217</v>
      </c>
      <c r="E88" s="271">
        <v>5484</v>
      </c>
      <c r="F88" s="271">
        <v>5406</v>
      </c>
      <c r="G88" s="273">
        <v>5433</v>
      </c>
      <c r="H88" s="273">
        <v>5336</v>
      </c>
    </row>
    <row r="89" spans="1:8" x14ac:dyDescent="0.25">
      <c r="A89" s="526" t="s">
        <v>218</v>
      </c>
      <c r="B89" s="527" t="s">
        <v>219</v>
      </c>
      <c r="C89" s="583" t="s">
        <v>267</v>
      </c>
      <c r="D89" s="273">
        <v>22492</v>
      </c>
      <c r="E89" s="271">
        <v>24207</v>
      </c>
      <c r="F89" s="271">
        <v>24647</v>
      </c>
      <c r="G89" s="273">
        <v>25907</v>
      </c>
      <c r="H89" s="273">
        <v>26628</v>
      </c>
    </row>
    <row r="90" spans="1:8" x14ac:dyDescent="0.25">
      <c r="A90" s="526" t="s">
        <v>220</v>
      </c>
      <c r="B90" s="527" t="s">
        <v>221</v>
      </c>
      <c r="C90" s="583" t="s">
        <v>267</v>
      </c>
      <c r="D90" s="273">
        <v>18509</v>
      </c>
      <c r="E90" s="271">
        <v>20137</v>
      </c>
      <c r="F90" s="271">
        <v>20516</v>
      </c>
      <c r="G90" s="273">
        <v>21743</v>
      </c>
      <c r="H90" s="273">
        <v>22548</v>
      </c>
    </row>
    <row r="91" spans="1:8" x14ac:dyDescent="0.25">
      <c r="A91" s="526" t="s">
        <v>224</v>
      </c>
      <c r="B91" s="527" t="s">
        <v>225</v>
      </c>
      <c r="C91" s="583" t="s">
        <v>264</v>
      </c>
      <c r="D91" s="273">
        <v>1793</v>
      </c>
      <c r="E91" s="271">
        <v>1980</v>
      </c>
      <c r="F91" s="271">
        <v>1912</v>
      </c>
      <c r="G91" s="273">
        <v>1902</v>
      </c>
      <c r="H91" s="273">
        <v>1896</v>
      </c>
    </row>
    <row r="92" spans="1:8" x14ac:dyDescent="0.25">
      <c r="A92" s="526" t="s">
        <v>226</v>
      </c>
      <c r="B92" s="527" t="s">
        <v>227</v>
      </c>
      <c r="C92" s="583" t="s">
        <v>264</v>
      </c>
      <c r="D92" s="273">
        <v>3372</v>
      </c>
      <c r="E92" s="271">
        <v>3614</v>
      </c>
      <c r="F92" s="271">
        <v>3562</v>
      </c>
      <c r="G92" s="273">
        <v>3591</v>
      </c>
      <c r="H92" s="273">
        <v>3572</v>
      </c>
    </row>
    <row r="93" spans="1:8" x14ac:dyDescent="0.25">
      <c r="A93" s="526" t="s">
        <v>228</v>
      </c>
      <c r="B93" s="527" t="s">
        <v>229</v>
      </c>
      <c r="C93" s="583" t="s">
        <v>268</v>
      </c>
      <c r="D93" s="273">
        <v>13576</v>
      </c>
      <c r="E93" s="271">
        <v>14800</v>
      </c>
      <c r="F93" s="271">
        <v>14921</v>
      </c>
      <c r="G93" s="273">
        <v>15172</v>
      </c>
      <c r="H93" s="273">
        <v>15114</v>
      </c>
    </row>
    <row r="94" spans="1:8" x14ac:dyDescent="0.25">
      <c r="A94" s="526" t="s">
        <v>232</v>
      </c>
      <c r="B94" s="527" t="s">
        <v>233</v>
      </c>
      <c r="C94" s="583" t="s">
        <v>267</v>
      </c>
      <c r="D94" s="273">
        <v>8881</v>
      </c>
      <c r="E94" s="271">
        <v>9625</v>
      </c>
      <c r="F94" s="271">
        <v>9389</v>
      </c>
      <c r="G94" s="273">
        <v>9584</v>
      </c>
      <c r="H94" s="273">
        <v>9337</v>
      </c>
    </row>
    <row r="95" spans="1:8" x14ac:dyDescent="0.25">
      <c r="A95" s="526" t="s">
        <v>234</v>
      </c>
      <c r="B95" s="527" t="s">
        <v>235</v>
      </c>
      <c r="C95" s="583" t="s">
        <v>268</v>
      </c>
      <c r="D95" s="273">
        <v>13859</v>
      </c>
      <c r="E95" s="271">
        <v>14710</v>
      </c>
      <c r="F95" s="271">
        <v>14720</v>
      </c>
      <c r="G95" s="273">
        <v>14759</v>
      </c>
      <c r="H95" s="273">
        <v>14578</v>
      </c>
    </row>
    <row r="96" spans="1:8" x14ac:dyDescent="0.25">
      <c r="A96" s="526" t="s">
        <v>236</v>
      </c>
      <c r="B96" s="527" t="s">
        <v>237</v>
      </c>
      <c r="C96" s="583" t="s">
        <v>266</v>
      </c>
      <c r="D96" s="273">
        <v>5537</v>
      </c>
      <c r="E96" s="271">
        <v>5890</v>
      </c>
      <c r="F96" s="271">
        <v>5666</v>
      </c>
      <c r="G96" s="273">
        <v>5925</v>
      </c>
      <c r="H96" s="273">
        <v>6025</v>
      </c>
    </row>
    <row r="97" spans="1:8" x14ac:dyDescent="0.25">
      <c r="A97" s="526" t="s">
        <v>242</v>
      </c>
      <c r="B97" s="527" t="s">
        <v>243</v>
      </c>
      <c r="C97" s="583" t="s">
        <v>268</v>
      </c>
      <c r="D97" s="273">
        <v>14811</v>
      </c>
      <c r="E97" s="271">
        <v>15880</v>
      </c>
      <c r="F97" s="271">
        <v>15881</v>
      </c>
      <c r="G97" s="273">
        <v>15297</v>
      </c>
      <c r="H97" s="273">
        <v>15289</v>
      </c>
    </row>
    <row r="98" spans="1:8" x14ac:dyDescent="0.25">
      <c r="A98" s="528" t="s">
        <v>244</v>
      </c>
      <c r="B98" s="527" t="s">
        <v>245</v>
      </c>
      <c r="C98" s="583" t="s">
        <v>268</v>
      </c>
      <c r="D98" s="273">
        <v>8584</v>
      </c>
      <c r="E98" s="271">
        <v>8879</v>
      </c>
      <c r="F98" s="271">
        <v>8648</v>
      </c>
      <c r="G98" s="273">
        <v>8593</v>
      </c>
      <c r="H98" s="273">
        <v>8349</v>
      </c>
    </row>
    <row r="99" spans="1:8" x14ac:dyDescent="0.25">
      <c r="A99" s="526" t="s">
        <v>246</v>
      </c>
      <c r="B99" s="527" t="s">
        <v>247</v>
      </c>
      <c r="C99" s="583" t="s">
        <v>264</v>
      </c>
      <c r="D99" s="273">
        <v>6978</v>
      </c>
      <c r="E99" s="271">
        <v>7574</v>
      </c>
      <c r="F99" s="271">
        <v>7685</v>
      </c>
      <c r="G99" s="273">
        <v>7961</v>
      </c>
      <c r="H99" s="273">
        <v>7891</v>
      </c>
    </row>
    <row r="100" spans="1:8" x14ac:dyDescent="0.25">
      <c r="A100" s="526" t="s">
        <v>14</v>
      </c>
      <c r="B100" s="527" t="s">
        <v>15</v>
      </c>
      <c r="C100" s="583" t="s">
        <v>267</v>
      </c>
      <c r="D100" s="273">
        <v>18462</v>
      </c>
      <c r="E100" s="271">
        <v>20208</v>
      </c>
      <c r="F100" s="271">
        <v>20215</v>
      </c>
      <c r="G100" s="273">
        <v>21904</v>
      </c>
      <c r="H100" s="273">
        <v>22934</v>
      </c>
    </row>
    <row r="101" spans="1:8" x14ac:dyDescent="0.25">
      <c r="A101" s="526" t="s">
        <v>34</v>
      </c>
      <c r="B101" s="527" t="s">
        <v>35</v>
      </c>
      <c r="C101" s="583" t="s">
        <v>268</v>
      </c>
      <c r="D101" s="273">
        <v>7773</v>
      </c>
      <c r="E101" s="271">
        <v>8331</v>
      </c>
      <c r="F101" s="271">
        <v>8071</v>
      </c>
      <c r="G101" s="273">
        <v>7913</v>
      </c>
      <c r="H101" s="273">
        <v>7728</v>
      </c>
    </row>
    <row r="102" spans="1:8" x14ac:dyDescent="0.25">
      <c r="A102" s="526" t="s">
        <v>52</v>
      </c>
      <c r="B102" s="527" t="s">
        <v>53</v>
      </c>
      <c r="C102" s="583" t="s">
        <v>265</v>
      </c>
      <c r="D102" s="273">
        <v>10175</v>
      </c>
      <c r="E102" s="271">
        <v>10594</v>
      </c>
      <c r="F102" s="271">
        <v>9993</v>
      </c>
      <c r="G102" s="273">
        <v>9960</v>
      </c>
      <c r="H102" s="273">
        <v>9638</v>
      </c>
    </row>
    <row r="103" spans="1:8" x14ac:dyDescent="0.25">
      <c r="A103" s="526" t="s">
        <v>54</v>
      </c>
      <c r="B103" s="527" t="s">
        <v>55</v>
      </c>
      <c r="C103" s="583" t="s">
        <v>264</v>
      </c>
      <c r="D103" s="273">
        <v>42145</v>
      </c>
      <c r="E103" s="271">
        <v>45511</v>
      </c>
      <c r="F103" s="271">
        <v>45653</v>
      </c>
      <c r="G103" s="273">
        <v>46581</v>
      </c>
      <c r="H103" s="273">
        <v>47023</v>
      </c>
    </row>
    <row r="104" spans="1:8" x14ac:dyDescent="0.25">
      <c r="A104" s="526" t="s">
        <v>66</v>
      </c>
      <c r="B104" s="527" t="s">
        <v>67</v>
      </c>
      <c r="C104" s="583" t="s">
        <v>265</v>
      </c>
      <c r="D104" s="273">
        <v>21090</v>
      </c>
      <c r="E104" s="271">
        <v>21903</v>
      </c>
      <c r="F104" s="271">
        <v>21590</v>
      </c>
      <c r="G104" s="273">
        <v>21805</v>
      </c>
      <c r="H104" s="273">
        <v>21464</v>
      </c>
    </row>
    <row r="105" spans="1:8" x14ac:dyDescent="0.25">
      <c r="A105" s="526" t="s">
        <v>82</v>
      </c>
      <c r="B105" s="527" t="s">
        <v>83</v>
      </c>
      <c r="C105" s="583" t="s">
        <v>264</v>
      </c>
      <c r="D105" s="273">
        <v>4238</v>
      </c>
      <c r="E105" s="271">
        <v>4434</v>
      </c>
      <c r="F105" s="271">
        <v>4257</v>
      </c>
      <c r="G105" s="273">
        <v>4322</v>
      </c>
      <c r="H105" s="273">
        <v>4286</v>
      </c>
    </row>
    <row r="106" spans="1:8" x14ac:dyDescent="0.25">
      <c r="A106" s="526" t="s">
        <v>88</v>
      </c>
      <c r="B106" s="527" t="s">
        <v>89</v>
      </c>
      <c r="C106" s="583" t="s">
        <v>267</v>
      </c>
      <c r="D106" s="273">
        <v>8271</v>
      </c>
      <c r="E106" s="271">
        <v>8697</v>
      </c>
      <c r="F106" s="271">
        <v>8650</v>
      </c>
      <c r="G106" s="273">
        <v>8849</v>
      </c>
      <c r="H106" s="273">
        <v>8366</v>
      </c>
    </row>
    <row r="107" spans="1:8" x14ac:dyDescent="0.25">
      <c r="A107" s="526" t="s">
        <v>90</v>
      </c>
      <c r="B107" s="527" t="s">
        <v>91</v>
      </c>
      <c r="C107" s="583" t="s">
        <v>268</v>
      </c>
      <c r="D107" s="273">
        <v>3278</v>
      </c>
      <c r="E107" s="271">
        <v>3428</v>
      </c>
      <c r="F107" s="271">
        <v>3451</v>
      </c>
      <c r="G107" s="273">
        <v>3339</v>
      </c>
      <c r="H107" s="273">
        <v>3316</v>
      </c>
    </row>
    <row r="108" spans="1:8" x14ac:dyDescent="0.25">
      <c r="A108" s="526" t="s">
        <v>106</v>
      </c>
      <c r="B108" s="527" t="s">
        <v>107</v>
      </c>
      <c r="C108" s="583" t="s">
        <v>264</v>
      </c>
      <c r="D108" s="273">
        <v>38528</v>
      </c>
      <c r="E108" s="271">
        <v>41337</v>
      </c>
      <c r="F108" s="271">
        <v>41061</v>
      </c>
      <c r="G108" s="273">
        <v>41471</v>
      </c>
      <c r="H108" s="273">
        <v>40796</v>
      </c>
    </row>
    <row r="109" spans="1:8" x14ac:dyDescent="0.25">
      <c r="A109" s="526" t="s">
        <v>116</v>
      </c>
      <c r="B109" s="527" t="s">
        <v>117</v>
      </c>
      <c r="C109" s="583" t="s">
        <v>266</v>
      </c>
      <c r="D109" s="273">
        <v>10904</v>
      </c>
      <c r="E109" s="271">
        <v>11434</v>
      </c>
      <c r="F109" s="271">
        <v>11517</v>
      </c>
      <c r="G109" s="273">
        <v>11988</v>
      </c>
      <c r="H109" s="273">
        <v>12065</v>
      </c>
    </row>
    <row r="110" spans="1:8" x14ac:dyDescent="0.25">
      <c r="A110" s="526" t="s">
        <v>138</v>
      </c>
      <c r="B110" s="527" t="s">
        <v>139</v>
      </c>
      <c r="C110" s="583" t="s">
        <v>265</v>
      </c>
      <c r="D110" s="273">
        <v>22397</v>
      </c>
      <c r="E110" s="271">
        <v>23819</v>
      </c>
      <c r="F110" s="271">
        <v>23693</v>
      </c>
      <c r="G110" s="273">
        <v>23659</v>
      </c>
      <c r="H110" s="273">
        <v>22935</v>
      </c>
    </row>
    <row r="111" spans="1:8" x14ac:dyDescent="0.25">
      <c r="A111" s="526" t="s">
        <v>142</v>
      </c>
      <c r="B111" s="527" t="s">
        <v>143</v>
      </c>
      <c r="C111" s="583" t="s">
        <v>267</v>
      </c>
      <c r="D111" s="273">
        <v>8925</v>
      </c>
      <c r="E111" s="271">
        <v>9893</v>
      </c>
      <c r="F111" s="271">
        <v>10100</v>
      </c>
      <c r="G111" s="273">
        <v>10575</v>
      </c>
      <c r="H111" s="273">
        <v>10493</v>
      </c>
    </row>
    <row r="112" spans="1:8" x14ac:dyDescent="0.25">
      <c r="A112" s="526" t="s">
        <v>144</v>
      </c>
      <c r="B112" s="527" t="s">
        <v>145</v>
      </c>
      <c r="C112" s="583" t="s">
        <v>267</v>
      </c>
      <c r="D112" s="273">
        <v>3006</v>
      </c>
      <c r="E112" s="271">
        <v>3433</v>
      </c>
      <c r="F112" s="271">
        <v>3317</v>
      </c>
      <c r="G112" s="273">
        <v>3707</v>
      </c>
      <c r="H112" s="273">
        <v>3886</v>
      </c>
    </row>
    <row r="113" spans="1:8" x14ac:dyDescent="0.25">
      <c r="A113" s="526" t="s">
        <v>158</v>
      </c>
      <c r="B113" s="527" t="s">
        <v>159</v>
      </c>
      <c r="C113" s="583" t="s">
        <v>264</v>
      </c>
      <c r="D113" s="273">
        <v>58855</v>
      </c>
      <c r="E113" s="271">
        <v>62727</v>
      </c>
      <c r="F113" s="271">
        <v>61457</v>
      </c>
      <c r="G113" s="273">
        <v>62157</v>
      </c>
      <c r="H113" s="273">
        <v>61934</v>
      </c>
    </row>
    <row r="114" spans="1:8" x14ac:dyDescent="0.25">
      <c r="A114" s="526" t="s">
        <v>160</v>
      </c>
      <c r="B114" s="527" t="s">
        <v>161</v>
      </c>
      <c r="C114" s="583" t="s">
        <v>264</v>
      </c>
      <c r="D114" s="273">
        <v>78218</v>
      </c>
      <c r="E114" s="271">
        <v>82672</v>
      </c>
      <c r="F114" s="271">
        <v>81555</v>
      </c>
      <c r="G114" s="273">
        <v>81381</v>
      </c>
      <c r="H114" s="273">
        <v>79024</v>
      </c>
    </row>
    <row r="115" spans="1:8" x14ac:dyDescent="0.25">
      <c r="A115" s="526" t="s">
        <v>166</v>
      </c>
      <c r="B115" s="527" t="s">
        <v>167</v>
      </c>
      <c r="C115" s="583" t="s">
        <v>268</v>
      </c>
      <c r="D115" s="273">
        <v>1906</v>
      </c>
      <c r="E115" s="271">
        <v>1956</v>
      </c>
      <c r="F115" s="271">
        <v>1886</v>
      </c>
      <c r="G115" s="273">
        <v>1842</v>
      </c>
      <c r="H115" s="273">
        <v>1925</v>
      </c>
    </row>
    <row r="116" spans="1:8" x14ac:dyDescent="0.25">
      <c r="A116" s="526" t="s">
        <v>176</v>
      </c>
      <c r="B116" s="527" t="s">
        <v>177</v>
      </c>
      <c r="C116" s="583" t="s">
        <v>266</v>
      </c>
      <c r="D116" s="273">
        <v>17376</v>
      </c>
      <c r="E116" s="271">
        <v>18148</v>
      </c>
      <c r="F116" s="271">
        <v>17994</v>
      </c>
      <c r="G116" s="273">
        <v>18493</v>
      </c>
      <c r="H116" s="273">
        <v>18847</v>
      </c>
    </row>
    <row r="117" spans="1:8" x14ac:dyDescent="0.25">
      <c r="A117" s="526" t="s">
        <v>180</v>
      </c>
      <c r="B117" s="527" t="s">
        <v>181</v>
      </c>
      <c r="C117" s="583" t="s">
        <v>264</v>
      </c>
      <c r="D117" s="273">
        <v>37597</v>
      </c>
      <c r="E117" s="271">
        <v>40008</v>
      </c>
      <c r="F117" s="271">
        <v>39301</v>
      </c>
      <c r="G117" s="273">
        <v>39957</v>
      </c>
      <c r="H117" s="273">
        <v>39584</v>
      </c>
    </row>
    <row r="118" spans="1:8" x14ac:dyDescent="0.25">
      <c r="A118" s="526" t="s">
        <v>192</v>
      </c>
      <c r="B118" s="527" t="s">
        <v>193</v>
      </c>
      <c r="C118" s="583" t="s">
        <v>268</v>
      </c>
      <c r="D118" s="273">
        <v>3130</v>
      </c>
      <c r="E118" s="271">
        <v>3352</v>
      </c>
      <c r="F118" s="271">
        <v>3377</v>
      </c>
      <c r="G118" s="273">
        <v>3386</v>
      </c>
      <c r="H118" s="273">
        <v>3247</v>
      </c>
    </row>
    <row r="119" spans="1:8" x14ac:dyDescent="0.25">
      <c r="A119" s="526" t="s">
        <v>196</v>
      </c>
      <c r="B119" s="527" t="s">
        <v>197</v>
      </c>
      <c r="C119" s="583" t="s">
        <v>266</v>
      </c>
      <c r="D119" s="273">
        <v>81906</v>
      </c>
      <c r="E119" s="271">
        <v>86276</v>
      </c>
      <c r="F119" s="271">
        <v>84263</v>
      </c>
      <c r="G119" s="273">
        <v>84729</v>
      </c>
      <c r="H119" s="273">
        <v>84567</v>
      </c>
    </row>
    <row r="120" spans="1:8" x14ac:dyDescent="0.25">
      <c r="A120" s="526" t="s">
        <v>200</v>
      </c>
      <c r="B120" s="527" t="s">
        <v>201</v>
      </c>
      <c r="C120" s="583" t="s">
        <v>265</v>
      </c>
      <c r="D120" s="273">
        <v>39164</v>
      </c>
      <c r="E120" s="271">
        <v>42145</v>
      </c>
      <c r="F120" s="271">
        <v>41750</v>
      </c>
      <c r="G120" s="273">
        <v>41785</v>
      </c>
      <c r="H120" s="273">
        <v>40375</v>
      </c>
    </row>
    <row r="121" spans="1:8" x14ac:dyDescent="0.25">
      <c r="A121" s="526" t="s">
        <v>222</v>
      </c>
      <c r="B121" s="527" t="s">
        <v>223</v>
      </c>
      <c r="C121" s="583" t="s">
        <v>264</v>
      </c>
      <c r="D121" s="273">
        <v>21190</v>
      </c>
      <c r="E121" s="271">
        <v>22550</v>
      </c>
      <c r="F121" s="271">
        <v>22422</v>
      </c>
      <c r="G121" s="273">
        <v>22343</v>
      </c>
      <c r="H121" s="273">
        <v>22309</v>
      </c>
    </row>
    <row r="122" spans="1:8" x14ac:dyDescent="0.25">
      <c r="A122" s="526" t="s">
        <v>230</v>
      </c>
      <c r="B122" s="527" t="s">
        <v>231</v>
      </c>
      <c r="C122" s="583" t="s">
        <v>264</v>
      </c>
      <c r="D122" s="273">
        <v>67274</v>
      </c>
      <c r="E122" s="271">
        <v>72106</v>
      </c>
      <c r="F122" s="271">
        <v>72688</v>
      </c>
      <c r="G122" s="273">
        <v>75989</v>
      </c>
      <c r="H122" s="273">
        <v>73761</v>
      </c>
    </row>
    <row r="123" spans="1:8" x14ac:dyDescent="0.25">
      <c r="A123" s="526" t="s">
        <v>238</v>
      </c>
      <c r="B123" s="527" t="s">
        <v>239</v>
      </c>
      <c r="C123" s="583" t="s">
        <v>264</v>
      </c>
      <c r="D123" s="273">
        <v>2203</v>
      </c>
      <c r="E123" s="271">
        <v>2402</v>
      </c>
      <c r="F123" s="271">
        <v>2454</v>
      </c>
      <c r="G123" s="273">
        <v>2495</v>
      </c>
      <c r="H123" s="273">
        <v>2413</v>
      </c>
    </row>
    <row r="124" spans="1:8" x14ac:dyDescent="0.25">
      <c r="A124" s="526" t="s">
        <v>240</v>
      </c>
      <c r="B124" s="527" t="s">
        <v>241</v>
      </c>
      <c r="C124" s="583" t="s">
        <v>267</v>
      </c>
      <c r="D124" s="273">
        <v>8349</v>
      </c>
      <c r="E124" s="271">
        <v>8979</v>
      </c>
      <c r="F124" s="271">
        <v>8740</v>
      </c>
      <c r="G124" s="273">
        <v>8821</v>
      </c>
      <c r="H124" s="273">
        <v>8794</v>
      </c>
    </row>
    <row r="126" spans="1:8" s="529" customFormat="1" ht="32.25" customHeight="1" x14ac:dyDescent="0.25">
      <c r="A126" s="2270" t="s">
        <v>1231</v>
      </c>
      <c r="B126" s="2270"/>
      <c r="C126" s="2270"/>
      <c r="D126" s="2270"/>
      <c r="E126" s="2270"/>
      <c r="F126" s="2270"/>
      <c r="G126" s="2270"/>
      <c r="H126" s="2270"/>
    </row>
    <row r="127" spans="1:8" s="529" customFormat="1" x14ac:dyDescent="0.25">
      <c r="A127" s="2270"/>
      <c r="B127" s="2270"/>
      <c r="C127" s="2270"/>
      <c r="D127" s="2270"/>
      <c r="E127" s="2270"/>
      <c r="F127" s="2270"/>
      <c r="G127" s="2270"/>
      <c r="H127" s="2270"/>
    </row>
    <row r="128" spans="1:8" s="529" customFormat="1" ht="34.5" customHeight="1" x14ac:dyDescent="0.25">
      <c r="A128" s="2270"/>
      <c r="B128" s="2270"/>
      <c r="C128" s="2270"/>
      <c r="D128" s="2270"/>
      <c r="E128" s="2270"/>
      <c r="F128" s="2270"/>
      <c r="G128" s="2270"/>
      <c r="H128" s="2270"/>
    </row>
    <row r="129" spans="1:6" s="529" customFormat="1" x14ac:dyDescent="0.25">
      <c r="A129" s="559"/>
      <c r="B129" s="559"/>
      <c r="C129" s="559"/>
      <c r="D129" s="559"/>
      <c r="E129" s="559"/>
      <c r="F129" s="1148"/>
    </row>
    <row r="130" spans="1:6" s="412" customFormat="1" x14ac:dyDescent="0.25">
      <c r="A130" s="412" t="s">
        <v>248</v>
      </c>
    </row>
    <row r="131" spans="1:6" s="412" customFormat="1" x14ac:dyDescent="0.25">
      <c r="A131" s="413" t="s">
        <v>249</v>
      </c>
      <c r="B131" s="414" t="s">
        <v>250</v>
      </c>
      <c r="C131" s="414"/>
    </row>
  </sheetData>
  <autoFilter ref="A3:C3"/>
  <sortState ref="A5:J124">
    <sortCondition ref="A5:A124"/>
  </sortState>
  <mergeCells count="1">
    <mergeCell ref="A126:H128"/>
  </mergeCells>
  <hyperlinks>
    <hyperlink ref="B131" r:id="rId1"/>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workbookViewId="0">
      <selection activeCell="I9" sqref="I9"/>
    </sheetView>
  </sheetViews>
  <sheetFormatPr defaultRowHeight="15.75" x14ac:dyDescent="0.25"/>
  <cols>
    <col min="1" max="1" width="5.875" style="529" customWidth="1"/>
    <col min="2" max="2" width="29.5" style="529" customWidth="1"/>
    <col min="3" max="3" width="16.25" style="529" customWidth="1"/>
    <col min="4" max="6" width="11.375" style="529" customWidth="1"/>
    <col min="7" max="7" width="3.875" style="529" customWidth="1"/>
    <col min="8" max="16384" width="9" style="529"/>
  </cols>
  <sheetData>
    <row r="1" spans="1:8" x14ac:dyDescent="0.25">
      <c r="A1" s="258" t="s">
        <v>1315</v>
      </c>
    </row>
    <row r="3" spans="1:8" x14ac:dyDescent="0.25">
      <c r="A3" s="637" t="s">
        <v>4</v>
      </c>
      <c r="B3" s="592" t="s">
        <v>5</v>
      </c>
      <c r="C3" s="592" t="s">
        <v>251</v>
      </c>
      <c r="D3" s="643" t="s">
        <v>875</v>
      </c>
      <c r="E3" s="1944" t="s">
        <v>1110</v>
      </c>
      <c r="F3" s="1555" t="s">
        <v>1229</v>
      </c>
    </row>
    <row r="4" spans="1:8" s="636" customFormat="1" x14ac:dyDescent="0.25">
      <c r="A4" s="1645">
        <v>999</v>
      </c>
      <c r="B4" s="1646" t="s">
        <v>795</v>
      </c>
      <c r="C4" s="1646"/>
      <c r="D4" s="1644">
        <f>SUM(D5:D124)</f>
        <v>43823</v>
      </c>
      <c r="E4" s="1945">
        <v>43160</v>
      </c>
      <c r="F4" s="1644">
        <v>39376</v>
      </c>
      <c r="G4" s="529"/>
      <c r="H4" s="529"/>
    </row>
    <row r="5" spans="1:8" x14ac:dyDescent="0.25">
      <c r="A5" s="632" t="s">
        <v>10</v>
      </c>
      <c r="B5" s="633" t="s">
        <v>11</v>
      </c>
      <c r="C5" s="633" t="s">
        <v>264</v>
      </c>
      <c r="D5" s="955">
        <v>94</v>
      </c>
      <c r="E5" s="1554">
        <v>83</v>
      </c>
      <c r="F5" s="1642">
        <v>84</v>
      </c>
      <c r="G5" s="636"/>
      <c r="H5" s="636"/>
    </row>
    <row r="6" spans="1:8" s="636" customFormat="1" x14ac:dyDescent="0.25">
      <c r="A6" s="632" t="s">
        <v>12</v>
      </c>
      <c r="B6" s="633" t="s">
        <v>13</v>
      </c>
      <c r="C6" s="633" t="s">
        <v>265</v>
      </c>
      <c r="D6" s="955">
        <v>300</v>
      </c>
      <c r="E6" s="1554">
        <v>295</v>
      </c>
      <c r="F6" s="1642">
        <v>267</v>
      </c>
    </row>
    <row r="7" spans="1:8" s="636" customFormat="1" x14ac:dyDescent="0.25">
      <c r="A7" s="632" t="s">
        <v>16</v>
      </c>
      <c r="B7" s="633" t="s">
        <v>297</v>
      </c>
      <c r="C7" s="633" t="s">
        <v>265</v>
      </c>
      <c r="D7" s="955">
        <v>102</v>
      </c>
      <c r="E7" s="1554">
        <v>87</v>
      </c>
      <c r="F7" s="1642">
        <v>86</v>
      </c>
    </row>
    <row r="8" spans="1:8" s="636" customFormat="1" x14ac:dyDescent="0.25">
      <c r="A8" s="632" t="s">
        <v>18</v>
      </c>
      <c r="B8" s="633" t="s">
        <v>19</v>
      </c>
      <c r="C8" s="633" t="s">
        <v>266</v>
      </c>
      <c r="D8" s="955">
        <v>55</v>
      </c>
      <c r="E8" s="1554">
        <v>52</v>
      </c>
      <c r="F8" s="1642">
        <v>36</v>
      </c>
    </row>
    <row r="9" spans="1:8" s="636" customFormat="1" x14ac:dyDescent="0.25">
      <c r="A9" s="632" t="s">
        <v>20</v>
      </c>
      <c r="B9" s="633" t="s">
        <v>21</v>
      </c>
      <c r="C9" s="633" t="s">
        <v>265</v>
      </c>
      <c r="D9" s="955">
        <v>167</v>
      </c>
      <c r="E9" s="1554">
        <v>156</v>
      </c>
      <c r="F9" s="1642">
        <v>159</v>
      </c>
    </row>
    <row r="10" spans="1:8" s="636" customFormat="1" x14ac:dyDescent="0.25">
      <c r="A10" s="632" t="s">
        <v>22</v>
      </c>
      <c r="B10" s="633" t="s">
        <v>23</v>
      </c>
      <c r="C10" s="633" t="s">
        <v>265</v>
      </c>
      <c r="D10" s="955">
        <v>62</v>
      </c>
      <c r="E10" s="1554">
        <v>53</v>
      </c>
      <c r="F10" s="1642">
        <v>40</v>
      </c>
    </row>
    <row r="11" spans="1:8" s="636" customFormat="1" x14ac:dyDescent="0.25">
      <c r="A11" s="632" t="s">
        <v>24</v>
      </c>
      <c r="B11" s="633" t="s">
        <v>25</v>
      </c>
      <c r="C11" s="633" t="s">
        <v>267</v>
      </c>
      <c r="D11" s="955">
        <v>534</v>
      </c>
      <c r="E11" s="1554">
        <v>499</v>
      </c>
      <c r="F11" s="1642">
        <v>437</v>
      </c>
    </row>
    <row r="12" spans="1:8" s="636" customFormat="1" x14ac:dyDescent="0.25">
      <c r="A12" s="632" t="s">
        <v>26</v>
      </c>
      <c r="B12" s="633" t="s">
        <v>686</v>
      </c>
      <c r="C12" s="633" t="s">
        <v>265</v>
      </c>
      <c r="D12" s="955">
        <v>621</v>
      </c>
      <c r="E12" s="1554">
        <v>516</v>
      </c>
      <c r="F12" s="1642">
        <v>461</v>
      </c>
    </row>
    <row r="13" spans="1:8" s="636" customFormat="1" x14ac:dyDescent="0.25">
      <c r="A13" s="632" t="s">
        <v>27</v>
      </c>
      <c r="B13" s="633" t="s">
        <v>28</v>
      </c>
      <c r="C13" s="633" t="s">
        <v>265</v>
      </c>
      <c r="D13" s="955">
        <v>1</v>
      </c>
      <c r="E13" s="1554">
        <v>1</v>
      </c>
      <c r="F13" s="1642">
        <v>1</v>
      </c>
    </row>
    <row r="14" spans="1:8" s="636" customFormat="1" x14ac:dyDescent="0.25">
      <c r="A14" s="632" t="s">
        <v>29</v>
      </c>
      <c r="B14" s="633" t="s">
        <v>924</v>
      </c>
      <c r="C14" s="633" t="s">
        <v>265</v>
      </c>
      <c r="D14" s="955">
        <v>227</v>
      </c>
      <c r="E14" s="1554">
        <v>239</v>
      </c>
      <c r="F14" s="1642">
        <v>242</v>
      </c>
    </row>
    <row r="15" spans="1:8" s="636" customFormat="1" x14ac:dyDescent="0.25">
      <c r="A15" s="632" t="s">
        <v>30</v>
      </c>
      <c r="B15" s="633" t="s">
        <v>31</v>
      </c>
      <c r="C15" s="633" t="s">
        <v>268</v>
      </c>
      <c r="D15" s="955">
        <v>11</v>
      </c>
      <c r="E15" s="1554">
        <v>10</v>
      </c>
      <c r="F15" s="1642">
        <v>6</v>
      </c>
    </row>
    <row r="16" spans="1:8" s="636" customFormat="1" x14ac:dyDescent="0.25">
      <c r="A16" s="632" t="s">
        <v>32</v>
      </c>
      <c r="B16" s="633" t="s">
        <v>33</v>
      </c>
      <c r="C16" s="633" t="s">
        <v>265</v>
      </c>
      <c r="D16" s="955">
        <v>94</v>
      </c>
      <c r="E16" s="1554">
        <v>84</v>
      </c>
      <c r="F16" s="1642">
        <v>88</v>
      </c>
    </row>
    <row r="17" spans="1:6" s="636" customFormat="1" x14ac:dyDescent="0.25">
      <c r="A17" s="632" t="s">
        <v>36</v>
      </c>
      <c r="B17" s="633" t="s">
        <v>37</v>
      </c>
      <c r="C17" s="633" t="s">
        <v>264</v>
      </c>
      <c r="D17" s="955">
        <v>68</v>
      </c>
      <c r="E17" s="1554">
        <v>49</v>
      </c>
      <c r="F17" s="1642">
        <v>45</v>
      </c>
    </row>
    <row r="18" spans="1:6" s="636" customFormat="1" x14ac:dyDescent="0.25">
      <c r="A18" s="632" t="s">
        <v>38</v>
      </c>
      <c r="B18" s="633" t="s">
        <v>39</v>
      </c>
      <c r="C18" s="633" t="s">
        <v>268</v>
      </c>
      <c r="D18" s="955">
        <v>16</v>
      </c>
      <c r="E18" s="1554">
        <v>4</v>
      </c>
      <c r="F18" s="1642">
        <v>0</v>
      </c>
    </row>
    <row r="19" spans="1:6" s="636" customFormat="1" x14ac:dyDescent="0.25">
      <c r="A19" s="632" t="s">
        <v>40</v>
      </c>
      <c r="B19" s="633" t="s">
        <v>41</v>
      </c>
      <c r="C19" s="633" t="s">
        <v>266</v>
      </c>
      <c r="D19" s="955">
        <v>34</v>
      </c>
      <c r="E19" s="1554">
        <v>30</v>
      </c>
      <c r="F19" s="1642">
        <v>27</v>
      </c>
    </row>
    <row r="20" spans="1:6" s="636" customFormat="1" x14ac:dyDescent="0.25">
      <c r="A20" s="632" t="s">
        <v>42</v>
      </c>
      <c r="B20" s="633" t="s">
        <v>43</v>
      </c>
      <c r="C20" s="633" t="s">
        <v>265</v>
      </c>
      <c r="D20" s="955">
        <v>248</v>
      </c>
      <c r="E20" s="1554">
        <v>299</v>
      </c>
      <c r="F20" s="1642">
        <v>253</v>
      </c>
    </row>
    <row r="21" spans="1:6" s="636" customFormat="1" x14ac:dyDescent="0.25">
      <c r="A21" s="632" t="s">
        <v>44</v>
      </c>
      <c r="B21" s="633" t="s">
        <v>45</v>
      </c>
      <c r="C21" s="633" t="s">
        <v>266</v>
      </c>
      <c r="D21" s="955">
        <v>158</v>
      </c>
      <c r="E21" s="1554">
        <v>161</v>
      </c>
      <c r="F21" s="1642">
        <v>209</v>
      </c>
    </row>
    <row r="22" spans="1:6" s="636" customFormat="1" x14ac:dyDescent="0.25">
      <c r="A22" s="632" t="s">
        <v>46</v>
      </c>
      <c r="B22" s="633" t="s">
        <v>47</v>
      </c>
      <c r="C22" s="633" t="s">
        <v>268</v>
      </c>
      <c r="D22" s="955">
        <v>173</v>
      </c>
      <c r="E22" s="1554">
        <v>211</v>
      </c>
      <c r="F22" s="1642">
        <v>192</v>
      </c>
    </row>
    <row r="23" spans="1:6" s="636" customFormat="1" x14ac:dyDescent="0.25">
      <c r="A23" s="632" t="s">
        <v>48</v>
      </c>
      <c r="B23" s="633" t="s">
        <v>269</v>
      </c>
      <c r="C23" s="633" t="s">
        <v>266</v>
      </c>
      <c r="D23" s="955">
        <v>38</v>
      </c>
      <c r="E23" s="1554">
        <v>46</v>
      </c>
      <c r="F23" s="1642">
        <v>61</v>
      </c>
    </row>
    <row r="24" spans="1:6" s="636" customFormat="1" x14ac:dyDescent="0.25">
      <c r="A24" s="632" t="s">
        <v>50</v>
      </c>
      <c r="B24" s="633" t="s">
        <v>51</v>
      </c>
      <c r="C24" s="633" t="s">
        <v>265</v>
      </c>
      <c r="D24" s="955">
        <v>29</v>
      </c>
      <c r="E24" s="1554">
        <v>15</v>
      </c>
      <c r="F24" s="1642">
        <v>12</v>
      </c>
    </row>
    <row r="25" spans="1:6" s="636" customFormat="1" x14ac:dyDescent="0.25">
      <c r="A25" s="632" t="s">
        <v>56</v>
      </c>
      <c r="B25" s="633" t="s">
        <v>295</v>
      </c>
      <c r="C25" s="633" t="s">
        <v>266</v>
      </c>
      <c r="D25" s="955">
        <v>1038</v>
      </c>
      <c r="E25" s="1554">
        <v>986</v>
      </c>
      <c r="F25" s="1642">
        <v>1003</v>
      </c>
    </row>
    <row r="26" spans="1:6" s="636" customFormat="1" x14ac:dyDescent="0.25">
      <c r="A26" s="632" t="s">
        <v>58</v>
      </c>
      <c r="B26" s="633" t="s">
        <v>59</v>
      </c>
      <c r="C26" s="633" t="s">
        <v>267</v>
      </c>
      <c r="D26" s="955">
        <v>37</v>
      </c>
      <c r="E26" s="1554">
        <v>55</v>
      </c>
      <c r="F26" s="1642">
        <v>42</v>
      </c>
    </row>
    <row r="27" spans="1:6" s="636" customFormat="1" x14ac:dyDescent="0.25">
      <c r="A27" s="632" t="s">
        <v>60</v>
      </c>
      <c r="B27" s="633" t="s">
        <v>61</v>
      </c>
      <c r="C27" s="633" t="s">
        <v>265</v>
      </c>
      <c r="D27" s="955">
        <v>19</v>
      </c>
      <c r="E27" s="1554">
        <v>33</v>
      </c>
      <c r="F27" s="1642">
        <v>39</v>
      </c>
    </row>
    <row r="28" spans="1:6" s="636" customFormat="1" x14ac:dyDescent="0.25">
      <c r="A28" s="632" t="s">
        <v>62</v>
      </c>
      <c r="B28" s="633" t="s">
        <v>63</v>
      </c>
      <c r="C28" s="633" t="s">
        <v>267</v>
      </c>
      <c r="D28" s="955">
        <v>474</v>
      </c>
      <c r="E28" s="1554">
        <v>483</v>
      </c>
      <c r="F28" s="1642">
        <v>464</v>
      </c>
    </row>
    <row r="29" spans="1:6" s="636" customFormat="1" x14ac:dyDescent="0.25">
      <c r="A29" s="632" t="s">
        <v>64</v>
      </c>
      <c r="B29" s="633" t="s">
        <v>65</v>
      </c>
      <c r="C29" s="633" t="s">
        <v>266</v>
      </c>
      <c r="D29" s="955">
        <v>35</v>
      </c>
      <c r="E29" s="1554">
        <v>52</v>
      </c>
      <c r="F29" s="1642">
        <v>51</v>
      </c>
    </row>
    <row r="30" spans="1:6" s="636" customFormat="1" x14ac:dyDescent="0.25">
      <c r="A30" s="632" t="s">
        <v>68</v>
      </c>
      <c r="B30" s="633" t="s">
        <v>69</v>
      </c>
      <c r="C30" s="633" t="s">
        <v>268</v>
      </c>
      <c r="D30" s="955">
        <v>25</v>
      </c>
      <c r="E30" s="1554">
        <v>23</v>
      </c>
      <c r="F30" s="1642">
        <v>27</v>
      </c>
    </row>
    <row r="31" spans="1:6" s="636" customFormat="1" x14ac:dyDescent="0.25">
      <c r="A31" s="632" t="s">
        <v>70</v>
      </c>
      <c r="B31" s="633" t="s">
        <v>71</v>
      </c>
      <c r="C31" s="633" t="s">
        <v>264</v>
      </c>
      <c r="D31" s="955">
        <v>128</v>
      </c>
      <c r="E31" s="1554">
        <v>129</v>
      </c>
      <c r="F31" s="1642">
        <v>90</v>
      </c>
    </row>
    <row r="32" spans="1:6" s="636" customFormat="1" x14ac:dyDescent="0.25">
      <c r="A32" s="632" t="s">
        <v>72</v>
      </c>
      <c r="B32" s="633" t="s">
        <v>73</v>
      </c>
      <c r="C32" s="633" t="s">
        <v>266</v>
      </c>
      <c r="D32" s="955">
        <v>172</v>
      </c>
      <c r="E32" s="1554">
        <v>151</v>
      </c>
      <c r="F32" s="1642">
        <v>129</v>
      </c>
    </row>
    <row r="33" spans="1:6" s="636" customFormat="1" x14ac:dyDescent="0.25">
      <c r="A33" s="632" t="s">
        <v>74</v>
      </c>
      <c r="B33" s="633" t="s">
        <v>296</v>
      </c>
      <c r="C33" s="633" t="s">
        <v>267</v>
      </c>
      <c r="D33" s="955">
        <v>4374</v>
      </c>
      <c r="E33" s="1554">
        <v>4823</v>
      </c>
      <c r="F33" s="1642">
        <v>4129</v>
      </c>
    </row>
    <row r="34" spans="1:6" s="636" customFormat="1" x14ac:dyDescent="0.25">
      <c r="A34" s="632" t="s">
        <v>76</v>
      </c>
      <c r="B34" s="633" t="s">
        <v>77</v>
      </c>
      <c r="C34" s="633" t="s">
        <v>267</v>
      </c>
      <c r="D34" s="955">
        <v>261</v>
      </c>
      <c r="E34" s="1554">
        <v>228</v>
      </c>
      <c r="F34" s="1642">
        <v>213</v>
      </c>
    </row>
    <row r="35" spans="1:6" s="636" customFormat="1" x14ac:dyDescent="0.25">
      <c r="A35" s="632" t="s">
        <v>78</v>
      </c>
      <c r="B35" s="633" t="s">
        <v>79</v>
      </c>
      <c r="C35" s="633" t="s">
        <v>268</v>
      </c>
      <c r="D35" s="955">
        <v>30</v>
      </c>
      <c r="E35" s="1554">
        <v>21</v>
      </c>
      <c r="F35" s="1642">
        <v>20</v>
      </c>
    </row>
    <row r="36" spans="1:6" s="636" customFormat="1" x14ac:dyDescent="0.25">
      <c r="A36" s="632" t="s">
        <v>80</v>
      </c>
      <c r="B36" s="633" t="s">
        <v>81</v>
      </c>
      <c r="C36" s="633" t="s">
        <v>266</v>
      </c>
      <c r="D36" s="955">
        <v>79</v>
      </c>
      <c r="E36" s="1554">
        <v>70</v>
      </c>
      <c r="F36" s="1642">
        <v>63</v>
      </c>
    </row>
    <row r="37" spans="1:6" s="636" customFormat="1" x14ac:dyDescent="0.25">
      <c r="A37" s="632" t="s">
        <v>84</v>
      </c>
      <c r="B37" s="633" t="s">
        <v>85</v>
      </c>
      <c r="C37" s="633" t="s">
        <v>265</v>
      </c>
      <c r="D37" s="955">
        <v>248</v>
      </c>
      <c r="E37" s="1554">
        <v>293</v>
      </c>
      <c r="F37" s="1642">
        <v>247</v>
      </c>
    </row>
    <row r="38" spans="1:6" s="636" customFormat="1" x14ac:dyDescent="0.25">
      <c r="A38" s="632" t="s">
        <v>86</v>
      </c>
      <c r="B38" s="633" t="s">
        <v>87</v>
      </c>
      <c r="C38" s="633" t="s">
        <v>267</v>
      </c>
      <c r="D38" s="955">
        <v>243</v>
      </c>
      <c r="E38" s="1554">
        <v>227</v>
      </c>
      <c r="F38" s="1642">
        <v>224</v>
      </c>
    </row>
    <row r="39" spans="1:6" s="636" customFormat="1" x14ac:dyDescent="0.25">
      <c r="A39" s="632" t="s">
        <v>92</v>
      </c>
      <c r="B39" s="633" t="s">
        <v>93</v>
      </c>
      <c r="C39" s="633" t="s">
        <v>268</v>
      </c>
      <c r="D39" s="955">
        <v>70</v>
      </c>
      <c r="E39" s="1554">
        <v>66</v>
      </c>
      <c r="F39" s="1642">
        <v>47</v>
      </c>
    </row>
    <row r="40" spans="1:6" s="636" customFormat="1" x14ac:dyDescent="0.25">
      <c r="A40" s="632" t="s">
        <v>94</v>
      </c>
      <c r="B40" s="633" t="s">
        <v>95</v>
      </c>
      <c r="C40" s="633" t="s">
        <v>264</v>
      </c>
      <c r="D40" s="955">
        <v>166</v>
      </c>
      <c r="E40" s="1554">
        <v>154</v>
      </c>
      <c r="F40" s="1642">
        <v>141</v>
      </c>
    </row>
    <row r="41" spans="1:6" s="636" customFormat="1" x14ac:dyDescent="0.25">
      <c r="A41" s="632" t="s">
        <v>96</v>
      </c>
      <c r="B41" s="633" t="s">
        <v>97</v>
      </c>
      <c r="C41" s="633" t="s">
        <v>266</v>
      </c>
      <c r="D41" s="955">
        <v>72</v>
      </c>
      <c r="E41" s="1554">
        <v>70</v>
      </c>
      <c r="F41" s="1642">
        <v>65</v>
      </c>
    </row>
    <row r="42" spans="1:6" s="636" customFormat="1" x14ac:dyDescent="0.25">
      <c r="A42" s="632" t="s">
        <v>98</v>
      </c>
      <c r="B42" s="633" t="s">
        <v>99</v>
      </c>
      <c r="C42" s="633" t="s">
        <v>268</v>
      </c>
      <c r="D42" s="955">
        <v>28</v>
      </c>
      <c r="E42" s="1554">
        <v>25</v>
      </c>
      <c r="F42" s="1642">
        <v>26</v>
      </c>
    </row>
    <row r="43" spans="1:6" s="636" customFormat="1" x14ac:dyDescent="0.25">
      <c r="A43" s="632" t="s">
        <v>100</v>
      </c>
      <c r="B43" s="633" t="s">
        <v>101</v>
      </c>
      <c r="C43" s="633" t="s">
        <v>267</v>
      </c>
      <c r="D43" s="955">
        <v>40</v>
      </c>
      <c r="E43" s="1554">
        <v>42</v>
      </c>
      <c r="F43" s="1642">
        <v>41</v>
      </c>
    </row>
    <row r="44" spans="1:6" s="636" customFormat="1" x14ac:dyDescent="0.25">
      <c r="A44" s="632" t="s">
        <v>102</v>
      </c>
      <c r="B44" s="633" t="s">
        <v>282</v>
      </c>
      <c r="C44" s="633" t="s">
        <v>264</v>
      </c>
      <c r="D44" s="955">
        <v>179</v>
      </c>
      <c r="E44" s="1554">
        <v>173</v>
      </c>
      <c r="F44" s="1642">
        <v>140</v>
      </c>
    </row>
    <row r="45" spans="1:6" s="636" customFormat="1" x14ac:dyDescent="0.25">
      <c r="A45" s="632" t="s">
        <v>104</v>
      </c>
      <c r="B45" s="633" t="s">
        <v>105</v>
      </c>
      <c r="C45" s="633" t="s">
        <v>265</v>
      </c>
      <c r="D45" s="955">
        <v>71</v>
      </c>
      <c r="E45" s="1554">
        <v>72</v>
      </c>
      <c r="F45" s="1642">
        <v>79</v>
      </c>
    </row>
    <row r="46" spans="1:6" s="636" customFormat="1" x14ac:dyDescent="0.25">
      <c r="A46" s="632" t="s">
        <v>108</v>
      </c>
      <c r="B46" s="633" t="s">
        <v>109</v>
      </c>
      <c r="C46" s="633" t="s">
        <v>266</v>
      </c>
      <c r="D46" s="955">
        <v>250</v>
      </c>
      <c r="E46" s="1554">
        <v>273</v>
      </c>
      <c r="F46" s="1642">
        <v>234</v>
      </c>
    </row>
    <row r="47" spans="1:6" s="636" customFormat="1" x14ac:dyDescent="0.25">
      <c r="A47" s="632" t="s">
        <v>110</v>
      </c>
      <c r="B47" s="633" t="s">
        <v>111</v>
      </c>
      <c r="C47" s="633" t="s">
        <v>266</v>
      </c>
      <c r="D47" s="955">
        <v>1999</v>
      </c>
      <c r="E47" s="1554">
        <v>1921</v>
      </c>
      <c r="F47" s="1642">
        <v>1928</v>
      </c>
    </row>
    <row r="48" spans="1:6" s="636" customFormat="1" x14ac:dyDescent="0.25">
      <c r="A48" s="632" t="s">
        <v>112</v>
      </c>
      <c r="B48" s="633" t="s">
        <v>300</v>
      </c>
      <c r="C48" s="633" t="s">
        <v>265</v>
      </c>
      <c r="D48" s="955">
        <v>514</v>
      </c>
      <c r="E48" s="1554">
        <v>510</v>
      </c>
      <c r="F48" s="1642">
        <v>390</v>
      </c>
    </row>
    <row r="49" spans="1:6" s="636" customFormat="1" x14ac:dyDescent="0.25">
      <c r="A49" s="632" t="s">
        <v>114</v>
      </c>
      <c r="B49" s="633" t="s">
        <v>115</v>
      </c>
      <c r="C49" s="633" t="s">
        <v>265</v>
      </c>
      <c r="D49" s="955">
        <v>0</v>
      </c>
      <c r="E49" s="1554">
        <v>0</v>
      </c>
      <c r="F49" s="1642">
        <v>0</v>
      </c>
    </row>
    <row r="50" spans="1:6" s="636" customFormat="1" x14ac:dyDescent="0.25">
      <c r="A50" s="632" t="s">
        <v>118</v>
      </c>
      <c r="B50" s="633" t="s">
        <v>270</v>
      </c>
      <c r="C50" s="633" t="s">
        <v>264</v>
      </c>
      <c r="D50" s="955">
        <v>88</v>
      </c>
      <c r="E50" s="1554">
        <v>74</v>
      </c>
      <c r="F50" s="1642">
        <v>57</v>
      </c>
    </row>
    <row r="51" spans="1:6" s="636" customFormat="1" x14ac:dyDescent="0.25">
      <c r="A51" s="632" t="s">
        <v>120</v>
      </c>
      <c r="B51" s="633" t="s">
        <v>121</v>
      </c>
      <c r="C51" s="633" t="s">
        <v>264</v>
      </c>
      <c r="D51" s="955">
        <v>320</v>
      </c>
      <c r="E51" s="1554">
        <v>304</v>
      </c>
      <c r="F51" s="1642">
        <v>245</v>
      </c>
    </row>
    <row r="52" spans="1:6" s="636" customFormat="1" x14ac:dyDescent="0.25">
      <c r="A52" s="632" t="s">
        <v>122</v>
      </c>
      <c r="B52" s="633" t="s">
        <v>287</v>
      </c>
      <c r="C52" s="633" t="s">
        <v>266</v>
      </c>
      <c r="D52" s="955">
        <v>29</v>
      </c>
      <c r="E52" s="1554">
        <v>46</v>
      </c>
      <c r="F52" s="1642">
        <v>140</v>
      </c>
    </row>
    <row r="53" spans="1:6" s="636" customFormat="1" x14ac:dyDescent="0.25">
      <c r="A53" s="632" t="s">
        <v>124</v>
      </c>
      <c r="B53" s="633" t="s">
        <v>125</v>
      </c>
      <c r="C53" s="633" t="s">
        <v>267</v>
      </c>
      <c r="D53" s="955">
        <v>160</v>
      </c>
      <c r="E53" s="1554">
        <v>156</v>
      </c>
      <c r="F53" s="1642">
        <v>94</v>
      </c>
    </row>
    <row r="54" spans="1:6" s="636" customFormat="1" x14ac:dyDescent="0.25">
      <c r="A54" s="632" t="s">
        <v>126</v>
      </c>
      <c r="B54" s="633" t="s">
        <v>127</v>
      </c>
      <c r="C54" s="633" t="s">
        <v>266</v>
      </c>
      <c r="D54" s="955">
        <v>117</v>
      </c>
      <c r="E54" s="1554">
        <v>110</v>
      </c>
      <c r="F54" s="1642">
        <v>25</v>
      </c>
    </row>
    <row r="55" spans="1:6" s="636" customFormat="1" x14ac:dyDescent="0.25">
      <c r="A55" s="632" t="s">
        <v>128</v>
      </c>
      <c r="B55" s="633" t="s">
        <v>129</v>
      </c>
      <c r="C55" s="633" t="s">
        <v>266</v>
      </c>
      <c r="D55" s="955">
        <v>33</v>
      </c>
      <c r="E55" s="1554">
        <v>36</v>
      </c>
      <c r="F55" s="1642">
        <v>39</v>
      </c>
    </row>
    <row r="56" spans="1:6" s="636" customFormat="1" x14ac:dyDescent="0.25">
      <c r="A56" s="632" t="s">
        <v>130</v>
      </c>
      <c r="B56" s="633" t="s">
        <v>131</v>
      </c>
      <c r="C56" s="633" t="s">
        <v>268</v>
      </c>
      <c r="D56" s="955">
        <v>46</v>
      </c>
      <c r="E56" s="1554">
        <v>47</v>
      </c>
      <c r="F56" s="1642">
        <v>24</v>
      </c>
    </row>
    <row r="57" spans="1:6" s="636" customFormat="1" x14ac:dyDescent="0.25">
      <c r="A57" s="632" t="s">
        <v>132</v>
      </c>
      <c r="B57" s="633" t="s">
        <v>133</v>
      </c>
      <c r="C57" s="633" t="s">
        <v>267</v>
      </c>
      <c r="D57" s="955">
        <v>709</v>
      </c>
      <c r="E57" s="1554">
        <v>653</v>
      </c>
      <c r="F57" s="1642">
        <v>648</v>
      </c>
    </row>
    <row r="58" spans="1:6" s="636" customFormat="1" x14ac:dyDescent="0.25">
      <c r="A58" s="632" t="s">
        <v>134</v>
      </c>
      <c r="B58" s="633" t="s">
        <v>135</v>
      </c>
      <c r="C58" s="633" t="s">
        <v>267</v>
      </c>
      <c r="D58" s="955">
        <v>86</v>
      </c>
      <c r="E58" s="1554">
        <v>86</v>
      </c>
      <c r="F58" s="1642">
        <v>78</v>
      </c>
    </row>
    <row r="59" spans="1:6" s="636" customFormat="1" x14ac:dyDescent="0.25">
      <c r="A59" s="632" t="s">
        <v>136</v>
      </c>
      <c r="B59" s="633" t="s">
        <v>137</v>
      </c>
      <c r="C59" s="633" t="s">
        <v>266</v>
      </c>
      <c r="D59" s="955">
        <v>15</v>
      </c>
      <c r="E59" s="1554">
        <v>26</v>
      </c>
      <c r="F59" s="1642">
        <v>19</v>
      </c>
    </row>
    <row r="60" spans="1:6" s="636" customFormat="1" x14ac:dyDescent="0.25">
      <c r="A60" s="632" t="s">
        <v>140</v>
      </c>
      <c r="B60" s="633" t="s">
        <v>141</v>
      </c>
      <c r="C60" s="633" t="s">
        <v>267</v>
      </c>
      <c r="D60" s="955">
        <v>6</v>
      </c>
      <c r="E60" s="1554">
        <v>25</v>
      </c>
      <c r="F60" s="1642">
        <v>35</v>
      </c>
    </row>
    <row r="61" spans="1:6" s="636" customFormat="1" x14ac:dyDescent="0.25">
      <c r="A61" s="632" t="s">
        <v>146</v>
      </c>
      <c r="B61" s="633" t="s">
        <v>147</v>
      </c>
      <c r="C61" s="633" t="s">
        <v>264</v>
      </c>
      <c r="D61" s="955">
        <v>32</v>
      </c>
      <c r="E61" s="1554">
        <v>32</v>
      </c>
      <c r="F61" s="1642">
        <v>27</v>
      </c>
    </row>
    <row r="62" spans="1:6" s="636" customFormat="1" x14ac:dyDescent="0.25">
      <c r="A62" s="632" t="s">
        <v>148</v>
      </c>
      <c r="B62" s="633" t="s">
        <v>149</v>
      </c>
      <c r="C62" s="633" t="s">
        <v>265</v>
      </c>
      <c r="D62" s="955">
        <v>98</v>
      </c>
      <c r="E62" s="1554">
        <v>107</v>
      </c>
      <c r="F62" s="1642">
        <v>88</v>
      </c>
    </row>
    <row r="63" spans="1:6" s="636" customFormat="1" x14ac:dyDescent="0.25">
      <c r="A63" s="632" t="s">
        <v>150</v>
      </c>
      <c r="B63" s="633" t="s">
        <v>151</v>
      </c>
      <c r="C63" s="633" t="s">
        <v>266</v>
      </c>
      <c r="D63" s="955">
        <v>72</v>
      </c>
      <c r="E63" s="1554">
        <v>85</v>
      </c>
      <c r="F63" s="1642">
        <v>86</v>
      </c>
    </row>
    <row r="64" spans="1:6" s="636" customFormat="1" x14ac:dyDescent="0.25">
      <c r="A64" s="632" t="s">
        <v>152</v>
      </c>
      <c r="B64" s="633" t="s">
        <v>153</v>
      </c>
      <c r="C64" s="633" t="s">
        <v>268</v>
      </c>
      <c r="D64" s="955">
        <v>403</v>
      </c>
      <c r="E64" s="1554">
        <v>353</v>
      </c>
      <c r="F64" s="1642">
        <v>333</v>
      </c>
    </row>
    <row r="65" spans="1:6" s="636" customFormat="1" x14ac:dyDescent="0.25">
      <c r="A65" s="632" t="s">
        <v>154</v>
      </c>
      <c r="B65" s="633" t="s">
        <v>155</v>
      </c>
      <c r="C65" s="633" t="s">
        <v>265</v>
      </c>
      <c r="D65" s="955">
        <v>35</v>
      </c>
      <c r="E65" s="1554">
        <v>32</v>
      </c>
      <c r="F65" s="1642">
        <v>27</v>
      </c>
    </row>
    <row r="66" spans="1:6" s="636" customFormat="1" x14ac:dyDescent="0.25">
      <c r="A66" s="632" t="s">
        <v>156</v>
      </c>
      <c r="B66" s="633" t="s">
        <v>157</v>
      </c>
      <c r="C66" s="633" t="s">
        <v>266</v>
      </c>
      <c r="D66" s="955">
        <v>57</v>
      </c>
      <c r="E66" s="1554">
        <v>66</v>
      </c>
      <c r="F66" s="1642">
        <v>82</v>
      </c>
    </row>
    <row r="67" spans="1:6" s="636" customFormat="1" x14ac:dyDescent="0.25">
      <c r="A67" s="632" t="s">
        <v>162</v>
      </c>
      <c r="B67" s="633" t="s">
        <v>163</v>
      </c>
      <c r="C67" s="633" t="s">
        <v>264</v>
      </c>
      <c r="D67" s="955">
        <v>131</v>
      </c>
      <c r="E67" s="1554">
        <v>138</v>
      </c>
      <c r="F67" s="1642">
        <v>146</v>
      </c>
    </row>
    <row r="68" spans="1:6" s="636" customFormat="1" x14ac:dyDescent="0.25">
      <c r="A68" s="632" t="s">
        <v>164</v>
      </c>
      <c r="B68" s="633" t="s">
        <v>165</v>
      </c>
      <c r="C68" s="633" t="s">
        <v>266</v>
      </c>
      <c r="D68" s="955">
        <v>44</v>
      </c>
      <c r="E68" s="1554">
        <v>27</v>
      </c>
      <c r="F68" s="1642">
        <v>22</v>
      </c>
    </row>
    <row r="69" spans="1:6" s="636" customFormat="1" x14ac:dyDescent="0.25">
      <c r="A69" s="632" t="s">
        <v>168</v>
      </c>
      <c r="B69" s="633" t="s">
        <v>169</v>
      </c>
      <c r="C69" s="633" t="s">
        <v>266</v>
      </c>
      <c r="D69" s="955">
        <v>73</v>
      </c>
      <c r="E69" s="1554">
        <v>70</v>
      </c>
      <c r="F69" s="1642">
        <v>60</v>
      </c>
    </row>
    <row r="70" spans="1:6" s="636" customFormat="1" x14ac:dyDescent="0.25">
      <c r="A70" s="632" t="s">
        <v>170</v>
      </c>
      <c r="B70" s="633" t="s">
        <v>171</v>
      </c>
      <c r="C70" s="633" t="s">
        <v>267</v>
      </c>
      <c r="D70" s="955">
        <v>162</v>
      </c>
      <c r="E70" s="1554">
        <v>150</v>
      </c>
      <c r="F70" s="1642">
        <v>151</v>
      </c>
    </row>
    <row r="71" spans="1:6" s="636" customFormat="1" x14ac:dyDescent="0.25">
      <c r="A71" s="632" t="s">
        <v>172</v>
      </c>
      <c r="B71" s="633" t="s">
        <v>173</v>
      </c>
      <c r="C71" s="633" t="s">
        <v>267</v>
      </c>
      <c r="D71" s="955">
        <v>64</v>
      </c>
      <c r="E71" s="1554">
        <v>57</v>
      </c>
      <c r="F71" s="1642">
        <v>34</v>
      </c>
    </row>
    <row r="72" spans="1:6" s="636" customFormat="1" x14ac:dyDescent="0.25">
      <c r="A72" s="632" t="s">
        <v>174</v>
      </c>
      <c r="B72" s="633" t="s">
        <v>175</v>
      </c>
      <c r="C72" s="633" t="s">
        <v>268</v>
      </c>
      <c r="D72" s="955">
        <v>68</v>
      </c>
      <c r="E72" s="1554">
        <v>65</v>
      </c>
      <c r="F72" s="1642">
        <v>54</v>
      </c>
    </row>
    <row r="73" spans="1:6" s="636" customFormat="1" x14ac:dyDescent="0.25">
      <c r="A73" s="632" t="s">
        <v>178</v>
      </c>
      <c r="B73" s="633" t="s">
        <v>179</v>
      </c>
      <c r="C73" s="633" t="s">
        <v>265</v>
      </c>
      <c r="D73" s="955">
        <v>222</v>
      </c>
      <c r="E73" s="1554">
        <v>177</v>
      </c>
      <c r="F73" s="1642">
        <v>157</v>
      </c>
    </row>
    <row r="74" spans="1:6" s="636" customFormat="1" x14ac:dyDescent="0.25">
      <c r="A74" s="632" t="s">
        <v>182</v>
      </c>
      <c r="B74" s="633" t="s">
        <v>183</v>
      </c>
      <c r="C74" s="633" t="s">
        <v>266</v>
      </c>
      <c r="D74" s="955">
        <v>69</v>
      </c>
      <c r="E74" s="1554">
        <v>65</v>
      </c>
      <c r="F74" s="1642">
        <v>62</v>
      </c>
    </row>
    <row r="75" spans="1:6" s="636" customFormat="1" x14ac:dyDescent="0.25">
      <c r="A75" s="632" t="s">
        <v>184</v>
      </c>
      <c r="B75" s="633" t="s">
        <v>185</v>
      </c>
      <c r="C75" s="633" t="s">
        <v>266</v>
      </c>
      <c r="D75" s="955">
        <v>105</v>
      </c>
      <c r="E75" s="1554">
        <v>108</v>
      </c>
      <c r="F75" s="1642">
        <v>87</v>
      </c>
    </row>
    <row r="76" spans="1:6" s="636" customFormat="1" x14ac:dyDescent="0.25">
      <c r="A76" s="632" t="s">
        <v>186</v>
      </c>
      <c r="B76" s="633" t="s">
        <v>187</v>
      </c>
      <c r="C76" s="633" t="s">
        <v>264</v>
      </c>
      <c r="D76" s="955">
        <v>53</v>
      </c>
      <c r="E76" s="1554">
        <v>62</v>
      </c>
      <c r="F76" s="1642">
        <v>68</v>
      </c>
    </row>
    <row r="77" spans="1:6" s="636" customFormat="1" x14ac:dyDescent="0.25">
      <c r="A77" s="632" t="s">
        <v>188</v>
      </c>
      <c r="B77" s="633" t="s">
        <v>189</v>
      </c>
      <c r="C77" s="633" t="s">
        <v>267</v>
      </c>
      <c r="D77" s="955">
        <v>1726</v>
      </c>
      <c r="E77" s="1554">
        <v>1571</v>
      </c>
      <c r="F77" s="1642">
        <v>1471</v>
      </c>
    </row>
    <row r="78" spans="1:6" s="636" customFormat="1" x14ac:dyDescent="0.25">
      <c r="A78" s="632" t="s">
        <v>190</v>
      </c>
      <c r="B78" s="633" t="s">
        <v>191</v>
      </c>
      <c r="C78" s="633" t="s">
        <v>268</v>
      </c>
      <c r="D78" s="955">
        <v>151</v>
      </c>
      <c r="E78" s="1554">
        <v>143</v>
      </c>
      <c r="F78" s="1642">
        <v>142</v>
      </c>
    </row>
    <row r="79" spans="1:6" s="636" customFormat="1" x14ac:dyDescent="0.25">
      <c r="A79" s="632" t="s">
        <v>194</v>
      </c>
      <c r="B79" s="633" t="s">
        <v>195</v>
      </c>
      <c r="C79" s="633" t="s">
        <v>267</v>
      </c>
      <c r="D79" s="955">
        <v>28</v>
      </c>
      <c r="E79" s="1554">
        <v>28</v>
      </c>
      <c r="F79" s="1642">
        <v>26</v>
      </c>
    </row>
    <row r="80" spans="1:6" s="636" customFormat="1" x14ac:dyDescent="0.25">
      <c r="A80" s="632" t="s">
        <v>198</v>
      </c>
      <c r="B80" s="633" t="s">
        <v>272</v>
      </c>
      <c r="C80" s="633" t="s">
        <v>266</v>
      </c>
      <c r="D80" s="955">
        <v>36</v>
      </c>
      <c r="E80" s="1554">
        <v>27</v>
      </c>
      <c r="F80" s="1642">
        <v>27</v>
      </c>
    </row>
    <row r="81" spans="1:6" s="636" customFormat="1" x14ac:dyDescent="0.25">
      <c r="A81" s="632" t="s">
        <v>202</v>
      </c>
      <c r="B81" s="633" t="s">
        <v>301</v>
      </c>
      <c r="C81" s="633" t="s">
        <v>265</v>
      </c>
      <c r="D81" s="955">
        <v>582</v>
      </c>
      <c r="E81" s="1554">
        <v>613</v>
      </c>
      <c r="F81" s="1642">
        <v>626</v>
      </c>
    </row>
    <row r="82" spans="1:6" s="636" customFormat="1" x14ac:dyDescent="0.25">
      <c r="A82" s="632" t="s">
        <v>204</v>
      </c>
      <c r="B82" s="633" t="s">
        <v>293</v>
      </c>
      <c r="C82" s="633" t="s">
        <v>265</v>
      </c>
      <c r="D82" s="955">
        <v>71</v>
      </c>
      <c r="E82" s="1554">
        <v>67</v>
      </c>
      <c r="F82" s="1642">
        <v>51</v>
      </c>
    </row>
    <row r="83" spans="1:6" s="636" customFormat="1" x14ac:dyDescent="0.25">
      <c r="A83" s="632" t="s">
        <v>206</v>
      </c>
      <c r="B83" s="633" t="s">
        <v>294</v>
      </c>
      <c r="C83" s="633" t="s">
        <v>267</v>
      </c>
      <c r="D83" s="955">
        <v>440</v>
      </c>
      <c r="E83" s="1554">
        <v>465</v>
      </c>
      <c r="F83" s="1642">
        <v>378</v>
      </c>
    </row>
    <row r="84" spans="1:6" s="636" customFormat="1" x14ac:dyDescent="0.25">
      <c r="A84" s="632" t="s">
        <v>208</v>
      </c>
      <c r="B84" s="633" t="s">
        <v>209</v>
      </c>
      <c r="C84" s="633" t="s">
        <v>268</v>
      </c>
      <c r="D84" s="955">
        <v>45</v>
      </c>
      <c r="E84" s="1554">
        <v>60</v>
      </c>
      <c r="F84" s="1642">
        <v>43</v>
      </c>
    </row>
    <row r="85" spans="1:6" s="636" customFormat="1" x14ac:dyDescent="0.25">
      <c r="A85" s="632" t="s">
        <v>210</v>
      </c>
      <c r="B85" s="633" t="s">
        <v>211</v>
      </c>
      <c r="C85" s="633" t="s">
        <v>268</v>
      </c>
      <c r="D85" s="955">
        <v>22</v>
      </c>
      <c r="E85" s="1554">
        <v>19</v>
      </c>
      <c r="F85" s="1642">
        <v>12</v>
      </c>
    </row>
    <row r="86" spans="1:6" s="636" customFormat="1" x14ac:dyDescent="0.25">
      <c r="A86" s="632" t="s">
        <v>212</v>
      </c>
      <c r="B86" s="633" t="s">
        <v>213</v>
      </c>
      <c r="C86" s="633" t="s">
        <v>267</v>
      </c>
      <c r="D86" s="955">
        <v>163</v>
      </c>
      <c r="E86" s="1554">
        <v>135</v>
      </c>
      <c r="F86" s="1642">
        <v>128</v>
      </c>
    </row>
    <row r="87" spans="1:6" s="636" customFormat="1" x14ac:dyDescent="0.25">
      <c r="A87" s="632" t="s">
        <v>214</v>
      </c>
      <c r="B87" s="633" t="s">
        <v>215</v>
      </c>
      <c r="C87" s="633" t="s">
        <v>268</v>
      </c>
      <c r="D87" s="955">
        <v>126</v>
      </c>
      <c r="E87" s="1554">
        <v>128</v>
      </c>
      <c r="F87" s="1642">
        <v>97</v>
      </c>
    </row>
    <row r="88" spans="1:6" s="636" customFormat="1" x14ac:dyDescent="0.25">
      <c r="A88" s="632" t="s">
        <v>216</v>
      </c>
      <c r="B88" s="633" t="s">
        <v>217</v>
      </c>
      <c r="C88" s="633" t="s">
        <v>264</v>
      </c>
      <c r="D88" s="955">
        <v>44</v>
      </c>
      <c r="E88" s="1554">
        <v>34</v>
      </c>
      <c r="F88" s="1642">
        <v>26</v>
      </c>
    </row>
    <row r="89" spans="1:6" s="636" customFormat="1" x14ac:dyDescent="0.25">
      <c r="A89" s="632" t="s">
        <v>218</v>
      </c>
      <c r="B89" s="633" t="s">
        <v>219</v>
      </c>
      <c r="C89" s="633" t="s">
        <v>267</v>
      </c>
      <c r="D89" s="955">
        <v>439</v>
      </c>
      <c r="E89" s="1554">
        <v>422</v>
      </c>
      <c r="F89" s="1642">
        <v>367</v>
      </c>
    </row>
    <row r="90" spans="1:6" s="636" customFormat="1" x14ac:dyDescent="0.25">
      <c r="A90" s="632" t="s">
        <v>220</v>
      </c>
      <c r="B90" s="633" t="s">
        <v>221</v>
      </c>
      <c r="C90" s="633" t="s">
        <v>267</v>
      </c>
      <c r="D90" s="955">
        <v>467</v>
      </c>
      <c r="E90" s="1554">
        <v>436</v>
      </c>
      <c r="F90" s="1642">
        <v>430</v>
      </c>
    </row>
    <row r="91" spans="1:6" s="636" customFormat="1" x14ac:dyDescent="0.25">
      <c r="A91" s="632" t="s">
        <v>224</v>
      </c>
      <c r="B91" s="633" t="s">
        <v>225</v>
      </c>
      <c r="C91" s="633" t="s">
        <v>264</v>
      </c>
      <c r="D91" s="955">
        <v>54</v>
      </c>
      <c r="E91" s="1554">
        <v>56</v>
      </c>
      <c r="F91" s="1642">
        <v>39</v>
      </c>
    </row>
    <row r="92" spans="1:6" s="636" customFormat="1" x14ac:dyDescent="0.25">
      <c r="A92" s="632" t="s">
        <v>226</v>
      </c>
      <c r="B92" s="633" t="s">
        <v>227</v>
      </c>
      <c r="C92" s="633" t="s">
        <v>264</v>
      </c>
      <c r="D92" s="955">
        <v>78</v>
      </c>
      <c r="E92" s="1554">
        <v>88</v>
      </c>
      <c r="F92" s="1642">
        <v>62</v>
      </c>
    </row>
    <row r="93" spans="1:6" s="636" customFormat="1" x14ac:dyDescent="0.25">
      <c r="A93" s="632" t="s">
        <v>228</v>
      </c>
      <c r="B93" s="633" t="s">
        <v>229</v>
      </c>
      <c r="C93" s="633" t="s">
        <v>268</v>
      </c>
      <c r="D93" s="955">
        <v>181</v>
      </c>
      <c r="E93" s="1554">
        <v>148</v>
      </c>
      <c r="F93" s="1642">
        <v>126</v>
      </c>
    </row>
    <row r="94" spans="1:6" s="636" customFormat="1" x14ac:dyDescent="0.25">
      <c r="A94" s="632" t="s">
        <v>232</v>
      </c>
      <c r="B94" s="633" t="s">
        <v>233</v>
      </c>
      <c r="C94" s="633" t="s">
        <v>267</v>
      </c>
      <c r="D94" s="955">
        <v>218</v>
      </c>
      <c r="E94" s="1554">
        <v>248</v>
      </c>
      <c r="F94" s="1642">
        <v>240</v>
      </c>
    </row>
    <row r="95" spans="1:6" s="636" customFormat="1" x14ac:dyDescent="0.25">
      <c r="A95" s="632" t="s">
        <v>234</v>
      </c>
      <c r="B95" s="633" t="s">
        <v>235</v>
      </c>
      <c r="C95" s="633" t="s">
        <v>268</v>
      </c>
      <c r="D95" s="955">
        <v>104</v>
      </c>
      <c r="E95" s="1554">
        <v>110</v>
      </c>
      <c r="F95" s="1642">
        <v>97</v>
      </c>
    </row>
    <row r="96" spans="1:6" s="636" customFormat="1" x14ac:dyDescent="0.25">
      <c r="A96" s="632" t="s">
        <v>236</v>
      </c>
      <c r="B96" s="633" t="s">
        <v>237</v>
      </c>
      <c r="C96" s="633" t="s">
        <v>266</v>
      </c>
      <c r="D96" s="955">
        <v>78</v>
      </c>
      <c r="E96" s="1554">
        <v>94</v>
      </c>
      <c r="F96" s="1642">
        <v>89</v>
      </c>
    </row>
    <row r="97" spans="1:6" s="636" customFormat="1" x14ac:dyDescent="0.25">
      <c r="A97" s="632" t="s">
        <v>242</v>
      </c>
      <c r="B97" s="633" t="s">
        <v>243</v>
      </c>
      <c r="C97" s="633" t="s">
        <v>268</v>
      </c>
      <c r="D97" s="955">
        <v>95</v>
      </c>
      <c r="E97" s="1554">
        <v>89</v>
      </c>
      <c r="F97" s="1642">
        <v>94</v>
      </c>
    </row>
    <row r="98" spans="1:6" s="636" customFormat="1" x14ac:dyDescent="0.25">
      <c r="A98" s="632" t="s">
        <v>244</v>
      </c>
      <c r="B98" s="633" t="s">
        <v>245</v>
      </c>
      <c r="C98" s="633" t="s">
        <v>268</v>
      </c>
      <c r="D98" s="955">
        <v>182</v>
      </c>
      <c r="E98" s="1554">
        <v>182</v>
      </c>
      <c r="F98" s="1642">
        <v>153</v>
      </c>
    </row>
    <row r="99" spans="1:6" s="636" customFormat="1" x14ac:dyDescent="0.25">
      <c r="A99" s="632" t="s">
        <v>246</v>
      </c>
      <c r="B99" s="633" t="s">
        <v>247</v>
      </c>
      <c r="C99" s="633" t="s">
        <v>264</v>
      </c>
      <c r="D99" s="955">
        <v>205</v>
      </c>
      <c r="E99" s="1554">
        <v>220</v>
      </c>
      <c r="F99" s="1642">
        <v>220</v>
      </c>
    </row>
    <row r="100" spans="1:6" s="636" customFormat="1" x14ac:dyDescent="0.25">
      <c r="A100" s="632" t="s">
        <v>14</v>
      </c>
      <c r="B100" s="633" t="s">
        <v>15</v>
      </c>
      <c r="C100" s="633" t="s">
        <v>267</v>
      </c>
      <c r="D100" s="955">
        <v>750</v>
      </c>
      <c r="E100" s="1554">
        <v>717</v>
      </c>
      <c r="F100" s="1642">
        <v>675</v>
      </c>
    </row>
    <row r="101" spans="1:6" s="636" customFormat="1" x14ac:dyDescent="0.25">
      <c r="A101" s="632" t="s">
        <v>34</v>
      </c>
      <c r="B101" s="633" t="s">
        <v>35</v>
      </c>
      <c r="C101" s="633" t="s">
        <v>268</v>
      </c>
      <c r="D101" s="955">
        <v>341</v>
      </c>
      <c r="E101" s="1554">
        <v>298</v>
      </c>
      <c r="F101" s="1642">
        <v>294</v>
      </c>
    </row>
    <row r="102" spans="1:6" s="636" customFormat="1" x14ac:dyDescent="0.25">
      <c r="A102" s="632" t="s">
        <v>52</v>
      </c>
      <c r="B102" s="633" t="s">
        <v>53</v>
      </c>
      <c r="C102" s="633" t="s">
        <v>265</v>
      </c>
      <c r="D102" s="955">
        <v>440</v>
      </c>
      <c r="E102" s="1554">
        <v>426</v>
      </c>
      <c r="F102" s="1642">
        <v>390</v>
      </c>
    </row>
    <row r="103" spans="1:6" s="636" customFormat="1" x14ac:dyDescent="0.25">
      <c r="A103" s="632" t="s">
        <v>54</v>
      </c>
      <c r="B103" s="633" t="s">
        <v>55</v>
      </c>
      <c r="C103" s="633" t="s">
        <v>264</v>
      </c>
      <c r="D103" s="955">
        <v>1452</v>
      </c>
      <c r="E103" s="1554">
        <v>1378</v>
      </c>
      <c r="F103" s="1642">
        <v>1287</v>
      </c>
    </row>
    <row r="104" spans="1:6" s="636" customFormat="1" x14ac:dyDescent="0.25">
      <c r="A104" s="632" t="s">
        <v>66</v>
      </c>
      <c r="B104" s="633" t="s">
        <v>67</v>
      </c>
      <c r="C104" s="633" t="s">
        <v>265</v>
      </c>
      <c r="D104" s="955">
        <v>569</v>
      </c>
      <c r="E104" s="1554">
        <v>621</v>
      </c>
      <c r="F104" s="1642">
        <v>526</v>
      </c>
    </row>
    <row r="105" spans="1:6" s="636" customFormat="1" x14ac:dyDescent="0.25">
      <c r="A105" s="632" t="s">
        <v>82</v>
      </c>
      <c r="B105" s="633" t="s">
        <v>83</v>
      </c>
      <c r="C105" s="633" t="s">
        <v>264</v>
      </c>
      <c r="D105" s="955">
        <v>84</v>
      </c>
      <c r="E105" s="1554">
        <v>65</v>
      </c>
      <c r="F105" s="1642">
        <v>55</v>
      </c>
    </row>
    <row r="106" spans="1:6" s="636" customFormat="1" x14ac:dyDescent="0.25">
      <c r="A106" s="632" t="s">
        <v>88</v>
      </c>
      <c r="B106" s="633" t="s">
        <v>89</v>
      </c>
      <c r="C106" s="633" t="s">
        <v>267</v>
      </c>
      <c r="D106" s="955">
        <v>327</v>
      </c>
      <c r="E106" s="1554">
        <v>367</v>
      </c>
      <c r="F106" s="1642">
        <v>332</v>
      </c>
    </row>
    <row r="107" spans="1:6" s="636" customFormat="1" x14ac:dyDescent="0.25">
      <c r="A107" s="632" t="s">
        <v>90</v>
      </c>
      <c r="B107" s="633" t="s">
        <v>91</v>
      </c>
      <c r="C107" s="633" t="s">
        <v>268</v>
      </c>
      <c r="D107" s="955">
        <v>65</v>
      </c>
      <c r="E107" s="1554">
        <v>58</v>
      </c>
      <c r="F107" s="1642">
        <v>53</v>
      </c>
    </row>
    <row r="108" spans="1:6" s="636" customFormat="1" x14ac:dyDescent="0.25">
      <c r="A108" s="632" t="s">
        <v>106</v>
      </c>
      <c r="B108" s="633" t="s">
        <v>107</v>
      </c>
      <c r="C108" s="633" t="s">
        <v>264</v>
      </c>
      <c r="D108" s="955">
        <v>1197</v>
      </c>
      <c r="E108" s="1554">
        <v>1058</v>
      </c>
      <c r="F108" s="1642">
        <v>1055</v>
      </c>
    </row>
    <row r="109" spans="1:6" s="636" customFormat="1" x14ac:dyDescent="0.25">
      <c r="A109" s="632" t="s">
        <v>116</v>
      </c>
      <c r="B109" s="633" t="s">
        <v>117</v>
      </c>
      <c r="C109" s="633" t="s">
        <v>266</v>
      </c>
      <c r="D109" s="955">
        <v>305</v>
      </c>
      <c r="E109" s="1554">
        <v>320</v>
      </c>
      <c r="F109" s="1642">
        <v>302</v>
      </c>
    </row>
    <row r="110" spans="1:6" s="636" customFormat="1" x14ac:dyDescent="0.25">
      <c r="A110" s="632" t="s">
        <v>138</v>
      </c>
      <c r="B110" s="633" t="s">
        <v>139</v>
      </c>
      <c r="C110" s="633" t="s">
        <v>265</v>
      </c>
      <c r="D110" s="955">
        <v>654</v>
      </c>
      <c r="E110" s="1554">
        <v>698</v>
      </c>
      <c r="F110" s="1642">
        <v>668</v>
      </c>
    </row>
    <row r="111" spans="1:6" s="636" customFormat="1" x14ac:dyDescent="0.25">
      <c r="A111" s="632" t="s">
        <v>142</v>
      </c>
      <c r="B111" s="633" t="s">
        <v>143</v>
      </c>
      <c r="C111" s="633" t="s">
        <v>267</v>
      </c>
      <c r="D111" s="955">
        <v>336</v>
      </c>
      <c r="E111" s="1554">
        <v>366</v>
      </c>
      <c r="F111" s="1642">
        <v>323</v>
      </c>
    </row>
    <row r="112" spans="1:6" s="636" customFormat="1" x14ac:dyDescent="0.25">
      <c r="A112" s="632" t="s">
        <v>144</v>
      </c>
      <c r="B112" s="633" t="s">
        <v>145</v>
      </c>
      <c r="C112" s="633" t="s">
        <v>267</v>
      </c>
      <c r="D112" s="955">
        <v>54</v>
      </c>
      <c r="E112" s="1554">
        <v>79</v>
      </c>
      <c r="F112" s="1642">
        <v>68</v>
      </c>
    </row>
    <row r="113" spans="1:7" s="636" customFormat="1" x14ac:dyDescent="0.25">
      <c r="A113" s="632" t="s">
        <v>158</v>
      </c>
      <c r="B113" s="633" t="s">
        <v>159</v>
      </c>
      <c r="C113" s="633" t="s">
        <v>264</v>
      </c>
      <c r="D113" s="955">
        <v>2361</v>
      </c>
      <c r="E113" s="1554">
        <v>2416</v>
      </c>
      <c r="F113" s="1642">
        <v>2276</v>
      </c>
    </row>
    <row r="114" spans="1:7" s="636" customFormat="1" x14ac:dyDescent="0.25">
      <c r="A114" s="632" t="s">
        <v>160</v>
      </c>
      <c r="B114" s="633" t="s">
        <v>161</v>
      </c>
      <c r="C114" s="633" t="s">
        <v>264</v>
      </c>
      <c r="D114" s="955">
        <v>2979</v>
      </c>
      <c r="E114" s="1554">
        <v>2887</v>
      </c>
      <c r="F114" s="1642">
        <v>2501</v>
      </c>
    </row>
    <row r="115" spans="1:7" s="636" customFormat="1" x14ac:dyDescent="0.25">
      <c r="A115" s="632" t="s">
        <v>166</v>
      </c>
      <c r="B115" s="633" t="s">
        <v>167</v>
      </c>
      <c r="C115" s="633" t="s">
        <v>268</v>
      </c>
      <c r="D115" s="955">
        <v>32</v>
      </c>
      <c r="E115" s="1554">
        <v>24</v>
      </c>
      <c r="F115" s="1642">
        <v>23</v>
      </c>
    </row>
    <row r="116" spans="1:7" s="636" customFormat="1" x14ac:dyDescent="0.25">
      <c r="A116" s="632" t="s">
        <v>176</v>
      </c>
      <c r="B116" s="633" t="s">
        <v>177</v>
      </c>
      <c r="C116" s="633" t="s">
        <v>266</v>
      </c>
      <c r="D116" s="955">
        <v>656</v>
      </c>
      <c r="E116" s="1554">
        <v>640</v>
      </c>
      <c r="F116" s="1642">
        <v>495</v>
      </c>
    </row>
    <row r="117" spans="1:7" s="636" customFormat="1" x14ac:dyDescent="0.25">
      <c r="A117" s="632" t="s">
        <v>180</v>
      </c>
      <c r="B117" s="633" t="s">
        <v>181</v>
      </c>
      <c r="C117" s="633" t="s">
        <v>264</v>
      </c>
      <c r="D117" s="955">
        <v>1017</v>
      </c>
      <c r="E117" s="1554">
        <v>1081</v>
      </c>
      <c r="F117" s="1642">
        <v>1157</v>
      </c>
    </row>
    <row r="118" spans="1:7" s="636" customFormat="1" x14ac:dyDescent="0.25">
      <c r="A118" s="632" t="s">
        <v>192</v>
      </c>
      <c r="B118" s="633" t="s">
        <v>193</v>
      </c>
      <c r="C118" s="633" t="s">
        <v>268</v>
      </c>
      <c r="D118" s="955">
        <v>80</v>
      </c>
      <c r="E118" s="1554">
        <v>64</v>
      </c>
      <c r="F118" s="1642">
        <v>76</v>
      </c>
    </row>
    <row r="119" spans="1:7" s="636" customFormat="1" x14ac:dyDescent="0.25">
      <c r="A119" s="632" t="s">
        <v>196</v>
      </c>
      <c r="B119" s="633" t="s">
        <v>197</v>
      </c>
      <c r="C119" s="633" t="s">
        <v>266</v>
      </c>
      <c r="D119" s="955">
        <v>3161</v>
      </c>
      <c r="E119" s="1554">
        <v>2598</v>
      </c>
      <c r="F119" s="1642">
        <v>2364</v>
      </c>
    </row>
    <row r="120" spans="1:7" s="636" customFormat="1" x14ac:dyDescent="0.25">
      <c r="A120" s="632" t="s">
        <v>200</v>
      </c>
      <c r="B120" s="633" t="s">
        <v>201</v>
      </c>
      <c r="C120" s="633" t="s">
        <v>265</v>
      </c>
      <c r="D120" s="955">
        <v>1363</v>
      </c>
      <c r="E120" s="1554">
        <v>1427</v>
      </c>
      <c r="F120" s="1642">
        <v>1461</v>
      </c>
    </row>
    <row r="121" spans="1:7" s="636" customFormat="1" x14ac:dyDescent="0.25">
      <c r="A121" s="632" t="s">
        <v>222</v>
      </c>
      <c r="B121" s="633" t="s">
        <v>223</v>
      </c>
      <c r="C121" s="633" t="s">
        <v>264</v>
      </c>
      <c r="D121" s="955">
        <v>415</v>
      </c>
      <c r="E121" s="1554">
        <v>432</v>
      </c>
      <c r="F121" s="1642">
        <v>396</v>
      </c>
    </row>
    <row r="122" spans="1:7" s="636" customFormat="1" x14ac:dyDescent="0.25">
      <c r="A122" s="632" t="s">
        <v>230</v>
      </c>
      <c r="B122" s="633" t="s">
        <v>231</v>
      </c>
      <c r="C122" s="633" t="s">
        <v>264</v>
      </c>
      <c r="D122" s="955">
        <v>2498</v>
      </c>
      <c r="E122" s="1554">
        <v>2568</v>
      </c>
      <c r="F122" s="1642">
        <v>2000</v>
      </c>
    </row>
    <row r="123" spans="1:7" s="636" customFormat="1" x14ac:dyDescent="0.25">
      <c r="A123" s="632" t="s">
        <v>238</v>
      </c>
      <c r="B123" s="633" t="s">
        <v>239</v>
      </c>
      <c r="C123" s="633" t="s">
        <v>264</v>
      </c>
      <c r="D123" s="955">
        <v>78</v>
      </c>
      <c r="E123" s="1554">
        <v>92</v>
      </c>
      <c r="F123" s="1642">
        <v>89</v>
      </c>
    </row>
    <row r="124" spans="1:7" s="636" customFormat="1" x14ac:dyDescent="0.25">
      <c r="A124" s="632" t="s">
        <v>240</v>
      </c>
      <c r="B124" s="633" t="s">
        <v>241</v>
      </c>
      <c r="C124" s="633" t="s">
        <v>267</v>
      </c>
      <c r="D124" s="955">
        <v>193</v>
      </c>
      <c r="E124" s="1554">
        <v>170</v>
      </c>
      <c r="F124" s="1642">
        <v>140</v>
      </c>
    </row>
    <row r="126" spans="1:7" ht="12.75" customHeight="1" x14ac:dyDescent="0.25">
      <c r="A126" s="2270" t="s">
        <v>1080</v>
      </c>
      <c r="B126" s="2271"/>
      <c r="C126" s="2271"/>
      <c r="D126" s="2271"/>
      <c r="E126" s="2271"/>
      <c r="F126" s="2271"/>
      <c r="G126" s="2271"/>
    </row>
    <row r="127" spans="1:7" x14ac:dyDescent="0.25">
      <c r="A127" s="2271"/>
      <c r="B127" s="2271"/>
      <c r="C127" s="2271"/>
      <c r="D127" s="2271"/>
      <c r="E127" s="2271"/>
      <c r="F127" s="2271"/>
      <c r="G127" s="2271"/>
    </row>
    <row r="128" spans="1:7" ht="18" customHeight="1" x14ac:dyDescent="0.25">
      <c r="A128" s="2271"/>
      <c r="B128" s="2271"/>
      <c r="C128" s="2271"/>
      <c r="D128" s="2271"/>
      <c r="E128" s="2271"/>
      <c r="F128" s="2271"/>
      <c r="G128" s="2271"/>
    </row>
    <row r="129" spans="1:7" x14ac:dyDescent="0.25">
      <c r="A129" s="1389"/>
      <c r="B129" s="1389"/>
      <c r="C129" s="1389"/>
      <c r="D129" s="1389"/>
      <c r="E129" s="1547"/>
      <c r="F129" s="1828"/>
      <c r="G129" s="1389"/>
    </row>
    <row r="130" spans="1:7" s="412" customFormat="1" x14ac:dyDescent="0.25">
      <c r="A130" s="412" t="s">
        <v>248</v>
      </c>
    </row>
    <row r="131" spans="1:7" s="412" customFormat="1" x14ac:dyDescent="0.25">
      <c r="A131" s="413" t="s">
        <v>249</v>
      </c>
      <c r="B131" s="414" t="s">
        <v>250</v>
      </c>
      <c r="C131" s="414"/>
    </row>
  </sheetData>
  <sortState ref="A5:H124">
    <sortCondition ref="A5:A124"/>
  </sortState>
  <mergeCells count="1">
    <mergeCell ref="A126:G128"/>
  </mergeCells>
  <hyperlinks>
    <hyperlink ref="B131"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29"/>
  <sheetViews>
    <sheetView workbookViewId="0">
      <selection activeCell="A5" sqref="A5:XFD124"/>
    </sheetView>
  </sheetViews>
  <sheetFormatPr defaultRowHeight="15.75" x14ac:dyDescent="0.25"/>
  <cols>
    <col min="1" max="1" width="5.875" style="529" customWidth="1"/>
    <col min="2" max="2" width="30.25" style="529" customWidth="1"/>
    <col min="3" max="3" width="12.375" style="529" customWidth="1"/>
    <col min="4" max="10" width="10.875" style="529" customWidth="1"/>
    <col min="11" max="11" width="2.5" style="529" customWidth="1"/>
    <col min="12" max="16384" width="9" style="529"/>
  </cols>
  <sheetData>
    <row r="1" spans="1:10" x14ac:dyDescent="0.25">
      <c r="A1" s="258" t="s">
        <v>1312</v>
      </c>
    </row>
    <row r="3" spans="1:10" x14ac:dyDescent="0.25">
      <c r="A3" s="637" t="s">
        <v>4</v>
      </c>
      <c r="B3" s="592" t="s">
        <v>5</v>
      </c>
      <c r="C3" s="592" t="s">
        <v>251</v>
      </c>
      <c r="D3" s="643">
        <v>2010</v>
      </c>
      <c r="E3" s="643">
        <v>2011</v>
      </c>
      <c r="F3" s="643">
        <v>2012</v>
      </c>
      <c r="G3" s="643">
        <v>2013</v>
      </c>
      <c r="H3" s="643">
        <v>2014</v>
      </c>
      <c r="I3" s="1555">
        <v>2015</v>
      </c>
      <c r="J3" s="1555">
        <v>2016</v>
      </c>
    </row>
    <row r="4" spans="1:10" x14ac:dyDescent="0.25">
      <c r="A4" s="597">
        <v>999</v>
      </c>
      <c r="B4" s="630" t="s">
        <v>9</v>
      </c>
      <c r="C4" s="593"/>
      <c r="D4" s="556">
        <v>63077</v>
      </c>
      <c r="E4" s="556">
        <v>63449</v>
      </c>
      <c r="F4" s="556">
        <v>59998</v>
      </c>
      <c r="G4" s="556">
        <v>56160</v>
      </c>
      <c r="H4" s="556">
        <v>50841</v>
      </c>
      <c r="I4" s="1579">
        <v>47911</v>
      </c>
      <c r="J4" s="1579">
        <v>43366</v>
      </c>
    </row>
    <row r="5" spans="1:10" x14ac:dyDescent="0.25">
      <c r="A5" s="548" t="s">
        <v>10</v>
      </c>
      <c r="B5" s="594" t="s">
        <v>11</v>
      </c>
      <c r="C5" s="594" t="s">
        <v>264</v>
      </c>
      <c r="D5" s="542">
        <v>375</v>
      </c>
      <c r="E5" s="542">
        <v>374</v>
      </c>
      <c r="F5" s="542">
        <v>387</v>
      </c>
      <c r="G5" s="542">
        <v>379</v>
      </c>
      <c r="H5" s="542">
        <v>321</v>
      </c>
      <c r="I5" s="1577">
        <v>275</v>
      </c>
      <c r="J5" s="1942">
        <v>245</v>
      </c>
    </row>
    <row r="6" spans="1:10" x14ac:dyDescent="0.25">
      <c r="A6" s="632" t="s">
        <v>12</v>
      </c>
      <c r="B6" s="633" t="s">
        <v>13</v>
      </c>
      <c r="C6" s="633" t="s">
        <v>265</v>
      </c>
      <c r="D6" s="634">
        <v>333</v>
      </c>
      <c r="E6" s="634">
        <v>309</v>
      </c>
      <c r="F6" s="634">
        <v>271</v>
      </c>
      <c r="G6" s="634">
        <v>292</v>
      </c>
      <c r="H6" s="634">
        <v>280</v>
      </c>
      <c r="I6" s="1577">
        <v>230</v>
      </c>
      <c r="J6" s="1942">
        <v>225</v>
      </c>
    </row>
    <row r="7" spans="1:10" x14ac:dyDescent="0.25">
      <c r="A7" s="632" t="s">
        <v>16</v>
      </c>
      <c r="B7" s="633" t="s">
        <v>297</v>
      </c>
      <c r="C7" s="633" t="s">
        <v>265</v>
      </c>
      <c r="D7" s="634">
        <v>228</v>
      </c>
      <c r="E7" s="634">
        <v>220</v>
      </c>
      <c r="F7" s="634">
        <v>187</v>
      </c>
      <c r="G7" s="634">
        <v>188</v>
      </c>
      <c r="H7" s="634">
        <v>171</v>
      </c>
      <c r="I7" s="1577">
        <v>156</v>
      </c>
      <c r="J7" s="1942">
        <v>145</v>
      </c>
    </row>
    <row r="8" spans="1:10" x14ac:dyDescent="0.25">
      <c r="A8" s="632" t="s">
        <v>18</v>
      </c>
      <c r="B8" s="633" t="s">
        <v>19</v>
      </c>
      <c r="C8" s="633" t="s">
        <v>266</v>
      </c>
      <c r="D8" s="634">
        <v>152</v>
      </c>
      <c r="E8" s="634">
        <v>147</v>
      </c>
      <c r="F8" s="634">
        <v>142</v>
      </c>
      <c r="G8" s="634">
        <v>129</v>
      </c>
      <c r="H8" s="634">
        <v>96</v>
      </c>
      <c r="I8" s="1577">
        <v>72</v>
      </c>
      <c r="J8" s="1942">
        <v>50</v>
      </c>
    </row>
    <row r="9" spans="1:10" x14ac:dyDescent="0.25">
      <c r="A9" s="632" t="s">
        <v>20</v>
      </c>
      <c r="B9" s="633" t="s">
        <v>21</v>
      </c>
      <c r="C9" s="633" t="s">
        <v>265</v>
      </c>
      <c r="D9" s="634">
        <v>219</v>
      </c>
      <c r="E9" s="634">
        <v>196</v>
      </c>
      <c r="F9" s="634">
        <v>187</v>
      </c>
      <c r="G9" s="634">
        <v>192</v>
      </c>
      <c r="H9" s="634">
        <v>166</v>
      </c>
      <c r="I9" s="1577">
        <v>158</v>
      </c>
      <c r="J9" s="1942">
        <v>147</v>
      </c>
    </row>
    <row r="10" spans="1:10" x14ac:dyDescent="0.25">
      <c r="A10" s="632" t="s">
        <v>22</v>
      </c>
      <c r="B10" s="633" t="s">
        <v>23</v>
      </c>
      <c r="C10" s="633" t="s">
        <v>265</v>
      </c>
      <c r="D10" s="634">
        <v>174</v>
      </c>
      <c r="E10" s="634">
        <v>162</v>
      </c>
      <c r="F10" s="634">
        <v>167</v>
      </c>
      <c r="G10" s="634">
        <v>177</v>
      </c>
      <c r="H10" s="634">
        <v>171</v>
      </c>
      <c r="I10" s="1577">
        <v>140</v>
      </c>
      <c r="J10" s="1942">
        <v>115</v>
      </c>
    </row>
    <row r="11" spans="1:10" x14ac:dyDescent="0.25">
      <c r="A11" s="632" t="s">
        <v>24</v>
      </c>
      <c r="B11" s="633" t="s">
        <v>25</v>
      </c>
      <c r="C11" s="633" t="s">
        <v>267</v>
      </c>
      <c r="D11" s="634">
        <v>605</v>
      </c>
      <c r="E11" s="634">
        <v>574</v>
      </c>
      <c r="F11" s="634">
        <v>535</v>
      </c>
      <c r="G11" s="634">
        <v>478</v>
      </c>
      <c r="H11" s="634">
        <v>416</v>
      </c>
      <c r="I11" s="1577">
        <v>374</v>
      </c>
      <c r="J11" s="1942">
        <v>352</v>
      </c>
    </row>
    <row r="12" spans="1:10" x14ac:dyDescent="0.25">
      <c r="A12" s="632" t="s">
        <v>26</v>
      </c>
      <c r="B12" s="633" t="s">
        <v>686</v>
      </c>
      <c r="C12" s="633" t="s">
        <v>265</v>
      </c>
      <c r="D12" s="634">
        <v>1272</v>
      </c>
      <c r="E12" s="634">
        <v>1224</v>
      </c>
      <c r="F12" s="634">
        <v>1139</v>
      </c>
      <c r="G12" s="634">
        <v>1087</v>
      </c>
      <c r="H12" s="634">
        <v>934</v>
      </c>
      <c r="I12" s="1577">
        <v>738</v>
      </c>
      <c r="J12" s="1942">
        <v>668</v>
      </c>
    </row>
    <row r="13" spans="1:10" x14ac:dyDescent="0.25">
      <c r="A13" s="632" t="s">
        <v>27</v>
      </c>
      <c r="B13" s="633" t="s">
        <v>28</v>
      </c>
      <c r="C13" s="633" t="s">
        <v>265</v>
      </c>
      <c r="D13" s="634">
        <v>18</v>
      </c>
      <c r="E13" s="634">
        <v>15</v>
      </c>
      <c r="F13" s="634">
        <v>14</v>
      </c>
      <c r="G13" s="634">
        <v>9</v>
      </c>
      <c r="H13" s="634">
        <v>9</v>
      </c>
      <c r="I13" s="1577">
        <v>7</v>
      </c>
      <c r="J13" s="1942">
        <v>7</v>
      </c>
    </row>
    <row r="14" spans="1:10" x14ac:dyDescent="0.25">
      <c r="A14" s="632" t="s">
        <v>29</v>
      </c>
      <c r="B14" s="633" t="s">
        <v>924</v>
      </c>
      <c r="C14" s="633" t="s">
        <v>265</v>
      </c>
      <c r="D14" s="634">
        <v>431</v>
      </c>
      <c r="E14" s="634">
        <v>470</v>
      </c>
      <c r="F14" s="634">
        <v>427</v>
      </c>
      <c r="G14" s="634">
        <v>387</v>
      </c>
      <c r="H14" s="634">
        <v>405</v>
      </c>
      <c r="I14" s="1577">
        <v>325</v>
      </c>
      <c r="J14" s="1942">
        <v>288</v>
      </c>
    </row>
    <row r="15" spans="1:10" x14ac:dyDescent="0.25">
      <c r="A15" s="632" t="s">
        <v>30</v>
      </c>
      <c r="B15" s="633" t="s">
        <v>31</v>
      </c>
      <c r="C15" s="633" t="s">
        <v>268</v>
      </c>
      <c r="D15" s="634">
        <v>27</v>
      </c>
      <c r="E15" s="634">
        <v>41</v>
      </c>
      <c r="F15" s="634">
        <v>37</v>
      </c>
      <c r="G15" s="634">
        <v>30</v>
      </c>
      <c r="H15" s="634">
        <v>29</v>
      </c>
      <c r="I15" s="1577">
        <v>24</v>
      </c>
      <c r="J15" s="1942">
        <v>27</v>
      </c>
    </row>
    <row r="16" spans="1:10" x14ac:dyDescent="0.25">
      <c r="A16" s="632" t="s">
        <v>32</v>
      </c>
      <c r="B16" s="633" t="s">
        <v>33</v>
      </c>
      <c r="C16" s="633" t="s">
        <v>265</v>
      </c>
      <c r="D16" s="634">
        <v>88</v>
      </c>
      <c r="E16" s="634">
        <v>90</v>
      </c>
      <c r="F16" s="634">
        <v>90</v>
      </c>
      <c r="G16" s="634">
        <v>80</v>
      </c>
      <c r="H16" s="634">
        <v>70</v>
      </c>
      <c r="I16" s="1577">
        <v>66</v>
      </c>
      <c r="J16" s="1942">
        <v>73</v>
      </c>
    </row>
    <row r="17" spans="1:10" x14ac:dyDescent="0.25">
      <c r="A17" s="632" t="s">
        <v>36</v>
      </c>
      <c r="B17" s="633" t="s">
        <v>37</v>
      </c>
      <c r="C17" s="633" t="s">
        <v>264</v>
      </c>
      <c r="D17" s="634">
        <v>233</v>
      </c>
      <c r="E17" s="634">
        <v>220</v>
      </c>
      <c r="F17" s="634">
        <v>214</v>
      </c>
      <c r="G17" s="634">
        <v>194</v>
      </c>
      <c r="H17" s="634">
        <v>180</v>
      </c>
      <c r="I17" s="1577">
        <v>155</v>
      </c>
      <c r="J17" s="1942">
        <v>131</v>
      </c>
    </row>
    <row r="18" spans="1:10" x14ac:dyDescent="0.25">
      <c r="A18" s="632" t="s">
        <v>38</v>
      </c>
      <c r="B18" s="633" t="s">
        <v>39</v>
      </c>
      <c r="C18" s="633" t="s">
        <v>268</v>
      </c>
      <c r="D18" s="634">
        <v>310</v>
      </c>
      <c r="E18" s="634">
        <v>261</v>
      </c>
      <c r="F18" s="634">
        <v>223</v>
      </c>
      <c r="G18" s="634">
        <v>263</v>
      </c>
      <c r="H18" s="634">
        <v>254</v>
      </c>
      <c r="I18" s="1577">
        <v>247</v>
      </c>
      <c r="J18" s="1942">
        <v>209</v>
      </c>
    </row>
    <row r="19" spans="1:10" x14ac:dyDescent="0.25">
      <c r="A19" s="632" t="s">
        <v>40</v>
      </c>
      <c r="B19" s="633" t="s">
        <v>41</v>
      </c>
      <c r="C19" s="633" t="s">
        <v>266</v>
      </c>
      <c r="D19" s="634">
        <v>178</v>
      </c>
      <c r="E19" s="634">
        <v>142</v>
      </c>
      <c r="F19" s="634">
        <v>137</v>
      </c>
      <c r="G19" s="634">
        <v>135</v>
      </c>
      <c r="H19" s="634">
        <v>117</v>
      </c>
      <c r="I19" s="1577">
        <v>109</v>
      </c>
      <c r="J19" s="1942">
        <v>98</v>
      </c>
    </row>
    <row r="20" spans="1:10" x14ac:dyDescent="0.25">
      <c r="A20" s="632" t="s">
        <v>42</v>
      </c>
      <c r="B20" s="633" t="s">
        <v>43</v>
      </c>
      <c r="C20" s="633" t="s">
        <v>265</v>
      </c>
      <c r="D20" s="634">
        <v>540</v>
      </c>
      <c r="E20" s="634">
        <v>544</v>
      </c>
      <c r="F20" s="634">
        <v>560</v>
      </c>
      <c r="G20" s="634">
        <v>498</v>
      </c>
      <c r="H20" s="634">
        <v>437</v>
      </c>
      <c r="I20" s="1577">
        <v>392</v>
      </c>
      <c r="J20" s="1942">
        <v>358</v>
      </c>
    </row>
    <row r="21" spans="1:10" x14ac:dyDescent="0.25">
      <c r="A21" s="632" t="s">
        <v>44</v>
      </c>
      <c r="B21" s="633" t="s">
        <v>45</v>
      </c>
      <c r="C21" s="633" t="s">
        <v>266</v>
      </c>
      <c r="D21" s="634">
        <v>380</v>
      </c>
      <c r="E21" s="634">
        <v>390</v>
      </c>
      <c r="F21" s="634">
        <v>355</v>
      </c>
      <c r="G21" s="634">
        <v>332</v>
      </c>
      <c r="H21" s="634">
        <v>295</v>
      </c>
      <c r="I21" s="1577">
        <v>258</v>
      </c>
      <c r="J21" s="1942">
        <v>219</v>
      </c>
    </row>
    <row r="22" spans="1:10" x14ac:dyDescent="0.25">
      <c r="A22" s="632" t="s">
        <v>46</v>
      </c>
      <c r="B22" s="633" t="s">
        <v>47</v>
      </c>
      <c r="C22" s="633" t="s">
        <v>268</v>
      </c>
      <c r="D22" s="634">
        <v>258</v>
      </c>
      <c r="E22" s="634">
        <v>233</v>
      </c>
      <c r="F22" s="634">
        <v>242</v>
      </c>
      <c r="G22" s="634">
        <v>205</v>
      </c>
      <c r="H22" s="634">
        <v>174</v>
      </c>
      <c r="I22" s="1577">
        <v>156</v>
      </c>
      <c r="J22" s="1942">
        <v>137</v>
      </c>
    </row>
    <row r="23" spans="1:10" x14ac:dyDescent="0.25">
      <c r="A23" s="632" t="s">
        <v>48</v>
      </c>
      <c r="B23" s="633" t="s">
        <v>269</v>
      </c>
      <c r="C23" s="633" t="s">
        <v>266</v>
      </c>
      <c r="D23" s="634">
        <v>38</v>
      </c>
      <c r="E23" s="634">
        <v>53</v>
      </c>
      <c r="F23" s="634">
        <v>46</v>
      </c>
      <c r="G23" s="634">
        <v>38</v>
      </c>
      <c r="H23" s="634">
        <v>31</v>
      </c>
      <c r="I23" s="1577">
        <v>34</v>
      </c>
      <c r="J23" s="1942">
        <v>32</v>
      </c>
    </row>
    <row r="24" spans="1:10" x14ac:dyDescent="0.25">
      <c r="A24" s="632" t="s">
        <v>50</v>
      </c>
      <c r="B24" s="633" t="s">
        <v>51</v>
      </c>
      <c r="C24" s="633" t="s">
        <v>265</v>
      </c>
      <c r="D24" s="634">
        <v>152</v>
      </c>
      <c r="E24" s="634">
        <v>150</v>
      </c>
      <c r="F24" s="634">
        <v>157</v>
      </c>
      <c r="G24" s="634">
        <v>158</v>
      </c>
      <c r="H24" s="634">
        <v>129</v>
      </c>
      <c r="I24" s="1577">
        <v>112</v>
      </c>
      <c r="J24" s="1942">
        <v>89</v>
      </c>
    </row>
    <row r="25" spans="1:10" x14ac:dyDescent="0.25">
      <c r="A25" s="632" t="s">
        <v>56</v>
      </c>
      <c r="B25" s="633" t="s">
        <v>295</v>
      </c>
      <c r="C25" s="633" t="s">
        <v>266</v>
      </c>
      <c r="D25" s="634">
        <v>2119</v>
      </c>
      <c r="E25" s="634">
        <v>2155</v>
      </c>
      <c r="F25" s="634">
        <v>2054</v>
      </c>
      <c r="G25" s="634">
        <v>1901</v>
      </c>
      <c r="H25" s="634">
        <v>1640</v>
      </c>
      <c r="I25" s="1577">
        <v>1328</v>
      </c>
      <c r="J25" s="1942">
        <v>1146</v>
      </c>
    </row>
    <row r="26" spans="1:10" x14ac:dyDescent="0.25">
      <c r="A26" s="632" t="s">
        <v>58</v>
      </c>
      <c r="B26" s="633" t="s">
        <v>59</v>
      </c>
      <c r="C26" s="633" t="s">
        <v>267</v>
      </c>
      <c r="D26" s="634">
        <v>41</v>
      </c>
      <c r="E26" s="634">
        <v>43</v>
      </c>
      <c r="F26" s="634">
        <v>40</v>
      </c>
      <c r="G26" s="634">
        <v>38</v>
      </c>
      <c r="H26" s="634">
        <v>29</v>
      </c>
      <c r="I26" s="1577">
        <v>21</v>
      </c>
      <c r="J26" s="1942">
        <v>17</v>
      </c>
    </row>
    <row r="27" spans="1:10" x14ac:dyDescent="0.25">
      <c r="A27" s="632" t="s">
        <v>60</v>
      </c>
      <c r="B27" s="633" t="s">
        <v>61</v>
      </c>
      <c r="C27" s="633" t="s">
        <v>265</v>
      </c>
      <c r="D27" s="634">
        <v>21</v>
      </c>
      <c r="E27" s="634">
        <v>24</v>
      </c>
      <c r="F27" s="634">
        <v>26</v>
      </c>
      <c r="G27" s="634">
        <v>21</v>
      </c>
      <c r="H27" s="634">
        <v>22</v>
      </c>
      <c r="I27" s="1577">
        <v>26</v>
      </c>
      <c r="J27" s="1942">
        <v>24</v>
      </c>
    </row>
    <row r="28" spans="1:10" x14ac:dyDescent="0.25">
      <c r="A28" s="632" t="s">
        <v>62</v>
      </c>
      <c r="B28" s="633" t="s">
        <v>63</v>
      </c>
      <c r="C28" s="633" t="s">
        <v>267</v>
      </c>
      <c r="D28" s="634">
        <v>386</v>
      </c>
      <c r="E28" s="634">
        <v>364</v>
      </c>
      <c r="F28" s="634">
        <v>338</v>
      </c>
      <c r="G28" s="634">
        <v>337</v>
      </c>
      <c r="H28" s="634">
        <v>291</v>
      </c>
      <c r="I28" s="1577">
        <v>241</v>
      </c>
      <c r="J28" s="1942">
        <v>227</v>
      </c>
    </row>
    <row r="29" spans="1:10" x14ac:dyDescent="0.25">
      <c r="A29" s="632" t="s">
        <v>64</v>
      </c>
      <c r="B29" s="633" t="s">
        <v>65</v>
      </c>
      <c r="C29" s="633" t="s">
        <v>266</v>
      </c>
      <c r="D29" s="634">
        <v>122</v>
      </c>
      <c r="E29" s="634">
        <v>123</v>
      </c>
      <c r="F29" s="634">
        <v>115</v>
      </c>
      <c r="G29" s="634">
        <v>131</v>
      </c>
      <c r="H29" s="634">
        <v>105</v>
      </c>
      <c r="I29" s="1577">
        <v>102</v>
      </c>
      <c r="J29" s="1942">
        <v>86</v>
      </c>
    </row>
    <row r="30" spans="1:10" x14ac:dyDescent="0.25">
      <c r="A30" s="632" t="s">
        <v>68</v>
      </c>
      <c r="B30" s="633" t="s">
        <v>69</v>
      </c>
      <c r="C30" s="633" t="s">
        <v>268</v>
      </c>
      <c r="D30" s="634">
        <v>195</v>
      </c>
      <c r="E30" s="634">
        <v>174</v>
      </c>
      <c r="F30" s="634">
        <v>158</v>
      </c>
      <c r="G30" s="634">
        <v>132</v>
      </c>
      <c r="H30" s="634">
        <v>129</v>
      </c>
      <c r="I30" s="1577">
        <v>110</v>
      </c>
      <c r="J30" s="1942">
        <v>90</v>
      </c>
    </row>
    <row r="31" spans="1:10" x14ac:dyDescent="0.25">
      <c r="A31" s="632" t="s">
        <v>70</v>
      </c>
      <c r="B31" s="633" t="s">
        <v>71</v>
      </c>
      <c r="C31" s="633" t="s">
        <v>264</v>
      </c>
      <c r="D31" s="634">
        <v>282</v>
      </c>
      <c r="E31" s="634">
        <v>269</v>
      </c>
      <c r="F31" s="634">
        <v>258</v>
      </c>
      <c r="G31" s="634">
        <v>252</v>
      </c>
      <c r="H31" s="634">
        <v>253</v>
      </c>
      <c r="I31" s="1577">
        <v>208</v>
      </c>
      <c r="J31" s="1942">
        <v>178</v>
      </c>
    </row>
    <row r="32" spans="1:10" x14ac:dyDescent="0.25">
      <c r="A32" s="632" t="s">
        <v>72</v>
      </c>
      <c r="B32" s="633" t="s">
        <v>73</v>
      </c>
      <c r="C32" s="633" t="s">
        <v>266</v>
      </c>
      <c r="D32" s="634">
        <v>174</v>
      </c>
      <c r="E32" s="634">
        <v>153</v>
      </c>
      <c r="F32" s="634">
        <v>157</v>
      </c>
      <c r="G32" s="634">
        <v>132</v>
      </c>
      <c r="H32" s="634">
        <v>122</v>
      </c>
      <c r="I32" s="1577">
        <v>117</v>
      </c>
      <c r="J32" s="1942">
        <v>108</v>
      </c>
    </row>
    <row r="33" spans="1:10" x14ac:dyDescent="0.25">
      <c r="A33" s="632" t="s">
        <v>74</v>
      </c>
      <c r="B33" s="633" t="s">
        <v>296</v>
      </c>
      <c r="C33" s="633" t="s">
        <v>267</v>
      </c>
      <c r="D33" s="634">
        <v>2998</v>
      </c>
      <c r="E33" s="634">
        <v>3111</v>
      </c>
      <c r="F33" s="634">
        <v>2893</v>
      </c>
      <c r="G33" s="634">
        <v>2797</v>
      </c>
      <c r="H33" s="634">
        <v>2474</v>
      </c>
      <c r="I33" s="1577">
        <v>2061</v>
      </c>
      <c r="J33" s="1942">
        <v>1878</v>
      </c>
    </row>
    <row r="34" spans="1:10" x14ac:dyDescent="0.25">
      <c r="A34" s="632" t="s">
        <v>76</v>
      </c>
      <c r="B34" s="633" t="s">
        <v>77</v>
      </c>
      <c r="C34" s="633" t="s">
        <v>267</v>
      </c>
      <c r="D34" s="634">
        <v>240</v>
      </c>
      <c r="E34" s="634">
        <v>228</v>
      </c>
      <c r="F34" s="634">
        <v>219</v>
      </c>
      <c r="G34" s="634">
        <v>186</v>
      </c>
      <c r="H34" s="634">
        <v>158</v>
      </c>
      <c r="I34" s="1577">
        <v>143</v>
      </c>
      <c r="J34" s="1942">
        <v>134</v>
      </c>
    </row>
    <row r="35" spans="1:10" x14ac:dyDescent="0.25">
      <c r="A35" s="632" t="s">
        <v>78</v>
      </c>
      <c r="B35" s="633" t="s">
        <v>79</v>
      </c>
      <c r="C35" s="633" t="s">
        <v>268</v>
      </c>
      <c r="D35" s="634">
        <v>96</v>
      </c>
      <c r="E35" s="634">
        <v>112</v>
      </c>
      <c r="F35" s="634">
        <v>118</v>
      </c>
      <c r="G35" s="634">
        <v>118</v>
      </c>
      <c r="H35" s="634">
        <v>92</v>
      </c>
      <c r="I35" s="1577">
        <v>73</v>
      </c>
      <c r="J35" s="1942">
        <v>79</v>
      </c>
    </row>
    <row r="36" spans="1:10" x14ac:dyDescent="0.25">
      <c r="A36" s="632" t="s">
        <v>80</v>
      </c>
      <c r="B36" s="633" t="s">
        <v>81</v>
      </c>
      <c r="C36" s="633" t="s">
        <v>266</v>
      </c>
      <c r="D36" s="634">
        <v>75</v>
      </c>
      <c r="E36" s="634">
        <v>99</v>
      </c>
      <c r="F36" s="634">
        <v>109</v>
      </c>
      <c r="G36" s="634">
        <v>105</v>
      </c>
      <c r="H36" s="634">
        <v>87</v>
      </c>
      <c r="I36" s="1577">
        <v>90</v>
      </c>
      <c r="J36" s="1942">
        <v>78</v>
      </c>
    </row>
    <row r="37" spans="1:10" x14ac:dyDescent="0.25">
      <c r="A37" s="632" t="s">
        <v>84</v>
      </c>
      <c r="B37" s="633" t="s">
        <v>85</v>
      </c>
      <c r="C37" s="633" t="s">
        <v>265</v>
      </c>
      <c r="D37" s="634">
        <v>469</v>
      </c>
      <c r="E37" s="634">
        <v>501</v>
      </c>
      <c r="F37" s="634">
        <v>449</v>
      </c>
      <c r="G37" s="634">
        <v>422</v>
      </c>
      <c r="H37" s="634">
        <v>387</v>
      </c>
      <c r="I37" s="1577">
        <v>326</v>
      </c>
      <c r="J37" s="1942">
        <v>305</v>
      </c>
    </row>
    <row r="38" spans="1:10" x14ac:dyDescent="0.25">
      <c r="A38" s="632" t="s">
        <v>86</v>
      </c>
      <c r="B38" s="633" t="s">
        <v>87</v>
      </c>
      <c r="C38" s="633" t="s">
        <v>267</v>
      </c>
      <c r="D38" s="634">
        <v>350</v>
      </c>
      <c r="E38" s="634">
        <v>385</v>
      </c>
      <c r="F38" s="634">
        <v>362</v>
      </c>
      <c r="G38" s="634">
        <v>326</v>
      </c>
      <c r="H38" s="634">
        <v>218</v>
      </c>
      <c r="I38" s="1577">
        <v>142</v>
      </c>
      <c r="J38" s="1942">
        <v>155</v>
      </c>
    </row>
    <row r="39" spans="1:10" x14ac:dyDescent="0.25">
      <c r="A39" s="632" t="s">
        <v>92</v>
      </c>
      <c r="B39" s="633" t="s">
        <v>93</v>
      </c>
      <c r="C39" s="633" t="s">
        <v>268</v>
      </c>
      <c r="D39" s="634">
        <v>95</v>
      </c>
      <c r="E39" s="634">
        <v>115</v>
      </c>
      <c r="F39" s="634">
        <v>105</v>
      </c>
      <c r="G39" s="634">
        <v>121</v>
      </c>
      <c r="H39" s="634">
        <v>87</v>
      </c>
      <c r="I39" s="1577">
        <v>73</v>
      </c>
      <c r="J39" s="1942">
        <v>85</v>
      </c>
    </row>
    <row r="40" spans="1:10" x14ac:dyDescent="0.25">
      <c r="A40" s="632" t="s">
        <v>94</v>
      </c>
      <c r="B40" s="633" t="s">
        <v>95</v>
      </c>
      <c r="C40" s="633" t="s">
        <v>264</v>
      </c>
      <c r="D40" s="634">
        <v>249</v>
      </c>
      <c r="E40" s="634">
        <v>219</v>
      </c>
      <c r="F40" s="634">
        <v>204</v>
      </c>
      <c r="G40" s="634">
        <v>184</v>
      </c>
      <c r="H40" s="634">
        <v>200</v>
      </c>
      <c r="I40" s="1577">
        <v>194</v>
      </c>
      <c r="J40" s="1942">
        <v>176</v>
      </c>
    </row>
    <row r="41" spans="1:10" x14ac:dyDescent="0.25">
      <c r="A41" s="632" t="s">
        <v>96</v>
      </c>
      <c r="B41" s="633" t="s">
        <v>97</v>
      </c>
      <c r="C41" s="633" t="s">
        <v>266</v>
      </c>
      <c r="D41" s="634">
        <v>81</v>
      </c>
      <c r="E41" s="634">
        <v>94</v>
      </c>
      <c r="F41" s="634">
        <v>79</v>
      </c>
      <c r="G41" s="634">
        <v>66</v>
      </c>
      <c r="H41" s="634">
        <v>47</v>
      </c>
      <c r="I41" s="1577">
        <v>49</v>
      </c>
      <c r="J41" s="1942">
        <v>46</v>
      </c>
    </row>
    <row r="42" spans="1:10" x14ac:dyDescent="0.25">
      <c r="A42" s="632" t="s">
        <v>98</v>
      </c>
      <c r="B42" s="633" t="s">
        <v>99</v>
      </c>
      <c r="C42" s="633" t="s">
        <v>268</v>
      </c>
      <c r="D42" s="634">
        <v>106</v>
      </c>
      <c r="E42" s="634">
        <v>95</v>
      </c>
      <c r="F42" s="634">
        <v>97</v>
      </c>
      <c r="G42" s="634">
        <v>90</v>
      </c>
      <c r="H42" s="634">
        <v>86</v>
      </c>
      <c r="I42" s="1577">
        <v>67</v>
      </c>
      <c r="J42" s="1942">
        <v>53</v>
      </c>
    </row>
    <row r="43" spans="1:10" x14ac:dyDescent="0.25">
      <c r="A43" s="632" t="s">
        <v>100</v>
      </c>
      <c r="B43" s="633" t="s">
        <v>101</v>
      </c>
      <c r="C43" s="633" t="s">
        <v>267</v>
      </c>
      <c r="D43" s="634">
        <v>117</v>
      </c>
      <c r="E43" s="634">
        <v>114</v>
      </c>
      <c r="F43" s="634">
        <v>105</v>
      </c>
      <c r="G43" s="634">
        <v>81</v>
      </c>
      <c r="H43" s="634">
        <v>72</v>
      </c>
      <c r="I43" s="1577">
        <v>85</v>
      </c>
      <c r="J43" s="1942">
        <v>96</v>
      </c>
    </row>
    <row r="44" spans="1:10" x14ac:dyDescent="0.25">
      <c r="A44" s="632" t="s">
        <v>102</v>
      </c>
      <c r="B44" s="633" t="s">
        <v>282</v>
      </c>
      <c r="C44" s="633" t="s">
        <v>264</v>
      </c>
      <c r="D44" s="634">
        <v>268</v>
      </c>
      <c r="E44" s="634">
        <v>301</v>
      </c>
      <c r="F44" s="634">
        <v>275</v>
      </c>
      <c r="G44" s="634">
        <v>282</v>
      </c>
      <c r="H44" s="634">
        <v>279</v>
      </c>
      <c r="I44" s="1577">
        <v>241</v>
      </c>
      <c r="J44" s="1942">
        <v>192</v>
      </c>
    </row>
    <row r="45" spans="1:10" x14ac:dyDescent="0.25">
      <c r="A45" s="632" t="s">
        <v>104</v>
      </c>
      <c r="B45" s="633" t="s">
        <v>105</v>
      </c>
      <c r="C45" s="633" t="s">
        <v>265</v>
      </c>
      <c r="D45" s="634">
        <v>482</v>
      </c>
      <c r="E45" s="634">
        <v>454</v>
      </c>
      <c r="F45" s="634">
        <v>403</v>
      </c>
      <c r="G45" s="634">
        <v>370</v>
      </c>
      <c r="H45" s="634">
        <v>336</v>
      </c>
      <c r="I45" s="1577">
        <v>299</v>
      </c>
      <c r="J45" s="1942">
        <v>268</v>
      </c>
    </row>
    <row r="46" spans="1:10" x14ac:dyDescent="0.25">
      <c r="A46" s="632" t="s">
        <v>108</v>
      </c>
      <c r="B46" s="633" t="s">
        <v>109</v>
      </c>
      <c r="C46" s="633" t="s">
        <v>266</v>
      </c>
      <c r="D46" s="634">
        <v>345</v>
      </c>
      <c r="E46" s="634">
        <v>359</v>
      </c>
      <c r="F46" s="634">
        <v>315</v>
      </c>
      <c r="G46" s="634">
        <v>280</v>
      </c>
      <c r="H46" s="634">
        <v>264</v>
      </c>
      <c r="I46" s="1577">
        <v>201</v>
      </c>
      <c r="J46" s="1942">
        <v>181</v>
      </c>
    </row>
    <row r="47" spans="1:10" x14ac:dyDescent="0.25">
      <c r="A47" s="632" t="s">
        <v>110</v>
      </c>
      <c r="B47" s="633" t="s">
        <v>111</v>
      </c>
      <c r="C47" s="633" t="s">
        <v>266</v>
      </c>
      <c r="D47" s="634">
        <v>2779</v>
      </c>
      <c r="E47" s="634">
        <v>2873</v>
      </c>
      <c r="F47" s="634">
        <v>2760</v>
      </c>
      <c r="G47" s="634">
        <v>2452</v>
      </c>
      <c r="H47" s="634">
        <v>2188</v>
      </c>
      <c r="I47" s="1577">
        <v>1957</v>
      </c>
      <c r="J47" s="1942">
        <v>1701</v>
      </c>
    </row>
    <row r="48" spans="1:10" x14ac:dyDescent="0.25">
      <c r="A48" s="632" t="s">
        <v>112</v>
      </c>
      <c r="B48" s="633" t="s">
        <v>300</v>
      </c>
      <c r="C48" s="633" t="s">
        <v>265</v>
      </c>
      <c r="D48" s="634">
        <v>1049</v>
      </c>
      <c r="E48" s="634">
        <v>1036</v>
      </c>
      <c r="F48" s="634">
        <v>921</v>
      </c>
      <c r="G48" s="634">
        <v>831</v>
      </c>
      <c r="H48" s="634">
        <v>766</v>
      </c>
      <c r="I48" s="1577">
        <v>714</v>
      </c>
      <c r="J48" s="1942">
        <v>617</v>
      </c>
    </row>
    <row r="49" spans="1:10" x14ac:dyDescent="0.25">
      <c r="A49" s="632" t="s">
        <v>114</v>
      </c>
      <c r="B49" s="633" t="s">
        <v>115</v>
      </c>
      <c r="C49" s="633" t="s">
        <v>265</v>
      </c>
      <c r="D49" s="634">
        <v>1</v>
      </c>
      <c r="E49" s="634">
        <v>3</v>
      </c>
      <c r="F49" s="634">
        <v>3</v>
      </c>
      <c r="G49" s="634">
        <v>4</v>
      </c>
      <c r="H49" s="634">
        <v>5</v>
      </c>
      <c r="I49" s="1577">
        <v>6</v>
      </c>
      <c r="J49" s="1942">
        <v>6</v>
      </c>
    </row>
    <row r="50" spans="1:10" x14ac:dyDescent="0.25">
      <c r="A50" s="632" t="s">
        <v>118</v>
      </c>
      <c r="B50" s="633" t="s">
        <v>270</v>
      </c>
      <c r="C50" s="633" t="s">
        <v>264</v>
      </c>
      <c r="D50" s="634">
        <v>296</v>
      </c>
      <c r="E50" s="634">
        <v>298</v>
      </c>
      <c r="F50" s="634">
        <v>255</v>
      </c>
      <c r="G50" s="634">
        <v>234</v>
      </c>
      <c r="H50" s="634">
        <v>203</v>
      </c>
      <c r="I50" s="1577">
        <v>176</v>
      </c>
      <c r="J50" s="1942">
        <v>179</v>
      </c>
    </row>
    <row r="51" spans="1:10" x14ac:dyDescent="0.25">
      <c r="A51" s="632" t="s">
        <v>120</v>
      </c>
      <c r="B51" s="633" t="s">
        <v>121</v>
      </c>
      <c r="C51" s="633" t="s">
        <v>264</v>
      </c>
      <c r="D51" s="634">
        <v>285</v>
      </c>
      <c r="E51" s="634">
        <v>306</v>
      </c>
      <c r="F51" s="634">
        <v>303</v>
      </c>
      <c r="G51" s="634">
        <v>318</v>
      </c>
      <c r="H51" s="634">
        <v>276</v>
      </c>
      <c r="I51" s="1577">
        <v>264</v>
      </c>
      <c r="J51" s="1942">
        <v>264</v>
      </c>
    </row>
    <row r="52" spans="1:10" x14ac:dyDescent="0.25">
      <c r="A52" s="632" t="s">
        <v>122</v>
      </c>
      <c r="B52" s="633" t="s">
        <v>287</v>
      </c>
      <c r="C52" s="633" t="s">
        <v>266</v>
      </c>
      <c r="D52" s="634">
        <v>62</v>
      </c>
      <c r="E52" s="634">
        <v>59</v>
      </c>
      <c r="F52" s="634">
        <v>55</v>
      </c>
      <c r="G52" s="634">
        <v>48</v>
      </c>
      <c r="H52" s="634">
        <v>49</v>
      </c>
      <c r="I52" s="1577">
        <v>64</v>
      </c>
      <c r="J52" s="1942">
        <v>103</v>
      </c>
    </row>
    <row r="53" spans="1:10" x14ac:dyDescent="0.25">
      <c r="A53" s="632" t="s">
        <v>124</v>
      </c>
      <c r="B53" s="633" t="s">
        <v>125</v>
      </c>
      <c r="C53" s="633" t="s">
        <v>267</v>
      </c>
      <c r="D53" s="634">
        <v>105</v>
      </c>
      <c r="E53" s="634">
        <v>113</v>
      </c>
      <c r="F53" s="634">
        <v>111</v>
      </c>
      <c r="G53" s="634">
        <v>118</v>
      </c>
      <c r="H53" s="634">
        <v>114</v>
      </c>
      <c r="I53" s="1577">
        <v>89</v>
      </c>
      <c r="J53" s="1942">
        <v>46</v>
      </c>
    </row>
    <row r="54" spans="1:10" x14ac:dyDescent="0.25">
      <c r="A54" s="632" t="s">
        <v>126</v>
      </c>
      <c r="B54" s="633" t="s">
        <v>127</v>
      </c>
      <c r="C54" s="633" t="s">
        <v>266</v>
      </c>
      <c r="D54" s="634">
        <v>107</v>
      </c>
      <c r="E54" s="634">
        <v>106</v>
      </c>
      <c r="F54" s="634">
        <v>88</v>
      </c>
      <c r="G54" s="634">
        <v>79</v>
      </c>
      <c r="H54" s="634">
        <v>76</v>
      </c>
      <c r="I54" s="1577">
        <v>57</v>
      </c>
      <c r="J54" s="1942">
        <v>47</v>
      </c>
    </row>
    <row r="55" spans="1:10" x14ac:dyDescent="0.25">
      <c r="A55" s="632" t="s">
        <v>128</v>
      </c>
      <c r="B55" s="633" t="s">
        <v>129</v>
      </c>
      <c r="C55" s="633" t="s">
        <v>266</v>
      </c>
      <c r="D55" s="634">
        <v>81</v>
      </c>
      <c r="E55" s="634">
        <v>86</v>
      </c>
      <c r="F55" s="634">
        <v>92</v>
      </c>
      <c r="G55" s="634">
        <v>73</v>
      </c>
      <c r="H55" s="634">
        <v>73</v>
      </c>
      <c r="I55" s="1577">
        <v>71</v>
      </c>
      <c r="J55" s="1942">
        <v>72</v>
      </c>
    </row>
    <row r="56" spans="1:10" x14ac:dyDescent="0.25">
      <c r="A56" s="632" t="s">
        <v>130</v>
      </c>
      <c r="B56" s="633" t="s">
        <v>131</v>
      </c>
      <c r="C56" s="633" t="s">
        <v>268</v>
      </c>
      <c r="D56" s="634">
        <v>482</v>
      </c>
      <c r="E56" s="634">
        <v>507</v>
      </c>
      <c r="F56" s="634">
        <v>503</v>
      </c>
      <c r="G56" s="634">
        <v>500</v>
      </c>
      <c r="H56" s="634">
        <v>445</v>
      </c>
      <c r="I56" s="1577">
        <v>409</v>
      </c>
      <c r="J56" s="1942">
        <v>383</v>
      </c>
    </row>
    <row r="57" spans="1:10" x14ac:dyDescent="0.25">
      <c r="A57" s="632" t="s">
        <v>132</v>
      </c>
      <c r="B57" s="633" t="s">
        <v>133</v>
      </c>
      <c r="C57" s="633" t="s">
        <v>267</v>
      </c>
      <c r="D57" s="634">
        <v>599</v>
      </c>
      <c r="E57" s="634">
        <v>514</v>
      </c>
      <c r="F57" s="634">
        <v>513</v>
      </c>
      <c r="G57" s="634">
        <v>481</v>
      </c>
      <c r="H57" s="634">
        <v>415</v>
      </c>
      <c r="I57" s="1577">
        <v>401</v>
      </c>
      <c r="J57" s="1942">
        <v>412</v>
      </c>
    </row>
    <row r="58" spans="1:10" x14ac:dyDescent="0.25">
      <c r="A58" s="632" t="s">
        <v>134</v>
      </c>
      <c r="B58" s="633" t="s">
        <v>135</v>
      </c>
      <c r="C58" s="633" t="s">
        <v>267</v>
      </c>
      <c r="D58" s="634">
        <v>218</v>
      </c>
      <c r="E58" s="634">
        <v>221</v>
      </c>
      <c r="F58" s="634">
        <v>189</v>
      </c>
      <c r="G58" s="634">
        <v>200</v>
      </c>
      <c r="H58" s="634">
        <v>194</v>
      </c>
      <c r="I58" s="1577">
        <v>181</v>
      </c>
      <c r="J58" s="1942">
        <v>153</v>
      </c>
    </row>
    <row r="59" spans="1:10" x14ac:dyDescent="0.25">
      <c r="A59" s="632" t="s">
        <v>136</v>
      </c>
      <c r="B59" s="633" t="s">
        <v>137</v>
      </c>
      <c r="C59" s="633" t="s">
        <v>266</v>
      </c>
      <c r="D59" s="634">
        <v>99</v>
      </c>
      <c r="E59" s="634">
        <v>120</v>
      </c>
      <c r="F59" s="634">
        <v>132</v>
      </c>
      <c r="G59" s="634">
        <v>115</v>
      </c>
      <c r="H59" s="634">
        <v>101</v>
      </c>
      <c r="I59" s="1577">
        <v>70</v>
      </c>
      <c r="J59" s="1942">
        <v>61</v>
      </c>
    </row>
    <row r="60" spans="1:10" x14ac:dyDescent="0.25">
      <c r="A60" s="632" t="s">
        <v>140</v>
      </c>
      <c r="B60" s="633" t="s">
        <v>141</v>
      </c>
      <c r="C60" s="633" t="s">
        <v>267</v>
      </c>
      <c r="D60" s="634">
        <v>61</v>
      </c>
      <c r="E60" s="634">
        <v>59</v>
      </c>
      <c r="F60" s="634">
        <v>55</v>
      </c>
      <c r="G60" s="634">
        <v>55</v>
      </c>
      <c r="H60" s="634">
        <v>52</v>
      </c>
      <c r="I60" s="1577">
        <v>49</v>
      </c>
      <c r="J60" s="1942">
        <v>42</v>
      </c>
    </row>
    <row r="61" spans="1:10" x14ac:dyDescent="0.25">
      <c r="A61" s="632" t="s">
        <v>146</v>
      </c>
      <c r="B61" s="633" t="s">
        <v>147</v>
      </c>
      <c r="C61" s="633" t="s">
        <v>264</v>
      </c>
      <c r="D61" s="634">
        <v>46</v>
      </c>
      <c r="E61" s="634">
        <v>45</v>
      </c>
      <c r="F61" s="634">
        <v>41</v>
      </c>
      <c r="G61" s="634">
        <v>48</v>
      </c>
      <c r="H61" s="634">
        <v>40</v>
      </c>
      <c r="I61" s="1577">
        <v>35</v>
      </c>
      <c r="J61" s="1942">
        <v>30</v>
      </c>
    </row>
    <row r="62" spans="1:10" x14ac:dyDescent="0.25">
      <c r="A62" s="632" t="s">
        <v>148</v>
      </c>
      <c r="B62" s="633" t="s">
        <v>149</v>
      </c>
      <c r="C62" s="633" t="s">
        <v>265</v>
      </c>
      <c r="D62" s="634">
        <v>348</v>
      </c>
      <c r="E62" s="634">
        <v>322</v>
      </c>
      <c r="F62" s="634">
        <v>300</v>
      </c>
      <c r="G62" s="634">
        <v>299</v>
      </c>
      <c r="H62" s="634">
        <v>298</v>
      </c>
      <c r="I62" s="1577">
        <v>241</v>
      </c>
      <c r="J62" s="1942">
        <v>193</v>
      </c>
    </row>
    <row r="63" spans="1:10" x14ac:dyDescent="0.25">
      <c r="A63" s="632" t="s">
        <v>150</v>
      </c>
      <c r="B63" s="633" t="s">
        <v>151</v>
      </c>
      <c r="C63" s="633" t="s">
        <v>266</v>
      </c>
      <c r="D63" s="634">
        <v>85</v>
      </c>
      <c r="E63" s="634">
        <v>77</v>
      </c>
      <c r="F63" s="634">
        <v>87</v>
      </c>
      <c r="G63" s="634">
        <v>94</v>
      </c>
      <c r="H63" s="634">
        <v>111</v>
      </c>
      <c r="I63" s="1577">
        <v>88</v>
      </c>
      <c r="J63" s="1942">
        <v>77</v>
      </c>
    </row>
    <row r="64" spans="1:10" x14ac:dyDescent="0.25">
      <c r="A64" s="632" t="s">
        <v>152</v>
      </c>
      <c r="B64" s="633" t="s">
        <v>153</v>
      </c>
      <c r="C64" s="633" t="s">
        <v>268</v>
      </c>
      <c r="D64" s="634">
        <v>720</v>
      </c>
      <c r="E64" s="634">
        <v>731</v>
      </c>
      <c r="F64" s="634">
        <v>659</v>
      </c>
      <c r="G64" s="634">
        <v>570</v>
      </c>
      <c r="H64" s="634">
        <v>517</v>
      </c>
      <c r="I64" s="1577">
        <v>433</v>
      </c>
      <c r="J64" s="1942">
        <v>418</v>
      </c>
    </row>
    <row r="65" spans="1:10" x14ac:dyDescent="0.25">
      <c r="A65" s="632" t="s">
        <v>154</v>
      </c>
      <c r="B65" s="633" t="s">
        <v>155</v>
      </c>
      <c r="C65" s="633" t="s">
        <v>265</v>
      </c>
      <c r="D65" s="634">
        <v>84</v>
      </c>
      <c r="E65" s="634">
        <v>76</v>
      </c>
      <c r="F65" s="634">
        <v>80</v>
      </c>
      <c r="G65" s="634">
        <v>74</v>
      </c>
      <c r="H65" s="634">
        <v>67</v>
      </c>
      <c r="I65" s="1577">
        <v>73</v>
      </c>
      <c r="J65" s="1942">
        <v>86</v>
      </c>
    </row>
    <row r="66" spans="1:10" x14ac:dyDescent="0.25">
      <c r="A66" s="632" t="s">
        <v>156</v>
      </c>
      <c r="B66" s="633" t="s">
        <v>157</v>
      </c>
      <c r="C66" s="633" t="s">
        <v>266</v>
      </c>
      <c r="D66" s="634">
        <v>83</v>
      </c>
      <c r="E66" s="634">
        <v>91</v>
      </c>
      <c r="F66" s="634">
        <v>97</v>
      </c>
      <c r="G66" s="634">
        <v>81</v>
      </c>
      <c r="H66" s="634">
        <v>78</v>
      </c>
      <c r="I66" s="1577">
        <v>74</v>
      </c>
      <c r="J66" s="1942">
        <v>79</v>
      </c>
    </row>
    <row r="67" spans="1:10" x14ac:dyDescent="0.25">
      <c r="A67" s="632" t="s">
        <v>162</v>
      </c>
      <c r="B67" s="633" t="s">
        <v>163</v>
      </c>
      <c r="C67" s="633" t="s">
        <v>264</v>
      </c>
      <c r="D67" s="634">
        <v>191</v>
      </c>
      <c r="E67" s="634">
        <v>205</v>
      </c>
      <c r="F67" s="634">
        <v>188</v>
      </c>
      <c r="G67" s="634">
        <v>173</v>
      </c>
      <c r="H67" s="634">
        <v>151</v>
      </c>
      <c r="I67" s="1577">
        <v>126</v>
      </c>
      <c r="J67" s="1942">
        <v>90</v>
      </c>
    </row>
    <row r="68" spans="1:10" x14ac:dyDescent="0.25">
      <c r="A68" s="632" t="s">
        <v>164</v>
      </c>
      <c r="B68" s="633" t="s">
        <v>165</v>
      </c>
      <c r="C68" s="633" t="s">
        <v>266</v>
      </c>
      <c r="D68" s="634">
        <v>60</v>
      </c>
      <c r="E68" s="634">
        <v>67</v>
      </c>
      <c r="F68" s="634">
        <v>57</v>
      </c>
      <c r="G68" s="634">
        <v>67</v>
      </c>
      <c r="H68" s="634">
        <v>64</v>
      </c>
      <c r="I68" s="1577">
        <v>66</v>
      </c>
      <c r="J68" s="1942">
        <v>55</v>
      </c>
    </row>
    <row r="69" spans="1:10" x14ac:dyDescent="0.25">
      <c r="A69" s="632" t="s">
        <v>168</v>
      </c>
      <c r="B69" s="633" t="s">
        <v>169</v>
      </c>
      <c r="C69" s="633" t="s">
        <v>266</v>
      </c>
      <c r="D69" s="634">
        <v>221</v>
      </c>
      <c r="E69" s="634">
        <v>235</v>
      </c>
      <c r="F69" s="634">
        <v>243</v>
      </c>
      <c r="G69" s="634">
        <v>249</v>
      </c>
      <c r="H69" s="634">
        <v>224</v>
      </c>
      <c r="I69" s="1577">
        <v>183</v>
      </c>
      <c r="J69" s="1942">
        <v>144</v>
      </c>
    </row>
    <row r="70" spans="1:10" x14ac:dyDescent="0.25">
      <c r="A70" s="632" t="s">
        <v>170</v>
      </c>
      <c r="B70" s="633" t="s">
        <v>171</v>
      </c>
      <c r="C70" s="633" t="s">
        <v>267</v>
      </c>
      <c r="D70" s="634">
        <v>175</v>
      </c>
      <c r="E70" s="634">
        <v>173</v>
      </c>
      <c r="F70" s="634">
        <v>162</v>
      </c>
      <c r="G70" s="634">
        <v>156</v>
      </c>
      <c r="H70" s="634">
        <v>156</v>
      </c>
      <c r="I70" s="1577">
        <v>166</v>
      </c>
      <c r="J70" s="1942">
        <v>160</v>
      </c>
    </row>
    <row r="71" spans="1:10" x14ac:dyDescent="0.25">
      <c r="A71" s="632" t="s">
        <v>172</v>
      </c>
      <c r="B71" s="633" t="s">
        <v>173</v>
      </c>
      <c r="C71" s="633" t="s">
        <v>267</v>
      </c>
      <c r="D71" s="634">
        <v>179</v>
      </c>
      <c r="E71" s="634">
        <v>172</v>
      </c>
      <c r="F71" s="634">
        <v>143</v>
      </c>
      <c r="G71" s="634">
        <v>124</v>
      </c>
      <c r="H71" s="634">
        <v>105</v>
      </c>
      <c r="I71" s="1577">
        <v>80</v>
      </c>
      <c r="J71" s="1942">
        <v>70</v>
      </c>
    </row>
    <row r="72" spans="1:10" x14ac:dyDescent="0.25">
      <c r="A72" s="632" t="s">
        <v>174</v>
      </c>
      <c r="B72" s="633" t="s">
        <v>175</v>
      </c>
      <c r="C72" s="633" t="s">
        <v>268</v>
      </c>
      <c r="D72" s="634">
        <v>195</v>
      </c>
      <c r="E72" s="634">
        <v>203</v>
      </c>
      <c r="F72" s="634">
        <v>214</v>
      </c>
      <c r="G72" s="634">
        <v>172</v>
      </c>
      <c r="H72" s="634">
        <v>171</v>
      </c>
      <c r="I72" s="1577">
        <v>151</v>
      </c>
      <c r="J72" s="1942">
        <v>139</v>
      </c>
    </row>
    <row r="73" spans="1:10" x14ac:dyDescent="0.25">
      <c r="A73" s="632" t="s">
        <v>178</v>
      </c>
      <c r="B73" s="633" t="s">
        <v>179</v>
      </c>
      <c r="C73" s="633" t="s">
        <v>265</v>
      </c>
      <c r="D73" s="634">
        <v>496</v>
      </c>
      <c r="E73" s="634">
        <v>476</v>
      </c>
      <c r="F73" s="634">
        <v>442</v>
      </c>
      <c r="G73" s="634">
        <v>415</v>
      </c>
      <c r="H73" s="634">
        <v>404</v>
      </c>
      <c r="I73" s="1577">
        <v>333</v>
      </c>
      <c r="J73" s="1942">
        <v>310</v>
      </c>
    </row>
    <row r="74" spans="1:10" x14ac:dyDescent="0.25">
      <c r="A74" s="632" t="s">
        <v>182</v>
      </c>
      <c r="B74" s="633" t="s">
        <v>183</v>
      </c>
      <c r="C74" s="633" t="s">
        <v>266</v>
      </c>
      <c r="D74" s="634">
        <v>73</v>
      </c>
      <c r="E74" s="634">
        <v>99</v>
      </c>
      <c r="F74" s="634">
        <v>95</v>
      </c>
      <c r="G74" s="634">
        <v>92</v>
      </c>
      <c r="H74" s="634">
        <v>75</v>
      </c>
      <c r="I74" s="1577">
        <v>76</v>
      </c>
      <c r="J74" s="1942">
        <v>66</v>
      </c>
    </row>
    <row r="75" spans="1:10" x14ac:dyDescent="0.25">
      <c r="A75" s="632" t="s">
        <v>184</v>
      </c>
      <c r="B75" s="633" t="s">
        <v>185</v>
      </c>
      <c r="C75" s="633" t="s">
        <v>266</v>
      </c>
      <c r="D75" s="634">
        <v>276</v>
      </c>
      <c r="E75" s="634">
        <v>269</v>
      </c>
      <c r="F75" s="634">
        <v>247</v>
      </c>
      <c r="G75" s="634">
        <v>264</v>
      </c>
      <c r="H75" s="634">
        <v>233</v>
      </c>
      <c r="I75" s="1577">
        <v>202</v>
      </c>
      <c r="J75" s="1942">
        <v>171</v>
      </c>
    </row>
    <row r="76" spans="1:10" x14ac:dyDescent="0.25">
      <c r="A76" s="632" t="s">
        <v>186</v>
      </c>
      <c r="B76" s="633" t="s">
        <v>187</v>
      </c>
      <c r="C76" s="633" t="s">
        <v>264</v>
      </c>
      <c r="D76" s="634">
        <v>196</v>
      </c>
      <c r="E76" s="634">
        <v>183</v>
      </c>
      <c r="F76" s="634">
        <v>176</v>
      </c>
      <c r="G76" s="634">
        <v>173</v>
      </c>
      <c r="H76" s="634">
        <v>162</v>
      </c>
      <c r="I76" s="1577">
        <v>172</v>
      </c>
      <c r="J76" s="1942">
        <v>161</v>
      </c>
    </row>
    <row r="77" spans="1:10" x14ac:dyDescent="0.25">
      <c r="A77" s="632" t="s">
        <v>188</v>
      </c>
      <c r="B77" s="633" t="s">
        <v>189</v>
      </c>
      <c r="C77" s="633" t="s">
        <v>267</v>
      </c>
      <c r="D77" s="634">
        <v>2635</v>
      </c>
      <c r="E77" s="634">
        <v>2632</v>
      </c>
      <c r="F77" s="634">
        <v>2370</v>
      </c>
      <c r="G77" s="634">
        <v>2131</v>
      </c>
      <c r="H77" s="634">
        <v>1907</v>
      </c>
      <c r="I77" s="1577">
        <v>1639</v>
      </c>
      <c r="J77" s="1942">
        <v>1472</v>
      </c>
    </row>
    <row r="78" spans="1:10" x14ac:dyDescent="0.25">
      <c r="A78" s="632" t="s">
        <v>190</v>
      </c>
      <c r="B78" s="633" t="s">
        <v>191</v>
      </c>
      <c r="C78" s="633" t="s">
        <v>268</v>
      </c>
      <c r="D78" s="634">
        <v>384</v>
      </c>
      <c r="E78" s="634">
        <v>394</v>
      </c>
      <c r="F78" s="634">
        <v>368</v>
      </c>
      <c r="G78" s="634">
        <v>333</v>
      </c>
      <c r="H78" s="634">
        <v>319</v>
      </c>
      <c r="I78" s="1577">
        <v>260</v>
      </c>
      <c r="J78" s="1942">
        <v>225</v>
      </c>
    </row>
    <row r="79" spans="1:10" x14ac:dyDescent="0.25">
      <c r="A79" s="632" t="s">
        <v>194</v>
      </c>
      <c r="B79" s="633" t="s">
        <v>195</v>
      </c>
      <c r="C79" s="633" t="s">
        <v>267</v>
      </c>
      <c r="D79" s="634">
        <v>10</v>
      </c>
      <c r="E79" s="634">
        <v>13</v>
      </c>
      <c r="F79" s="634">
        <v>14</v>
      </c>
      <c r="G79" s="634">
        <v>28</v>
      </c>
      <c r="H79" s="634">
        <v>26</v>
      </c>
      <c r="I79" s="1577">
        <v>22</v>
      </c>
      <c r="J79" s="1942">
        <v>17</v>
      </c>
    </row>
    <row r="80" spans="1:10" x14ac:dyDescent="0.25">
      <c r="A80" s="632" t="s">
        <v>198</v>
      </c>
      <c r="B80" s="633" t="s">
        <v>272</v>
      </c>
      <c r="C80" s="633" t="s">
        <v>266</v>
      </c>
      <c r="D80" s="634">
        <v>72</v>
      </c>
      <c r="E80" s="634">
        <v>66</v>
      </c>
      <c r="F80" s="634">
        <v>65</v>
      </c>
      <c r="G80" s="634">
        <v>70</v>
      </c>
      <c r="H80" s="634">
        <v>65</v>
      </c>
      <c r="I80" s="1577">
        <v>63</v>
      </c>
      <c r="J80" s="1942">
        <v>66</v>
      </c>
    </row>
    <row r="81" spans="1:10" x14ac:dyDescent="0.25">
      <c r="A81" s="632" t="s">
        <v>202</v>
      </c>
      <c r="B81" s="633" t="s">
        <v>301</v>
      </c>
      <c r="C81" s="633" t="s">
        <v>265</v>
      </c>
      <c r="D81" s="634">
        <v>653</v>
      </c>
      <c r="E81" s="634">
        <v>641</v>
      </c>
      <c r="F81" s="634">
        <v>566</v>
      </c>
      <c r="G81" s="634">
        <v>520</v>
      </c>
      <c r="H81" s="634">
        <v>491</v>
      </c>
      <c r="I81" s="1577">
        <v>415</v>
      </c>
      <c r="J81" s="1942">
        <v>382</v>
      </c>
    </row>
    <row r="82" spans="1:10" x14ac:dyDescent="0.25">
      <c r="A82" s="632" t="s">
        <v>204</v>
      </c>
      <c r="B82" s="633" t="s">
        <v>293</v>
      </c>
      <c r="C82" s="633" t="s">
        <v>265</v>
      </c>
      <c r="D82" s="634">
        <v>165</v>
      </c>
      <c r="E82" s="634">
        <v>188</v>
      </c>
      <c r="F82" s="634">
        <v>156</v>
      </c>
      <c r="G82" s="634">
        <v>135</v>
      </c>
      <c r="H82" s="634">
        <v>139</v>
      </c>
      <c r="I82" s="1577">
        <v>105</v>
      </c>
      <c r="J82" s="1942">
        <v>106</v>
      </c>
    </row>
    <row r="83" spans="1:10" x14ac:dyDescent="0.25">
      <c r="A83" s="632" t="s">
        <v>206</v>
      </c>
      <c r="B83" s="633" t="s">
        <v>294</v>
      </c>
      <c r="C83" s="633" t="s">
        <v>267</v>
      </c>
      <c r="D83" s="634">
        <v>695</v>
      </c>
      <c r="E83" s="634">
        <v>711</v>
      </c>
      <c r="F83" s="634">
        <v>654</v>
      </c>
      <c r="G83" s="634">
        <v>612</v>
      </c>
      <c r="H83" s="634">
        <v>548</v>
      </c>
      <c r="I83" s="1577">
        <v>466</v>
      </c>
      <c r="J83" s="1942">
        <v>429</v>
      </c>
    </row>
    <row r="84" spans="1:10" x14ac:dyDescent="0.25">
      <c r="A84" s="632" t="s">
        <v>208</v>
      </c>
      <c r="B84" s="633" t="s">
        <v>209</v>
      </c>
      <c r="C84" s="633" t="s">
        <v>268</v>
      </c>
      <c r="D84" s="634">
        <v>480</v>
      </c>
      <c r="E84" s="634">
        <v>436</v>
      </c>
      <c r="F84" s="634">
        <v>384</v>
      </c>
      <c r="G84" s="634">
        <v>379</v>
      </c>
      <c r="H84" s="634">
        <v>359</v>
      </c>
      <c r="I84" s="1577">
        <v>300</v>
      </c>
      <c r="J84" s="1942">
        <v>256</v>
      </c>
    </row>
    <row r="85" spans="1:10" x14ac:dyDescent="0.25">
      <c r="A85" s="632" t="s">
        <v>210</v>
      </c>
      <c r="B85" s="633" t="s">
        <v>211</v>
      </c>
      <c r="C85" s="633" t="s">
        <v>268</v>
      </c>
      <c r="D85" s="634">
        <v>372</v>
      </c>
      <c r="E85" s="634">
        <v>352</v>
      </c>
      <c r="F85" s="634">
        <v>324</v>
      </c>
      <c r="G85" s="634">
        <v>275</v>
      </c>
      <c r="H85" s="634">
        <v>259</v>
      </c>
      <c r="I85" s="1577">
        <v>247</v>
      </c>
      <c r="J85" s="1942">
        <v>214</v>
      </c>
    </row>
    <row r="86" spans="1:10" x14ac:dyDescent="0.25">
      <c r="A86" s="632" t="s">
        <v>212</v>
      </c>
      <c r="B86" s="633" t="s">
        <v>213</v>
      </c>
      <c r="C86" s="633" t="s">
        <v>267</v>
      </c>
      <c r="D86" s="634">
        <v>103</v>
      </c>
      <c r="E86" s="634">
        <v>125</v>
      </c>
      <c r="F86" s="634">
        <v>126</v>
      </c>
      <c r="G86" s="634">
        <v>104</v>
      </c>
      <c r="H86" s="634">
        <v>98</v>
      </c>
      <c r="I86" s="1577">
        <v>101</v>
      </c>
      <c r="J86" s="1942">
        <v>95</v>
      </c>
    </row>
    <row r="87" spans="1:10" x14ac:dyDescent="0.25">
      <c r="A87" s="632" t="s">
        <v>214</v>
      </c>
      <c r="B87" s="633" t="s">
        <v>215</v>
      </c>
      <c r="C87" s="633" t="s">
        <v>268</v>
      </c>
      <c r="D87" s="634">
        <v>397</v>
      </c>
      <c r="E87" s="634">
        <v>415</v>
      </c>
      <c r="F87" s="634">
        <v>388</v>
      </c>
      <c r="G87" s="634">
        <v>369</v>
      </c>
      <c r="H87" s="634">
        <v>348</v>
      </c>
      <c r="I87" s="1577">
        <v>335</v>
      </c>
      <c r="J87" s="1942">
        <v>285</v>
      </c>
    </row>
    <row r="88" spans="1:10" x14ac:dyDescent="0.25">
      <c r="A88" s="632" t="s">
        <v>216</v>
      </c>
      <c r="B88" s="633" t="s">
        <v>217</v>
      </c>
      <c r="C88" s="633" t="s">
        <v>264</v>
      </c>
      <c r="D88" s="634">
        <v>236</v>
      </c>
      <c r="E88" s="634">
        <v>244</v>
      </c>
      <c r="F88" s="634">
        <v>228</v>
      </c>
      <c r="G88" s="634">
        <v>190</v>
      </c>
      <c r="H88" s="634">
        <v>163</v>
      </c>
      <c r="I88" s="1577">
        <v>128</v>
      </c>
      <c r="J88" s="1942">
        <v>133</v>
      </c>
    </row>
    <row r="89" spans="1:10" x14ac:dyDescent="0.25">
      <c r="A89" s="632" t="s">
        <v>218</v>
      </c>
      <c r="B89" s="633" t="s">
        <v>219</v>
      </c>
      <c r="C89" s="633" t="s">
        <v>267</v>
      </c>
      <c r="D89" s="634">
        <v>772</v>
      </c>
      <c r="E89" s="634">
        <v>852</v>
      </c>
      <c r="F89" s="634">
        <v>837</v>
      </c>
      <c r="G89" s="634">
        <v>772</v>
      </c>
      <c r="H89" s="634">
        <v>735</v>
      </c>
      <c r="I89" s="1577">
        <v>695</v>
      </c>
      <c r="J89" s="1942">
        <v>648</v>
      </c>
    </row>
    <row r="90" spans="1:10" x14ac:dyDescent="0.25">
      <c r="A90" s="632" t="s">
        <v>220</v>
      </c>
      <c r="B90" s="633" t="s">
        <v>221</v>
      </c>
      <c r="C90" s="633" t="s">
        <v>267</v>
      </c>
      <c r="D90" s="634">
        <v>637</v>
      </c>
      <c r="E90" s="634">
        <v>623</v>
      </c>
      <c r="F90" s="634">
        <v>645</v>
      </c>
      <c r="G90" s="634">
        <v>610</v>
      </c>
      <c r="H90" s="634">
        <v>559</v>
      </c>
      <c r="I90" s="1577">
        <v>536</v>
      </c>
      <c r="J90" s="1942">
        <v>533</v>
      </c>
    </row>
    <row r="91" spans="1:10" x14ac:dyDescent="0.25">
      <c r="A91" s="632" t="s">
        <v>224</v>
      </c>
      <c r="B91" s="633" t="s">
        <v>225</v>
      </c>
      <c r="C91" s="633" t="s">
        <v>264</v>
      </c>
      <c r="D91" s="634">
        <v>110</v>
      </c>
      <c r="E91" s="634">
        <v>99</v>
      </c>
      <c r="F91" s="634">
        <v>87</v>
      </c>
      <c r="G91" s="634">
        <v>86</v>
      </c>
      <c r="H91" s="634">
        <v>76</v>
      </c>
      <c r="I91" s="1577">
        <v>59</v>
      </c>
      <c r="J91" s="1942">
        <v>52</v>
      </c>
    </row>
    <row r="92" spans="1:10" x14ac:dyDescent="0.25">
      <c r="A92" s="632" t="s">
        <v>226</v>
      </c>
      <c r="B92" s="633" t="s">
        <v>227</v>
      </c>
      <c r="C92" s="633" t="s">
        <v>264</v>
      </c>
      <c r="D92" s="634">
        <v>148</v>
      </c>
      <c r="E92" s="634">
        <v>154</v>
      </c>
      <c r="F92" s="634">
        <v>145</v>
      </c>
      <c r="G92" s="634">
        <v>127</v>
      </c>
      <c r="H92" s="634">
        <v>141</v>
      </c>
      <c r="I92" s="1577">
        <v>134</v>
      </c>
      <c r="J92" s="1942">
        <v>122</v>
      </c>
    </row>
    <row r="93" spans="1:10" x14ac:dyDescent="0.25">
      <c r="A93" s="632" t="s">
        <v>228</v>
      </c>
      <c r="B93" s="633" t="s">
        <v>229</v>
      </c>
      <c r="C93" s="633" t="s">
        <v>268</v>
      </c>
      <c r="D93" s="634">
        <v>595</v>
      </c>
      <c r="E93" s="634">
        <v>523</v>
      </c>
      <c r="F93" s="634">
        <v>493</v>
      </c>
      <c r="G93" s="634">
        <v>455</v>
      </c>
      <c r="H93" s="634">
        <v>421</v>
      </c>
      <c r="I93" s="1577">
        <v>367</v>
      </c>
      <c r="J93" s="1942">
        <v>338</v>
      </c>
    </row>
    <row r="94" spans="1:10" x14ac:dyDescent="0.25">
      <c r="A94" s="632" t="s">
        <v>232</v>
      </c>
      <c r="B94" s="633" t="s">
        <v>233</v>
      </c>
      <c r="C94" s="633" t="s">
        <v>267</v>
      </c>
      <c r="D94" s="634">
        <v>267</v>
      </c>
      <c r="E94" s="634">
        <v>263</v>
      </c>
      <c r="F94" s="634">
        <v>254</v>
      </c>
      <c r="G94" s="634">
        <v>249</v>
      </c>
      <c r="H94" s="634">
        <v>243</v>
      </c>
      <c r="I94" s="1577">
        <v>205</v>
      </c>
      <c r="J94" s="1942">
        <v>192</v>
      </c>
    </row>
    <row r="95" spans="1:10" x14ac:dyDescent="0.25">
      <c r="A95" s="632" t="s">
        <v>234</v>
      </c>
      <c r="B95" s="633" t="s">
        <v>235</v>
      </c>
      <c r="C95" s="633" t="s">
        <v>268</v>
      </c>
      <c r="D95" s="634">
        <v>451</v>
      </c>
      <c r="E95" s="634">
        <v>426</v>
      </c>
      <c r="F95" s="634">
        <v>389</v>
      </c>
      <c r="G95" s="634">
        <v>376</v>
      </c>
      <c r="H95" s="634">
        <v>372</v>
      </c>
      <c r="I95" s="1577">
        <v>341</v>
      </c>
      <c r="J95" s="1942">
        <v>322</v>
      </c>
    </row>
    <row r="96" spans="1:10" x14ac:dyDescent="0.25">
      <c r="A96" s="632" t="s">
        <v>236</v>
      </c>
      <c r="B96" s="633" t="s">
        <v>237</v>
      </c>
      <c r="C96" s="633" t="s">
        <v>266</v>
      </c>
      <c r="D96" s="634">
        <v>154</v>
      </c>
      <c r="E96" s="634">
        <v>190</v>
      </c>
      <c r="F96" s="634">
        <v>152</v>
      </c>
      <c r="G96" s="634">
        <v>141</v>
      </c>
      <c r="H96" s="634">
        <v>122</v>
      </c>
      <c r="I96" s="1577">
        <v>136</v>
      </c>
      <c r="J96" s="1942">
        <v>147</v>
      </c>
    </row>
    <row r="97" spans="1:10" x14ac:dyDescent="0.25">
      <c r="A97" s="632" t="s">
        <v>242</v>
      </c>
      <c r="B97" s="633" t="s">
        <v>243</v>
      </c>
      <c r="C97" s="633" t="s">
        <v>268</v>
      </c>
      <c r="D97" s="634">
        <v>828</v>
      </c>
      <c r="E97" s="634">
        <v>764</v>
      </c>
      <c r="F97" s="634">
        <v>752</v>
      </c>
      <c r="G97" s="634">
        <v>721</v>
      </c>
      <c r="H97" s="634">
        <v>649</v>
      </c>
      <c r="I97" s="1577">
        <v>532</v>
      </c>
      <c r="J97" s="1942">
        <v>525</v>
      </c>
    </row>
    <row r="98" spans="1:10" x14ac:dyDescent="0.25">
      <c r="A98" s="632" t="s">
        <v>244</v>
      </c>
      <c r="B98" s="633" t="s">
        <v>245</v>
      </c>
      <c r="C98" s="633" t="s">
        <v>268</v>
      </c>
      <c r="D98" s="634">
        <v>288</v>
      </c>
      <c r="E98" s="634">
        <v>284</v>
      </c>
      <c r="F98" s="634">
        <v>246</v>
      </c>
      <c r="G98" s="634">
        <v>200</v>
      </c>
      <c r="H98" s="634">
        <v>203</v>
      </c>
      <c r="I98" s="1577">
        <v>186</v>
      </c>
      <c r="J98" s="1942">
        <v>148</v>
      </c>
    </row>
    <row r="99" spans="1:10" x14ac:dyDescent="0.25">
      <c r="A99" s="632" t="s">
        <v>246</v>
      </c>
      <c r="B99" s="633" t="s">
        <v>247</v>
      </c>
      <c r="C99" s="633" t="s">
        <v>264</v>
      </c>
      <c r="D99" s="634">
        <v>232</v>
      </c>
      <c r="E99" s="634">
        <v>281</v>
      </c>
      <c r="F99" s="634">
        <v>273</v>
      </c>
      <c r="G99" s="634">
        <v>258</v>
      </c>
      <c r="H99" s="634">
        <v>235</v>
      </c>
      <c r="I99" s="1577">
        <v>205</v>
      </c>
      <c r="J99" s="1942">
        <v>207</v>
      </c>
    </row>
    <row r="100" spans="1:10" x14ac:dyDescent="0.25">
      <c r="A100" s="632" t="s">
        <v>14</v>
      </c>
      <c r="B100" s="633" t="s">
        <v>15</v>
      </c>
      <c r="C100" s="633" t="s">
        <v>267</v>
      </c>
      <c r="D100" s="634">
        <v>871</v>
      </c>
      <c r="E100" s="634">
        <v>894</v>
      </c>
      <c r="F100" s="634">
        <v>790</v>
      </c>
      <c r="G100" s="634">
        <v>735</v>
      </c>
      <c r="H100" s="634">
        <v>687</v>
      </c>
      <c r="I100" s="1577">
        <v>722</v>
      </c>
      <c r="J100" s="1942">
        <v>697</v>
      </c>
    </row>
    <row r="101" spans="1:10" x14ac:dyDescent="0.25">
      <c r="A101" s="632" t="s">
        <v>34</v>
      </c>
      <c r="B101" s="633" t="s">
        <v>35</v>
      </c>
      <c r="C101" s="633" t="s">
        <v>268</v>
      </c>
      <c r="D101" s="634">
        <v>489</v>
      </c>
      <c r="E101" s="634">
        <v>525</v>
      </c>
      <c r="F101" s="634">
        <v>531</v>
      </c>
      <c r="G101" s="634">
        <v>505</v>
      </c>
      <c r="H101" s="634">
        <v>418</v>
      </c>
      <c r="I101" s="1577">
        <v>352</v>
      </c>
      <c r="J101" s="1942">
        <v>317</v>
      </c>
    </row>
    <row r="102" spans="1:10" x14ac:dyDescent="0.25">
      <c r="A102" s="632" t="s">
        <v>52</v>
      </c>
      <c r="B102" s="633" t="s">
        <v>53</v>
      </c>
      <c r="C102" s="633" t="s">
        <v>265</v>
      </c>
      <c r="D102" s="634">
        <v>602</v>
      </c>
      <c r="E102" s="634">
        <v>595</v>
      </c>
      <c r="F102" s="634">
        <v>552</v>
      </c>
      <c r="G102" s="634">
        <v>505</v>
      </c>
      <c r="H102" s="634">
        <v>442</v>
      </c>
      <c r="I102" s="1577">
        <v>392</v>
      </c>
      <c r="J102" s="1942">
        <v>377</v>
      </c>
    </row>
    <row r="103" spans="1:10" x14ac:dyDescent="0.25">
      <c r="A103" s="632" t="s">
        <v>54</v>
      </c>
      <c r="B103" s="633" t="s">
        <v>55</v>
      </c>
      <c r="C103" s="633" t="s">
        <v>264</v>
      </c>
      <c r="D103" s="634">
        <v>2211</v>
      </c>
      <c r="E103" s="634">
        <v>2165</v>
      </c>
      <c r="F103" s="634">
        <v>1980</v>
      </c>
      <c r="G103" s="634">
        <v>1822</v>
      </c>
      <c r="H103" s="634">
        <v>1684</v>
      </c>
      <c r="I103" s="1577">
        <v>1498</v>
      </c>
      <c r="J103" s="1942">
        <v>1325</v>
      </c>
    </row>
    <row r="104" spans="1:10" x14ac:dyDescent="0.25">
      <c r="A104" s="632" t="s">
        <v>66</v>
      </c>
      <c r="B104" s="633" t="s">
        <v>67</v>
      </c>
      <c r="C104" s="633" t="s">
        <v>265</v>
      </c>
      <c r="D104" s="634">
        <v>998</v>
      </c>
      <c r="E104" s="634">
        <v>930</v>
      </c>
      <c r="F104" s="634">
        <v>868</v>
      </c>
      <c r="G104" s="634">
        <v>829</v>
      </c>
      <c r="H104" s="634">
        <v>753</v>
      </c>
      <c r="I104" s="1577">
        <v>705</v>
      </c>
      <c r="J104" s="1942">
        <v>600</v>
      </c>
    </row>
    <row r="105" spans="1:10" x14ac:dyDescent="0.25">
      <c r="A105" s="632" t="s">
        <v>82</v>
      </c>
      <c r="B105" s="633" t="s">
        <v>83</v>
      </c>
      <c r="C105" s="633" t="s">
        <v>264</v>
      </c>
      <c r="D105" s="634">
        <v>202</v>
      </c>
      <c r="E105" s="634">
        <v>216</v>
      </c>
      <c r="F105" s="634">
        <v>243</v>
      </c>
      <c r="G105" s="634">
        <v>217</v>
      </c>
      <c r="H105" s="634">
        <v>167</v>
      </c>
      <c r="I105" s="1577">
        <v>145</v>
      </c>
      <c r="J105" s="1942">
        <v>117</v>
      </c>
    </row>
    <row r="106" spans="1:10" x14ac:dyDescent="0.25">
      <c r="A106" s="632" t="s">
        <v>88</v>
      </c>
      <c r="B106" s="633" t="s">
        <v>89</v>
      </c>
      <c r="C106" s="633" t="s">
        <v>267</v>
      </c>
      <c r="D106" s="634">
        <v>403</v>
      </c>
      <c r="E106" s="634">
        <v>407</v>
      </c>
      <c r="F106" s="634">
        <v>388</v>
      </c>
      <c r="G106" s="634">
        <v>367</v>
      </c>
      <c r="H106" s="634">
        <v>345</v>
      </c>
      <c r="I106" s="1577">
        <v>322</v>
      </c>
      <c r="J106" s="1942">
        <v>285</v>
      </c>
    </row>
    <row r="107" spans="1:10" x14ac:dyDescent="0.25">
      <c r="A107" s="632" t="s">
        <v>90</v>
      </c>
      <c r="B107" s="633" t="s">
        <v>91</v>
      </c>
      <c r="C107" s="633" t="s">
        <v>268</v>
      </c>
      <c r="D107" s="634">
        <v>187</v>
      </c>
      <c r="E107" s="634">
        <v>155</v>
      </c>
      <c r="F107" s="634">
        <v>135</v>
      </c>
      <c r="G107" s="634">
        <v>114</v>
      </c>
      <c r="H107" s="634">
        <v>92</v>
      </c>
      <c r="I107" s="1577">
        <v>70</v>
      </c>
      <c r="J107" s="1942">
        <v>71</v>
      </c>
    </row>
    <row r="108" spans="1:10" x14ac:dyDescent="0.25">
      <c r="A108" s="632" t="s">
        <v>106</v>
      </c>
      <c r="B108" s="633" t="s">
        <v>107</v>
      </c>
      <c r="C108" s="633" t="s">
        <v>264</v>
      </c>
      <c r="D108" s="634">
        <v>2236</v>
      </c>
      <c r="E108" s="634">
        <v>2346</v>
      </c>
      <c r="F108" s="634">
        <v>2323</v>
      </c>
      <c r="G108" s="634">
        <v>2190</v>
      </c>
      <c r="H108" s="634">
        <v>2005</v>
      </c>
      <c r="I108" s="1577">
        <v>1745</v>
      </c>
      <c r="J108" s="1942">
        <v>1617</v>
      </c>
    </row>
    <row r="109" spans="1:10" x14ac:dyDescent="0.25">
      <c r="A109" s="632" t="s">
        <v>116</v>
      </c>
      <c r="B109" s="633" t="s">
        <v>117</v>
      </c>
      <c r="C109" s="633" t="s">
        <v>266</v>
      </c>
      <c r="D109" s="634">
        <v>614</v>
      </c>
      <c r="E109" s="634">
        <v>605</v>
      </c>
      <c r="F109" s="634">
        <v>549</v>
      </c>
      <c r="G109" s="634">
        <v>554</v>
      </c>
      <c r="H109" s="634">
        <v>517</v>
      </c>
      <c r="I109" s="1577">
        <v>497</v>
      </c>
      <c r="J109" s="1942">
        <v>457</v>
      </c>
    </row>
    <row r="110" spans="1:10" x14ac:dyDescent="0.25">
      <c r="A110" s="632" t="s">
        <v>138</v>
      </c>
      <c r="B110" s="633" t="s">
        <v>139</v>
      </c>
      <c r="C110" s="633" t="s">
        <v>265</v>
      </c>
      <c r="D110" s="634">
        <v>1153</v>
      </c>
      <c r="E110" s="634">
        <v>1168</v>
      </c>
      <c r="F110" s="634">
        <v>1118</v>
      </c>
      <c r="G110" s="634">
        <v>999</v>
      </c>
      <c r="H110" s="634">
        <v>907</v>
      </c>
      <c r="I110" s="1577">
        <v>814</v>
      </c>
      <c r="J110" s="1942">
        <v>703</v>
      </c>
    </row>
    <row r="111" spans="1:10" x14ac:dyDescent="0.25">
      <c r="A111" s="632" t="s">
        <v>142</v>
      </c>
      <c r="B111" s="633" t="s">
        <v>143</v>
      </c>
      <c r="C111" s="633" t="s">
        <v>267</v>
      </c>
      <c r="D111" s="634">
        <v>400</v>
      </c>
      <c r="E111" s="634">
        <v>414</v>
      </c>
      <c r="F111" s="634">
        <v>369</v>
      </c>
      <c r="G111" s="634">
        <v>291</v>
      </c>
      <c r="H111" s="634">
        <v>291</v>
      </c>
      <c r="I111" s="1577">
        <v>245</v>
      </c>
      <c r="J111" s="1942">
        <v>183</v>
      </c>
    </row>
    <row r="112" spans="1:10" x14ac:dyDescent="0.25">
      <c r="A112" s="632" t="s">
        <v>144</v>
      </c>
      <c r="B112" s="633" t="s">
        <v>145</v>
      </c>
      <c r="C112" s="633" t="s">
        <v>267</v>
      </c>
      <c r="D112" s="634">
        <v>114</v>
      </c>
      <c r="E112" s="634">
        <v>82</v>
      </c>
      <c r="F112" s="634">
        <v>93</v>
      </c>
      <c r="G112" s="634">
        <v>85</v>
      </c>
      <c r="H112" s="634">
        <v>83</v>
      </c>
      <c r="I112" s="1577">
        <v>66</v>
      </c>
      <c r="J112" s="1942">
        <v>48</v>
      </c>
    </row>
    <row r="113" spans="1:10" x14ac:dyDescent="0.25">
      <c r="A113" s="632" t="s">
        <v>158</v>
      </c>
      <c r="B113" s="633" t="s">
        <v>159</v>
      </c>
      <c r="C113" s="633" t="s">
        <v>264</v>
      </c>
      <c r="D113" s="634">
        <v>3296</v>
      </c>
      <c r="E113" s="634">
        <v>3418</v>
      </c>
      <c r="F113" s="634">
        <v>3322</v>
      </c>
      <c r="G113" s="634">
        <v>3168</v>
      </c>
      <c r="H113" s="634">
        <v>2800</v>
      </c>
      <c r="I113" s="1577">
        <v>2499</v>
      </c>
      <c r="J113" s="1942">
        <v>2418</v>
      </c>
    </row>
    <row r="114" spans="1:10" x14ac:dyDescent="0.25">
      <c r="A114" s="632" t="s">
        <v>160</v>
      </c>
      <c r="B114" s="633" t="s">
        <v>161</v>
      </c>
      <c r="C114" s="633" t="s">
        <v>264</v>
      </c>
      <c r="D114" s="634">
        <v>4169</v>
      </c>
      <c r="E114" s="634">
        <v>4235</v>
      </c>
      <c r="F114" s="634">
        <v>4056</v>
      </c>
      <c r="G114" s="634">
        <v>3769</v>
      </c>
      <c r="H114" s="634">
        <v>3426</v>
      </c>
      <c r="I114" s="1577">
        <v>2884</v>
      </c>
      <c r="J114" s="1942">
        <v>2538</v>
      </c>
    </row>
    <row r="115" spans="1:10" x14ac:dyDescent="0.25">
      <c r="A115" s="632" t="s">
        <v>166</v>
      </c>
      <c r="B115" s="633" t="s">
        <v>167</v>
      </c>
      <c r="C115" s="633" t="s">
        <v>268</v>
      </c>
      <c r="D115" s="634">
        <v>110</v>
      </c>
      <c r="E115" s="634">
        <v>98</v>
      </c>
      <c r="F115" s="634">
        <v>89</v>
      </c>
      <c r="G115" s="634">
        <v>87</v>
      </c>
      <c r="H115" s="634">
        <v>89</v>
      </c>
      <c r="I115" s="1577">
        <v>86</v>
      </c>
      <c r="J115" s="1942">
        <v>75</v>
      </c>
    </row>
    <row r="116" spans="1:10" x14ac:dyDescent="0.25">
      <c r="A116" s="632" t="s">
        <v>176</v>
      </c>
      <c r="B116" s="633" t="s">
        <v>177</v>
      </c>
      <c r="C116" s="633" t="s">
        <v>266</v>
      </c>
      <c r="D116" s="634">
        <v>1116</v>
      </c>
      <c r="E116" s="634">
        <v>1117</v>
      </c>
      <c r="F116" s="634">
        <v>1004</v>
      </c>
      <c r="G116" s="634">
        <v>943</v>
      </c>
      <c r="H116" s="634">
        <v>878</v>
      </c>
      <c r="I116" s="1577">
        <v>840</v>
      </c>
      <c r="J116" s="1942">
        <v>758</v>
      </c>
    </row>
    <row r="117" spans="1:10" x14ac:dyDescent="0.25">
      <c r="A117" s="632" t="s">
        <v>180</v>
      </c>
      <c r="B117" s="633" t="s">
        <v>181</v>
      </c>
      <c r="C117" s="633" t="s">
        <v>264</v>
      </c>
      <c r="D117" s="634">
        <v>2242</v>
      </c>
      <c r="E117" s="634">
        <v>2185</v>
      </c>
      <c r="F117" s="634">
        <v>2096</v>
      </c>
      <c r="G117" s="634">
        <v>1961</v>
      </c>
      <c r="H117" s="634">
        <v>1771</v>
      </c>
      <c r="I117" s="1577">
        <v>1632</v>
      </c>
      <c r="J117" s="1942">
        <v>1467</v>
      </c>
    </row>
    <row r="118" spans="1:10" x14ac:dyDescent="0.25">
      <c r="A118" s="632" t="s">
        <v>192</v>
      </c>
      <c r="B118" s="633" t="s">
        <v>193</v>
      </c>
      <c r="C118" s="633" t="s">
        <v>268</v>
      </c>
      <c r="D118" s="634">
        <v>152</v>
      </c>
      <c r="E118" s="634">
        <v>151</v>
      </c>
      <c r="F118" s="634">
        <v>144</v>
      </c>
      <c r="G118" s="634">
        <v>140</v>
      </c>
      <c r="H118" s="634">
        <v>150</v>
      </c>
      <c r="I118" s="1577">
        <v>118</v>
      </c>
      <c r="J118" s="1942">
        <v>103</v>
      </c>
    </row>
    <row r="119" spans="1:10" x14ac:dyDescent="0.25">
      <c r="A119" s="632" t="s">
        <v>196</v>
      </c>
      <c r="B119" s="633" t="s">
        <v>197</v>
      </c>
      <c r="C119" s="633" t="s">
        <v>266</v>
      </c>
      <c r="D119" s="634">
        <v>4869</v>
      </c>
      <c r="E119" s="634">
        <v>4996</v>
      </c>
      <c r="F119" s="634">
        <v>4720</v>
      </c>
      <c r="G119" s="634">
        <v>4362</v>
      </c>
      <c r="H119" s="634">
        <v>3909</v>
      </c>
      <c r="I119" s="1577">
        <v>3505</v>
      </c>
      <c r="J119" s="1942">
        <v>3098</v>
      </c>
    </row>
    <row r="120" spans="1:10" x14ac:dyDescent="0.25">
      <c r="A120" s="632" t="s">
        <v>200</v>
      </c>
      <c r="B120" s="633" t="s">
        <v>201</v>
      </c>
      <c r="C120" s="633" t="s">
        <v>265</v>
      </c>
      <c r="D120" s="634">
        <v>2320</v>
      </c>
      <c r="E120" s="634">
        <v>2356</v>
      </c>
      <c r="F120" s="634">
        <v>2283</v>
      </c>
      <c r="G120" s="634">
        <v>2089</v>
      </c>
      <c r="H120" s="634">
        <v>1920</v>
      </c>
      <c r="I120" s="1577">
        <v>1708</v>
      </c>
      <c r="J120" s="1942">
        <v>1546</v>
      </c>
    </row>
    <row r="121" spans="1:10" x14ac:dyDescent="0.25">
      <c r="A121" s="632" t="s">
        <v>222</v>
      </c>
      <c r="B121" s="633" t="s">
        <v>223</v>
      </c>
      <c r="C121" s="633" t="s">
        <v>264</v>
      </c>
      <c r="D121" s="634">
        <v>836</v>
      </c>
      <c r="E121" s="634">
        <v>819</v>
      </c>
      <c r="F121" s="634">
        <v>743</v>
      </c>
      <c r="G121" s="634">
        <v>723</v>
      </c>
      <c r="H121" s="634">
        <v>713</v>
      </c>
      <c r="I121" s="1577">
        <v>625</v>
      </c>
      <c r="J121" s="1942">
        <v>603</v>
      </c>
    </row>
    <row r="122" spans="1:10" x14ac:dyDescent="0.25">
      <c r="A122" s="632" t="s">
        <v>230</v>
      </c>
      <c r="B122" s="633" t="s">
        <v>231</v>
      </c>
      <c r="C122" s="633" t="s">
        <v>264</v>
      </c>
      <c r="D122" s="634">
        <v>2301</v>
      </c>
      <c r="E122" s="634">
        <v>2317</v>
      </c>
      <c r="F122" s="634">
        <v>2203</v>
      </c>
      <c r="G122" s="634">
        <v>1980</v>
      </c>
      <c r="H122" s="634">
        <v>1766</v>
      </c>
      <c r="I122" s="1577">
        <v>1502</v>
      </c>
      <c r="J122" s="1942">
        <v>1268</v>
      </c>
    </row>
    <row r="123" spans="1:10" x14ac:dyDescent="0.25">
      <c r="A123" s="632" t="s">
        <v>238</v>
      </c>
      <c r="B123" s="633" t="s">
        <v>239</v>
      </c>
      <c r="C123" s="633" t="s">
        <v>264</v>
      </c>
      <c r="D123" s="634">
        <v>83</v>
      </c>
      <c r="E123" s="634">
        <v>87</v>
      </c>
      <c r="F123" s="634">
        <v>93</v>
      </c>
      <c r="G123" s="634">
        <v>81</v>
      </c>
      <c r="H123" s="634">
        <v>71</v>
      </c>
      <c r="I123" s="1577">
        <v>59</v>
      </c>
      <c r="J123" s="1942">
        <v>51</v>
      </c>
    </row>
    <row r="124" spans="1:10" x14ac:dyDescent="0.25">
      <c r="A124" s="552" t="s">
        <v>240</v>
      </c>
      <c r="B124" s="541" t="s">
        <v>241</v>
      </c>
      <c r="C124" s="541" t="s">
        <v>267</v>
      </c>
      <c r="D124" s="546">
        <v>300</v>
      </c>
      <c r="E124" s="546">
        <v>318</v>
      </c>
      <c r="F124" s="546">
        <v>290</v>
      </c>
      <c r="G124" s="546">
        <v>256</v>
      </c>
      <c r="H124" s="546">
        <v>206</v>
      </c>
      <c r="I124" s="1578">
        <v>169</v>
      </c>
      <c r="J124" s="1578">
        <v>177</v>
      </c>
    </row>
    <row r="126" spans="1:10" ht="31.5" customHeight="1" x14ac:dyDescent="0.25">
      <c r="A126" s="2270" t="s">
        <v>1313</v>
      </c>
      <c r="B126" s="2270"/>
      <c r="C126" s="2270"/>
      <c r="D126" s="2270"/>
      <c r="E126" s="2270"/>
      <c r="F126" s="2270"/>
      <c r="G126" s="2270"/>
      <c r="H126" s="2270"/>
      <c r="I126" s="1576"/>
      <c r="J126" s="1928"/>
    </row>
    <row r="128" spans="1:10" s="412" customFormat="1" x14ac:dyDescent="0.25">
      <c r="A128" s="412" t="s">
        <v>248</v>
      </c>
    </row>
    <row r="129" spans="1:3" s="412" customFormat="1" x14ac:dyDescent="0.25">
      <c r="A129" s="413" t="s">
        <v>249</v>
      </c>
      <c r="B129" s="414" t="s">
        <v>250</v>
      </c>
      <c r="C129" s="414"/>
    </row>
  </sheetData>
  <autoFilter ref="A3:C3"/>
  <sortState ref="A5:J124">
    <sortCondition ref="A5:A124"/>
  </sortState>
  <mergeCells count="1">
    <mergeCell ref="A126:H126"/>
  </mergeCells>
  <hyperlinks>
    <hyperlink ref="B129" r:id="rId1"/>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29"/>
  <sheetViews>
    <sheetView workbookViewId="0">
      <selection activeCell="B1" sqref="B1"/>
    </sheetView>
  </sheetViews>
  <sheetFormatPr defaultRowHeight="15.75" x14ac:dyDescent="0.25"/>
  <cols>
    <col min="1" max="1" width="5.875" style="529" customWidth="1"/>
    <col min="2" max="2" width="30.25" style="529" customWidth="1"/>
    <col min="3" max="3" width="12.375" style="529" customWidth="1"/>
    <col min="4" max="8" width="10.875" style="529" customWidth="1"/>
    <col min="9" max="10" width="8.75" style="529" customWidth="1"/>
    <col min="11" max="16384" width="9" style="529"/>
  </cols>
  <sheetData>
    <row r="1" spans="1:10" x14ac:dyDescent="0.25">
      <c r="A1" s="258" t="s">
        <v>1316</v>
      </c>
    </row>
    <row r="3" spans="1:10" x14ac:dyDescent="0.25">
      <c r="A3" s="637" t="s">
        <v>4</v>
      </c>
      <c r="B3" s="592" t="s">
        <v>5</v>
      </c>
      <c r="C3" s="592" t="s">
        <v>251</v>
      </c>
      <c r="D3" s="643">
        <v>2010</v>
      </c>
      <c r="E3" s="643">
        <v>2011</v>
      </c>
      <c r="F3" s="643">
        <v>2012</v>
      </c>
      <c r="G3" s="643">
        <v>2013</v>
      </c>
      <c r="H3" s="643">
        <v>2014</v>
      </c>
      <c r="I3" s="1582">
        <v>2015</v>
      </c>
      <c r="J3" s="1582">
        <v>2016</v>
      </c>
    </row>
    <row r="4" spans="1:10" x14ac:dyDescent="0.25">
      <c r="A4" s="597">
        <v>999</v>
      </c>
      <c r="B4" s="630" t="s">
        <v>9</v>
      </c>
      <c r="C4" s="593"/>
      <c r="D4" s="556">
        <f>SUM(D5:D124)</f>
        <v>512847</v>
      </c>
      <c r="E4" s="556">
        <f t="shared" ref="E4:H4" si="0">SUM(E5:E124)</f>
        <v>572122</v>
      </c>
      <c r="F4" s="556">
        <f t="shared" si="0"/>
        <v>610095</v>
      </c>
      <c r="G4" s="556">
        <f t="shared" si="0"/>
        <v>635192</v>
      </c>
      <c r="H4" s="556">
        <f t="shared" si="0"/>
        <v>629853</v>
      </c>
      <c r="I4" s="1583">
        <v>592941</v>
      </c>
      <c r="J4" s="1583">
        <v>554503</v>
      </c>
    </row>
    <row r="5" spans="1:10" x14ac:dyDescent="0.25">
      <c r="A5" s="548" t="s">
        <v>10</v>
      </c>
      <c r="B5" s="594" t="s">
        <v>11</v>
      </c>
      <c r="C5" s="594" t="s">
        <v>264</v>
      </c>
      <c r="D5" s="542">
        <v>3524</v>
      </c>
      <c r="E5" s="542">
        <v>3901</v>
      </c>
      <c r="F5" s="542">
        <v>4257</v>
      </c>
      <c r="G5" s="542">
        <v>4419</v>
      </c>
      <c r="H5" s="542">
        <v>4404</v>
      </c>
      <c r="I5" s="1580">
        <v>4081</v>
      </c>
      <c r="J5" s="1943">
        <v>3754</v>
      </c>
    </row>
    <row r="6" spans="1:10" x14ac:dyDescent="0.25">
      <c r="A6" s="632" t="s">
        <v>12</v>
      </c>
      <c r="B6" s="633" t="s">
        <v>13</v>
      </c>
      <c r="C6" s="633" t="s">
        <v>265</v>
      </c>
      <c r="D6" s="634">
        <v>3792</v>
      </c>
      <c r="E6" s="634">
        <v>4360</v>
      </c>
      <c r="F6" s="634">
        <v>4624</v>
      </c>
      <c r="G6" s="634">
        <v>4746</v>
      </c>
      <c r="H6" s="634">
        <v>4656</v>
      </c>
      <c r="I6" s="1580">
        <v>4327</v>
      </c>
      <c r="J6" s="1943">
        <v>3736</v>
      </c>
    </row>
    <row r="7" spans="1:10" x14ac:dyDescent="0.25">
      <c r="A7" s="632" t="s">
        <v>16</v>
      </c>
      <c r="B7" s="633" t="s">
        <v>297</v>
      </c>
      <c r="C7" s="633" t="s">
        <v>265</v>
      </c>
      <c r="D7" s="634">
        <v>2015</v>
      </c>
      <c r="E7" s="634">
        <v>2129</v>
      </c>
      <c r="F7" s="634">
        <v>2328</v>
      </c>
      <c r="G7" s="634">
        <v>2383</v>
      </c>
      <c r="H7" s="634">
        <v>2374</v>
      </c>
      <c r="I7" s="1580">
        <v>2272</v>
      </c>
      <c r="J7" s="1943">
        <v>2098</v>
      </c>
    </row>
    <row r="8" spans="1:10" x14ac:dyDescent="0.25">
      <c r="A8" s="632" t="s">
        <v>18</v>
      </c>
      <c r="B8" s="633" t="s">
        <v>19</v>
      </c>
      <c r="C8" s="633" t="s">
        <v>266</v>
      </c>
      <c r="D8" s="634">
        <v>1184</v>
      </c>
      <c r="E8" s="634">
        <v>1311</v>
      </c>
      <c r="F8" s="634">
        <v>1373</v>
      </c>
      <c r="G8" s="634">
        <v>1367</v>
      </c>
      <c r="H8" s="634">
        <v>1318</v>
      </c>
      <c r="I8" s="1580">
        <v>1206</v>
      </c>
      <c r="J8" s="1943">
        <v>1120</v>
      </c>
    </row>
    <row r="9" spans="1:10" x14ac:dyDescent="0.25">
      <c r="A9" s="632" t="s">
        <v>20</v>
      </c>
      <c r="B9" s="633" t="s">
        <v>21</v>
      </c>
      <c r="C9" s="633" t="s">
        <v>265</v>
      </c>
      <c r="D9" s="634">
        <v>2446</v>
      </c>
      <c r="E9" s="634">
        <v>2616</v>
      </c>
      <c r="F9" s="634">
        <v>2687</v>
      </c>
      <c r="G9" s="634">
        <v>2738</v>
      </c>
      <c r="H9" s="634">
        <v>2599</v>
      </c>
      <c r="I9" s="1580">
        <v>2366</v>
      </c>
      <c r="J9" s="1943">
        <v>2291</v>
      </c>
    </row>
    <row r="10" spans="1:10" x14ac:dyDescent="0.25">
      <c r="A10" s="632" t="s">
        <v>22</v>
      </c>
      <c r="B10" s="633" t="s">
        <v>23</v>
      </c>
      <c r="C10" s="633" t="s">
        <v>265</v>
      </c>
      <c r="D10" s="634">
        <v>1380</v>
      </c>
      <c r="E10" s="634">
        <v>1514</v>
      </c>
      <c r="F10" s="634">
        <v>1624</v>
      </c>
      <c r="G10" s="634">
        <v>1678</v>
      </c>
      <c r="H10" s="634">
        <v>1680</v>
      </c>
      <c r="I10" s="1580">
        <v>1603</v>
      </c>
      <c r="J10" s="1943">
        <v>1516</v>
      </c>
    </row>
    <row r="11" spans="1:10" x14ac:dyDescent="0.25">
      <c r="A11" s="632" t="s">
        <v>24</v>
      </c>
      <c r="B11" s="633" t="s">
        <v>25</v>
      </c>
      <c r="C11" s="633" t="s">
        <v>267</v>
      </c>
      <c r="D11" s="634">
        <v>4996</v>
      </c>
      <c r="E11" s="634">
        <v>5712</v>
      </c>
      <c r="F11" s="634">
        <v>6180</v>
      </c>
      <c r="G11" s="634">
        <v>6608</v>
      </c>
      <c r="H11" s="634">
        <v>6745</v>
      </c>
      <c r="I11" s="1580">
        <v>6451</v>
      </c>
      <c r="J11" s="1943">
        <v>6202</v>
      </c>
    </row>
    <row r="12" spans="1:10" x14ac:dyDescent="0.25">
      <c r="A12" s="632" t="s">
        <v>26</v>
      </c>
      <c r="B12" s="633" t="s">
        <v>686</v>
      </c>
      <c r="C12" s="633" t="s">
        <v>265</v>
      </c>
      <c r="D12" s="634">
        <v>8589</v>
      </c>
      <c r="E12" s="634">
        <v>9796</v>
      </c>
      <c r="F12" s="634">
        <v>10423</v>
      </c>
      <c r="G12" s="634">
        <v>11300</v>
      </c>
      <c r="H12" s="634">
        <v>10452</v>
      </c>
      <c r="I12" s="1580">
        <v>9420</v>
      </c>
      <c r="J12" s="1943">
        <v>8278</v>
      </c>
    </row>
    <row r="13" spans="1:10" x14ac:dyDescent="0.25">
      <c r="A13" s="632" t="s">
        <v>27</v>
      </c>
      <c r="B13" s="633" t="s">
        <v>28</v>
      </c>
      <c r="C13" s="633" t="s">
        <v>265</v>
      </c>
      <c r="D13" s="634">
        <v>252</v>
      </c>
      <c r="E13" s="634">
        <v>251</v>
      </c>
      <c r="F13" s="634">
        <v>291</v>
      </c>
      <c r="G13" s="634">
        <v>308</v>
      </c>
      <c r="H13" s="634">
        <v>279</v>
      </c>
      <c r="I13" s="1580">
        <v>261</v>
      </c>
      <c r="J13" s="1943">
        <v>244</v>
      </c>
    </row>
    <row r="14" spans="1:10" x14ac:dyDescent="0.25">
      <c r="A14" s="632" t="s">
        <v>29</v>
      </c>
      <c r="B14" s="633" t="s">
        <v>924</v>
      </c>
      <c r="C14" s="633" t="s">
        <v>265</v>
      </c>
      <c r="D14" s="634">
        <v>3967</v>
      </c>
      <c r="E14" s="634">
        <v>4436</v>
      </c>
      <c r="F14" s="634">
        <v>4623</v>
      </c>
      <c r="G14" s="634">
        <v>4705</v>
      </c>
      <c r="H14" s="634">
        <v>5028</v>
      </c>
      <c r="I14" s="1580">
        <v>4159</v>
      </c>
      <c r="J14" s="1943">
        <v>3755</v>
      </c>
    </row>
    <row r="15" spans="1:10" x14ac:dyDescent="0.25">
      <c r="A15" s="632" t="s">
        <v>30</v>
      </c>
      <c r="B15" s="633" t="s">
        <v>31</v>
      </c>
      <c r="C15" s="633" t="s">
        <v>268</v>
      </c>
      <c r="D15" s="634">
        <v>377</v>
      </c>
      <c r="E15" s="634">
        <v>418</v>
      </c>
      <c r="F15" s="634">
        <v>424</v>
      </c>
      <c r="G15" s="634">
        <v>436</v>
      </c>
      <c r="H15" s="634">
        <v>422</v>
      </c>
      <c r="I15" s="1580">
        <v>392</v>
      </c>
      <c r="J15" s="1943">
        <v>380</v>
      </c>
    </row>
    <row r="16" spans="1:10" x14ac:dyDescent="0.25">
      <c r="A16" s="632" t="s">
        <v>32</v>
      </c>
      <c r="B16" s="633" t="s">
        <v>33</v>
      </c>
      <c r="C16" s="633" t="s">
        <v>265</v>
      </c>
      <c r="D16" s="634">
        <v>1020</v>
      </c>
      <c r="E16" s="634">
        <v>1074</v>
      </c>
      <c r="F16" s="634">
        <v>1195</v>
      </c>
      <c r="G16" s="634">
        <v>1236</v>
      </c>
      <c r="H16" s="634">
        <v>1230</v>
      </c>
      <c r="I16" s="1580">
        <v>1167</v>
      </c>
      <c r="J16" s="1943">
        <v>1162</v>
      </c>
    </row>
    <row r="17" spans="1:10" x14ac:dyDescent="0.25">
      <c r="A17" s="632" t="s">
        <v>36</v>
      </c>
      <c r="B17" s="633" t="s">
        <v>37</v>
      </c>
      <c r="C17" s="633" t="s">
        <v>264</v>
      </c>
      <c r="D17" s="634">
        <v>2390</v>
      </c>
      <c r="E17" s="634">
        <v>2565</v>
      </c>
      <c r="F17" s="634">
        <v>2653</v>
      </c>
      <c r="G17" s="634">
        <v>2699</v>
      </c>
      <c r="H17" s="634">
        <v>2712</v>
      </c>
      <c r="I17" s="1580">
        <v>2537</v>
      </c>
      <c r="J17" s="1943">
        <v>2498</v>
      </c>
    </row>
    <row r="18" spans="1:10" x14ac:dyDescent="0.25">
      <c r="A18" s="632" t="s">
        <v>38</v>
      </c>
      <c r="B18" s="633" t="s">
        <v>39</v>
      </c>
      <c r="C18" s="633" t="s">
        <v>268</v>
      </c>
      <c r="D18" s="634">
        <v>2919</v>
      </c>
      <c r="E18" s="634">
        <v>2937</v>
      </c>
      <c r="F18" s="634">
        <v>3010</v>
      </c>
      <c r="G18" s="634">
        <v>3154</v>
      </c>
      <c r="H18" s="634">
        <v>3154</v>
      </c>
      <c r="I18" s="1580">
        <v>3136</v>
      </c>
      <c r="J18" s="1943">
        <v>3157</v>
      </c>
    </row>
    <row r="19" spans="1:10" x14ac:dyDescent="0.25">
      <c r="A19" s="632" t="s">
        <v>40</v>
      </c>
      <c r="B19" s="633" t="s">
        <v>41</v>
      </c>
      <c r="C19" s="633" t="s">
        <v>266</v>
      </c>
      <c r="D19" s="634">
        <v>1907</v>
      </c>
      <c r="E19" s="634">
        <v>2125</v>
      </c>
      <c r="F19" s="634">
        <v>2280</v>
      </c>
      <c r="G19" s="634">
        <v>2301</v>
      </c>
      <c r="H19" s="634">
        <v>2190</v>
      </c>
      <c r="I19" s="1580">
        <v>2087</v>
      </c>
      <c r="J19" s="1943">
        <v>1834</v>
      </c>
    </row>
    <row r="20" spans="1:10" x14ac:dyDescent="0.25">
      <c r="A20" s="632" t="s">
        <v>42</v>
      </c>
      <c r="B20" s="633" t="s">
        <v>43</v>
      </c>
      <c r="C20" s="633" t="s">
        <v>265</v>
      </c>
      <c r="D20" s="634">
        <v>4370</v>
      </c>
      <c r="E20" s="634">
        <v>4808</v>
      </c>
      <c r="F20" s="634">
        <v>5024</v>
      </c>
      <c r="G20" s="634">
        <v>5136</v>
      </c>
      <c r="H20" s="634">
        <v>5151</v>
      </c>
      <c r="I20" s="1580">
        <v>5016</v>
      </c>
      <c r="J20" s="1943">
        <v>4628</v>
      </c>
    </row>
    <row r="21" spans="1:10" x14ac:dyDescent="0.25">
      <c r="A21" s="632" t="s">
        <v>44</v>
      </c>
      <c r="B21" s="633" t="s">
        <v>45</v>
      </c>
      <c r="C21" s="633" t="s">
        <v>266</v>
      </c>
      <c r="D21" s="634">
        <v>2757</v>
      </c>
      <c r="E21" s="634">
        <v>3010</v>
      </c>
      <c r="F21" s="634">
        <v>3234</v>
      </c>
      <c r="G21" s="634">
        <v>3337</v>
      </c>
      <c r="H21" s="634">
        <v>3257</v>
      </c>
      <c r="I21" s="1580">
        <v>3122</v>
      </c>
      <c r="J21" s="1943">
        <v>2850</v>
      </c>
    </row>
    <row r="22" spans="1:10" x14ac:dyDescent="0.25">
      <c r="A22" s="632" t="s">
        <v>46</v>
      </c>
      <c r="B22" s="633" t="s">
        <v>47</v>
      </c>
      <c r="C22" s="633" t="s">
        <v>268</v>
      </c>
      <c r="D22" s="634">
        <v>3174</v>
      </c>
      <c r="E22" s="634">
        <v>3435</v>
      </c>
      <c r="F22" s="634">
        <v>3542</v>
      </c>
      <c r="G22" s="634">
        <v>3590</v>
      </c>
      <c r="H22" s="634">
        <v>3562</v>
      </c>
      <c r="I22" s="1580">
        <v>3310</v>
      </c>
      <c r="J22" s="1943">
        <v>3153</v>
      </c>
    </row>
    <row r="23" spans="1:10" x14ac:dyDescent="0.25">
      <c r="A23" s="632" t="s">
        <v>48</v>
      </c>
      <c r="B23" s="633" t="s">
        <v>269</v>
      </c>
      <c r="C23" s="633" t="s">
        <v>266</v>
      </c>
      <c r="D23" s="634">
        <v>663</v>
      </c>
      <c r="E23" s="634">
        <v>691</v>
      </c>
      <c r="F23" s="634">
        <v>754</v>
      </c>
      <c r="G23" s="634">
        <v>798</v>
      </c>
      <c r="H23" s="634">
        <v>774</v>
      </c>
      <c r="I23" s="1580">
        <v>722</v>
      </c>
      <c r="J23" s="1943">
        <v>674</v>
      </c>
    </row>
    <row r="24" spans="1:10" x14ac:dyDescent="0.25">
      <c r="A24" s="632" t="s">
        <v>50</v>
      </c>
      <c r="B24" s="633" t="s">
        <v>51</v>
      </c>
      <c r="C24" s="633" t="s">
        <v>265</v>
      </c>
      <c r="D24" s="634">
        <v>1445</v>
      </c>
      <c r="E24" s="634">
        <v>1503</v>
      </c>
      <c r="F24" s="634">
        <v>1587</v>
      </c>
      <c r="G24" s="634">
        <v>1576</v>
      </c>
      <c r="H24" s="634">
        <v>1504</v>
      </c>
      <c r="I24" s="1580">
        <v>1453</v>
      </c>
      <c r="J24" s="1943">
        <v>1426</v>
      </c>
    </row>
    <row r="25" spans="1:10" x14ac:dyDescent="0.25">
      <c r="A25" s="632" t="s">
        <v>56</v>
      </c>
      <c r="B25" s="633" t="s">
        <v>295</v>
      </c>
      <c r="C25" s="633" t="s">
        <v>266</v>
      </c>
      <c r="D25" s="634">
        <v>16443</v>
      </c>
      <c r="E25" s="634">
        <v>18880</v>
      </c>
      <c r="F25" s="634">
        <v>20382</v>
      </c>
      <c r="G25" s="634">
        <v>21584</v>
      </c>
      <c r="H25" s="634">
        <v>21498</v>
      </c>
      <c r="I25" s="1580">
        <v>20069</v>
      </c>
      <c r="J25" s="1943">
        <v>18416</v>
      </c>
    </row>
    <row r="26" spans="1:10" x14ac:dyDescent="0.25">
      <c r="A26" s="632" t="s">
        <v>58</v>
      </c>
      <c r="B26" s="633" t="s">
        <v>59</v>
      </c>
      <c r="C26" s="633" t="s">
        <v>267</v>
      </c>
      <c r="D26" s="634">
        <v>532</v>
      </c>
      <c r="E26" s="634">
        <v>618</v>
      </c>
      <c r="F26" s="634">
        <v>623</v>
      </c>
      <c r="G26" s="634">
        <v>600</v>
      </c>
      <c r="H26" s="634">
        <v>561</v>
      </c>
      <c r="I26" s="1580">
        <v>473</v>
      </c>
      <c r="J26" s="1943">
        <v>431</v>
      </c>
    </row>
    <row r="27" spans="1:10" x14ac:dyDescent="0.25">
      <c r="A27" s="632" t="s">
        <v>60</v>
      </c>
      <c r="B27" s="633" t="s">
        <v>61</v>
      </c>
      <c r="C27" s="633" t="s">
        <v>265</v>
      </c>
      <c r="D27" s="634">
        <v>319</v>
      </c>
      <c r="E27" s="634">
        <v>340</v>
      </c>
      <c r="F27" s="634">
        <v>371</v>
      </c>
      <c r="G27" s="634">
        <v>381</v>
      </c>
      <c r="H27" s="634">
        <v>363</v>
      </c>
      <c r="I27" s="1580">
        <v>377</v>
      </c>
      <c r="J27" s="1943">
        <v>377</v>
      </c>
    </row>
    <row r="28" spans="1:10" x14ac:dyDescent="0.25">
      <c r="A28" s="632" t="s">
        <v>62</v>
      </c>
      <c r="B28" s="633" t="s">
        <v>63</v>
      </c>
      <c r="C28" s="633" t="s">
        <v>267</v>
      </c>
      <c r="D28" s="634">
        <v>3108</v>
      </c>
      <c r="E28" s="634">
        <v>3414</v>
      </c>
      <c r="F28" s="634">
        <v>3535</v>
      </c>
      <c r="G28" s="634">
        <v>3723</v>
      </c>
      <c r="H28" s="634">
        <v>3603</v>
      </c>
      <c r="I28" s="1580">
        <v>3467</v>
      </c>
      <c r="J28" s="1943">
        <v>3149</v>
      </c>
    </row>
    <row r="29" spans="1:10" x14ac:dyDescent="0.25">
      <c r="A29" s="632" t="s">
        <v>64</v>
      </c>
      <c r="B29" s="633" t="s">
        <v>65</v>
      </c>
      <c r="C29" s="633" t="s">
        <v>266</v>
      </c>
      <c r="D29" s="634">
        <v>1202</v>
      </c>
      <c r="E29" s="634">
        <v>1301</v>
      </c>
      <c r="F29" s="634">
        <v>1386</v>
      </c>
      <c r="G29" s="634">
        <v>1410</v>
      </c>
      <c r="H29" s="634">
        <v>1413</v>
      </c>
      <c r="I29" s="1580">
        <v>1345</v>
      </c>
      <c r="J29" s="1943">
        <v>1164</v>
      </c>
    </row>
    <row r="30" spans="1:10" x14ac:dyDescent="0.25">
      <c r="A30" s="632" t="s">
        <v>68</v>
      </c>
      <c r="B30" s="633" t="s">
        <v>69</v>
      </c>
      <c r="C30" s="633" t="s">
        <v>268</v>
      </c>
      <c r="D30" s="634">
        <v>2015</v>
      </c>
      <c r="E30" s="634">
        <v>2080</v>
      </c>
      <c r="F30" s="634">
        <v>2150</v>
      </c>
      <c r="G30" s="634">
        <v>2226</v>
      </c>
      <c r="H30" s="634">
        <v>2211</v>
      </c>
      <c r="I30" s="1580">
        <v>2086</v>
      </c>
      <c r="J30" s="1943">
        <v>2136</v>
      </c>
    </row>
    <row r="31" spans="1:10" x14ac:dyDescent="0.25">
      <c r="A31" s="632" t="s">
        <v>70</v>
      </c>
      <c r="B31" s="633" t="s">
        <v>71</v>
      </c>
      <c r="C31" s="633" t="s">
        <v>264</v>
      </c>
      <c r="D31" s="634">
        <v>2738</v>
      </c>
      <c r="E31" s="634">
        <v>2936</v>
      </c>
      <c r="F31" s="634">
        <v>3112</v>
      </c>
      <c r="G31" s="634">
        <v>3114</v>
      </c>
      <c r="H31" s="634">
        <v>3058</v>
      </c>
      <c r="I31" s="1580">
        <v>3008</v>
      </c>
      <c r="J31" s="1943">
        <v>2879</v>
      </c>
    </row>
    <row r="32" spans="1:10" x14ac:dyDescent="0.25">
      <c r="A32" s="632" t="s">
        <v>72</v>
      </c>
      <c r="B32" s="633" t="s">
        <v>73</v>
      </c>
      <c r="C32" s="633" t="s">
        <v>266</v>
      </c>
      <c r="D32" s="634">
        <v>1244</v>
      </c>
      <c r="E32" s="634">
        <v>1365</v>
      </c>
      <c r="F32" s="634">
        <v>1503</v>
      </c>
      <c r="G32" s="634">
        <v>1541</v>
      </c>
      <c r="H32" s="634">
        <v>1498</v>
      </c>
      <c r="I32" s="1580">
        <v>1434</v>
      </c>
      <c r="J32" s="1943">
        <v>1300</v>
      </c>
    </row>
    <row r="33" spans="1:10" x14ac:dyDescent="0.25">
      <c r="A33" s="632" t="s">
        <v>74</v>
      </c>
      <c r="B33" s="633" t="s">
        <v>296</v>
      </c>
      <c r="C33" s="633" t="s">
        <v>267</v>
      </c>
      <c r="D33" s="634">
        <v>25410</v>
      </c>
      <c r="E33" s="634">
        <v>29341</v>
      </c>
      <c r="F33" s="634">
        <v>32354</v>
      </c>
      <c r="G33" s="634">
        <v>34720</v>
      </c>
      <c r="H33" s="634">
        <v>34788</v>
      </c>
      <c r="I33" s="1580">
        <v>32818</v>
      </c>
      <c r="J33" s="1943">
        <v>32659</v>
      </c>
    </row>
    <row r="34" spans="1:10" x14ac:dyDescent="0.25">
      <c r="A34" s="632" t="s">
        <v>76</v>
      </c>
      <c r="B34" s="633" t="s">
        <v>77</v>
      </c>
      <c r="C34" s="633" t="s">
        <v>267</v>
      </c>
      <c r="D34" s="634">
        <v>2526</v>
      </c>
      <c r="E34" s="634">
        <v>2780</v>
      </c>
      <c r="F34" s="634">
        <v>2956</v>
      </c>
      <c r="G34" s="634">
        <v>2999</v>
      </c>
      <c r="H34" s="634">
        <v>2906</v>
      </c>
      <c r="I34" s="1580">
        <v>2599</v>
      </c>
      <c r="J34" s="1943">
        <v>2337</v>
      </c>
    </row>
    <row r="35" spans="1:10" x14ac:dyDescent="0.25">
      <c r="A35" s="632" t="s">
        <v>78</v>
      </c>
      <c r="B35" s="633" t="s">
        <v>79</v>
      </c>
      <c r="C35" s="633" t="s">
        <v>268</v>
      </c>
      <c r="D35" s="634">
        <v>1135</v>
      </c>
      <c r="E35" s="634">
        <v>1262</v>
      </c>
      <c r="F35" s="634">
        <v>1341</v>
      </c>
      <c r="G35" s="634">
        <v>1335</v>
      </c>
      <c r="H35" s="634">
        <v>1275</v>
      </c>
      <c r="I35" s="1580">
        <v>1162</v>
      </c>
      <c r="J35" s="1943">
        <v>1109</v>
      </c>
    </row>
    <row r="36" spans="1:10" x14ac:dyDescent="0.25">
      <c r="A36" s="632" t="s">
        <v>80</v>
      </c>
      <c r="B36" s="633" t="s">
        <v>81</v>
      </c>
      <c r="C36" s="633" t="s">
        <v>266</v>
      </c>
      <c r="D36" s="634">
        <v>881</v>
      </c>
      <c r="E36" s="634">
        <v>1041</v>
      </c>
      <c r="F36" s="634">
        <v>1178</v>
      </c>
      <c r="G36" s="634">
        <v>1204</v>
      </c>
      <c r="H36" s="634">
        <v>1173</v>
      </c>
      <c r="I36" s="1580">
        <v>1119</v>
      </c>
      <c r="J36" s="1943">
        <v>1009</v>
      </c>
    </row>
    <row r="37" spans="1:10" x14ac:dyDescent="0.25">
      <c r="A37" s="632" t="s">
        <v>84</v>
      </c>
      <c r="B37" s="633" t="s">
        <v>85</v>
      </c>
      <c r="C37" s="633" t="s">
        <v>265</v>
      </c>
      <c r="D37" s="634">
        <v>4567</v>
      </c>
      <c r="E37" s="634">
        <v>4924</v>
      </c>
      <c r="F37" s="634">
        <v>5105</v>
      </c>
      <c r="G37" s="634">
        <v>5156</v>
      </c>
      <c r="H37" s="634">
        <v>5106</v>
      </c>
      <c r="I37" s="1580">
        <v>4760</v>
      </c>
      <c r="J37" s="1943">
        <v>4341</v>
      </c>
    </row>
    <row r="38" spans="1:10" x14ac:dyDescent="0.25">
      <c r="A38" s="632" t="s">
        <v>86</v>
      </c>
      <c r="B38" s="633" t="s">
        <v>87</v>
      </c>
      <c r="C38" s="633" t="s">
        <v>267</v>
      </c>
      <c r="D38" s="634">
        <v>3781</v>
      </c>
      <c r="E38" s="634">
        <v>4301</v>
      </c>
      <c r="F38" s="634">
        <v>4597</v>
      </c>
      <c r="G38" s="634">
        <v>4722</v>
      </c>
      <c r="H38" s="634">
        <v>4335</v>
      </c>
      <c r="I38" s="1580">
        <v>3995</v>
      </c>
      <c r="J38" s="1943">
        <v>3674</v>
      </c>
    </row>
    <row r="39" spans="1:10" x14ac:dyDescent="0.25">
      <c r="A39" s="632" t="s">
        <v>92</v>
      </c>
      <c r="B39" s="633" t="s">
        <v>93</v>
      </c>
      <c r="C39" s="633" t="s">
        <v>268</v>
      </c>
      <c r="D39" s="634">
        <v>1491</v>
      </c>
      <c r="E39" s="634">
        <v>1628</v>
      </c>
      <c r="F39" s="634">
        <v>1598</v>
      </c>
      <c r="G39" s="634">
        <v>1599</v>
      </c>
      <c r="H39" s="634">
        <v>1662</v>
      </c>
      <c r="I39" s="1580">
        <v>1517</v>
      </c>
      <c r="J39" s="1943">
        <v>1459</v>
      </c>
    </row>
    <row r="40" spans="1:10" x14ac:dyDescent="0.25">
      <c r="A40" s="632" t="s">
        <v>94</v>
      </c>
      <c r="B40" s="633" t="s">
        <v>95</v>
      </c>
      <c r="C40" s="633" t="s">
        <v>264</v>
      </c>
      <c r="D40" s="634">
        <v>2395</v>
      </c>
      <c r="E40" s="634">
        <v>2709</v>
      </c>
      <c r="F40" s="634">
        <v>2914</v>
      </c>
      <c r="G40" s="634">
        <v>2922</v>
      </c>
      <c r="H40" s="634">
        <v>2877</v>
      </c>
      <c r="I40" s="1580">
        <v>2719</v>
      </c>
      <c r="J40" s="1943">
        <v>2508</v>
      </c>
    </row>
    <row r="41" spans="1:10" x14ac:dyDescent="0.25">
      <c r="A41" s="632" t="s">
        <v>96</v>
      </c>
      <c r="B41" s="633" t="s">
        <v>97</v>
      </c>
      <c r="C41" s="633" t="s">
        <v>266</v>
      </c>
      <c r="D41" s="634">
        <v>794</v>
      </c>
      <c r="E41" s="634">
        <v>902</v>
      </c>
      <c r="F41" s="634">
        <v>918</v>
      </c>
      <c r="G41" s="634">
        <v>950</v>
      </c>
      <c r="H41" s="634">
        <v>942</v>
      </c>
      <c r="I41" s="1580">
        <v>884</v>
      </c>
      <c r="J41" s="1943">
        <v>797</v>
      </c>
    </row>
    <row r="42" spans="1:10" x14ac:dyDescent="0.25">
      <c r="A42" s="632" t="s">
        <v>98</v>
      </c>
      <c r="B42" s="633" t="s">
        <v>99</v>
      </c>
      <c r="C42" s="633" t="s">
        <v>268</v>
      </c>
      <c r="D42" s="634">
        <v>1672</v>
      </c>
      <c r="E42" s="634">
        <v>1798</v>
      </c>
      <c r="F42" s="634">
        <v>1830</v>
      </c>
      <c r="G42" s="634">
        <v>1903</v>
      </c>
      <c r="H42" s="634">
        <v>1845</v>
      </c>
      <c r="I42" s="1580">
        <v>1720</v>
      </c>
      <c r="J42" s="1943">
        <v>1667</v>
      </c>
    </row>
    <row r="43" spans="1:10" x14ac:dyDescent="0.25">
      <c r="A43" s="632" t="s">
        <v>100</v>
      </c>
      <c r="B43" s="633" t="s">
        <v>101</v>
      </c>
      <c r="C43" s="633" t="s">
        <v>267</v>
      </c>
      <c r="D43" s="634">
        <v>1096</v>
      </c>
      <c r="E43" s="634">
        <v>1215</v>
      </c>
      <c r="F43" s="634">
        <v>1303</v>
      </c>
      <c r="G43" s="634">
        <v>1342</v>
      </c>
      <c r="H43" s="634">
        <v>1356</v>
      </c>
      <c r="I43" s="1580">
        <v>1293</v>
      </c>
      <c r="J43" s="1943">
        <v>1263</v>
      </c>
    </row>
    <row r="44" spans="1:10" x14ac:dyDescent="0.25">
      <c r="A44" s="632" t="s">
        <v>102</v>
      </c>
      <c r="B44" s="633" t="s">
        <v>282</v>
      </c>
      <c r="C44" s="633" t="s">
        <v>264</v>
      </c>
      <c r="D44" s="634">
        <v>2397</v>
      </c>
      <c r="E44" s="634">
        <v>2657</v>
      </c>
      <c r="F44" s="634">
        <v>2795</v>
      </c>
      <c r="G44" s="634">
        <v>3050</v>
      </c>
      <c r="H44" s="634">
        <v>2914</v>
      </c>
      <c r="I44" s="1580">
        <v>2835</v>
      </c>
      <c r="J44" s="1943">
        <v>2551</v>
      </c>
    </row>
    <row r="45" spans="1:10" x14ac:dyDescent="0.25">
      <c r="A45" s="632" t="s">
        <v>104</v>
      </c>
      <c r="B45" s="633" t="s">
        <v>105</v>
      </c>
      <c r="C45" s="633" t="s">
        <v>265</v>
      </c>
      <c r="D45" s="634">
        <v>4069</v>
      </c>
      <c r="E45" s="634">
        <v>4318</v>
      </c>
      <c r="F45" s="634">
        <v>4442</v>
      </c>
      <c r="G45" s="634">
        <v>4466</v>
      </c>
      <c r="H45" s="634">
        <v>4515</v>
      </c>
      <c r="I45" s="1580">
        <v>4364</v>
      </c>
      <c r="J45" s="1943">
        <v>4230</v>
      </c>
    </row>
    <row r="46" spans="1:10" x14ac:dyDescent="0.25">
      <c r="A46" s="632" t="s">
        <v>108</v>
      </c>
      <c r="B46" s="633" t="s">
        <v>109</v>
      </c>
      <c r="C46" s="633" t="s">
        <v>266</v>
      </c>
      <c r="D46" s="634">
        <v>3249</v>
      </c>
      <c r="E46" s="634">
        <v>3702</v>
      </c>
      <c r="F46" s="634">
        <v>3999</v>
      </c>
      <c r="G46" s="634">
        <v>4064</v>
      </c>
      <c r="H46" s="634">
        <v>4029</v>
      </c>
      <c r="I46" s="1580">
        <v>3768</v>
      </c>
      <c r="J46" s="1943">
        <v>3431</v>
      </c>
    </row>
    <row r="47" spans="1:10" x14ac:dyDescent="0.25">
      <c r="A47" s="632" t="s">
        <v>110</v>
      </c>
      <c r="B47" s="633" t="s">
        <v>111</v>
      </c>
      <c r="C47" s="633" t="s">
        <v>266</v>
      </c>
      <c r="D47" s="634">
        <v>17705</v>
      </c>
      <c r="E47" s="634">
        <v>20583</v>
      </c>
      <c r="F47" s="634">
        <v>22430</v>
      </c>
      <c r="G47" s="634">
        <v>23611</v>
      </c>
      <c r="H47" s="634">
        <v>23261</v>
      </c>
      <c r="I47" s="1580">
        <v>21858</v>
      </c>
      <c r="J47" s="1943">
        <v>20855</v>
      </c>
    </row>
    <row r="48" spans="1:10" x14ac:dyDescent="0.25">
      <c r="A48" s="632" t="s">
        <v>112</v>
      </c>
      <c r="B48" s="633" t="s">
        <v>300</v>
      </c>
      <c r="C48" s="633" t="s">
        <v>265</v>
      </c>
      <c r="D48" s="634">
        <v>9882</v>
      </c>
      <c r="E48" s="634">
        <v>10439</v>
      </c>
      <c r="F48" s="634">
        <v>10999</v>
      </c>
      <c r="G48" s="634">
        <v>11352</v>
      </c>
      <c r="H48" s="634">
        <v>10899</v>
      </c>
      <c r="I48" s="1580">
        <v>10394</v>
      </c>
      <c r="J48" s="1943">
        <v>9673</v>
      </c>
    </row>
    <row r="49" spans="1:10" x14ac:dyDescent="0.25">
      <c r="A49" s="632" t="s">
        <v>114</v>
      </c>
      <c r="B49" s="633" t="s">
        <v>115</v>
      </c>
      <c r="C49" s="633" t="s">
        <v>265</v>
      </c>
      <c r="D49" s="634">
        <v>101</v>
      </c>
      <c r="E49" s="634">
        <v>116</v>
      </c>
      <c r="F49" s="634">
        <v>121</v>
      </c>
      <c r="G49" s="634">
        <v>112</v>
      </c>
      <c r="H49" s="634">
        <v>110</v>
      </c>
      <c r="I49" s="1580">
        <v>104</v>
      </c>
      <c r="J49" s="1943">
        <v>91</v>
      </c>
    </row>
    <row r="50" spans="1:10" x14ac:dyDescent="0.25">
      <c r="A50" s="632" t="s">
        <v>118</v>
      </c>
      <c r="B50" s="633" t="s">
        <v>270</v>
      </c>
      <c r="C50" s="633" t="s">
        <v>264</v>
      </c>
      <c r="D50" s="634">
        <v>2462</v>
      </c>
      <c r="E50" s="634">
        <v>2692</v>
      </c>
      <c r="F50" s="634">
        <v>2872</v>
      </c>
      <c r="G50" s="634">
        <v>2956</v>
      </c>
      <c r="H50" s="634">
        <v>2862</v>
      </c>
      <c r="I50" s="1580">
        <v>2777</v>
      </c>
      <c r="J50" s="1943">
        <v>2548</v>
      </c>
    </row>
    <row r="51" spans="1:10" x14ac:dyDescent="0.25">
      <c r="A51" s="632" t="s">
        <v>120</v>
      </c>
      <c r="B51" s="633" t="s">
        <v>121</v>
      </c>
      <c r="C51" s="633" t="s">
        <v>264</v>
      </c>
      <c r="D51" s="634">
        <v>2476</v>
      </c>
      <c r="E51" s="634">
        <v>2852</v>
      </c>
      <c r="F51" s="634">
        <v>3074</v>
      </c>
      <c r="G51" s="634">
        <v>3252</v>
      </c>
      <c r="H51" s="634">
        <v>3210</v>
      </c>
      <c r="I51" s="1580">
        <v>3073</v>
      </c>
      <c r="J51" s="1943">
        <v>2940</v>
      </c>
    </row>
    <row r="52" spans="1:10" x14ac:dyDescent="0.25">
      <c r="A52" s="632" t="s">
        <v>122</v>
      </c>
      <c r="B52" s="633" t="s">
        <v>287</v>
      </c>
      <c r="C52" s="633" t="s">
        <v>266</v>
      </c>
      <c r="D52" s="634">
        <v>609</v>
      </c>
      <c r="E52" s="634">
        <v>687</v>
      </c>
      <c r="F52" s="634">
        <v>754</v>
      </c>
      <c r="G52" s="634">
        <v>813</v>
      </c>
      <c r="H52" s="634">
        <v>806</v>
      </c>
      <c r="I52" s="1580">
        <v>776</v>
      </c>
      <c r="J52" s="1943">
        <v>1605</v>
      </c>
    </row>
    <row r="53" spans="1:10" x14ac:dyDescent="0.25">
      <c r="A53" s="632" t="s">
        <v>124</v>
      </c>
      <c r="B53" s="633" t="s">
        <v>125</v>
      </c>
      <c r="C53" s="633" t="s">
        <v>267</v>
      </c>
      <c r="D53" s="634">
        <v>1364</v>
      </c>
      <c r="E53" s="634">
        <v>1609</v>
      </c>
      <c r="F53" s="634">
        <v>1807</v>
      </c>
      <c r="G53" s="634">
        <v>1905</v>
      </c>
      <c r="H53" s="634">
        <v>1925</v>
      </c>
      <c r="I53" s="1580">
        <v>1804</v>
      </c>
      <c r="J53" s="1943">
        <v>1014</v>
      </c>
    </row>
    <row r="54" spans="1:10" x14ac:dyDescent="0.25">
      <c r="A54" s="632" t="s">
        <v>126</v>
      </c>
      <c r="B54" s="633" t="s">
        <v>127</v>
      </c>
      <c r="C54" s="633" t="s">
        <v>266</v>
      </c>
      <c r="D54" s="634">
        <v>998</v>
      </c>
      <c r="E54" s="634">
        <v>1121</v>
      </c>
      <c r="F54" s="634">
        <v>1196</v>
      </c>
      <c r="G54" s="634">
        <v>1184</v>
      </c>
      <c r="H54" s="634">
        <v>1153</v>
      </c>
      <c r="I54" s="1580">
        <v>1107</v>
      </c>
      <c r="J54" s="1943">
        <v>690</v>
      </c>
    </row>
    <row r="55" spans="1:10" x14ac:dyDescent="0.25">
      <c r="A55" s="632" t="s">
        <v>128</v>
      </c>
      <c r="B55" s="633" t="s">
        <v>129</v>
      </c>
      <c r="C55" s="633" t="s">
        <v>266</v>
      </c>
      <c r="D55" s="634">
        <v>981</v>
      </c>
      <c r="E55" s="634">
        <v>1053</v>
      </c>
      <c r="F55" s="634">
        <v>1106</v>
      </c>
      <c r="G55" s="634">
        <v>1134</v>
      </c>
      <c r="H55" s="634">
        <v>1117</v>
      </c>
      <c r="I55" s="1580">
        <v>1043</v>
      </c>
      <c r="J55" s="1943">
        <v>955</v>
      </c>
    </row>
    <row r="56" spans="1:10" x14ac:dyDescent="0.25">
      <c r="A56" s="632" t="s">
        <v>130</v>
      </c>
      <c r="B56" s="633" t="s">
        <v>131</v>
      </c>
      <c r="C56" s="633" t="s">
        <v>268</v>
      </c>
      <c r="D56" s="634">
        <v>3568</v>
      </c>
      <c r="E56" s="634">
        <v>3828</v>
      </c>
      <c r="F56" s="634">
        <v>3936</v>
      </c>
      <c r="G56" s="634">
        <v>4034</v>
      </c>
      <c r="H56" s="634">
        <v>4087</v>
      </c>
      <c r="I56" s="1580">
        <v>3844</v>
      </c>
      <c r="J56" s="1943">
        <v>3725</v>
      </c>
    </row>
    <row r="57" spans="1:10" x14ac:dyDescent="0.25">
      <c r="A57" s="632" t="s">
        <v>132</v>
      </c>
      <c r="B57" s="633" t="s">
        <v>133</v>
      </c>
      <c r="C57" s="633" t="s">
        <v>267</v>
      </c>
      <c r="D57" s="634">
        <v>4833</v>
      </c>
      <c r="E57" s="634">
        <v>5657</v>
      </c>
      <c r="F57" s="634">
        <v>6097</v>
      </c>
      <c r="G57" s="634">
        <v>6514</v>
      </c>
      <c r="H57" s="634">
        <v>6658</v>
      </c>
      <c r="I57" s="1580">
        <v>6306</v>
      </c>
      <c r="J57" s="1943">
        <v>6268</v>
      </c>
    </row>
    <row r="58" spans="1:10" x14ac:dyDescent="0.25">
      <c r="A58" s="632" t="s">
        <v>134</v>
      </c>
      <c r="B58" s="633" t="s">
        <v>135</v>
      </c>
      <c r="C58" s="633" t="s">
        <v>267</v>
      </c>
      <c r="D58" s="634">
        <v>2311</v>
      </c>
      <c r="E58" s="634">
        <v>2693</v>
      </c>
      <c r="F58" s="634">
        <v>2828</v>
      </c>
      <c r="G58" s="634">
        <v>3016</v>
      </c>
      <c r="H58" s="634">
        <v>3047</v>
      </c>
      <c r="I58" s="1580">
        <v>2906</v>
      </c>
      <c r="J58" s="1943">
        <v>2608</v>
      </c>
    </row>
    <row r="59" spans="1:10" x14ac:dyDescent="0.25">
      <c r="A59" s="632" t="s">
        <v>136</v>
      </c>
      <c r="B59" s="633" t="s">
        <v>137</v>
      </c>
      <c r="C59" s="633" t="s">
        <v>266</v>
      </c>
      <c r="D59" s="634">
        <v>1498</v>
      </c>
      <c r="E59" s="634">
        <v>1617</v>
      </c>
      <c r="F59" s="634">
        <v>1667</v>
      </c>
      <c r="G59" s="634">
        <v>1688</v>
      </c>
      <c r="H59" s="634">
        <v>1709</v>
      </c>
      <c r="I59" s="1580">
        <v>1623</v>
      </c>
      <c r="J59" s="1943">
        <v>1537</v>
      </c>
    </row>
    <row r="60" spans="1:10" x14ac:dyDescent="0.25">
      <c r="A60" s="632" t="s">
        <v>140</v>
      </c>
      <c r="B60" s="633" t="s">
        <v>141</v>
      </c>
      <c r="C60" s="633" t="s">
        <v>267</v>
      </c>
      <c r="D60" s="634">
        <v>807</v>
      </c>
      <c r="E60" s="634">
        <v>893</v>
      </c>
      <c r="F60" s="634">
        <v>972</v>
      </c>
      <c r="G60" s="634">
        <v>1024</v>
      </c>
      <c r="H60" s="634">
        <v>1000</v>
      </c>
      <c r="I60" s="1580">
        <v>955</v>
      </c>
      <c r="J60" s="1943">
        <v>863</v>
      </c>
    </row>
    <row r="61" spans="1:10" x14ac:dyDescent="0.25">
      <c r="A61" s="632" t="s">
        <v>146</v>
      </c>
      <c r="B61" s="633" t="s">
        <v>147</v>
      </c>
      <c r="C61" s="633" t="s">
        <v>264</v>
      </c>
      <c r="D61" s="634">
        <v>596</v>
      </c>
      <c r="E61" s="634">
        <v>671</v>
      </c>
      <c r="F61" s="634">
        <v>699</v>
      </c>
      <c r="G61" s="634">
        <v>710</v>
      </c>
      <c r="H61" s="634">
        <v>685</v>
      </c>
      <c r="I61" s="1580">
        <v>673</v>
      </c>
      <c r="J61" s="1943">
        <v>637</v>
      </c>
    </row>
    <row r="62" spans="1:10" x14ac:dyDescent="0.25">
      <c r="A62" s="632" t="s">
        <v>148</v>
      </c>
      <c r="B62" s="633" t="s">
        <v>149</v>
      </c>
      <c r="C62" s="633" t="s">
        <v>265</v>
      </c>
      <c r="D62" s="634">
        <v>2922</v>
      </c>
      <c r="E62" s="634">
        <v>3158</v>
      </c>
      <c r="F62" s="634">
        <v>3319</v>
      </c>
      <c r="G62" s="634">
        <v>3505</v>
      </c>
      <c r="H62" s="634">
        <v>3511</v>
      </c>
      <c r="I62" s="1580">
        <v>3396</v>
      </c>
      <c r="J62" s="1943">
        <v>3216</v>
      </c>
    </row>
    <row r="63" spans="1:10" x14ac:dyDescent="0.25">
      <c r="A63" s="632" t="s">
        <v>150</v>
      </c>
      <c r="B63" s="633" t="s">
        <v>151</v>
      </c>
      <c r="C63" s="633" t="s">
        <v>266</v>
      </c>
      <c r="D63" s="634">
        <v>890</v>
      </c>
      <c r="E63" s="634">
        <v>962</v>
      </c>
      <c r="F63" s="634">
        <v>1077</v>
      </c>
      <c r="G63" s="634">
        <v>1103</v>
      </c>
      <c r="H63" s="634">
        <v>1090</v>
      </c>
      <c r="I63" s="1580">
        <v>1029</v>
      </c>
      <c r="J63" s="1943">
        <v>976</v>
      </c>
    </row>
    <row r="64" spans="1:10" x14ac:dyDescent="0.25">
      <c r="A64" s="632" t="s">
        <v>152</v>
      </c>
      <c r="B64" s="633" t="s">
        <v>153</v>
      </c>
      <c r="C64" s="633" t="s">
        <v>268</v>
      </c>
      <c r="D64" s="634">
        <v>4513</v>
      </c>
      <c r="E64" s="634">
        <v>4979</v>
      </c>
      <c r="F64" s="634">
        <v>5197</v>
      </c>
      <c r="G64" s="634">
        <v>5332</v>
      </c>
      <c r="H64" s="634">
        <v>5205</v>
      </c>
      <c r="I64" s="1580">
        <v>4834</v>
      </c>
      <c r="J64" s="1943">
        <v>4446</v>
      </c>
    </row>
    <row r="65" spans="1:10" x14ac:dyDescent="0.25">
      <c r="A65" s="632" t="s">
        <v>154</v>
      </c>
      <c r="B65" s="633" t="s">
        <v>155</v>
      </c>
      <c r="C65" s="633" t="s">
        <v>265</v>
      </c>
      <c r="D65" s="634">
        <v>1227</v>
      </c>
      <c r="E65" s="634">
        <v>1356</v>
      </c>
      <c r="F65" s="634">
        <v>1471</v>
      </c>
      <c r="G65" s="634">
        <v>1502</v>
      </c>
      <c r="H65" s="634">
        <v>1497</v>
      </c>
      <c r="I65" s="1580">
        <v>1386</v>
      </c>
      <c r="J65" s="1943">
        <v>1233</v>
      </c>
    </row>
    <row r="66" spans="1:10" x14ac:dyDescent="0.25">
      <c r="A66" s="632" t="s">
        <v>156</v>
      </c>
      <c r="B66" s="633" t="s">
        <v>157</v>
      </c>
      <c r="C66" s="633" t="s">
        <v>266</v>
      </c>
      <c r="D66" s="634">
        <v>619</v>
      </c>
      <c r="E66" s="634">
        <v>732</v>
      </c>
      <c r="F66" s="634">
        <v>804</v>
      </c>
      <c r="G66" s="634">
        <v>839</v>
      </c>
      <c r="H66" s="634">
        <v>816</v>
      </c>
      <c r="I66" s="1580">
        <v>833</v>
      </c>
      <c r="J66" s="1943">
        <v>747</v>
      </c>
    </row>
    <row r="67" spans="1:10" x14ac:dyDescent="0.25">
      <c r="A67" s="632" t="s">
        <v>162</v>
      </c>
      <c r="B67" s="633" t="s">
        <v>163</v>
      </c>
      <c r="C67" s="633" t="s">
        <v>264</v>
      </c>
      <c r="D67" s="634">
        <v>1784</v>
      </c>
      <c r="E67" s="634">
        <v>1952</v>
      </c>
      <c r="F67" s="634">
        <v>1990</v>
      </c>
      <c r="G67" s="634">
        <v>2018</v>
      </c>
      <c r="H67" s="634">
        <v>2015</v>
      </c>
      <c r="I67" s="1580">
        <v>1911</v>
      </c>
      <c r="J67" s="1943">
        <v>1776</v>
      </c>
    </row>
    <row r="68" spans="1:10" x14ac:dyDescent="0.25">
      <c r="A68" s="632" t="s">
        <v>164</v>
      </c>
      <c r="B68" s="633" t="s">
        <v>165</v>
      </c>
      <c r="C68" s="633" t="s">
        <v>266</v>
      </c>
      <c r="D68" s="634">
        <v>941</v>
      </c>
      <c r="E68" s="634">
        <v>1031</v>
      </c>
      <c r="F68" s="634">
        <v>1101</v>
      </c>
      <c r="G68" s="634">
        <v>1179</v>
      </c>
      <c r="H68" s="634">
        <v>1201</v>
      </c>
      <c r="I68" s="1580">
        <v>1150</v>
      </c>
      <c r="J68" s="1943">
        <v>1056</v>
      </c>
    </row>
    <row r="69" spans="1:10" x14ac:dyDescent="0.25">
      <c r="A69" s="632" t="s">
        <v>168</v>
      </c>
      <c r="B69" s="633" t="s">
        <v>169</v>
      </c>
      <c r="C69" s="633" t="s">
        <v>266</v>
      </c>
      <c r="D69" s="634">
        <v>1966</v>
      </c>
      <c r="E69" s="634">
        <v>2173</v>
      </c>
      <c r="F69" s="634">
        <v>2316</v>
      </c>
      <c r="G69" s="634">
        <v>2365</v>
      </c>
      <c r="H69" s="634">
        <v>2398</v>
      </c>
      <c r="I69" s="1580">
        <v>2229</v>
      </c>
      <c r="J69" s="1943">
        <v>2044</v>
      </c>
    </row>
    <row r="70" spans="1:10" x14ac:dyDescent="0.25">
      <c r="A70" s="632" t="s">
        <v>170</v>
      </c>
      <c r="B70" s="633" t="s">
        <v>171</v>
      </c>
      <c r="C70" s="633" t="s">
        <v>267</v>
      </c>
      <c r="D70" s="634">
        <v>1868</v>
      </c>
      <c r="E70" s="634">
        <v>2074</v>
      </c>
      <c r="F70" s="634">
        <v>2200</v>
      </c>
      <c r="G70" s="634">
        <v>2260</v>
      </c>
      <c r="H70" s="634">
        <v>2270</v>
      </c>
      <c r="I70" s="1580">
        <v>2138</v>
      </c>
      <c r="J70" s="1943">
        <v>1995</v>
      </c>
    </row>
    <row r="71" spans="1:10" x14ac:dyDescent="0.25">
      <c r="A71" s="632" t="s">
        <v>172</v>
      </c>
      <c r="B71" s="633" t="s">
        <v>173</v>
      </c>
      <c r="C71" s="633" t="s">
        <v>267</v>
      </c>
      <c r="D71" s="634">
        <v>2111</v>
      </c>
      <c r="E71" s="634">
        <v>2293</v>
      </c>
      <c r="F71" s="634">
        <v>2468</v>
      </c>
      <c r="G71" s="634">
        <v>2488</v>
      </c>
      <c r="H71" s="634">
        <v>2463</v>
      </c>
      <c r="I71" s="1580">
        <v>2344</v>
      </c>
      <c r="J71" s="1943">
        <v>2192</v>
      </c>
    </row>
    <row r="72" spans="1:10" x14ac:dyDescent="0.25">
      <c r="A72" s="632" t="s">
        <v>174</v>
      </c>
      <c r="B72" s="633" t="s">
        <v>175</v>
      </c>
      <c r="C72" s="633" t="s">
        <v>268</v>
      </c>
      <c r="D72" s="634">
        <v>2136</v>
      </c>
      <c r="E72" s="634">
        <v>2269</v>
      </c>
      <c r="F72" s="634">
        <v>2300</v>
      </c>
      <c r="G72" s="634">
        <v>2239</v>
      </c>
      <c r="H72" s="634">
        <v>2169</v>
      </c>
      <c r="I72" s="1580">
        <v>2013</v>
      </c>
      <c r="J72" s="1943">
        <v>1959</v>
      </c>
    </row>
    <row r="73" spans="1:10" x14ac:dyDescent="0.25">
      <c r="A73" s="632" t="s">
        <v>178</v>
      </c>
      <c r="B73" s="633" t="s">
        <v>179</v>
      </c>
      <c r="C73" s="633" t="s">
        <v>265</v>
      </c>
      <c r="D73" s="634">
        <v>6090</v>
      </c>
      <c r="E73" s="634">
        <v>6509</v>
      </c>
      <c r="F73" s="634">
        <v>6704</v>
      </c>
      <c r="G73" s="634">
        <v>6887</v>
      </c>
      <c r="H73" s="634">
        <v>6952</v>
      </c>
      <c r="I73" s="1580">
        <v>6493</v>
      </c>
      <c r="J73" s="1943">
        <v>5855</v>
      </c>
    </row>
    <row r="74" spans="1:10" x14ac:dyDescent="0.25">
      <c r="A74" s="632" t="s">
        <v>182</v>
      </c>
      <c r="B74" s="633" t="s">
        <v>183</v>
      </c>
      <c r="C74" s="633" t="s">
        <v>266</v>
      </c>
      <c r="D74" s="634">
        <v>782</v>
      </c>
      <c r="E74" s="634">
        <v>908</v>
      </c>
      <c r="F74" s="634">
        <v>1027</v>
      </c>
      <c r="G74" s="634">
        <v>1038</v>
      </c>
      <c r="H74" s="634">
        <v>1006</v>
      </c>
      <c r="I74" s="1580">
        <v>912</v>
      </c>
      <c r="J74" s="1943">
        <v>827</v>
      </c>
    </row>
    <row r="75" spans="1:10" x14ac:dyDescent="0.25">
      <c r="A75" s="632" t="s">
        <v>184</v>
      </c>
      <c r="B75" s="633" t="s">
        <v>185</v>
      </c>
      <c r="C75" s="633" t="s">
        <v>266</v>
      </c>
      <c r="D75" s="634">
        <v>2091</v>
      </c>
      <c r="E75" s="634">
        <v>2302</v>
      </c>
      <c r="F75" s="634">
        <v>2434</v>
      </c>
      <c r="G75" s="634">
        <v>2492</v>
      </c>
      <c r="H75" s="634">
        <v>2471</v>
      </c>
      <c r="I75" s="1580">
        <v>2329</v>
      </c>
      <c r="J75" s="1943">
        <v>2235</v>
      </c>
    </row>
    <row r="76" spans="1:10" x14ac:dyDescent="0.25">
      <c r="A76" s="632" t="s">
        <v>186</v>
      </c>
      <c r="B76" s="633" t="s">
        <v>187</v>
      </c>
      <c r="C76" s="633" t="s">
        <v>264</v>
      </c>
      <c r="D76" s="634">
        <v>1500</v>
      </c>
      <c r="E76" s="634">
        <v>1689</v>
      </c>
      <c r="F76" s="634">
        <v>1888</v>
      </c>
      <c r="G76" s="634">
        <v>2029</v>
      </c>
      <c r="H76" s="634">
        <v>2082</v>
      </c>
      <c r="I76" s="1580">
        <v>2059</v>
      </c>
      <c r="J76" s="1943">
        <v>1979</v>
      </c>
    </row>
    <row r="77" spans="1:10" x14ac:dyDescent="0.25">
      <c r="A77" s="632" t="s">
        <v>188</v>
      </c>
      <c r="B77" s="633" t="s">
        <v>189</v>
      </c>
      <c r="C77" s="633" t="s">
        <v>267</v>
      </c>
      <c r="D77" s="634">
        <v>14043</v>
      </c>
      <c r="E77" s="634">
        <v>16311</v>
      </c>
      <c r="F77" s="634">
        <v>17853</v>
      </c>
      <c r="G77" s="634">
        <v>18942</v>
      </c>
      <c r="H77" s="634">
        <v>18854</v>
      </c>
      <c r="I77" s="1580">
        <v>17928</v>
      </c>
      <c r="J77" s="1943">
        <v>17202</v>
      </c>
    </row>
    <row r="78" spans="1:10" x14ac:dyDescent="0.25">
      <c r="A78" s="632" t="s">
        <v>190</v>
      </c>
      <c r="B78" s="633" t="s">
        <v>191</v>
      </c>
      <c r="C78" s="633" t="s">
        <v>268</v>
      </c>
      <c r="D78" s="634">
        <v>3867</v>
      </c>
      <c r="E78" s="634">
        <v>4106</v>
      </c>
      <c r="F78" s="634">
        <v>4116</v>
      </c>
      <c r="G78" s="634">
        <v>4240</v>
      </c>
      <c r="H78" s="634">
        <v>4232</v>
      </c>
      <c r="I78" s="1580">
        <v>3895</v>
      </c>
      <c r="J78" s="1943">
        <v>3694</v>
      </c>
    </row>
    <row r="79" spans="1:10" x14ac:dyDescent="0.25">
      <c r="A79" s="632" t="s">
        <v>194</v>
      </c>
      <c r="B79" s="633" t="s">
        <v>195</v>
      </c>
      <c r="C79" s="633" t="s">
        <v>267</v>
      </c>
      <c r="D79" s="634">
        <v>289</v>
      </c>
      <c r="E79" s="634">
        <v>319</v>
      </c>
      <c r="F79" s="634">
        <v>352</v>
      </c>
      <c r="G79" s="634">
        <v>331</v>
      </c>
      <c r="H79" s="634">
        <v>314</v>
      </c>
      <c r="I79" s="1580">
        <v>278</v>
      </c>
      <c r="J79" s="1943">
        <v>263</v>
      </c>
    </row>
    <row r="80" spans="1:10" x14ac:dyDescent="0.25">
      <c r="A80" s="632" t="s">
        <v>198</v>
      </c>
      <c r="B80" s="633" t="s">
        <v>272</v>
      </c>
      <c r="C80" s="633" t="s">
        <v>266</v>
      </c>
      <c r="D80" s="634">
        <v>832</v>
      </c>
      <c r="E80" s="634">
        <v>906</v>
      </c>
      <c r="F80" s="634">
        <v>991</v>
      </c>
      <c r="G80" s="634">
        <v>1046</v>
      </c>
      <c r="H80" s="634">
        <v>1045</v>
      </c>
      <c r="I80" s="1580">
        <v>1008</v>
      </c>
      <c r="J80" s="1943">
        <v>967</v>
      </c>
    </row>
    <row r="81" spans="1:10" x14ac:dyDescent="0.25">
      <c r="A81" s="632" t="s">
        <v>202</v>
      </c>
      <c r="B81" s="633" t="s">
        <v>301</v>
      </c>
      <c r="C81" s="633" t="s">
        <v>265</v>
      </c>
      <c r="D81" s="634">
        <v>4776</v>
      </c>
      <c r="E81" s="634">
        <v>5353</v>
      </c>
      <c r="F81" s="634">
        <v>5575</v>
      </c>
      <c r="G81" s="634">
        <v>5785</v>
      </c>
      <c r="H81" s="634">
        <v>5809</v>
      </c>
      <c r="I81" s="1580">
        <v>5639</v>
      </c>
      <c r="J81" s="1943">
        <v>5073</v>
      </c>
    </row>
    <row r="82" spans="1:10" x14ac:dyDescent="0.25">
      <c r="A82" s="632" t="s">
        <v>204</v>
      </c>
      <c r="B82" s="633" t="s">
        <v>293</v>
      </c>
      <c r="C82" s="633" t="s">
        <v>265</v>
      </c>
      <c r="D82" s="634">
        <v>2296</v>
      </c>
      <c r="E82" s="634">
        <v>2530</v>
      </c>
      <c r="F82" s="634">
        <v>2639</v>
      </c>
      <c r="G82" s="634">
        <v>2825</v>
      </c>
      <c r="H82" s="634">
        <v>2734</v>
      </c>
      <c r="I82" s="1580">
        <v>2571</v>
      </c>
      <c r="J82" s="1943">
        <v>2401</v>
      </c>
    </row>
    <row r="83" spans="1:10" x14ac:dyDescent="0.25">
      <c r="A83" s="632" t="s">
        <v>206</v>
      </c>
      <c r="B83" s="633" t="s">
        <v>294</v>
      </c>
      <c r="C83" s="633" t="s">
        <v>267</v>
      </c>
      <c r="D83" s="634">
        <v>6465</v>
      </c>
      <c r="E83" s="634">
        <v>7328</v>
      </c>
      <c r="F83" s="634">
        <v>7570</v>
      </c>
      <c r="G83" s="634">
        <v>8023</v>
      </c>
      <c r="H83" s="634">
        <v>7624</v>
      </c>
      <c r="I83" s="1580">
        <v>6988</v>
      </c>
      <c r="J83" s="1943">
        <v>6379</v>
      </c>
    </row>
    <row r="84" spans="1:10" x14ac:dyDescent="0.25">
      <c r="A84" s="632" t="s">
        <v>208</v>
      </c>
      <c r="B84" s="633" t="s">
        <v>209</v>
      </c>
      <c r="C84" s="633" t="s">
        <v>268</v>
      </c>
      <c r="D84" s="634">
        <v>3463</v>
      </c>
      <c r="E84" s="634">
        <v>3622</v>
      </c>
      <c r="F84" s="634">
        <v>3630</v>
      </c>
      <c r="G84" s="634">
        <v>3728</v>
      </c>
      <c r="H84" s="634">
        <v>3879</v>
      </c>
      <c r="I84" s="1580">
        <v>3718</v>
      </c>
      <c r="J84" s="1943">
        <v>3559</v>
      </c>
    </row>
    <row r="85" spans="1:10" x14ac:dyDescent="0.25">
      <c r="A85" s="632" t="s">
        <v>210</v>
      </c>
      <c r="B85" s="633" t="s">
        <v>211</v>
      </c>
      <c r="C85" s="633" t="s">
        <v>268</v>
      </c>
      <c r="D85" s="634">
        <v>2074</v>
      </c>
      <c r="E85" s="634">
        <v>2253</v>
      </c>
      <c r="F85" s="634">
        <v>2392</v>
      </c>
      <c r="G85" s="634">
        <v>2488</v>
      </c>
      <c r="H85" s="634">
        <v>2526</v>
      </c>
      <c r="I85" s="1580">
        <v>2328</v>
      </c>
      <c r="J85" s="1943">
        <v>2298</v>
      </c>
    </row>
    <row r="86" spans="1:10" x14ac:dyDescent="0.25">
      <c r="A86" s="632" t="s">
        <v>212</v>
      </c>
      <c r="B86" s="633" t="s">
        <v>213</v>
      </c>
      <c r="C86" s="633" t="s">
        <v>267</v>
      </c>
      <c r="D86" s="634">
        <v>2807</v>
      </c>
      <c r="E86" s="634">
        <v>3056</v>
      </c>
      <c r="F86" s="634">
        <v>3339</v>
      </c>
      <c r="G86" s="634">
        <v>3472</v>
      </c>
      <c r="H86" s="634">
        <v>3427</v>
      </c>
      <c r="I86" s="1580">
        <v>3226</v>
      </c>
      <c r="J86" s="1943">
        <v>3050</v>
      </c>
    </row>
    <row r="87" spans="1:10" x14ac:dyDescent="0.25">
      <c r="A87" s="632" t="s">
        <v>214</v>
      </c>
      <c r="B87" s="633" t="s">
        <v>215</v>
      </c>
      <c r="C87" s="633" t="s">
        <v>268</v>
      </c>
      <c r="D87" s="634">
        <v>3793</v>
      </c>
      <c r="E87" s="634">
        <v>4120</v>
      </c>
      <c r="F87" s="634">
        <v>4223</v>
      </c>
      <c r="G87" s="634">
        <v>4276</v>
      </c>
      <c r="H87" s="634">
        <v>4221</v>
      </c>
      <c r="I87" s="1580">
        <v>4055</v>
      </c>
      <c r="J87" s="1943">
        <v>3961</v>
      </c>
    </row>
    <row r="88" spans="1:10" x14ac:dyDescent="0.25">
      <c r="A88" s="632" t="s">
        <v>216</v>
      </c>
      <c r="B88" s="633" t="s">
        <v>217</v>
      </c>
      <c r="C88" s="633" t="s">
        <v>264</v>
      </c>
      <c r="D88" s="634">
        <v>1764</v>
      </c>
      <c r="E88" s="634">
        <v>1898</v>
      </c>
      <c r="F88" s="634">
        <v>2019</v>
      </c>
      <c r="G88" s="634">
        <v>2066</v>
      </c>
      <c r="H88" s="634">
        <v>2052</v>
      </c>
      <c r="I88" s="1580">
        <v>1974</v>
      </c>
      <c r="J88" s="1943">
        <v>1874</v>
      </c>
    </row>
    <row r="89" spans="1:10" x14ac:dyDescent="0.25">
      <c r="A89" s="632" t="s">
        <v>218</v>
      </c>
      <c r="B89" s="633" t="s">
        <v>219</v>
      </c>
      <c r="C89" s="633" t="s">
        <v>267</v>
      </c>
      <c r="D89" s="634">
        <v>5882</v>
      </c>
      <c r="E89" s="634">
        <v>6858</v>
      </c>
      <c r="F89" s="634">
        <v>7324</v>
      </c>
      <c r="G89" s="634">
        <v>7643</v>
      </c>
      <c r="H89" s="634">
        <v>7742</v>
      </c>
      <c r="I89" s="1580">
        <v>7239</v>
      </c>
      <c r="J89" s="1943">
        <v>6928</v>
      </c>
    </row>
    <row r="90" spans="1:10" x14ac:dyDescent="0.25">
      <c r="A90" s="632" t="s">
        <v>220</v>
      </c>
      <c r="B90" s="633" t="s">
        <v>221</v>
      </c>
      <c r="C90" s="633" t="s">
        <v>267</v>
      </c>
      <c r="D90" s="634">
        <v>4769</v>
      </c>
      <c r="E90" s="634">
        <v>5372</v>
      </c>
      <c r="F90" s="634">
        <v>5754</v>
      </c>
      <c r="G90" s="634">
        <v>6135</v>
      </c>
      <c r="H90" s="634">
        <v>6209</v>
      </c>
      <c r="I90" s="1580">
        <v>5818</v>
      </c>
      <c r="J90" s="1943">
        <v>5330</v>
      </c>
    </row>
    <row r="91" spans="1:10" x14ac:dyDescent="0.25">
      <c r="A91" s="632" t="s">
        <v>224</v>
      </c>
      <c r="B91" s="633" t="s">
        <v>225</v>
      </c>
      <c r="C91" s="633" t="s">
        <v>264</v>
      </c>
      <c r="D91" s="634">
        <v>624</v>
      </c>
      <c r="E91" s="634">
        <v>701</v>
      </c>
      <c r="F91" s="634">
        <v>713</v>
      </c>
      <c r="G91" s="634">
        <v>784</v>
      </c>
      <c r="H91" s="634">
        <v>759</v>
      </c>
      <c r="I91" s="1580">
        <v>723</v>
      </c>
      <c r="J91" s="1943">
        <v>681</v>
      </c>
    </row>
    <row r="92" spans="1:10" x14ac:dyDescent="0.25">
      <c r="A92" s="632" t="s">
        <v>226</v>
      </c>
      <c r="B92" s="633" t="s">
        <v>227</v>
      </c>
      <c r="C92" s="633" t="s">
        <v>264</v>
      </c>
      <c r="D92" s="634">
        <v>1157</v>
      </c>
      <c r="E92" s="634">
        <v>1238</v>
      </c>
      <c r="F92" s="634">
        <v>1281</v>
      </c>
      <c r="G92" s="634">
        <v>1333</v>
      </c>
      <c r="H92" s="634">
        <v>1367</v>
      </c>
      <c r="I92" s="1580">
        <v>1334</v>
      </c>
      <c r="J92" s="1943">
        <v>1262</v>
      </c>
    </row>
    <row r="93" spans="1:10" x14ac:dyDescent="0.25">
      <c r="A93" s="632" t="s">
        <v>228</v>
      </c>
      <c r="B93" s="633" t="s">
        <v>229</v>
      </c>
      <c r="C93" s="633" t="s">
        <v>268</v>
      </c>
      <c r="D93" s="634">
        <v>4507</v>
      </c>
      <c r="E93" s="634">
        <v>4753</v>
      </c>
      <c r="F93" s="634">
        <v>5009</v>
      </c>
      <c r="G93" s="634">
        <v>5487</v>
      </c>
      <c r="H93" s="634">
        <v>5723</v>
      </c>
      <c r="I93" s="1580">
        <v>5591</v>
      </c>
      <c r="J93" s="1943">
        <v>5363</v>
      </c>
    </row>
    <row r="94" spans="1:10" x14ac:dyDescent="0.25">
      <c r="A94" s="632" t="s">
        <v>232</v>
      </c>
      <c r="B94" s="633" t="s">
        <v>233</v>
      </c>
      <c r="C94" s="633" t="s">
        <v>267</v>
      </c>
      <c r="D94" s="634">
        <v>2792</v>
      </c>
      <c r="E94" s="634">
        <v>3104</v>
      </c>
      <c r="F94" s="634">
        <v>3241</v>
      </c>
      <c r="G94" s="634">
        <v>3377</v>
      </c>
      <c r="H94" s="634">
        <v>3289</v>
      </c>
      <c r="I94" s="1580">
        <v>3091</v>
      </c>
      <c r="J94" s="1943">
        <v>2785</v>
      </c>
    </row>
    <row r="95" spans="1:10" x14ac:dyDescent="0.25">
      <c r="A95" s="632" t="s">
        <v>234</v>
      </c>
      <c r="B95" s="633" t="s">
        <v>235</v>
      </c>
      <c r="C95" s="633" t="s">
        <v>268</v>
      </c>
      <c r="D95" s="634">
        <v>4261</v>
      </c>
      <c r="E95" s="634">
        <v>4638</v>
      </c>
      <c r="F95" s="634">
        <v>4819</v>
      </c>
      <c r="G95" s="634">
        <v>4965</v>
      </c>
      <c r="H95" s="634">
        <v>5039</v>
      </c>
      <c r="I95" s="1580">
        <v>4911</v>
      </c>
      <c r="J95" s="1943">
        <v>4692</v>
      </c>
    </row>
    <row r="96" spans="1:10" x14ac:dyDescent="0.25">
      <c r="A96" s="632" t="s">
        <v>236</v>
      </c>
      <c r="B96" s="633" t="s">
        <v>237</v>
      </c>
      <c r="C96" s="633" t="s">
        <v>266</v>
      </c>
      <c r="D96" s="634">
        <v>1681</v>
      </c>
      <c r="E96" s="634">
        <v>1915</v>
      </c>
      <c r="F96" s="634">
        <v>2084</v>
      </c>
      <c r="G96" s="634">
        <v>2175</v>
      </c>
      <c r="H96" s="634">
        <v>2138</v>
      </c>
      <c r="I96" s="1580">
        <v>2103</v>
      </c>
      <c r="J96" s="1943">
        <v>1976</v>
      </c>
    </row>
    <row r="97" spans="1:10" x14ac:dyDescent="0.25">
      <c r="A97" s="632" t="s">
        <v>242</v>
      </c>
      <c r="B97" s="633" t="s">
        <v>243</v>
      </c>
      <c r="C97" s="633" t="s">
        <v>268</v>
      </c>
      <c r="D97" s="634">
        <v>5105</v>
      </c>
      <c r="E97" s="634">
        <v>5342</v>
      </c>
      <c r="F97" s="634">
        <v>5541</v>
      </c>
      <c r="G97" s="634">
        <v>5751</v>
      </c>
      <c r="H97" s="634">
        <v>5907</v>
      </c>
      <c r="I97" s="1580">
        <v>5409</v>
      </c>
      <c r="J97" s="1943">
        <v>5085</v>
      </c>
    </row>
    <row r="98" spans="1:10" x14ac:dyDescent="0.25">
      <c r="A98" s="632" t="s">
        <v>244</v>
      </c>
      <c r="B98" s="633" t="s">
        <v>245</v>
      </c>
      <c r="C98" s="633" t="s">
        <v>268</v>
      </c>
      <c r="D98" s="634">
        <v>2898</v>
      </c>
      <c r="E98" s="634">
        <v>3113</v>
      </c>
      <c r="F98" s="634">
        <v>3099</v>
      </c>
      <c r="G98" s="634">
        <v>3067</v>
      </c>
      <c r="H98" s="634">
        <v>3037</v>
      </c>
      <c r="I98" s="1580">
        <v>2824</v>
      </c>
      <c r="J98" s="1943">
        <v>2682</v>
      </c>
    </row>
    <row r="99" spans="1:10" x14ac:dyDescent="0.25">
      <c r="A99" s="632" t="s">
        <v>246</v>
      </c>
      <c r="B99" s="633" t="s">
        <v>247</v>
      </c>
      <c r="C99" s="633" t="s">
        <v>264</v>
      </c>
      <c r="D99" s="634">
        <v>1734</v>
      </c>
      <c r="E99" s="634">
        <v>2112</v>
      </c>
      <c r="F99" s="634">
        <v>2299</v>
      </c>
      <c r="G99" s="634">
        <v>2378</v>
      </c>
      <c r="H99" s="634">
        <v>2449</v>
      </c>
      <c r="I99" s="1580">
        <v>2328</v>
      </c>
      <c r="J99" s="1943">
        <v>2132</v>
      </c>
    </row>
    <row r="100" spans="1:10" x14ac:dyDescent="0.25">
      <c r="A100" s="632" t="s">
        <v>14</v>
      </c>
      <c r="B100" s="633" t="s">
        <v>15</v>
      </c>
      <c r="C100" s="633" t="s">
        <v>267</v>
      </c>
      <c r="D100" s="634">
        <v>5821</v>
      </c>
      <c r="E100" s="634">
        <v>6395</v>
      </c>
      <c r="F100" s="634">
        <v>6643</v>
      </c>
      <c r="G100" s="634">
        <v>6784</v>
      </c>
      <c r="H100" s="634">
        <v>6548</v>
      </c>
      <c r="I100" s="1580">
        <v>6312</v>
      </c>
      <c r="J100" s="1943">
        <v>6360</v>
      </c>
    </row>
    <row r="101" spans="1:10" x14ac:dyDescent="0.25">
      <c r="A101" s="632" t="s">
        <v>34</v>
      </c>
      <c r="B101" s="633" t="s">
        <v>35</v>
      </c>
      <c r="C101" s="633" t="s">
        <v>268</v>
      </c>
      <c r="D101" s="634">
        <v>3110</v>
      </c>
      <c r="E101" s="634">
        <v>3251</v>
      </c>
      <c r="F101" s="634">
        <v>3366</v>
      </c>
      <c r="G101" s="634">
        <v>3489</v>
      </c>
      <c r="H101" s="634">
        <v>3393</v>
      </c>
      <c r="I101" s="1580">
        <v>3139</v>
      </c>
      <c r="J101" s="1943">
        <v>2971</v>
      </c>
    </row>
    <row r="102" spans="1:10" x14ac:dyDescent="0.25">
      <c r="A102" s="632" t="s">
        <v>52</v>
      </c>
      <c r="B102" s="633" t="s">
        <v>53</v>
      </c>
      <c r="C102" s="633" t="s">
        <v>265</v>
      </c>
      <c r="D102" s="634">
        <v>4024</v>
      </c>
      <c r="E102" s="634">
        <v>4317</v>
      </c>
      <c r="F102" s="634">
        <v>4456</v>
      </c>
      <c r="G102" s="634">
        <v>4490</v>
      </c>
      <c r="H102" s="634">
        <v>4166</v>
      </c>
      <c r="I102" s="1580">
        <v>3818</v>
      </c>
      <c r="J102" s="1943">
        <v>3326</v>
      </c>
    </row>
    <row r="103" spans="1:10" x14ac:dyDescent="0.25">
      <c r="A103" s="632" t="s">
        <v>54</v>
      </c>
      <c r="B103" s="633" t="s">
        <v>55</v>
      </c>
      <c r="C103" s="633" t="s">
        <v>264</v>
      </c>
      <c r="D103" s="634">
        <v>12332</v>
      </c>
      <c r="E103" s="634">
        <v>14069</v>
      </c>
      <c r="F103" s="634">
        <v>15247</v>
      </c>
      <c r="G103" s="634">
        <v>16025</v>
      </c>
      <c r="H103" s="634">
        <v>16298</v>
      </c>
      <c r="I103" s="1580">
        <v>15492</v>
      </c>
      <c r="J103" s="1943">
        <v>14513</v>
      </c>
    </row>
    <row r="104" spans="1:10" x14ac:dyDescent="0.25">
      <c r="A104" s="632" t="s">
        <v>66</v>
      </c>
      <c r="B104" s="633" t="s">
        <v>67</v>
      </c>
      <c r="C104" s="633" t="s">
        <v>265</v>
      </c>
      <c r="D104" s="634">
        <v>8375</v>
      </c>
      <c r="E104" s="634">
        <v>8882</v>
      </c>
      <c r="F104" s="634">
        <v>9292</v>
      </c>
      <c r="G104" s="634">
        <v>9343</v>
      </c>
      <c r="H104" s="634">
        <v>9397</v>
      </c>
      <c r="I104" s="1580">
        <v>8999</v>
      </c>
      <c r="J104" s="1943">
        <v>8474</v>
      </c>
    </row>
    <row r="105" spans="1:10" x14ac:dyDescent="0.25">
      <c r="A105" s="632" t="s">
        <v>82</v>
      </c>
      <c r="B105" s="633" t="s">
        <v>83</v>
      </c>
      <c r="C105" s="633" t="s">
        <v>264</v>
      </c>
      <c r="D105" s="634">
        <v>1529</v>
      </c>
      <c r="E105" s="634">
        <v>1710</v>
      </c>
      <c r="F105" s="634">
        <v>1800</v>
      </c>
      <c r="G105" s="634">
        <v>1838</v>
      </c>
      <c r="H105" s="634">
        <v>1794</v>
      </c>
      <c r="I105" s="1580">
        <v>1765</v>
      </c>
      <c r="J105" s="1943">
        <v>1722</v>
      </c>
    </row>
    <row r="106" spans="1:10" x14ac:dyDescent="0.25">
      <c r="A106" s="632" t="s">
        <v>88</v>
      </c>
      <c r="B106" s="633" t="s">
        <v>89</v>
      </c>
      <c r="C106" s="633" t="s">
        <v>267</v>
      </c>
      <c r="D106" s="634">
        <v>2929</v>
      </c>
      <c r="E106" s="634">
        <v>3363</v>
      </c>
      <c r="F106" s="634">
        <v>3671</v>
      </c>
      <c r="G106" s="634">
        <v>3716</v>
      </c>
      <c r="H106" s="634">
        <v>3647</v>
      </c>
      <c r="I106" s="1580">
        <v>3396</v>
      </c>
      <c r="J106" s="1943">
        <v>3011</v>
      </c>
    </row>
    <row r="107" spans="1:10" x14ac:dyDescent="0.25">
      <c r="A107" s="632" t="s">
        <v>90</v>
      </c>
      <c r="B107" s="633" t="s">
        <v>91</v>
      </c>
      <c r="C107" s="633" t="s">
        <v>268</v>
      </c>
      <c r="D107" s="634">
        <v>1292</v>
      </c>
      <c r="E107" s="634">
        <v>1330</v>
      </c>
      <c r="F107" s="634">
        <v>1374</v>
      </c>
      <c r="G107" s="634">
        <v>1383</v>
      </c>
      <c r="H107" s="634">
        <v>1406</v>
      </c>
      <c r="I107" s="1580">
        <v>1322</v>
      </c>
      <c r="J107" s="1943">
        <v>1275</v>
      </c>
    </row>
    <row r="108" spans="1:10" x14ac:dyDescent="0.25">
      <c r="A108" s="632" t="s">
        <v>106</v>
      </c>
      <c r="B108" s="633" t="s">
        <v>107</v>
      </c>
      <c r="C108" s="633" t="s">
        <v>264</v>
      </c>
      <c r="D108" s="634">
        <v>11567</v>
      </c>
      <c r="E108" s="634">
        <v>13629</v>
      </c>
      <c r="F108" s="634">
        <v>15200</v>
      </c>
      <c r="G108" s="634">
        <v>16168</v>
      </c>
      <c r="H108" s="634">
        <v>16029</v>
      </c>
      <c r="I108" s="1580">
        <v>14769</v>
      </c>
      <c r="J108" s="1943">
        <v>13871</v>
      </c>
    </row>
    <row r="109" spans="1:10" x14ac:dyDescent="0.25">
      <c r="A109" s="632" t="s">
        <v>116</v>
      </c>
      <c r="B109" s="633" t="s">
        <v>117</v>
      </c>
      <c r="C109" s="633" t="s">
        <v>266</v>
      </c>
      <c r="D109" s="634">
        <v>3873</v>
      </c>
      <c r="E109" s="634">
        <v>4261</v>
      </c>
      <c r="F109" s="634">
        <v>4463</v>
      </c>
      <c r="G109" s="634">
        <v>4585</v>
      </c>
      <c r="H109" s="634">
        <v>4620</v>
      </c>
      <c r="I109" s="1580">
        <v>4561</v>
      </c>
      <c r="J109" s="1943">
        <v>4408</v>
      </c>
    </row>
    <row r="110" spans="1:10" x14ac:dyDescent="0.25">
      <c r="A110" s="632" t="s">
        <v>138</v>
      </c>
      <c r="B110" s="633" t="s">
        <v>139</v>
      </c>
      <c r="C110" s="633" t="s">
        <v>265</v>
      </c>
      <c r="D110" s="634">
        <v>7486</v>
      </c>
      <c r="E110" s="634">
        <v>8308</v>
      </c>
      <c r="F110" s="634">
        <v>9129</v>
      </c>
      <c r="G110" s="634">
        <v>9642</v>
      </c>
      <c r="H110" s="634">
        <v>9599</v>
      </c>
      <c r="I110" s="1580">
        <v>8968</v>
      </c>
      <c r="J110" s="1943">
        <v>7939</v>
      </c>
    </row>
    <row r="111" spans="1:10" x14ac:dyDescent="0.25">
      <c r="A111" s="632" t="s">
        <v>142</v>
      </c>
      <c r="B111" s="633" t="s">
        <v>143</v>
      </c>
      <c r="C111" s="633" t="s">
        <v>267</v>
      </c>
      <c r="D111" s="634">
        <v>2281</v>
      </c>
      <c r="E111" s="634">
        <v>2544</v>
      </c>
      <c r="F111" s="634">
        <v>2632</v>
      </c>
      <c r="G111" s="634">
        <v>2721</v>
      </c>
      <c r="H111" s="634">
        <v>2730</v>
      </c>
      <c r="I111" s="1580">
        <v>2596</v>
      </c>
      <c r="J111" s="1943">
        <v>2408</v>
      </c>
    </row>
    <row r="112" spans="1:10" x14ac:dyDescent="0.25">
      <c r="A112" s="632" t="s">
        <v>144</v>
      </c>
      <c r="B112" s="633" t="s">
        <v>145</v>
      </c>
      <c r="C112" s="633" t="s">
        <v>267</v>
      </c>
      <c r="D112" s="634">
        <v>785</v>
      </c>
      <c r="E112" s="634">
        <v>815</v>
      </c>
      <c r="F112" s="634">
        <v>804</v>
      </c>
      <c r="G112" s="634">
        <v>842</v>
      </c>
      <c r="H112" s="634">
        <v>806</v>
      </c>
      <c r="I112" s="1580">
        <v>787</v>
      </c>
      <c r="J112" s="1943">
        <v>791</v>
      </c>
    </row>
    <row r="113" spans="1:10" x14ac:dyDescent="0.25">
      <c r="A113" s="632" t="s">
        <v>158</v>
      </c>
      <c r="B113" s="633" t="s">
        <v>159</v>
      </c>
      <c r="C113" s="633" t="s">
        <v>264</v>
      </c>
      <c r="D113" s="634">
        <v>20051</v>
      </c>
      <c r="E113" s="634">
        <v>22847</v>
      </c>
      <c r="F113" s="634">
        <v>24251</v>
      </c>
      <c r="G113" s="634">
        <v>25250</v>
      </c>
      <c r="H113" s="634">
        <v>25153</v>
      </c>
      <c r="I113" s="1580">
        <v>23667</v>
      </c>
      <c r="J113" s="1943">
        <v>22320</v>
      </c>
    </row>
    <row r="114" spans="1:10" x14ac:dyDescent="0.25">
      <c r="A114" s="632" t="s">
        <v>160</v>
      </c>
      <c r="B114" s="633" t="s">
        <v>161</v>
      </c>
      <c r="C114" s="633" t="s">
        <v>264</v>
      </c>
      <c r="D114" s="634">
        <v>28751</v>
      </c>
      <c r="E114" s="634">
        <v>31649</v>
      </c>
      <c r="F114" s="634">
        <v>33699</v>
      </c>
      <c r="G114" s="634">
        <v>35035</v>
      </c>
      <c r="H114" s="634">
        <v>34612</v>
      </c>
      <c r="I114" s="1580">
        <v>32195</v>
      </c>
      <c r="J114" s="1943">
        <v>29513</v>
      </c>
    </row>
    <row r="115" spans="1:10" x14ac:dyDescent="0.25">
      <c r="A115" s="632" t="s">
        <v>166</v>
      </c>
      <c r="B115" s="633" t="s">
        <v>167</v>
      </c>
      <c r="C115" s="633" t="s">
        <v>268</v>
      </c>
      <c r="D115" s="634">
        <v>711</v>
      </c>
      <c r="E115" s="634">
        <v>754</v>
      </c>
      <c r="F115" s="634">
        <v>800</v>
      </c>
      <c r="G115" s="634">
        <v>794</v>
      </c>
      <c r="H115" s="634">
        <v>802</v>
      </c>
      <c r="I115" s="1580">
        <v>749</v>
      </c>
      <c r="J115" s="1943">
        <v>756</v>
      </c>
    </row>
    <row r="116" spans="1:10" x14ac:dyDescent="0.25">
      <c r="A116" s="632" t="s">
        <v>176</v>
      </c>
      <c r="B116" s="633" t="s">
        <v>177</v>
      </c>
      <c r="C116" s="633" t="s">
        <v>266</v>
      </c>
      <c r="D116" s="634">
        <v>7241</v>
      </c>
      <c r="E116" s="634">
        <v>7908</v>
      </c>
      <c r="F116" s="634">
        <v>8245</v>
      </c>
      <c r="G116" s="634">
        <v>8488</v>
      </c>
      <c r="H116" s="634">
        <v>8469</v>
      </c>
      <c r="I116" s="1580">
        <v>8084</v>
      </c>
      <c r="J116" s="1943">
        <v>7714</v>
      </c>
    </row>
    <row r="117" spans="1:10" x14ac:dyDescent="0.25">
      <c r="A117" s="632" t="s">
        <v>180</v>
      </c>
      <c r="B117" s="633" t="s">
        <v>181</v>
      </c>
      <c r="C117" s="633" t="s">
        <v>264</v>
      </c>
      <c r="D117" s="634">
        <v>13061</v>
      </c>
      <c r="E117" s="634">
        <v>14589</v>
      </c>
      <c r="F117" s="634">
        <v>15729</v>
      </c>
      <c r="G117" s="634">
        <v>16464</v>
      </c>
      <c r="H117" s="634">
        <v>16155</v>
      </c>
      <c r="I117" s="1580">
        <v>15204</v>
      </c>
      <c r="J117" s="1943">
        <v>14244</v>
      </c>
    </row>
    <row r="118" spans="1:10" x14ac:dyDescent="0.25">
      <c r="A118" s="632" t="s">
        <v>192</v>
      </c>
      <c r="B118" s="633" t="s">
        <v>193</v>
      </c>
      <c r="C118" s="633" t="s">
        <v>268</v>
      </c>
      <c r="D118" s="634">
        <v>1276</v>
      </c>
      <c r="E118" s="634">
        <v>1281</v>
      </c>
      <c r="F118" s="634">
        <v>1282</v>
      </c>
      <c r="G118" s="634">
        <v>1316</v>
      </c>
      <c r="H118" s="634">
        <v>1358</v>
      </c>
      <c r="I118" s="1580">
        <v>1264</v>
      </c>
      <c r="J118" s="1943">
        <v>1141</v>
      </c>
    </row>
    <row r="119" spans="1:10" x14ac:dyDescent="0.25">
      <c r="A119" s="632" t="s">
        <v>196</v>
      </c>
      <c r="B119" s="633" t="s">
        <v>197</v>
      </c>
      <c r="C119" s="633" t="s">
        <v>266</v>
      </c>
      <c r="D119" s="634">
        <v>32825</v>
      </c>
      <c r="E119" s="634">
        <v>36583</v>
      </c>
      <c r="F119" s="634">
        <v>39255</v>
      </c>
      <c r="G119" s="634">
        <v>40591</v>
      </c>
      <c r="H119" s="634">
        <v>39268</v>
      </c>
      <c r="I119" s="1580">
        <v>36552</v>
      </c>
      <c r="J119" s="1943">
        <v>33362</v>
      </c>
    </row>
    <row r="120" spans="1:10" x14ac:dyDescent="0.25">
      <c r="A120" s="632" t="s">
        <v>200</v>
      </c>
      <c r="B120" s="633" t="s">
        <v>201</v>
      </c>
      <c r="C120" s="633" t="s">
        <v>265</v>
      </c>
      <c r="D120" s="634">
        <v>14080</v>
      </c>
      <c r="E120" s="634">
        <v>15509</v>
      </c>
      <c r="F120" s="634">
        <v>16537</v>
      </c>
      <c r="G120" s="634">
        <v>17492</v>
      </c>
      <c r="H120" s="634">
        <v>17549</v>
      </c>
      <c r="I120" s="1580">
        <v>16453</v>
      </c>
      <c r="J120" s="1943">
        <v>14511</v>
      </c>
    </row>
    <row r="121" spans="1:10" x14ac:dyDescent="0.25">
      <c r="A121" s="632" t="s">
        <v>222</v>
      </c>
      <c r="B121" s="633" t="s">
        <v>223</v>
      </c>
      <c r="C121" s="633" t="s">
        <v>264</v>
      </c>
      <c r="D121" s="634">
        <v>6885</v>
      </c>
      <c r="E121" s="634">
        <v>7888</v>
      </c>
      <c r="F121" s="634">
        <v>8513</v>
      </c>
      <c r="G121" s="634">
        <v>8902</v>
      </c>
      <c r="H121" s="634">
        <v>8972</v>
      </c>
      <c r="I121" s="1580">
        <v>8558</v>
      </c>
      <c r="J121" s="1943">
        <v>7938</v>
      </c>
    </row>
    <row r="122" spans="1:10" x14ac:dyDescent="0.25">
      <c r="A122" s="632" t="s">
        <v>230</v>
      </c>
      <c r="B122" s="633" t="s">
        <v>231</v>
      </c>
      <c r="C122" s="633" t="s">
        <v>264</v>
      </c>
      <c r="D122" s="634">
        <v>19182</v>
      </c>
      <c r="E122" s="634">
        <v>22154</v>
      </c>
      <c r="F122" s="634">
        <v>24208</v>
      </c>
      <c r="G122" s="634">
        <v>25071</v>
      </c>
      <c r="H122" s="634">
        <v>25434</v>
      </c>
      <c r="I122" s="1580">
        <v>24250</v>
      </c>
      <c r="J122" s="1943">
        <v>22490</v>
      </c>
    </row>
    <row r="123" spans="1:10" x14ac:dyDescent="0.25">
      <c r="A123" s="632" t="s">
        <v>238</v>
      </c>
      <c r="B123" s="633" t="s">
        <v>239</v>
      </c>
      <c r="C123" s="633" t="s">
        <v>264</v>
      </c>
      <c r="D123" s="634">
        <v>680</v>
      </c>
      <c r="E123" s="634">
        <v>828</v>
      </c>
      <c r="F123" s="634">
        <v>883</v>
      </c>
      <c r="G123" s="634">
        <v>947</v>
      </c>
      <c r="H123" s="634">
        <v>952</v>
      </c>
      <c r="I123" s="1580">
        <v>920</v>
      </c>
      <c r="J123" s="1943">
        <v>895</v>
      </c>
    </row>
    <row r="124" spans="1:10" x14ac:dyDescent="0.25">
      <c r="A124" s="552" t="s">
        <v>240</v>
      </c>
      <c r="B124" s="541" t="s">
        <v>241</v>
      </c>
      <c r="C124" s="541" t="s">
        <v>267</v>
      </c>
      <c r="D124" s="546">
        <v>2959</v>
      </c>
      <c r="E124" s="546">
        <v>3308</v>
      </c>
      <c r="F124" s="546">
        <v>3394</v>
      </c>
      <c r="G124" s="546">
        <v>3392</v>
      </c>
      <c r="H124" s="546">
        <v>3226</v>
      </c>
      <c r="I124" s="1581">
        <v>2941</v>
      </c>
      <c r="J124" s="1581">
        <v>2722</v>
      </c>
    </row>
    <row r="126" spans="1:10" ht="31.5" customHeight="1" x14ac:dyDescent="0.25">
      <c r="A126" s="2270" t="s">
        <v>1314</v>
      </c>
      <c r="B126" s="2270"/>
      <c r="C126" s="2270"/>
      <c r="D126" s="2270"/>
      <c r="E126" s="2270"/>
      <c r="F126" s="2270"/>
      <c r="G126" s="2270"/>
      <c r="H126" s="2270"/>
    </row>
    <row r="128" spans="1:10" s="412" customFormat="1" x14ac:dyDescent="0.25">
      <c r="A128" s="412" t="s">
        <v>248</v>
      </c>
    </row>
    <row r="129" spans="1:3" s="412" customFormat="1" x14ac:dyDescent="0.25">
      <c r="A129" s="413" t="s">
        <v>249</v>
      </c>
      <c r="B129" s="414" t="s">
        <v>250</v>
      </c>
      <c r="C129" s="414"/>
    </row>
  </sheetData>
  <autoFilter ref="A3:C3"/>
  <sortState ref="A5:M124">
    <sortCondition ref="A5:A124"/>
  </sortState>
  <mergeCells count="1">
    <mergeCell ref="A126:H126"/>
  </mergeCells>
  <hyperlinks>
    <hyperlink ref="B129"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29"/>
  <sheetViews>
    <sheetView workbookViewId="0">
      <selection activeCell="B1" sqref="B1"/>
    </sheetView>
  </sheetViews>
  <sheetFormatPr defaultRowHeight="15.75" x14ac:dyDescent="0.25"/>
  <cols>
    <col min="1" max="1" width="5.875" style="529" customWidth="1"/>
    <col min="2" max="2" width="30.25" style="529" customWidth="1"/>
    <col min="3" max="3" width="12.375" style="529" customWidth="1"/>
    <col min="4" max="10" width="10.875" style="529" customWidth="1"/>
    <col min="11" max="11" width="2.5" style="529" customWidth="1"/>
    <col min="12" max="16384" width="9" style="529"/>
  </cols>
  <sheetData>
    <row r="1" spans="1:10" x14ac:dyDescent="0.25">
      <c r="A1" s="258" t="s">
        <v>1317</v>
      </c>
    </row>
    <row r="3" spans="1:10" x14ac:dyDescent="0.25">
      <c r="A3" s="637" t="s">
        <v>4</v>
      </c>
      <c r="B3" s="592" t="s">
        <v>5</v>
      </c>
      <c r="C3" s="592" t="s">
        <v>251</v>
      </c>
      <c r="D3" s="643">
        <v>2010</v>
      </c>
      <c r="E3" s="643">
        <v>2011</v>
      </c>
      <c r="F3" s="643">
        <v>2012</v>
      </c>
      <c r="G3" s="643">
        <v>2013</v>
      </c>
      <c r="H3" s="643">
        <v>2014</v>
      </c>
      <c r="I3" s="1555">
        <v>2015</v>
      </c>
      <c r="J3" s="1555">
        <v>2016</v>
      </c>
    </row>
    <row r="4" spans="1:10" x14ac:dyDescent="0.25">
      <c r="A4" s="597">
        <v>999</v>
      </c>
      <c r="B4" s="630" t="s">
        <v>9</v>
      </c>
      <c r="C4" s="593"/>
      <c r="D4" s="556">
        <v>645469</v>
      </c>
      <c r="E4" s="556">
        <v>677720</v>
      </c>
      <c r="F4" s="556">
        <v>705578</v>
      </c>
      <c r="G4" s="556">
        <v>726306</v>
      </c>
      <c r="H4" s="556">
        <v>735695</v>
      </c>
      <c r="I4" s="1579">
        <v>806453</v>
      </c>
      <c r="J4" s="1579">
        <v>800488</v>
      </c>
    </row>
    <row r="5" spans="1:10" x14ac:dyDescent="0.25">
      <c r="A5" s="548" t="s">
        <v>10</v>
      </c>
      <c r="B5" s="594" t="s">
        <v>11</v>
      </c>
      <c r="C5" s="594" t="s">
        <v>264</v>
      </c>
      <c r="D5" s="542">
        <v>5061</v>
      </c>
      <c r="E5" s="542">
        <v>5183</v>
      </c>
      <c r="F5" s="542">
        <v>5235</v>
      </c>
      <c r="G5" s="542">
        <v>5244</v>
      </c>
      <c r="H5" s="542">
        <v>5279</v>
      </c>
      <c r="I5" s="1577">
        <v>5412</v>
      </c>
      <c r="J5" s="1942">
        <v>5483</v>
      </c>
    </row>
    <row r="6" spans="1:10" x14ac:dyDescent="0.25">
      <c r="A6" s="632" t="s">
        <v>12</v>
      </c>
      <c r="B6" s="633" t="s">
        <v>13</v>
      </c>
      <c r="C6" s="633" t="s">
        <v>265</v>
      </c>
      <c r="D6" s="634">
        <v>5366</v>
      </c>
      <c r="E6" s="634">
        <v>5735</v>
      </c>
      <c r="F6" s="634">
        <v>6020</v>
      </c>
      <c r="G6" s="634">
        <v>6123</v>
      </c>
      <c r="H6" s="634">
        <v>6234</v>
      </c>
      <c r="I6" s="1577">
        <v>6468</v>
      </c>
      <c r="J6" s="1942">
        <v>6410</v>
      </c>
    </row>
    <row r="7" spans="1:10" x14ac:dyDescent="0.25">
      <c r="A7" s="632" t="s">
        <v>16</v>
      </c>
      <c r="B7" s="633" t="s">
        <v>297</v>
      </c>
      <c r="C7" s="633" t="s">
        <v>265</v>
      </c>
      <c r="D7" s="634">
        <v>3311</v>
      </c>
      <c r="E7" s="634">
        <v>3403</v>
      </c>
      <c r="F7" s="634">
        <v>3519</v>
      </c>
      <c r="G7" s="634">
        <v>3415</v>
      </c>
      <c r="H7" s="634">
        <v>3414</v>
      </c>
      <c r="I7" s="1577">
        <v>3472</v>
      </c>
      <c r="J7" s="1942">
        <v>3236</v>
      </c>
    </row>
    <row r="8" spans="1:10" x14ac:dyDescent="0.25">
      <c r="A8" s="632" t="s">
        <v>18</v>
      </c>
      <c r="B8" s="633" t="s">
        <v>19</v>
      </c>
      <c r="C8" s="633" t="s">
        <v>266</v>
      </c>
      <c r="D8" s="634">
        <v>1461</v>
      </c>
      <c r="E8" s="634">
        <v>1548</v>
      </c>
      <c r="F8" s="634">
        <v>1622</v>
      </c>
      <c r="G8" s="634">
        <v>1587</v>
      </c>
      <c r="H8" s="634">
        <v>1543</v>
      </c>
      <c r="I8" s="1577">
        <v>1559</v>
      </c>
      <c r="J8" s="1942">
        <v>1524</v>
      </c>
    </row>
    <row r="9" spans="1:10" x14ac:dyDescent="0.25">
      <c r="A9" s="632" t="s">
        <v>20</v>
      </c>
      <c r="B9" s="633" t="s">
        <v>21</v>
      </c>
      <c r="C9" s="633" t="s">
        <v>265</v>
      </c>
      <c r="D9" s="634">
        <v>3559</v>
      </c>
      <c r="E9" s="634">
        <v>3682</v>
      </c>
      <c r="F9" s="634">
        <v>3750</v>
      </c>
      <c r="G9" s="634">
        <v>3808</v>
      </c>
      <c r="H9" s="634">
        <v>3819</v>
      </c>
      <c r="I9" s="1577">
        <v>3943</v>
      </c>
      <c r="J9" s="1942">
        <v>3814</v>
      </c>
    </row>
    <row r="10" spans="1:10" x14ac:dyDescent="0.25">
      <c r="A10" s="632" t="s">
        <v>22</v>
      </c>
      <c r="B10" s="633" t="s">
        <v>23</v>
      </c>
      <c r="C10" s="633" t="s">
        <v>265</v>
      </c>
      <c r="D10" s="634">
        <v>2016</v>
      </c>
      <c r="E10" s="634">
        <v>2077</v>
      </c>
      <c r="F10" s="634">
        <v>2191</v>
      </c>
      <c r="G10" s="634">
        <v>2241</v>
      </c>
      <c r="H10" s="634">
        <v>2218</v>
      </c>
      <c r="I10" s="1577">
        <v>2322</v>
      </c>
      <c r="J10" s="1942">
        <v>2215</v>
      </c>
    </row>
    <row r="11" spans="1:10" x14ac:dyDescent="0.25">
      <c r="A11" s="632" t="s">
        <v>24</v>
      </c>
      <c r="B11" s="633" t="s">
        <v>25</v>
      </c>
      <c r="C11" s="633" t="s">
        <v>267</v>
      </c>
      <c r="D11" s="634">
        <v>8872</v>
      </c>
      <c r="E11" s="634">
        <v>9157</v>
      </c>
      <c r="F11" s="634">
        <v>9543</v>
      </c>
      <c r="G11" s="634">
        <v>9787</v>
      </c>
      <c r="H11" s="634">
        <v>10106</v>
      </c>
      <c r="I11" s="1577">
        <v>10726</v>
      </c>
      <c r="J11" s="1942">
        <v>10729</v>
      </c>
    </row>
    <row r="12" spans="1:10" x14ac:dyDescent="0.25">
      <c r="A12" s="632" t="s">
        <v>26</v>
      </c>
      <c r="B12" s="633" t="s">
        <v>686</v>
      </c>
      <c r="C12" s="633" t="s">
        <v>265</v>
      </c>
      <c r="D12" s="634">
        <v>11889</v>
      </c>
      <c r="E12" s="634">
        <v>12478</v>
      </c>
      <c r="F12" s="634">
        <v>13194</v>
      </c>
      <c r="G12" s="634">
        <v>13710</v>
      </c>
      <c r="H12" s="634">
        <v>13708</v>
      </c>
      <c r="I12" s="1577">
        <v>13593</v>
      </c>
      <c r="J12" s="1942">
        <v>12628</v>
      </c>
    </row>
    <row r="13" spans="1:10" x14ac:dyDescent="0.25">
      <c r="A13" s="632" t="s">
        <v>27</v>
      </c>
      <c r="B13" s="633" t="s">
        <v>28</v>
      </c>
      <c r="C13" s="633" t="s">
        <v>265</v>
      </c>
      <c r="D13" s="634">
        <v>447</v>
      </c>
      <c r="E13" s="634">
        <v>479</v>
      </c>
      <c r="F13" s="634">
        <v>490</v>
      </c>
      <c r="G13" s="634">
        <v>503</v>
      </c>
      <c r="H13" s="634">
        <v>473</v>
      </c>
      <c r="I13" s="1577">
        <v>517</v>
      </c>
      <c r="J13" s="1942">
        <v>487</v>
      </c>
    </row>
    <row r="14" spans="1:10" x14ac:dyDescent="0.25">
      <c r="A14" s="632" t="s">
        <v>29</v>
      </c>
      <c r="B14" s="633" t="s">
        <v>924</v>
      </c>
      <c r="C14" s="633" t="s">
        <v>265</v>
      </c>
      <c r="D14" s="634">
        <v>6139</v>
      </c>
      <c r="E14" s="634">
        <v>6385</v>
      </c>
      <c r="F14" s="634">
        <v>6684</v>
      </c>
      <c r="G14" s="634">
        <v>6766</v>
      </c>
      <c r="H14" s="634">
        <v>7434</v>
      </c>
      <c r="I14" s="1577">
        <v>6877</v>
      </c>
      <c r="J14" s="1942">
        <v>6797</v>
      </c>
    </row>
    <row r="15" spans="1:10" x14ac:dyDescent="0.25">
      <c r="A15" s="632" t="s">
        <v>30</v>
      </c>
      <c r="B15" s="633" t="s">
        <v>31</v>
      </c>
      <c r="C15" s="633" t="s">
        <v>268</v>
      </c>
      <c r="D15" s="634">
        <v>710</v>
      </c>
      <c r="E15" s="634">
        <v>707</v>
      </c>
      <c r="F15" s="634">
        <v>730</v>
      </c>
      <c r="G15" s="634">
        <v>733</v>
      </c>
      <c r="H15" s="634">
        <v>699</v>
      </c>
      <c r="I15" s="1577">
        <v>730</v>
      </c>
      <c r="J15" s="1942">
        <v>708</v>
      </c>
    </row>
    <row r="16" spans="1:10" x14ac:dyDescent="0.25">
      <c r="A16" s="632" t="s">
        <v>32</v>
      </c>
      <c r="B16" s="633" t="s">
        <v>33</v>
      </c>
      <c r="C16" s="633" t="s">
        <v>265</v>
      </c>
      <c r="D16" s="634">
        <v>1819</v>
      </c>
      <c r="E16" s="634">
        <v>1860</v>
      </c>
      <c r="F16" s="634">
        <v>1954</v>
      </c>
      <c r="G16" s="634">
        <v>2007</v>
      </c>
      <c r="H16" s="634">
        <v>2064</v>
      </c>
      <c r="I16" s="1577">
        <v>2225</v>
      </c>
      <c r="J16" s="1942">
        <v>2261</v>
      </c>
    </row>
    <row r="17" spans="1:10" x14ac:dyDescent="0.25">
      <c r="A17" s="632" t="s">
        <v>36</v>
      </c>
      <c r="B17" s="633" t="s">
        <v>37</v>
      </c>
      <c r="C17" s="633" t="s">
        <v>264</v>
      </c>
      <c r="D17" s="634">
        <v>2805</v>
      </c>
      <c r="E17" s="634">
        <v>2867</v>
      </c>
      <c r="F17" s="634">
        <v>2874</v>
      </c>
      <c r="G17" s="634">
        <v>2919</v>
      </c>
      <c r="H17" s="634">
        <v>2983</v>
      </c>
      <c r="I17" s="1577">
        <v>3049</v>
      </c>
      <c r="J17" s="1942">
        <v>3007</v>
      </c>
    </row>
    <row r="18" spans="1:10" x14ac:dyDescent="0.25">
      <c r="A18" s="632" t="s">
        <v>38</v>
      </c>
      <c r="B18" s="633" t="s">
        <v>39</v>
      </c>
      <c r="C18" s="633" t="s">
        <v>268</v>
      </c>
      <c r="D18" s="634">
        <v>4594</v>
      </c>
      <c r="E18" s="634">
        <v>4570</v>
      </c>
      <c r="F18" s="634">
        <v>4595</v>
      </c>
      <c r="G18" s="634">
        <v>4573</v>
      </c>
      <c r="H18" s="634">
        <v>4545</v>
      </c>
      <c r="I18" s="1577">
        <v>4654</v>
      </c>
      <c r="J18" s="1942">
        <v>4584</v>
      </c>
    </row>
    <row r="19" spans="1:10" x14ac:dyDescent="0.25">
      <c r="A19" s="632" t="s">
        <v>40</v>
      </c>
      <c r="B19" s="633" t="s">
        <v>41</v>
      </c>
      <c r="C19" s="633" t="s">
        <v>266</v>
      </c>
      <c r="D19" s="634">
        <v>2133</v>
      </c>
      <c r="E19" s="634">
        <v>2213</v>
      </c>
      <c r="F19" s="634">
        <v>2296</v>
      </c>
      <c r="G19" s="634">
        <v>2345</v>
      </c>
      <c r="H19" s="634">
        <v>2345</v>
      </c>
      <c r="I19" s="1577">
        <v>2436</v>
      </c>
      <c r="J19" s="1942">
        <v>2354</v>
      </c>
    </row>
    <row r="20" spans="1:10" x14ac:dyDescent="0.25">
      <c r="A20" s="632" t="s">
        <v>42</v>
      </c>
      <c r="B20" s="633" t="s">
        <v>43</v>
      </c>
      <c r="C20" s="633" t="s">
        <v>265</v>
      </c>
      <c r="D20" s="634">
        <v>6296</v>
      </c>
      <c r="E20" s="634">
        <v>6639</v>
      </c>
      <c r="F20" s="634">
        <v>6934</v>
      </c>
      <c r="G20" s="634">
        <v>7065</v>
      </c>
      <c r="H20" s="634">
        <v>7079</v>
      </c>
      <c r="I20" s="1577">
        <v>7292</v>
      </c>
      <c r="J20" s="1942">
        <v>7093</v>
      </c>
    </row>
    <row r="21" spans="1:10" x14ac:dyDescent="0.25">
      <c r="A21" s="632" t="s">
        <v>44</v>
      </c>
      <c r="B21" s="633" t="s">
        <v>45</v>
      </c>
      <c r="C21" s="633" t="s">
        <v>266</v>
      </c>
      <c r="D21" s="634">
        <v>3016</v>
      </c>
      <c r="E21" s="634">
        <v>3120</v>
      </c>
      <c r="F21" s="634">
        <v>3260</v>
      </c>
      <c r="G21" s="634">
        <v>3298</v>
      </c>
      <c r="H21" s="634">
        <v>3282</v>
      </c>
      <c r="I21" s="1577">
        <v>3508</v>
      </c>
      <c r="J21" s="1942">
        <v>3546</v>
      </c>
    </row>
    <row r="22" spans="1:10" x14ac:dyDescent="0.25">
      <c r="A22" s="632" t="s">
        <v>46</v>
      </c>
      <c r="B22" s="633" t="s">
        <v>47</v>
      </c>
      <c r="C22" s="633" t="s">
        <v>268</v>
      </c>
      <c r="D22" s="634">
        <v>4308</v>
      </c>
      <c r="E22" s="634">
        <v>4482</v>
      </c>
      <c r="F22" s="634">
        <v>4678</v>
      </c>
      <c r="G22" s="634">
        <v>4624</v>
      </c>
      <c r="H22" s="634">
        <v>4587</v>
      </c>
      <c r="I22" s="1577">
        <v>4643</v>
      </c>
      <c r="J22" s="1942">
        <v>4560</v>
      </c>
    </row>
    <row r="23" spans="1:10" x14ac:dyDescent="0.25">
      <c r="A23" s="632" t="s">
        <v>48</v>
      </c>
      <c r="B23" s="633" t="s">
        <v>269</v>
      </c>
      <c r="C23" s="633" t="s">
        <v>266</v>
      </c>
      <c r="D23" s="634">
        <v>762</v>
      </c>
      <c r="E23" s="634">
        <v>786</v>
      </c>
      <c r="F23" s="634">
        <v>814</v>
      </c>
      <c r="G23" s="634">
        <v>811</v>
      </c>
      <c r="H23" s="634">
        <v>791</v>
      </c>
      <c r="I23" s="1577">
        <v>835</v>
      </c>
      <c r="J23" s="1942">
        <v>876</v>
      </c>
    </row>
    <row r="24" spans="1:10" x14ac:dyDescent="0.25">
      <c r="A24" s="632" t="s">
        <v>50</v>
      </c>
      <c r="B24" s="633" t="s">
        <v>51</v>
      </c>
      <c r="C24" s="633" t="s">
        <v>265</v>
      </c>
      <c r="D24" s="634">
        <v>2057</v>
      </c>
      <c r="E24" s="634">
        <v>2117</v>
      </c>
      <c r="F24" s="634">
        <v>2185</v>
      </c>
      <c r="G24" s="634">
        <v>2115</v>
      </c>
      <c r="H24" s="634">
        <v>2103</v>
      </c>
      <c r="I24" s="1577">
        <v>2157</v>
      </c>
      <c r="J24" s="1942">
        <v>2060</v>
      </c>
    </row>
    <row r="25" spans="1:10" x14ac:dyDescent="0.25">
      <c r="A25" s="632" t="s">
        <v>56</v>
      </c>
      <c r="B25" s="633" t="s">
        <v>295</v>
      </c>
      <c r="C25" s="633" t="s">
        <v>266</v>
      </c>
      <c r="D25" s="634">
        <v>22393</v>
      </c>
      <c r="E25" s="634">
        <v>23970</v>
      </c>
      <c r="F25" s="634">
        <v>25145</v>
      </c>
      <c r="G25" s="634">
        <v>26132</v>
      </c>
      <c r="H25" s="634">
        <v>26942</v>
      </c>
      <c r="I25" s="1577">
        <v>29404</v>
      </c>
      <c r="J25" s="1942">
        <v>31067</v>
      </c>
    </row>
    <row r="26" spans="1:10" x14ac:dyDescent="0.25">
      <c r="A26" s="632" t="s">
        <v>58</v>
      </c>
      <c r="B26" s="633" t="s">
        <v>59</v>
      </c>
      <c r="C26" s="633" t="s">
        <v>267</v>
      </c>
      <c r="D26" s="634">
        <v>776</v>
      </c>
      <c r="E26" s="634">
        <v>794</v>
      </c>
      <c r="F26" s="634">
        <v>812</v>
      </c>
      <c r="G26" s="634">
        <v>816</v>
      </c>
      <c r="H26" s="634">
        <v>830</v>
      </c>
      <c r="I26" s="1577">
        <v>837</v>
      </c>
      <c r="J26" s="1942">
        <v>818</v>
      </c>
    </row>
    <row r="27" spans="1:10" x14ac:dyDescent="0.25">
      <c r="A27" s="632" t="s">
        <v>60</v>
      </c>
      <c r="B27" s="633" t="s">
        <v>61</v>
      </c>
      <c r="C27" s="633" t="s">
        <v>265</v>
      </c>
      <c r="D27" s="634">
        <v>564</v>
      </c>
      <c r="E27" s="634">
        <v>596</v>
      </c>
      <c r="F27" s="634">
        <v>608</v>
      </c>
      <c r="G27" s="634">
        <v>633</v>
      </c>
      <c r="H27" s="634">
        <v>617</v>
      </c>
      <c r="I27" s="1577">
        <v>655</v>
      </c>
      <c r="J27" s="1942">
        <v>631</v>
      </c>
    </row>
    <row r="28" spans="1:10" x14ac:dyDescent="0.25">
      <c r="A28" s="632" t="s">
        <v>62</v>
      </c>
      <c r="B28" s="633" t="s">
        <v>63</v>
      </c>
      <c r="C28" s="633" t="s">
        <v>267</v>
      </c>
      <c r="D28" s="634">
        <v>4087</v>
      </c>
      <c r="E28" s="634">
        <v>4350</v>
      </c>
      <c r="F28" s="634">
        <v>4572</v>
      </c>
      <c r="G28" s="634">
        <v>4697</v>
      </c>
      <c r="H28" s="634">
        <v>4719</v>
      </c>
      <c r="I28" s="1577">
        <v>4956</v>
      </c>
      <c r="J28" s="1942">
        <v>4957</v>
      </c>
    </row>
    <row r="29" spans="1:10" x14ac:dyDescent="0.25">
      <c r="A29" s="632" t="s">
        <v>64</v>
      </c>
      <c r="B29" s="633" t="s">
        <v>65</v>
      </c>
      <c r="C29" s="633" t="s">
        <v>266</v>
      </c>
      <c r="D29" s="634">
        <v>1442</v>
      </c>
      <c r="E29" s="634">
        <v>1484</v>
      </c>
      <c r="F29" s="634">
        <v>1558</v>
      </c>
      <c r="G29" s="634">
        <v>1564</v>
      </c>
      <c r="H29" s="634">
        <v>1600</v>
      </c>
      <c r="I29" s="1577">
        <v>1614</v>
      </c>
      <c r="J29" s="1942">
        <v>1579</v>
      </c>
    </row>
    <row r="30" spans="1:10" x14ac:dyDescent="0.25">
      <c r="A30" s="632" t="s">
        <v>68</v>
      </c>
      <c r="B30" s="633" t="s">
        <v>69</v>
      </c>
      <c r="C30" s="633" t="s">
        <v>268</v>
      </c>
      <c r="D30" s="634">
        <v>3383</v>
      </c>
      <c r="E30" s="634">
        <v>3421</v>
      </c>
      <c r="F30" s="634">
        <v>3437</v>
      </c>
      <c r="G30" s="634">
        <v>3502</v>
      </c>
      <c r="H30" s="634">
        <v>3472</v>
      </c>
      <c r="I30" s="1577">
        <v>3462</v>
      </c>
      <c r="J30" s="1942">
        <v>3353</v>
      </c>
    </row>
    <row r="31" spans="1:10" x14ac:dyDescent="0.25">
      <c r="A31" s="632" t="s">
        <v>70</v>
      </c>
      <c r="B31" s="633" t="s">
        <v>71</v>
      </c>
      <c r="C31" s="633" t="s">
        <v>264</v>
      </c>
      <c r="D31" s="634">
        <v>3074</v>
      </c>
      <c r="E31" s="634">
        <v>3227</v>
      </c>
      <c r="F31" s="634">
        <v>3367</v>
      </c>
      <c r="G31" s="634">
        <v>3421</v>
      </c>
      <c r="H31" s="634">
        <v>3397</v>
      </c>
      <c r="I31" s="1577">
        <v>3563</v>
      </c>
      <c r="J31" s="1942">
        <v>3556</v>
      </c>
    </row>
    <row r="32" spans="1:10" x14ac:dyDescent="0.25">
      <c r="A32" s="632" t="s">
        <v>72</v>
      </c>
      <c r="B32" s="633" t="s">
        <v>73</v>
      </c>
      <c r="C32" s="633" t="s">
        <v>266</v>
      </c>
      <c r="D32" s="634">
        <v>1413</v>
      </c>
      <c r="E32" s="634">
        <v>1497</v>
      </c>
      <c r="F32" s="634">
        <v>1592</v>
      </c>
      <c r="G32" s="634">
        <v>1611</v>
      </c>
      <c r="H32" s="634">
        <v>1598</v>
      </c>
      <c r="I32" s="1577">
        <v>1648</v>
      </c>
      <c r="J32" s="1942">
        <v>1659</v>
      </c>
    </row>
    <row r="33" spans="1:10" x14ac:dyDescent="0.25">
      <c r="A33" s="632" t="s">
        <v>74</v>
      </c>
      <c r="B33" s="633" t="s">
        <v>296</v>
      </c>
      <c r="C33" s="633" t="s">
        <v>267</v>
      </c>
      <c r="D33" s="634">
        <v>54170</v>
      </c>
      <c r="E33" s="634">
        <v>58384</v>
      </c>
      <c r="F33" s="634">
        <v>58298</v>
      </c>
      <c r="G33" s="634">
        <v>59707</v>
      </c>
      <c r="H33" s="634">
        <v>60817</v>
      </c>
      <c r="I33" s="1577">
        <v>65841</v>
      </c>
      <c r="J33" s="1942">
        <v>63915</v>
      </c>
    </row>
    <row r="34" spans="1:10" x14ac:dyDescent="0.25">
      <c r="A34" s="632" t="s">
        <v>76</v>
      </c>
      <c r="B34" s="633" t="s">
        <v>77</v>
      </c>
      <c r="C34" s="633" t="s">
        <v>267</v>
      </c>
      <c r="D34" s="634">
        <v>3751</v>
      </c>
      <c r="E34" s="634">
        <v>3797</v>
      </c>
      <c r="F34" s="634">
        <v>4014</v>
      </c>
      <c r="G34" s="634">
        <v>4051</v>
      </c>
      <c r="H34" s="634">
        <v>4068</v>
      </c>
      <c r="I34" s="1577">
        <v>4318</v>
      </c>
      <c r="J34" s="1942">
        <v>4145</v>
      </c>
    </row>
    <row r="35" spans="1:10" x14ac:dyDescent="0.25">
      <c r="A35" s="632" t="s">
        <v>78</v>
      </c>
      <c r="B35" s="633" t="s">
        <v>79</v>
      </c>
      <c r="C35" s="633" t="s">
        <v>268</v>
      </c>
      <c r="D35" s="634">
        <v>1606</v>
      </c>
      <c r="E35" s="634">
        <v>1688</v>
      </c>
      <c r="F35" s="634">
        <v>1791</v>
      </c>
      <c r="G35" s="634">
        <v>1828</v>
      </c>
      <c r="H35" s="634">
        <v>1833</v>
      </c>
      <c r="I35" s="1577">
        <v>1897</v>
      </c>
      <c r="J35" s="1942">
        <v>1812</v>
      </c>
    </row>
    <row r="36" spans="1:10" x14ac:dyDescent="0.25">
      <c r="A36" s="632" t="s">
        <v>80</v>
      </c>
      <c r="B36" s="633" t="s">
        <v>81</v>
      </c>
      <c r="C36" s="633" t="s">
        <v>266</v>
      </c>
      <c r="D36" s="634">
        <v>1510</v>
      </c>
      <c r="E36" s="634">
        <v>1587</v>
      </c>
      <c r="F36" s="634">
        <v>1644</v>
      </c>
      <c r="G36" s="634">
        <v>1719</v>
      </c>
      <c r="H36" s="634">
        <v>1731</v>
      </c>
      <c r="I36" s="1577">
        <v>1843</v>
      </c>
      <c r="J36" s="1942">
        <v>1909</v>
      </c>
    </row>
    <row r="37" spans="1:10" x14ac:dyDescent="0.25">
      <c r="A37" s="632" t="s">
        <v>84</v>
      </c>
      <c r="B37" s="633" t="s">
        <v>85</v>
      </c>
      <c r="C37" s="633" t="s">
        <v>265</v>
      </c>
      <c r="D37" s="634">
        <v>5842</v>
      </c>
      <c r="E37" s="634">
        <v>6077</v>
      </c>
      <c r="F37" s="634">
        <v>6505</v>
      </c>
      <c r="G37" s="634">
        <v>6489</v>
      </c>
      <c r="H37" s="634">
        <v>6409</v>
      </c>
      <c r="I37" s="1577">
        <v>6514</v>
      </c>
      <c r="J37" s="1942">
        <v>6413</v>
      </c>
    </row>
    <row r="38" spans="1:10" x14ac:dyDescent="0.25">
      <c r="A38" s="632" t="s">
        <v>86</v>
      </c>
      <c r="B38" s="633" t="s">
        <v>87</v>
      </c>
      <c r="C38" s="633" t="s">
        <v>267</v>
      </c>
      <c r="D38" s="634">
        <v>5125</v>
      </c>
      <c r="E38" s="634">
        <v>5611</v>
      </c>
      <c r="F38" s="634">
        <v>5942</v>
      </c>
      <c r="G38" s="634">
        <v>6190</v>
      </c>
      <c r="H38" s="634">
        <v>6271</v>
      </c>
      <c r="I38" s="1577">
        <v>6495</v>
      </c>
      <c r="J38" s="1942">
        <v>6484</v>
      </c>
    </row>
    <row r="39" spans="1:10" x14ac:dyDescent="0.25">
      <c r="A39" s="632" t="s">
        <v>92</v>
      </c>
      <c r="B39" s="633" t="s">
        <v>93</v>
      </c>
      <c r="C39" s="633" t="s">
        <v>268</v>
      </c>
      <c r="D39" s="634">
        <v>2209</v>
      </c>
      <c r="E39" s="634">
        <v>2338</v>
      </c>
      <c r="F39" s="634">
        <v>2378</v>
      </c>
      <c r="G39" s="634">
        <v>2274</v>
      </c>
      <c r="H39" s="634">
        <v>2319</v>
      </c>
      <c r="I39" s="1577">
        <v>2409</v>
      </c>
      <c r="J39" s="1942">
        <v>2295</v>
      </c>
    </row>
    <row r="40" spans="1:10" x14ac:dyDescent="0.25">
      <c r="A40" s="632" t="s">
        <v>94</v>
      </c>
      <c r="B40" s="633" t="s">
        <v>95</v>
      </c>
      <c r="C40" s="633" t="s">
        <v>264</v>
      </c>
      <c r="D40" s="634">
        <v>2887</v>
      </c>
      <c r="E40" s="634">
        <v>2992</v>
      </c>
      <c r="F40" s="634">
        <v>3182</v>
      </c>
      <c r="G40" s="634">
        <v>3243</v>
      </c>
      <c r="H40" s="634">
        <v>3337</v>
      </c>
      <c r="I40" s="1577">
        <v>3469</v>
      </c>
      <c r="J40" s="1942">
        <v>3513</v>
      </c>
    </row>
    <row r="41" spans="1:10" x14ac:dyDescent="0.25">
      <c r="A41" s="632" t="s">
        <v>96</v>
      </c>
      <c r="B41" s="633" t="s">
        <v>97</v>
      </c>
      <c r="C41" s="633" t="s">
        <v>266</v>
      </c>
      <c r="D41" s="634">
        <v>1101</v>
      </c>
      <c r="E41" s="634">
        <v>1166</v>
      </c>
      <c r="F41" s="634">
        <v>1154</v>
      </c>
      <c r="G41" s="634">
        <v>1186</v>
      </c>
      <c r="H41" s="634">
        <v>1211</v>
      </c>
      <c r="I41" s="1577">
        <v>1310</v>
      </c>
      <c r="J41" s="1942">
        <v>1286</v>
      </c>
    </row>
    <row r="42" spans="1:10" x14ac:dyDescent="0.25">
      <c r="A42" s="632" t="s">
        <v>98</v>
      </c>
      <c r="B42" s="633" t="s">
        <v>99</v>
      </c>
      <c r="C42" s="633" t="s">
        <v>268</v>
      </c>
      <c r="D42" s="634">
        <v>2421</v>
      </c>
      <c r="E42" s="634">
        <v>2523</v>
      </c>
      <c r="F42" s="634">
        <v>2596</v>
      </c>
      <c r="G42" s="634">
        <v>2611</v>
      </c>
      <c r="H42" s="634">
        <v>2582</v>
      </c>
      <c r="I42" s="1577">
        <v>2588</v>
      </c>
      <c r="J42" s="1942">
        <v>2499</v>
      </c>
    </row>
    <row r="43" spans="1:10" x14ac:dyDescent="0.25">
      <c r="A43" s="632" t="s">
        <v>100</v>
      </c>
      <c r="B43" s="633" t="s">
        <v>101</v>
      </c>
      <c r="C43" s="633" t="s">
        <v>267</v>
      </c>
      <c r="D43" s="634">
        <v>1527</v>
      </c>
      <c r="E43" s="634">
        <v>1585</v>
      </c>
      <c r="F43" s="634">
        <v>1671</v>
      </c>
      <c r="G43" s="634">
        <v>1729</v>
      </c>
      <c r="H43" s="634">
        <v>1801</v>
      </c>
      <c r="I43" s="1577">
        <v>1824</v>
      </c>
      <c r="J43" s="1942">
        <v>1789</v>
      </c>
    </row>
    <row r="44" spans="1:10" x14ac:dyDescent="0.25">
      <c r="A44" s="632" t="s">
        <v>102</v>
      </c>
      <c r="B44" s="633" t="s">
        <v>282</v>
      </c>
      <c r="C44" s="633" t="s">
        <v>264</v>
      </c>
      <c r="D44" s="634">
        <v>2936</v>
      </c>
      <c r="E44" s="634">
        <v>3078</v>
      </c>
      <c r="F44" s="634">
        <v>3213</v>
      </c>
      <c r="G44" s="634">
        <v>3268</v>
      </c>
      <c r="H44" s="634">
        <v>3249</v>
      </c>
      <c r="I44" s="1577">
        <v>3302</v>
      </c>
      <c r="J44" s="1942">
        <v>3143</v>
      </c>
    </row>
    <row r="45" spans="1:10" x14ac:dyDescent="0.25">
      <c r="A45" s="632" t="s">
        <v>104</v>
      </c>
      <c r="B45" s="633" t="s">
        <v>105</v>
      </c>
      <c r="C45" s="633" t="s">
        <v>265</v>
      </c>
      <c r="D45" s="634">
        <v>6002</v>
      </c>
      <c r="E45" s="634">
        <v>6226</v>
      </c>
      <c r="F45" s="634">
        <v>6414</v>
      </c>
      <c r="G45" s="634">
        <v>6377</v>
      </c>
      <c r="H45" s="634">
        <v>6416</v>
      </c>
      <c r="I45" s="1577">
        <v>6557</v>
      </c>
      <c r="J45" s="1942">
        <v>6148</v>
      </c>
    </row>
    <row r="46" spans="1:10" x14ac:dyDescent="0.25">
      <c r="A46" s="632" t="s">
        <v>108</v>
      </c>
      <c r="B46" s="633" t="s">
        <v>109</v>
      </c>
      <c r="C46" s="633" t="s">
        <v>266</v>
      </c>
      <c r="D46" s="634">
        <v>4638</v>
      </c>
      <c r="E46" s="634">
        <v>4917</v>
      </c>
      <c r="F46" s="634">
        <v>5158</v>
      </c>
      <c r="G46" s="634">
        <v>5228</v>
      </c>
      <c r="H46" s="634">
        <v>5354</v>
      </c>
      <c r="I46" s="1577">
        <v>5695</v>
      </c>
      <c r="J46" s="1942">
        <v>5674</v>
      </c>
    </row>
    <row r="47" spans="1:10" x14ac:dyDescent="0.25">
      <c r="A47" s="632" t="s">
        <v>110</v>
      </c>
      <c r="B47" s="633" t="s">
        <v>111</v>
      </c>
      <c r="C47" s="633" t="s">
        <v>266</v>
      </c>
      <c r="D47" s="634">
        <v>23197</v>
      </c>
      <c r="E47" s="634">
        <v>24646</v>
      </c>
      <c r="F47" s="634">
        <v>26257</v>
      </c>
      <c r="G47" s="634">
        <v>27064</v>
      </c>
      <c r="H47" s="634">
        <v>27773</v>
      </c>
      <c r="I47" s="1577">
        <v>28708</v>
      </c>
      <c r="J47" s="1942">
        <v>29282</v>
      </c>
    </row>
    <row r="48" spans="1:10" x14ac:dyDescent="0.25">
      <c r="A48" s="632" t="s">
        <v>112</v>
      </c>
      <c r="B48" s="633" t="s">
        <v>300</v>
      </c>
      <c r="C48" s="633" t="s">
        <v>265</v>
      </c>
      <c r="D48" s="634">
        <v>11091</v>
      </c>
      <c r="E48" s="634">
        <v>11532</v>
      </c>
      <c r="F48" s="634">
        <v>12321</v>
      </c>
      <c r="G48" s="634">
        <v>12567</v>
      </c>
      <c r="H48" s="634">
        <v>12648</v>
      </c>
      <c r="I48" s="1577">
        <v>12978</v>
      </c>
      <c r="J48" s="1942">
        <v>12091</v>
      </c>
    </row>
    <row r="49" spans="1:10" x14ac:dyDescent="0.25">
      <c r="A49" s="632" t="s">
        <v>114</v>
      </c>
      <c r="B49" s="633" t="s">
        <v>115</v>
      </c>
      <c r="C49" s="633" t="s">
        <v>265</v>
      </c>
      <c r="D49" s="634">
        <v>186</v>
      </c>
      <c r="E49" s="634">
        <v>203</v>
      </c>
      <c r="F49" s="634">
        <v>213</v>
      </c>
      <c r="G49" s="634">
        <v>186</v>
      </c>
      <c r="H49" s="634">
        <v>243</v>
      </c>
      <c r="I49" s="1577">
        <v>282</v>
      </c>
      <c r="J49" s="1942">
        <v>195</v>
      </c>
    </row>
    <row r="50" spans="1:10" x14ac:dyDescent="0.25">
      <c r="A50" s="632" t="s">
        <v>118</v>
      </c>
      <c r="B50" s="633" t="s">
        <v>270</v>
      </c>
      <c r="C50" s="633" t="s">
        <v>264</v>
      </c>
      <c r="D50" s="634">
        <v>2959</v>
      </c>
      <c r="E50" s="634">
        <v>3091</v>
      </c>
      <c r="F50" s="634">
        <v>3176</v>
      </c>
      <c r="G50" s="634">
        <v>3218</v>
      </c>
      <c r="H50" s="634">
        <v>3151</v>
      </c>
      <c r="I50" s="1577">
        <v>3244</v>
      </c>
      <c r="J50" s="1942">
        <v>3230</v>
      </c>
    </row>
    <row r="51" spans="1:10" x14ac:dyDescent="0.25">
      <c r="A51" s="632" t="s">
        <v>120</v>
      </c>
      <c r="B51" s="633" t="s">
        <v>121</v>
      </c>
      <c r="C51" s="633" t="s">
        <v>264</v>
      </c>
      <c r="D51" s="634">
        <v>3388</v>
      </c>
      <c r="E51" s="634">
        <v>3575</v>
      </c>
      <c r="F51" s="634">
        <v>3773</v>
      </c>
      <c r="G51" s="634">
        <v>3922</v>
      </c>
      <c r="H51" s="634">
        <v>3979</v>
      </c>
      <c r="I51" s="1577">
        <v>4191</v>
      </c>
      <c r="J51" s="1942">
        <v>4284</v>
      </c>
    </row>
    <row r="52" spans="1:10" x14ac:dyDescent="0.25">
      <c r="A52" s="632" t="s">
        <v>122</v>
      </c>
      <c r="B52" s="633" t="s">
        <v>287</v>
      </c>
      <c r="C52" s="633" t="s">
        <v>266</v>
      </c>
      <c r="D52" s="634">
        <v>915</v>
      </c>
      <c r="E52" s="634">
        <v>965</v>
      </c>
      <c r="F52" s="634">
        <v>965</v>
      </c>
      <c r="G52" s="634">
        <v>974</v>
      </c>
      <c r="H52" s="634">
        <v>1017</v>
      </c>
      <c r="I52" s="1577">
        <v>1017</v>
      </c>
      <c r="J52" s="1942">
        <v>2010</v>
      </c>
    </row>
    <row r="53" spans="1:10" x14ac:dyDescent="0.25">
      <c r="A53" s="632" t="s">
        <v>124</v>
      </c>
      <c r="B53" s="633" t="s">
        <v>125</v>
      </c>
      <c r="C53" s="633" t="s">
        <v>267</v>
      </c>
      <c r="D53" s="634">
        <v>1540</v>
      </c>
      <c r="E53" s="634">
        <v>1699</v>
      </c>
      <c r="F53" s="634">
        <v>1866</v>
      </c>
      <c r="G53" s="634">
        <v>1907</v>
      </c>
      <c r="H53" s="634">
        <v>1908</v>
      </c>
      <c r="I53" s="1577">
        <v>2044</v>
      </c>
      <c r="J53" s="1942">
        <v>1570</v>
      </c>
    </row>
    <row r="54" spans="1:10" x14ac:dyDescent="0.25">
      <c r="A54" s="632" t="s">
        <v>126</v>
      </c>
      <c r="B54" s="633" t="s">
        <v>127</v>
      </c>
      <c r="C54" s="633" t="s">
        <v>266</v>
      </c>
      <c r="D54" s="634">
        <v>1319</v>
      </c>
      <c r="E54" s="634">
        <v>1400</v>
      </c>
      <c r="F54" s="634">
        <v>1493</v>
      </c>
      <c r="G54" s="634">
        <v>1489</v>
      </c>
      <c r="H54" s="634">
        <v>1506</v>
      </c>
      <c r="I54" s="1577">
        <v>1543</v>
      </c>
      <c r="J54" s="1942">
        <v>950</v>
      </c>
    </row>
    <row r="55" spans="1:10" x14ac:dyDescent="0.25">
      <c r="A55" s="632" t="s">
        <v>128</v>
      </c>
      <c r="B55" s="633" t="s">
        <v>129</v>
      </c>
      <c r="C55" s="633" t="s">
        <v>266</v>
      </c>
      <c r="D55" s="634">
        <v>1246</v>
      </c>
      <c r="E55" s="634">
        <v>1294</v>
      </c>
      <c r="F55" s="634">
        <v>1341</v>
      </c>
      <c r="G55" s="634">
        <v>1371</v>
      </c>
      <c r="H55" s="634">
        <v>1368</v>
      </c>
      <c r="I55" s="1577">
        <v>1397</v>
      </c>
      <c r="J55" s="1942">
        <v>1312</v>
      </c>
    </row>
    <row r="56" spans="1:10" x14ac:dyDescent="0.25">
      <c r="A56" s="632" t="s">
        <v>130</v>
      </c>
      <c r="B56" s="633" t="s">
        <v>131</v>
      </c>
      <c r="C56" s="633" t="s">
        <v>268</v>
      </c>
      <c r="D56" s="634">
        <v>5449</v>
      </c>
      <c r="E56" s="634">
        <v>5478</v>
      </c>
      <c r="F56" s="634">
        <v>5636</v>
      </c>
      <c r="G56" s="634">
        <v>5578</v>
      </c>
      <c r="H56" s="634">
        <v>5575</v>
      </c>
      <c r="I56" s="1577">
        <v>5609</v>
      </c>
      <c r="J56" s="1942">
        <v>5454</v>
      </c>
    </row>
    <row r="57" spans="1:10" x14ac:dyDescent="0.25">
      <c r="A57" s="632" t="s">
        <v>132</v>
      </c>
      <c r="B57" s="633" t="s">
        <v>133</v>
      </c>
      <c r="C57" s="633" t="s">
        <v>267</v>
      </c>
      <c r="D57" s="634">
        <v>9252</v>
      </c>
      <c r="E57" s="634">
        <v>10223</v>
      </c>
      <c r="F57" s="634">
        <v>11119</v>
      </c>
      <c r="G57" s="634">
        <v>11769</v>
      </c>
      <c r="H57" s="634">
        <v>12165</v>
      </c>
      <c r="I57" s="1577">
        <v>13957</v>
      </c>
      <c r="J57" s="1942">
        <v>15253</v>
      </c>
    </row>
    <row r="58" spans="1:10" x14ac:dyDescent="0.25">
      <c r="A58" s="632" t="s">
        <v>134</v>
      </c>
      <c r="B58" s="633" t="s">
        <v>135</v>
      </c>
      <c r="C58" s="633" t="s">
        <v>267</v>
      </c>
      <c r="D58" s="634">
        <v>3085</v>
      </c>
      <c r="E58" s="634">
        <v>3288</v>
      </c>
      <c r="F58" s="634">
        <v>3457</v>
      </c>
      <c r="G58" s="634">
        <v>3513</v>
      </c>
      <c r="H58" s="634">
        <v>3631</v>
      </c>
      <c r="I58" s="1577">
        <v>3886</v>
      </c>
      <c r="J58" s="1942">
        <v>3740</v>
      </c>
    </row>
    <row r="59" spans="1:10" x14ac:dyDescent="0.25">
      <c r="A59" s="632" t="s">
        <v>136</v>
      </c>
      <c r="B59" s="633" t="s">
        <v>137</v>
      </c>
      <c r="C59" s="633" t="s">
        <v>266</v>
      </c>
      <c r="D59" s="634">
        <v>1954</v>
      </c>
      <c r="E59" s="634">
        <v>2038</v>
      </c>
      <c r="F59" s="634">
        <v>1988</v>
      </c>
      <c r="G59" s="634">
        <v>1965</v>
      </c>
      <c r="H59" s="634">
        <v>1983</v>
      </c>
      <c r="I59" s="1577">
        <v>2053</v>
      </c>
      <c r="J59" s="1942">
        <v>2016</v>
      </c>
    </row>
    <row r="60" spans="1:10" x14ac:dyDescent="0.25">
      <c r="A60" s="632" t="s">
        <v>140</v>
      </c>
      <c r="B60" s="633" t="s">
        <v>141</v>
      </c>
      <c r="C60" s="633" t="s">
        <v>267</v>
      </c>
      <c r="D60" s="634">
        <v>1218</v>
      </c>
      <c r="E60" s="634">
        <v>1258</v>
      </c>
      <c r="F60" s="634">
        <v>1336</v>
      </c>
      <c r="G60" s="634">
        <v>1381</v>
      </c>
      <c r="H60" s="634">
        <v>1411</v>
      </c>
      <c r="I60" s="1577">
        <v>1462</v>
      </c>
      <c r="J60" s="1942">
        <v>1404</v>
      </c>
    </row>
    <row r="61" spans="1:10" x14ac:dyDescent="0.25">
      <c r="A61" s="632" t="s">
        <v>146</v>
      </c>
      <c r="B61" s="633" t="s">
        <v>147</v>
      </c>
      <c r="C61" s="633" t="s">
        <v>264</v>
      </c>
      <c r="D61" s="634">
        <v>782</v>
      </c>
      <c r="E61" s="634">
        <v>777</v>
      </c>
      <c r="F61" s="634">
        <v>806</v>
      </c>
      <c r="G61" s="634">
        <v>805</v>
      </c>
      <c r="H61" s="634">
        <v>826</v>
      </c>
      <c r="I61" s="1577">
        <v>867</v>
      </c>
      <c r="J61" s="1942">
        <v>839</v>
      </c>
    </row>
    <row r="62" spans="1:10" x14ac:dyDescent="0.25">
      <c r="A62" s="632" t="s">
        <v>148</v>
      </c>
      <c r="B62" s="633" t="s">
        <v>149</v>
      </c>
      <c r="C62" s="633" t="s">
        <v>265</v>
      </c>
      <c r="D62" s="634">
        <v>4728</v>
      </c>
      <c r="E62" s="634">
        <v>4901</v>
      </c>
      <c r="F62" s="634">
        <v>5089</v>
      </c>
      <c r="G62" s="634">
        <v>5094</v>
      </c>
      <c r="H62" s="634">
        <v>5111</v>
      </c>
      <c r="I62" s="1577">
        <v>5103</v>
      </c>
      <c r="J62" s="1942">
        <v>4814</v>
      </c>
    </row>
    <row r="63" spans="1:10" x14ac:dyDescent="0.25">
      <c r="A63" s="632" t="s">
        <v>150</v>
      </c>
      <c r="B63" s="633" t="s">
        <v>151</v>
      </c>
      <c r="C63" s="633" t="s">
        <v>266</v>
      </c>
      <c r="D63" s="634">
        <v>1036</v>
      </c>
      <c r="E63" s="634">
        <v>1100</v>
      </c>
      <c r="F63" s="634">
        <v>1207</v>
      </c>
      <c r="G63" s="634">
        <v>1248</v>
      </c>
      <c r="H63" s="634">
        <v>1242</v>
      </c>
      <c r="I63" s="1577">
        <v>1329</v>
      </c>
      <c r="J63" s="1942">
        <v>1295</v>
      </c>
    </row>
    <row r="64" spans="1:10" x14ac:dyDescent="0.25">
      <c r="A64" s="632" t="s">
        <v>152</v>
      </c>
      <c r="B64" s="633" t="s">
        <v>153</v>
      </c>
      <c r="C64" s="633" t="s">
        <v>268</v>
      </c>
      <c r="D64" s="634">
        <v>6206</v>
      </c>
      <c r="E64" s="634">
        <v>6377</v>
      </c>
      <c r="F64" s="634">
        <v>6590</v>
      </c>
      <c r="G64" s="634">
        <v>6641</v>
      </c>
      <c r="H64" s="634">
        <v>6657</v>
      </c>
      <c r="I64" s="1577">
        <v>6721</v>
      </c>
      <c r="J64" s="1942">
        <v>6478</v>
      </c>
    </row>
    <row r="65" spans="1:10" x14ac:dyDescent="0.25">
      <c r="A65" s="632" t="s">
        <v>154</v>
      </c>
      <c r="B65" s="633" t="s">
        <v>155</v>
      </c>
      <c r="C65" s="633" t="s">
        <v>265</v>
      </c>
      <c r="D65" s="634">
        <v>1780</v>
      </c>
      <c r="E65" s="634">
        <v>1857</v>
      </c>
      <c r="F65" s="634">
        <v>1926</v>
      </c>
      <c r="G65" s="634">
        <v>1898</v>
      </c>
      <c r="H65" s="634">
        <v>1914</v>
      </c>
      <c r="I65" s="1577">
        <v>1970</v>
      </c>
      <c r="J65" s="1942">
        <v>1867</v>
      </c>
    </row>
    <row r="66" spans="1:10" x14ac:dyDescent="0.25">
      <c r="A66" s="632" t="s">
        <v>156</v>
      </c>
      <c r="B66" s="633" t="s">
        <v>157</v>
      </c>
      <c r="C66" s="633" t="s">
        <v>266</v>
      </c>
      <c r="D66" s="634">
        <v>945</v>
      </c>
      <c r="E66" s="634">
        <v>972</v>
      </c>
      <c r="F66" s="634">
        <v>1039</v>
      </c>
      <c r="G66" s="634">
        <v>1073</v>
      </c>
      <c r="H66" s="634">
        <v>1089</v>
      </c>
      <c r="I66" s="1577">
        <v>1223</v>
      </c>
      <c r="J66" s="1942">
        <v>1226</v>
      </c>
    </row>
    <row r="67" spans="1:10" x14ac:dyDescent="0.25">
      <c r="A67" s="632" t="s">
        <v>162</v>
      </c>
      <c r="B67" s="633" t="s">
        <v>163</v>
      </c>
      <c r="C67" s="633" t="s">
        <v>264</v>
      </c>
      <c r="D67" s="634">
        <v>2313</v>
      </c>
      <c r="E67" s="634">
        <v>2369</v>
      </c>
      <c r="F67" s="634">
        <v>2443</v>
      </c>
      <c r="G67" s="634">
        <v>2435</v>
      </c>
      <c r="H67" s="634">
        <v>2450</v>
      </c>
      <c r="I67" s="1577">
        <v>2410</v>
      </c>
      <c r="J67" s="1942">
        <v>2388</v>
      </c>
    </row>
    <row r="68" spans="1:10" x14ac:dyDescent="0.25">
      <c r="A68" s="632" t="s">
        <v>164</v>
      </c>
      <c r="B68" s="633" t="s">
        <v>165</v>
      </c>
      <c r="C68" s="633" t="s">
        <v>266</v>
      </c>
      <c r="D68" s="634">
        <v>1300</v>
      </c>
      <c r="E68" s="634">
        <v>1332</v>
      </c>
      <c r="F68" s="634">
        <v>1409</v>
      </c>
      <c r="G68" s="634">
        <v>1464</v>
      </c>
      <c r="H68" s="634">
        <v>1451</v>
      </c>
      <c r="I68" s="1577">
        <v>1467</v>
      </c>
      <c r="J68" s="1942">
        <v>1431</v>
      </c>
    </row>
    <row r="69" spans="1:10" x14ac:dyDescent="0.25">
      <c r="A69" s="632" t="s">
        <v>168</v>
      </c>
      <c r="B69" s="633" t="s">
        <v>169</v>
      </c>
      <c r="C69" s="633" t="s">
        <v>266</v>
      </c>
      <c r="D69" s="634">
        <v>2301</v>
      </c>
      <c r="E69" s="634">
        <v>2387</v>
      </c>
      <c r="F69" s="634">
        <v>2497</v>
      </c>
      <c r="G69" s="634">
        <v>2544</v>
      </c>
      <c r="H69" s="634">
        <v>2544</v>
      </c>
      <c r="I69" s="1577">
        <v>2577</v>
      </c>
      <c r="J69" s="1942">
        <v>2496</v>
      </c>
    </row>
    <row r="70" spans="1:10" x14ac:dyDescent="0.25">
      <c r="A70" s="632" t="s">
        <v>170</v>
      </c>
      <c r="B70" s="633" t="s">
        <v>171</v>
      </c>
      <c r="C70" s="633" t="s">
        <v>267</v>
      </c>
      <c r="D70" s="634">
        <v>2741</v>
      </c>
      <c r="E70" s="634">
        <v>2880</v>
      </c>
      <c r="F70" s="634">
        <v>3035</v>
      </c>
      <c r="G70" s="634">
        <v>3145</v>
      </c>
      <c r="H70" s="634">
        <v>3300</v>
      </c>
      <c r="I70" s="1577">
        <v>3487</v>
      </c>
      <c r="J70" s="1942">
        <v>3445</v>
      </c>
    </row>
    <row r="71" spans="1:10" x14ac:dyDescent="0.25">
      <c r="A71" s="632" t="s">
        <v>172</v>
      </c>
      <c r="B71" s="633" t="s">
        <v>173</v>
      </c>
      <c r="C71" s="633" t="s">
        <v>267</v>
      </c>
      <c r="D71" s="634">
        <v>3024</v>
      </c>
      <c r="E71" s="634">
        <v>3123</v>
      </c>
      <c r="F71" s="634">
        <v>3313</v>
      </c>
      <c r="G71" s="634">
        <v>3330</v>
      </c>
      <c r="H71" s="634">
        <v>3258</v>
      </c>
      <c r="I71" s="1577">
        <v>3313</v>
      </c>
      <c r="J71" s="1942">
        <v>3187</v>
      </c>
    </row>
    <row r="72" spans="1:10" x14ac:dyDescent="0.25">
      <c r="A72" s="632" t="s">
        <v>174</v>
      </c>
      <c r="B72" s="633" t="s">
        <v>175</v>
      </c>
      <c r="C72" s="633" t="s">
        <v>268</v>
      </c>
      <c r="D72" s="634">
        <v>2746</v>
      </c>
      <c r="E72" s="634">
        <v>2818</v>
      </c>
      <c r="F72" s="634">
        <v>2961</v>
      </c>
      <c r="G72" s="634">
        <v>2989</v>
      </c>
      <c r="H72" s="634">
        <v>2966</v>
      </c>
      <c r="I72" s="1577">
        <v>2991</v>
      </c>
      <c r="J72" s="1942">
        <v>2819</v>
      </c>
    </row>
    <row r="73" spans="1:10" x14ac:dyDescent="0.25">
      <c r="A73" s="632" t="s">
        <v>178</v>
      </c>
      <c r="B73" s="633" t="s">
        <v>179</v>
      </c>
      <c r="C73" s="633" t="s">
        <v>265</v>
      </c>
      <c r="D73" s="634">
        <v>8254</v>
      </c>
      <c r="E73" s="634">
        <v>8598</v>
      </c>
      <c r="F73" s="634">
        <v>8782</v>
      </c>
      <c r="G73" s="634">
        <v>8823</v>
      </c>
      <c r="H73" s="634">
        <v>9030</v>
      </c>
      <c r="I73" s="1577">
        <v>9229</v>
      </c>
      <c r="J73" s="1942">
        <v>8935</v>
      </c>
    </row>
    <row r="74" spans="1:10" x14ac:dyDescent="0.25">
      <c r="A74" s="632" t="s">
        <v>182</v>
      </c>
      <c r="B74" s="633" t="s">
        <v>183</v>
      </c>
      <c r="C74" s="633" t="s">
        <v>266</v>
      </c>
      <c r="D74" s="634">
        <v>1185</v>
      </c>
      <c r="E74" s="634">
        <v>1284</v>
      </c>
      <c r="F74" s="634">
        <v>1393</v>
      </c>
      <c r="G74" s="634">
        <v>1402</v>
      </c>
      <c r="H74" s="634">
        <v>1391</v>
      </c>
      <c r="I74" s="1577">
        <v>1448</v>
      </c>
      <c r="J74" s="1942">
        <v>1443</v>
      </c>
    </row>
    <row r="75" spans="1:10" x14ac:dyDescent="0.25">
      <c r="A75" s="632" t="s">
        <v>184</v>
      </c>
      <c r="B75" s="633" t="s">
        <v>185</v>
      </c>
      <c r="C75" s="633" t="s">
        <v>266</v>
      </c>
      <c r="D75" s="634">
        <v>2691</v>
      </c>
      <c r="E75" s="634">
        <v>2842</v>
      </c>
      <c r="F75" s="634">
        <v>2929</v>
      </c>
      <c r="G75" s="634">
        <v>2926</v>
      </c>
      <c r="H75" s="634">
        <v>3028</v>
      </c>
      <c r="I75" s="1577">
        <v>3078</v>
      </c>
      <c r="J75" s="1942">
        <v>3032</v>
      </c>
    </row>
    <row r="76" spans="1:10" x14ac:dyDescent="0.25">
      <c r="A76" s="632" t="s">
        <v>186</v>
      </c>
      <c r="B76" s="633" t="s">
        <v>187</v>
      </c>
      <c r="C76" s="633" t="s">
        <v>264</v>
      </c>
      <c r="D76" s="634">
        <v>2063</v>
      </c>
      <c r="E76" s="634">
        <v>2200</v>
      </c>
      <c r="F76" s="634">
        <v>2322</v>
      </c>
      <c r="G76" s="634">
        <v>2383</v>
      </c>
      <c r="H76" s="634">
        <v>2518</v>
      </c>
      <c r="I76" s="1577">
        <v>2768</v>
      </c>
      <c r="J76" s="1942">
        <v>2860</v>
      </c>
    </row>
    <row r="77" spans="1:10" x14ac:dyDescent="0.25">
      <c r="A77" s="632" t="s">
        <v>188</v>
      </c>
      <c r="B77" s="633" t="s">
        <v>189</v>
      </c>
      <c r="C77" s="633" t="s">
        <v>267</v>
      </c>
      <c r="D77" s="634">
        <v>24322</v>
      </c>
      <c r="E77" s="634">
        <v>26415</v>
      </c>
      <c r="F77" s="634">
        <v>28234</v>
      </c>
      <c r="G77" s="634">
        <v>29694</v>
      </c>
      <c r="H77" s="634">
        <v>29589</v>
      </c>
      <c r="I77" s="1577">
        <v>31604</v>
      </c>
      <c r="J77" s="1942">
        <v>32484</v>
      </c>
    </row>
    <row r="78" spans="1:10" x14ac:dyDescent="0.25">
      <c r="A78" s="632" t="s">
        <v>190</v>
      </c>
      <c r="B78" s="633" t="s">
        <v>191</v>
      </c>
      <c r="C78" s="633" t="s">
        <v>268</v>
      </c>
      <c r="D78" s="634">
        <v>4634</v>
      </c>
      <c r="E78" s="634">
        <v>4854</v>
      </c>
      <c r="F78" s="634">
        <v>5070</v>
      </c>
      <c r="G78" s="634">
        <v>5275</v>
      </c>
      <c r="H78" s="634">
        <v>5242</v>
      </c>
      <c r="I78" s="1577">
        <v>5193</v>
      </c>
      <c r="J78" s="1942">
        <v>5097</v>
      </c>
    </row>
    <row r="79" spans="1:10" x14ac:dyDescent="0.25">
      <c r="A79" s="632" t="s">
        <v>194</v>
      </c>
      <c r="B79" s="633" t="s">
        <v>195</v>
      </c>
      <c r="C79" s="633" t="s">
        <v>267</v>
      </c>
      <c r="D79" s="634">
        <v>496</v>
      </c>
      <c r="E79" s="634">
        <v>547</v>
      </c>
      <c r="F79" s="634">
        <v>603</v>
      </c>
      <c r="G79" s="634">
        <v>605</v>
      </c>
      <c r="H79" s="634">
        <v>582</v>
      </c>
      <c r="I79" s="1577">
        <v>601</v>
      </c>
      <c r="J79" s="1942">
        <v>570</v>
      </c>
    </row>
    <row r="80" spans="1:10" x14ac:dyDescent="0.25">
      <c r="A80" s="632" t="s">
        <v>198</v>
      </c>
      <c r="B80" s="633" t="s">
        <v>272</v>
      </c>
      <c r="C80" s="633" t="s">
        <v>266</v>
      </c>
      <c r="D80" s="634">
        <v>1053</v>
      </c>
      <c r="E80" s="634">
        <v>1105</v>
      </c>
      <c r="F80" s="634">
        <v>1127</v>
      </c>
      <c r="G80" s="634">
        <v>1162</v>
      </c>
      <c r="H80" s="634">
        <v>1186</v>
      </c>
      <c r="I80" s="1577">
        <v>1272</v>
      </c>
      <c r="J80" s="1942">
        <v>1252</v>
      </c>
    </row>
    <row r="81" spans="1:10" x14ac:dyDescent="0.25">
      <c r="A81" s="632" t="s">
        <v>202</v>
      </c>
      <c r="B81" s="633" t="s">
        <v>301</v>
      </c>
      <c r="C81" s="633" t="s">
        <v>265</v>
      </c>
      <c r="D81" s="634">
        <v>7505</v>
      </c>
      <c r="E81" s="634">
        <v>7998</v>
      </c>
      <c r="F81" s="634">
        <v>8375</v>
      </c>
      <c r="G81" s="634">
        <v>8691</v>
      </c>
      <c r="H81" s="634">
        <v>8688</v>
      </c>
      <c r="I81" s="1577">
        <v>8981</v>
      </c>
      <c r="J81" s="1942">
        <v>8746</v>
      </c>
    </row>
    <row r="82" spans="1:10" x14ac:dyDescent="0.25">
      <c r="A82" s="632" t="s">
        <v>204</v>
      </c>
      <c r="B82" s="633" t="s">
        <v>293</v>
      </c>
      <c r="C82" s="633" t="s">
        <v>265</v>
      </c>
      <c r="D82" s="634">
        <v>3552</v>
      </c>
      <c r="E82" s="634">
        <v>3688</v>
      </c>
      <c r="F82" s="634">
        <v>3857</v>
      </c>
      <c r="G82" s="634">
        <v>3950</v>
      </c>
      <c r="H82" s="634">
        <v>4011</v>
      </c>
      <c r="I82" s="1577">
        <v>4090</v>
      </c>
      <c r="J82" s="1942">
        <v>3923</v>
      </c>
    </row>
    <row r="83" spans="1:10" x14ac:dyDescent="0.25">
      <c r="A83" s="632" t="s">
        <v>206</v>
      </c>
      <c r="B83" s="633" t="s">
        <v>294</v>
      </c>
      <c r="C83" s="633" t="s">
        <v>267</v>
      </c>
      <c r="D83" s="634">
        <v>9549</v>
      </c>
      <c r="E83" s="634">
        <v>9950</v>
      </c>
      <c r="F83" s="634">
        <v>10400</v>
      </c>
      <c r="G83" s="634">
        <v>10836</v>
      </c>
      <c r="H83" s="634">
        <v>10695</v>
      </c>
      <c r="I83" s="1577">
        <v>10929</v>
      </c>
      <c r="J83" s="1942">
        <v>10736</v>
      </c>
    </row>
    <row r="84" spans="1:10" x14ac:dyDescent="0.25">
      <c r="A84" s="632" t="s">
        <v>208</v>
      </c>
      <c r="B84" s="633" t="s">
        <v>209</v>
      </c>
      <c r="C84" s="633" t="s">
        <v>268</v>
      </c>
      <c r="D84" s="634">
        <v>5194</v>
      </c>
      <c r="E84" s="634">
        <v>5231</v>
      </c>
      <c r="F84" s="634">
        <v>5221</v>
      </c>
      <c r="G84" s="634">
        <v>5260</v>
      </c>
      <c r="H84" s="634">
        <v>5299</v>
      </c>
      <c r="I84" s="1577">
        <v>5315</v>
      </c>
      <c r="J84" s="1942">
        <v>5346</v>
      </c>
    </row>
    <row r="85" spans="1:10" x14ac:dyDescent="0.25">
      <c r="A85" s="632" t="s">
        <v>210</v>
      </c>
      <c r="B85" s="633" t="s">
        <v>211</v>
      </c>
      <c r="C85" s="633" t="s">
        <v>268</v>
      </c>
      <c r="D85" s="634">
        <v>3783</v>
      </c>
      <c r="E85" s="634">
        <v>3903</v>
      </c>
      <c r="F85" s="634">
        <v>4008</v>
      </c>
      <c r="G85" s="634">
        <v>4087</v>
      </c>
      <c r="H85" s="634">
        <v>4056</v>
      </c>
      <c r="I85" s="1577">
        <v>4008</v>
      </c>
      <c r="J85" s="1942">
        <v>3742</v>
      </c>
    </row>
    <row r="86" spans="1:10" x14ac:dyDescent="0.25">
      <c r="A86" s="632" t="s">
        <v>212</v>
      </c>
      <c r="B86" s="633" t="s">
        <v>213</v>
      </c>
      <c r="C86" s="633" t="s">
        <v>267</v>
      </c>
      <c r="D86" s="634">
        <v>3754</v>
      </c>
      <c r="E86" s="634">
        <v>3980</v>
      </c>
      <c r="F86" s="634">
        <v>4237</v>
      </c>
      <c r="G86" s="634">
        <v>4430</v>
      </c>
      <c r="H86" s="634">
        <v>4394</v>
      </c>
      <c r="I86" s="1577">
        <v>4469</v>
      </c>
      <c r="J86" s="1942">
        <v>4572</v>
      </c>
    </row>
    <row r="87" spans="1:10" x14ac:dyDescent="0.25">
      <c r="A87" s="632" t="s">
        <v>214</v>
      </c>
      <c r="B87" s="633" t="s">
        <v>215</v>
      </c>
      <c r="C87" s="633" t="s">
        <v>268</v>
      </c>
      <c r="D87" s="634">
        <v>5150</v>
      </c>
      <c r="E87" s="634">
        <v>5368</v>
      </c>
      <c r="F87" s="634">
        <v>5554</v>
      </c>
      <c r="G87" s="634">
        <v>5745</v>
      </c>
      <c r="H87" s="634">
        <v>5555</v>
      </c>
      <c r="I87" s="1577">
        <v>5559</v>
      </c>
      <c r="J87" s="1942">
        <v>5410</v>
      </c>
    </row>
    <row r="88" spans="1:10" x14ac:dyDescent="0.25">
      <c r="A88" s="632" t="s">
        <v>216</v>
      </c>
      <c r="B88" s="633" t="s">
        <v>217</v>
      </c>
      <c r="C88" s="633" t="s">
        <v>264</v>
      </c>
      <c r="D88" s="634">
        <v>2217</v>
      </c>
      <c r="E88" s="634">
        <v>2257</v>
      </c>
      <c r="F88" s="634">
        <v>2332</v>
      </c>
      <c r="G88" s="634">
        <v>2358</v>
      </c>
      <c r="H88" s="634">
        <v>2358</v>
      </c>
      <c r="I88" s="1577">
        <v>2365</v>
      </c>
      <c r="J88" s="1942">
        <v>2371</v>
      </c>
    </row>
    <row r="89" spans="1:10" x14ac:dyDescent="0.25">
      <c r="A89" s="632" t="s">
        <v>218</v>
      </c>
      <c r="B89" s="633" t="s">
        <v>219</v>
      </c>
      <c r="C89" s="633" t="s">
        <v>267</v>
      </c>
      <c r="D89" s="634">
        <v>7987</v>
      </c>
      <c r="E89" s="634">
        <v>8714</v>
      </c>
      <c r="F89" s="634">
        <v>9101</v>
      </c>
      <c r="G89" s="634">
        <v>9774</v>
      </c>
      <c r="H89" s="634">
        <v>10047</v>
      </c>
      <c r="I89" s="1577">
        <v>10895</v>
      </c>
      <c r="J89" s="1942">
        <v>11162</v>
      </c>
    </row>
    <row r="90" spans="1:10" x14ac:dyDescent="0.25">
      <c r="A90" s="632" t="s">
        <v>220</v>
      </c>
      <c r="B90" s="633" t="s">
        <v>221</v>
      </c>
      <c r="C90" s="633" t="s">
        <v>267</v>
      </c>
      <c r="D90" s="634">
        <v>6610</v>
      </c>
      <c r="E90" s="634">
        <v>7061</v>
      </c>
      <c r="F90" s="634">
        <v>7544</v>
      </c>
      <c r="G90" s="634">
        <v>7902</v>
      </c>
      <c r="H90" s="634">
        <v>8063</v>
      </c>
      <c r="I90" s="1577">
        <v>8814</v>
      </c>
      <c r="J90" s="1942">
        <v>9320</v>
      </c>
    </row>
    <row r="91" spans="1:10" x14ac:dyDescent="0.25">
      <c r="A91" s="632" t="s">
        <v>224</v>
      </c>
      <c r="B91" s="633" t="s">
        <v>225</v>
      </c>
      <c r="C91" s="633" t="s">
        <v>264</v>
      </c>
      <c r="D91" s="634">
        <v>792</v>
      </c>
      <c r="E91" s="634">
        <v>814</v>
      </c>
      <c r="F91" s="634">
        <v>823</v>
      </c>
      <c r="G91" s="634">
        <v>858</v>
      </c>
      <c r="H91" s="634">
        <v>864</v>
      </c>
      <c r="I91" s="1577">
        <v>869</v>
      </c>
      <c r="J91" s="1942">
        <v>859</v>
      </c>
    </row>
    <row r="92" spans="1:10" x14ac:dyDescent="0.25">
      <c r="A92" s="632" t="s">
        <v>226</v>
      </c>
      <c r="B92" s="633" t="s">
        <v>227</v>
      </c>
      <c r="C92" s="633" t="s">
        <v>264</v>
      </c>
      <c r="D92" s="634">
        <v>1492</v>
      </c>
      <c r="E92" s="634">
        <v>1481</v>
      </c>
      <c r="F92" s="634">
        <v>1529</v>
      </c>
      <c r="G92" s="634">
        <v>1590</v>
      </c>
      <c r="H92" s="634">
        <v>1580</v>
      </c>
      <c r="I92" s="1577">
        <v>1596</v>
      </c>
      <c r="J92" s="1942">
        <v>1556</v>
      </c>
    </row>
    <row r="93" spans="1:10" x14ac:dyDescent="0.25">
      <c r="A93" s="632" t="s">
        <v>228</v>
      </c>
      <c r="B93" s="633" t="s">
        <v>229</v>
      </c>
      <c r="C93" s="633" t="s">
        <v>268</v>
      </c>
      <c r="D93" s="634">
        <v>7185</v>
      </c>
      <c r="E93" s="634">
        <v>7265</v>
      </c>
      <c r="F93" s="634">
        <v>7354</v>
      </c>
      <c r="G93" s="634">
        <v>7538</v>
      </c>
      <c r="H93" s="634">
        <v>7460</v>
      </c>
      <c r="I93" s="1577">
        <v>7469</v>
      </c>
      <c r="J93" s="1942">
        <v>7527</v>
      </c>
    </row>
    <row r="94" spans="1:10" x14ac:dyDescent="0.25">
      <c r="A94" s="632" t="s">
        <v>232</v>
      </c>
      <c r="B94" s="633" t="s">
        <v>233</v>
      </c>
      <c r="C94" s="633" t="s">
        <v>267</v>
      </c>
      <c r="D94" s="634">
        <v>3307</v>
      </c>
      <c r="E94" s="634">
        <v>3552</v>
      </c>
      <c r="F94" s="634">
        <v>3749</v>
      </c>
      <c r="G94" s="634">
        <v>3974</v>
      </c>
      <c r="H94" s="634">
        <v>4010</v>
      </c>
      <c r="I94" s="1577">
        <v>4164</v>
      </c>
      <c r="J94" s="1942">
        <v>4132</v>
      </c>
    </row>
    <row r="95" spans="1:10" x14ac:dyDescent="0.25">
      <c r="A95" s="632" t="s">
        <v>234</v>
      </c>
      <c r="B95" s="633" t="s">
        <v>235</v>
      </c>
      <c r="C95" s="633" t="s">
        <v>268</v>
      </c>
      <c r="D95" s="634">
        <v>6570</v>
      </c>
      <c r="E95" s="634">
        <v>6762</v>
      </c>
      <c r="F95" s="634">
        <v>7025</v>
      </c>
      <c r="G95" s="634">
        <v>7350</v>
      </c>
      <c r="H95" s="634">
        <v>7409</v>
      </c>
      <c r="I95" s="1577">
        <v>7383</v>
      </c>
      <c r="J95" s="1942">
        <v>7113</v>
      </c>
    </row>
    <row r="96" spans="1:10" x14ac:dyDescent="0.25">
      <c r="A96" s="632" t="s">
        <v>236</v>
      </c>
      <c r="B96" s="633" t="s">
        <v>237</v>
      </c>
      <c r="C96" s="633" t="s">
        <v>266</v>
      </c>
      <c r="D96" s="634">
        <v>2231</v>
      </c>
      <c r="E96" s="634">
        <v>2372</v>
      </c>
      <c r="F96" s="634">
        <v>2447</v>
      </c>
      <c r="G96" s="634">
        <v>2509</v>
      </c>
      <c r="H96" s="634">
        <v>2476</v>
      </c>
      <c r="I96" s="1577">
        <v>2580</v>
      </c>
      <c r="J96" s="1942">
        <v>2508</v>
      </c>
    </row>
    <row r="97" spans="1:10" x14ac:dyDescent="0.25">
      <c r="A97" s="632" t="s">
        <v>242</v>
      </c>
      <c r="B97" s="633" t="s">
        <v>243</v>
      </c>
      <c r="C97" s="633" t="s">
        <v>268</v>
      </c>
      <c r="D97" s="634">
        <v>7743</v>
      </c>
      <c r="E97" s="634">
        <v>7822</v>
      </c>
      <c r="F97" s="634">
        <v>8027</v>
      </c>
      <c r="G97" s="634">
        <v>8285</v>
      </c>
      <c r="H97" s="634">
        <v>8240</v>
      </c>
      <c r="I97" s="1577">
        <v>8016</v>
      </c>
      <c r="J97" s="1942">
        <v>7607</v>
      </c>
    </row>
    <row r="98" spans="1:10" x14ac:dyDescent="0.25">
      <c r="A98" s="632" t="s">
        <v>244</v>
      </c>
      <c r="B98" s="633" t="s">
        <v>245</v>
      </c>
      <c r="C98" s="633" t="s">
        <v>268</v>
      </c>
      <c r="D98" s="634">
        <v>4009</v>
      </c>
      <c r="E98" s="634">
        <v>4170</v>
      </c>
      <c r="F98" s="634">
        <v>4360</v>
      </c>
      <c r="G98" s="634">
        <v>4454</v>
      </c>
      <c r="H98" s="634">
        <v>4375</v>
      </c>
      <c r="I98" s="1577">
        <v>4359</v>
      </c>
      <c r="J98" s="1942">
        <v>4160</v>
      </c>
    </row>
    <row r="99" spans="1:10" x14ac:dyDescent="0.25">
      <c r="A99" s="632" t="s">
        <v>246</v>
      </c>
      <c r="B99" s="633" t="s">
        <v>247</v>
      </c>
      <c r="C99" s="633" t="s">
        <v>264</v>
      </c>
      <c r="D99" s="634">
        <v>2659</v>
      </c>
      <c r="E99" s="634">
        <v>2963</v>
      </c>
      <c r="F99" s="634">
        <v>3166</v>
      </c>
      <c r="G99" s="634">
        <v>3265</v>
      </c>
      <c r="H99" s="634">
        <v>3276</v>
      </c>
      <c r="I99" s="1577">
        <v>3438</v>
      </c>
      <c r="J99" s="1942">
        <v>3377</v>
      </c>
    </row>
    <row r="100" spans="1:10" x14ac:dyDescent="0.25">
      <c r="A100" s="632" t="s">
        <v>14</v>
      </c>
      <c r="B100" s="633" t="s">
        <v>15</v>
      </c>
      <c r="C100" s="633" t="s">
        <v>267</v>
      </c>
      <c r="D100" s="634">
        <v>9020</v>
      </c>
      <c r="E100" s="634">
        <v>9366</v>
      </c>
      <c r="F100" s="634">
        <v>9571</v>
      </c>
      <c r="G100" s="634">
        <v>10035</v>
      </c>
      <c r="H100" s="634">
        <v>10060</v>
      </c>
      <c r="I100" s="1577">
        <v>10921</v>
      </c>
      <c r="J100" s="1942">
        <v>11117</v>
      </c>
    </row>
    <row r="101" spans="1:10" x14ac:dyDescent="0.25">
      <c r="A101" s="632" t="s">
        <v>34</v>
      </c>
      <c r="B101" s="633" t="s">
        <v>35</v>
      </c>
      <c r="C101" s="633" t="s">
        <v>268</v>
      </c>
      <c r="D101" s="634">
        <v>3384</v>
      </c>
      <c r="E101" s="634">
        <v>3518</v>
      </c>
      <c r="F101" s="634">
        <v>3655</v>
      </c>
      <c r="G101" s="634">
        <v>3873</v>
      </c>
      <c r="H101" s="634">
        <v>3680</v>
      </c>
      <c r="I101" s="1577">
        <v>3507</v>
      </c>
      <c r="J101" s="1942">
        <v>3323</v>
      </c>
    </row>
    <row r="102" spans="1:10" x14ac:dyDescent="0.25">
      <c r="A102" s="632" t="s">
        <v>52</v>
      </c>
      <c r="B102" s="633" t="s">
        <v>53</v>
      </c>
      <c r="C102" s="633" t="s">
        <v>265</v>
      </c>
      <c r="D102" s="634">
        <v>4421</v>
      </c>
      <c r="E102" s="634">
        <v>4478</v>
      </c>
      <c r="F102" s="634">
        <v>4625</v>
      </c>
      <c r="G102" s="634">
        <v>4740</v>
      </c>
      <c r="H102" s="634">
        <v>4491</v>
      </c>
      <c r="I102" s="1577">
        <v>4493</v>
      </c>
      <c r="J102" s="1942">
        <v>4500</v>
      </c>
    </row>
    <row r="103" spans="1:10" x14ac:dyDescent="0.25">
      <c r="A103" s="632" t="s">
        <v>54</v>
      </c>
      <c r="B103" s="633" t="s">
        <v>55</v>
      </c>
      <c r="C103" s="633" t="s">
        <v>264</v>
      </c>
      <c r="D103" s="634">
        <v>16177</v>
      </c>
      <c r="E103" s="634">
        <v>16927</v>
      </c>
      <c r="F103" s="634">
        <v>17786</v>
      </c>
      <c r="G103" s="634">
        <v>18620</v>
      </c>
      <c r="H103" s="634">
        <v>18933</v>
      </c>
      <c r="I103" s="1577">
        <v>19619</v>
      </c>
      <c r="J103" s="1942">
        <v>20092</v>
      </c>
    </row>
    <row r="104" spans="1:10" x14ac:dyDescent="0.25">
      <c r="A104" s="632" t="s">
        <v>66</v>
      </c>
      <c r="B104" s="633" t="s">
        <v>67</v>
      </c>
      <c r="C104" s="633" t="s">
        <v>265</v>
      </c>
      <c r="D104" s="634">
        <v>8553</v>
      </c>
      <c r="E104" s="634">
        <v>8802</v>
      </c>
      <c r="F104" s="634">
        <v>9147</v>
      </c>
      <c r="G104" s="634">
        <v>9438</v>
      </c>
      <c r="H104" s="634">
        <v>9537</v>
      </c>
      <c r="I104" s="1577">
        <v>9683</v>
      </c>
      <c r="J104" s="1942">
        <v>9577</v>
      </c>
    </row>
    <row r="105" spans="1:10" x14ac:dyDescent="0.25">
      <c r="A105" s="632" t="s">
        <v>82</v>
      </c>
      <c r="B105" s="633" t="s">
        <v>83</v>
      </c>
      <c r="C105" s="633" t="s">
        <v>264</v>
      </c>
      <c r="D105" s="634">
        <v>1645</v>
      </c>
      <c r="E105" s="634">
        <v>1766</v>
      </c>
      <c r="F105" s="634">
        <v>1877</v>
      </c>
      <c r="G105" s="634">
        <v>1935</v>
      </c>
      <c r="H105" s="634">
        <v>1919</v>
      </c>
      <c r="I105" s="1577">
        <v>1917</v>
      </c>
      <c r="J105" s="1942">
        <v>1872</v>
      </c>
    </row>
    <row r="106" spans="1:10" x14ac:dyDescent="0.25">
      <c r="A106" s="632" t="s">
        <v>88</v>
      </c>
      <c r="B106" s="633" t="s">
        <v>89</v>
      </c>
      <c r="C106" s="633" t="s">
        <v>267</v>
      </c>
      <c r="D106" s="634">
        <v>2940</v>
      </c>
      <c r="E106" s="634">
        <v>3139</v>
      </c>
      <c r="F106" s="634">
        <v>3394</v>
      </c>
      <c r="G106" s="634">
        <v>3542</v>
      </c>
      <c r="H106" s="634">
        <v>3643</v>
      </c>
      <c r="I106" s="1577">
        <v>3803</v>
      </c>
      <c r="J106" s="1942">
        <v>3478</v>
      </c>
    </row>
    <row r="107" spans="1:10" x14ac:dyDescent="0.25">
      <c r="A107" s="632" t="s">
        <v>90</v>
      </c>
      <c r="B107" s="633" t="s">
        <v>91</v>
      </c>
      <c r="C107" s="633" t="s">
        <v>268</v>
      </c>
      <c r="D107" s="634">
        <v>1624</v>
      </c>
      <c r="E107" s="634">
        <v>1595</v>
      </c>
      <c r="F107" s="634">
        <v>1605</v>
      </c>
      <c r="G107" s="634">
        <v>1607</v>
      </c>
      <c r="H107" s="634">
        <v>1648</v>
      </c>
      <c r="I107" s="1577">
        <v>1636</v>
      </c>
      <c r="J107" s="1942">
        <v>1538</v>
      </c>
    </row>
    <row r="108" spans="1:10" x14ac:dyDescent="0.25">
      <c r="A108" s="632" t="s">
        <v>106</v>
      </c>
      <c r="B108" s="633" t="s">
        <v>107</v>
      </c>
      <c r="C108" s="633" t="s">
        <v>264</v>
      </c>
      <c r="D108" s="634">
        <v>13848</v>
      </c>
      <c r="E108" s="634">
        <v>14776</v>
      </c>
      <c r="F108" s="634">
        <v>15610</v>
      </c>
      <c r="G108" s="634">
        <v>16414</v>
      </c>
      <c r="H108" s="634">
        <v>16811</v>
      </c>
      <c r="I108" s="1577">
        <v>17596</v>
      </c>
      <c r="J108" s="1942">
        <v>16837</v>
      </c>
    </row>
    <row r="109" spans="1:10" x14ac:dyDescent="0.25">
      <c r="A109" s="632" t="s">
        <v>116</v>
      </c>
      <c r="B109" s="633" t="s">
        <v>117</v>
      </c>
      <c r="C109" s="633" t="s">
        <v>266</v>
      </c>
      <c r="D109" s="634">
        <v>3784</v>
      </c>
      <c r="E109" s="634">
        <v>3948</v>
      </c>
      <c r="F109" s="634">
        <v>4156</v>
      </c>
      <c r="G109" s="634">
        <v>4351</v>
      </c>
      <c r="H109" s="634">
        <v>4447</v>
      </c>
      <c r="I109" s="1577">
        <v>4723</v>
      </c>
      <c r="J109" s="1942">
        <v>4595</v>
      </c>
    </row>
    <row r="110" spans="1:10" x14ac:dyDescent="0.25">
      <c r="A110" s="632" t="s">
        <v>138</v>
      </c>
      <c r="B110" s="633" t="s">
        <v>139</v>
      </c>
      <c r="C110" s="633" t="s">
        <v>265</v>
      </c>
      <c r="D110" s="634">
        <v>9414</v>
      </c>
      <c r="E110" s="634">
        <v>9878</v>
      </c>
      <c r="F110" s="634">
        <v>10536</v>
      </c>
      <c r="G110" s="634">
        <v>10929</v>
      </c>
      <c r="H110" s="634">
        <v>11083</v>
      </c>
      <c r="I110" s="1577">
        <v>11419</v>
      </c>
      <c r="J110" s="1942">
        <v>10998</v>
      </c>
    </row>
    <row r="111" spans="1:10" x14ac:dyDescent="0.25">
      <c r="A111" s="632" t="s">
        <v>142</v>
      </c>
      <c r="B111" s="633" t="s">
        <v>143</v>
      </c>
      <c r="C111" s="633" t="s">
        <v>267</v>
      </c>
      <c r="D111" s="634">
        <v>3609</v>
      </c>
      <c r="E111" s="634">
        <v>3750</v>
      </c>
      <c r="F111" s="634">
        <v>3878</v>
      </c>
      <c r="G111" s="634">
        <v>4054</v>
      </c>
      <c r="H111" s="634">
        <v>4215</v>
      </c>
      <c r="I111" s="1577">
        <v>4432</v>
      </c>
      <c r="J111" s="1942">
        <v>4411</v>
      </c>
    </row>
    <row r="112" spans="1:10" x14ac:dyDescent="0.25">
      <c r="A112" s="632" t="s">
        <v>144</v>
      </c>
      <c r="B112" s="633" t="s">
        <v>145</v>
      </c>
      <c r="C112" s="633" t="s">
        <v>267</v>
      </c>
      <c r="D112" s="634">
        <v>1268</v>
      </c>
      <c r="E112" s="634">
        <v>1326</v>
      </c>
      <c r="F112" s="634">
        <v>1330</v>
      </c>
      <c r="G112" s="634">
        <v>1483</v>
      </c>
      <c r="H112" s="634">
        <v>1463</v>
      </c>
      <c r="I112" s="1577">
        <v>1630</v>
      </c>
      <c r="J112" s="1942">
        <v>1697</v>
      </c>
    </row>
    <row r="113" spans="1:10" x14ac:dyDescent="0.25">
      <c r="A113" s="632" t="s">
        <v>158</v>
      </c>
      <c r="B113" s="633" t="s">
        <v>159</v>
      </c>
      <c r="C113" s="633" t="s">
        <v>264</v>
      </c>
      <c r="D113" s="634">
        <v>21664</v>
      </c>
      <c r="E113" s="634">
        <v>23031</v>
      </c>
      <c r="F113" s="634">
        <v>23970</v>
      </c>
      <c r="G113" s="634">
        <v>24797</v>
      </c>
      <c r="H113" s="634">
        <v>24423</v>
      </c>
      <c r="I113" s="1577">
        <v>25070</v>
      </c>
      <c r="J113" s="1942">
        <v>24951</v>
      </c>
    </row>
    <row r="114" spans="1:10" x14ac:dyDescent="0.25">
      <c r="A114" s="632" t="s">
        <v>160</v>
      </c>
      <c r="B114" s="633" t="s">
        <v>161</v>
      </c>
      <c r="C114" s="633" t="s">
        <v>264</v>
      </c>
      <c r="D114" s="634">
        <v>28272</v>
      </c>
      <c r="E114" s="634">
        <v>29302</v>
      </c>
      <c r="F114" s="634">
        <v>30780</v>
      </c>
      <c r="G114" s="634">
        <v>31908</v>
      </c>
      <c r="H114" s="634">
        <v>32317</v>
      </c>
      <c r="I114" s="1577">
        <v>33638</v>
      </c>
      <c r="J114" s="1942">
        <v>32872</v>
      </c>
    </row>
    <row r="115" spans="1:10" x14ac:dyDescent="0.25">
      <c r="A115" s="632" t="s">
        <v>166</v>
      </c>
      <c r="B115" s="633" t="s">
        <v>167</v>
      </c>
      <c r="C115" s="633" t="s">
        <v>268</v>
      </c>
      <c r="D115" s="634">
        <v>920</v>
      </c>
      <c r="E115" s="634">
        <v>930</v>
      </c>
      <c r="F115" s="634">
        <v>990</v>
      </c>
      <c r="G115" s="634">
        <v>989</v>
      </c>
      <c r="H115" s="634">
        <v>959</v>
      </c>
      <c r="I115" s="1577">
        <v>961</v>
      </c>
      <c r="J115" s="1942">
        <v>956</v>
      </c>
    </row>
    <row r="116" spans="1:10" x14ac:dyDescent="0.25">
      <c r="A116" s="632" t="s">
        <v>176</v>
      </c>
      <c r="B116" s="633" t="s">
        <v>177</v>
      </c>
      <c r="C116" s="633" t="s">
        <v>266</v>
      </c>
      <c r="D116" s="634">
        <v>7052</v>
      </c>
      <c r="E116" s="634">
        <v>7353</v>
      </c>
      <c r="F116" s="634">
        <v>7468</v>
      </c>
      <c r="G116" s="634">
        <v>7618</v>
      </c>
      <c r="H116" s="634">
        <v>7653</v>
      </c>
      <c r="I116" s="1577">
        <v>8060</v>
      </c>
      <c r="J116" s="1942">
        <v>8410</v>
      </c>
    </row>
    <row r="117" spans="1:10" x14ac:dyDescent="0.25">
      <c r="A117" s="632" t="s">
        <v>180</v>
      </c>
      <c r="B117" s="633" t="s">
        <v>181</v>
      </c>
      <c r="C117" s="633" t="s">
        <v>264</v>
      </c>
      <c r="D117" s="634">
        <v>14305</v>
      </c>
      <c r="E117" s="634">
        <v>14946</v>
      </c>
      <c r="F117" s="634">
        <v>15807</v>
      </c>
      <c r="G117" s="634">
        <v>16198</v>
      </c>
      <c r="H117" s="634">
        <v>16466</v>
      </c>
      <c r="I117" s="1577">
        <v>17529</v>
      </c>
      <c r="J117" s="1942">
        <v>17051</v>
      </c>
    </row>
    <row r="118" spans="1:10" x14ac:dyDescent="0.25">
      <c r="A118" s="632" t="s">
        <v>192</v>
      </c>
      <c r="B118" s="633" t="s">
        <v>193</v>
      </c>
      <c r="C118" s="633" t="s">
        <v>268</v>
      </c>
      <c r="D118" s="634">
        <v>1267</v>
      </c>
      <c r="E118" s="634">
        <v>1325</v>
      </c>
      <c r="F118" s="634">
        <v>1359</v>
      </c>
      <c r="G118" s="634">
        <v>1411</v>
      </c>
      <c r="H118" s="634">
        <v>1458</v>
      </c>
      <c r="I118" s="1577">
        <v>1461</v>
      </c>
      <c r="J118" s="1942">
        <v>1444</v>
      </c>
    </row>
    <row r="119" spans="1:10" x14ac:dyDescent="0.25">
      <c r="A119" s="632" t="s">
        <v>196</v>
      </c>
      <c r="B119" s="633" t="s">
        <v>197</v>
      </c>
      <c r="C119" s="633" t="s">
        <v>266</v>
      </c>
      <c r="D119" s="634">
        <v>31339</v>
      </c>
      <c r="E119" s="634">
        <v>31886</v>
      </c>
      <c r="F119" s="634">
        <v>32304</v>
      </c>
      <c r="G119" s="634">
        <v>33203</v>
      </c>
      <c r="H119" s="634">
        <v>33286</v>
      </c>
      <c r="I119" s="1577">
        <v>35212</v>
      </c>
      <c r="J119" s="1942">
        <v>37433</v>
      </c>
    </row>
    <row r="120" spans="1:10" x14ac:dyDescent="0.25">
      <c r="A120" s="632" t="s">
        <v>200</v>
      </c>
      <c r="B120" s="633" t="s">
        <v>201</v>
      </c>
      <c r="C120" s="633" t="s">
        <v>265</v>
      </c>
      <c r="D120" s="634">
        <v>16223</v>
      </c>
      <c r="E120" s="634">
        <v>16514</v>
      </c>
      <c r="F120" s="634">
        <v>17289</v>
      </c>
      <c r="G120" s="634">
        <v>17806</v>
      </c>
      <c r="H120" s="634">
        <v>17679</v>
      </c>
      <c r="I120" s="1577">
        <v>18126</v>
      </c>
      <c r="J120" s="1942">
        <v>18075</v>
      </c>
    </row>
    <row r="121" spans="1:10" x14ac:dyDescent="0.25">
      <c r="A121" s="632" t="s">
        <v>222</v>
      </c>
      <c r="B121" s="633" t="s">
        <v>223</v>
      </c>
      <c r="C121" s="633" t="s">
        <v>264</v>
      </c>
      <c r="D121" s="634">
        <v>8833</v>
      </c>
      <c r="E121" s="634">
        <v>9349</v>
      </c>
      <c r="F121" s="634">
        <v>9674</v>
      </c>
      <c r="G121" s="634">
        <v>10010</v>
      </c>
      <c r="H121" s="634">
        <v>10010</v>
      </c>
      <c r="I121" s="1577">
        <v>10245</v>
      </c>
      <c r="J121" s="1942">
        <v>10118</v>
      </c>
    </row>
    <row r="122" spans="1:10" x14ac:dyDescent="0.25">
      <c r="A122" s="632" t="s">
        <v>230</v>
      </c>
      <c r="B122" s="633" t="s">
        <v>231</v>
      </c>
      <c r="C122" s="633" t="s">
        <v>264</v>
      </c>
      <c r="D122" s="634">
        <v>26658</v>
      </c>
      <c r="E122" s="634">
        <v>27926</v>
      </c>
      <c r="F122" s="634">
        <v>29255</v>
      </c>
      <c r="G122" s="634">
        <v>30056</v>
      </c>
      <c r="H122" s="634">
        <v>29923</v>
      </c>
      <c r="I122" s="1577">
        <v>31926</v>
      </c>
      <c r="J122" s="1942">
        <v>31373</v>
      </c>
    </row>
    <row r="123" spans="1:10" x14ac:dyDescent="0.25">
      <c r="A123" s="632" t="s">
        <v>238</v>
      </c>
      <c r="B123" s="633" t="s">
        <v>239</v>
      </c>
      <c r="C123" s="633" t="s">
        <v>264</v>
      </c>
      <c r="D123" s="634">
        <v>722</v>
      </c>
      <c r="E123" s="634">
        <v>821</v>
      </c>
      <c r="F123" s="634">
        <v>877</v>
      </c>
      <c r="G123" s="634">
        <v>924</v>
      </c>
      <c r="H123" s="634">
        <v>939</v>
      </c>
      <c r="I123" s="1577">
        <v>952</v>
      </c>
      <c r="J123" s="1942">
        <v>929</v>
      </c>
    </row>
    <row r="124" spans="1:10" x14ac:dyDescent="0.25">
      <c r="A124" s="552" t="s">
        <v>240</v>
      </c>
      <c r="B124" s="541" t="s">
        <v>241</v>
      </c>
      <c r="C124" s="541" t="s">
        <v>267</v>
      </c>
      <c r="D124" s="546">
        <v>3223</v>
      </c>
      <c r="E124" s="546">
        <v>3498</v>
      </c>
      <c r="F124" s="546">
        <v>3581</v>
      </c>
      <c r="G124" s="546">
        <v>3737</v>
      </c>
      <c r="H124" s="546">
        <v>3747</v>
      </c>
      <c r="I124" s="1578">
        <v>3908</v>
      </c>
      <c r="J124" s="1578">
        <v>4001</v>
      </c>
    </row>
    <row r="126" spans="1:10" ht="33.75" customHeight="1" x14ac:dyDescent="0.25">
      <c r="A126" s="2270" t="s">
        <v>1311</v>
      </c>
      <c r="B126" s="2270"/>
      <c r="C126" s="2270"/>
      <c r="D126" s="2270"/>
      <c r="E126" s="2270"/>
      <c r="F126" s="2270"/>
      <c r="G126" s="2270"/>
      <c r="H126" s="2270"/>
      <c r="I126" s="1576"/>
      <c r="J126" s="1928"/>
    </row>
    <row r="128" spans="1:10" s="412" customFormat="1" x14ac:dyDescent="0.25">
      <c r="A128" s="412" t="s">
        <v>248</v>
      </c>
    </row>
    <row r="129" spans="1:3" s="412" customFormat="1" x14ac:dyDescent="0.25">
      <c r="A129" s="413" t="s">
        <v>249</v>
      </c>
      <c r="B129" s="414" t="s">
        <v>250</v>
      </c>
      <c r="C129" s="414"/>
    </row>
  </sheetData>
  <autoFilter ref="A3:C3"/>
  <sortState ref="A5:K124">
    <sortCondition ref="A5:A124"/>
  </sortState>
  <mergeCells count="1">
    <mergeCell ref="A126:H126"/>
  </mergeCells>
  <hyperlinks>
    <hyperlink ref="B129"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130"/>
  <sheetViews>
    <sheetView workbookViewId="0">
      <pane xSplit="3" ySplit="5" topLeftCell="D98" activePane="bottomRight" state="frozen"/>
      <selection pane="topRight" activeCell="D1" sqref="D1"/>
      <selection pane="bottomLeft" activeCell="A6" sqref="A6"/>
      <selection pane="bottomRight" activeCell="A3" sqref="A3:O125"/>
    </sheetView>
  </sheetViews>
  <sheetFormatPr defaultRowHeight="12.75" customHeight="1" x14ac:dyDescent="0.25"/>
  <cols>
    <col min="1" max="1" width="9" style="529"/>
    <col min="2" max="2" width="33.375" style="529" customWidth="1"/>
    <col min="3" max="3" width="16.75" style="529" customWidth="1"/>
    <col min="4" max="15" width="8.875" style="529" customWidth="1"/>
    <col min="16" max="16384" width="9" style="529"/>
  </cols>
  <sheetData>
    <row r="1" spans="1:19" ht="12.75" customHeight="1" x14ac:dyDescent="0.25">
      <c r="A1" s="258" t="s">
        <v>1306</v>
      </c>
    </row>
    <row r="3" spans="1:19" ht="12.75" customHeight="1" x14ac:dyDescent="0.25">
      <c r="D3" s="2278" t="s">
        <v>867</v>
      </c>
      <c r="E3" s="2276"/>
      <c r="F3" s="2276"/>
      <c r="G3" s="2277"/>
      <c r="H3" s="2275" t="s">
        <v>868</v>
      </c>
      <c r="I3" s="2276"/>
      <c r="J3" s="2276"/>
      <c r="K3" s="2277"/>
      <c r="L3" s="2272" t="s">
        <v>869</v>
      </c>
      <c r="M3" s="2273"/>
      <c r="N3" s="2273"/>
      <c r="O3" s="2274"/>
      <c r="P3" s="2272" t="s">
        <v>1288</v>
      </c>
      <c r="Q3" s="2273"/>
      <c r="R3" s="2273"/>
      <c r="S3" s="2274"/>
    </row>
    <row r="4" spans="1:19" ht="15.75" x14ac:dyDescent="0.25">
      <c r="A4" s="534" t="s">
        <v>4</v>
      </c>
      <c r="B4" s="592" t="s">
        <v>5</v>
      </c>
      <c r="C4" s="1213" t="s">
        <v>251</v>
      </c>
      <c r="D4" s="1568">
        <v>2013</v>
      </c>
      <c r="E4" s="1218">
        <v>2014</v>
      </c>
      <c r="F4" s="1565">
        <v>2015</v>
      </c>
      <c r="G4" s="1872">
        <v>2016</v>
      </c>
      <c r="H4" s="1568">
        <v>2013</v>
      </c>
      <c r="I4" s="1218">
        <v>2014</v>
      </c>
      <c r="J4" s="1219">
        <v>2015</v>
      </c>
      <c r="K4" s="1872">
        <v>2016</v>
      </c>
      <c r="L4" s="1568">
        <v>2013</v>
      </c>
      <c r="M4" s="1874">
        <v>2014</v>
      </c>
      <c r="N4" s="1874">
        <v>2015</v>
      </c>
      <c r="O4" s="1880">
        <v>2016</v>
      </c>
      <c r="P4" s="1568">
        <v>2013</v>
      </c>
      <c r="Q4" s="1874">
        <v>2014</v>
      </c>
      <c r="R4" s="1874">
        <v>2015</v>
      </c>
      <c r="S4" s="1880">
        <v>2016</v>
      </c>
    </row>
    <row r="5" spans="1:19" ht="15.75" x14ac:dyDescent="0.25">
      <c r="A5" s="629">
        <v>999</v>
      </c>
      <c r="B5" s="630" t="s">
        <v>9</v>
      </c>
      <c r="C5" s="1214"/>
      <c r="D5" s="1895">
        <f t="shared" ref="D5:F5" si="0">SUM(D6:D125)</f>
        <v>138038</v>
      </c>
      <c r="E5" s="1896">
        <f t="shared" si="0"/>
        <v>126005</v>
      </c>
      <c r="F5" s="1896">
        <f t="shared" si="0"/>
        <v>127481</v>
      </c>
      <c r="G5" s="1897">
        <f t="shared" ref="G5:K5" si="1">SUM(G6:G125)</f>
        <v>118920</v>
      </c>
      <c r="H5" s="1895">
        <f t="shared" si="1"/>
        <v>67179</v>
      </c>
      <c r="I5" s="1896">
        <f t="shared" si="1"/>
        <v>65969</v>
      </c>
      <c r="J5" s="1896">
        <f t="shared" si="1"/>
        <v>64339</v>
      </c>
      <c r="K5" s="1898">
        <f t="shared" si="1"/>
        <v>63479</v>
      </c>
      <c r="L5" s="1899">
        <f t="shared" ref="L5:O5" si="2">SUM(L6:L125)</f>
        <v>23112</v>
      </c>
      <c r="M5" s="1900">
        <f t="shared" si="2"/>
        <v>24305</v>
      </c>
      <c r="N5" s="1900">
        <f t="shared" si="2"/>
        <v>21910</v>
      </c>
      <c r="O5" s="1894">
        <f t="shared" si="2"/>
        <v>16370</v>
      </c>
      <c r="P5" s="1575">
        <f t="shared" ref="P5:R5" si="3">SUM(P6:P125)</f>
        <v>0</v>
      </c>
      <c r="Q5" s="1875">
        <f t="shared" si="3"/>
        <v>0</v>
      </c>
      <c r="R5" s="1875">
        <f t="shared" si="3"/>
        <v>0</v>
      </c>
      <c r="S5" s="1879"/>
    </row>
    <row r="6" spans="1:19" ht="15.75" x14ac:dyDescent="0.25">
      <c r="A6" s="536" t="s">
        <v>10</v>
      </c>
      <c r="B6" s="594" t="s">
        <v>11</v>
      </c>
      <c r="C6" s="1215" t="s">
        <v>264</v>
      </c>
      <c r="D6" s="1569">
        <v>1949</v>
      </c>
      <c r="E6" s="1570">
        <v>1818</v>
      </c>
      <c r="F6" s="1566">
        <v>1821</v>
      </c>
      <c r="G6" s="1550">
        <v>1680</v>
      </c>
      <c r="H6" s="1569">
        <v>593</v>
      </c>
      <c r="I6" s="1570">
        <v>659</v>
      </c>
      <c r="J6" s="1571">
        <v>586</v>
      </c>
      <c r="K6" s="1550">
        <v>528</v>
      </c>
      <c r="L6" s="1569">
        <v>831</v>
      </c>
      <c r="M6" s="1876">
        <v>883</v>
      </c>
      <c r="N6" s="1876">
        <v>819</v>
      </c>
      <c r="O6" s="1877">
        <v>582</v>
      </c>
      <c r="P6" s="1569"/>
      <c r="Q6" s="1876"/>
      <c r="R6" s="1876"/>
      <c r="S6" s="1877"/>
    </row>
    <row r="7" spans="1:19" ht="15.75" x14ac:dyDescent="0.25">
      <c r="A7" s="537" t="s">
        <v>12</v>
      </c>
      <c r="B7" s="633" t="s">
        <v>13</v>
      </c>
      <c r="C7" s="1216" t="s">
        <v>265</v>
      </c>
      <c r="D7" s="1569">
        <v>1072</v>
      </c>
      <c r="E7" s="1570">
        <v>893</v>
      </c>
      <c r="F7" s="1566">
        <v>896</v>
      </c>
      <c r="G7" s="1550">
        <v>832</v>
      </c>
      <c r="H7" s="1569">
        <v>522</v>
      </c>
      <c r="I7" s="1570">
        <v>434</v>
      </c>
      <c r="J7" s="1571">
        <v>453</v>
      </c>
      <c r="K7" s="1550">
        <v>451</v>
      </c>
      <c r="L7" s="1569">
        <v>136</v>
      </c>
      <c r="M7" s="1876">
        <v>159</v>
      </c>
      <c r="N7" s="1876">
        <v>158</v>
      </c>
      <c r="O7" s="1877">
        <v>105</v>
      </c>
      <c r="P7" s="1569"/>
      <c r="Q7" s="1876"/>
      <c r="R7" s="1876"/>
      <c r="S7" s="1877"/>
    </row>
    <row r="8" spans="1:19" ht="15.75" x14ac:dyDescent="0.25">
      <c r="A8" s="537" t="s">
        <v>16</v>
      </c>
      <c r="B8" s="633" t="s">
        <v>297</v>
      </c>
      <c r="C8" s="1216" t="s">
        <v>265</v>
      </c>
      <c r="D8" s="1569">
        <v>1078</v>
      </c>
      <c r="E8" s="1570">
        <v>990</v>
      </c>
      <c r="F8" s="1566">
        <v>1023</v>
      </c>
      <c r="G8" s="1550">
        <v>937</v>
      </c>
      <c r="H8" s="1569">
        <v>534</v>
      </c>
      <c r="I8" s="1570">
        <v>597</v>
      </c>
      <c r="J8" s="1571">
        <v>627</v>
      </c>
      <c r="K8" s="1550">
        <v>623</v>
      </c>
      <c r="L8" s="1569">
        <v>106</v>
      </c>
      <c r="M8" s="1876">
        <v>128</v>
      </c>
      <c r="N8" s="1876">
        <v>128</v>
      </c>
      <c r="O8" s="1877">
        <v>98</v>
      </c>
      <c r="P8" s="1569"/>
      <c r="Q8" s="1876"/>
      <c r="R8" s="1876"/>
      <c r="S8" s="1877"/>
    </row>
    <row r="9" spans="1:19" ht="15.75" x14ac:dyDescent="0.25">
      <c r="A9" s="537" t="s">
        <v>18</v>
      </c>
      <c r="B9" s="633" t="s">
        <v>19</v>
      </c>
      <c r="C9" s="1216" t="s">
        <v>266</v>
      </c>
      <c r="D9" s="1569">
        <v>362</v>
      </c>
      <c r="E9" s="1570">
        <v>318</v>
      </c>
      <c r="F9" s="1566">
        <v>328</v>
      </c>
      <c r="G9" s="1550">
        <v>277</v>
      </c>
      <c r="H9" s="1569">
        <v>137</v>
      </c>
      <c r="I9" s="1570">
        <v>133</v>
      </c>
      <c r="J9" s="1571">
        <v>114</v>
      </c>
      <c r="K9" s="1550">
        <v>115</v>
      </c>
      <c r="L9" s="1569">
        <v>74</v>
      </c>
      <c r="M9" s="1876">
        <v>97</v>
      </c>
      <c r="N9" s="1876">
        <v>76</v>
      </c>
      <c r="O9" s="1877">
        <v>55</v>
      </c>
      <c r="P9" s="1569"/>
      <c r="Q9" s="1876"/>
      <c r="R9" s="1876"/>
      <c r="S9" s="1877"/>
    </row>
    <row r="10" spans="1:19" ht="15.75" x14ac:dyDescent="0.25">
      <c r="A10" s="537" t="s">
        <v>20</v>
      </c>
      <c r="B10" s="633" t="s">
        <v>21</v>
      </c>
      <c r="C10" s="1216" t="s">
        <v>265</v>
      </c>
      <c r="D10" s="1569">
        <v>987</v>
      </c>
      <c r="E10" s="1570">
        <v>860</v>
      </c>
      <c r="F10" s="1566">
        <v>834</v>
      </c>
      <c r="G10" s="1550">
        <v>804</v>
      </c>
      <c r="H10" s="1569">
        <v>509</v>
      </c>
      <c r="I10" s="1570">
        <v>469</v>
      </c>
      <c r="J10" s="1571">
        <v>469</v>
      </c>
      <c r="K10" s="1550">
        <v>441</v>
      </c>
      <c r="L10" s="1569">
        <v>231</v>
      </c>
      <c r="M10" s="1876">
        <v>235</v>
      </c>
      <c r="N10" s="1876">
        <v>221</v>
      </c>
      <c r="O10" s="1877">
        <v>151</v>
      </c>
      <c r="P10" s="1569"/>
      <c r="Q10" s="1876"/>
      <c r="R10" s="1876"/>
      <c r="S10" s="1877"/>
    </row>
    <row r="11" spans="1:19" ht="15.75" x14ac:dyDescent="0.25">
      <c r="A11" s="537" t="s">
        <v>22</v>
      </c>
      <c r="B11" s="633" t="s">
        <v>23</v>
      </c>
      <c r="C11" s="1216" t="s">
        <v>265</v>
      </c>
      <c r="D11" s="1569">
        <v>629</v>
      </c>
      <c r="E11" s="1570">
        <v>586</v>
      </c>
      <c r="F11" s="1566">
        <v>598</v>
      </c>
      <c r="G11" s="1550">
        <v>558</v>
      </c>
      <c r="H11" s="1569">
        <v>319</v>
      </c>
      <c r="I11" s="1570">
        <v>322</v>
      </c>
      <c r="J11" s="1571">
        <v>314</v>
      </c>
      <c r="K11" s="1550">
        <v>278</v>
      </c>
      <c r="L11" s="1569">
        <v>165</v>
      </c>
      <c r="M11" s="1876">
        <v>164</v>
      </c>
      <c r="N11" s="1876">
        <v>139</v>
      </c>
      <c r="O11" s="1877">
        <v>104</v>
      </c>
      <c r="P11" s="1569"/>
      <c r="Q11" s="1876"/>
      <c r="R11" s="1876"/>
      <c r="S11" s="1877"/>
    </row>
    <row r="12" spans="1:19" ht="15.75" x14ac:dyDescent="0.25">
      <c r="A12" s="537" t="s">
        <v>24</v>
      </c>
      <c r="B12" s="633" t="s">
        <v>25</v>
      </c>
      <c r="C12" s="1216" t="s">
        <v>267</v>
      </c>
      <c r="D12" s="1569">
        <v>667</v>
      </c>
      <c r="E12" s="1570">
        <v>644</v>
      </c>
      <c r="F12" s="1566">
        <v>769</v>
      </c>
      <c r="G12" s="1550">
        <v>787</v>
      </c>
      <c r="H12" s="1569">
        <v>623</v>
      </c>
      <c r="I12" s="1570">
        <v>621</v>
      </c>
      <c r="J12" s="1571">
        <v>690</v>
      </c>
      <c r="K12" s="1550">
        <v>713</v>
      </c>
      <c r="L12" s="1569">
        <v>15</v>
      </c>
      <c r="M12" s="1876">
        <v>50</v>
      </c>
      <c r="N12" s="1876">
        <v>46</v>
      </c>
      <c r="O12" s="1877">
        <v>43</v>
      </c>
      <c r="P12" s="1569"/>
      <c r="Q12" s="1876"/>
      <c r="R12" s="1876"/>
      <c r="S12" s="1877"/>
    </row>
    <row r="13" spans="1:19" ht="15.75" x14ac:dyDescent="0.25">
      <c r="A13" s="537" t="s">
        <v>26</v>
      </c>
      <c r="B13" s="633" t="s">
        <v>686</v>
      </c>
      <c r="C13" s="1216" t="s">
        <v>265</v>
      </c>
      <c r="D13" s="1569">
        <v>2705</v>
      </c>
      <c r="E13" s="1570">
        <v>2411</v>
      </c>
      <c r="F13" s="1566">
        <v>2335</v>
      </c>
      <c r="G13" s="1550">
        <v>2258</v>
      </c>
      <c r="H13" s="1569">
        <v>1287</v>
      </c>
      <c r="I13" s="1570">
        <v>1280</v>
      </c>
      <c r="J13" s="1571">
        <v>1244</v>
      </c>
      <c r="K13" s="1550">
        <v>1250</v>
      </c>
      <c r="L13" s="1569">
        <v>386</v>
      </c>
      <c r="M13" s="1876">
        <v>375</v>
      </c>
      <c r="N13" s="1876">
        <v>366</v>
      </c>
      <c r="O13" s="1877">
        <v>307</v>
      </c>
      <c r="P13" s="1569"/>
      <c r="Q13" s="1876"/>
      <c r="R13" s="1876"/>
      <c r="S13" s="1877"/>
    </row>
    <row r="14" spans="1:19" ht="15.75" x14ac:dyDescent="0.25">
      <c r="A14" s="537" t="s">
        <v>27</v>
      </c>
      <c r="B14" s="633" t="s">
        <v>28</v>
      </c>
      <c r="C14" s="1216" t="s">
        <v>265</v>
      </c>
      <c r="D14" s="1569">
        <v>143</v>
      </c>
      <c r="E14" s="1570">
        <v>137</v>
      </c>
      <c r="F14" s="1566">
        <v>142</v>
      </c>
      <c r="G14" s="1550">
        <v>119</v>
      </c>
      <c r="H14" s="1569">
        <v>46</v>
      </c>
      <c r="I14" s="1570">
        <v>41</v>
      </c>
      <c r="J14" s="1571">
        <v>47</v>
      </c>
      <c r="K14" s="1550">
        <v>31</v>
      </c>
      <c r="L14" s="1569">
        <v>9</v>
      </c>
      <c r="M14" s="1876">
        <v>12</v>
      </c>
      <c r="N14" s="1876">
        <v>13</v>
      </c>
      <c r="O14" s="1877">
        <v>11</v>
      </c>
      <c r="P14" s="1569"/>
      <c r="Q14" s="1876"/>
      <c r="R14" s="1876"/>
      <c r="S14" s="1877"/>
    </row>
    <row r="15" spans="1:19" ht="15.75" x14ac:dyDescent="0.25">
      <c r="A15" s="537" t="s">
        <v>29</v>
      </c>
      <c r="B15" s="633" t="s">
        <v>924</v>
      </c>
      <c r="C15" s="1216" t="s">
        <v>265</v>
      </c>
      <c r="D15" s="1569">
        <v>1279</v>
      </c>
      <c r="E15" s="1570">
        <v>1156</v>
      </c>
      <c r="F15" s="1566">
        <v>1183</v>
      </c>
      <c r="G15" s="1550">
        <v>1159</v>
      </c>
      <c r="H15" s="1569">
        <v>494</v>
      </c>
      <c r="I15" s="1570">
        <v>505</v>
      </c>
      <c r="J15" s="1571">
        <v>517</v>
      </c>
      <c r="K15" s="1550">
        <v>554</v>
      </c>
      <c r="L15" s="1569">
        <v>179</v>
      </c>
      <c r="M15" s="1876">
        <v>186</v>
      </c>
      <c r="N15" s="1876">
        <v>196</v>
      </c>
      <c r="O15" s="1877">
        <v>172</v>
      </c>
      <c r="P15" s="1569"/>
      <c r="Q15" s="1876"/>
      <c r="R15" s="1876"/>
      <c r="S15" s="1877"/>
    </row>
    <row r="16" spans="1:19" ht="15.75" x14ac:dyDescent="0.25">
      <c r="A16" s="537" t="s">
        <v>30</v>
      </c>
      <c r="B16" s="633" t="s">
        <v>31</v>
      </c>
      <c r="C16" s="1216" t="s">
        <v>268</v>
      </c>
      <c r="D16" s="1569">
        <v>193</v>
      </c>
      <c r="E16" s="1570">
        <v>194</v>
      </c>
      <c r="F16" s="1566">
        <v>199</v>
      </c>
      <c r="G16" s="1550">
        <v>182</v>
      </c>
      <c r="H16" s="1569">
        <v>82</v>
      </c>
      <c r="I16" s="1570">
        <v>64</v>
      </c>
      <c r="J16" s="1571">
        <v>65</v>
      </c>
      <c r="K16" s="1550">
        <v>37</v>
      </c>
      <c r="L16" s="1569">
        <v>42</v>
      </c>
      <c r="M16" s="1876">
        <v>41</v>
      </c>
      <c r="N16" s="1876">
        <v>34</v>
      </c>
      <c r="O16" s="1877">
        <v>21</v>
      </c>
      <c r="P16" s="1569"/>
      <c r="Q16" s="1876"/>
      <c r="R16" s="1876"/>
      <c r="S16" s="1877"/>
    </row>
    <row r="17" spans="1:19" ht="15.75" x14ac:dyDescent="0.25">
      <c r="A17" s="537" t="s">
        <v>32</v>
      </c>
      <c r="B17" s="633" t="s">
        <v>33</v>
      </c>
      <c r="C17" s="1216" t="s">
        <v>265</v>
      </c>
      <c r="D17" s="1569">
        <v>314</v>
      </c>
      <c r="E17" s="1570">
        <v>308</v>
      </c>
      <c r="F17" s="1566">
        <v>319</v>
      </c>
      <c r="G17" s="1550">
        <v>278</v>
      </c>
      <c r="H17" s="1569">
        <v>116</v>
      </c>
      <c r="I17" s="1570">
        <v>114</v>
      </c>
      <c r="J17" s="1571">
        <v>114</v>
      </c>
      <c r="K17" s="1550">
        <v>112</v>
      </c>
      <c r="L17" s="1569">
        <v>71</v>
      </c>
      <c r="M17" s="1876">
        <v>84</v>
      </c>
      <c r="N17" s="1876">
        <v>82</v>
      </c>
      <c r="O17" s="1877">
        <v>40</v>
      </c>
      <c r="P17" s="1569"/>
      <c r="Q17" s="1876"/>
      <c r="R17" s="1876"/>
      <c r="S17" s="1877"/>
    </row>
    <row r="18" spans="1:19" ht="15.75" x14ac:dyDescent="0.25">
      <c r="A18" s="537" t="s">
        <v>36</v>
      </c>
      <c r="B18" s="633" t="s">
        <v>37</v>
      </c>
      <c r="C18" s="1216" t="s">
        <v>264</v>
      </c>
      <c r="D18" s="1569">
        <v>1178</v>
      </c>
      <c r="E18" s="1570">
        <v>1128</v>
      </c>
      <c r="F18" s="1566">
        <v>1101</v>
      </c>
      <c r="G18" s="1550">
        <v>1047</v>
      </c>
      <c r="H18" s="1569">
        <v>591</v>
      </c>
      <c r="I18" s="1570">
        <v>591</v>
      </c>
      <c r="J18" s="1571">
        <v>609</v>
      </c>
      <c r="K18" s="1550">
        <v>598</v>
      </c>
      <c r="L18" s="1569">
        <v>316</v>
      </c>
      <c r="M18" s="1876">
        <v>294</v>
      </c>
      <c r="N18" s="1876">
        <v>270</v>
      </c>
      <c r="O18" s="1877">
        <v>218</v>
      </c>
      <c r="P18" s="1569"/>
      <c r="Q18" s="1876"/>
      <c r="R18" s="1876"/>
      <c r="S18" s="1877"/>
    </row>
    <row r="19" spans="1:19" ht="15.75" x14ac:dyDescent="0.25">
      <c r="A19" s="537" t="s">
        <v>38</v>
      </c>
      <c r="B19" s="633" t="s">
        <v>39</v>
      </c>
      <c r="C19" s="1216" t="s">
        <v>268</v>
      </c>
      <c r="D19" s="1569">
        <v>1929</v>
      </c>
      <c r="E19" s="1570">
        <v>1895</v>
      </c>
      <c r="F19" s="1566">
        <v>1903</v>
      </c>
      <c r="G19" s="1550">
        <v>1917</v>
      </c>
      <c r="H19" s="1569">
        <v>959</v>
      </c>
      <c r="I19" s="1570">
        <v>955</v>
      </c>
      <c r="J19" s="1571">
        <v>1005</v>
      </c>
      <c r="K19" s="1550">
        <v>1084</v>
      </c>
      <c r="L19" s="1569">
        <v>545</v>
      </c>
      <c r="M19" s="1876">
        <v>541</v>
      </c>
      <c r="N19" s="1876">
        <v>640</v>
      </c>
      <c r="O19" s="1877">
        <v>592</v>
      </c>
      <c r="P19" s="1569"/>
      <c r="Q19" s="1876"/>
      <c r="R19" s="1876"/>
      <c r="S19" s="1877"/>
    </row>
    <row r="20" spans="1:19" ht="15.75" x14ac:dyDescent="0.25">
      <c r="A20" s="537" t="s">
        <v>40</v>
      </c>
      <c r="B20" s="633" t="s">
        <v>41</v>
      </c>
      <c r="C20" s="1216" t="s">
        <v>266</v>
      </c>
      <c r="D20" s="1569">
        <v>830</v>
      </c>
      <c r="E20" s="1570">
        <v>740</v>
      </c>
      <c r="F20" s="1566">
        <v>738</v>
      </c>
      <c r="G20" s="1550">
        <v>716</v>
      </c>
      <c r="H20" s="1569">
        <v>378</v>
      </c>
      <c r="I20" s="1570">
        <v>337</v>
      </c>
      <c r="J20" s="1571">
        <v>333</v>
      </c>
      <c r="K20" s="1550">
        <v>329</v>
      </c>
      <c r="L20" s="1569">
        <v>150</v>
      </c>
      <c r="M20" s="1876">
        <v>157</v>
      </c>
      <c r="N20" s="1876">
        <v>137</v>
      </c>
      <c r="O20" s="1877">
        <v>101</v>
      </c>
      <c r="P20" s="1569"/>
      <c r="Q20" s="1876"/>
      <c r="R20" s="1876"/>
      <c r="S20" s="1877"/>
    </row>
    <row r="21" spans="1:19" ht="15.75" x14ac:dyDescent="0.25">
      <c r="A21" s="537" t="s">
        <v>42</v>
      </c>
      <c r="B21" s="633" t="s">
        <v>43</v>
      </c>
      <c r="C21" s="1216" t="s">
        <v>265</v>
      </c>
      <c r="D21" s="1569">
        <v>1841</v>
      </c>
      <c r="E21" s="1570">
        <v>1684</v>
      </c>
      <c r="F21" s="1566">
        <v>1746</v>
      </c>
      <c r="G21" s="1550">
        <v>1656</v>
      </c>
      <c r="H21" s="1569">
        <v>882</v>
      </c>
      <c r="I21" s="1570">
        <v>864</v>
      </c>
      <c r="J21" s="1571">
        <v>847</v>
      </c>
      <c r="K21" s="1550">
        <v>827</v>
      </c>
      <c r="L21" s="1569">
        <v>516</v>
      </c>
      <c r="M21" s="1876">
        <v>521</v>
      </c>
      <c r="N21" s="1876">
        <v>490</v>
      </c>
      <c r="O21" s="1877">
        <v>350</v>
      </c>
      <c r="P21" s="1569"/>
      <c r="Q21" s="1876"/>
      <c r="R21" s="1876"/>
      <c r="S21" s="1877"/>
    </row>
    <row r="22" spans="1:19" ht="15.75" x14ac:dyDescent="0.25">
      <c r="A22" s="537" t="s">
        <v>44</v>
      </c>
      <c r="B22" s="633" t="s">
        <v>45</v>
      </c>
      <c r="C22" s="1216" t="s">
        <v>266</v>
      </c>
      <c r="D22" s="1569">
        <v>513</v>
      </c>
      <c r="E22" s="1570">
        <v>500</v>
      </c>
      <c r="F22" s="1566">
        <v>530</v>
      </c>
      <c r="G22" s="1550">
        <v>498</v>
      </c>
      <c r="H22" s="1569">
        <v>117</v>
      </c>
      <c r="I22" s="1570">
        <v>134</v>
      </c>
      <c r="J22" s="1571">
        <v>156</v>
      </c>
      <c r="K22" s="1550">
        <v>154</v>
      </c>
      <c r="L22" s="1569">
        <v>131</v>
      </c>
      <c r="M22" s="1876">
        <v>129</v>
      </c>
      <c r="N22" s="1876">
        <v>118</v>
      </c>
      <c r="O22" s="1877">
        <v>87</v>
      </c>
      <c r="P22" s="1569"/>
      <c r="Q22" s="1876"/>
      <c r="R22" s="1876"/>
      <c r="S22" s="1877"/>
    </row>
    <row r="23" spans="1:19" ht="15.75" x14ac:dyDescent="0.25">
      <c r="A23" s="537" t="s">
        <v>46</v>
      </c>
      <c r="B23" s="633" t="s">
        <v>47</v>
      </c>
      <c r="C23" s="1216" t="s">
        <v>268</v>
      </c>
      <c r="D23" s="1569">
        <v>1797</v>
      </c>
      <c r="E23" s="1570">
        <v>1694</v>
      </c>
      <c r="F23" s="1566">
        <v>1657</v>
      </c>
      <c r="G23" s="1550">
        <v>1486</v>
      </c>
      <c r="H23" s="1569">
        <v>685</v>
      </c>
      <c r="I23" s="1570">
        <v>666</v>
      </c>
      <c r="J23" s="1571">
        <v>706</v>
      </c>
      <c r="K23" s="1550">
        <v>651</v>
      </c>
      <c r="L23" s="1569">
        <v>229</v>
      </c>
      <c r="M23" s="1876">
        <v>198</v>
      </c>
      <c r="N23" s="1876">
        <v>175</v>
      </c>
      <c r="O23" s="1877">
        <v>116</v>
      </c>
      <c r="P23" s="1569"/>
      <c r="Q23" s="1876"/>
      <c r="R23" s="1876"/>
      <c r="S23" s="1877"/>
    </row>
    <row r="24" spans="1:19" ht="15.75" x14ac:dyDescent="0.25">
      <c r="A24" s="537" t="s">
        <v>48</v>
      </c>
      <c r="B24" s="633" t="s">
        <v>269</v>
      </c>
      <c r="C24" s="1216" t="s">
        <v>266</v>
      </c>
      <c r="D24" s="1569">
        <v>246</v>
      </c>
      <c r="E24" s="1570">
        <v>212</v>
      </c>
      <c r="F24" s="1566">
        <v>216</v>
      </c>
      <c r="G24" s="1550">
        <v>207</v>
      </c>
      <c r="H24" s="1569">
        <v>71</v>
      </c>
      <c r="I24" s="1570">
        <v>87</v>
      </c>
      <c r="J24" s="1571">
        <v>88</v>
      </c>
      <c r="K24" s="1550">
        <v>82</v>
      </c>
      <c r="L24" s="1569">
        <v>36</v>
      </c>
      <c r="M24" s="1876">
        <v>70</v>
      </c>
      <c r="N24" s="1876">
        <v>61</v>
      </c>
      <c r="O24" s="1877">
        <v>32</v>
      </c>
      <c r="P24" s="1569"/>
      <c r="Q24" s="1876"/>
      <c r="R24" s="1876"/>
      <c r="S24" s="1877"/>
    </row>
    <row r="25" spans="1:19" ht="15.75" x14ac:dyDescent="0.25">
      <c r="A25" s="537" t="s">
        <v>50</v>
      </c>
      <c r="B25" s="633" t="s">
        <v>51</v>
      </c>
      <c r="C25" s="1216" t="s">
        <v>265</v>
      </c>
      <c r="D25" s="1569">
        <v>710</v>
      </c>
      <c r="E25" s="1570">
        <v>652</v>
      </c>
      <c r="F25" s="1566">
        <v>703</v>
      </c>
      <c r="G25" s="1550">
        <v>648</v>
      </c>
      <c r="H25" s="1569">
        <v>331</v>
      </c>
      <c r="I25" s="1570">
        <v>346</v>
      </c>
      <c r="J25" s="1571">
        <v>344</v>
      </c>
      <c r="K25" s="1550">
        <v>335</v>
      </c>
      <c r="L25" s="1569">
        <v>117</v>
      </c>
      <c r="M25" s="1876">
        <v>153</v>
      </c>
      <c r="N25" s="1876">
        <v>133</v>
      </c>
      <c r="O25" s="1877">
        <v>92</v>
      </c>
      <c r="P25" s="1569"/>
      <c r="Q25" s="1876"/>
      <c r="R25" s="1876"/>
      <c r="S25" s="1877"/>
    </row>
    <row r="26" spans="1:19" ht="15.75" x14ac:dyDescent="0.25">
      <c r="A26" s="537" t="s">
        <v>56</v>
      </c>
      <c r="B26" s="633" t="s">
        <v>295</v>
      </c>
      <c r="C26" s="1216" t="s">
        <v>266</v>
      </c>
      <c r="D26" s="1569">
        <v>2554</v>
      </c>
      <c r="E26" s="1570">
        <v>2275</v>
      </c>
      <c r="F26" s="1566">
        <v>2235</v>
      </c>
      <c r="G26" s="1550">
        <v>1995</v>
      </c>
      <c r="H26" s="1569">
        <v>1352</v>
      </c>
      <c r="I26" s="1570">
        <v>1176</v>
      </c>
      <c r="J26" s="1571">
        <v>1129</v>
      </c>
      <c r="K26" s="1550">
        <v>1159</v>
      </c>
      <c r="L26" s="1569">
        <v>327</v>
      </c>
      <c r="M26" s="1876">
        <v>232</v>
      </c>
      <c r="N26" s="1876">
        <v>288</v>
      </c>
      <c r="O26" s="1877">
        <v>198</v>
      </c>
      <c r="P26" s="1569"/>
      <c r="Q26" s="1876"/>
      <c r="R26" s="1876"/>
      <c r="S26" s="1877"/>
    </row>
    <row r="27" spans="1:19" ht="15.75" x14ac:dyDescent="0.25">
      <c r="A27" s="537" t="s">
        <v>58</v>
      </c>
      <c r="B27" s="633" t="s">
        <v>59</v>
      </c>
      <c r="C27" s="1216" t="s">
        <v>267</v>
      </c>
      <c r="D27" s="1569">
        <v>104</v>
      </c>
      <c r="E27" s="1570">
        <v>101</v>
      </c>
      <c r="F27" s="1566">
        <v>95</v>
      </c>
      <c r="G27" s="1550">
        <v>90</v>
      </c>
      <c r="H27" s="1569">
        <v>52</v>
      </c>
      <c r="I27" s="1570">
        <v>43</v>
      </c>
      <c r="J27" s="1571">
        <v>42</v>
      </c>
      <c r="K27" s="1550">
        <v>38</v>
      </c>
      <c r="L27" s="1569">
        <v>11</v>
      </c>
      <c r="M27" s="1876">
        <v>15</v>
      </c>
      <c r="N27" s="1876">
        <v>13</v>
      </c>
      <c r="O27" s="1877">
        <v>8</v>
      </c>
      <c r="P27" s="1569"/>
      <c r="Q27" s="1876"/>
      <c r="R27" s="1876"/>
      <c r="S27" s="1877"/>
    </row>
    <row r="28" spans="1:19" ht="15.75" x14ac:dyDescent="0.25">
      <c r="A28" s="537" t="s">
        <v>60</v>
      </c>
      <c r="B28" s="633" t="s">
        <v>61</v>
      </c>
      <c r="C28" s="1216" t="s">
        <v>265</v>
      </c>
      <c r="D28" s="1569">
        <v>207</v>
      </c>
      <c r="E28" s="1570">
        <v>175</v>
      </c>
      <c r="F28" s="1566">
        <v>190</v>
      </c>
      <c r="G28" s="1550">
        <v>169</v>
      </c>
      <c r="H28" s="1569">
        <v>106</v>
      </c>
      <c r="I28" s="1570">
        <v>100</v>
      </c>
      <c r="J28" s="1571">
        <v>106</v>
      </c>
      <c r="K28" s="1550">
        <v>105</v>
      </c>
      <c r="L28" s="1569">
        <v>41</v>
      </c>
      <c r="M28" s="1876">
        <v>30</v>
      </c>
      <c r="N28" s="1876">
        <v>25</v>
      </c>
      <c r="O28" s="1877">
        <v>35</v>
      </c>
      <c r="P28" s="1569"/>
      <c r="Q28" s="1876"/>
      <c r="R28" s="1876"/>
      <c r="S28" s="1877"/>
    </row>
    <row r="29" spans="1:19" ht="15.75" x14ac:dyDescent="0.25">
      <c r="A29" s="537" t="s">
        <v>62</v>
      </c>
      <c r="B29" s="633" t="s">
        <v>63</v>
      </c>
      <c r="C29" s="1216" t="s">
        <v>267</v>
      </c>
      <c r="D29" s="1569">
        <v>687</v>
      </c>
      <c r="E29" s="1570">
        <v>600</v>
      </c>
      <c r="F29" s="1566">
        <v>621</v>
      </c>
      <c r="G29" s="1550">
        <v>578</v>
      </c>
      <c r="H29" s="1569">
        <v>357</v>
      </c>
      <c r="I29" s="1570">
        <v>324</v>
      </c>
      <c r="J29" s="1571">
        <v>325</v>
      </c>
      <c r="K29" s="1550">
        <v>339</v>
      </c>
      <c r="L29" s="1569">
        <v>134</v>
      </c>
      <c r="M29" s="1876">
        <v>122</v>
      </c>
      <c r="N29" s="1876">
        <v>84</v>
      </c>
      <c r="O29" s="1877">
        <v>61</v>
      </c>
      <c r="P29" s="1569"/>
      <c r="Q29" s="1876"/>
      <c r="R29" s="1876"/>
      <c r="S29" s="1877"/>
    </row>
    <row r="30" spans="1:19" ht="15.75" x14ac:dyDescent="0.25">
      <c r="A30" s="537" t="s">
        <v>64</v>
      </c>
      <c r="B30" s="633" t="s">
        <v>65</v>
      </c>
      <c r="C30" s="1216" t="s">
        <v>266</v>
      </c>
      <c r="D30" s="1569">
        <v>460</v>
      </c>
      <c r="E30" s="1570">
        <v>416</v>
      </c>
      <c r="F30" s="1566">
        <v>413</v>
      </c>
      <c r="G30" s="1550">
        <v>384</v>
      </c>
      <c r="H30" s="1569">
        <v>203</v>
      </c>
      <c r="I30" s="1570">
        <v>166</v>
      </c>
      <c r="J30" s="1571">
        <v>186</v>
      </c>
      <c r="K30" s="1550">
        <v>173</v>
      </c>
      <c r="L30" s="1569">
        <v>79</v>
      </c>
      <c r="M30" s="1876">
        <v>72</v>
      </c>
      <c r="N30" s="1876">
        <v>70</v>
      </c>
      <c r="O30" s="1877">
        <v>49</v>
      </c>
      <c r="P30" s="1569"/>
      <c r="Q30" s="1876"/>
      <c r="R30" s="1876"/>
      <c r="S30" s="1877"/>
    </row>
    <row r="31" spans="1:19" ht="15.75" x14ac:dyDescent="0.25">
      <c r="A31" s="537" t="s">
        <v>68</v>
      </c>
      <c r="B31" s="633" t="s">
        <v>69</v>
      </c>
      <c r="C31" s="1216" t="s">
        <v>268</v>
      </c>
      <c r="D31" s="1569">
        <v>1205</v>
      </c>
      <c r="E31" s="1570">
        <v>1195</v>
      </c>
      <c r="F31" s="1566">
        <v>1210</v>
      </c>
      <c r="G31" s="1550">
        <v>1155</v>
      </c>
      <c r="H31" s="1569">
        <v>650</v>
      </c>
      <c r="I31" s="1570">
        <v>668</v>
      </c>
      <c r="J31" s="1571">
        <v>693</v>
      </c>
      <c r="K31" s="1550">
        <v>711</v>
      </c>
      <c r="L31" s="1569">
        <v>306</v>
      </c>
      <c r="M31" s="1876">
        <v>317</v>
      </c>
      <c r="N31" s="1876">
        <v>296</v>
      </c>
      <c r="O31" s="1877">
        <v>193</v>
      </c>
      <c r="P31" s="1569"/>
      <c r="Q31" s="1876"/>
      <c r="R31" s="1876"/>
      <c r="S31" s="1877"/>
    </row>
    <row r="32" spans="1:19" ht="15.75" x14ac:dyDescent="0.25">
      <c r="A32" s="537" t="s">
        <v>70</v>
      </c>
      <c r="B32" s="633" t="s">
        <v>71</v>
      </c>
      <c r="C32" s="1216" t="s">
        <v>264</v>
      </c>
      <c r="D32" s="1569">
        <v>867</v>
      </c>
      <c r="E32" s="1570">
        <v>775</v>
      </c>
      <c r="F32" s="1566">
        <v>765</v>
      </c>
      <c r="G32" s="1550">
        <v>641</v>
      </c>
      <c r="H32" s="1569">
        <v>392</v>
      </c>
      <c r="I32" s="1570">
        <v>396</v>
      </c>
      <c r="J32" s="1571">
        <v>353</v>
      </c>
      <c r="K32" s="1550">
        <v>326</v>
      </c>
      <c r="L32" s="1569">
        <v>213</v>
      </c>
      <c r="M32" s="1876">
        <v>214</v>
      </c>
      <c r="N32" s="1876">
        <v>186</v>
      </c>
      <c r="O32" s="1877">
        <v>120</v>
      </c>
      <c r="P32" s="1569"/>
      <c r="Q32" s="1876"/>
      <c r="R32" s="1876"/>
      <c r="S32" s="1877"/>
    </row>
    <row r="33" spans="1:19" ht="15.75" x14ac:dyDescent="0.25">
      <c r="A33" s="537" t="s">
        <v>72</v>
      </c>
      <c r="B33" s="633" t="s">
        <v>73</v>
      </c>
      <c r="C33" s="1216" t="s">
        <v>266</v>
      </c>
      <c r="D33" s="1569">
        <v>507</v>
      </c>
      <c r="E33" s="1570">
        <v>466</v>
      </c>
      <c r="F33" s="1566">
        <v>491</v>
      </c>
      <c r="G33" s="1550">
        <v>446</v>
      </c>
      <c r="H33" s="1569">
        <v>215</v>
      </c>
      <c r="I33" s="1570">
        <v>193</v>
      </c>
      <c r="J33" s="1571">
        <v>218</v>
      </c>
      <c r="K33" s="1550">
        <v>227</v>
      </c>
      <c r="L33" s="1569">
        <v>52</v>
      </c>
      <c r="M33" s="1876">
        <v>80</v>
      </c>
      <c r="N33" s="1876">
        <v>89</v>
      </c>
      <c r="O33" s="1877">
        <v>45</v>
      </c>
      <c r="P33" s="1569"/>
      <c r="Q33" s="1876"/>
      <c r="R33" s="1876"/>
      <c r="S33" s="1877"/>
    </row>
    <row r="34" spans="1:19" ht="15.75" x14ac:dyDescent="0.25">
      <c r="A34" s="537" t="s">
        <v>74</v>
      </c>
      <c r="B34" s="633" t="s">
        <v>296</v>
      </c>
      <c r="C34" s="1216" t="s">
        <v>267</v>
      </c>
      <c r="D34" s="1569">
        <v>1532</v>
      </c>
      <c r="E34" s="1570">
        <v>1500</v>
      </c>
      <c r="F34" s="1566">
        <v>1541</v>
      </c>
      <c r="G34" s="1550">
        <v>1455</v>
      </c>
      <c r="H34" s="1569">
        <v>916</v>
      </c>
      <c r="I34" s="1570">
        <v>913</v>
      </c>
      <c r="J34" s="1571">
        <v>930</v>
      </c>
      <c r="K34" s="1550">
        <v>974</v>
      </c>
      <c r="L34" s="1569">
        <v>77</v>
      </c>
      <c r="M34" s="1876">
        <v>133</v>
      </c>
      <c r="N34" s="1876">
        <v>124</v>
      </c>
      <c r="O34" s="1877">
        <v>104</v>
      </c>
      <c r="P34" s="1569"/>
      <c r="Q34" s="1876"/>
      <c r="R34" s="1876"/>
      <c r="S34" s="1877"/>
    </row>
    <row r="35" spans="1:19" ht="15.75" x14ac:dyDescent="0.25">
      <c r="A35" s="537" t="s">
        <v>76</v>
      </c>
      <c r="B35" s="633" t="s">
        <v>77</v>
      </c>
      <c r="C35" s="1216" t="s">
        <v>267</v>
      </c>
      <c r="D35" s="1569">
        <v>377</v>
      </c>
      <c r="E35" s="1570">
        <v>327</v>
      </c>
      <c r="F35" s="1566">
        <v>295</v>
      </c>
      <c r="G35" s="1550">
        <v>300</v>
      </c>
      <c r="H35" s="1569">
        <v>148</v>
      </c>
      <c r="I35" s="1570">
        <v>112</v>
      </c>
      <c r="J35" s="1571">
        <v>120</v>
      </c>
      <c r="K35" s="1550">
        <v>120</v>
      </c>
      <c r="L35" s="1569">
        <v>70</v>
      </c>
      <c r="M35" s="1876">
        <v>74</v>
      </c>
      <c r="N35" s="1876">
        <v>62</v>
      </c>
      <c r="O35" s="1877">
        <v>58</v>
      </c>
      <c r="P35" s="1569"/>
      <c r="Q35" s="1876"/>
      <c r="R35" s="1876"/>
      <c r="S35" s="1877"/>
    </row>
    <row r="36" spans="1:19" ht="15.75" x14ac:dyDescent="0.25">
      <c r="A36" s="537" t="s">
        <v>78</v>
      </c>
      <c r="B36" s="633" t="s">
        <v>79</v>
      </c>
      <c r="C36" s="1216" t="s">
        <v>268</v>
      </c>
      <c r="D36" s="1569">
        <v>527</v>
      </c>
      <c r="E36" s="1570">
        <v>499</v>
      </c>
      <c r="F36" s="1566">
        <v>494</v>
      </c>
      <c r="G36" s="1550">
        <v>455</v>
      </c>
      <c r="H36" s="1569">
        <v>191</v>
      </c>
      <c r="I36" s="1570">
        <v>182</v>
      </c>
      <c r="J36" s="1571">
        <v>186</v>
      </c>
      <c r="K36" s="1550">
        <v>130</v>
      </c>
      <c r="L36" s="1569">
        <v>94</v>
      </c>
      <c r="M36" s="1876">
        <v>104</v>
      </c>
      <c r="N36" s="1876">
        <v>89</v>
      </c>
      <c r="O36" s="1877">
        <v>66</v>
      </c>
      <c r="P36" s="1569"/>
      <c r="Q36" s="1876"/>
      <c r="R36" s="1876"/>
      <c r="S36" s="1877"/>
    </row>
    <row r="37" spans="1:19" ht="15.75" x14ac:dyDescent="0.25">
      <c r="A37" s="537" t="s">
        <v>80</v>
      </c>
      <c r="B37" s="633" t="s">
        <v>81</v>
      </c>
      <c r="C37" s="1216" t="s">
        <v>266</v>
      </c>
      <c r="D37" s="1569">
        <v>315</v>
      </c>
      <c r="E37" s="1570">
        <v>296</v>
      </c>
      <c r="F37" s="1566">
        <v>308</v>
      </c>
      <c r="G37" s="1550">
        <v>272</v>
      </c>
      <c r="H37" s="1569">
        <v>128</v>
      </c>
      <c r="I37" s="1570">
        <v>139</v>
      </c>
      <c r="J37" s="1571">
        <v>130</v>
      </c>
      <c r="K37" s="1550">
        <v>119</v>
      </c>
      <c r="L37" s="1569">
        <v>68</v>
      </c>
      <c r="M37" s="1876">
        <v>75</v>
      </c>
      <c r="N37" s="1876">
        <v>59</v>
      </c>
      <c r="O37" s="1877">
        <v>52</v>
      </c>
      <c r="P37" s="1569"/>
      <c r="Q37" s="1876"/>
      <c r="R37" s="1876"/>
      <c r="S37" s="1877"/>
    </row>
    <row r="38" spans="1:19" ht="15.75" x14ac:dyDescent="0.25">
      <c r="A38" s="537" t="s">
        <v>84</v>
      </c>
      <c r="B38" s="633" t="s">
        <v>85</v>
      </c>
      <c r="C38" s="1216" t="s">
        <v>265</v>
      </c>
      <c r="D38" s="1569">
        <v>1830</v>
      </c>
      <c r="E38" s="1570">
        <v>1548</v>
      </c>
      <c r="F38" s="1566">
        <v>1573</v>
      </c>
      <c r="G38" s="1550">
        <v>1380</v>
      </c>
      <c r="H38" s="1569">
        <v>808</v>
      </c>
      <c r="I38" s="1570">
        <v>781</v>
      </c>
      <c r="J38" s="1571">
        <v>784</v>
      </c>
      <c r="K38" s="1550">
        <v>760</v>
      </c>
      <c r="L38" s="1569">
        <v>375</v>
      </c>
      <c r="M38" s="1876">
        <v>422</v>
      </c>
      <c r="N38" s="1876">
        <v>263</v>
      </c>
      <c r="O38" s="1877">
        <v>222</v>
      </c>
      <c r="P38" s="1569"/>
      <c r="Q38" s="1876"/>
      <c r="R38" s="1876"/>
      <c r="S38" s="1877"/>
    </row>
    <row r="39" spans="1:19" ht="15.75" x14ac:dyDescent="0.25">
      <c r="A39" s="537" t="s">
        <v>86</v>
      </c>
      <c r="B39" s="633" t="s">
        <v>87</v>
      </c>
      <c r="C39" s="1216" t="s">
        <v>267</v>
      </c>
      <c r="D39" s="1569">
        <v>733</v>
      </c>
      <c r="E39" s="1570">
        <v>596</v>
      </c>
      <c r="F39" s="1566">
        <v>562</v>
      </c>
      <c r="G39" s="1550">
        <v>483</v>
      </c>
      <c r="H39" s="1569">
        <v>228</v>
      </c>
      <c r="I39" s="1570">
        <v>195</v>
      </c>
      <c r="J39" s="1571">
        <v>169</v>
      </c>
      <c r="K39" s="1550">
        <v>152</v>
      </c>
      <c r="L39" s="1569">
        <v>89</v>
      </c>
      <c r="M39" s="1876">
        <v>101</v>
      </c>
      <c r="N39" s="1876">
        <v>77</v>
      </c>
      <c r="O39" s="1877">
        <v>57</v>
      </c>
      <c r="P39" s="1569"/>
      <c r="Q39" s="1876"/>
      <c r="R39" s="1876"/>
      <c r="S39" s="1877"/>
    </row>
    <row r="40" spans="1:19" ht="15.75" x14ac:dyDescent="0.25">
      <c r="A40" s="537" t="s">
        <v>92</v>
      </c>
      <c r="B40" s="633" t="s">
        <v>93</v>
      </c>
      <c r="C40" s="1216" t="s">
        <v>268</v>
      </c>
      <c r="D40" s="1569">
        <v>683</v>
      </c>
      <c r="E40" s="1570">
        <v>650</v>
      </c>
      <c r="F40" s="1566">
        <v>672</v>
      </c>
      <c r="G40" s="1550">
        <v>624</v>
      </c>
      <c r="H40" s="1569">
        <v>262</v>
      </c>
      <c r="I40" s="1570">
        <v>324</v>
      </c>
      <c r="J40" s="1571">
        <v>310</v>
      </c>
      <c r="K40" s="1550">
        <v>289</v>
      </c>
      <c r="L40" s="1569">
        <v>146</v>
      </c>
      <c r="M40" s="1876">
        <v>176</v>
      </c>
      <c r="N40" s="1876">
        <v>168</v>
      </c>
      <c r="O40" s="1877">
        <v>112</v>
      </c>
      <c r="P40" s="1569"/>
      <c r="Q40" s="1876"/>
      <c r="R40" s="1876"/>
      <c r="S40" s="1877"/>
    </row>
    <row r="41" spans="1:19" ht="15.75" x14ac:dyDescent="0.25">
      <c r="A41" s="537" t="s">
        <v>94</v>
      </c>
      <c r="B41" s="633" t="s">
        <v>95</v>
      </c>
      <c r="C41" s="1216" t="s">
        <v>264</v>
      </c>
      <c r="D41" s="1569">
        <v>651</v>
      </c>
      <c r="E41" s="1570">
        <v>575</v>
      </c>
      <c r="F41" s="1566">
        <v>586</v>
      </c>
      <c r="G41" s="1550">
        <v>546</v>
      </c>
      <c r="H41" s="1569">
        <v>327</v>
      </c>
      <c r="I41" s="1570">
        <v>325</v>
      </c>
      <c r="J41" s="1571">
        <v>296</v>
      </c>
      <c r="K41" s="1550">
        <v>324</v>
      </c>
      <c r="L41" s="1569">
        <v>130</v>
      </c>
      <c r="M41" s="1876">
        <v>151</v>
      </c>
      <c r="N41" s="1876">
        <v>161</v>
      </c>
      <c r="O41" s="1877">
        <v>127</v>
      </c>
      <c r="P41" s="1569"/>
      <c r="Q41" s="1876"/>
      <c r="R41" s="1876"/>
      <c r="S41" s="1877"/>
    </row>
    <row r="42" spans="1:19" ht="15.75" x14ac:dyDescent="0.25">
      <c r="A42" s="537" t="s">
        <v>96</v>
      </c>
      <c r="B42" s="633" t="s">
        <v>97</v>
      </c>
      <c r="C42" s="1216" t="s">
        <v>266</v>
      </c>
      <c r="D42" s="1569">
        <v>280</v>
      </c>
      <c r="E42" s="1570">
        <v>248</v>
      </c>
      <c r="F42" s="1566">
        <v>258</v>
      </c>
      <c r="G42" s="1550">
        <v>238</v>
      </c>
      <c r="H42" s="1569">
        <v>83</v>
      </c>
      <c r="I42" s="1570">
        <v>88</v>
      </c>
      <c r="J42" s="1571">
        <v>86</v>
      </c>
      <c r="K42" s="1550">
        <v>87</v>
      </c>
      <c r="L42" s="1569">
        <v>47</v>
      </c>
      <c r="M42" s="1876">
        <v>28</v>
      </c>
      <c r="N42" s="1876">
        <v>24</v>
      </c>
      <c r="O42" s="1877">
        <v>23</v>
      </c>
      <c r="P42" s="1569"/>
      <c r="Q42" s="1876"/>
      <c r="R42" s="1876"/>
      <c r="S42" s="1877"/>
    </row>
    <row r="43" spans="1:19" ht="15.75" x14ac:dyDescent="0.25">
      <c r="A43" s="537" t="s">
        <v>98</v>
      </c>
      <c r="B43" s="633" t="s">
        <v>99</v>
      </c>
      <c r="C43" s="1216" t="s">
        <v>268</v>
      </c>
      <c r="D43" s="1569">
        <v>1130</v>
      </c>
      <c r="E43" s="1570">
        <v>1059</v>
      </c>
      <c r="F43" s="1566">
        <v>1068</v>
      </c>
      <c r="G43" s="1550">
        <v>970</v>
      </c>
      <c r="H43" s="1569">
        <v>470</v>
      </c>
      <c r="I43" s="1570">
        <v>455</v>
      </c>
      <c r="J43" s="1571">
        <v>424</v>
      </c>
      <c r="K43" s="1550">
        <v>420</v>
      </c>
      <c r="L43" s="1569">
        <v>163</v>
      </c>
      <c r="M43" s="1876">
        <v>169</v>
      </c>
      <c r="N43" s="1876">
        <v>126</v>
      </c>
      <c r="O43" s="1877">
        <v>99</v>
      </c>
      <c r="P43" s="1569"/>
      <c r="Q43" s="1876"/>
      <c r="R43" s="1876"/>
      <c r="S43" s="1877"/>
    </row>
    <row r="44" spans="1:19" ht="15.75" x14ac:dyDescent="0.25">
      <c r="A44" s="537" t="s">
        <v>100</v>
      </c>
      <c r="B44" s="633" t="s">
        <v>101</v>
      </c>
      <c r="C44" s="1216" t="s">
        <v>267</v>
      </c>
      <c r="D44" s="1569">
        <v>325</v>
      </c>
      <c r="E44" s="1570">
        <v>255</v>
      </c>
      <c r="F44" s="1566">
        <v>282</v>
      </c>
      <c r="G44" s="1550">
        <v>277</v>
      </c>
      <c r="H44" s="1569">
        <v>127</v>
      </c>
      <c r="I44" s="1570">
        <v>145</v>
      </c>
      <c r="J44" s="1571">
        <v>174</v>
      </c>
      <c r="K44" s="1550">
        <v>135</v>
      </c>
      <c r="L44" s="1569">
        <v>57</v>
      </c>
      <c r="M44" s="1876">
        <v>82</v>
      </c>
      <c r="N44" s="1876">
        <v>77</v>
      </c>
      <c r="O44" s="1877">
        <v>53</v>
      </c>
      <c r="P44" s="1569"/>
      <c r="Q44" s="1876"/>
      <c r="R44" s="1876"/>
      <c r="S44" s="1877"/>
    </row>
    <row r="45" spans="1:19" ht="15.75" x14ac:dyDescent="0.25">
      <c r="A45" s="537" t="s">
        <v>102</v>
      </c>
      <c r="B45" s="633" t="s">
        <v>282</v>
      </c>
      <c r="C45" s="1216" t="s">
        <v>264</v>
      </c>
      <c r="D45" s="1569">
        <v>948</v>
      </c>
      <c r="E45" s="1570">
        <v>866</v>
      </c>
      <c r="F45" s="1566">
        <v>906</v>
      </c>
      <c r="G45" s="1550">
        <v>860</v>
      </c>
      <c r="H45" s="1569">
        <v>485</v>
      </c>
      <c r="I45" s="1570">
        <v>521</v>
      </c>
      <c r="J45" s="1571">
        <v>511</v>
      </c>
      <c r="K45" s="1550">
        <v>498</v>
      </c>
      <c r="L45" s="1569">
        <v>110</v>
      </c>
      <c r="M45" s="1876">
        <v>123</v>
      </c>
      <c r="N45" s="1876">
        <v>126</v>
      </c>
      <c r="O45" s="1877">
        <v>102</v>
      </c>
      <c r="P45" s="1569"/>
      <c r="Q45" s="1876"/>
      <c r="R45" s="1876"/>
      <c r="S45" s="1877"/>
    </row>
    <row r="46" spans="1:19" ht="15.75" x14ac:dyDescent="0.25">
      <c r="A46" s="537" t="s">
        <v>104</v>
      </c>
      <c r="B46" s="633" t="s">
        <v>105</v>
      </c>
      <c r="C46" s="1216" t="s">
        <v>265</v>
      </c>
      <c r="D46" s="1569">
        <v>2381</v>
      </c>
      <c r="E46" s="1570">
        <v>2229</v>
      </c>
      <c r="F46" s="1566">
        <v>2209</v>
      </c>
      <c r="G46" s="1550">
        <v>1995</v>
      </c>
      <c r="H46" s="1569">
        <v>1037</v>
      </c>
      <c r="I46" s="1570">
        <v>1086</v>
      </c>
      <c r="J46" s="1571">
        <v>966</v>
      </c>
      <c r="K46" s="1550">
        <v>908</v>
      </c>
      <c r="L46" s="1569">
        <v>484</v>
      </c>
      <c r="M46" s="1876">
        <v>447</v>
      </c>
      <c r="N46" s="1876">
        <v>407</v>
      </c>
      <c r="O46" s="1877">
        <v>310</v>
      </c>
      <c r="P46" s="1569"/>
      <c r="Q46" s="1876"/>
      <c r="R46" s="1876"/>
      <c r="S46" s="1877"/>
    </row>
    <row r="47" spans="1:19" ht="15.75" x14ac:dyDescent="0.25">
      <c r="A47" s="537" t="s">
        <v>108</v>
      </c>
      <c r="B47" s="633" t="s">
        <v>109</v>
      </c>
      <c r="C47" s="1216" t="s">
        <v>266</v>
      </c>
      <c r="D47" s="1569">
        <v>783</v>
      </c>
      <c r="E47" s="1570">
        <v>660</v>
      </c>
      <c r="F47" s="1566">
        <v>659</v>
      </c>
      <c r="G47" s="1550">
        <v>610</v>
      </c>
      <c r="H47" s="1569">
        <v>313</v>
      </c>
      <c r="I47" s="1570">
        <v>315</v>
      </c>
      <c r="J47" s="1571">
        <v>322</v>
      </c>
      <c r="K47" s="1550">
        <v>307</v>
      </c>
      <c r="L47" s="1569">
        <v>127</v>
      </c>
      <c r="M47" s="1876">
        <v>98</v>
      </c>
      <c r="N47" s="1876">
        <v>81</v>
      </c>
      <c r="O47" s="1877">
        <v>62</v>
      </c>
      <c r="P47" s="1569"/>
      <c r="Q47" s="1876"/>
      <c r="R47" s="1876"/>
      <c r="S47" s="1877"/>
    </row>
    <row r="48" spans="1:19" ht="15.75" x14ac:dyDescent="0.25">
      <c r="A48" s="537" t="s">
        <v>110</v>
      </c>
      <c r="B48" s="633" t="s">
        <v>111</v>
      </c>
      <c r="C48" s="1216" t="s">
        <v>266</v>
      </c>
      <c r="D48" s="1569">
        <v>3983</v>
      </c>
      <c r="E48" s="1570">
        <v>3456</v>
      </c>
      <c r="F48" s="1566">
        <v>3619</v>
      </c>
      <c r="G48" s="1550">
        <v>3206</v>
      </c>
      <c r="H48" s="1569">
        <v>2239</v>
      </c>
      <c r="I48" s="1570">
        <v>1956</v>
      </c>
      <c r="J48" s="1571">
        <v>1184</v>
      </c>
      <c r="K48" s="1550">
        <v>1234</v>
      </c>
      <c r="L48" s="1569">
        <v>309</v>
      </c>
      <c r="M48" s="1876">
        <v>317</v>
      </c>
      <c r="N48" s="1876">
        <v>335</v>
      </c>
      <c r="O48" s="1877">
        <v>306</v>
      </c>
      <c r="P48" s="1569"/>
      <c r="Q48" s="1876"/>
      <c r="R48" s="1876"/>
      <c r="S48" s="1877"/>
    </row>
    <row r="49" spans="1:19" ht="15.75" x14ac:dyDescent="0.25">
      <c r="A49" s="537" t="s">
        <v>112</v>
      </c>
      <c r="B49" s="633" t="s">
        <v>300</v>
      </c>
      <c r="C49" s="1216" t="s">
        <v>265</v>
      </c>
      <c r="D49" s="1569">
        <v>3798</v>
      </c>
      <c r="E49" s="1570">
        <v>3460</v>
      </c>
      <c r="F49" s="1566">
        <v>3483</v>
      </c>
      <c r="G49" s="1550">
        <v>3355</v>
      </c>
      <c r="H49" s="1569">
        <v>1630</v>
      </c>
      <c r="I49" s="1570">
        <v>1705</v>
      </c>
      <c r="J49" s="1571">
        <v>1553</v>
      </c>
      <c r="K49" s="1550">
        <v>1714</v>
      </c>
      <c r="L49" s="1569">
        <v>707</v>
      </c>
      <c r="M49" s="1876">
        <v>699</v>
      </c>
      <c r="N49" s="1876">
        <v>640</v>
      </c>
      <c r="O49" s="1877">
        <v>464</v>
      </c>
      <c r="P49" s="1569"/>
      <c r="Q49" s="1876"/>
      <c r="R49" s="1876"/>
      <c r="S49" s="1877"/>
    </row>
    <row r="50" spans="1:19" ht="15.75" x14ac:dyDescent="0.25">
      <c r="A50" s="537" t="s">
        <v>114</v>
      </c>
      <c r="B50" s="633" t="s">
        <v>115</v>
      </c>
      <c r="C50" s="1216" t="s">
        <v>265</v>
      </c>
      <c r="D50" s="1569">
        <v>50</v>
      </c>
      <c r="E50" s="1570">
        <v>51</v>
      </c>
      <c r="F50" s="1566">
        <v>50</v>
      </c>
      <c r="G50" s="1550">
        <v>48</v>
      </c>
      <c r="H50" s="1569">
        <v>20</v>
      </c>
      <c r="I50" s="1570">
        <v>12</v>
      </c>
      <c r="J50" s="1571">
        <v>26</v>
      </c>
      <c r="K50" s="1550">
        <v>12</v>
      </c>
      <c r="L50" s="1569">
        <v>4</v>
      </c>
      <c r="M50" s="1876">
        <v>7</v>
      </c>
      <c r="N50" s="1876">
        <v>5</v>
      </c>
      <c r="O50" s="1877">
        <v>1</v>
      </c>
      <c r="P50" s="1569"/>
      <c r="Q50" s="1876"/>
      <c r="R50" s="1876"/>
      <c r="S50" s="1877"/>
    </row>
    <row r="51" spans="1:19" ht="15.75" x14ac:dyDescent="0.25">
      <c r="A51" s="537" t="s">
        <v>118</v>
      </c>
      <c r="B51" s="633" t="s">
        <v>270</v>
      </c>
      <c r="C51" s="1216" t="s">
        <v>264</v>
      </c>
      <c r="D51" s="1569">
        <v>774</v>
      </c>
      <c r="E51" s="1570">
        <v>644</v>
      </c>
      <c r="F51" s="1566">
        <v>609</v>
      </c>
      <c r="G51" s="1550">
        <v>596</v>
      </c>
      <c r="H51" s="1569">
        <v>275</v>
      </c>
      <c r="I51" s="1570">
        <v>278</v>
      </c>
      <c r="J51" s="1571">
        <v>327</v>
      </c>
      <c r="K51" s="1550">
        <v>314</v>
      </c>
      <c r="L51" s="1569">
        <v>67</v>
      </c>
      <c r="M51" s="1876">
        <v>78</v>
      </c>
      <c r="N51" s="1876">
        <v>59</v>
      </c>
      <c r="O51" s="1877">
        <v>64</v>
      </c>
      <c r="P51" s="1569"/>
      <c r="Q51" s="1876"/>
      <c r="R51" s="1876"/>
      <c r="S51" s="1877"/>
    </row>
    <row r="52" spans="1:19" ht="15.75" x14ac:dyDescent="0.25">
      <c r="A52" s="537" t="s">
        <v>120</v>
      </c>
      <c r="B52" s="633" t="s">
        <v>121</v>
      </c>
      <c r="C52" s="1216" t="s">
        <v>264</v>
      </c>
      <c r="D52" s="1569">
        <v>622</v>
      </c>
      <c r="E52" s="1570">
        <v>544</v>
      </c>
      <c r="F52" s="1566">
        <v>553</v>
      </c>
      <c r="G52" s="1550">
        <v>471</v>
      </c>
      <c r="H52" s="1569">
        <v>322</v>
      </c>
      <c r="I52" s="1570">
        <v>292</v>
      </c>
      <c r="J52" s="1571">
        <v>273</v>
      </c>
      <c r="K52" s="1550">
        <v>266</v>
      </c>
      <c r="L52" s="1569">
        <v>121</v>
      </c>
      <c r="M52" s="1876">
        <v>109</v>
      </c>
      <c r="N52" s="1876">
        <v>83</v>
      </c>
      <c r="O52" s="1877">
        <v>76</v>
      </c>
      <c r="P52" s="1569"/>
      <c r="Q52" s="1876"/>
      <c r="R52" s="1876"/>
      <c r="S52" s="1877"/>
    </row>
    <row r="53" spans="1:19" ht="15.75" x14ac:dyDescent="0.25">
      <c r="A53" s="537" t="s">
        <v>122</v>
      </c>
      <c r="B53" s="633" t="s">
        <v>287</v>
      </c>
      <c r="C53" s="1216" t="s">
        <v>266</v>
      </c>
      <c r="D53" s="1569">
        <v>258</v>
      </c>
      <c r="E53" s="1570">
        <v>230</v>
      </c>
      <c r="F53" s="1566">
        <v>247</v>
      </c>
      <c r="G53" s="1550">
        <v>230</v>
      </c>
      <c r="H53" s="1569">
        <v>68</v>
      </c>
      <c r="I53" s="1570">
        <v>78</v>
      </c>
      <c r="J53" s="1571">
        <v>90</v>
      </c>
      <c r="K53" s="1550">
        <v>80</v>
      </c>
      <c r="L53" s="1569">
        <v>56</v>
      </c>
      <c r="M53" s="1876">
        <v>65</v>
      </c>
      <c r="N53" s="1876">
        <v>64</v>
      </c>
      <c r="O53" s="1877">
        <v>34</v>
      </c>
      <c r="P53" s="1569"/>
      <c r="Q53" s="1876"/>
      <c r="R53" s="1876"/>
      <c r="S53" s="1877"/>
    </row>
    <row r="54" spans="1:19" ht="15.75" x14ac:dyDescent="0.25">
      <c r="A54" s="537" t="s">
        <v>124</v>
      </c>
      <c r="B54" s="633" t="s">
        <v>125</v>
      </c>
      <c r="C54" s="1216" t="s">
        <v>267</v>
      </c>
      <c r="D54" s="1569">
        <v>383</v>
      </c>
      <c r="E54" s="1570">
        <v>353</v>
      </c>
      <c r="F54" s="1566">
        <v>351</v>
      </c>
      <c r="G54" s="1550">
        <v>278</v>
      </c>
      <c r="H54" s="1569">
        <v>150</v>
      </c>
      <c r="I54" s="1570">
        <v>163</v>
      </c>
      <c r="J54" s="1571">
        <v>113</v>
      </c>
      <c r="K54" s="1550">
        <v>127</v>
      </c>
      <c r="L54" s="1569">
        <v>129</v>
      </c>
      <c r="M54" s="1876">
        <v>131</v>
      </c>
      <c r="N54" s="1876">
        <v>119</v>
      </c>
      <c r="O54" s="1877">
        <v>53</v>
      </c>
      <c r="P54" s="1569"/>
      <c r="Q54" s="1876"/>
      <c r="R54" s="1876"/>
      <c r="S54" s="1877"/>
    </row>
    <row r="55" spans="1:19" ht="15.75" x14ac:dyDescent="0.25">
      <c r="A55" s="537" t="s">
        <v>126</v>
      </c>
      <c r="B55" s="633" t="s">
        <v>127</v>
      </c>
      <c r="C55" s="1216" t="s">
        <v>266</v>
      </c>
      <c r="D55" s="1569">
        <v>282</v>
      </c>
      <c r="E55" s="1570">
        <v>270</v>
      </c>
      <c r="F55" s="1566">
        <v>252</v>
      </c>
      <c r="G55" s="1550">
        <v>233</v>
      </c>
      <c r="H55" s="1569">
        <v>104</v>
      </c>
      <c r="I55" s="1570">
        <v>104</v>
      </c>
      <c r="J55" s="1571">
        <v>90</v>
      </c>
      <c r="K55" s="1550">
        <v>77</v>
      </c>
      <c r="L55" s="1569">
        <v>64</v>
      </c>
      <c r="M55" s="1876">
        <v>43</v>
      </c>
      <c r="N55" s="1876">
        <v>67</v>
      </c>
      <c r="O55" s="1877">
        <v>26</v>
      </c>
      <c r="P55" s="1569"/>
      <c r="Q55" s="1876"/>
      <c r="R55" s="1876"/>
      <c r="S55" s="1877"/>
    </row>
    <row r="56" spans="1:19" ht="15.75" x14ac:dyDescent="0.25">
      <c r="A56" s="537" t="s">
        <v>128</v>
      </c>
      <c r="B56" s="633" t="s">
        <v>129</v>
      </c>
      <c r="C56" s="1216" t="s">
        <v>266</v>
      </c>
      <c r="D56" s="1569">
        <v>477</v>
      </c>
      <c r="E56" s="1570">
        <v>411</v>
      </c>
      <c r="F56" s="1566">
        <v>429</v>
      </c>
      <c r="G56" s="1550">
        <v>402</v>
      </c>
      <c r="H56" s="1569">
        <v>177</v>
      </c>
      <c r="I56" s="1570">
        <v>181</v>
      </c>
      <c r="J56" s="1571">
        <v>210</v>
      </c>
      <c r="K56" s="1550">
        <v>199</v>
      </c>
      <c r="L56" s="1569">
        <v>138</v>
      </c>
      <c r="M56" s="1876">
        <v>155</v>
      </c>
      <c r="N56" s="1876">
        <v>138</v>
      </c>
      <c r="O56" s="1877">
        <v>112</v>
      </c>
      <c r="P56" s="1569"/>
      <c r="Q56" s="1876"/>
      <c r="R56" s="1876"/>
      <c r="S56" s="1877"/>
    </row>
    <row r="57" spans="1:19" ht="15.75" x14ac:dyDescent="0.25">
      <c r="A57" s="537" t="s">
        <v>130</v>
      </c>
      <c r="B57" s="633" t="s">
        <v>131</v>
      </c>
      <c r="C57" s="1216" t="s">
        <v>268</v>
      </c>
      <c r="D57" s="1569">
        <v>2312</v>
      </c>
      <c r="E57" s="1570">
        <v>2170</v>
      </c>
      <c r="F57" s="1566">
        <v>2323</v>
      </c>
      <c r="G57" s="1550">
        <v>2209</v>
      </c>
      <c r="H57" s="1569">
        <v>1170</v>
      </c>
      <c r="I57" s="1570">
        <v>1296</v>
      </c>
      <c r="J57" s="1571">
        <v>1235</v>
      </c>
      <c r="K57" s="1550">
        <v>1290</v>
      </c>
      <c r="L57" s="1569">
        <v>641</v>
      </c>
      <c r="M57" s="1876">
        <v>767</v>
      </c>
      <c r="N57" s="1876">
        <v>595</v>
      </c>
      <c r="O57" s="1877">
        <v>627</v>
      </c>
      <c r="P57" s="1569"/>
      <c r="Q57" s="1876"/>
      <c r="R57" s="1876"/>
      <c r="S57" s="1877"/>
    </row>
    <row r="58" spans="1:19" ht="15.75" x14ac:dyDescent="0.25">
      <c r="A58" s="537" t="s">
        <v>132</v>
      </c>
      <c r="B58" s="633" t="s">
        <v>133</v>
      </c>
      <c r="C58" s="1216" t="s">
        <v>267</v>
      </c>
      <c r="D58" s="1569">
        <v>282</v>
      </c>
      <c r="E58" s="1570">
        <v>273</v>
      </c>
      <c r="F58" s="1566">
        <v>245</v>
      </c>
      <c r="G58" s="1550">
        <v>269</v>
      </c>
      <c r="H58" s="1569">
        <v>131</v>
      </c>
      <c r="I58" s="1570">
        <v>116</v>
      </c>
      <c r="J58" s="1571">
        <v>118</v>
      </c>
      <c r="K58" s="1550">
        <v>132</v>
      </c>
      <c r="L58" s="1569">
        <v>13</v>
      </c>
      <c r="M58" s="1876">
        <v>8</v>
      </c>
      <c r="N58" s="1876">
        <v>15</v>
      </c>
      <c r="O58" s="1877">
        <v>10</v>
      </c>
      <c r="P58" s="1569"/>
      <c r="Q58" s="1876"/>
      <c r="R58" s="1876"/>
      <c r="S58" s="1877"/>
    </row>
    <row r="59" spans="1:19" ht="15.75" x14ac:dyDescent="0.25">
      <c r="A59" s="537" t="s">
        <v>134</v>
      </c>
      <c r="B59" s="633" t="s">
        <v>135</v>
      </c>
      <c r="C59" s="1216" t="s">
        <v>267</v>
      </c>
      <c r="D59" s="1569">
        <v>934</v>
      </c>
      <c r="E59" s="1570">
        <v>878</v>
      </c>
      <c r="F59" s="1566">
        <v>912</v>
      </c>
      <c r="G59" s="1550">
        <v>820</v>
      </c>
      <c r="H59" s="1569">
        <v>466</v>
      </c>
      <c r="I59" s="1570">
        <v>458</v>
      </c>
      <c r="J59" s="1571">
        <v>411</v>
      </c>
      <c r="K59" s="1550">
        <v>394</v>
      </c>
      <c r="L59" s="1569">
        <v>214</v>
      </c>
      <c r="M59" s="1876">
        <v>273</v>
      </c>
      <c r="N59" s="1876">
        <v>213</v>
      </c>
      <c r="O59" s="1877">
        <v>108</v>
      </c>
      <c r="P59" s="1569"/>
      <c r="Q59" s="1876"/>
      <c r="R59" s="1876"/>
      <c r="S59" s="1877"/>
    </row>
    <row r="60" spans="1:19" ht="15.75" x14ac:dyDescent="0.25">
      <c r="A60" s="537" t="s">
        <v>136</v>
      </c>
      <c r="B60" s="633" t="s">
        <v>137</v>
      </c>
      <c r="C60" s="1216" t="s">
        <v>266</v>
      </c>
      <c r="D60" s="1569">
        <v>760</v>
      </c>
      <c r="E60" s="1570">
        <v>702</v>
      </c>
      <c r="F60" s="1566">
        <v>732</v>
      </c>
      <c r="G60" s="1550">
        <v>675</v>
      </c>
      <c r="H60" s="1569">
        <v>380</v>
      </c>
      <c r="I60" s="1570">
        <v>435</v>
      </c>
      <c r="J60" s="1571">
        <v>393</v>
      </c>
      <c r="K60" s="1550">
        <v>388</v>
      </c>
      <c r="L60" s="1569">
        <v>217</v>
      </c>
      <c r="M60" s="1876">
        <v>213</v>
      </c>
      <c r="N60" s="1876">
        <v>233</v>
      </c>
      <c r="O60" s="1877">
        <v>128</v>
      </c>
      <c r="P60" s="1569"/>
      <c r="Q60" s="1876"/>
      <c r="R60" s="1876"/>
      <c r="S60" s="1877"/>
    </row>
    <row r="61" spans="1:19" ht="15.75" x14ac:dyDescent="0.25">
      <c r="A61" s="537" t="s">
        <v>140</v>
      </c>
      <c r="B61" s="633" t="s">
        <v>141</v>
      </c>
      <c r="C61" s="1216" t="s">
        <v>267</v>
      </c>
      <c r="D61" s="1569">
        <v>264</v>
      </c>
      <c r="E61" s="1570">
        <v>240</v>
      </c>
      <c r="F61" s="1566">
        <v>253</v>
      </c>
      <c r="G61" s="1550">
        <v>241</v>
      </c>
      <c r="H61" s="1569">
        <v>101</v>
      </c>
      <c r="I61" s="1570">
        <v>110</v>
      </c>
      <c r="J61" s="1571">
        <v>101</v>
      </c>
      <c r="K61" s="1550">
        <v>97</v>
      </c>
      <c r="L61" s="1569">
        <v>50</v>
      </c>
      <c r="M61" s="1876">
        <v>69</v>
      </c>
      <c r="N61" s="1876">
        <v>39</v>
      </c>
      <c r="O61" s="1877">
        <v>33</v>
      </c>
      <c r="P61" s="1569"/>
      <c r="Q61" s="1876"/>
      <c r="R61" s="1876"/>
      <c r="S61" s="1877"/>
    </row>
    <row r="62" spans="1:19" ht="15.75" x14ac:dyDescent="0.25">
      <c r="A62" s="537" t="s">
        <v>146</v>
      </c>
      <c r="B62" s="633" t="s">
        <v>147</v>
      </c>
      <c r="C62" s="1216" t="s">
        <v>264</v>
      </c>
      <c r="D62" s="1569">
        <v>198</v>
      </c>
      <c r="E62" s="1570">
        <v>200</v>
      </c>
      <c r="F62" s="1566">
        <v>196</v>
      </c>
      <c r="G62" s="1550">
        <v>189</v>
      </c>
      <c r="H62" s="1569">
        <v>97</v>
      </c>
      <c r="I62" s="1570">
        <v>115</v>
      </c>
      <c r="J62" s="1571">
        <v>96</v>
      </c>
      <c r="K62" s="1550">
        <v>88</v>
      </c>
      <c r="L62" s="1569">
        <v>39</v>
      </c>
      <c r="M62" s="1876">
        <v>54</v>
      </c>
      <c r="N62" s="1876">
        <v>41</v>
      </c>
      <c r="O62" s="1877">
        <v>27</v>
      </c>
      <c r="P62" s="1569"/>
      <c r="Q62" s="1876"/>
      <c r="R62" s="1876"/>
      <c r="S62" s="1877"/>
    </row>
    <row r="63" spans="1:19" ht="15.75" x14ac:dyDescent="0.25">
      <c r="A63" s="537" t="s">
        <v>148</v>
      </c>
      <c r="B63" s="633" t="s">
        <v>149</v>
      </c>
      <c r="C63" s="1216" t="s">
        <v>265</v>
      </c>
      <c r="D63" s="1569">
        <v>1718</v>
      </c>
      <c r="E63" s="1570">
        <v>1589</v>
      </c>
      <c r="F63" s="1566">
        <v>1581</v>
      </c>
      <c r="G63" s="1550">
        <v>1474</v>
      </c>
      <c r="H63" s="1569">
        <v>778</v>
      </c>
      <c r="I63" s="1570">
        <v>796</v>
      </c>
      <c r="J63" s="1571">
        <v>802</v>
      </c>
      <c r="K63" s="1550">
        <v>732</v>
      </c>
      <c r="L63" s="1569">
        <v>384</v>
      </c>
      <c r="M63" s="1876">
        <v>371</v>
      </c>
      <c r="N63" s="1876">
        <v>330</v>
      </c>
      <c r="O63" s="1877">
        <v>274</v>
      </c>
      <c r="P63" s="1569"/>
      <c r="Q63" s="1876"/>
      <c r="R63" s="1876"/>
      <c r="S63" s="1877"/>
    </row>
    <row r="64" spans="1:19" ht="15.75" x14ac:dyDescent="0.25">
      <c r="A64" s="537" t="s">
        <v>150</v>
      </c>
      <c r="B64" s="633" t="s">
        <v>151</v>
      </c>
      <c r="C64" s="1216" t="s">
        <v>266</v>
      </c>
      <c r="D64" s="1569">
        <v>327</v>
      </c>
      <c r="E64" s="1570">
        <v>301</v>
      </c>
      <c r="F64" s="1566">
        <v>316</v>
      </c>
      <c r="G64" s="1550">
        <v>293</v>
      </c>
      <c r="H64" s="1569">
        <v>122</v>
      </c>
      <c r="I64" s="1570">
        <v>158</v>
      </c>
      <c r="J64" s="1571">
        <v>106</v>
      </c>
      <c r="K64" s="1550">
        <v>105</v>
      </c>
      <c r="L64" s="1569">
        <v>79</v>
      </c>
      <c r="M64" s="1876">
        <v>104</v>
      </c>
      <c r="N64" s="1876">
        <v>110</v>
      </c>
      <c r="O64" s="1877">
        <v>56</v>
      </c>
      <c r="P64" s="1569"/>
      <c r="Q64" s="1876"/>
      <c r="R64" s="1876"/>
      <c r="S64" s="1877"/>
    </row>
    <row r="65" spans="1:19" ht="15.75" x14ac:dyDescent="0.25">
      <c r="A65" s="537" t="s">
        <v>152</v>
      </c>
      <c r="B65" s="633" t="s">
        <v>153</v>
      </c>
      <c r="C65" s="1216" t="s">
        <v>268</v>
      </c>
      <c r="D65" s="1569">
        <v>1688</v>
      </c>
      <c r="E65" s="1570">
        <v>1559</v>
      </c>
      <c r="F65" s="1566">
        <v>1574</v>
      </c>
      <c r="G65" s="1550">
        <v>1427</v>
      </c>
      <c r="H65" s="1569">
        <v>825</v>
      </c>
      <c r="I65" s="1570">
        <v>791</v>
      </c>
      <c r="J65" s="1571">
        <v>844</v>
      </c>
      <c r="K65" s="1550">
        <v>843</v>
      </c>
      <c r="L65" s="1569">
        <v>320</v>
      </c>
      <c r="M65" s="1876">
        <v>314</v>
      </c>
      <c r="N65" s="1876">
        <v>262</v>
      </c>
      <c r="O65" s="1877">
        <v>196</v>
      </c>
      <c r="P65" s="1569"/>
      <c r="Q65" s="1876"/>
      <c r="R65" s="1876"/>
      <c r="S65" s="1877"/>
    </row>
    <row r="66" spans="1:19" ht="15.75" x14ac:dyDescent="0.25">
      <c r="A66" s="537" t="s">
        <v>154</v>
      </c>
      <c r="B66" s="633" t="s">
        <v>155</v>
      </c>
      <c r="C66" s="1216" t="s">
        <v>265</v>
      </c>
      <c r="D66" s="1569">
        <v>619</v>
      </c>
      <c r="E66" s="1570">
        <v>606</v>
      </c>
      <c r="F66" s="1566">
        <v>616</v>
      </c>
      <c r="G66" s="1550">
        <v>551</v>
      </c>
      <c r="H66" s="1569">
        <v>310</v>
      </c>
      <c r="I66" s="1570">
        <v>303</v>
      </c>
      <c r="J66" s="1571">
        <v>280</v>
      </c>
      <c r="K66" s="1550">
        <v>255</v>
      </c>
      <c r="L66" s="1569">
        <v>177</v>
      </c>
      <c r="M66" s="1876">
        <v>190</v>
      </c>
      <c r="N66" s="1876">
        <v>145</v>
      </c>
      <c r="O66" s="1877">
        <v>87</v>
      </c>
      <c r="P66" s="1569"/>
      <c r="Q66" s="1876"/>
      <c r="R66" s="1876"/>
      <c r="S66" s="1877"/>
    </row>
    <row r="67" spans="1:19" ht="15.75" x14ac:dyDescent="0.25">
      <c r="A67" s="537" t="s">
        <v>156</v>
      </c>
      <c r="B67" s="633" t="s">
        <v>157</v>
      </c>
      <c r="C67" s="1216" t="s">
        <v>266</v>
      </c>
      <c r="D67" s="1569">
        <v>127</v>
      </c>
      <c r="E67" s="1570">
        <v>109</v>
      </c>
      <c r="F67" s="1566">
        <v>116</v>
      </c>
      <c r="G67" s="1550">
        <v>97</v>
      </c>
      <c r="H67" s="1569">
        <v>38</v>
      </c>
      <c r="I67" s="1570">
        <v>50</v>
      </c>
      <c r="J67" s="1571">
        <v>38</v>
      </c>
      <c r="K67" s="1550">
        <v>36</v>
      </c>
      <c r="L67" s="1569">
        <v>33</v>
      </c>
      <c r="M67" s="1876">
        <v>43</v>
      </c>
      <c r="N67" s="1876">
        <v>37</v>
      </c>
      <c r="O67" s="1877">
        <v>28</v>
      </c>
      <c r="P67" s="1569"/>
      <c r="Q67" s="1876"/>
      <c r="R67" s="1876"/>
      <c r="S67" s="1877"/>
    </row>
    <row r="68" spans="1:19" ht="15.75" x14ac:dyDescent="0.25">
      <c r="A68" s="537" t="s">
        <v>162</v>
      </c>
      <c r="B68" s="633" t="s">
        <v>163</v>
      </c>
      <c r="C68" s="1216" t="s">
        <v>264</v>
      </c>
      <c r="D68" s="1569">
        <v>975</v>
      </c>
      <c r="E68" s="1570">
        <v>898</v>
      </c>
      <c r="F68" s="1566">
        <v>913</v>
      </c>
      <c r="G68" s="1550">
        <v>872</v>
      </c>
      <c r="H68" s="1569">
        <v>476</v>
      </c>
      <c r="I68" s="1570">
        <v>483</v>
      </c>
      <c r="J68" s="1571">
        <v>479</v>
      </c>
      <c r="K68" s="1550">
        <v>464</v>
      </c>
      <c r="L68" s="1569">
        <v>291</v>
      </c>
      <c r="M68" s="1876">
        <v>345</v>
      </c>
      <c r="N68" s="1876">
        <v>299</v>
      </c>
      <c r="O68" s="1877">
        <v>241</v>
      </c>
      <c r="P68" s="1569"/>
      <c r="Q68" s="1876"/>
      <c r="R68" s="1876"/>
      <c r="S68" s="1877"/>
    </row>
    <row r="69" spans="1:19" ht="15.75" x14ac:dyDescent="0.25">
      <c r="A69" s="537" t="s">
        <v>164</v>
      </c>
      <c r="B69" s="633" t="s">
        <v>165</v>
      </c>
      <c r="C69" s="1216" t="s">
        <v>266</v>
      </c>
      <c r="D69" s="1569">
        <v>444</v>
      </c>
      <c r="E69" s="1570">
        <v>427</v>
      </c>
      <c r="F69" s="1566">
        <v>460</v>
      </c>
      <c r="G69" s="1550">
        <v>423</v>
      </c>
      <c r="H69" s="1569">
        <v>183</v>
      </c>
      <c r="I69" s="1570">
        <v>188</v>
      </c>
      <c r="J69" s="1571">
        <v>180</v>
      </c>
      <c r="K69" s="1550">
        <v>192</v>
      </c>
      <c r="L69" s="1569">
        <v>179</v>
      </c>
      <c r="M69" s="1876">
        <v>219</v>
      </c>
      <c r="N69" s="1876">
        <v>192</v>
      </c>
      <c r="O69" s="1877">
        <v>139</v>
      </c>
      <c r="P69" s="1569"/>
      <c r="Q69" s="1876"/>
      <c r="R69" s="1876"/>
      <c r="S69" s="1877"/>
    </row>
    <row r="70" spans="1:19" ht="15.75" x14ac:dyDescent="0.25">
      <c r="A70" s="537" t="s">
        <v>168</v>
      </c>
      <c r="B70" s="633" t="s">
        <v>169</v>
      </c>
      <c r="C70" s="1216" t="s">
        <v>266</v>
      </c>
      <c r="D70" s="1569">
        <v>826</v>
      </c>
      <c r="E70" s="1570">
        <v>770</v>
      </c>
      <c r="F70" s="1566">
        <v>789</v>
      </c>
      <c r="G70" s="1550">
        <v>717</v>
      </c>
      <c r="H70" s="1569">
        <v>354</v>
      </c>
      <c r="I70" s="1570">
        <v>362</v>
      </c>
      <c r="J70" s="1571">
        <v>353</v>
      </c>
      <c r="K70" s="1550">
        <v>363</v>
      </c>
      <c r="L70" s="1569">
        <v>179</v>
      </c>
      <c r="M70" s="1876">
        <v>160</v>
      </c>
      <c r="N70" s="1876">
        <v>184</v>
      </c>
      <c r="O70" s="1877">
        <v>107</v>
      </c>
      <c r="P70" s="1569"/>
      <c r="Q70" s="1876"/>
      <c r="R70" s="1876"/>
      <c r="S70" s="1877"/>
    </row>
    <row r="71" spans="1:19" ht="15.75" x14ac:dyDescent="0.25">
      <c r="A71" s="537" t="s">
        <v>170</v>
      </c>
      <c r="B71" s="633" t="s">
        <v>171</v>
      </c>
      <c r="C71" s="1216" t="s">
        <v>267</v>
      </c>
      <c r="D71" s="1569">
        <v>595</v>
      </c>
      <c r="E71" s="1570">
        <v>558</v>
      </c>
      <c r="F71" s="1566">
        <v>529</v>
      </c>
      <c r="G71" s="1550">
        <v>486</v>
      </c>
      <c r="H71" s="1569">
        <v>242</v>
      </c>
      <c r="I71" s="1570">
        <v>276</v>
      </c>
      <c r="J71" s="1571">
        <v>232</v>
      </c>
      <c r="K71" s="1550">
        <v>201</v>
      </c>
      <c r="L71" s="1569">
        <v>72</v>
      </c>
      <c r="M71" s="1876">
        <v>87</v>
      </c>
      <c r="N71" s="1876">
        <v>82</v>
      </c>
      <c r="O71" s="1877">
        <v>67</v>
      </c>
      <c r="P71" s="1569"/>
      <c r="Q71" s="1876"/>
      <c r="R71" s="1876"/>
      <c r="S71" s="1877"/>
    </row>
    <row r="72" spans="1:19" ht="15.75" x14ac:dyDescent="0.25">
      <c r="A72" s="537" t="s">
        <v>172</v>
      </c>
      <c r="B72" s="633" t="s">
        <v>173</v>
      </c>
      <c r="C72" s="1216" t="s">
        <v>267</v>
      </c>
      <c r="D72" s="1569">
        <v>959</v>
      </c>
      <c r="E72" s="1570">
        <v>895</v>
      </c>
      <c r="F72" s="1566">
        <v>869</v>
      </c>
      <c r="G72" s="1550">
        <v>798</v>
      </c>
      <c r="H72" s="1569">
        <v>328</v>
      </c>
      <c r="I72" s="1570">
        <v>318</v>
      </c>
      <c r="J72" s="1571">
        <v>297</v>
      </c>
      <c r="K72" s="1550">
        <v>302</v>
      </c>
      <c r="L72" s="1569">
        <v>106</v>
      </c>
      <c r="M72" s="1876">
        <v>137</v>
      </c>
      <c r="N72" s="1876">
        <v>121</v>
      </c>
      <c r="O72" s="1877">
        <v>78</v>
      </c>
      <c r="P72" s="1569"/>
      <c r="Q72" s="1876"/>
      <c r="R72" s="1876"/>
      <c r="S72" s="1877"/>
    </row>
    <row r="73" spans="1:19" ht="15.75" x14ac:dyDescent="0.25">
      <c r="A73" s="537" t="s">
        <v>174</v>
      </c>
      <c r="B73" s="633" t="s">
        <v>175</v>
      </c>
      <c r="C73" s="1216" t="s">
        <v>268</v>
      </c>
      <c r="D73" s="1569">
        <v>1003</v>
      </c>
      <c r="E73" s="1570">
        <v>946</v>
      </c>
      <c r="F73" s="1566">
        <v>909</v>
      </c>
      <c r="G73" s="1550">
        <v>911</v>
      </c>
      <c r="H73" s="1569">
        <v>483</v>
      </c>
      <c r="I73" s="1570">
        <v>487</v>
      </c>
      <c r="J73" s="1571">
        <v>474</v>
      </c>
      <c r="K73" s="1550">
        <v>452</v>
      </c>
      <c r="L73" s="1569">
        <v>265</v>
      </c>
      <c r="M73" s="1876">
        <v>214</v>
      </c>
      <c r="N73" s="1876">
        <v>202</v>
      </c>
      <c r="O73" s="1877">
        <v>130</v>
      </c>
      <c r="P73" s="1569"/>
      <c r="Q73" s="1876"/>
      <c r="R73" s="1876"/>
      <c r="S73" s="1877"/>
    </row>
    <row r="74" spans="1:19" ht="15.75" x14ac:dyDescent="0.25">
      <c r="A74" s="537" t="s">
        <v>178</v>
      </c>
      <c r="B74" s="633" t="s">
        <v>179</v>
      </c>
      <c r="C74" s="1216" t="s">
        <v>265</v>
      </c>
      <c r="D74" s="1569">
        <v>2618</v>
      </c>
      <c r="E74" s="1570">
        <v>2340</v>
      </c>
      <c r="F74" s="1566">
        <v>2319</v>
      </c>
      <c r="G74" s="1550">
        <v>2110</v>
      </c>
      <c r="H74" s="1569">
        <v>1087</v>
      </c>
      <c r="I74" s="1570">
        <v>1090</v>
      </c>
      <c r="J74" s="1571">
        <v>979</v>
      </c>
      <c r="K74" s="1550">
        <v>924</v>
      </c>
      <c r="L74" s="1569">
        <v>549</v>
      </c>
      <c r="M74" s="1876">
        <v>570</v>
      </c>
      <c r="N74" s="1876">
        <v>470</v>
      </c>
      <c r="O74" s="1877">
        <v>296</v>
      </c>
      <c r="P74" s="1569"/>
      <c r="Q74" s="1876"/>
      <c r="R74" s="1876"/>
      <c r="S74" s="1877"/>
    </row>
    <row r="75" spans="1:19" ht="15.75" x14ac:dyDescent="0.25">
      <c r="A75" s="537" t="s">
        <v>182</v>
      </c>
      <c r="B75" s="633" t="s">
        <v>183</v>
      </c>
      <c r="C75" s="1216" t="s">
        <v>266</v>
      </c>
      <c r="D75" s="1569">
        <v>206</v>
      </c>
      <c r="E75" s="1570">
        <v>190</v>
      </c>
      <c r="F75" s="1566">
        <v>170</v>
      </c>
      <c r="G75" s="1550">
        <v>139</v>
      </c>
      <c r="H75" s="1569">
        <v>74</v>
      </c>
      <c r="I75" s="1570">
        <v>54</v>
      </c>
      <c r="J75" s="1571">
        <v>54</v>
      </c>
      <c r="K75" s="1550">
        <v>57</v>
      </c>
      <c r="L75" s="1569">
        <v>35</v>
      </c>
      <c r="M75" s="1876">
        <v>16</v>
      </c>
      <c r="N75" s="1876">
        <v>29</v>
      </c>
      <c r="O75" s="1877">
        <v>12</v>
      </c>
      <c r="P75" s="1569"/>
      <c r="Q75" s="1876"/>
      <c r="R75" s="1876"/>
      <c r="S75" s="1877"/>
    </row>
    <row r="76" spans="1:19" ht="15.75" x14ac:dyDescent="0.25">
      <c r="A76" s="537" t="s">
        <v>184</v>
      </c>
      <c r="B76" s="633" t="s">
        <v>185</v>
      </c>
      <c r="C76" s="1216" t="s">
        <v>266</v>
      </c>
      <c r="D76" s="1569">
        <v>893</v>
      </c>
      <c r="E76" s="1570">
        <v>834</v>
      </c>
      <c r="F76" s="1566">
        <v>826</v>
      </c>
      <c r="G76" s="1550">
        <v>779</v>
      </c>
      <c r="H76" s="1569">
        <v>447</v>
      </c>
      <c r="I76" s="1570">
        <v>430</v>
      </c>
      <c r="J76" s="1571">
        <v>455</v>
      </c>
      <c r="K76" s="1550">
        <v>303</v>
      </c>
      <c r="L76" s="1569">
        <v>119</v>
      </c>
      <c r="M76" s="1876">
        <v>136</v>
      </c>
      <c r="N76" s="1876">
        <v>188</v>
      </c>
      <c r="O76" s="1877">
        <v>84</v>
      </c>
      <c r="P76" s="1569"/>
      <c r="Q76" s="1876"/>
      <c r="R76" s="1876"/>
      <c r="S76" s="1877"/>
    </row>
    <row r="77" spans="1:19" ht="15.75" x14ac:dyDescent="0.25">
      <c r="A77" s="537" t="s">
        <v>186</v>
      </c>
      <c r="B77" s="633" t="s">
        <v>187</v>
      </c>
      <c r="C77" s="1216" t="s">
        <v>264</v>
      </c>
      <c r="D77" s="1569">
        <v>332</v>
      </c>
      <c r="E77" s="1570">
        <v>273</v>
      </c>
      <c r="F77" s="1566">
        <v>302</v>
      </c>
      <c r="G77" s="1550">
        <v>275</v>
      </c>
      <c r="H77" s="1569">
        <v>126</v>
      </c>
      <c r="I77" s="1570">
        <v>133</v>
      </c>
      <c r="J77" s="1571">
        <v>171</v>
      </c>
      <c r="K77" s="1550">
        <v>153</v>
      </c>
      <c r="L77" s="1569">
        <v>47</v>
      </c>
      <c r="M77" s="1876">
        <v>54</v>
      </c>
      <c r="N77" s="1876">
        <v>47</v>
      </c>
      <c r="O77" s="1877">
        <v>48</v>
      </c>
      <c r="P77" s="1569"/>
      <c r="Q77" s="1876"/>
      <c r="R77" s="1876"/>
      <c r="S77" s="1877"/>
    </row>
    <row r="78" spans="1:19" ht="15.75" x14ac:dyDescent="0.25">
      <c r="A78" s="537" t="s">
        <v>188</v>
      </c>
      <c r="B78" s="633" t="s">
        <v>189</v>
      </c>
      <c r="C78" s="1216" t="s">
        <v>267</v>
      </c>
      <c r="D78" s="1569">
        <v>903</v>
      </c>
      <c r="E78" s="1570">
        <v>853</v>
      </c>
      <c r="F78" s="1566">
        <v>888</v>
      </c>
      <c r="G78" s="1550">
        <v>804</v>
      </c>
      <c r="H78" s="1569">
        <v>449</v>
      </c>
      <c r="I78" s="1570">
        <v>426</v>
      </c>
      <c r="J78" s="1571">
        <v>468</v>
      </c>
      <c r="K78" s="1550">
        <v>377</v>
      </c>
      <c r="L78" s="1569">
        <v>192</v>
      </c>
      <c r="M78" s="1876">
        <v>176</v>
      </c>
      <c r="N78" s="1876">
        <v>173</v>
      </c>
      <c r="O78" s="1877">
        <v>115</v>
      </c>
      <c r="P78" s="1569"/>
      <c r="Q78" s="1876"/>
      <c r="R78" s="1876"/>
      <c r="S78" s="1877"/>
    </row>
    <row r="79" spans="1:19" ht="15.75" x14ac:dyDescent="0.25">
      <c r="A79" s="537" t="s">
        <v>190</v>
      </c>
      <c r="B79" s="633" t="s">
        <v>191</v>
      </c>
      <c r="C79" s="1216" t="s">
        <v>268</v>
      </c>
      <c r="D79" s="1569">
        <v>1684</v>
      </c>
      <c r="E79" s="1570">
        <v>1559</v>
      </c>
      <c r="F79" s="1566">
        <v>1590</v>
      </c>
      <c r="G79" s="1550">
        <v>1406</v>
      </c>
      <c r="H79" s="1569">
        <v>887</v>
      </c>
      <c r="I79" s="1570">
        <v>849</v>
      </c>
      <c r="J79" s="1571">
        <v>820</v>
      </c>
      <c r="K79" s="1550">
        <v>802</v>
      </c>
      <c r="L79" s="1569">
        <v>480</v>
      </c>
      <c r="M79" s="1876">
        <v>450</v>
      </c>
      <c r="N79" s="1876">
        <v>318</v>
      </c>
      <c r="O79" s="1877">
        <v>287</v>
      </c>
      <c r="P79" s="1569"/>
      <c r="Q79" s="1876"/>
      <c r="R79" s="1876"/>
      <c r="S79" s="1877"/>
    </row>
    <row r="80" spans="1:19" ht="15.75" x14ac:dyDescent="0.25">
      <c r="A80" s="537" t="s">
        <v>194</v>
      </c>
      <c r="B80" s="633" t="s">
        <v>195</v>
      </c>
      <c r="C80" s="1216" t="s">
        <v>267</v>
      </c>
      <c r="D80" s="1569">
        <v>92</v>
      </c>
      <c r="E80" s="1570">
        <v>79</v>
      </c>
      <c r="F80" s="1566">
        <v>83</v>
      </c>
      <c r="G80" s="1550">
        <v>68</v>
      </c>
      <c r="H80" s="1569">
        <v>38</v>
      </c>
      <c r="I80" s="1570">
        <v>31</v>
      </c>
      <c r="J80" s="1571">
        <v>34</v>
      </c>
      <c r="K80" s="1550">
        <v>22</v>
      </c>
      <c r="L80" s="1569">
        <v>19</v>
      </c>
      <c r="M80" s="1876">
        <v>15</v>
      </c>
      <c r="N80" s="1876">
        <v>10</v>
      </c>
      <c r="O80" s="1877">
        <v>5</v>
      </c>
      <c r="P80" s="1569"/>
      <c r="Q80" s="1876"/>
      <c r="R80" s="1876"/>
      <c r="S80" s="1877"/>
    </row>
    <row r="81" spans="1:19" ht="15.75" x14ac:dyDescent="0.25">
      <c r="A81" s="537" t="s">
        <v>198</v>
      </c>
      <c r="B81" s="633" t="s">
        <v>272</v>
      </c>
      <c r="C81" s="1216" t="s">
        <v>266</v>
      </c>
      <c r="D81" s="1569">
        <v>376</v>
      </c>
      <c r="E81" s="1570">
        <v>347</v>
      </c>
      <c r="F81" s="1566">
        <v>345</v>
      </c>
      <c r="G81" s="1550">
        <v>332</v>
      </c>
      <c r="H81" s="1569">
        <v>154</v>
      </c>
      <c r="I81" s="1570">
        <v>139</v>
      </c>
      <c r="J81" s="1571">
        <v>143</v>
      </c>
      <c r="K81" s="1550">
        <v>140</v>
      </c>
      <c r="L81" s="1569">
        <v>107</v>
      </c>
      <c r="M81" s="1876">
        <v>118</v>
      </c>
      <c r="N81" s="1876">
        <v>96</v>
      </c>
      <c r="O81" s="1877">
        <v>75</v>
      </c>
      <c r="P81" s="1569"/>
      <c r="Q81" s="1876"/>
      <c r="R81" s="1876"/>
      <c r="S81" s="1877"/>
    </row>
    <row r="82" spans="1:19" ht="15.75" x14ac:dyDescent="0.25">
      <c r="A82" s="537" t="s">
        <v>202</v>
      </c>
      <c r="B82" s="633" t="s">
        <v>301</v>
      </c>
      <c r="C82" s="1216" t="s">
        <v>265</v>
      </c>
      <c r="D82" s="1569">
        <v>1128</v>
      </c>
      <c r="E82" s="1570">
        <v>1084</v>
      </c>
      <c r="F82" s="1566">
        <v>1054</v>
      </c>
      <c r="G82" s="1550">
        <v>1049</v>
      </c>
      <c r="H82" s="1569">
        <v>664</v>
      </c>
      <c r="I82" s="1570">
        <v>656</v>
      </c>
      <c r="J82" s="1571">
        <v>647</v>
      </c>
      <c r="K82" s="1550">
        <v>640</v>
      </c>
      <c r="L82" s="1569">
        <v>156</v>
      </c>
      <c r="M82" s="1876">
        <v>227</v>
      </c>
      <c r="N82" s="1876">
        <v>139</v>
      </c>
      <c r="O82" s="1877">
        <v>151</v>
      </c>
      <c r="P82" s="1569"/>
      <c r="Q82" s="1876"/>
      <c r="R82" s="1876"/>
      <c r="S82" s="1877"/>
    </row>
    <row r="83" spans="1:19" ht="15.75" x14ac:dyDescent="0.25">
      <c r="A83" s="537" t="s">
        <v>204</v>
      </c>
      <c r="B83" s="633" t="s">
        <v>293</v>
      </c>
      <c r="C83" s="1216" t="s">
        <v>265</v>
      </c>
      <c r="D83" s="1569">
        <v>1212</v>
      </c>
      <c r="E83" s="1570">
        <v>1131</v>
      </c>
      <c r="F83" s="1566">
        <v>1187</v>
      </c>
      <c r="G83" s="1550">
        <v>1074</v>
      </c>
      <c r="H83" s="1569">
        <v>704</v>
      </c>
      <c r="I83" s="1570">
        <v>665</v>
      </c>
      <c r="J83" s="1571">
        <v>680</v>
      </c>
      <c r="K83" s="1550">
        <v>611</v>
      </c>
      <c r="L83" s="1569">
        <v>261</v>
      </c>
      <c r="M83" s="1876">
        <v>289</v>
      </c>
      <c r="N83" s="1876">
        <v>253</v>
      </c>
      <c r="O83" s="1877">
        <v>189</v>
      </c>
      <c r="P83" s="1569"/>
      <c r="Q83" s="1876"/>
      <c r="R83" s="1876"/>
      <c r="S83" s="1877"/>
    </row>
    <row r="84" spans="1:19" ht="15.75" x14ac:dyDescent="0.25">
      <c r="A84" s="537" t="s">
        <v>206</v>
      </c>
      <c r="B84" s="633" t="s">
        <v>294</v>
      </c>
      <c r="C84" s="1216" t="s">
        <v>267</v>
      </c>
      <c r="D84" s="1569">
        <v>1893</v>
      </c>
      <c r="E84" s="1570">
        <v>1866</v>
      </c>
      <c r="F84" s="1566">
        <v>1817</v>
      </c>
      <c r="G84" s="1550">
        <v>1714</v>
      </c>
      <c r="H84" s="1569">
        <v>811</v>
      </c>
      <c r="I84" s="1570">
        <v>806</v>
      </c>
      <c r="J84" s="1571">
        <v>800</v>
      </c>
      <c r="K84" s="1550">
        <v>691</v>
      </c>
      <c r="L84" s="1569">
        <v>238</v>
      </c>
      <c r="M84" s="1876">
        <v>260</v>
      </c>
      <c r="N84" s="1876">
        <v>211</v>
      </c>
      <c r="O84" s="1877">
        <v>116</v>
      </c>
      <c r="P84" s="1569"/>
      <c r="Q84" s="1876"/>
      <c r="R84" s="1876"/>
      <c r="S84" s="1877"/>
    </row>
    <row r="85" spans="1:19" ht="15.75" x14ac:dyDescent="0.25">
      <c r="A85" s="537" t="s">
        <v>208</v>
      </c>
      <c r="B85" s="633" t="s">
        <v>209</v>
      </c>
      <c r="C85" s="1216" t="s">
        <v>268</v>
      </c>
      <c r="D85" s="1569">
        <v>1992</v>
      </c>
      <c r="E85" s="1570">
        <v>1914</v>
      </c>
      <c r="F85" s="1566">
        <v>2014</v>
      </c>
      <c r="G85" s="1550">
        <v>1848</v>
      </c>
      <c r="H85" s="1569">
        <v>1107</v>
      </c>
      <c r="I85" s="1570">
        <v>1117</v>
      </c>
      <c r="J85" s="1571">
        <v>1023</v>
      </c>
      <c r="K85" s="1550">
        <v>993</v>
      </c>
      <c r="L85" s="1569">
        <v>446</v>
      </c>
      <c r="M85" s="1876">
        <v>569</v>
      </c>
      <c r="N85" s="1876">
        <v>450</v>
      </c>
      <c r="O85" s="1877">
        <v>311</v>
      </c>
      <c r="P85" s="1569"/>
      <c r="Q85" s="1876"/>
      <c r="R85" s="1876"/>
      <c r="S85" s="1877"/>
    </row>
    <row r="86" spans="1:19" ht="15.75" x14ac:dyDescent="0.25">
      <c r="A86" s="537" t="s">
        <v>210</v>
      </c>
      <c r="B86" s="633" t="s">
        <v>211</v>
      </c>
      <c r="C86" s="1216" t="s">
        <v>268</v>
      </c>
      <c r="D86" s="1569">
        <v>1442</v>
      </c>
      <c r="E86" s="1570">
        <v>1350</v>
      </c>
      <c r="F86" s="1566">
        <v>1370</v>
      </c>
      <c r="G86" s="1550">
        <v>1307</v>
      </c>
      <c r="H86" s="1569">
        <v>599</v>
      </c>
      <c r="I86" s="1570">
        <v>623</v>
      </c>
      <c r="J86" s="1571">
        <v>663</v>
      </c>
      <c r="K86" s="1550">
        <v>626</v>
      </c>
      <c r="L86" s="1569">
        <v>251</v>
      </c>
      <c r="M86" s="1876">
        <v>303</v>
      </c>
      <c r="N86" s="1876">
        <v>217</v>
      </c>
      <c r="O86" s="1877">
        <v>165</v>
      </c>
      <c r="P86" s="1569"/>
      <c r="Q86" s="1876"/>
      <c r="R86" s="1876"/>
      <c r="S86" s="1877"/>
    </row>
    <row r="87" spans="1:19" ht="15.75" x14ac:dyDescent="0.25">
      <c r="A87" s="537" t="s">
        <v>212</v>
      </c>
      <c r="B87" s="633" t="s">
        <v>213</v>
      </c>
      <c r="C87" s="1216" t="s">
        <v>267</v>
      </c>
      <c r="D87" s="1569">
        <v>1003</v>
      </c>
      <c r="E87" s="1570">
        <v>937</v>
      </c>
      <c r="F87" s="1566">
        <v>862</v>
      </c>
      <c r="G87" s="1550">
        <v>768</v>
      </c>
      <c r="H87" s="1569">
        <v>493</v>
      </c>
      <c r="I87" s="1570">
        <v>463</v>
      </c>
      <c r="J87" s="1571">
        <v>379</v>
      </c>
      <c r="K87" s="1550">
        <v>364</v>
      </c>
      <c r="L87" s="1569">
        <v>170</v>
      </c>
      <c r="M87" s="1876">
        <v>256</v>
      </c>
      <c r="N87" s="1876">
        <v>115</v>
      </c>
      <c r="O87" s="1877">
        <v>61</v>
      </c>
      <c r="P87" s="1569"/>
      <c r="Q87" s="1876"/>
      <c r="R87" s="1876"/>
      <c r="S87" s="1877"/>
    </row>
    <row r="88" spans="1:19" ht="15.75" x14ac:dyDescent="0.25">
      <c r="A88" s="537" t="s">
        <v>214</v>
      </c>
      <c r="B88" s="633" t="s">
        <v>215</v>
      </c>
      <c r="C88" s="1216" t="s">
        <v>268</v>
      </c>
      <c r="D88" s="1569">
        <v>1909</v>
      </c>
      <c r="E88" s="1570">
        <v>1793</v>
      </c>
      <c r="F88" s="1566">
        <v>1737</v>
      </c>
      <c r="G88" s="1550">
        <v>1611</v>
      </c>
      <c r="H88" s="1569">
        <v>762</v>
      </c>
      <c r="I88" s="1570">
        <v>785</v>
      </c>
      <c r="J88" s="1571">
        <v>808</v>
      </c>
      <c r="K88" s="1550">
        <v>773</v>
      </c>
      <c r="L88" s="1569">
        <v>504</v>
      </c>
      <c r="M88" s="1876">
        <v>555</v>
      </c>
      <c r="N88" s="1876">
        <v>548</v>
      </c>
      <c r="O88" s="1877">
        <v>372</v>
      </c>
      <c r="P88" s="1569"/>
      <c r="Q88" s="1876"/>
      <c r="R88" s="1876"/>
      <c r="S88" s="1877"/>
    </row>
    <row r="89" spans="1:19" ht="15.75" x14ac:dyDescent="0.25">
      <c r="A89" s="537" t="s">
        <v>216</v>
      </c>
      <c r="B89" s="633" t="s">
        <v>217</v>
      </c>
      <c r="C89" s="1216" t="s">
        <v>264</v>
      </c>
      <c r="D89" s="1569">
        <v>684</v>
      </c>
      <c r="E89" s="1570">
        <v>624</v>
      </c>
      <c r="F89" s="1566">
        <v>572</v>
      </c>
      <c r="G89" s="1550">
        <v>571</v>
      </c>
      <c r="H89" s="1569">
        <v>338</v>
      </c>
      <c r="I89" s="1570">
        <v>334</v>
      </c>
      <c r="J89" s="1571">
        <v>347</v>
      </c>
      <c r="K89" s="1550">
        <v>335</v>
      </c>
      <c r="L89" s="1569">
        <v>155</v>
      </c>
      <c r="M89" s="1876">
        <v>148</v>
      </c>
      <c r="N89" s="1876">
        <v>133</v>
      </c>
      <c r="O89" s="1877">
        <v>77</v>
      </c>
      <c r="P89" s="1569"/>
      <c r="Q89" s="1876"/>
      <c r="R89" s="1876"/>
      <c r="S89" s="1877"/>
    </row>
    <row r="90" spans="1:19" ht="15.75" x14ac:dyDescent="0.25">
      <c r="A90" s="537" t="s">
        <v>218</v>
      </c>
      <c r="B90" s="633" t="s">
        <v>219</v>
      </c>
      <c r="C90" s="1216" t="s">
        <v>267</v>
      </c>
      <c r="D90" s="1569">
        <v>829</v>
      </c>
      <c r="E90" s="1570">
        <v>738</v>
      </c>
      <c r="F90" s="1566">
        <v>797</v>
      </c>
      <c r="G90" s="1550">
        <v>768</v>
      </c>
      <c r="H90" s="1569">
        <v>274</v>
      </c>
      <c r="I90" s="1570">
        <v>260</v>
      </c>
      <c r="J90" s="1571">
        <v>297</v>
      </c>
      <c r="K90" s="1550">
        <v>311</v>
      </c>
      <c r="L90" s="1569">
        <v>146</v>
      </c>
      <c r="M90" s="1876">
        <v>175</v>
      </c>
      <c r="N90" s="1876">
        <v>123</v>
      </c>
      <c r="O90" s="1877">
        <v>71</v>
      </c>
      <c r="P90" s="1569"/>
      <c r="Q90" s="1876"/>
      <c r="R90" s="1876"/>
      <c r="S90" s="1877"/>
    </row>
    <row r="91" spans="1:19" ht="15.75" x14ac:dyDescent="0.25">
      <c r="A91" s="537" t="s">
        <v>220</v>
      </c>
      <c r="B91" s="633" t="s">
        <v>221</v>
      </c>
      <c r="C91" s="1216" t="s">
        <v>267</v>
      </c>
      <c r="D91" s="1569">
        <v>472</v>
      </c>
      <c r="E91" s="1570">
        <v>422</v>
      </c>
      <c r="F91" s="1566">
        <v>471</v>
      </c>
      <c r="G91" s="1550">
        <v>399</v>
      </c>
      <c r="H91" s="1569">
        <v>140</v>
      </c>
      <c r="I91" s="1570">
        <v>152</v>
      </c>
      <c r="J91" s="1571">
        <v>139</v>
      </c>
      <c r="K91" s="1550">
        <v>140</v>
      </c>
      <c r="L91" s="1569">
        <v>108</v>
      </c>
      <c r="M91" s="1876">
        <v>103</v>
      </c>
      <c r="N91" s="1876">
        <v>93</v>
      </c>
      <c r="O91" s="1877">
        <v>61</v>
      </c>
      <c r="P91" s="1569"/>
      <c r="Q91" s="1876"/>
      <c r="R91" s="1876"/>
      <c r="S91" s="1877"/>
    </row>
    <row r="92" spans="1:19" ht="15.75" x14ac:dyDescent="0.25">
      <c r="A92" s="537" t="s">
        <v>224</v>
      </c>
      <c r="B92" s="633" t="s">
        <v>225</v>
      </c>
      <c r="C92" s="1216" t="s">
        <v>264</v>
      </c>
      <c r="D92" s="1569">
        <v>228</v>
      </c>
      <c r="E92" s="1570">
        <v>216</v>
      </c>
      <c r="F92" s="1566">
        <v>212</v>
      </c>
      <c r="G92" s="1550">
        <v>200</v>
      </c>
      <c r="H92" s="1569">
        <v>97</v>
      </c>
      <c r="I92" s="1570">
        <v>109</v>
      </c>
      <c r="J92" s="1571">
        <v>101</v>
      </c>
      <c r="K92" s="1550">
        <v>92</v>
      </c>
      <c r="L92" s="1569">
        <v>22</v>
      </c>
      <c r="M92" s="1876">
        <v>44</v>
      </c>
      <c r="N92" s="1876">
        <v>29</v>
      </c>
      <c r="O92" s="1877">
        <v>31</v>
      </c>
      <c r="P92" s="1569"/>
      <c r="Q92" s="1876"/>
      <c r="R92" s="1876"/>
      <c r="S92" s="1877"/>
    </row>
    <row r="93" spans="1:19" ht="15.75" x14ac:dyDescent="0.25">
      <c r="A93" s="537" t="s">
        <v>226</v>
      </c>
      <c r="B93" s="633" t="s">
        <v>227</v>
      </c>
      <c r="C93" s="1216" t="s">
        <v>264</v>
      </c>
      <c r="D93" s="1569">
        <v>487</v>
      </c>
      <c r="E93" s="1570">
        <v>460</v>
      </c>
      <c r="F93" s="1566">
        <v>458</v>
      </c>
      <c r="G93" s="1550">
        <v>437</v>
      </c>
      <c r="H93" s="1569">
        <v>207</v>
      </c>
      <c r="I93" s="1570">
        <v>184</v>
      </c>
      <c r="J93" s="1571">
        <v>198</v>
      </c>
      <c r="K93" s="1550">
        <v>204</v>
      </c>
      <c r="L93" s="1569">
        <v>52</v>
      </c>
      <c r="M93" s="1876">
        <v>63</v>
      </c>
      <c r="N93" s="1876">
        <v>57</v>
      </c>
      <c r="O93" s="1877">
        <v>37</v>
      </c>
      <c r="P93" s="1569"/>
      <c r="Q93" s="1876"/>
      <c r="R93" s="1876"/>
      <c r="S93" s="1877"/>
    </row>
    <row r="94" spans="1:19" ht="15.75" x14ac:dyDescent="0.25">
      <c r="A94" s="537" t="s">
        <v>228</v>
      </c>
      <c r="B94" s="633" t="s">
        <v>229</v>
      </c>
      <c r="C94" s="1216" t="s">
        <v>268</v>
      </c>
      <c r="D94" s="1569">
        <v>2431</v>
      </c>
      <c r="E94" s="1570">
        <v>2299</v>
      </c>
      <c r="F94" s="1566">
        <v>2483</v>
      </c>
      <c r="G94" s="1550">
        <v>2373</v>
      </c>
      <c r="H94" s="1569">
        <v>1090</v>
      </c>
      <c r="I94" s="1570">
        <v>1088</v>
      </c>
      <c r="J94" s="1571">
        <v>1162</v>
      </c>
      <c r="K94" s="1550">
        <v>1213</v>
      </c>
      <c r="L94" s="1569">
        <v>662</v>
      </c>
      <c r="M94" s="1876">
        <v>683</v>
      </c>
      <c r="N94" s="1876">
        <v>628</v>
      </c>
      <c r="O94" s="1877">
        <v>521</v>
      </c>
      <c r="P94" s="1569"/>
      <c r="Q94" s="1876"/>
      <c r="R94" s="1876"/>
      <c r="S94" s="1877"/>
    </row>
    <row r="95" spans="1:19" ht="15.75" x14ac:dyDescent="0.25">
      <c r="A95" s="537" t="s">
        <v>232</v>
      </c>
      <c r="B95" s="633" t="s">
        <v>233</v>
      </c>
      <c r="C95" s="1216" t="s">
        <v>267</v>
      </c>
      <c r="D95" s="1569">
        <v>661</v>
      </c>
      <c r="E95" s="1570">
        <v>584</v>
      </c>
      <c r="F95" s="1566">
        <v>575</v>
      </c>
      <c r="G95" s="1550">
        <v>531</v>
      </c>
      <c r="H95" s="1569">
        <v>275</v>
      </c>
      <c r="I95" s="1570">
        <v>248</v>
      </c>
      <c r="J95" s="1571">
        <v>244</v>
      </c>
      <c r="K95" s="1550">
        <v>235</v>
      </c>
      <c r="L95" s="1569">
        <v>106</v>
      </c>
      <c r="M95" s="1876">
        <v>119</v>
      </c>
      <c r="N95" s="1876">
        <v>111</v>
      </c>
      <c r="O95" s="1877">
        <v>56</v>
      </c>
      <c r="P95" s="1569"/>
      <c r="Q95" s="1876"/>
      <c r="R95" s="1876"/>
      <c r="S95" s="1877"/>
    </row>
    <row r="96" spans="1:19" ht="15.75" x14ac:dyDescent="0.25">
      <c r="A96" s="537" t="s">
        <v>234</v>
      </c>
      <c r="B96" s="633" t="s">
        <v>235</v>
      </c>
      <c r="C96" s="1216" t="s">
        <v>268</v>
      </c>
      <c r="D96" s="1569">
        <v>2048</v>
      </c>
      <c r="E96" s="1570">
        <v>1930</v>
      </c>
      <c r="F96" s="1566">
        <v>1922</v>
      </c>
      <c r="G96" s="1550">
        <v>1815</v>
      </c>
      <c r="H96" s="1569">
        <v>773</v>
      </c>
      <c r="I96" s="1570">
        <v>753</v>
      </c>
      <c r="J96" s="1571">
        <v>798</v>
      </c>
      <c r="K96" s="1550">
        <v>678</v>
      </c>
      <c r="L96" s="1569">
        <v>290</v>
      </c>
      <c r="M96" s="1876">
        <v>265</v>
      </c>
      <c r="N96" s="1876">
        <v>187</v>
      </c>
      <c r="O96" s="1877">
        <v>110</v>
      </c>
      <c r="P96" s="1569"/>
      <c r="Q96" s="1876"/>
      <c r="R96" s="1876"/>
      <c r="S96" s="1877"/>
    </row>
    <row r="97" spans="1:19" ht="15.75" x14ac:dyDescent="0.25">
      <c r="A97" s="537" t="s">
        <v>236</v>
      </c>
      <c r="B97" s="633" t="s">
        <v>237</v>
      </c>
      <c r="C97" s="1216" t="s">
        <v>266</v>
      </c>
      <c r="D97" s="1569">
        <v>773</v>
      </c>
      <c r="E97" s="1570">
        <v>698</v>
      </c>
      <c r="F97" s="1566">
        <v>690</v>
      </c>
      <c r="G97" s="1550">
        <v>618</v>
      </c>
      <c r="H97" s="1569">
        <v>288</v>
      </c>
      <c r="I97" s="1570">
        <v>297</v>
      </c>
      <c r="J97" s="1571">
        <v>287</v>
      </c>
      <c r="K97" s="1550">
        <v>289</v>
      </c>
      <c r="L97" s="1569">
        <v>237</v>
      </c>
      <c r="M97" s="1876">
        <v>256</v>
      </c>
      <c r="N97" s="1876">
        <v>227</v>
      </c>
      <c r="O97" s="1877">
        <v>183</v>
      </c>
      <c r="P97" s="1569"/>
      <c r="Q97" s="1876"/>
      <c r="R97" s="1876"/>
      <c r="S97" s="1877"/>
    </row>
    <row r="98" spans="1:19" ht="15.75" x14ac:dyDescent="0.25">
      <c r="A98" s="537" t="s">
        <v>242</v>
      </c>
      <c r="B98" s="633" t="s">
        <v>243</v>
      </c>
      <c r="C98" s="1216" t="s">
        <v>268</v>
      </c>
      <c r="D98" s="1569">
        <v>2535</v>
      </c>
      <c r="E98" s="1570">
        <v>2428</v>
      </c>
      <c r="F98" s="1566">
        <v>2449</v>
      </c>
      <c r="G98" s="1550">
        <v>2457</v>
      </c>
      <c r="H98" s="1569">
        <v>1227</v>
      </c>
      <c r="I98" s="1570">
        <v>1212</v>
      </c>
      <c r="J98" s="1571">
        <v>1242</v>
      </c>
      <c r="K98" s="1550">
        <v>1305</v>
      </c>
      <c r="L98" s="1569">
        <v>403</v>
      </c>
      <c r="M98" s="1876">
        <v>503</v>
      </c>
      <c r="N98" s="1876">
        <v>378</v>
      </c>
      <c r="O98" s="1877">
        <v>310</v>
      </c>
      <c r="P98" s="1569"/>
      <c r="Q98" s="1876"/>
      <c r="R98" s="1876"/>
      <c r="S98" s="1877"/>
    </row>
    <row r="99" spans="1:19" ht="15.75" x14ac:dyDescent="0.25">
      <c r="A99" s="537" t="s">
        <v>244</v>
      </c>
      <c r="B99" s="633" t="s">
        <v>245</v>
      </c>
      <c r="C99" s="1216" t="s">
        <v>268</v>
      </c>
      <c r="D99" s="1569">
        <v>1256</v>
      </c>
      <c r="E99" s="1570">
        <v>1190</v>
      </c>
      <c r="F99" s="1566">
        <v>1170</v>
      </c>
      <c r="G99" s="1550">
        <v>1046</v>
      </c>
      <c r="H99" s="1569">
        <v>468</v>
      </c>
      <c r="I99" s="1570">
        <v>461</v>
      </c>
      <c r="J99" s="1571">
        <v>432</v>
      </c>
      <c r="K99" s="1550">
        <v>407</v>
      </c>
      <c r="L99" s="1569">
        <v>237</v>
      </c>
      <c r="M99" s="1876">
        <v>224</v>
      </c>
      <c r="N99" s="1876">
        <v>188</v>
      </c>
      <c r="O99" s="1877">
        <v>113</v>
      </c>
      <c r="P99" s="1569"/>
      <c r="Q99" s="1876"/>
      <c r="R99" s="1876"/>
      <c r="S99" s="1877"/>
    </row>
    <row r="100" spans="1:19" ht="15.75" x14ac:dyDescent="0.25">
      <c r="A100" s="537" t="s">
        <v>246</v>
      </c>
      <c r="B100" s="633" t="s">
        <v>247</v>
      </c>
      <c r="C100" s="1216" t="s">
        <v>264</v>
      </c>
      <c r="D100" s="1569">
        <v>339</v>
      </c>
      <c r="E100" s="1570">
        <v>310</v>
      </c>
      <c r="F100" s="1566">
        <v>316</v>
      </c>
      <c r="G100" s="1550">
        <v>302</v>
      </c>
      <c r="H100" s="1569">
        <v>153</v>
      </c>
      <c r="I100" s="1570">
        <v>147</v>
      </c>
      <c r="J100" s="1571">
        <v>158</v>
      </c>
      <c r="K100" s="1550">
        <v>142</v>
      </c>
      <c r="L100" s="1569">
        <v>45</v>
      </c>
      <c r="M100" s="1876">
        <v>47</v>
      </c>
      <c r="N100" s="1876">
        <v>36</v>
      </c>
      <c r="O100" s="1877">
        <v>39</v>
      </c>
      <c r="P100" s="1569"/>
      <c r="Q100" s="1876"/>
      <c r="R100" s="1876"/>
      <c r="S100" s="1877"/>
    </row>
    <row r="101" spans="1:19" ht="15.75" x14ac:dyDescent="0.25">
      <c r="A101" s="537" t="s">
        <v>14</v>
      </c>
      <c r="B101" s="633" t="s">
        <v>15</v>
      </c>
      <c r="C101" s="1216" t="s">
        <v>267</v>
      </c>
      <c r="D101" s="1569">
        <v>732</v>
      </c>
      <c r="E101" s="1570">
        <v>607</v>
      </c>
      <c r="F101" s="1566">
        <v>650</v>
      </c>
      <c r="G101" s="1550">
        <v>611</v>
      </c>
      <c r="H101" s="1569">
        <v>367</v>
      </c>
      <c r="I101" s="1570">
        <v>384</v>
      </c>
      <c r="J101" s="1571">
        <v>402</v>
      </c>
      <c r="K101" s="1550">
        <v>294</v>
      </c>
      <c r="L101" s="1569">
        <v>30</v>
      </c>
      <c r="M101" s="1876">
        <v>49</v>
      </c>
      <c r="N101" s="1876">
        <v>31</v>
      </c>
      <c r="O101" s="1877">
        <v>19</v>
      </c>
      <c r="P101" s="1569"/>
      <c r="Q101" s="1876"/>
      <c r="R101" s="1876"/>
      <c r="S101" s="1877"/>
    </row>
    <row r="102" spans="1:19" ht="15.75" x14ac:dyDescent="0.25">
      <c r="A102" s="537" t="s">
        <v>34</v>
      </c>
      <c r="B102" s="633" t="s">
        <v>35</v>
      </c>
      <c r="C102" s="1216" t="s">
        <v>268</v>
      </c>
      <c r="D102" s="1569">
        <v>722</v>
      </c>
      <c r="E102" s="1570">
        <v>649</v>
      </c>
      <c r="F102" s="1566">
        <v>670</v>
      </c>
      <c r="G102" s="1550">
        <v>703</v>
      </c>
      <c r="H102" s="1569">
        <v>322</v>
      </c>
      <c r="I102" s="1570">
        <v>325</v>
      </c>
      <c r="J102" s="1571">
        <v>389</v>
      </c>
      <c r="K102" s="1550">
        <v>399</v>
      </c>
      <c r="L102" s="1569">
        <v>12</v>
      </c>
      <c r="M102" s="1876">
        <v>21</v>
      </c>
      <c r="N102" s="1876">
        <v>23</v>
      </c>
      <c r="O102" s="1877">
        <v>39</v>
      </c>
      <c r="P102" s="1569"/>
      <c r="Q102" s="1876"/>
      <c r="R102" s="1876"/>
      <c r="S102" s="1877"/>
    </row>
    <row r="103" spans="1:19" ht="15.75" x14ac:dyDescent="0.25">
      <c r="A103" s="537" t="s">
        <v>52</v>
      </c>
      <c r="B103" s="633" t="s">
        <v>53</v>
      </c>
      <c r="C103" s="1216" t="s">
        <v>265</v>
      </c>
      <c r="D103" s="1569">
        <v>761</v>
      </c>
      <c r="E103" s="1570">
        <v>657</v>
      </c>
      <c r="F103" s="1566">
        <v>650</v>
      </c>
      <c r="G103" s="1550">
        <v>643</v>
      </c>
      <c r="H103" s="1569">
        <v>436</v>
      </c>
      <c r="I103" s="1570">
        <v>404</v>
      </c>
      <c r="J103" s="1571">
        <v>227</v>
      </c>
      <c r="K103" s="1550">
        <v>344</v>
      </c>
      <c r="L103" s="1569">
        <v>33</v>
      </c>
      <c r="M103" s="1876">
        <v>45</v>
      </c>
      <c r="N103" s="1876">
        <v>59</v>
      </c>
      <c r="O103" s="1877">
        <v>32</v>
      </c>
      <c r="P103" s="1569"/>
      <c r="Q103" s="1876"/>
      <c r="R103" s="1876"/>
      <c r="S103" s="1877"/>
    </row>
    <row r="104" spans="1:19" ht="15.75" x14ac:dyDescent="0.25">
      <c r="A104" s="537" t="s">
        <v>54</v>
      </c>
      <c r="B104" s="633" t="s">
        <v>55</v>
      </c>
      <c r="C104" s="1216" t="s">
        <v>264</v>
      </c>
      <c r="D104" s="1569">
        <v>2313</v>
      </c>
      <c r="E104" s="1570">
        <v>1989</v>
      </c>
      <c r="F104" s="1566">
        <v>2020</v>
      </c>
      <c r="G104" s="1550">
        <v>1864</v>
      </c>
      <c r="H104" s="1569">
        <v>1326</v>
      </c>
      <c r="I104" s="1570">
        <v>1181</v>
      </c>
      <c r="J104" s="1571">
        <v>1245</v>
      </c>
      <c r="K104" s="1550">
        <v>1289</v>
      </c>
      <c r="L104" s="1569">
        <v>198</v>
      </c>
      <c r="M104" s="1876">
        <v>196</v>
      </c>
      <c r="N104" s="1876">
        <v>227</v>
      </c>
      <c r="O104" s="1877">
        <v>182</v>
      </c>
      <c r="P104" s="1569"/>
      <c r="Q104" s="1876"/>
      <c r="R104" s="1876"/>
      <c r="S104" s="1877"/>
    </row>
    <row r="105" spans="1:19" ht="15.75" x14ac:dyDescent="0.25">
      <c r="A105" s="537" t="s">
        <v>66</v>
      </c>
      <c r="B105" s="633" t="s">
        <v>67</v>
      </c>
      <c r="C105" s="1216" t="s">
        <v>265</v>
      </c>
      <c r="D105" s="1569">
        <v>2862</v>
      </c>
      <c r="E105" s="1570">
        <v>2656</v>
      </c>
      <c r="F105" s="1566">
        <v>2772</v>
      </c>
      <c r="G105" s="1550">
        <v>2650</v>
      </c>
      <c r="H105" s="1569">
        <v>1605</v>
      </c>
      <c r="I105" s="1570">
        <v>1791</v>
      </c>
      <c r="J105" s="1571">
        <v>1841</v>
      </c>
      <c r="K105" s="1550">
        <v>1793</v>
      </c>
      <c r="L105" s="1569">
        <v>231</v>
      </c>
      <c r="M105" s="1876">
        <v>198</v>
      </c>
      <c r="N105" s="1876">
        <v>318</v>
      </c>
      <c r="O105" s="1877">
        <v>183</v>
      </c>
      <c r="P105" s="1569"/>
      <c r="Q105" s="1876"/>
      <c r="R105" s="1876"/>
      <c r="S105" s="1877"/>
    </row>
    <row r="106" spans="1:19" ht="15.75" x14ac:dyDescent="0.25">
      <c r="A106" s="537" t="s">
        <v>82</v>
      </c>
      <c r="B106" s="633" t="s">
        <v>83</v>
      </c>
      <c r="C106" s="1216" t="s">
        <v>264</v>
      </c>
      <c r="D106" s="1569">
        <v>602</v>
      </c>
      <c r="E106" s="1570">
        <v>543</v>
      </c>
      <c r="F106" s="1566">
        <v>541</v>
      </c>
      <c r="G106" s="1550">
        <v>495</v>
      </c>
      <c r="H106" s="1569">
        <v>337</v>
      </c>
      <c r="I106" s="1570">
        <v>357</v>
      </c>
      <c r="J106" s="1571">
        <v>359</v>
      </c>
      <c r="K106" s="1550">
        <v>341</v>
      </c>
      <c r="L106" s="1569">
        <v>159</v>
      </c>
      <c r="M106" s="1876">
        <v>201</v>
      </c>
      <c r="N106" s="1876">
        <v>161</v>
      </c>
      <c r="O106" s="1877">
        <v>162</v>
      </c>
      <c r="P106" s="1569"/>
      <c r="Q106" s="1876"/>
      <c r="R106" s="1876"/>
      <c r="S106" s="1877"/>
    </row>
    <row r="107" spans="1:19" ht="15.75" x14ac:dyDescent="0.25">
      <c r="A107" s="537" t="s">
        <v>88</v>
      </c>
      <c r="B107" s="633" t="s">
        <v>89</v>
      </c>
      <c r="C107" s="1216" t="s">
        <v>267</v>
      </c>
      <c r="D107" s="1569">
        <v>490</v>
      </c>
      <c r="E107" s="1570">
        <v>461</v>
      </c>
      <c r="F107" s="1566">
        <v>473</v>
      </c>
      <c r="G107" s="1550">
        <v>470</v>
      </c>
      <c r="H107" s="1569">
        <v>285</v>
      </c>
      <c r="I107" s="1570">
        <v>262</v>
      </c>
      <c r="J107" s="1571">
        <v>309</v>
      </c>
      <c r="K107" s="1550">
        <v>309</v>
      </c>
      <c r="L107" s="1569">
        <v>53</v>
      </c>
      <c r="M107" s="1876">
        <v>51</v>
      </c>
      <c r="N107" s="1876">
        <v>73</v>
      </c>
      <c r="O107" s="1877">
        <v>45</v>
      </c>
      <c r="P107" s="1569"/>
      <c r="Q107" s="1876"/>
      <c r="R107" s="1876"/>
      <c r="S107" s="1877"/>
    </row>
    <row r="108" spans="1:19" ht="15.75" x14ac:dyDescent="0.25">
      <c r="A108" s="537" t="s">
        <v>90</v>
      </c>
      <c r="B108" s="633" t="s">
        <v>91</v>
      </c>
      <c r="C108" s="1216" t="s">
        <v>268</v>
      </c>
      <c r="D108" s="1569">
        <v>633</v>
      </c>
      <c r="E108" s="1570">
        <v>604</v>
      </c>
      <c r="F108" s="1566">
        <v>621</v>
      </c>
      <c r="G108" s="1550">
        <v>576</v>
      </c>
      <c r="H108" s="1569">
        <v>338</v>
      </c>
      <c r="I108" s="1570">
        <v>350</v>
      </c>
      <c r="J108" s="1571">
        <v>359</v>
      </c>
      <c r="K108" s="1550">
        <v>333</v>
      </c>
      <c r="L108" s="1569">
        <v>105</v>
      </c>
      <c r="M108" s="1876">
        <v>109</v>
      </c>
      <c r="N108" s="1876">
        <v>81</v>
      </c>
      <c r="O108" s="1877">
        <v>55</v>
      </c>
      <c r="P108" s="1569"/>
      <c r="Q108" s="1876"/>
      <c r="R108" s="1876"/>
      <c r="S108" s="1877"/>
    </row>
    <row r="109" spans="1:19" ht="15.75" x14ac:dyDescent="0.25">
      <c r="A109" s="537" t="s">
        <v>106</v>
      </c>
      <c r="B109" s="633" t="s">
        <v>107</v>
      </c>
      <c r="C109" s="1216" t="s">
        <v>264</v>
      </c>
      <c r="D109" s="1569">
        <v>2352</v>
      </c>
      <c r="E109" s="1570">
        <v>2044</v>
      </c>
      <c r="F109" s="1566">
        <v>2104</v>
      </c>
      <c r="G109" s="1550">
        <v>1950</v>
      </c>
      <c r="H109" s="1569">
        <v>1265</v>
      </c>
      <c r="I109" s="1570">
        <v>1117</v>
      </c>
      <c r="J109" s="1571">
        <v>1148</v>
      </c>
      <c r="K109" s="1550">
        <v>1118</v>
      </c>
      <c r="L109" s="1569">
        <v>205</v>
      </c>
      <c r="M109" s="1876">
        <v>207</v>
      </c>
      <c r="N109" s="1876">
        <v>198</v>
      </c>
      <c r="O109" s="1877">
        <v>205</v>
      </c>
      <c r="P109" s="1569"/>
      <c r="Q109" s="1876"/>
      <c r="R109" s="1876"/>
      <c r="S109" s="1877"/>
    </row>
    <row r="110" spans="1:19" ht="15.75" x14ac:dyDescent="0.25">
      <c r="A110" s="537" t="s">
        <v>116</v>
      </c>
      <c r="B110" s="633" t="s">
        <v>117</v>
      </c>
      <c r="C110" s="1216" t="s">
        <v>266</v>
      </c>
      <c r="D110" s="1569">
        <v>741</v>
      </c>
      <c r="E110" s="1570">
        <v>699</v>
      </c>
      <c r="F110" s="1566">
        <v>711</v>
      </c>
      <c r="G110" s="1550">
        <v>668</v>
      </c>
      <c r="H110" s="1569">
        <v>478</v>
      </c>
      <c r="I110" s="1570">
        <v>492</v>
      </c>
      <c r="J110" s="1571">
        <v>560</v>
      </c>
      <c r="K110" s="1550">
        <v>513</v>
      </c>
      <c r="L110" s="1569">
        <v>95</v>
      </c>
      <c r="M110" s="1876">
        <v>125</v>
      </c>
      <c r="N110" s="1876">
        <v>119</v>
      </c>
      <c r="O110" s="1877">
        <v>114</v>
      </c>
      <c r="P110" s="1569"/>
      <c r="Q110" s="1876"/>
      <c r="R110" s="1876"/>
      <c r="S110" s="1877"/>
    </row>
    <row r="111" spans="1:19" ht="15.75" x14ac:dyDescent="0.25">
      <c r="A111" s="537" t="s">
        <v>138</v>
      </c>
      <c r="B111" s="633" t="s">
        <v>139</v>
      </c>
      <c r="C111" s="1216" t="s">
        <v>265</v>
      </c>
      <c r="D111" s="1569">
        <v>2914</v>
      </c>
      <c r="E111" s="1570">
        <v>2711</v>
      </c>
      <c r="F111" s="1566">
        <v>2733</v>
      </c>
      <c r="G111" s="1550">
        <v>2619</v>
      </c>
      <c r="H111" s="1569">
        <v>1703</v>
      </c>
      <c r="I111" s="1570">
        <v>1672</v>
      </c>
      <c r="J111" s="1571">
        <v>1689</v>
      </c>
      <c r="K111" s="1550">
        <v>1657</v>
      </c>
      <c r="L111" s="1569">
        <v>859</v>
      </c>
      <c r="M111" s="1876">
        <v>814</v>
      </c>
      <c r="N111" s="1876">
        <v>775</v>
      </c>
      <c r="O111" s="1877">
        <v>487</v>
      </c>
      <c r="P111" s="1569"/>
      <c r="Q111" s="1876"/>
      <c r="R111" s="1876"/>
      <c r="S111" s="1877"/>
    </row>
    <row r="112" spans="1:19" ht="15.75" x14ac:dyDescent="0.25">
      <c r="A112" s="537" t="s">
        <v>142</v>
      </c>
      <c r="B112" s="633" t="s">
        <v>143</v>
      </c>
      <c r="C112" s="1216" t="s">
        <v>267</v>
      </c>
      <c r="D112" s="1569">
        <v>111</v>
      </c>
      <c r="E112" s="1570">
        <v>118</v>
      </c>
      <c r="F112" s="1566">
        <v>117</v>
      </c>
      <c r="G112" s="1550">
        <v>122</v>
      </c>
      <c r="H112" s="1569">
        <v>64</v>
      </c>
      <c r="I112" s="1570">
        <v>43</v>
      </c>
      <c r="J112" s="1571">
        <v>64</v>
      </c>
      <c r="K112" s="1550">
        <v>55</v>
      </c>
      <c r="L112" s="1569">
        <v>10</v>
      </c>
      <c r="M112" s="1876">
        <v>16</v>
      </c>
      <c r="N112" s="1876">
        <v>11</v>
      </c>
      <c r="O112" s="1877">
        <v>8</v>
      </c>
      <c r="P112" s="1569"/>
      <c r="Q112" s="1876"/>
      <c r="R112" s="1876"/>
      <c r="S112" s="1877"/>
    </row>
    <row r="113" spans="1:19" ht="15.75" x14ac:dyDescent="0.25">
      <c r="A113" s="537" t="s">
        <v>144</v>
      </c>
      <c r="B113" s="633" t="s">
        <v>145</v>
      </c>
      <c r="C113" s="1216" t="s">
        <v>267</v>
      </c>
      <c r="D113" s="1569">
        <v>50</v>
      </c>
      <c r="E113" s="1570">
        <v>38</v>
      </c>
      <c r="F113" s="1566">
        <v>39</v>
      </c>
      <c r="G113" s="1550">
        <v>40</v>
      </c>
      <c r="H113" s="1569">
        <v>22</v>
      </c>
      <c r="I113" s="1570">
        <v>25</v>
      </c>
      <c r="J113" s="1571">
        <v>22</v>
      </c>
      <c r="K113" s="1550">
        <v>19</v>
      </c>
      <c r="L113" s="1569">
        <v>8</v>
      </c>
      <c r="M113" s="1876">
        <v>10</v>
      </c>
      <c r="N113" s="1876">
        <v>7</v>
      </c>
      <c r="O113" s="1877">
        <v>4</v>
      </c>
      <c r="P113" s="1569"/>
      <c r="Q113" s="1876"/>
      <c r="R113" s="1876"/>
      <c r="S113" s="1877"/>
    </row>
    <row r="114" spans="1:19" ht="15.75" x14ac:dyDescent="0.25">
      <c r="A114" s="537" t="s">
        <v>158</v>
      </c>
      <c r="B114" s="633" t="s">
        <v>159</v>
      </c>
      <c r="C114" s="1216" t="s">
        <v>264</v>
      </c>
      <c r="D114" s="1569">
        <v>4034</v>
      </c>
      <c r="E114" s="1570">
        <v>3548</v>
      </c>
      <c r="F114" s="1566">
        <v>3669</v>
      </c>
      <c r="G114" s="1550">
        <v>3465</v>
      </c>
      <c r="H114" s="1569">
        <v>2020</v>
      </c>
      <c r="I114" s="1570">
        <v>1950</v>
      </c>
      <c r="J114" s="1571">
        <v>2025</v>
      </c>
      <c r="K114" s="1550">
        <v>2170</v>
      </c>
      <c r="L114" s="1569">
        <v>247</v>
      </c>
      <c r="M114" s="1876">
        <v>309</v>
      </c>
      <c r="N114" s="1876">
        <v>237</v>
      </c>
      <c r="O114" s="1877">
        <v>207</v>
      </c>
      <c r="P114" s="1569"/>
      <c r="Q114" s="1876"/>
      <c r="R114" s="1876"/>
      <c r="S114" s="1877"/>
    </row>
    <row r="115" spans="1:19" ht="15.75" x14ac:dyDescent="0.25">
      <c r="A115" s="537" t="s">
        <v>160</v>
      </c>
      <c r="B115" s="633" t="s">
        <v>161</v>
      </c>
      <c r="C115" s="1216" t="s">
        <v>264</v>
      </c>
      <c r="D115" s="1569">
        <v>5020</v>
      </c>
      <c r="E115" s="1570">
        <v>4442</v>
      </c>
      <c r="F115" s="1566">
        <v>4426</v>
      </c>
      <c r="G115" s="1550">
        <v>3961</v>
      </c>
      <c r="H115" s="1569">
        <v>2862</v>
      </c>
      <c r="I115" s="1570">
        <v>2668</v>
      </c>
      <c r="J115" s="1571">
        <v>2699</v>
      </c>
      <c r="K115" s="1550">
        <v>2707</v>
      </c>
      <c r="L115" s="1569">
        <v>268</v>
      </c>
      <c r="M115" s="1876">
        <v>310</v>
      </c>
      <c r="N115" s="1876">
        <v>298</v>
      </c>
      <c r="O115" s="1877">
        <v>239</v>
      </c>
      <c r="P115" s="1569"/>
      <c r="Q115" s="1876"/>
      <c r="R115" s="1876"/>
      <c r="S115" s="1877"/>
    </row>
    <row r="116" spans="1:19" ht="15.75" x14ac:dyDescent="0.25">
      <c r="A116" s="537" t="s">
        <v>166</v>
      </c>
      <c r="B116" s="633" t="s">
        <v>167</v>
      </c>
      <c r="C116" s="1216" t="s">
        <v>268</v>
      </c>
      <c r="D116" s="1569">
        <v>374</v>
      </c>
      <c r="E116" s="1570">
        <v>338</v>
      </c>
      <c r="F116" s="1566">
        <v>365</v>
      </c>
      <c r="G116" s="1550">
        <v>354</v>
      </c>
      <c r="H116" s="1569">
        <v>218</v>
      </c>
      <c r="I116" s="1570">
        <v>230</v>
      </c>
      <c r="J116" s="1571">
        <v>222</v>
      </c>
      <c r="K116" s="1550">
        <v>244</v>
      </c>
      <c r="L116" s="1569">
        <v>34</v>
      </c>
      <c r="M116" s="1876">
        <v>41</v>
      </c>
      <c r="N116" s="1876">
        <v>32</v>
      </c>
      <c r="O116" s="1877">
        <v>31</v>
      </c>
      <c r="P116" s="1569"/>
      <c r="Q116" s="1876"/>
      <c r="R116" s="1876"/>
      <c r="S116" s="1877"/>
    </row>
    <row r="117" spans="1:19" ht="15.75" x14ac:dyDescent="0.25">
      <c r="A117" s="537" t="s">
        <v>176</v>
      </c>
      <c r="B117" s="633" t="s">
        <v>177</v>
      </c>
      <c r="C117" s="1216" t="s">
        <v>266</v>
      </c>
      <c r="D117" s="1569">
        <v>1812</v>
      </c>
      <c r="E117" s="1570">
        <v>1516</v>
      </c>
      <c r="F117" s="1566">
        <v>1524</v>
      </c>
      <c r="G117" s="1550">
        <v>1431</v>
      </c>
      <c r="H117" s="1569">
        <v>851</v>
      </c>
      <c r="I117" s="1570">
        <v>892</v>
      </c>
      <c r="J117" s="1571">
        <v>953</v>
      </c>
      <c r="K117" s="1550">
        <v>903</v>
      </c>
      <c r="L117" s="1569">
        <v>210</v>
      </c>
      <c r="M117" s="1876">
        <v>217</v>
      </c>
      <c r="N117" s="1876">
        <v>211</v>
      </c>
      <c r="O117" s="1877">
        <v>181</v>
      </c>
      <c r="P117" s="1569"/>
      <c r="Q117" s="1876"/>
      <c r="R117" s="1876"/>
      <c r="S117" s="1877"/>
    </row>
    <row r="118" spans="1:19" ht="15.75" x14ac:dyDescent="0.25">
      <c r="A118" s="537" t="s">
        <v>180</v>
      </c>
      <c r="B118" s="633" t="s">
        <v>181</v>
      </c>
      <c r="C118" s="1216" t="s">
        <v>264</v>
      </c>
      <c r="D118" s="1569">
        <v>2045</v>
      </c>
      <c r="E118" s="1570">
        <v>1850</v>
      </c>
      <c r="F118" s="1566">
        <v>1672</v>
      </c>
      <c r="G118" s="1550">
        <v>1754</v>
      </c>
      <c r="H118" s="1569">
        <v>1390</v>
      </c>
      <c r="I118" s="1570">
        <v>1238</v>
      </c>
      <c r="J118" s="1571">
        <v>1300</v>
      </c>
      <c r="K118" s="1550">
        <v>1214</v>
      </c>
      <c r="L118" s="1569">
        <v>290</v>
      </c>
      <c r="M118" s="1876">
        <v>190</v>
      </c>
      <c r="N118" s="1876">
        <v>291</v>
      </c>
      <c r="O118" s="1877">
        <v>154</v>
      </c>
      <c r="P118" s="1569"/>
      <c r="Q118" s="1876"/>
      <c r="R118" s="1876"/>
      <c r="S118" s="1877"/>
    </row>
    <row r="119" spans="1:19" ht="15.75" x14ac:dyDescent="0.25">
      <c r="A119" s="537" t="s">
        <v>192</v>
      </c>
      <c r="B119" s="633" t="s">
        <v>193</v>
      </c>
      <c r="C119" s="1216" t="s">
        <v>268</v>
      </c>
      <c r="D119" s="1569">
        <v>378</v>
      </c>
      <c r="E119" s="1570">
        <v>353</v>
      </c>
      <c r="F119" s="1566">
        <v>327</v>
      </c>
      <c r="G119" s="1550">
        <v>322</v>
      </c>
      <c r="H119" s="1569">
        <v>301</v>
      </c>
      <c r="I119" s="1570">
        <v>232</v>
      </c>
      <c r="J119" s="1571">
        <v>232</v>
      </c>
      <c r="K119" s="1550">
        <v>238</v>
      </c>
      <c r="L119" s="1569">
        <v>117</v>
      </c>
      <c r="M119" s="1876">
        <v>69</v>
      </c>
      <c r="N119" s="1876">
        <v>49</v>
      </c>
      <c r="O119" s="1877">
        <v>28</v>
      </c>
      <c r="P119" s="1569"/>
      <c r="Q119" s="1876"/>
      <c r="R119" s="1876"/>
      <c r="S119" s="1877"/>
    </row>
    <row r="120" spans="1:19" ht="15.75" x14ac:dyDescent="0.25">
      <c r="A120" s="537" t="s">
        <v>196</v>
      </c>
      <c r="B120" s="633" t="s">
        <v>197</v>
      </c>
      <c r="C120" s="1216" t="s">
        <v>266</v>
      </c>
      <c r="D120" s="1569">
        <v>5720</v>
      </c>
      <c r="E120" s="1570">
        <v>5262</v>
      </c>
      <c r="F120" s="1566">
        <v>5439</v>
      </c>
      <c r="G120" s="1550">
        <v>4864</v>
      </c>
      <c r="H120" s="1569">
        <v>3288</v>
      </c>
      <c r="I120" s="1570">
        <v>3177</v>
      </c>
      <c r="J120" s="1571">
        <v>2382</v>
      </c>
      <c r="K120" s="1550">
        <v>2501</v>
      </c>
      <c r="L120" s="1569">
        <v>508</v>
      </c>
      <c r="M120" s="1876">
        <v>493</v>
      </c>
      <c r="N120" s="1876">
        <v>593</v>
      </c>
      <c r="O120" s="1877">
        <v>486</v>
      </c>
      <c r="P120" s="1569"/>
      <c r="Q120" s="1876"/>
      <c r="R120" s="1876"/>
      <c r="S120" s="1877"/>
    </row>
    <row r="121" spans="1:19" ht="15.75" x14ac:dyDescent="0.25">
      <c r="A121" s="537" t="s">
        <v>200</v>
      </c>
      <c r="B121" s="633" t="s">
        <v>201</v>
      </c>
      <c r="C121" s="1216" t="s">
        <v>265</v>
      </c>
      <c r="D121" s="1569">
        <v>3412</v>
      </c>
      <c r="E121" s="1570">
        <v>3160</v>
      </c>
      <c r="F121" s="1566">
        <v>3288</v>
      </c>
      <c r="G121" s="1550">
        <v>3047</v>
      </c>
      <c r="H121" s="1569">
        <v>1804</v>
      </c>
      <c r="I121" s="1570">
        <v>1823</v>
      </c>
      <c r="J121" s="1571">
        <v>1844</v>
      </c>
      <c r="K121" s="1550">
        <v>1894</v>
      </c>
      <c r="L121" s="1569">
        <v>441</v>
      </c>
      <c r="M121" s="1876">
        <v>486</v>
      </c>
      <c r="N121" s="1876">
        <v>335</v>
      </c>
      <c r="O121" s="1877">
        <v>299</v>
      </c>
      <c r="P121" s="1569"/>
      <c r="Q121" s="1876"/>
      <c r="R121" s="1876"/>
      <c r="S121" s="1877"/>
    </row>
    <row r="122" spans="1:19" ht="15.75" x14ac:dyDescent="0.25">
      <c r="A122" s="537" t="s">
        <v>222</v>
      </c>
      <c r="B122" s="633" t="s">
        <v>223</v>
      </c>
      <c r="C122" s="1216" t="s">
        <v>264</v>
      </c>
      <c r="D122" s="1569">
        <v>2075</v>
      </c>
      <c r="E122" s="1570">
        <v>1790</v>
      </c>
      <c r="F122" s="1566">
        <v>1833</v>
      </c>
      <c r="G122" s="1550">
        <v>1675</v>
      </c>
      <c r="H122" s="1569">
        <v>1046</v>
      </c>
      <c r="I122" s="1570">
        <v>1017</v>
      </c>
      <c r="J122" s="1571">
        <v>1055</v>
      </c>
      <c r="K122" s="1550">
        <v>1068</v>
      </c>
      <c r="L122" s="1569">
        <v>262</v>
      </c>
      <c r="M122" s="1876">
        <v>236</v>
      </c>
      <c r="N122" s="1876">
        <v>202</v>
      </c>
      <c r="O122" s="1877">
        <v>142</v>
      </c>
      <c r="P122" s="1569"/>
      <c r="Q122" s="1876"/>
      <c r="R122" s="1876"/>
      <c r="S122" s="1877"/>
    </row>
    <row r="123" spans="1:19" ht="15.75" x14ac:dyDescent="0.25">
      <c r="A123" s="537" t="s">
        <v>230</v>
      </c>
      <c r="B123" s="633" t="s">
        <v>231</v>
      </c>
      <c r="C123" s="1216" t="s">
        <v>264</v>
      </c>
      <c r="D123" s="1569">
        <v>2782</v>
      </c>
      <c r="E123" s="1570">
        <v>2413</v>
      </c>
      <c r="F123" s="1566">
        <v>2321</v>
      </c>
      <c r="G123" s="1550">
        <v>2161</v>
      </c>
      <c r="H123" s="1569">
        <v>1280</v>
      </c>
      <c r="I123" s="1570">
        <v>1237</v>
      </c>
      <c r="J123" s="1571">
        <v>1149</v>
      </c>
      <c r="K123" s="1550">
        <v>1181</v>
      </c>
      <c r="L123" s="1569">
        <v>275</v>
      </c>
      <c r="M123" s="1876">
        <v>293</v>
      </c>
      <c r="N123" s="1876">
        <v>251</v>
      </c>
      <c r="O123" s="1877">
        <v>222</v>
      </c>
      <c r="P123" s="1569"/>
      <c r="Q123" s="1876"/>
      <c r="R123" s="1876"/>
      <c r="S123" s="1877"/>
    </row>
    <row r="124" spans="1:19" ht="15.75" x14ac:dyDescent="0.25">
      <c r="A124" s="537" t="s">
        <v>238</v>
      </c>
      <c r="B124" s="633" t="s">
        <v>239</v>
      </c>
      <c r="C124" s="1216" t="s">
        <v>264</v>
      </c>
      <c r="D124" s="1569">
        <v>55</v>
      </c>
      <c r="E124" s="1570">
        <v>42</v>
      </c>
      <c r="F124" s="1566">
        <v>41</v>
      </c>
      <c r="G124" s="1550">
        <v>43</v>
      </c>
      <c r="H124" s="1569">
        <v>24</v>
      </c>
      <c r="I124" s="1570">
        <v>22</v>
      </c>
      <c r="J124" s="1571">
        <v>31</v>
      </c>
      <c r="K124" s="1550">
        <v>26</v>
      </c>
      <c r="L124" s="1569">
        <v>5</v>
      </c>
      <c r="M124" s="1876">
        <v>4</v>
      </c>
      <c r="N124" s="1876">
        <v>11</v>
      </c>
      <c r="O124" s="1877">
        <v>3</v>
      </c>
      <c r="P124" s="1569"/>
      <c r="Q124" s="1876"/>
      <c r="R124" s="1876"/>
      <c r="S124" s="1877"/>
    </row>
    <row r="125" spans="1:19" ht="15.75" x14ac:dyDescent="0.25">
      <c r="A125" s="538" t="s">
        <v>240</v>
      </c>
      <c r="B125" s="541" t="s">
        <v>241</v>
      </c>
      <c r="C125" s="1217" t="s">
        <v>267</v>
      </c>
      <c r="D125" s="1572">
        <v>456</v>
      </c>
      <c r="E125" s="1573">
        <v>395</v>
      </c>
      <c r="F125" s="1567">
        <v>396</v>
      </c>
      <c r="G125" s="1873">
        <v>391</v>
      </c>
      <c r="H125" s="1572">
        <v>220</v>
      </c>
      <c r="I125" s="1573">
        <v>191</v>
      </c>
      <c r="J125" s="1574">
        <v>211</v>
      </c>
      <c r="K125" s="1873">
        <v>191</v>
      </c>
      <c r="L125" s="1572">
        <v>81</v>
      </c>
      <c r="M125" s="1878">
        <v>77</v>
      </c>
      <c r="N125" s="1878">
        <v>56</v>
      </c>
      <c r="O125" s="1877">
        <v>42</v>
      </c>
      <c r="P125" s="1572"/>
      <c r="Q125" s="1878"/>
      <c r="R125" s="1878"/>
      <c r="S125" s="1877"/>
    </row>
    <row r="127" spans="1:19" ht="15.75" x14ac:dyDescent="0.25">
      <c r="A127" s="2270" t="s">
        <v>1307</v>
      </c>
      <c r="B127" s="2270"/>
      <c r="C127" s="2270"/>
      <c r="D127" s="2270"/>
      <c r="E127" s="1187"/>
      <c r="F127" s="1546"/>
      <c r="G127" s="1840"/>
      <c r="I127" s="1187"/>
      <c r="J127" s="1546"/>
      <c r="K127" s="1840"/>
      <c r="M127" s="1187"/>
      <c r="N127" s="1546"/>
      <c r="O127" s="1840"/>
    </row>
    <row r="129" spans="1:3" s="412" customFormat="1" ht="15.75" x14ac:dyDescent="0.25">
      <c r="A129" s="412" t="s">
        <v>248</v>
      </c>
    </row>
    <row r="130" spans="1:3" s="412" customFormat="1" ht="15.75" x14ac:dyDescent="0.25">
      <c r="A130" s="413" t="s">
        <v>249</v>
      </c>
      <c r="B130" s="414" t="s">
        <v>250</v>
      </c>
      <c r="C130" s="414"/>
    </row>
  </sheetData>
  <autoFilter ref="A4:C125"/>
  <sortState ref="A5:S124">
    <sortCondition ref="A5:A124"/>
  </sortState>
  <mergeCells count="5">
    <mergeCell ref="P3:S3"/>
    <mergeCell ref="A127:D127"/>
    <mergeCell ref="L3:O3"/>
    <mergeCell ref="H3:K3"/>
    <mergeCell ref="D3:G3"/>
  </mergeCells>
  <hyperlinks>
    <hyperlink ref="B130"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10" sqref="F10:H10"/>
    </sheetView>
  </sheetViews>
  <sheetFormatPr defaultRowHeight="15.75" x14ac:dyDescent="0.25"/>
  <cols>
    <col min="6" max="6" width="9.875" bestFit="1" customWidth="1"/>
    <col min="9" max="11" width="11.625" customWidth="1"/>
    <col min="12" max="12" width="12.5" customWidth="1"/>
  </cols>
  <sheetData>
    <row r="1" spans="1:24" s="66" customFormat="1" ht="15.75" customHeight="1" x14ac:dyDescent="0.2">
      <c r="A1" s="2140" t="s">
        <v>1095</v>
      </c>
      <c r="B1" s="2140"/>
      <c r="C1" s="2234" t="s">
        <v>265</v>
      </c>
      <c r="D1" s="2235"/>
      <c r="E1" s="2235"/>
      <c r="F1" s="2236"/>
      <c r="G1" s="1501"/>
      <c r="H1" s="1498"/>
      <c r="I1" s="1497"/>
      <c r="J1" s="1499"/>
      <c r="K1" s="1502"/>
      <c r="L1" s="1502"/>
      <c r="M1" s="161"/>
      <c r="N1" s="161"/>
      <c r="Q1" s="71"/>
      <c r="R1" s="71"/>
      <c r="S1" s="71"/>
    </row>
    <row r="2" spans="1:24" s="66" customFormat="1" ht="15.75" customHeight="1" x14ac:dyDescent="0.2">
      <c r="A2" s="1481"/>
      <c r="B2" s="1481"/>
      <c r="C2" s="1500"/>
      <c r="D2" s="1500"/>
      <c r="E2" s="1500"/>
      <c r="F2" s="1500"/>
      <c r="G2" s="1497"/>
      <c r="H2" s="1498"/>
      <c r="I2" s="1497"/>
      <c r="J2" s="1499"/>
      <c r="K2" s="161"/>
      <c r="L2" s="161"/>
      <c r="M2" s="161"/>
      <c r="N2" s="161"/>
      <c r="Q2" s="71"/>
      <c r="R2" s="71"/>
      <c r="S2" s="71"/>
    </row>
    <row r="3" spans="1:24" s="66" customFormat="1" ht="13.5" customHeight="1" x14ac:dyDescent="0.2">
      <c r="F3" s="2064" t="s">
        <v>1357</v>
      </c>
      <c r="G3" s="2065"/>
      <c r="H3" s="2066"/>
      <c r="I3" s="2051" t="s">
        <v>314</v>
      </c>
      <c r="J3" s="2176" t="s">
        <v>315</v>
      </c>
      <c r="K3" s="2178" t="s">
        <v>662</v>
      </c>
      <c r="L3" s="2192" t="s">
        <v>1067</v>
      </c>
      <c r="M3" s="78"/>
      <c r="N3" s="83"/>
      <c r="S3" s="82"/>
      <c r="T3" s="92"/>
      <c r="U3" s="127"/>
      <c r="V3" s="80"/>
      <c r="W3" s="80"/>
      <c r="X3" s="87"/>
    </row>
    <row r="4" spans="1:24" s="66" customFormat="1" ht="13.5" customHeight="1" x14ac:dyDescent="0.2">
      <c r="F4" s="2067" t="str">
        <f>C1</f>
        <v>Piedmont</v>
      </c>
      <c r="G4" s="2068"/>
      <c r="H4" s="2069"/>
      <c r="I4" s="2052"/>
      <c r="J4" s="2177"/>
      <c r="K4" s="2179"/>
      <c r="L4" s="2193"/>
      <c r="M4" s="78"/>
      <c r="N4" s="83"/>
      <c r="S4" s="82"/>
      <c r="T4" s="92"/>
      <c r="U4" s="127"/>
      <c r="V4" s="80"/>
      <c r="W4" s="80"/>
      <c r="X4" s="87"/>
    </row>
    <row r="5" spans="1:24" s="66" customFormat="1" ht="13.5" customHeight="1" x14ac:dyDescent="0.2">
      <c r="F5" s="2172" t="s">
        <v>317</v>
      </c>
      <c r="G5" s="2173"/>
      <c r="H5" s="2173"/>
      <c r="I5" s="1443">
        <f>I6+I7</f>
        <v>49444076.197380669</v>
      </c>
      <c r="J5" s="1443">
        <f t="shared" ref="J5:L5" si="0">J6+J7</f>
        <v>20184328.652619332</v>
      </c>
      <c r="K5" s="1443">
        <f t="shared" si="0"/>
        <v>37313236.690000005</v>
      </c>
      <c r="L5" s="1444">
        <f t="shared" si="0"/>
        <v>106941641.54000001</v>
      </c>
      <c r="M5" s="78"/>
      <c r="N5" s="83"/>
      <c r="S5" s="82"/>
      <c r="U5" s="87"/>
      <c r="V5" s="87"/>
      <c r="W5" s="87"/>
      <c r="X5" s="87"/>
    </row>
    <row r="6" spans="1:24" s="66" customFormat="1" ht="13.5" customHeight="1" x14ac:dyDescent="0.2">
      <c r="F6" s="2047" t="s">
        <v>926</v>
      </c>
      <c r="G6" s="2048"/>
      <c r="H6" s="2048"/>
      <c r="I6" s="1359">
        <f>VLOOKUP(C1,Staffing_LASER,4,FALSE)</f>
        <v>46558273.957380667</v>
      </c>
      <c r="J6" s="1445">
        <f>VLOOKUP(C1,Staffing_LASER,5,FALSE)</f>
        <v>20184328.652619332</v>
      </c>
      <c r="K6" s="1445">
        <f>VLOOKUP(C1,Staffing_LASER,11,FALSE)</f>
        <v>29388046.040000003</v>
      </c>
      <c r="L6" s="389">
        <f>VLOOKUP(C1,Staffing_LASER,9,FALSE)</f>
        <v>96130648.650000006</v>
      </c>
      <c r="M6" s="78"/>
      <c r="N6" s="83"/>
      <c r="S6" s="82"/>
      <c r="U6" s="128"/>
      <c r="V6" s="80"/>
      <c r="W6" s="80"/>
      <c r="X6" s="87"/>
    </row>
    <row r="7" spans="1:24" s="66" customFormat="1" ht="13.5" customHeight="1" x14ac:dyDescent="0.2">
      <c r="F7" s="2047" t="s">
        <v>955</v>
      </c>
      <c r="G7" s="2048"/>
      <c r="H7" s="2048"/>
      <c r="I7" s="1359">
        <f>VLOOKUP(C1,Other_Oper_Exp_LASER,4,FALSE)</f>
        <v>2885802.2399999998</v>
      </c>
      <c r="J7" s="1445">
        <f>VLOOKUP(C1,Other_Oper_Exp_LASER,5,FALSE)</f>
        <v>0</v>
      </c>
      <c r="K7" s="1445">
        <f>VLOOKUP(C1,Other_Oper_Exp_LASER,11,FALSE)</f>
        <v>7925190.6500000004</v>
      </c>
      <c r="L7" s="389">
        <f>VLOOKUP(C1,Other_Oper_Exp_LASER,9,FALSE)</f>
        <v>10810992.890000001</v>
      </c>
      <c r="O7" s="312"/>
      <c r="P7" s="312"/>
      <c r="Q7" s="302"/>
      <c r="R7" s="301"/>
      <c r="S7" s="82"/>
      <c r="T7" s="81"/>
      <c r="U7" s="81"/>
      <c r="V7" s="81"/>
      <c r="W7" s="81"/>
    </row>
    <row r="8" spans="1:24" s="66" customFormat="1" ht="13.5" customHeight="1" x14ac:dyDescent="0.2">
      <c r="F8" s="2049" t="s">
        <v>1060</v>
      </c>
      <c r="G8" s="2050"/>
      <c r="H8" s="2050"/>
      <c r="I8" s="1397">
        <f>I5/L5</f>
        <v>0.46234633661282271</v>
      </c>
      <c r="J8" s="1397">
        <f>J5/L5</f>
        <v>0.18874152633115951</v>
      </c>
      <c r="K8" s="1397">
        <f>K5/L5</f>
        <v>0.34891213705601776</v>
      </c>
      <c r="L8" s="1398">
        <f>L5/L5</f>
        <v>1</v>
      </c>
      <c r="O8" s="312"/>
      <c r="P8" s="312"/>
      <c r="Q8" s="302"/>
      <c r="R8" s="301"/>
      <c r="S8" s="82"/>
    </row>
    <row r="9" spans="1:24" s="66" customFormat="1" ht="13.5" customHeight="1" x14ac:dyDescent="0.2">
      <c r="F9" s="2059" t="s">
        <v>1057</v>
      </c>
      <c r="G9" s="2060"/>
      <c r="H9" s="2060"/>
      <c r="I9" s="1446">
        <f>I5/I24</f>
        <v>4.5234322397974883E-2</v>
      </c>
      <c r="J9" s="1446">
        <f>J5/J24</f>
        <v>2.318783348025175E-2</v>
      </c>
      <c r="K9" s="1446">
        <f>K5/K24</f>
        <v>0.54350635802334302</v>
      </c>
      <c r="L9" s="1447">
        <f>L5/L24</f>
        <v>5.2623867492067544E-2</v>
      </c>
      <c r="O9" s="312"/>
      <c r="P9" s="312"/>
      <c r="Q9" s="303"/>
      <c r="R9" s="301"/>
      <c r="S9" s="82"/>
    </row>
    <row r="10" spans="1:24" s="66" customFormat="1" ht="13.5" customHeight="1" x14ac:dyDescent="0.2">
      <c r="F10" s="2170" t="s">
        <v>958</v>
      </c>
      <c r="G10" s="2171"/>
      <c r="H10" s="2171"/>
      <c r="I10" s="1703">
        <f>VLOOKUP(C1,Client_Svcs_LASER,4,FALSE)</f>
        <v>2307824.9945180579</v>
      </c>
      <c r="J10" s="1704">
        <f>VLOOKUP(C1,Client_Svcs_LASER,5,FALSE)</f>
        <v>1746268.9554819423</v>
      </c>
      <c r="K10" s="1704">
        <f>VLOOKUP(C1,Client_Svcs_LASER,11,FALSE)</f>
        <v>843344.01000000013</v>
      </c>
      <c r="L10" s="1705">
        <f>VLOOKUP(C1,Client_Svcs_LASER,9, FALSE)</f>
        <v>4897437.9600000009</v>
      </c>
      <c r="O10" s="312"/>
      <c r="P10" s="312"/>
      <c r="Q10" s="303"/>
      <c r="R10" s="301"/>
      <c r="S10" s="82"/>
      <c r="T10" s="81"/>
      <c r="U10" s="81" t="s">
        <v>1066</v>
      </c>
      <c r="V10" s="81" t="s">
        <v>1065</v>
      </c>
      <c r="W10" s="81" t="s">
        <v>1064</v>
      </c>
    </row>
    <row r="11" spans="1:24" s="66" customFormat="1" ht="13.5" customHeight="1" x14ac:dyDescent="0.2">
      <c r="F11" s="1480" t="s">
        <v>1061</v>
      </c>
      <c r="G11" s="1395"/>
      <c r="H11" s="1395"/>
      <c r="I11" s="1397">
        <f>I10/L10</f>
        <v>0.4712310831433294</v>
      </c>
      <c r="J11" s="1399">
        <f>J10/L10</f>
        <v>0.35656785644752548</v>
      </c>
      <c r="K11" s="1399">
        <f>K10/L10</f>
        <v>0.17220106040914501</v>
      </c>
      <c r="L11" s="1400">
        <f>L10/L10</f>
        <v>1</v>
      </c>
      <c r="O11" s="312"/>
      <c r="P11" s="312"/>
      <c r="Q11" s="303"/>
      <c r="R11" s="301"/>
      <c r="S11" s="82"/>
      <c r="T11" s="81"/>
      <c r="U11" s="81"/>
      <c r="V11" s="81"/>
      <c r="W11" s="81"/>
    </row>
    <row r="12" spans="1:24" s="66" customFormat="1" ht="13.5" customHeight="1" x14ac:dyDescent="0.2">
      <c r="F12" s="2168" t="s">
        <v>1058</v>
      </c>
      <c r="G12" s="2169"/>
      <c r="H12" s="2169"/>
      <c r="I12" s="1448">
        <f>I10/I24</f>
        <v>2.1113327999778614E-3</v>
      </c>
      <c r="J12" s="1449">
        <f>J10/J24</f>
        <v>2.0061204139278487E-3</v>
      </c>
      <c r="K12" s="1449">
        <f>K10/K24</f>
        <v>1.2284188456873903E-2</v>
      </c>
      <c r="L12" s="1450">
        <f>L10/L24</f>
        <v>2.4099323944009625E-3</v>
      </c>
      <c r="O12" s="311"/>
      <c r="P12" s="311"/>
      <c r="S12" s="82"/>
      <c r="T12" s="81" t="s">
        <v>314</v>
      </c>
      <c r="U12" s="1406">
        <f>I9</f>
        <v>4.5234322397974883E-2</v>
      </c>
      <c r="V12" s="1406">
        <f>I12</f>
        <v>2.1113327999778614E-3</v>
      </c>
      <c r="W12" s="1406">
        <f>I23</f>
        <v>0.95265434480204714</v>
      </c>
      <c r="X12" s="87"/>
    </row>
    <row r="13" spans="1:24" s="66" customFormat="1" ht="13.5" customHeight="1" x14ac:dyDescent="0.2">
      <c r="F13" s="2166" t="s">
        <v>641</v>
      </c>
      <c r="G13" s="2167"/>
      <c r="H13" s="2167"/>
      <c r="I13" s="1443">
        <f>SUM(I14:I21)</f>
        <v>1041313575.9996917</v>
      </c>
      <c r="J13" s="1443">
        <f>SUM(J14:J21)</f>
        <v>848540059.76528406</v>
      </c>
      <c r="K13" s="1443">
        <f>SUM(K14:K21)</f>
        <v>30496225.544444039</v>
      </c>
      <c r="L13" s="1444">
        <f>SUM(L14:L21)</f>
        <v>1920349861.3094199</v>
      </c>
      <c r="O13" s="311"/>
      <c r="P13" s="311"/>
      <c r="S13" s="82"/>
      <c r="T13" s="81" t="s">
        <v>315</v>
      </c>
      <c r="U13" s="1406">
        <f>J9</f>
        <v>2.318783348025175E-2</v>
      </c>
      <c r="V13" s="1406">
        <f>J12</f>
        <v>2.0061204139278487E-3</v>
      </c>
      <c r="W13" s="1406">
        <f>J23</f>
        <v>0.97480604610582045</v>
      </c>
      <c r="X13" s="87"/>
    </row>
    <row r="14" spans="1:24" s="66" customFormat="1" ht="13.5" customHeight="1" x14ac:dyDescent="0.2">
      <c r="F14" s="2047" t="s">
        <v>959</v>
      </c>
      <c r="G14" s="2048"/>
      <c r="H14" s="2048"/>
      <c r="I14" s="1706">
        <f>VLOOKUP(C1,Medicaid_FAMIS_LASER,5,FALSE)</f>
        <v>777982154.62966168</v>
      </c>
      <c r="J14" s="1707">
        <f>VLOOKUP(C1,Medicaid_FAMIS_LASER,6,FALSE)</f>
        <v>748259057.40531397</v>
      </c>
      <c r="K14" s="1707">
        <f>VLOOKUP(C1,Medicaid_FAMIS_LASER,7,FALSE)</f>
        <v>3899672.6644440377</v>
      </c>
      <c r="L14" s="1708">
        <f>VLOOKUP(C1,Medicaid_FAMIS_LASER,4,FALSE)</f>
        <v>1530140884.6994197</v>
      </c>
      <c r="O14" s="311"/>
      <c r="P14" s="311"/>
      <c r="S14" s="82"/>
      <c r="T14" s="81" t="s">
        <v>662</v>
      </c>
      <c r="U14" s="1406">
        <f>K9</f>
        <v>0.54350635802334302</v>
      </c>
      <c r="V14" s="1406">
        <f>K12</f>
        <v>1.2284188456873903E-2</v>
      </c>
      <c r="W14" s="1406">
        <f>K23</f>
        <v>0.44420945351978308</v>
      </c>
      <c r="X14" s="87"/>
    </row>
    <row r="15" spans="1:24" s="66" customFormat="1" ht="13.5" customHeight="1" x14ac:dyDescent="0.2">
      <c r="F15" s="2047" t="s">
        <v>1072</v>
      </c>
      <c r="G15" s="2048"/>
      <c r="H15" s="2048"/>
      <c r="I15" s="1706">
        <f>VLOOKUP(C1,SNAP_LASER,5,FALSE)</f>
        <v>210401402</v>
      </c>
      <c r="J15" s="1707">
        <v>0</v>
      </c>
      <c r="K15" s="1707">
        <v>0</v>
      </c>
      <c r="L15" s="1708">
        <f>VLOOKUP(C1,SNAP_LASER,4,FALSE)</f>
        <v>210401402</v>
      </c>
      <c r="M15" s="78"/>
      <c r="N15" s="83"/>
      <c r="O15" s="83"/>
      <c r="P15" s="83"/>
      <c r="S15" s="82"/>
      <c r="T15" s="81" t="s">
        <v>281</v>
      </c>
      <c r="U15" s="1406">
        <f>L9</f>
        <v>5.2623867492067544E-2</v>
      </c>
      <c r="V15" s="1406">
        <f>L12</f>
        <v>2.4099323944009625E-3</v>
      </c>
      <c r="W15" s="1406">
        <f>L23</f>
        <v>0.9449662001135315</v>
      </c>
      <c r="X15" s="87"/>
    </row>
    <row r="16" spans="1:24" s="66" customFormat="1" ht="13.5" customHeight="1" x14ac:dyDescent="0.2">
      <c r="F16" s="2047" t="s">
        <v>966</v>
      </c>
      <c r="G16" s="2048"/>
      <c r="H16" s="2048"/>
      <c r="I16" s="1706">
        <f>VLOOKUP(C1,TANF_LASER,4,FALSE)</f>
        <v>5669161.6200299999</v>
      </c>
      <c r="J16" s="1706">
        <f>VLOOKUP(C1,TANF_LASER,6,FALSE)</f>
        <v>7577128.8299700003</v>
      </c>
      <c r="K16" s="1706">
        <f>VLOOKUP(C1,TANF_LASER,10,FALSE)</f>
        <v>0</v>
      </c>
      <c r="L16" s="1709">
        <f>VLOOKUP(C1,TANF_LASER,9,FALSE)</f>
        <v>13246290.449999999</v>
      </c>
      <c r="M16" s="78"/>
      <c r="N16" s="83"/>
      <c r="O16" s="83"/>
      <c r="P16" s="83"/>
      <c r="S16" s="82"/>
      <c r="T16" s="81"/>
      <c r="U16" s="81"/>
      <c r="V16" s="81"/>
      <c r="W16" s="81"/>
    </row>
    <row r="17" spans="1:23" s="66" customFormat="1" ht="13.5" customHeight="1" x14ac:dyDescent="0.2">
      <c r="F17" s="2047" t="s">
        <v>1073</v>
      </c>
      <c r="G17" s="2048"/>
      <c r="H17" s="2048"/>
      <c r="I17" s="1706">
        <f>VLOOKUP(C1,EA_LASER,5,FALSE)</f>
        <v>15327900.020000001</v>
      </c>
      <c r="J17" s="1707">
        <f>VLOOKUP(C1,EA_LASER,7,FALSE)</f>
        <v>0</v>
      </c>
      <c r="K17" s="1707">
        <f>VLOOKUP(C1,EA_LASER,10,FALSE)</f>
        <v>0</v>
      </c>
      <c r="L17" s="1708">
        <f>VLOOKUP(C1,EA_LASER,4,FALSE)</f>
        <v>15327900.020000001</v>
      </c>
      <c r="M17" s="78"/>
      <c r="N17" s="83"/>
      <c r="O17" s="83"/>
      <c r="P17" s="83"/>
      <c r="S17" s="82"/>
      <c r="T17" s="81"/>
      <c r="U17" s="81"/>
      <c r="V17" s="81"/>
      <c r="W17" s="81"/>
    </row>
    <row r="18" spans="1:23" s="66" customFormat="1" ht="13.5" customHeight="1" x14ac:dyDescent="0.2">
      <c r="F18" s="2047" t="s">
        <v>985</v>
      </c>
      <c r="G18" s="2048"/>
      <c r="H18" s="2048"/>
      <c r="I18" s="1706">
        <f>VLOOKUP(C1,FC_Adop_LASER,4,FALSE)</f>
        <v>18871921.740000002</v>
      </c>
      <c r="J18" s="1706">
        <f>VLOOKUP(C1,FC_Adop_LASER,5,FALSE)</f>
        <v>25373864.120000001</v>
      </c>
      <c r="K18" s="1706">
        <f>VLOOKUP(C1,FC_Adop_LASER,8,FALSE)</f>
        <v>8401.18</v>
      </c>
      <c r="L18" s="1709">
        <f>VLOOKUP(C1,FC_Adop_LASER,9,FALSE)</f>
        <v>44254187.039999999</v>
      </c>
      <c r="M18" s="78"/>
      <c r="N18" s="83"/>
      <c r="O18" s="83"/>
      <c r="P18" s="83"/>
      <c r="S18" s="82"/>
      <c r="T18" s="81"/>
      <c r="U18" s="81"/>
      <c r="V18" s="81"/>
      <c r="W18" s="81"/>
    </row>
    <row r="19" spans="1:23" s="66" customFormat="1" ht="13.5" customHeight="1" x14ac:dyDescent="0.2">
      <c r="F19" s="2047" t="s">
        <v>1354</v>
      </c>
      <c r="G19" s="2048"/>
      <c r="H19" s="2048"/>
      <c r="I19" s="1706">
        <f>VLOOKUP(C1,CSA_LASER,4,FALSE)</f>
        <v>0</v>
      </c>
      <c r="J19" s="1706">
        <f>VLOOKUP(C1,CSA_LASER,5,FALSE)</f>
        <v>60221632.189999998</v>
      </c>
      <c r="K19" s="1706">
        <f>VLOOKUP(C1,CSA_LASER,9,FALSE)</f>
        <v>25537470.200000003</v>
      </c>
      <c r="L19" s="1709">
        <f>VLOOKUP(C1,CSA_LASER,8,FALSE)</f>
        <v>85759102.390000001</v>
      </c>
      <c r="M19" s="78"/>
      <c r="N19" s="83"/>
      <c r="O19" s="83"/>
      <c r="P19" s="83"/>
      <c r="S19" s="82"/>
      <c r="T19" s="81"/>
      <c r="U19" s="81"/>
      <c r="V19" s="81"/>
      <c r="W19" s="81"/>
    </row>
    <row r="20" spans="1:23" s="66" customFormat="1" ht="13.5" customHeight="1" x14ac:dyDescent="0.2">
      <c r="F20" s="1478" t="s">
        <v>1011</v>
      </c>
      <c r="G20" s="1479"/>
      <c r="H20" s="1479"/>
      <c r="I20" s="1706">
        <f>VLOOKUP(C1,ChildCareLASER,9,FALSE)</f>
        <v>12300878.5</v>
      </c>
      <c r="J20" s="1706">
        <f>VLOOKUP(C1,ChildCareLASER,10,FALSE)</f>
        <v>3117305.5</v>
      </c>
      <c r="K20" s="1707">
        <v>0</v>
      </c>
      <c r="L20" s="1708">
        <f>VLOOKUP(C1,ChildCareLASER,8,FALSE)</f>
        <v>15418184</v>
      </c>
      <c r="M20" s="78"/>
      <c r="N20" s="83"/>
      <c r="O20" s="83"/>
      <c r="P20" s="83"/>
      <c r="S20" s="82"/>
      <c r="T20" s="81"/>
      <c r="U20" s="81"/>
      <c r="V20" s="81"/>
      <c r="W20" s="81"/>
    </row>
    <row r="21" spans="1:23" s="66" customFormat="1" ht="13.5" customHeight="1" x14ac:dyDescent="0.2">
      <c r="F21" s="2047" t="s">
        <v>1012</v>
      </c>
      <c r="G21" s="2048"/>
      <c r="H21" s="2048"/>
      <c r="I21" s="1706">
        <f>VLOOKUP(C1,OT_BENE_LASER,4,FALSE)</f>
        <v>760157.49</v>
      </c>
      <c r="J21" s="1706">
        <f>VLOOKUP(C1,OT_BENE_LASER,5,FALSE)</f>
        <v>3991071.7199999997</v>
      </c>
      <c r="K21" s="1706">
        <f>VLOOKUP(C1,OT_BENE_LASER,8,FALSE)</f>
        <v>1050681.5000000002</v>
      </c>
      <c r="L21" s="1709">
        <f>VLOOKUP(C1,OT_BENE_LASER,9,FALSE)</f>
        <v>5801910.71</v>
      </c>
      <c r="M21" s="78"/>
      <c r="N21" s="83"/>
      <c r="O21" s="83"/>
      <c r="P21" s="83"/>
      <c r="S21" s="82"/>
      <c r="T21" s="81"/>
      <c r="U21" s="81"/>
      <c r="V21" s="81"/>
      <c r="W21" s="81"/>
    </row>
    <row r="22" spans="1:23" s="66" customFormat="1" ht="13.5" customHeight="1" x14ac:dyDescent="0.2">
      <c r="F22" s="2049" t="s">
        <v>1062</v>
      </c>
      <c r="G22" s="2050"/>
      <c r="H22" s="2050"/>
      <c r="I22" s="1397">
        <f>I13/L13</f>
        <v>0.54225201197955464</v>
      </c>
      <c r="J22" s="1397">
        <f>J13/L13</f>
        <v>0.44186743096213421</v>
      </c>
      <c r="K22" s="1397">
        <f>K13/L13</f>
        <v>1.5880557058311096E-2</v>
      </c>
      <c r="L22" s="1398">
        <f>L13/L13</f>
        <v>1</v>
      </c>
      <c r="M22" s="78"/>
      <c r="N22" s="83"/>
      <c r="O22" s="83"/>
      <c r="P22" s="83"/>
      <c r="S22" s="82"/>
      <c r="T22" s="81"/>
      <c r="U22" s="81"/>
      <c r="V22" s="81"/>
      <c r="W22" s="81"/>
    </row>
    <row r="23" spans="1:23" s="66" customFormat="1" ht="13.5" customHeight="1" x14ac:dyDescent="0.2">
      <c r="F23" s="2059" t="s">
        <v>1059</v>
      </c>
      <c r="G23" s="2060"/>
      <c r="H23" s="2060"/>
      <c r="I23" s="1452">
        <f>I13/I24</f>
        <v>0.95265434480204714</v>
      </c>
      <c r="J23" s="1452">
        <f>J13/J24</f>
        <v>0.97480604610582045</v>
      </c>
      <c r="K23" s="1452">
        <f>K13/K24</f>
        <v>0.44420945351978308</v>
      </c>
      <c r="L23" s="1453">
        <f>L13/L24</f>
        <v>0.9449662001135315</v>
      </c>
      <c r="M23" s="78"/>
      <c r="N23" s="83"/>
      <c r="O23" s="83"/>
      <c r="P23" s="83"/>
      <c r="S23" s="82"/>
      <c r="T23" s="81"/>
      <c r="U23" s="81"/>
      <c r="V23" s="81"/>
      <c r="W23" s="81"/>
    </row>
    <row r="24" spans="1:23" s="66" customFormat="1" ht="13.5" customHeight="1" x14ac:dyDescent="0.2">
      <c r="F24" s="2181" t="s">
        <v>1068</v>
      </c>
      <c r="G24" s="2182"/>
      <c r="H24" s="2182"/>
      <c r="I24" s="1844">
        <f>I5+I10+I13</f>
        <v>1093065477.1915905</v>
      </c>
      <c r="J24" s="1844">
        <f>J5+J10+J13</f>
        <v>870470657.37338531</v>
      </c>
      <c r="K24" s="1844">
        <f>K5+K10+K13</f>
        <v>68652806.244444042</v>
      </c>
      <c r="L24" s="1405">
        <f>L5+L10+L13</f>
        <v>2032188940.8094199</v>
      </c>
      <c r="M24" s="92"/>
      <c r="N24" s="92"/>
      <c r="O24" s="83"/>
      <c r="P24" s="83"/>
      <c r="S24" s="82"/>
      <c r="T24" s="81"/>
      <c r="U24" s="81"/>
      <c r="V24" s="81"/>
      <c r="W24" s="81"/>
    </row>
    <row r="25" spans="1:23" s="66" customFormat="1" ht="13.5" customHeight="1" x14ac:dyDescent="0.2">
      <c r="F25" s="1454" t="s">
        <v>1063</v>
      </c>
      <c r="G25" s="1455"/>
      <c r="H25" s="1456"/>
      <c r="I25" s="1457">
        <f>I24/$L24</f>
        <v>0.53787591067010876</v>
      </c>
      <c r="J25" s="390">
        <f>J24/$L24</f>
        <v>0.42834140069017268</v>
      </c>
      <c r="K25" s="390">
        <f>K24/$L24</f>
        <v>3.378268863971854E-2</v>
      </c>
      <c r="L25" s="391">
        <f>SUM(I25:K25)</f>
        <v>1</v>
      </c>
      <c r="M25" s="92"/>
      <c r="N25" s="92"/>
      <c r="P25" s="83"/>
      <c r="S25" s="82"/>
      <c r="T25" s="81"/>
      <c r="U25" s="81"/>
      <c r="V25" s="81"/>
      <c r="W25" s="81"/>
    </row>
    <row r="26" spans="1:23" s="66" customFormat="1" ht="13.5" customHeight="1" x14ac:dyDescent="0.2">
      <c r="B26" s="91"/>
      <c r="C26" s="91"/>
      <c r="D26" s="133"/>
      <c r="E26" s="133"/>
      <c r="F26" s="2237" t="s">
        <v>1079</v>
      </c>
      <c r="G26" s="2237"/>
      <c r="H26" s="2237"/>
      <c r="I26" s="2237"/>
      <c r="J26" s="2237"/>
      <c r="K26" s="2237"/>
      <c r="L26" s="2237"/>
      <c r="M26" s="92"/>
      <c r="N26" s="92"/>
      <c r="O26" s="83"/>
      <c r="P26" s="83"/>
      <c r="S26" s="82"/>
      <c r="T26" s="81"/>
      <c r="U26" s="81"/>
      <c r="V26" s="81"/>
      <c r="W26" s="81"/>
    </row>
    <row r="27" spans="1:23" s="66" customFormat="1" ht="13.5" customHeight="1" x14ac:dyDescent="0.2">
      <c r="A27" s="2165"/>
      <c r="B27" s="2165"/>
      <c r="C27" s="2165"/>
      <c r="D27" s="2164" t="s">
        <v>1270</v>
      </c>
      <c r="E27" s="2164"/>
      <c r="F27" s="91"/>
      <c r="G27" s="133"/>
      <c r="I27" s="2164" t="s">
        <v>1271</v>
      </c>
      <c r="J27" s="2164"/>
      <c r="M27" s="92"/>
      <c r="N27" s="92"/>
      <c r="O27" s="83"/>
      <c r="P27" s="83"/>
      <c r="S27" s="82"/>
      <c r="T27" s="81"/>
      <c r="U27" s="81"/>
      <c r="V27" s="81"/>
      <c r="W27" s="81"/>
    </row>
    <row r="28" spans="1:23" s="66" customFormat="1" ht="13.5" customHeight="1" x14ac:dyDescent="0.2">
      <c r="A28" s="2165"/>
      <c r="B28" s="2165"/>
      <c r="C28" s="2165"/>
      <c r="D28" s="2164"/>
      <c r="E28" s="2164"/>
      <c r="F28" s="91"/>
      <c r="G28" s="133"/>
      <c r="I28" s="2164"/>
      <c r="J28" s="2164"/>
      <c r="M28" s="92"/>
      <c r="N28" s="92"/>
      <c r="O28" s="83"/>
      <c r="P28" s="83"/>
      <c r="S28" s="82"/>
      <c r="T28" s="81"/>
      <c r="U28" s="81"/>
      <c r="V28" s="81"/>
      <c r="W28" s="81"/>
    </row>
    <row r="29" spans="1:23" s="66" customFormat="1" ht="13.5" customHeight="1" x14ac:dyDescent="0.2">
      <c r="A29" s="2165"/>
      <c r="B29" s="2165"/>
      <c r="C29" s="2165"/>
      <c r="D29" s="2164"/>
      <c r="E29" s="2164"/>
      <c r="F29" s="91"/>
      <c r="G29" s="133"/>
      <c r="I29" s="2164"/>
      <c r="J29" s="2164"/>
      <c r="M29" s="92"/>
      <c r="N29" s="92"/>
      <c r="O29" s="83"/>
      <c r="P29" s="83"/>
      <c r="S29" s="82"/>
      <c r="T29" s="81"/>
      <c r="U29" s="81"/>
      <c r="V29" s="81"/>
      <c r="W29" s="81"/>
    </row>
    <row r="30" spans="1:23" s="66" customFormat="1" ht="13.5" customHeight="1" x14ac:dyDescent="0.2">
      <c r="A30" s="2165"/>
      <c r="B30" s="2165"/>
      <c r="C30" s="2165"/>
      <c r="D30" s="2164"/>
      <c r="E30" s="2164"/>
      <c r="F30" s="91"/>
      <c r="G30" s="133"/>
      <c r="I30" s="2164"/>
      <c r="J30" s="2164"/>
      <c r="M30" s="92"/>
      <c r="N30" s="92"/>
      <c r="O30" s="83"/>
      <c r="P30" s="83"/>
      <c r="S30" s="82"/>
      <c r="T30" s="81"/>
      <c r="U30" s="81"/>
      <c r="V30" s="81"/>
      <c r="W30" s="81"/>
    </row>
    <row r="31" spans="1:23" s="66" customFormat="1" ht="13.5" customHeight="1" x14ac:dyDescent="0.2">
      <c r="B31" s="91"/>
      <c r="C31" s="91"/>
      <c r="D31" s="133"/>
      <c r="E31" s="133"/>
      <c r="F31" s="91"/>
      <c r="G31" s="133"/>
      <c r="M31" s="92"/>
      <c r="N31" s="92"/>
      <c r="O31" s="83"/>
      <c r="P31" s="83"/>
      <c r="S31" s="82"/>
      <c r="T31" s="81"/>
      <c r="U31" s="81"/>
      <c r="V31" s="81"/>
      <c r="W31" s="81"/>
    </row>
  </sheetData>
  <mergeCells count="30">
    <mergeCell ref="A27:C30"/>
    <mergeCell ref="D27:E30"/>
    <mergeCell ref="I27:J30"/>
    <mergeCell ref="A1:B1"/>
    <mergeCell ref="C1:F1"/>
    <mergeCell ref="F19:H19"/>
    <mergeCell ref="F21:H21"/>
    <mergeCell ref="F22:H22"/>
    <mergeCell ref="F23:H23"/>
    <mergeCell ref="F24:H24"/>
    <mergeCell ref="F26:L26"/>
    <mergeCell ref="F13:H13"/>
    <mergeCell ref="F14:H14"/>
    <mergeCell ref="F15:H15"/>
    <mergeCell ref="F16:H16"/>
    <mergeCell ref="F17:H17"/>
    <mergeCell ref="L3:L4"/>
    <mergeCell ref="F18:H18"/>
    <mergeCell ref="F6:H6"/>
    <mergeCell ref="F7:H7"/>
    <mergeCell ref="F8:H8"/>
    <mergeCell ref="F9:H9"/>
    <mergeCell ref="F10:H10"/>
    <mergeCell ref="F12:H12"/>
    <mergeCell ref="F5:H5"/>
    <mergeCell ref="I3:I4"/>
    <mergeCell ref="J3:J4"/>
    <mergeCell ref="K3:K4"/>
    <mergeCell ref="F3:H3"/>
    <mergeCell ref="F4:H4"/>
  </mergeCells>
  <dataValidations count="1">
    <dataValidation type="list" allowBlank="1" showInputMessage="1" showErrorMessage="1" sqref="C1:C2">
      <formula1>Region</formula1>
    </dataValidation>
  </dataValidations>
  <pageMargins left="0.45" right="0.45"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31"/>
  <sheetViews>
    <sheetView workbookViewId="0">
      <selection activeCell="A5" sqref="A5:XFD124"/>
    </sheetView>
  </sheetViews>
  <sheetFormatPr defaultRowHeight="15.75" x14ac:dyDescent="0.25"/>
  <cols>
    <col min="1" max="1" width="5.875" style="529" customWidth="1"/>
    <col min="2" max="2" width="29.5" style="529" customWidth="1"/>
    <col min="3" max="3" width="16.25" style="529" customWidth="1"/>
    <col min="4" max="6" width="11.375" style="529" customWidth="1"/>
    <col min="7" max="7" width="3.875" style="529" customWidth="1"/>
    <col min="8" max="16384" width="9" style="529"/>
  </cols>
  <sheetData>
    <row r="1" spans="1:6" x14ac:dyDescent="0.25">
      <c r="A1" s="258" t="s">
        <v>1310</v>
      </c>
    </row>
    <row r="3" spans="1:6" x14ac:dyDescent="0.25">
      <c r="A3" s="637" t="s">
        <v>4</v>
      </c>
      <c r="B3" s="592" t="s">
        <v>5</v>
      </c>
      <c r="C3" s="592" t="s">
        <v>251</v>
      </c>
      <c r="D3" s="643" t="s">
        <v>875</v>
      </c>
      <c r="E3" s="1555" t="s">
        <v>1110</v>
      </c>
      <c r="F3" s="1941" t="s">
        <v>1229</v>
      </c>
    </row>
    <row r="4" spans="1:6" x14ac:dyDescent="0.25">
      <c r="A4" s="1645">
        <v>999</v>
      </c>
      <c r="B4" s="1646" t="s">
        <v>795</v>
      </c>
      <c r="C4" s="1646"/>
      <c r="D4" s="1644">
        <f>SUM(D5:D124)</f>
        <v>26081</v>
      </c>
      <c r="E4" s="1644">
        <f>SUM(E5:E124)</f>
        <v>25344</v>
      </c>
      <c r="F4" s="1644">
        <f>SUM(F5:F124)</f>
        <v>22359</v>
      </c>
    </row>
    <row r="5" spans="1:6" s="636" customFormat="1" x14ac:dyDescent="0.25">
      <c r="A5" s="632" t="s">
        <v>10</v>
      </c>
      <c r="B5" s="633" t="s">
        <v>11</v>
      </c>
      <c r="C5" s="633" t="s">
        <v>264</v>
      </c>
      <c r="D5" s="955">
        <v>62</v>
      </c>
      <c r="E5" s="1642">
        <v>55</v>
      </c>
      <c r="F5" s="1642">
        <v>52</v>
      </c>
    </row>
    <row r="6" spans="1:6" s="636" customFormat="1" x14ac:dyDescent="0.25">
      <c r="A6" s="632" t="s">
        <v>12</v>
      </c>
      <c r="B6" s="633" t="s">
        <v>13</v>
      </c>
      <c r="C6" s="633" t="s">
        <v>265</v>
      </c>
      <c r="D6" s="955">
        <v>196</v>
      </c>
      <c r="E6" s="1642">
        <v>180</v>
      </c>
      <c r="F6" s="1642">
        <v>159</v>
      </c>
    </row>
    <row r="7" spans="1:6" s="636" customFormat="1" x14ac:dyDescent="0.25">
      <c r="A7" s="632" t="s">
        <v>16</v>
      </c>
      <c r="B7" s="633" t="s">
        <v>297</v>
      </c>
      <c r="C7" s="633" t="s">
        <v>265</v>
      </c>
      <c r="D7" s="955">
        <v>56</v>
      </c>
      <c r="E7" s="1642">
        <v>50</v>
      </c>
      <c r="F7" s="1642">
        <v>48</v>
      </c>
    </row>
    <row r="8" spans="1:6" s="636" customFormat="1" x14ac:dyDescent="0.25">
      <c r="A8" s="632" t="s">
        <v>18</v>
      </c>
      <c r="B8" s="633" t="s">
        <v>19</v>
      </c>
      <c r="C8" s="633" t="s">
        <v>266</v>
      </c>
      <c r="D8" s="955">
        <v>31</v>
      </c>
      <c r="E8" s="1642">
        <v>29</v>
      </c>
      <c r="F8" s="1642">
        <v>21</v>
      </c>
    </row>
    <row r="9" spans="1:6" s="636" customFormat="1" x14ac:dyDescent="0.25">
      <c r="A9" s="632" t="s">
        <v>20</v>
      </c>
      <c r="B9" s="633" t="s">
        <v>21</v>
      </c>
      <c r="C9" s="633" t="s">
        <v>265</v>
      </c>
      <c r="D9" s="955">
        <v>108</v>
      </c>
      <c r="E9" s="1642">
        <v>84</v>
      </c>
      <c r="F9" s="1642">
        <v>85</v>
      </c>
    </row>
    <row r="10" spans="1:6" s="636" customFormat="1" x14ac:dyDescent="0.25">
      <c r="A10" s="632" t="s">
        <v>22</v>
      </c>
      <c r="B10" s="633" t="s">
        <v>23</v>
      </c>
      <c r="C10" s="633" t="s">
        <v>265</v>
      </c>
      <c r="D10" s="955">
        <v>34</v>
      </c>
      <c r="E10" s="1642">
        <v>32</v>
      </c>
      <c r="F10" s="1642">
        <v>27</v>
      </c>
    </row>
    <row r="11" spans="1:6" s="636" customFormat="1" x14ac:dyDescent="0.25">
      <c r="A11" s="632" t="s">
        <v>24</v>
      </c>
      <c r="B11" s="633" t="s">
        <v>25</v>
      </c>
      <c r="C11" s="633" t="s">
        <v>267</v>
      </c>
      <c r="D11" s="955">
        <v>384</v>
      </c>
      <c r="E11" s="1642">
        <v>352</v>
      </c>
      <c r="F11" s="1642">
        <v>309</v>
      </c>
    </row>
    <row r="12" spans="1:6" s="636" customFormat="1" x14ac:dyDescent="0.25">
      <c r="A12" s="632" t="s">
        <v>26</v>
      </c>
      <c r="B12" s="633" t="s">
        <v>686</v>
      </c>
      <c r="C12" s="633" t="s">
        <v>265</v>
      </c>
      <c r="D12" s="955">
        <v>392</v>
      </c>
      <c r="E12" s="1642">
        <v>312</v>
      </c>
      <c r="F12" s="1642">
        <v>262</v>
      </c>
    </row>
    <row r="13" spans="1:6" s="636" customFormat="1" x14ac:dyDescent="0.25">
      <c r="A13" s="632" t="s">
        <v>27</v>
      </c>
      <c r="B13" s="633" t="s">
        <v>28</v>
      </c>
      <c r="C13" s="633" t="s">
        <v>265</v>
      </c>
      <c r="D13" s="955">
        <v>1</v>
      </c>
      <c r="E13" s="1642">
        <v>1</v>
      </c>
      <c r="F13" s="1642">
        <v>1</v>
      </c>
    </row>
    <row r="14" spans="1:6" s="636" customFormat="1" x14ac:dyDescent="0.25">
      <c r="A14" s="632" t="s">
        <v>29</v>
      </c>
      <c r="B14" s="633" t="s">
        <v>924</v>
      </c>
      <c r="C14" s="633" t="s">
        <v>265</v>
      </c>
      <c r="D14" s="955">
        <v>142</v>
      </c>
      <c r="E14" s="1642">
        <v>138</v>
      </c>
      <c r="F14" s="1642">
        <v>131</v>
      </c>
    </row>
    <row r="15" spans="1:6" s="636" customFormat="1" x14ac:dyDescent="0.25">
      <c r="A15" s="632" t="s">
        <v>30</v>
      </c>
      <c r="B15" s="633" t="s">
        <v>31</v>
      </c>
      <c r="C15" s="633" t="s">
        <v>268</v>
      </c>
      <c r="D15" s="955">
        <v>6</v>
      </c>
      <c r="E15" s="1642">
        <v>6</v>
      </c>
      <c r="F15" s="1642">
        <v>5</v>
      </c>
    </row>
    <row r="16" spans="1:6" s="636" customFormat="1" x14ac:dyDescent="0.25">
      <c r="A16" s="632" t="s">
        <v>32</v>
      </c>
      <c r="B16" s="633" t="s">
        <v>33</v>
      </c>
      <c r="C16" s="633" t="s">
        <v>265</v>
      </c>
      <c r="D16" s="955">
        <v>57</v>
      </c>
      <c r="E16" s="1642">
        <v>50</v>
      </c>
      <c r="F16" s="1642">
        <v>52</v>
      </c>
    </row>
    <row r="17" spans="1:6" s="636" customFormat="1" x14ac:dyDescent="0.25">
      <c r="A17" s="632" t="s">
        <v>36</v>
      </c>
      <c r="B17" s="633" t="s">
        <v>37</v>
      </c>
      <c r="C17" s="633" t="s">
        <v>264</v>
      </c>
      <c r="D17" s="955">
        <v>38</v>
      </c>
      <c r="E17" s="1642">
        <v>28</v>
      </c>
      <c r="F17" s="1642">
        <v>25</v>
      </c>
    </row>
    <row r="18" spans="1:6" s="636" customFormat="1" x14ac:dyDescent="0.25">
      <c r="A18" s="632" t="s">
        <v>38</v>
      </c>
      <c r="B18" s="633" t="s">
        <v>39</v>
      </c>
      <c r="C18" s="633" t="s">
        <v>268</v>
      </c>
      <c r="D18" s="955">
        <v>6</v>
      </c>
      <c r="E18" s="1642">
        <v>1</v>
      </c>
      <c r="F18" s="1642">
        <v>0</v>
      </c>
    </row>
    <row r="19" spans="1:6" s="636" customFormat="1" x14ac:dyDescent="0.25">
      <c r="A19" s="632" t="s">
        <v>40</v>
      </c>
      <c r="B19" s="633" t="s">
        <v>41</v>
      </c>
      <c r="C19" s="633" t="s">
        <v>266</v>
      </c>
      <c r="D19" s="955">
        <v>26</v>
      </c>
      <c r="E19" s="1642">
        <v>24</v>
      </c>
      <c r="F19" s="1642">
        <v>18</v>
      </c>
    </row>
    <row r="20" spans="1:6" s="636" customFormat="1" x14ac:dyDescent="0.25">
      <c r="A20" s="632" t="s">
        <v>42</v>
      </c>
      <c r="B20" s="633" t="s">
        <v>43</v>
      </c>
      <c r="C20" s="633" t="s">
        <v>265</v>
      </c>
      <c r="D20" s="955">
        <v>164</v>
      </c>
      <c r="E20" s="1642">
        <v>180</v>
      </c>
      <c r="F20" s="1642">
        <v>141</v>
      </c>
    </row>
    <row r="21" spans="1:6" s="636" customFormat="1" x14ac:dyDescent="0.25">
      <c r="A21" s="632" t="s">
        <v>44</v>
      </c>
      <c r="B21" s="633" t="s">
        <v>45</v>
      </c>
      <c r="C21" s="633" t="s">
        <v>266</v>
      </c>
      <c r="D21" s="955">
        <v>89</v>
      </c>
      <c r="E21" s="1642">
        <v>93</v>
      </c>
      <c r="F21" s="1642">
        <v>101</v>
      </c>
    </row>
    <row r="22" spans="1:6" s="636" customFormat="1" x14ac:dyDescent="0.25">
      <c r="A22" s="632" t="s">
        <v>46</v>
      </c>
      <c r="B22" s="633" t="s">
        <v>47</v>
      </c>
      <c r="C22" s="633" t="s">
        <v>268</v>
      </c>
      <c r="D22" s="955">
        <v>106</v>
      </c>
      <c r="E22" s="1642">
        <v>118</v>
      </c>
      <c r="F22" s="1642">
        <v>111</v>
      </c>
    </row>
    <row r="23" spans="1:6" s="636" customFormat="1" x14ac:dyDescent="0.25">
      <c r="A23" s="632" t="s">
        <v>48</v>
      </c>
      <c r="B23" s="633" t="s">
        <v>269</v>
      </c>
      <c r="C23" s="633" t="s">
        <v>266</v>
      </c>
      <c r="D23" s="955">
        <v>25</v>
      </c>
      <c r="E23" s="1642">
        <v>29</v>
      </c>
      <c r="F23" s="1642">
        <v>33</v>
      </c>
    </row>
    <row r="24" spans="1:6" s="636" customFormat="1" x14ac:dyDescent="0.25">
      <c r="A24" s="632" t="s">
        <v>50</v>
      </c>
      <c r="B24" s="633" t="s">
        <v>51</v>
      </c>
      <c r="C24" s="633" t="s">
        <v>265</v>
      </c>
      <c r="D24" s="955">
        <v>15</v>
      </c>
      <c r="E24" s="1642">
        <v>8</v>
      </c>
      <c r="F24" s="1642">
        <v>5</v>
      </c>
    </row>
    <row r="25" spans="1:6" s="636" customFormat="1" x14ac:dyDescent="0.25">
      <c r="A25" s="632" t="s">
        <v>56</v>
      </c>
      <c r="B25" s="633" t="s">
        <v>295</v>
      </c>
      <c r="C25" s="633" t="s">
        <v>266</v>
      </c>
      <c r="D25" s="955">
        <v>576</v>
      </c>
      <c r="E25" s="1642">
        <v>525</v>
      </c>
      <c r="F25" s="1642">
        <v>534</v>
      </c>
    </row>
    <row r="26" spans="1:6" s="636" customFormat="1" x14ac:dyDescent="0.25">
      <c r="A26" s="632" t="s">
        <v>58</v>
      </c>
      <c r="B26" s="633" t="s">
        <v>59</v>
      </c>
      <c r="C26" s="633" t="s">
        <v>267</v>
      </c>
      <c r="D26" s="955">
        <v>29</v>
      </c>
      <c r="E26" s="1642">
        <v>33</v>
      </c>
      <c r="F26" s="1642">
        <v>27</v>
      </c>
    </row>
    <row r="27" spans="1:6" s="636" customFormat="1" x14ac:dyDescent="0.25">
      <c r="A27" s="632" t="s">
        <v>60</v>
      </c>
      <c r="B27" s="633" t="s">
        <v>61</v>
      </c>
      <c r="C27" s="633" t="s">
        <v>265</v>
      </c>
      <c r="D27" s="955">
        <v>16</v>
      </c>
      <c r="E27" s="1642">
        <v>24</v>
      </c>
      <c r="F27" s="1642">
        <v>27</v>
      </c>
    </row>
    <row r="28" spans="1:6" s="636" customFormat="1" x14ac:dyDescent="0.25">
      <c r="A28" s="632" t="s">
        <v>62</v>
      </c>
      <c r="B28" s="633" t="s">
        <v>63</v>
      </c>
      <c r="C28" s="633" t="s">
        <v>267</v>
      </c>
      <c r="D28" s="955">
        <v>262</v>
      </c>
      <c r="E28" s="1642">
        <v>244</v>
      </c>
      <c r="F28" s="1642">
        <v>238</v>
      </c>
    </row>
    <row r="29" spans="1:6" s="636" customFormat="1" x14ac:dyDescent="0.25">
      <c r="A29" s="632" t="s">
        <v>64</v>
      </c>
      <c r="B29" s="633" t="s">
        <v>65</v>
      </c>
      <c r="C29" s="633" t="s">
        <v>266</v>
      </c>
      <c r="D29" s="955">
        <v>24</v>
      </c>
      <c r="E29" s="1642">
        <v>32</v>
      </c>
      <c r="F29" s="1642">
        <v>29</v>
      </c>
    </row>
    <row r="30" spans="1:6" s="636" customFormat="1" x14ac:dyDescent="0.25">
      <c r="A30" s="632" t="s">
        <v>68</v>
      </c>
      <c r="B30" s="633" t="s">
        <v>69</v>
      </c>
      <c r="C30" s="633" t="s">
        <v>268</v>
      </c>
      <c r="D30" s="955">
        <v>19</v>
      </c>
      <c r="E30" s="1642">
        <v>15</v>
      </c>
      <c r="F30" s="1642">
        <v>16</v>
      </c>
    </row>
    <row r="31" spans="1:6" s="636" customFormat="1" x14ac:dyDescent="0.25">
      <c r="A31" s="632" t="s">
        <v>70</v>
      </c>
      <c r="B31" s="633" t="s">
        <v>71</v>
      </c>
      <c r="C31" s="633" t="s">
        <v>264</v>
      </c>
      <c r="D31" s="955">
        <v>72</v>
      </c>
      <c r="E31" s="1642">
        <v>70</v>
      </c>
      <c r="F31" s="1642">
        <v>47</v>
      </c>
    </row>
    <row r="32" spans="1:6" s="636" customFormat="1" x14ac:dyDescent="0.25">
      <c r="A32" s="632" t="s">
        <v>72</v>
      </c>
      <c r="B32" s="633" t="s">
        <v>73</v>
      </c>
      <c r="C32" s="633" t="s">
        <v>266</v>
      </c>
      <c r="D32" s="955">
        <v>97</v>
      </c>
      <c r="E32" s="1642">
        <v>79</v>
      </c>
      <c r="F32" s="1642">
        <v>69</v>
      </c>
    </row>
    <row r="33" spans="1:6" s="636" customFormat="1" x14ac:dyDescent="0.25">
      <c r="A33" s="632" t="s">
        <v>74</v>
      </c>
      <c r="B33" s="633" t="s">
        <v>296</v>
      </c>
      <c r="C33" s="633" t="s">
        <v>267</v>
      </c>
      <c r="D33" s="955">
        <v>2566</v>
      </c>
      <c r="E33" s="1642">
        <v>2829</v>
      </c>
      <c r="F33" s="1642">
        <v>2441</v>
      </c>
    </row>
    <row r="34" spans="1:6" s="636" customFormat="1" x14ac:dyDescent="0.25">
      <c r="A34" s="632" t="s">
        <v>76</v>
      </c>
      <c r="B34" s="633" t="s">
        <v>77</v>
      </c>
      <c r="C34" s="633" t="s">
        <v>267</v>
      </c>
      <c r="D34" s="955">
        <v>177</v>
      </c>
      <c r="E34" s="1642">
        <v>142</v>
      </c>
      <c r="F34" s="1642">
        <v>121</v>
      </c>
    </row>
    <row r="35" spans="1:6" s="636" customFormat="1" x14ac:dyDescent="0.25">
      <c r="A35" s="632" t="s">
        <v>78</v>
      </c>
      <c r="B35" s="633" t="s">
        <v>79</v>
      </c>
      <c r="C35" s="633" t="s">
        <v>268</v>
      </c>
      <c r="D35" s="955">
        <v>17</v>
      </c>
      <c r="E35" s="1642">
        <v>13</v>
      </c>
      <c r="F35" s="1642">
        <v>13</v>
      </c>
    </row>
    <row r="36" spans="1:6" s="636" customFormat="1" x14ac:dyDescent="0.25">
      <c r="A36" s="632" t="s">
        <v>80</v>
      </c>
      <c r="B36" s="633" t="s">
        <v>81</v>
      </c>
      <c r="C36" s="633" t="s">
        <v>266</v>
      </c>
      <c r="D36" s="955">
        <v>55</v>
      </c>
      <c r="E36" s="1642">
        <v>45</v>
      </c>
      <c r="F36" s="1642">
        <v>38</v>
      </c>
    </row>
    <row r="37" spans="1:6" s="636" customFormat="1" x14ac:dyDescent="0.25">
      <c r="A37" s="632" t="s">
        <v>84</v>
      </c>
      <c r="B37" s="633" t="s">
        <v>85</v>
      </c>
      <c r="C37" s="633" t="s">
        <v>265</v>
      </c>
      <c r="D37" s="955">
        <v>143</v>
      </c>
      <c r="E37" s="1642">
        <v>157</v>
      </c>
      <c r="F37" s="1642">
        <v>136</v>
      </c>
    </row>
    <row r="38" spans="1:6" s="636" customFormat="1" x14ac:dyDescent="0.25">
      <c r="A38" s="632" t="s">
        <v>86</v>
      </c>
      <c r="B38" s="633" t="s">
        <v>87</v>
      </c>
      <c r="C38" s="633" t="s">
        <v>267</v>
      </c>
      <c r="D38" s="955">
        <v>158</v>
      </c>
      <c r="E38" s="1642">
        <v>139</v>
      </c>
      <c r="F38" s="1642">
        <v>138</v>
      </c>
    </row>
    <row r="39" spans="1:6" s="636" customFormat="1" x14ac:dyDescent="0.25">
      <c r="A39" s="632" t="s">
        <v>92</v>
      </c>
      <c r="B39" s="633" t="s">
        <v>93</v>
      </c>
      <c r="C39" s="633" t="s">
        <v>268</v>
      </c>
      <c r="D39" s="955">
        <v>41</v>
      </c>
      <c r="E39" s="1642">
        <v>41</v>
      </c>
      <c r="F39" s="1642">
        <v>28</v>
      </c>
    </row>
    <row r="40" spans="1:6" s="636" customFormat="1" x14ac:dyDescent="0.25">
      <c r="A40" s="632" t="s">
        <v>94</v>
      </c>
      <c r="B40" s="633" t="s">
        <v>95</v>
      </c>
      <c r="C40" s="633" t="s">
        <v>264</v>
      </c>
      <c r="D40" s="955">
        <v>100</v>
      </c>
      <c r="E40" s="1642">
        <v>101</v>
      </c>
      <c r="F40" s="1642">
        <v>93</v>
      </c>
    </row>
    <row r="41" spans="1:6" s="636" customFormat="1" x14ac:dyDescent="0.25">
      <c r="A41" s="632" t="s">
        <v>96</v>
      </c>
      <c r="B41" s="633" t="s">
        <v>97</v>
      </c>
      <c r="C41" s="633" t="s">
        <v>266</v>
      </c>
      <c r="D41" s="955">
        <v>46</v>
      </c>
      <c r="E41" s="1642">
        <v>45</v>
      </c>
      <c r="F41" s="1642">
        <v>41</v>
      </c>
    </row>
    <row r="42" spans="1:6" s="636" customFormat="1" x14ac:dyDescent="0.25">
      <c r="A42" s="632" t="s">
        <v>98</v>
      </c>
      <c r="B42" s="633" t="s">
        <v>99</v>
      </c>
      <c r="C42" s="633" t="s">
        <v>268</v>
      </c>
      <c r="D42" s="955">
        <v>18</v>
      </c>
      <c r="E42" s="1642">
        <v>16</v>
      </c>
      <c r="F42" s="1642">
        <v>16</v>
      </c>
    </row>
    <row r="43" spans="1:6" s="636" customFormat="1" x14ac:dyDescent="0.25">
      <c r="A43" s="632" t="s">
        <v>100</v>
      </c>
      <c r="B43" s="633" t="s">
        <v>101</v>
      </c>
      <c r="C43" s="633" t="s">
        <v>267</v>
      </c>
      <c r="D43" s="955">
        <v>28</v>
      </c>
      <c r="E43" s="1642">
        <v>27</v>
      </c>
      <c r="F43" s="1642">
        <v>29</v>
      </c>
    </row>
    <row r="44" spans="1:6" s="636" customFormat="1" x14ac:dyDescent="0.25">
      <c r="A44" s="632" t="s">
        <v>102</v>
      </c>
      <c r="B44" s="633" t="s">
        <v>282</v>
      </c>
      <c r="C44" s="633" t="s">
        <v>264</v>
      </c>
      <c r="D44" s="955">
        <v>103</v>
      </c>
      <c r="E44" s="1642">
        <v>95</v>
      </c>
      <c r="F44" s="1642">
        <v>79</v>
      </c>
    </row>
    <row r="45" spans="1:6" s="636" customFormat="1" x14ac:dyDescent="0.25">
      <c r="A45" s="632" t="s">
        <v>104</v>
      </c>
      <c r="B45" s="633" t="s">
        <v>105</v>
      </c>
      <c r="C45" s="633" t="s">
        <v>265</v>
      </c>
      <c r="D45" s="955">
        <v>38</v>
      </c>
      <c r="E45" s="1642">
        <v>44</v>
      </c>
      <c r="F45" s="1642">
        <v>45</v>
      </c>
    </row>
    <row r="46" spans="1:6" s="636" customFormat="1" x14ac:dyDescent="0.25">
      <c r="A46" s="632" t="s">
        <v>108</v>
      </c>
      <c r="B46" s="633" t="s">
        <v>109</v>
      </c>
      <c r="C46" s="633" t="s">
        <v>266</v>
      </c>
      <c r="D46" s="955">
        <v>154</v>
      </c>
      <c r="E46" s="1642">
        <v>164</v>
      </c>
      <c r="F46" s="1642">
        <v>131</v>
      </c>
    </row>
    <row r="47" spans="1:6" s="636" customFormat="1" x14ac:dyDescent="0.25">
      <c r="A47" s="632" t="s">
        <v>110</v>
      </c>
      <c r="B47" s="633" t="s">
        <v>111</v>
      </c>
      <c r="C47" s="633" t="s">
        <v>266</v>
      </c>
      <c r="D47" s="955">
        <v>1135</v>
      </c>
      <c r="E47" s="1642">
        <v>1067</v>
      </c>
      <c r="F47" s="1642">
        <v>1029</v>
      </c>
    </row>
    <row r="48" spans="1:6" s="636" customFormat="1" x14ac:dyDescent="0.25">
      <c r="A48" s="632" t="s">
        <v>112</v>
      </c>
      <c r="B48" s="633" t="s">
        <v>300</v>
      </c>
      <c r="C48" s="633" t="s">
        <v>265</v>
      </c>
      <c r="D48" s="955">
        <v>325</v>
      </c>
      <c r="E48" s="1642">
        <v>326</v>
      </c>
      <c r="F48" s="1642">
        <v>241</v>
      </c>
    </row>
    <row r="49" spans="1:6" s="636" customFormat="1" x14ac:dyDescent="0.25">
      <c r="A49" s="632" t="s">
        <v>114</v>
      </c>
      <c r="B49" s="633" t="s">
        <v>115</v>
      </c>
      <c r="C49" s="633" t="s">
        <v>265</v>
      </c>
      <c r="D49" s="955">
        <v>0</v>
      </c>
      <c r="E49" s="1642">
        <v>0</v>
      </c>
      <c r="F49" s="1642">
        <v>0</v>
      </c>
    </row>
    <row r="50" spans="1:6" s="636" customFormat="1" x14ac:dyDescent="0.25">
      <c r="A50" s="632" t="s">
        <v>118</v>
      </c>
      <c r="B50" s="633" t="s">
        <v>270</v>
      </c>
      <c r="C50" s="633" t="s">
        <v>264</v>
      </c>
      <c r="D50" s="955">
        <v>60</v>
      </c>
      <c r="E50" s="1642">
        <v>52</v>
      </c>
      <c r="F50" s="1642">
        <v>35</v>
      </c>
    </row>
    <row r="51" spans="1:6" s="636" customFormat="1" x14ac:dyDescent="0.25">
      <c r="A51" s="632" t="s">
        <v>120</v>
      </c>
      <c r="B51" s="633" t="s">
        <v>121</v>
      </c>
      <c r="C51" s="633" t="s">
        <v>264</v>
      </c>
      <c r="D51" s="955">
        <v>191</v>
      </c>
      <c r="E51" s="1642">
        <v>186</v>
      </c>
      <c r="F51" s="1642">
        <v>153</v>
      </c>
    </row>
    <row r="52" spans="1:6" s="636" customFormat="1" x14ac:dyDescent="0.25">
      <c r="A52" s="632" t="s">
        <v>122</v>
      </c>
      <c r="B52" s="633" t="s">
        <v>287</v>
      </c>
      <c r="C52" s="633" t="s">
        <v>266</v>
      </c>
      <c r="D52" s="955">
        <v>19</v>
      </c>
      <c r="E52" s="1642">
        <v>27</v>
      </c>
      <c r="F52" s="1642">
        <v>71</v>
      </c>
    </row>
    <row r="53" spans="1:6" s="636" customFormat="1" x14ac:dyDescent="0.25">
      <c r="A53" s="632" t="s">
        <v>124</v>
      </c>
      <c r="B53" s="633" t="s">
        <v>125</v>
      </c>
      <c r="C53" s="633" t="s">
        <v>267</v>
      </c>
      <c r="D53" s="955">
        <v>82</v>
      </c>
      <c r="E53" s="1642">
        <v>81</v>
      </c>
      <c r="F53" s="1642">
        <v>54</v>
      </c>
    </row>
    <row r="54" spans="1:6" s="636" customFormat="1" x14ac:dyDescent="0.25">
      <c r="A54" s="632" t="s">
        <v>126</v>
      </c>
      <c r="B54" s="633" t="s">
        <v>127</v>
      </c>
      <c r="C54" s="633" t="s">
        <v>266</v>
      </c>
      <c r="D54" s="955">
        <v>63</v>
      </c>
      <c r="E54" s="1642">
        <v>63</v>
      </c>
      <c r="F54" s="1642">
        <v>14</v>
      </c>
    </row>
    <row r="55" spans="1:6" s="636" customFormat="1" x14ac:dyDescent="0.25">
      <c r="A55" s="632" t="s">
        <v>128</v>
      </c>
      <c r="B55" s="633" t="s">
        <v>129</v>
      </c>
      <c r="C55" s="633" t="s">
        <v>266</v>
      </c>
      <c r="D55" s="955">
        <v>20</v>
      </c>
      <c r="E55" s="1642">
        <v>20</v>
      </c>
      <c r="F55" s="1642">
        <v>18</v>
      </c>
    </row>
    <row r="56" spans="1:6" s="636" customFormat="1" x14ac:dyDescent="0.25">
      <c r="A56" s="632" t="s">
        <v>130</v>
      </c>
      <c r="B56" s="633" t="s">
        <v>131</v>
      </c>
      <c r="C56" s="633" t="s">
        <v>268</v>
      </c>
      <c r="D56" s="955">
        <v>30</v>
      </c>
      <c r="E56" s="1642">
        <v>28</v>
      </c>
      <c r="F56" s="1642">
        <v>15</v>
      </c>
    </row>
    <row r="57" spans="1:6" s="636" customFormat="1" x14ac:dyDescent="0.25">
      <c r="A57" s="632" t="s">
        <v>132</v>
      </c>
      <c r="B57" s="633" t="s">
        <v>133</v>
      </c>
      <c r="C57" s="633" t="s">
        <v>267</v>
      </c>
      <c r="D57" s="955">
        <v>398</v>
      </c>
      <c r="E57" s="1642">
        <v>367</v>
      </c>
      <c r="F57" s="1642">
        <v>354</v>
      </c>
    </row>
    <row r="58" spans="1:6" s="636" customFormat="1" x14ac:dyDescent="0.25">
      <c r="A58" s="632" t="s">
        <v>134</v>
      </c>
      <c r="B58" s="633" t="s">
        <v>135</v>
      </c>
      <c r="C58" s="633" t="s">
        <v>267</v>
      </c>
      <c r="D58" s="955">
        <v>54</v>
      </c>
      <c r="E58" s="1642">
        <v>59</v>
      </c>
      <c r="F58" s="1642">
        <v>45</v>
      </c>
    </row>
    <row r="59" spans="1:6" s="636" customFormat="1" x14ac:dyDescent="0.25">
      <c r="A59" s="632" t="s">
        <v>136</v>
      </c>
      <c r="B59" s="633" t="s">
        <v>137</v>
      </c>
      <c r="C59" s="633" t="s">
        <v>266</v>
      </c>
      <c r="D59" s="955">
        <v>10</v>
      </c>
      <c r="E59" s="1642">
        <v>12</v>
      </c>
      <c r="F59" s="1642">
        <v>9</v>
      </c>
    </row>
    <row r="60" spans="1:6" s="636" customFormat="1" x14ac:dyDescent="0.25">
      <c r="A60" s="632" t="s">
        <v>140</v>
      </c>
      <c r="B60" s="633" t="s">
        <v>141</v>
      </c>
      <c r="C60" s="633" t="s">
        <v>267</v>
      </c>
      <c r="D60" s="955">
        <v>7</v>
      </c>
      <c r="E60" s="1642">
        <v>14</v>
      </c>
      <c r="F60" s="1642">
        <v>19</v>
      </c>
    </row>
    <row r="61" spans="1:6" s="636" customFormat="1" x14ac:dyDescent="0.25">
      <c r="A61" s="632" t="s">
        <v>146</v>
      </c>
      <c r="B61" s="633" t="s">
        <v>147</v>
      </c>
      <c r="C61" s="633" t="s">
        <v>264</v>
      </c>
      <c r="D61" s="955">
        <v>23</v>
      </c>
      <c r="E61" s="1642">
        <v>23</v>
      </c>
      <c r="F61" s="1642">
        <v>18</v>
      </c>
    </row>
    <row r="62" spans="1:6" s="636" customFormat="1" x14ac:dyDescent="0.25">
      <c r="A62" s="632" t="s">
        <v>148</v>
      </c>
      <c r="B62" s="633" t="s">
        <v>149</v>
      </c>
      <c r="C62" s="633" t="s">
        <v>265</v>
      </c>
      <c r="D62" s="955">
        <v>63</v>
      </c>
      <c r="E62" s="1642">
        <v>66</v>
      </c>
      <c r="F62" s="1642">
        <v>52</v>
      </c>
    </row>
    <row r="63" spans="1:6" s="636" customFormat="1" x14ac:dyDescent="0.25">
      <c r="A63" s="632" t="s">
        <v>150</v>
      </c>
      <c r="B63" s="633" t="s">
        <v>151</v>
      </c>
      <c r="C63" s="633" t="s">
        <v>266</v>
      </c>
      <c r="D63" s="955">
        <v>45</v>
      </c>
      <c r="E63" s="1642">
        <v>51</v>
      </c>
      <c r="F63" s="1642">
        <v>50</v>
      </c>
    </row>
    <row r="64" spans="1:6" s="636" customFormat="1" x14ac:dyDescent="0.25">
      <c r="A64" s="632" t="s">
        <v>152</v>
      </c>
      <c r="B64" s="633" t="s">
        <v>153</v>
      </c>
      <c r="C64" s="633" t="s">
        <v>268</v>
      </c>
      <c r="D64" s="955">
        <v>242</v>
      </c>
      <c r="E64" s="1642">
        <v>216</v>
      </c>
      <c r="F64" s="1642">
        <v>205</v>
      </c>
    </row>
    <row r="65" spans="1:6" s="636" customFormat="1" x14ac:dyDescent="0.25">
      <c r="A65" s="632" t="s">
        <v>154</v>
      </c>
      <c r="B65" s="633" t="s">
        <v>155</v>
      </c>
      <c r="C65" s="633" t="s">
        <v>265</v>
      </c>
      <c r="D65" s="955">
        <v>19</v>
      </c>
      <c r="E65" s="1642">
        <v>22</v>
      </c>
      <c r="F65" s="1642">
        <v>20</v>
      </c>
    </row>
    <row r="66" spans="1:6" s="636" customFormat="1" x14ac:dyDescent="0.25">
      <c r="A66" s="632" t="s">
        <v>156</v>
      </c>
      <c r="B66" s="633" t="s">
        <v>157</v>
      </c>
      <c r="C66" s="633" t="s">
        <v>266</v>
      </c>
      <c r="D66" s="955">
        <v>43</v>
      </c>
      <c r="E66" s="1642">
        <v>46</v>
      </c>
      <c r="F66" s="1642">
        <v>50</v>
      </c>
    </row>
    <row r="67" spans="1:6" s="636" customFormat="1" x14ac:dyDescent="0.25">
      <c r="A67" s="632" t="s">
        <v>162</v>
      </c>
      <c r="B67" s="633" t="s">
        <v>163</v>
      </c>
      <c r="C67" s="633" t="s">
        <v>264</v>
      </c>
      <c r="D67" s="955">
        <v>83</v>
      </c>
      <c r="E67" s="1642">
        <v>84</v>
      </c>
      <c r="F67" s="1642">
        <v>90</v>
      </c>
    </row>
    <row r="68" spans="1:6" s="636" customFormat="1" x14ac:dyDescent="0.25">
      <c r="A68" s="632" t="s">
        <v>164</v>
      </c>
      <c r="B68" s="633" t="s">
        <v>165</v>
      </c>
      <c r="C68" s="633" t="s">
        <v>266</v>
      </c>
      <c r="D68" s="955">
        <v>23</v>
      </c>
      <c r="E68" s="1642">
        <v>13</v>
      </c>
      <c r="F68" s="1642">
        <v>8</v>
      </c>
    </row>
    <row r="69" spans="1:6" s="636" customFormat="1" x14ac:dyDescent="0.25">
      <c r="A69" s="632" t="s">
        <v>168</v>
      </c>
      <c r="B69" s="633" t="s">
        <v>169</v>
      </c>
      <c r="C69" s="633" t="s">
        <v>266</v>
      </c>
      <c r="D69" s="955">
        <v>50</v>
      </c>
      <c r="E69" s="1642">
        <v>48</v>
      </c>
      <c r="F69" s="1642">
        <v>37</v>
      </c>
    </row>
    <row r="70" spans="1:6" s="636" customFormat="1" x14ac:dyDescent="0.25">
      <c r="A70" s="632" t="s">
        <v>170</v>
      </c>
      <c r="B70" s="633" t="s">
        <v>171</v>
      </c>
      <c r="C70" s="633" t="s">
        <v>267</v>
      </c>
      <c r="D70" s="955">
        <v>97</v>
      </c>
      <c r="E70" s="1642">
        <v>87</v>
      </c>
      <c r="F70" s="1642">
        <v>83</v>
      </c>
    </row>
    <row r="71" spans="1:6" s="636" customFormat="1" x14ac:dyDescent="0.25">
      <c r="A71" s="632" t="s">
        <v>172</v>
      </c>
      <c r="B71" s="633" t="s">
        <v>173</v>
      </c>
      <c r="C71" s="633" t="s">
        <v>267</v>
      </c>
      <c r="D71" s="955">
        <v>40</v>
      </c>
      <c r="E71" s="1642">
        <v>38</v>
      </c>
      <c r="F71" s="1642">
        <v>21</v>
      </c>
    </row>
    <row r="72" spans="1:6" s="636" customFormat="1" x14ac:dyDescent="0.25">
      <c r="A72" s="632" t="s">
        <v>174</v>
      </c>
      <c r="B72" s="633" t="s">
        <v>175</v>
      </c>
      <c r="C72" s="633" t="s">
        <v>268</v>
      </c>
      <c r="D72" s="955">
        <v>46</v>
      </c>
      <c r="E72" s="1642">
        <v>54</v>
      </c>
      <c r="F72" s="1642">
        <v>38</v>
      </c>
    </row>
    <row r="73" spans="1:6" s="636" customFormat="1" x14ac:dyDescent="0.25">
      <c r="A73" s="632" t="s">
        <v>178</v>
      </c>
      <c r="B73" s="633" t="s">
        <v>179</v>
      </c>
      <c r="C73" s="633" t="s">
        <v>265</v>
      </c>
      <c r="D73" s="955">
        <v>145</v>
      </c>
      <c r="E73" s="1642">
        <v>110</v>
      </c>
      <c r="F73" s="1642">
        <v>87</v>
      </c>
    </row>
    <row r="74" spans="1:6" s="636" customFormat="1" x14ac:dyDescent="0.25">
      <c r="A74" s="632" t="s">
        <v>182</v>
      </c>
      <c r="B74" s="633" t="s">
        <v>183</v>
      </c>
      <c r="C74" s="633" t="s">
        <v>266</v>
      </c>
      <c r="D74" s="955">
        <v>44</v>
      </c>
      <c r="E74" s="1642">
        <v>37</v>
      </c>
      <c r="F74" s="1642">
        <v>37</v>
      </c>
    </row>
    <row r="75" spans="1:6" s="636" customFormat="1" x14ac:dyDescent="0.25">
      <c r="A75" s="632" t="s">
        <v>184</v>
      </c>
      <c r="B75" s="633" t="s">
        <v>185</v>
      </c>
      <c r="C75" s="633" t="s">
        <v>266</v>
      </c>
      <c r="D75" s="955">
        <v>62</v>
      </c>
      <c r="E75" s="1642">
        <v>66</v>
      </c>
      <c r="F75" s="1642">
        <v>52</v>
      </c>
    </row>
    <row r="76" spans="1:6" s="636" customFormat="1" x14ac:dyDescent="0.25">
      <c r="A76" s="632" t="s">
        <v>186</v>
      </c>
      <c r="B76" s="633" t="s">
        <v>187</v>
      </c>
      <c r="C76" s="633" t="s">
        <v>264</v>
      </c>
      <c r="D76" s="955">
        <v>35</v>
      </c>
      <c r="E76" s="1642">
        <v>37</v>
      </c>
      <c r="F76" s="1642">
        <v>39</v>
      </c>
    </row>
    <row r="77" spans="1:6" s="636" customFormat="1" x14ac:dyDescent="0.25">
      <c r="A77" s="632" t="s">
        <v>188</v>
      </c>
      <c r="B77" s="633" t="s">
        <v>189</v>
      </c>
      <c r="C77" s="633" t="s">
        <v>267</v>
      </c>
      <c r="D77" s="955">
        <v>983</v>
      </c>
      <c r="E77" s="1642">
        <v>875</v>
      </c>
      <c r="F77" s="1642">
        <v>804</v>
      </c>
    </row>
    <row r="78" spans="1:6" s="636" customFormat="1" x14ac:dyDescent="0.25">
      <c r="A78" s="632" t="s">
        <v>190</v>
      </c>
      <c r="B78" s="633" t="s">
        <v>191</v>
      </c>
      <c r="C78" s="633" t="s">
        <v>268</v>
      </c>
      <c r="D78" s="955">
        <v>100</v>
      </c>
      <c r="E78" s="1642">
        <v>84</v>
      </c>
      <c r="F78" s="1642">
        <v>80</v>
      </c>
    </row>
    <row r="79" spans="1:6" s="636" customFormat="1" x14ac:dyDescent="0.25">
      <c r="A79" s="632" t="s">
        <v>194</v>
      </c>
      <c r="B79" s="633" t="s">
        <v>195</v>
      </c>
      <c r="C79" s="633" t="s">
        <v>267</v>
      </c>
      <c r="D79" s="955">
        <v>17</v>
      </c>
      <c r="E79" s="1642">
        <v>15</v>
      </c>
      <c r="F79" s="1642">
        <v>15</v>
      </c>
    </row>
    <row r="80" spans="1:6" s="636" customFormat="1" x14ac:dyDescent="0.25">
      <c r="A80" s="632" t="s">
        <v>198</v>
      </c>
      <c r="B80" s="633" t="s">
        <v>272</v>
      </c>
      <c r="C80" s="633" t="s">
        <v>266</v>
      </c>
      <c r="D80" s="955">
        <v>21</v>
      </c>
      <c r="E80" s="1642">
        <v>17</v>
      </c>
      <c r="F80" s="1642">
        <v>14</v>
      </c>
    </row>
    <row r="81" spans="1:6" s="636" customFormat="1" x14ac:dyDescent="0.25">
      <c r="A81" s="632" t="s">
        <v>202</v>
      </c>
      <c r="B81" s="633" t="s">
        <v>301</v>
      </c>
      <c r="C81" s="633" t="s">
        <v>265</v>
      </c>
      <c r="D81" s="955">
        <v>350</v>
      </c>
      <c r="E81" s="1642">
        <v>348</v>
      </c>
      <c r="F81" s="1642">
        <v>356</v>
      </c>
    </row>
    <row r="82" spans="1:6" s="636" customFormat="1" x14ac:dyDescent="0.25">
      <c r="A82" s="632" t="s">
        <v>204</v>
      </c>
      <c r="B82" s="633" t="s">
        <v>293</v>
      </c>
      <c r="C82" s="633" t="s">
        <v>265</v>
      </c>
      <c r="D82" s="955">
        <v>46</v>
      </c>
      <c r="E82" s="1642">
        <v>41</v>
      </c>
      <c r="F82" s="1642">
        <v>31</v>
      </c>
    </row>
    <row r="83" spans="1:6" s="636" customFormat="1" x14ac:dyDescent="0.25">
      <c r="A83" s="632" t="s">
        <v>206</v>
      </c>
      <c r="B83" s="633" t="s">
        <v>294</v>
      </c>
      <c r="C83" s="633" t="s">
        <v>267</v>
      </c>
      <c r="D83" s="955">
        <v>273</v>
      </c>
      <c r="E83" s="1642">
        <v>268</v>
      </c>
      <c r="F83" s="1642">
        <v>209</v>
      </c>
    </row>
    <row r="84" spans="1:6" s="636" customFormat="1" x14ac:dyDescent="0.25">
      <c r="A84" s="632" t="s">
        <v>208</v>
      </c>
      <c r="B84" s="633" t="s">
        <v>209</v>
      </c>
      <c r="C84" s="633" t="s">
        <v>268</v>
      </c>
      <c r="D84" s="955">
        <v>30</v>
      </c>
      <c r="E84" s="1642">
        <v>32</v>
      </c>
      <c r="F84" s="1642">
        <v>26</v>
      </c>
    </row>
    <row r="85" spans="1:6" s="636" customFormat="1" x14ac:dyDescent="0.25">
      <c r="A85" s="632" t="s">
        <v>210</v>
      </c>
      <c r="B85" s="633" t="s">
        <v>211</v>
      </c>
      <c r="C85" s="633" t="s">
        <v>268</v>
      </c>
      <c r="D85" s="955">
        <v>14</v>
      </c>
      <c r="E85" s="1642">
        <v>12</v>
      </c>
      <c r="F85" s="1642">
        <v>8</v>
      </c>
    </row>
    <row r="86" spans="1:6" s="636" customFormat="1" x14ac:dyDescent="0.25">
      <c r="A86" s="632" t="s">
        <v>212</v>
      </c>
      <c r="B86" s="633" t="s">
        <v>213</v>
      </c>
      <c r="C86" s="633" t="s">
        <v>267</v>
      </c>
      <c r="D86" s="955">
        <v>93</v>
      </c>
      <c r="E86" s="1642">
        <v>82</v>
      </c>
      <c r="F86" s="1642">
        <v>80</v>
      </c>
    </row>
    <row r="87" spans="1:6" s="636" customFormat="1" x14ac:dyDescent="0.25">
      <c r="A87" s="632" t="s">
        <v>214</v>
      </c>
      <c r="B87" s="633" t="s">
        <v>215</v>
      </c>
      <c r="C87" s="633" t="s">
        <v>268</v>
      </c>
      <c r="D87" s="955">
        <v>76</v>
      </c>
      <c r="E87" s="1642">
        <v>83</v>
      </c>
      <c r="F87" s="1642">
        <v>64</v>
      </c>
    </row>
    <row r="88" spans="1:6" s="636" customFormat="1" x14ac:dyDescent="0.25">
      <c r="A88" s="632" t="s">
        <v>216</v>
      </c>
      <c r="B88" s="633" t="s">
        <v>217</v>
      </c>
      <c r="C88" s="633" t="s">
        <v>264</v>
      </c>
      <c r="D88" s="955">
        <v>31</v>
      </c>
      <c r="E88" s="1642">
        <v>23</v>
      </c>
      <c r="F88" s="1642">
        <v>17</v>
      </c>
    </row>
    <row r="89" spans="1:6" s="636" customFormat="1" x14ac:dyDescent="0.25">
      <c r="A89" s="632" t="s">
        <v>218</v>
      </c>
      <c r="B89" s="633" t="s">
        <v>219</v>
      </c>
      <c r="C89" s="633" t="s">
        <v>267</v>
      </c>
      <c r="D89" s="955">
        <v>260</v>
      </c>
      <c r="E89" s="1642">
        <v>234</v>
      </c>
      <c r="F89" s="1642">
        <v>200</v>
      </c>
    </row>
    <row r="90" spans="1:6" s="636" customFormat="1" x14ac:dyDescent="0.25">
      <c r="A90" s="632" t="s">
        <v>220</v>
      </c>
      <c r="B90" s="633" t="s">
        <v>221</v>
      </c>
      <c r="C90" s="633" t="s">
        <v>267</v>
      </c>
      <c r="D90" s="955">
        <v>267</v>
      </c>
      <c r="E90" s="1642">
        <v>246</v>
      </c>
      <c r="F90" s="1642">
        <v>244</v>
      </c>
    </row>
    <row r="91" spans="1:6" s="636" customFormat="1" x14ac:dyDescent="0.25">
      <c r="A91" s="632" t="s">
        <v>224</v>
      </c>
      <c r="B91" s="633" t="s">
        <v>225</v>
      </c>
      <c r="C91" s="633" t="s">
        <v>264</v>
      </c>
      <c r="D91" s="955">
        <v>35</v>
      </c>
      <c r="E91" s="1642">
        <v>31</v>
      </c>
      <c r="F91" s="1642">
        <v>26</v>
      </c>
    </row>
    <row r="92" spans="1:6" s="636" customFormat="1" x14ac:dyDescent="0.25">
      <c r="A92" s="632" t="s">
        <v>226</v>
      </c>
      <c r="B92" s="633" t="s">
        <v>227</v>
      </c>
      <c r="C92" s="633" t="s">
        <v>264</v>
      </c>
      <c r="D92" s="955">
        <v>47</v>
      </c>
      <c r="E92" s="1642">
        <v>49</v>
      </c>
      <c r="F92" s="1642">
        <v>40</v>
      </c>
    </row>
    <row r="93" spans="1:6" s="636" customFormat="1" x14ac:dyDescent="0.25">
      <c r="A93" s="632" t="s">
        <v>228</v>
      </c>
      <c r="B93" s="633" t="s">
        <v>229</v>
      </c>
      <c r="C93" s="633" t="s">
        <v>268</v>
      </c>
      <c r="D93" s="955">
        <v>113</v>
      </c>
      <c r="E93" s="1642">
        <v>91</v>
      </c>
      <c r="F93" s="1642">
        <v>74</v>
      </c>
    </row>
    <row r="94" spans="1:6" s="636" customFormat="1" x14ac:dyDescent="0.25">
      <c r="A94" s="632" t="s">
        <v>232</v>
      </c>
      <c r="B94" s="633" t="s">
        <v>233</v>
      </c>
      <c r="C94" s="633" t="s">
        <v>267</v>
      </c>
      <c r="D94" s="955">
        <v>136</v>
      </c>
      <c r="E94" s="1642">
        <v>151</v>
      </c>
      <c r="F94" s="1642">
        <v>151</v>
      </c>
    </row>
    <row r="95" spans="1:6" s="636" customFormat="1" x14ac:dyDescent="0.25">
      <c r="A95" s="632" t="s">
        <v>234</v>
      </c>
      <c r="B95" s="633" t="s">
        <v>235</v>
      </c>
      <c r="C95" s="633" t="s">
        <v>268</v>
      </c>
      <c r="D95" s="955">
        <v>65</v>
      </c>
      <c r="E95" s="1642">
        <v>68</v>
      </c>
      <c r="F95" s="1642">
        <v>61</v>
      </c>
    </row>
    <row r="96" spans="1:6" s="636" customFormat="1" x14ac:dyDescent="0.25">
      <c r="A96" s="632" t="s">
        <v>236</v>
      </c>
      <c r="B96" s="633" t="s">
        <v>237</v>
      </c>
      <c r="C96" s="633" t="s">
        <v>266</v>
      </c>
      <c r="D96" s="955">
        <v>48</v>
      </c>
      <c r="E96" s="1642">
        <v>57</v>
      </c>
      <c r="F96" s="1642">
        <v>51</v>
      </c>
    </row>
    <row r="97" spans="1:6" s="636" customFormat="1" x14ac:dyDescent="0.25">
      <c r="A97" s="632" t="s">
        <v>242</v>
      </c>
      <c r="B97" s="633" t="s">
        <v>243</v>
      </c>
      <c r="C97" s="633" t="s">
        <v>268</v>
      </c>
      <c r="D97" s="955">
        <v>67</v>
      </c>
      <c r="E97" s="1642">
        <v>65</v>
      </c>
      <c r="F97" s="1642">
        <v>58</v>
      </c>
    </row>
    <row r="98" spans="1:6" s="636" customFormat="1" x14ac:dyDescent="0.25">
      <c r="A98" s="632" t="s">
        <v>244</v>
      </c>
      <c r="B98" s="633" t="s">
        <v>245</v>
      </c>
      <c r="C98" s="633" t="s">
        <v>268</v>
      </c>
      <c r="D98" s="955">
        <v>104</v>
      </c>
      <c r="E98" s="1642">
        <v>107</v>
      </c>
      <c r="F98" s="1642">
        <v>86</v>
      </c>
    </row>
    <row r="99" spans="1:6" s="636" customFormat="1" x14ac:dyDescent="0.25">
      <c r="A99" s="632" t="s">
        <v>246</v>
      </c>
      <c r="B99" s="633" t="s">
        <v>247</v>
      </c>
      <c r="C99" s="633" t="s">
        <v>264</v>
      </c>
      <c r="D99" s="955">
        <v>150</v>
      </c>
      <c r="E99" s="1642">
        <v>145</v>
      </c>
      <c r="F99" s="1642">
        <v>140</v>
      </c>
    </row>
    <row r="100" spans="1:6" s="636" customFormat="1" x14ac:dyDescent="0.25">
      <c r="A100" s="632" t="s">
        <v>14</v>
      </c>
      <c r="B100" s="633" t="s">
        <v>15</v>
      </c>
      <c r="C100" s="633" t="s">
        <v>267</v>
      </c>
      <c r="D100" s="955">
        <v>502</v>
      </c>
      <c r="E100" s="1642">
        <v>489</v>
      </c>
      <c r="F100" s="1642">
        <v>431</v>
      </c>
    </row>
    <row r="101" spans="1:6" s="636" customFormat="1" x14ac:dyDescent="0.25">
      <c r="A101" s="632" t="s">
        <v>34</v>
      </c>
      <c r="B101" s="633" t="s">
        <v>35</v>
      </c>
      <c r="C101" s="633" t="s">
        <v>268</v>
      </c>
      <c r="D101" s="955">
        <v>203</v>
      </c>
      <c r="E101" s="1642">
        <v>176</v>
      </c>
      <c r="F101" s="1642">
        <v>170</v>
      </c>
    </row>
    <row r="102" spans="1:6" s="636" customFormat="1" x14ac:dyDescent="0.25">
      <c r="A102" s="632" t="s">
        <v>52</v>
      </c>
      <c r="B102" s="633" t="s">
        <v>53</v>
      </c>
      <c r="C102" s="633" t="s">
        <v>265</v>
      </c>
      <c r="D102" s="955">
        <v>272</v>
      </c>
      <c r="E102" s="1642">
        <v>266</v>
      </c>
      <c r="F102" s="1642">
        <v>229</v>
      </c>
    </row>
    <row r="103" spans="1:6" s="636" customFormat="1" x14ac:dyDescent="0.25">
      <c r="A103" s="632" t="s">
        <v>54</v>
      </c>
      <c r="B103" s="633" t="s">
        <v>55</v>
      </c>
      <c r="C103" s="633" t="s">
        <v>264</v>
      </c>
      <c r="D103" s="955">
        <v>930</v>
      </c>
      <c r="E103" s="1642">
        <v>851</v>
      </c>
      <c r="F103" s="1642">
        <v>760</v>
      </c>
    </row>
    <row r="104" spans="1:6" s="636" customFormat="1" x14ac:dyDescent="0.25">
      <c r="A104" s="632" t="s">
        <v>66</v>
      </c>
      <c r="B104" s="633" t="s">
        <v>67</v>
      </c>
      <c r="C104" s="633" t="s">
        <v>265</v>
      </c>
      <c r="D104" s="955">
        <v>315</v>
      </c>
      <c r="E104" s="1642">
        <v>331</v>
      </c>
      <c r="F104" s="1642">
        <v>263</v>
      </c>
    </row>
    <row r="105" spans="1:6" s="636" customFormat="1" x14ac:dyDescent="0.25">
      <c r="A105" s="632" t="s">
        <v>82</v>
      </c>
      <c r="B105" s="633" t="s">
        <v>83</v>
      </c>
      <c r="C105" s="633" t="s">
        <v>264</v>
      </c>
      <c r="D105" s="955">
        <v>46</v>
      </c>
      <c r="E105" s="1642">
        <v>40</v>
      </c>
      <c r="F105" s="1642">
        <v>31</v>
      </c>
    </row>
    <row r="106" spans="1:6" s="636" customFormat="1" x14ac:dyDescent="0.25">
      <c r="A106" s="632" t="s">
        <v>88</v>
      </c>
      <c r="B106" s="633" t="s">
        <v>89</v>
      </c>
      <c r="C106" s="633" t="s">
        <v>267</v>
      </c>
      <c r="D106" s="955">
        <v>183</v>
      </c>
      <c r="E106" s="1642">
        <v>199</v>
      </c>
      <c r="F106" s="1642">
        <v>180</v>
      </c>
    </row>
    <row r="107" spans="1:6" s="636" customFormat="1" x14ac:dyDescent="0.25">
      <c r="A107" s="632" t="s">
        <v>90</v>
      </c>
      <c r="B107" s="633" t="s">
        <v>91</v>
      </c>
      <c r="C107" s="633" t="s">
        <v>268</v>
      </c>
      <c r="D107" s="955">
        <v>45</v>
      </c>
      <c r="E107" s="1642">
        <v>35</v>
      </c>
      <c r="F107" s="1642">
        <v>27</v>
      </c>
    </row>
    <row r="108" spans="1:6" s="636" customFormat="1" x14ac:dyDescent="0.25">
      <c r="A108" s="632" t="s">
        <v>106</v>
      </c>
      <c r="B108" s="633" t="s">
        <v>107</v>
      </c>
      <c r="C108" s="633" t="s">
        <v>264</v>
      </c>
      <c r="D108" s="955">
        <v>719</v>
      </c>
      <c r="E108" s="1642">
        <v>605</v>
      </c>
      <c r="F108" s="1642">
        <v>572</v>
      </c>
    </row>
    <row r="109" spans="1:6" s="636" customFormat="1" x14ac:dyDescent="0.25">
      <c r="A109" s="632" t="s">
        <v>116</v>
      </c>
      <c r="B109" s="633" t="s">
        <v>117</v>
      </c>
      <c r="C109" s="633" t="s">
        <v>266</v>
      </c>
      <c r="D109" s="955">
        <v>160</v>
      </c>
      <c r="E109" s="1642">
        <v>157</v>
      </c>
      <c r="F109" s="1642">
        <v>159</v>
      </c>
    </row>
    <row r="110" spans="1:6" s="636" customFormat="1" x14ac:dyDescent="0.25">
      <c r="A110" s="632" t="s">
        <v>138</v>
      </c>
      <c r="B110" s="633" t="s">
        <v>139</v>
      </c>
      <c r="C110" s="633" t="s">
        <v>265</v>
      </c>
      <c r="D110" s="955">
        <v>393</v>
      </c>
      <c r="E110" s="1642">
        <v>408</v>
      </c>
      <c r="F110" s="1642">
        <v>387</v>
      </c>
    </row>
    <row r="111" spans="1:6" s="636" customFormat="1" x14ac:dyDescent="0.25">
      <c r="A111" s="632" t="s">
        <v>142</v>
      </c>
      <c r="B111" s="633" t="s">
        <v>143</v>
      </c>
      <c r="C111" s="633" t="s">
        <v>267</v>
      </c>
      <c r="D111" s="955">
        <v>182</v>
      </c>
      <c r="E111" s="1642">
        <v>209</v>
      </c>
      <c r="F111" s="1642">
        <v>183</v>
      </c>
    </row>
    <row r="112" spans="1:6" s="636" customFormat="1" x14ac:dyDescent="0.25">
      <c r="A112" s="632" t="s">
        <v>144</v>
      </c>
      <c r="B112" s="633" t="s">
        <v>145</v>
      </c>
      <c r="C112" s="633" t="s">
        <v>267</v>
      </c>
      <c r="D112" s="955">
        <v>34</v>
      </c>
      <c r="E112" s="1642">
        <v>50</v>
      </c>
      <c r="F112" s="1642">
        <v>38</v>
      </c>
    </row>
    <row r="113" spans="1:7" s="636" customFormat="1" x14ac:dyDescent="0.25">
      <c r="A113" s="632" t="s">
        <v>158</v>
      </c>
      <c r="B113" s="633" t="s">
        <v>159</v>
      </c>
      <c r="C113" s="633" t="s">
        <v>264</v>
      </c>
      <c r="D113" s="955">
        <v>1336</v>
      </c>
      <c r="E113" s="1642">
        <v>1365</v>
      </c>
      <c r="F113" s="1642">
        <v>1216</v>
      </c>
    </row>
    <row r="114" spans="1:7" s="636" customFormat="1" x14ac:dyDescent="0.25">
      <c r="A114" s="632" t="s">
        <v>160</v>
      </c>
      <c r="B114" s="633" t="s">
        <v>161</v>
      </c>
      <c r="C114" s="633" t="s">
        <v>264</v>
      </c>
      <c r="D114" s="955">
        <v>1767</v>
      </c>
      <c r="E114" s="1642">
        <v>1680</v>
      </c>
      <c r="F114" s="1642">
        <v>1411</v>
      </c>
    </row>
    <row r="115" spans="1:7" s="636" customFormat="1" x14ac:dyDescent="0.25">
      <c r="A115" s="632" t="s">
        <v>166</v>
      </c>
      <c r="B115" s="633" t="s">
        <v>167</v>
      </c>
      <c r="C115" s="633" t="s">
        <v>268</v>
      </c>
      <c r="D115" s="955">
        <v>16</v>
      </c>
      <c r="E115" s="1642">
        <v>13</v>
      </c>
      <c r="F115" s="1642">
        <v>11</v>
      </c>
    </row>
    <row r="116" spans="1:7" s="636" customFormat="1" x14ac:dyDescent="0.25">
      <c r="A116" s="632" t="s">
        <v>176</v>
      </c>
      <c r="B116" s="633" t="s">
        <v>177</v>
      </c>
      <c r="C116" s="633" t="s">
        <v>266</v>
      </c>
      <c r="D116" s="955">
        <v>410</v>
      </c>
      <c r="E116" s="1642">
        <v>395</v>
      </c>
      <c r="F116" s="1642">
        <v>282</v>
      </c>
    </row>
    <row r="117" spans="1:7" s="636" customFormat="1" x14ac:dyDescent="0.25">
      <c r="A117" s="632" t="s">
        <v>180</v>
      </c>
      <c r="B117" s="633" t="s">
        <v>181</v>
      </c>
      <c r="C117" s="633" t="s">
        <v>264</v>
      </c>
      <c r="D117" s="955">
        <v>591</v>
      </c>
      <c r="E117" s="1642">
        <v>615</v>
      </c>
      <c r="F117" s="1642">
        <v>623</v>
      </c>
    </row>
    <row r="118" spans="1:7" s="636" customFormat="1" x14ac:dyDescent="0.25">
      <c r="A118" s="632" t="s">
        <v>192</v>
      </c>
      <c r="B118" s="633" t="s">
        <v>193</v>
      </c>
      <c r="C118" s="633" t="s">
        <v>268</v>
      </c>
      <c r="D118" s="955">
        <v>43</v>
      </c>
      <c r="E118" s="1642">
        <v>44</v>
      </c>
      <c r="F118" s="1642">
        <v>45</v>
      </c>
    </row>
    <row r="119" spans="1:7" s="636" customFormat="1" x14ac:dyDescent="0.25">
      <c r="A119" s="632" t="s">
        <v>196</v>
      </c>
      <c r="B119" s="633" t="s">
        <v>197</v>
      </c>
      <c r="C119" s="633" t="s">
        <v>266</v>
      </c>
      <c r="D119" s="955">
        <v>1780</v>
      </c>
      <c r="E119" s="1642">
        <v>1488</v>
      </c>
      <c r="F119" s="1642">
        <v>1305</v>
      </c>
    </row>
    <row r="120" spans="1:7" s="636" customFormat="1" x14ac:dyDescent="0.25">
      <c r="A120" s="632" t="s">
        <v>200</v>
      </c>
      <c r="B120" s="633" t="s">
        <v>201</v>
      </c>
      <c r="C120" s="633" t="s">
        <v>265</v>
      </c>
      <c r="D120" s="955">
        <v>775</v>
      </c>
      <c r="E120" s="1642">
        <v>824</v>
      </c>
      <c r="F120" s="1642">
        <v>806</v>
      </c>
    </row>
    <row r="121" spans="1:7" s="636" customFormat="1" x14ac:dyDescent="0.25">
      <c r="A121" s="632" t="s">
        <v>222</v>
      </c>
      <c r="B121" s="633" t="s">
        <v>223</v>
      </c>
      <c r="C121" s="633" t="s">
        <v>264</v>
      </c>
      <c r="D121" s="955">
        <v>268</v>
      </c>
      <c r="E121" s="1642">
        <v>280</v>
      </c>
      <c r="F121" s="1642">
        <v>226</v>
      </c>
    </row>
    <row r="122" spans="1:7" s="636" customFormat="1" x14ac:dyDescent="0.25">
      <c r="A122" s="632" t="s">
        <v>230</v>
      </c>
      <c r="B122" s="633" t="s">
        <v>231</v>
      </c>
      <c r="C122" s="633" t="s">
        <v>264</v>
      </c>
      <c r="D122" s="955">
        <v>1496</v>
      </c>
      <c r="E122" s="1642">
        <v>1584</v>
      </c>
      <c r="F122" s="1642">
        <v>1171</v>
      </c>
    </row>
    <row r="123" spans="1:7" s="636" customFormat="1" x14ac:dyDescent="0.25">
      <c r="A123" s="632" t="s">
        <v>238</v>
      </c>
      <c r="B123" s="633" t="s">
        <v>239</v>
      </c>
      <c r="C123" s="633" t="s">
        <v>264</v>
      </c>
      <c r="D123" s="955">
        <v>43</v>
      </c>
      <c r="E123" s="1642">
        <v>58</v>
      </c>
      <c r="F123" s="1642">
        <v>51</v>
      </c>
    </row>
    <row r="124" spans="1:7" s="636" customFormat="1" x14ac:dyDescent="0.25">
      <c r="A124" s="632" t="s">
        <v>240</v>
      </c>
      <c r="B124" s="633" t="s">
        <v>241</v>
      </c>
      <c r="C124" s="633" t="s">
        <v>267</v>
      </c>
      <c r="D124" s="955">
        <v>115</v>
      </c>
      <c r="E124" s="1643">
        <v>108</v>
      </c>
      <c r="F124" s="1643">
        <v>81</v>
      </c>
    </row>
    <row r="126" spans="1:7" ht="12.75" customHeight="1" x14ac:dyDescent="0.25">
      <c r="A126" s="2270" t="s">
        <v>1080</v>
      </c>
      <c r="B126" s="2271"/>
      <c r="C126" s="2271"/>
      <c r="D126" s="2271"/>
      <c r="E126" s="2271"/>
      <c r="F126" s="2271"/>
      <c r="G126" s="2271"/>
    </row>
    <row r="127" spans="1:7" x14ac:dyDescent="0.25">
      <c r="A127" s="2271"/>
      <c r="B127" s="2271"/>
      <c r="C127" s="2271"/>
      <c r="D127" s="2271"/>
      <c r="E127" s="2271"/>
      <c r="F127" s="2271"/>
      <c r="G127" s="2271"/>
    </row>
    <row r="128" spans="1:7" ht="18" customHeight="1" x14ac:dyDescent="0.25">
      <c r="A128" s="2271"/>
      <c r="B128" s="2271"/>
      <c r="C128" s="2271"/>
      <c r="D128" s="2271"/>
      <c r="E128" s="2271"/>
      <c r="F128" s="2271"/>
      <c r="G128" s="2271"/>
    </row>
    <row r="129" spans="1:7" x14ac:dyDescent="0.25">
      <c r="A129" s="1389"/>
      <c r="B129" s="1389"/>
      <c r="C129" s="1389"/>
      <c r="D129" s="1389"/>
      <c r="E129" s="1584"/>
      <c r="F129" s="1929"/>
      <c r="G129" s="1389"/>
    </row>
    <row r="130" spans="1:7" s="412" customFormat="1" x14ac:dyDescent="0.25">
      <c r="A130" s="412" t="s">
        <v>248</v>
      </c>
    </row>
    <row r="131" spans="1:7" s="412" customFormat="1" x14ac:dyDescent="0.25">
      <c r="A131" s="413" t="s">
        <v>249</v>
      </c>
      <c r="B131" s="414" t="s">
        <v>250</v>
      </c>
      <c r="C131" s="414"/>
    </row>
  </sheetData>
  <sortState ref="A5:G124">
    <sortCondition ref="A5:A124"/>
  </sortState>
  <mergeCells count="1">
    <mergeCell ref="A126:G128"/>
  </mergeCells>
  <hyperlinks>
    <hyperlink ref="B131"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1"/>
  <sheetViews>
    <sheetView workbookViewId="0">
      <pane xSplit="3" ySplit="5" topLeftCell="D111" activePane="bottomRight" state="frozen"/>
      <selection pane="topRight" activeCell="D1" sqref="D1"/>
      <selection pane="bottomLeft" activeCell="A6" sqref="A6"/>
      <selection pane="bottomRight" activeCell="A125" sqref="A6:XFD125"/>
    </sheetView>
  </sheetViews>
  <sheetFormatPr defaultColWidth="14.375" defaultRowHeight="15.75" x14ac:dyDescent="0.25"/>
  <cols>
    <col min="1" max="1" width="14.375" style="500"/>
    <col min="2" max="2" width="32.25" style="500" customWidth="1"/>
    <col min="3" max="3" width="14.5" style="500" customWidth="1"/>
    <col min="4" max="4" width="11.875" style="500" customWidth="1"/>
    <col min="5" max="5" width="11.125" style="500" customWidth="1"/>
    <col min="6" max="6" width="14.5" style="500" customWidth="1"/>
    <col min="7" max="8" width="9.625" style="500" customWidth="1"/>
    <col min="9" max="12" width="12.125" style="500" customWidth="1"/>
    <col min="13" max="16384" width="14.375" style="500"/>
  </cols>
  <sheetData>
    <row r="1" spans="1:12" x14ac:dyDescent="0.25">
      <c r="A1" s="257" t="s">
        <v>1289</v>
      </c>
    </row>
    <row r="2" spans="1:12" x14ac:dyDescent="0.25">
      <c r="B2" s="501"/>
      <c r="C2" s="501"/>
      <c r="D2" s="501"/>
      <c r="E2" s="501"/>
      <c r="F2" s="501"/>
      <c r="G2" s="501"/>
      <c r="H2" s="501"/>
    </row>
    <row r="3" spans="1:12" ht="23.25" customHeight="1" x14ac:dyDescent="0.25">
      <c r="A3" s="502"/>
      <c r="B3" s="503"/>
      <c r="C3" s="602"/>
      <c r="D3" s="2279" t="s">
        <v>881</v>
      </c>
      <c r="E3" s="2279"/>
      <c r="F3" s="2279"/>
      <c r="G3" s="2279" t="s">
        <v>876</v>
      </c>
      <c r="H3" s="2279"/>
      <c r="I3" s="2279" t="s">
        <v>778</v>
      </c>
      <c r="J3" s="2279"/>
      <c r="K3" s="2279"/>
      <c r="L3" s="2279"/>
    </row>
    <row r="4" spans="1:12" ht="35.25" customHeight="1" x14ac:dyDescent="0.25">
      <c r="A4" s="504" t="s">
        <v>4</v>
      </c>
      <c r="B4" s="503" t="s">
        <v>5</v>
      </c>
      <c r="C4" s="602" t="s">
        <v>251</v>
      </c>
      <c r="D4" s="1185" t="s">
        <v>618</v>
      </c>
      <c r="E4" s="1185" t="s">
        <v>720</v>
      </c>
      <c r="F4" s="1185" t="s">
        <v>790</v>
      </c>
      <c r="G4" s="1185" t="s">
        <v>549</v>
      </c>
      <c r="H4" s="1185" t="s">
        <v>548</v>
      </c>
      <c r="I4" s="602" t="s">
        <v>2</v>
      </c>
      <c r="J4" s="602" t="s">
        <v>445</v>
      </c>
      <c r="K4" s="602" t="s">
        <v>841</v>
      </c>
      <c r="L4" s="1548" t="s">
        <v>1113</v>
      </c>
    </row>
    <row r="5" spans="1:12" x14ac:dyDescent="0.25">
      <c r="A5" s="1206" t="s">
        <v>8</v>
      </c>
      <c r="B5" s="1207" t="s">
        <v>9</v>
      </c>
      <c r="C5" s="1208"/>
      <c r="D5" s="1209">
        <f>SUM(D6:D125)</f>
        <v>527986</v>
      </c>
      <c r="E5" s="1209">
        <f t="shared" ref="E5:F5" si="0">SUM(E6:E125)</f>
        <v>648953</v>
      </c>
      <c r="F5" s="1209">
        <f t="shared" si="0"/>
        <v>67667</v>
      </c>
      <c r="G5" s="1209">
        <f t="shared" ref="G5" si="1">SUM(G6:G125)</f>
        <v>715366</v>
      </c>
      <c r="H5" s="1209">
        <f t="shared" ref="H5:L5" si="2">SUM(H6:H125)</f>
        <v>529249</v>
      </c>
      <c r="I5" s="1210">
        <f t="shared" si="2"/>
        <v>517763</v>
      </c>
      <c r="J5" s="1210">
        <f t="shared" si="2"/>
        <v>473902</v>
      </c>
      <c r="K5" s="1210">
        <f t="shared" si="2"/>
        <v>68815</v>
      </c>
      <c r="L5" s="1210">
        <f t="shared" si="2"/>
        <v>184137</v>
      </c>
    </row>
    <row r="6" spans="1:12" s="601" customFormat="1" x14ac:dyDescent="0.25">
      <c r="A6" s="603" t="s">
        <v>10</v>
      </c>
      <c r="B6" s="599" t="s">
        <v>11</v>
      </c>
      <c r="C6" s="598" t="s">
        <v>264</v>
      </c>
      <c r="D6" s="956">
        <v>3780</v>
      </c>
      <c r="E6" s="956">
        <v>4470</v>
      </c>
      <c r="F6" s="956">
        <v>473</v>
      </c>
      <c r="G6" s="956">
        <v>4874</v>
      </c>
      <c r="H6" s="956">
        <v>3850</v>
      </c>
      <c r="I6" s="600">
        <v>4066</v>
      </c>
      <c r="J6" s="600">
        <v>3922</v>
      </c>
      <c r="K6" s="600">
        <v>167</v>
      </c>
      <c r="L6" s="600">
        <v>569</v>
      </c>
    </row>
    <row r="7" spans="1:12" s="601" customFormat="1" x14ac:dyDescent="0.25">
      <c r="A7" s="603" t="s">
        <v>12</v>
      </c>
      <c r="B7" s="599" t="s">
        <v>13</v>
      </c>
      <c r="C7" s="598" t="s">
        <v>265</v>
      </c>
      <c r="D7" s="956">
        <v>3842</v>
      </c>
      <c r="E7" s="956">
        <v>4622</v>
      </c>
      <c r="F7" s="956">
        <v>419</v>
      </c>
      <c r="G7" s="956">
        <v>5032</v>
      </c>
      <c r="H7" s="956">
        <v>3851</v>
      </c>
      <c r="I7" s="600">
        <v>3924</v>
      </c>
      <c r="J7" s="600">
        <v>2101</v>
      </c>
      <c r="K7" s="600">
        <v>764</v>
      </c>
      <c r="L7" s="600">
        <v>2094</v>
      </c>
    </row>
    <row r="8" spans="1:12" s="601" customFormat="1" x14ac:dyDescent="0.25">
      <c r="A8" s="603" t="s">
        <v>16</v>
      </c>
      <c r="B8" s="599" t="s">
        <v>297</v>
      </c>
      <c r="C8" s="598" t="s">
        <v>265</v>
      </c>
      <c r="D8" s="956">
        <v>1935</v>
      </c>
      <c r="E8" s="956">
        <v>2756</v>
      </c>
      <c r="F8" s="956">
        <v>271</v>
      </c>
      <c r="G8" s="956">
        <v>2768</v>
      </c>
      <c r="H8" s="956">
        <v>2193</v>
      </c>
      <c r="I8" s="600">
        <v>3715</v>
      </c>
      <c r="J8" s="600">
        <v>457</v>
      </c>
      <c r="K8" s="600">
        <v>233</v>
      </c>
      <c r="L8" s="600">
        <v>557</v>
      </c>
    </row>
    <row r="9" spans="1:12" s="601" customFormat="1" x14ac:dyDescent="0.25">
      <c r="A9" s="603" t="s">
        <v>18</v>
      </c>
      <c r="B9" s="599" t="s">
        <v>19</v>
      </c>
      <c r="C9" s="598" t="s">
        <v>266</v>
      </c>
      <c r="D9" s="956">
        <v>955</v>
      </c>
      <c r="E9" s="956">
        <v>1301</v>
      </c>
      <c r="F9" s="956">
        <v>165</v>
      </c>
      <c r="G9" s="956">
        <v>1349</v>
      </c>
      <c r="H9" s="956">
        <v>1072</v>
      </c>
      <c r="I9" s="600">
        <v>1400</v>
      </c>
      <c r="J9" s="600">
        <v>819</v>
      </c>
      <c r="K9" s="600">
        <v>107</v>
      </c>
      <c r="L9" s="600">
        <v>95</v>
      </c>
    </row>
    <row r="10" spans="1:12" s="601" customFormat="1" x14ac:dyDescent="0.25">
      <c r="A10" s="603" t="s">
        <v>20</v>
      </c>
      <c r="B10" s="599" t="s">
        <v>21</v>
      </c>
      <c r="C10" s="598" t="s">
        <v>265</v>
      </c>
      <c r="D10" s="956">
        <v>2239</v>
      </c>
      <c r="E10" s="956">
        <v>2733</v>
      </c>
      <c r="F10" s="956">
        <v>290</v>
      </c>
      <c r="G10" s="956">
        <v>2988</v>
      </c>
      <c r="H10" s="956">
        <v>2274</v>
      </c>
      <c r="I10" s="600">
        <v>3104</v>
      </c>
      <c r="J10" s="600">
        <v>1333</v>
      </c>
      <c r="K10" s="600">
        <v>249</v>
      </c>
      <c r="L10" s="600">
        <v>576</v>
      </c>
    </row>
    <row r="11" spans="1:12" s="601" customFormat="1" x14ac:dyDescent="0.25">
      <c r="A11" s="603" t="s">
        <v>22</v>
      </c>
      <c r="B11" s="599" t="s">
        <v>23</v>
      </c>
      <c r="C11" s="598" t="s">
        <v>265</v>
      </c>
      <c r="D11" s="956">
        <v>1375</v>
      </c>
      <c r="E11" s="956">
        <v>1869</v>
      </c>
      <c r="F11" s="956">
        <v>195</v>
      </c>
      <c r="G11" s="956">
        <v>1936</v>
      </c>
      <c r="H11" s="956">
        <v>1503</v>
      </c>
      <c r="I11" s="600">
        <v>1865</v>
      </c>
      <c r="J11" s="600">
        <v>1221</v>
      </c>
      <c r="K11" s="600">
        <v>85</v>
      </c>
      <c r="L11" s="600">
        <v>268</v>
      </c>
    </row>
    <row r="12" spans="1:12" s="601" customFormat="1" x14ac:dyDescent="0.25">
      <c r="A12" s="603" t="s">
        <v>24</v>
      </c>
      <c r="B12" s="599" t="s">
        <v>25</v>
      </c>
      <c r="C12" s="598" t="s">
        <v>267</v>
      </c>
      <c r="D12" s="956">
        <v>5109</v>
      </c>
      <c r="E12" s="956">
        <v>6446</v>
      </c>
      <c r="F12" s="956">
        <v>1609</v>
      </c>
      <c r="G12" s="956">
        <v>7554</v>
      </c>
      <c r="H12" s="956">
        <v>5610</v>
      </c>
      <c r="I12" s="600">
        <v>5571</v>
      </c>
      <c r="J12" s="600">
        <v>3245</v>
      </c>
      <c r="K12" s="600">
        <v>1570</v>
      </c>
      <c r="L12" s="600">
        <v>2778</v>
      </c>
    </row>
    <row r="13" spans="1:12" s="601" customFormat="1" x14ac:dyDescent="0.25">
      <c r="A13" s="603" t="s">
        <v>26</v>
      </c>
      <c r="B13" s="599" t="s">
        <v>686</v>
      </c>
      <c r="C13" s="598" t="s">
        <v>265</v>
      </c>
      <c r="D13" s="956">
        <v>7904</v>
      </c>
      <c r="E13" s="956">
        <v>10449</v>
      </c>
      <c r="F13" s="956">
        <v>968</v>
      </c>
      <c r="G13" s="956">
        <v>10978</v>
      </c>
      <c r="H13" s="956">
        <v>8343</v>
      </c>
      <c r="I13" s="600">
        <v>13743</v>
      </c>
      <c r="J13" s="600">
        <v>3048</v>
      </c>
      <c r="K13" s="600">
        <v>518</v>
      </c>
      <c r="L13" s="600">
        <v>2012</v>
      </c>
    </row>
    <row r="14" spans="1:12" s="601" customFormat="1" x14ac:dyDescent="0.25">
      <c r="A14" s="603" t="s">
        <v>27</v>
      </c>
      <c r="B14" s="599" t="s">
        <v>28</v>
      </c>
      <c r="C14" s="598" t="s">
        <v>265</v>
      </c>
      <c r="D14" s="956">
        <v>213</v>
      </c>
      <c r="E14" s="956">
        <v>291</v>
      </c>
      <c r="F14" s="956">
        <v>61</v>
      </c>
      <c r="G14" s="956">
        <v>306</v>
      </c>
      <c r="H14" s="956">
        <v>259</v>
      </c>
      <c r="I14" s="600">
        <v>506</v>
      </c>
      <c r="J14" s="600">
        <v>19</v>
      </c>
      <c r="K14" s="600">
        <v>12</v>
      </c>
      <c r="L14" s="600">
        <v>28</v>
      </c>
    </row>
    <row r="15" spans="1:12" s="601" customFormat="1" x14ac:dyDescent="0.25">
      <c r="A15" s="603" t="s">
        <v>29</v>
      </c>
      <c r="B15" s="599" t="s">
        <v>924</v>
      </c>
      <c r="C15" s="598" t="s">
        <v>265</v>
      </c>
      <c r="D15" s="956">
        <v>3657</v>
      </c>
      <c r="E15" s="956">
        <v>4754</v>
      </c>
      <c r="F15" s="956">
        <v>410</v>
      </c>
      <c r="G15" s="956">
        <v>4882</v>
      </c>
      <c r="H15" s="956">
        <v>3939</v>
      </c>
      <c r="I15" s="600">
        <v>6366</v>
      </c>
      <c r="J15" s="600">
        <v>1253</v>
      </c>
      <c r="K15" s="600">
        <v>209</v>
      </c>
      <c r="L15" s="600">
        <v>993</v>
      </c>
    </row>
    <row r="16" spans="1:12" s="601" customFormat="1" x14ac:dyDescent="0.25">
      <c r="A16" s="603" t="s">
        <v>30</v>
      </c>
      <c r="B16" s="599" t="s">
        <v>31</v>
      </c>
      <c r="C16" s="598" t="s">
        <v>268</v>
      </c>
      <c r="D16" s="956">
        <v>301</v>
      </c>
      <c r="E16" s="956">
        <v>473</v>
      </c>
      <c r="F16" s="956">
        <v>63</v>
      </c>
      <c r="G16" s="956">
        <v>483</v>
      </c>
      <c r="H16" s="956">
        <v>354</v>
      </c>
      <c r="I16" s="600">
        <v>718</v>
      </c>
      <c r="J16" s="600">
        <v>26</v>
      </c>
      <c r="K16" s="600">
        <v>6</v>
      </c>
      <c r="L16" s="600">
        <v>87</v>
      </c>
    </row>
    <row r="17" spans="1:12" s="601" customFormat="1" x14ac:dyDescent="0.25">
      <c r="A17" s="603" t="s">
        <v>32</v>
      </c>
      <c r="B17" s="599" t="s">
        <v>33</v>
      </c>
      <c r="C17" s="598" t="s">
        <v>265</v>
      </c>
      <c r="D17" s="956">
        <v>1213</v>
      </c>
      <c r="E17" s="956">
        <v>1485</v>
      </c>
      <c r="F17" s="956">
        <v>120</v>
      </c>
      <c r="G17" s="956">
        <v>1585</v>
      </c>
      <c r="H17" s="956">
        <v>1233</v>
      </c>
      <c r="I17" s="600">
        <v>2372</v>
      </c>
      <c r="J17" s="600">
        <v>125</v>
      </c>
      <c r="K17" s="600">
        <v>166</v>
      </c>
      <c r="L17" s="600">
        <v>155</v>
      </c>
    </row>
    <row r="18" spans="1:12" s="601" customFormat="1" x14ac:dyDescent="0.25">
      <c r="A18" s="603" t="s">
        <v>36</v>
      </c>
      <c r="B18" s="599" t="s">
        <v>37</v>
      </c>
      <c r="C18" s="598" t="s">
        <v>264</v>
      </c>
      <c r="D18" s="956">
        <v>1647</v>
      </c>
      <c r="E18" s="956">
        <v>2558</v>
      </c>
      <c r="F18" s="956">
        <v>469</v>
      </c>
      <c r="G18" s="956">
        <v>2603</v>
      </c>
      <c r="H18" s="956">
        <v>2071</v>
      </c>
      <c r="I18" s="600">
        <v>1106</v>
      </c>
      <c r="J18" s="600">
        <v>3354</v>
      </c>
      <c r="K18" s="600">
        <v>88</v>
      </c>
      <c r="L18" s="600">
        <v>126</v>
      </c>
    </row>
    <row r="19" spans="1:12" s="601" customFormat="1" x14ac:dyDescent="0.25">
      <c r="A19" s="603" t="s">
        <v>38</v>
      </c>
      <c r="B19" s="599" t="s">
        <v>39</v>
      </c>
      <c r="C19" s="598" t="s">
        <v>268</v>
      </c>
      <c r="D19" s="956">
        <v>2001</v>
      </c>
      <c r="E19" s="956">
        <v>3985</v>
      </c>
      <c r="F19" s="956">
        <v>318</v>
      </c>
      <c r="G19" s="956">
        <v>3450</v>
      </c>
      <c r="H19" s="956">
        <v>2854</v>
      </c>
      <c r="I19" s="600">
        <v>5937</v>
      </c>
      <c r="J19" s="600">
        <v>25</v>
      </c>
      <c r="K19" s="600">
        <v>13</v>
      </c>
      <c r="L19" s="600">
        <v>329</v>
      </c>
    </row>
    <row r="20" spans="1:12" s="601" customFormat="1" x14ac:dyDescent="0.25">
      <c r="A20" s="603" t="s">
        <v>40</v>
      </c>
      <c r="B20" s="599" t="s">
        <v>41</v>
      </c>
      <c r="C20" s="598" t="s">
        <v>266</v>
      </c>
      <c r="D20" s="956">
        <v>1505</v>
      </c>
      <c r="E20" s="956">
        <v>2102</v>
      </c>
      <c r="F20" s="956">
        <v>300</v>
      </c>
      <c r="G20" s="956">
        <v>2192</v>
      </c>
      <c r="H20" s="956">
        <v>1715</v>
      </c>
      <c r="I20" s="600">
        <v>1861</v>
      </c>
      <c r="J20" s="600">
        <v>1654</v>
      </c>
      <c r="K20" s="600">
        <v>114</v>
      </c>
      <c r="L20" s="600">
        <v>278</v>
      </c>
    </row>
    <row r="21" spans="1:12" s="601" customFormat="1" x14ac:dyDescent="0.25">
      <c r="A21" s="603" t="s">
        <v>42</v>
      </c>
      <c r="B21" s="599" t="s">
        <v>43</v>
      </c>
      <c r="C21" s="598" t="s">
        <v>265</v>
      </c>
      <c r="D21" s="956">
        <v>4197</v>
      </c>
      <c r="E21" s="956">
        <v>5668</v>
      </c>
      <c r="F21" s="956">
        <v>569</v>
      </c>
      <c r="G21" s="956">
        <v>5966</v>
      </c>
      <c r="H21" s="956">
        <v>4468</v>
      </c>
      <c r="I21" s="600">
        <v>6630</v>
      </c>
      <c r="J21" s="600">
        <v>2363</v>
      </c>
      <c r="K21" s="600">
        <v>254</v>
      </c>
      <c r="L21" s="600">
        <v>1187</v>
      </c>
    </row>
    <row r="22" spans="1:12" s="601" customFormat="1" x14ac:dyDescent="0.25">
      <c r="A22" s="603" t="s">
        <v>44</v>
      </c>
      <c r="B22" s="599" t="s">
        <v>45</v>
      </c>
      <c r="C22" s="598" t="s">
        <v>266</v>
      </c>
      <c r="D22" s="956">
        <v>2754</v>
      </c>
      <c r="E22" s="956">
        <v>3402</v>
      </c>
      <c r="F22" s="956">
        <v>311</v>
      </c>
      <c r="G22" s="956">
        <v>3685</v>
      </c>
      <c r="H22" s="956">
        <v>2782</v>
      </c>
      <c r="I22" s="600">
        <v>3113</v>
      </c>
      <c r="J22" s="600">
        <v>2162</v>
      </c>
      <c r="K22" s="600">
        <v>225</v>
      </c>
      <c r="L22" s="600">
        <v>967</v>
      </c>
    </row>
    <row r="23" spans="1:12" s="601" customFormat="1" x14ac:dyDescent="0.25">
      <c r="A23" s="603" t="s">
        <v>46</v>
      </c>
      <c r="B23" s="599" t="s">
        <v>47</v>
      </c>
      <c r="C23" s="598" t="s">
        <v>268</v>
      </c>
      <c r="D23" s="956">
        <v>2457</v>
      </c>
      <c r="E23" s="956">
        <v>3897</v>
      </c>
      <c r="F23" s="956">
        <v>518</v>
      </c>
      <c r="G23" s="956">
        <v>3716</v>
      </c>
      <c r="H23" s="956">
        <v>3156</v>
      </c>
      <c r="I23" s="600">
        <v>5862</v>
      </c>
      <c r="J23" s="600">
        <v>98</v>
      </c>
      <c r="K23" s="600">
        <v>155</v>
      </c>
      <c r="L23" s="600">
        <v>757</v>
      </c>
    </row>
    <row r="24" spans="1:12" s="601" customFormat="1" x14ac:dyDescent="0.25">
      <c r="A24" s="603" t="s">
        <v>48</v>
      </c>
      <c r="B24" s="599" t="s">
        <v>269</v>
      </c>
      <c r="C24" s="598" t="s">
        <v>266</v>
      </c>
      <c r="D24" s="956">
        <v>478</v>
      </c>
      <c r="E24" s="956">
        <v>761</v>
      </c>
      <c r="F24" s="956">
        <v>87</v>
      </c>
      <c r="G24" s="956">
        <v>734</v>
      </c>
      <c r="H24" s="956">
        <v>592</v>
      </c>
      <c r="I24" s="600">
        <v>411</v>
      </c>
      <c r="J24" s="600">
        <v>690</v>
      </c>
      <c r="K24" s="600">
        <v>51</v>
      </c>
      <c r="L24" s="600">
        <v>174</v>
      </c>
    </row>
    <row r="25" spans="1:12" s="601" customFormat="1" x14ac:dyDescent="0.25">
      <c r="A25" s="603" t="s">
        <v>50</v>
      </c>
      <c r="B25" s="599" t="s">
        <v>51</v>
      </c>
      <c r="C25" s="598" t="s">
        <v>265</v>
      </c>
      <c r="D25" s="956">
        <v>1152</v>
      </c>
      <c r="E25" s="956">
        <v>1599</v>
      </c>
      <c r="F25" s="956">
        <v>261</v>
      </c>
      <c r="G25" s="956">
        <v>1673</v>
      </c>
      <c r="H25" s="956">
        <v>1339</v>
      </c>
      <c r="I25" s="600">
        <v>1332</v>
      </c>
      <c r="J25" s="600">
        <v>1462</v>
      </c>
      <c r="K25" s="600">
        <v>93</v>
      </c>
      <c r="L25" s="600">
        <v>125</v>
      </c>
    </row>
    <row r="26" spans="1:12" s="601" customFormat="1" x14ac:dyDescent="0.25">
      <c r="A26" s="603" t="s">
        <v>56</v>
      </c>
      <c r="B26" s="599" t="s">
        <v>295</v>
      </c>
      <c r="C26" s="598" t="s">
        <v>266</v>
      </c>
      <c r="D26" s="956">
        <v>21455</v>
      </c>
      <c r="E26" s="956">
        <v>23108</v>
      </c>
      <c r="F26" s="956">
        <v>1506</v>
      </c>
      <c r="G26" s="956">
        <v>27039</v>
      </c>
      <c r="H26" s="956">
        <v>19031</v>
      </c>
      <c r="I26" s="600">
        <v>18369</v>
      </c>
      <c r="J26" s="600">
        <v>15732</v>
      </c>
      <c r="K26" s="600">
        <v>3472</v>
      </c>
      <c r="L26" s="600">
        <v>8497</v>
      </c>
    </row>
    <row r="27" spans="1:12" s="601" customFormat="1" x14ac:dyDescent="0.25">
      <c r="A27" s="603" t="s">
        <v>58</v>
      </c>
      <c r="B27" s="599" t="s">
        <v>59</v>
      </c>
      <c r="C27" s="598" t="s">
        <v>267</v>
      </c>
      <c r="D27" s="956">
        <v>355</v>
      </c>
      <c r="E27" s="956">
        <v>466</v>
      </c>
      <c r="F27" s="956">
        <v>82</v>
      </c>
      <c r="G27" s="956">
        <v>517</v>
      </c>
      <c r="H27" s="956">
        <v>386</v>
      </c>
      <c r="I27" s="600">
        <v>667</v>
      </c>
      <c r="J27" s="600">
        <v>138</v>
      </c>
      <c r="K27" s="600">
        <v>19</v>
      </c>
      <c r="L27" s="600">
        <v>79</v>
      </c>
    </row>
    <row r="28" spans="1:12" s="601" customFormat="1" x14ac:dyDescent="0.25">
      <c r="A28" s="603" t="s">
        <v>60</v>
      </c>
      <c r="B28" s="599" t="s">
        <v>61</v>
      </c>
      <c r="C28" s="598" t="s">
        <v>265</v>
      </c>
      <c r="D28" s="956">
        <v>341</v>
      </c>
      <c r="E28" s="956">
        <v>467</v>
      </c>
      <c r="F28" s="956">
        <v>61</v>
      </c>
      <c r="G28" s="956">
        <v>468</v>
      </c>
      <c r="H28" s="956">
        <v>401</v>
      </c>
      <c r="I28" s="600">
        <v>770</v>
      </c>
      <c r="J28" s="600">
        <v>8</v>
      </c>
      <c r="K28" s="600">
        <v>1</v>
      </c>
      <c r="L28" s="600">
        <v>90</v>
      </c>
    </row>
    <row r="29" spans="1:12" s="601" customFormat="1" x14ac:dyDescent="0.25">
      <c r="A29" s="603" t="s">
        <v>62</v>
      </c>
      <c r="B29" s="599" t="s">
        <v>63</v>
      </c>
      <c r="C29" s="598" t="s">
        <v>267</v>
      </c>
      <c r="D29" s="956">
        <v>3476</v>
      </c>
      <c r="E29" s="956">
        <v>3893</v>
      </c>
      <c r="F29" s="956">
        <v>364</v>
      </c>
      <c r="G29" s="956">
        <v>4431</v>
      </c>
      <c r="H29" s="956">
        <v>3302</v>
      </c>
      <c r="I29" s="600">
        <v>3505</v>
      </c>
      <c r="J29" s="600">
        <v>2104</v>
      </c>
      <c r="K29" s="600">
        <v>566</v>
      </c>
      <c r="L29" s="600">
        <v>1558</v>
      </c>
    </row>
    <row r="30" spans="1:12" s="601" customFormat="1" x14ac:dyDescent="0.25">
      <c r="A30" s="603" t="s">
        <v>64</v>
      </c>
      <c r="B30" s="599" t="s">
        <v>65</v>
      </c>
      <c r="C30" s="598" t="s">
        <v>266</v>
      </c>
      <c r="D30" s="956">
        <v>1028</v>
      </c>
      <c r="E30" s="956">
        <v>1387</v>
      </c>
      <c r="F30" s="956">
        <v>194</v>
      </c>
      <c r="G30" s="956">
        <v>1484</v>
      </c>
      <c r="H30" s="956">
        <v>1125</v>
      </c>
      <c r="I30" s="600">
        <v>1255</v>
      </c>
      <c r="J30" s="600">
        <v>1177</v>
      </c>
      <c r="K30" s="600">
        <v>89</v>
      </c>
      <c r="L30" s="600">
        <v>88</v>
      </c>
    </row>
    <row r="31" spans="1:12" s="601" customFormat="1" x14ac:dyDescent="0.25">
      <c r="A31" s="603" t="s">
        <v>68</v>
      </c>
      <c r="B31" s="599" t="s">
        <v>69</v>
      </c>
      <c r="C31" s="598" t="s">
        <v>268</v>
      </c>
      <c r="D31" s="956">
        <v>1518</v>
      </c>
      <c r="E31" s="956">
        <v>2779</v>
      </c>
      <c r="F31" s="956">
        <v>218</v>
      </c>
      <c r="G31" s="956">
        <v>2449</v>
      </c>
      <c r="H31" s="956">
        <v>2066</v>
      </c>
      <c r="I31" s="600">
        <v>4256</v>
      </c>
      <c r="J31" s="600">
        <v>44</v>
      </c>
      <c r="K31" s="600">
        <v>6</v>
      </c>
      <c r="L31" s="600">
        <v>209</v>
      </c>
    </row>
    <row r="32" spans="1:12" s="601" customFormat="1" x14ac:dyDescent="0.25">
      <c r="A32" s="603" t="s">
        <v>70</v>
      </c>
      <c r="B32" s="599" t="s">
        <v>71</v>
      </c>
      <c r="C32" s="598" t="s">
        <v>264</v>
      </c>
      <c r="D32" s="956">
        <v>2544</v>
      </c>
      <c r="E32" s="956">
        <v>3367</v>
      </c>
      <c r="F32" s="956">
        <v>289</v>
      </c>
      <c r="G32" s="956">
        <v>3580</v>
      </c>
      <c r="H32" s="956">
        <v>2620</v>
      </c>
      <c r="I32" s="600">
        <v>2930</v>
      </c>
      <c r="J32" s="600">
        <v>2235</v>
      </c>
      <c r="K32" s="600">
        <v>139</v>
      </c>
      <c r="L32" s="600">
        <v>896</v>
      </c>
    </row>
    <row r="33" spans="1:12" s="601" customFormat="1" x14ac:dyDescent="0.25">
      <c r="A33" s="603" t="s">
        <v>72</v>
      </c>
      <c r="B33" s="599" t="s">
        <v>73</v>
      </c>
      <c r="C33" s="598" t="s">
        <v>266</v>
      </c>
      <c r="D33" s="956">
        <v>1217</v>
      </c>
      <c r="E33" s="956">
        <v>1559</v>
      </c>
      <c r="F33" s="956">
        <v>144</v>
      </c>
      <c r="G33" s="956">
        <v>1739</v>
      </c>
      <c r="H33" s="956">
        <v>1181</v>
      </c>
      <c r="I33" s="600">
        <v>708</v>
      </c>
      <c r="J33" s="600">
        <v>1529</v>
      </c>
      <c r="K33" s="600">
        <v>59</v>
      </c>
      <c r="L33" s="600">
        <v>624</v>
      </c>
    </row>
    <row r="34" spans="1:12" s="601" customFormat="1" x14ac:dyDescent="0.25">
      <c r="A34" s="603" t="s">
        <v>74</v>
      </c>
      <c r="B34" s="599" t="s">
        <v>296</v>
      </c>
      <c r="C34" s="598" t="s">
        <v>267</v>
      </c>
      <c r="D34" s="956">
        <v>36561</v>
      </c>
      <c r="E34" s="956">
        <v>37534</v>
      </c>
      <c r="F34" s="956">
        <v>8652</v>
      </c>
      <c r="G34" s="956">
        <v>47519</v>
      </c>
      <c r="H34" s="956">
        <v>35229</v>
      </c>
      <c r="I34" s="600">
        <v>32705</v>
      </c>
      <c r="J34" s="600">
        <v>14512</v>
      </c>
      <c r="K34" s="600">
        <v>14585</v>
      </c>
      <c r="L34" s="600">
        <v>20947</v>
      </c>
    </row>
    <row r="35" spans="1:12" s="601" customFormat="1" x14ac:dyDescent="0.25">
      <c r="A35" s="603" t="s">
        <v>76</v>
      </c>
      <c r="B35" s="599" t="s">
        <v>77</v>
      </c>
      <c r="C35" s="598" t="s">
        <v>267</v>
      </c>
      <c r="D35" s="956">
        <v>2406</v>
      </c>
      <c r="E35" s="956">
        <v>2815</v>
      </c>
      <c r="F35" s="956">
        <v>295</v>
      </c>
      <c r="G35" s="956">
        <v>3127</v>
      </c>
      <c r="H35" s="956">
        <v>2389</v>
      </c>
      <c r="I35" s="600">
        <v>3128</v>
      </c>
      <c r="J35" s="600">
        <v>1136</v>
      </c>
      <c r="K35" s="600">
        <v>376</v>
      </c>
      <c r="L35" s="600">
        <v>876</v>
      </c>
    </row>
    <row r="36" spans="1:12" s="601" customFormat="1" x14ac:dyDescent="0.25">
      <c r="A36" s="603" t="s">
        <v>78</v>
      </c>
      <c r="B36" s="599" t="s">
        <v>79</v>
      </c>
      <c r="C36" s="598" t="s">
        <v>268</v>
      </c>
      <c r="D36" s="956">
        <v>1023</v>
      </c>
      <c r="E36" s="956">
        <v>1351</v>
      </c>
      <c r="F36" s="956">
        <v>175</v>
      </c>
      <c r="G36" s="956">
        <v>1374</v>
      </c>
      <c r="H36" s="956">
        <v>1175</v>
      </c>
      <c r="I36" s="600">
        <v>2139</v>
      </c>
      <c r="J36" s="600">
        <v>103</v>
      </c>
      <c r="K36" s="600">
        <v>122</v>
      </c>
      <c r="L36" s="600">
        <v>185</v>
      </c>
    </row>
    <row r="37" spans="1:12" s="601" customFormat="1" x14ac:dyDescent="0.25">
      <c r="A37" s="603" t="s">
        <v>80</v>
      </c>
      <c r="B37" s="599" t="s">
        <v>81</v>
      </c>
      <c r="C37" s="598" t="s">
        <v>266</v>
      </c>
      <c r="D37" s="956">
        <v>1068</v>
      </c>
      <c r="E37" s="956">
        <v>1196</v>
      </c>
      <c r="F37" s="956">
        <v>144</v>
      </c>
      <c r="G37" s="956">
        <v>1393</v>
      </c>
      <c r="H37" s="956">
        <v>1015</v>
      </c>
      <c r="I37" s="600">
        <v>1404</v>
      </c>
      <c r="J37" s="600">
        <v>651</v>
      </c>
      <c r="K37" s="600">
        <v>115</v>
      </c>
      <c r="L37" s="600">
        <v>238</v>
      </c>
    </row>
    <row r="38" spans="1:12" s="601" customFormat="1" x14ac:dyDescent="0.25">
      <c r="A38" s="603" t="s">
        <v>84</v>
      </c>
      <c r="B38" s="599" t="s">
        <v>85</v>
      </c>
      <c r="C38" s="598" t="s">
        <v>265</v>
      </c>
      <c r="D38" s="956">
        <v>4018</v>
      </c>
      <c r="E38" s="956">
        <v>5405</v>
      </c>
      <c r="F38" s="956">
        <v>505</v>
      </c>
      <c r="G38" s="956">
        <v>5593</v>
      </c>
      <c r="H38" s="956">
        <v>4335</v>
      </c>
      <c r="I38" s="600">
        <v>7178</v>
      </c>
      <c r="J38" s="600">
        <v>1333</v>
      </c>
      <c r="K38" s="600">
        <v>272</v>
      </c>
      <c r="L38" s="600">
        <v>1145</v>
      </c>
    </row>
    <row r="39" spans="1:12" s="601" customFormat="1" x14ac:dyDescent="0.25">
      <c r="A39" s="603" t="s">
        <v>86</v>
      </c>
      <c r="B39" s="599" t="s">
        <v>87</v>
      </c>
      <c r="C39" s="598" t="s">
        <v>267</v>
      </c>
      <c r="D39" s="956">
        <v>4160</v>
      </c>
      <c r="E39" s="956">
        <v>4624</v>
      </c>
      <c r="F39" s="956">
        <v>406</v>
      </c>
      <c r="G39" s="956">
        <v>5201</v>
      </c>
      <c r="H39" s="956">
        <v>3989</v>
      </c>
      <c r="I39" s="600">
        <v>6727</v>
      </c>
      <c r="J39" s="600">
        <v>707</v>
      </c>
      <c r="K39" s="600">
        <v>296</v>
      </c>
      <c r="L39" s="600">
        <v>1460</v>
      </c>
    </row>
    <row r="40" spans="1:12" s="601" customFormat="1" x14ac:dyDescent="0.25">
      <c r="A40" s="603" t="s">
        <v>92</v>
      </c>
      <c r="B40" s="599" t="s">
        <v>93</v>
      </c>
      <c r="C40" s="598" t="s">
        <v>268</v>
      </c>
      <c r="D40" s="956">
        <v>1175</v>
      </c>
      <c r="E40" s="956">
        <v>1832</v>
      </c>
      <c r="F40" s="956">
        <v>205</v>
      </c>
      <c r="G40" s="956">
        <v>1783</v>
      </c>
      <c r="H40" s="956">
        <v>1429</v>
      </c>
      <c r="I40" s="600">
        <v>2919</v>
      </c>
      <c r="J40" s="600">
        <v>86</v>
      </c>
      <c r="K40" s="600">
        <v>22</v>
      </c>
      <c r="L40" s="600">
        <v>185</v>
      </c>
    </row>
    <row r="41" spans="1:12" s="601" customFormat="1" x14ac:dyDescent="0.25">
      <c r="A41" s="603" t="s">
        <v>94</v>
      </c>
      <c r="B41" s="599" t="s">
        <v>95</v>
      </c>
      <c r="C41" s="598" t="s">
        <v>264</v>
      </c>
      <c r="D41" s="956">
        <v>2182</v>
      </c>
      <c r="E41" s="956">
        <v>3090</v>
      </c>
      <c r="F41" s="956">
        <v>250</v>
      </c>
      <c r="G41" s="956">
        <v>3079</v>
      </c>
      <c r="H41" s="956">
        <v>2443</v>
      </c>
      <c r="I41" s="600">
        <v>4031</v>
      </c>
      <c r="J41" s="600">
        <v>748</v>
      </c>
      <c r="K41" s="600">
        <v>144</v>
      </c>
      <c r="L41" s="600">
        <v>599</v>
      </c>
    </row>
    <row r="42" spans="1:12" s="601" customFormat="1" x14ac:dyDescent="0.25">
      <c r="A42" s="603" t="s">
        <v>96</v>
      </c>
      <c r="B42" s="599" t="s">
        <v>97</v>
      </c>
      <c r="C42" s="598" t="s">
        <v>266</v>
      </c>
      <c r="D42" s="956">
        <v>685</v>
      </c>
      <c r="E42" s="956">
        <v>912</v>
      </c>
      <c r="F42" s="956">
        <v>116</v>
      </c>
      <c r="G42" s="956">
        <v>966</v>
      </c>
      <c r="H42" s="956">
        <v>747</v>
      </c>
      <c r="I42" s="600">
        <v>798</v>
      </c>
      <c r="J42" s="600">
        <v>665</v>
      </c>
      <c r="K42" s="600">
        <v>61</v>
      </c>
      <c r="L42" s="600">
        <v>189</v>
      </c>
    </row>
    <row r="43" spans="1:12" s="601" customFormat="1" x14ac:dyDescent="0.25">
      <c r="A43" s="603" t="s">
        <v>98</v>
      </c>
      <c r="B43" s="599" t="s">
        <v>99</v>
      </c>
      <c r="C43" s="598" t="s">
        <v>268</v>
      </c>
      <c r="D43" s="956">
        <v>1309</v>
      </c>
      <c r="E43" s="956">
        <v>2032</v>
      </c>
      <c r="F43" s="956">
        <v>304</v>
      </c>
      <c r="G43" s="956">
        <v>2012</v>
      </c>
      <c r="H43" s="956">
        <v>1633</v>
      </c>
      <c r="I43" s="600">
        <v>3181</v>
      </c>
      <c r="J43" s="600">
        <v>151</v>
      </c>
      <c r="K43" s="600">
        <v>56</v>
      </c>
      <c r="L43" s="600">
        <v>257</v>
      </c>
    </row>
    <row r="44" spans="1:12" s="601" customFormat="1" x14ac:dyDescent="0.25">
      <c r="A44" s="603" t="s">
        <v>100</v>
      </c>
      <c r="B44" s="599" t="s">
        <v>101</v>
      </c>
      <c r="C44" s="598" t="s">
        <v>267</v>
      </c>
      <c r="D44" s="956">
        <v>1374</v>
      </c>
      <c r="E44" s="956">
        <v>1587</v>
      </c>
      <c r="F44" s="956">
        <v>125</v>
      </c>
      <c r="G44" s="956">
        <v>1679</v>
      </c>
      <c r="H44" s="956">
        <v>1407</v>
      </c>
      <c r="I44" s="600">
        <v>2132</v>
      </c>
      <c r="J44" s="600">
        <v>510</v>
      </c>
      <c r="K44" s="600">
        <v>163</v>
      </c>
      <c r="L44" s="600">
        <v>281</v>
      </c>
    </row>
    <row r="45" spans="1:12" s="601" customFormat="1" x14ac:dyDescent="0.25">
      <c r="A45" s="603" t="s">
        <v>102</v>
      </c>
      <c r="B45" s="599" t="s">
        <v>282</v>
      </c>
      <c r="C45" s="598" t="s">
        <v>264</v>
      </c>
      <c r="D45" s="956">
        <v>2274</v>
      </c>
      <c r="E45" s="956">
        <v>2877</v>
      </c>
      <c r="F45" s="956">
        <v>339</v>
      </c>
      <c r="G45" s="956">
        <v>3180</v>
      </c>
      <c r="H45" s="956">
        <v>2310</v>
      </c>
      <c r="I45" s="600">
        <v>670</v>
      </c>
      <c r="J45" s="600">
        <v>4251</v>
      </c>
      <c r="K45" s="600">
        <v>137</v>
      </c>
      <c r="L45" s="600">
        <v>432</v>
      </c>
    </row>
    <row r="46" spans="1:12" s="601" customFormat="1" x14ac:dyDescent="0.25">
      <c r="A46" s="603" t="s">
        <v>104</v>
      </c>
      <c r="B46" s="599" t="s">
        <v>105</v>
      </c>
      <c r="C46" s="598" t="s">
        <v>265</v>
      </c>
      <c r="D46" s="956">
        <v>3345</v>
      </c>
      <c r="E46" s="956">
        <v>4703</v>
      </c>
      <c r="F46" s="956">
        <v>709</v>
      </c>
      <c r="G46" s="956">
        <v>5009</v>
      </c>
      <c r="H46" s="956">
        <v>3748</v>
      </c>
      <c r="I46" s="600">
        <v>3054</v>
      </c>
      <c r="J46" s="600">
        <v>4700</v>
      </c>
      <c r="K46" s="600">
        <v>191</v>
      </c>
      <c r="L46" s="600">
        <v>812</v>
      </c>
    </row>
    <row r="47" spans="1:12" s="601" customFormat="1" x14ac:dyDescent="0.25">
      <c r="A47" s="603" t="s">
        <v>108</v>
      </c>
      <c r="B47" s="599" t="s">
        <v>109</v>
      </c>
      <c r="C47" s="598" t="s">
        <v>266</v>
      </c>
      <c r="D47" s="956">
        <v>3326</v>
      </c>
      <c r="E47" s="956">
        <v>4091</v>
      </c>
      <c r="F47" s="956">
        <v>363</v>
      </c>
      <c r="G47" s="956">
        <v>4502</v>
      </c>
      <c r="H47" s="956">
        <v>3278</v>
      </c>
      <c r="I47" s="600">
        <v>4299</v>
      </c>
      <c r="J47" s="600">
        <v>1868</v>
      </c>
      <c r="K47" s="600">
        <v>306</v>
      </c>
      <c r="L47" s="600">
        <v>1307</v>
      </c>
    </row>
    <row r="48" spans="1:12" s="601" customFormat="1" x14ac:dyDescent="0.25">
      <c r="A48" s="603" t="s">
        <v>110</v>
      </c>
      <c r="B48" s="599" t="s">
        <v>111</v>
      </c>
      <c r="C48" s="598" t="s">
        <v>266</v>
      </c>
      <c r="D48" s="956">
        <v>21595</v>
      </c>
      <c r="E48" s="956">
        <v>24327</v>
      </c>
      <c r="F48" s="956">
        <v>2210</v>
      </c>
      <c r="G48" s="956">
        <v>28316</v>
      </c>
      <c r="H48" s="956">
        <v>19816</v>
      </c>
      <c r="I48" s="600">
        <v>11000</v>
      </c>
      <c r="J48" s="600">
        <v>24788</v>
      </c>
      <c r="K48" s="600">
        <v>2933</v>
      </c>
      <c r="L48" s="600">
        <v>9411</v>
      </c>
    </row>
    <row r="49" spans="1:12" s="601" customFormat="1" x14ac:dyDescent="0.25">
      <c r="A49" s="603" t="s">
        <v>112</v>
      </c>
      <c r="B49" s="599" t="s">
        <v>300</v>
      </c>
      <c r="C49" s="598" t="s">
        <v>265</v>
      </c>
      <c r="D49" s="956">
        <v>7898</v>
      </c>
      <c r="E49" s="956">
        <v>11739</v>
      </c>
      <c r="F49" s="956">
        <v>1150</v>
      </c>
      <c r="G49" s="956">
        <v>11588</v>
      </c>
      <c r="H49" s="956">
        <v>9199</v>
      </c>
      <c r="I49" s="600">
        <v>10019</v>
      </c>
      <c r="J49" s="600">
        <v>7083</v>
      </c>
      <c r="K49" s="600">
        <v>337</v>
      </c>
      <c r="L49" s="600">
        <v>3348</v>
      </c>
    </row>
    <row r="50" spans="1:12" s="601" customFormat="1" x14ac:dyDescent="0.25">
      <c r="A50" s="603" t="s">
        <v>114</v>
      </c>
      <c r="B50" s="599" t="s">
        <v>115</v>
      </c>
      <c r="C50" s="598" t="s">
        <v>265</v>
      </c>
      <c r="D50" s="956">
        <v>64</v>
      </c>
      <c r="E50" s="956">
        <v>124</v>
      </c>
      <c r="F50" s="956">
        <v>16</v>
      </c>
      <c r="G50" s="956">
        <v>116</v>
      </c>
      <c r="H50" s="956">
        <v>88</v>
      </c>
      <c r="I50" s="600">
        <v>146</v>
      </c>
      <c r="J50" s="600">
        <v>1</v>
      </c>
      <c r="K50" s="600">
        <v>0</v>
      </c>
      <c r="L50" s="600">
        <v>57</v>
      </c>
    </row>
    <row r="51" spans="1:12" s="601" customFormat="1" x14ac:dyDescent="0.25">
      <c r="A51" s="603" t="s">
        <v>118</v>
      </c>
      <c r="B51" s="599" t="s">
        <v>270</v>
      </c>
      <c r="C51" s="598" t="s">
        <v>264</v>
      </c>
      <c r="D51" s="956">
        <v>2157</v>
      </c>
      <c r="E51" s="956">
        <v>2808</v>
      </c>
      <c r="F51" s="956">
        <v>317</v>
      </c>
      <c r="G51" s="956">
        <v>3078</v>
      </c>
      <c r="H51" s="956">
        <v>2204</v>
      </c>
      <c r="I51" s="600">
        <v>2079</v>
      </c>
      <c r="J51" s="600">
        <v>2396</v>
      </c>
      <c r="K51" s="600">
        <v>112</v>
      </c>
      <c r="L51" s="600">
        <v>695</v>
      </c>
    </row>
    <row r="52" spans="1:12" s="601" customFormat="1" x14ac:dyDescent="0.25">
      <c r="A52" s="603" t="s">
        <v>120</v>
      </c>
      <c r="B52" s="599" t="s">
        <v>121</v>
      </c>
      <c r="C52" s="598" t="s">
        <v>264</v>
      </c>
      <c r="D52" s="956">
        <v>3155</v>
      </c>
      <c r="E52" s="956">
        <v>3514</v>
      </c>
      <c r="F52" s="956">
        <v>243</v>
      </c>
      <c r="G52" s="956">
        <v>4052</v>
      </c>
      <c r="H52" s="956">
        <v>2860</v>
      </c>
      <c r="I52" s="600">
        <v>2967</v>
      </c>
      <c r="J52" s="600">
        <v>2591</v>
      </c>
      <c r="K52" s="600">
        <v>413</v>
      </c>
      <c r="L52" s="600">
        <v>941</v>
      </c>
    </row>
    <row r="53" spans="1:12" s="601" customFormat="1" x14ac:dyDescent="0.25">
      <c r="A53" s="603" t="s">
        <v>122</v>
      </c>
      <c r="B53" s="599" t="s">
        <v>287</v>
      </c>
      <c r="C53" s="598" t="s">
        <v>266</v>
      </c>
      <c r="D53" s="956">
        <v>592</v>
      </c>
      <c r="E53" s="956">
        <v>822</v>
      </c>
      <c r="F53" s="956">
        <v>104</v>
      </c>
      <c r="G53" s="956">
        <v>881</v>
      </c>
      <c r="H53" s="956">
        <v>637</v>
      </c>
      <c r="I53" s="600">
        <v>713</v>
      </c>
      <c r="J53" s="600">
        <v>588</v>
      </c>
      <c r="K53" s="600">
        <v>64</v>
      </c>
      <c r="L53" s="600">
        <v>153</v>
      </c>
    </row>
    <row r="54" spans="1:12" s="601" customFormat="1" x14ac:dyDescent="0.25">
      <c r="A54" s="603" t="s">
        <v>124</v>
      </c>
      <c r="B54" s="599" t="s">
        <v>125</v>
      </c>
      <c r="C54" s="598" t="s">
        <v>267</v>
      </c>
      <c r="D54" s="956">
        <v>1678</v>
      </c>
      <c r="E54" s="956">
        <v>1943</v>
      </c>
      <c r="F54" s="956">
        <v>163</v>
      </c>
      <c r="G54" s="956">
        <v>2157</v>
      </c>
      <c r="H54" s="956">
        <v>1627</v>
      </c>
      <c r="I54" s="600">
        <v>1809</v>
      </c>
      <c r="J54" s="600">
        <v>1340</v>
      </c>
      <c r="K54" s="600">
        <v>145</v>
      </c>
      <c r="L54" s="600">
        <v>490</v>
      </c>
    </row>
    <row r="55" spans="1:12" s="601" customFormat="1" x14ac:dyDescent="0.25">
      <c r="A55" s="603" t="s">
        <v>126</v>
      </c>
      <c r="B55" s="599" t="s">
        <v>127</v>
      </c>
      <c r="C55" s="598" t="s">
        <v>266</v>
      </c>
      <c r="D55" s="956">
        <v>1031</v>
      </c>
      <c r="E55" s="956">
        <v>1191</v>
      </c>
      <c r="F55" s="956">
        <v>129</v>
      </c>
      <c r="G55" s="956">
        <v>1371</v>
      </c>
      <c r="H55" s="956">
        <v>980</v>
      </c>
      <c r="I55" s="600">
        <v>1117</v>
      </c>
      <c r="J55" s="600">
        <v>854</v>
      </c>
      <c r="K55" s="600">
        <v>95</v>
      </c>
      <c r="L55" s="600">
        <v>285</v>
      </c>
    </row>
    <row r="56" spans="1:12" s="601" customFormat="1" x14ac:dyDescent="0.25">
      <c r="A56" s="603" t="s">
        <v>128</v>
      </c>
      <c r="B56" s="599" t="s">
        <v>129</v>
      </c>
      <c r="C56" s="598" t="s">
        <v>266</v>
      </c>
      <c r="D56" s="956">
        <v>853</v>
      </c>
      <c r="E56" s="956">
        <v>1066</v>
      </c>
      <c r="F56" s="956">
        <v>171</v>
      </c>
      <c r="G56" s="956">
        <v>1221</v>
      </c>
      <c r="H56" s="956">
        <v>869</v>
      </c>
      <c r="I56" s="600">
        <v>613</v>
      </c>
      <c r="J56" s="600">
        <v>1334</v>
      </c>
      <c r="K56" s="600">
        <v>75</v>
      </c>
      <c r="L56" s="600">
        <v>68</v>
      </c>
    </row>
    <row r="57" spans="1:12" s="601" customFormat="1" x14ac:dyDescent="0.25">
      <c r="A57" s="603" t="s">
        <v>130</v>
      </c>
      <c r="B57" s="599" t="s">
        <v>131</v>
      </c>
      <c r="C57" s="598" t="s">
        <v>268</v>
      </c>
      <c r="D57" s="956">
        <v>2510</v>
      </c>
      <c r="E57" s="956">
        <v>4494</v>
      </c>
      <c r="F57" s="956">
        <v>586</v>
      </c>
      <c r="G57" s="956">
        <v>4109</v>
      </c>
      <c r="H57" s="956">
        <v>3481</v>
      </c>
      <c r="I57" s="600">
        <v>7149</v>
      </c>
      <c r="J57" s="600">
        <v>54</v>
      </c>
      <c r="K57" s="600">
        <v>34</v>
      </c>
      <c r="L57" s="600">
        <v>353</v>
      </c>
    </row>
    <row r="58" spans="1:12" s="601" customFormat="1" x14ac:dyDescent="0.25">
      <c r="A58" s="603" t="s">
        <v>132</v>
      </c>
      <c r="B58" s="599" t="s">
        <v>133</v>
      </c>
      <c r="C58" s="598" t="s">
        <v>267</v>
      </c>
      <c r="D58" s="956">
        <v>7374</v>
      </c>
      <c r="E58" s="956">
        <v>7309</v>
      </c>
      <c r="F58" s="956">
        <v>1550</v>
      </c>
      <c r="G58" s="956">
        <v>9563</v>
      </c>
      <c r="H58" s="956">
        <v>6671</v>
      </c>
      <c r="I58" s="600">
        <v>6318</v>
      </c>
      <c r="J58" s="600">
        <v>2275</v>
      </c>
      <c r="K58" s="600">
        <v>2593</v>
      </c>
      <c r="L58" s="600">
        <v>5048</v>
      </c>
    </row>
    <row r="59" spans="1:12" s="601" customFormat="1" x14ac:dyDescent="0.25">
      <c r="A59" s="603" t="s">
        <v>134</v>
      </c>
      <c r="B59" s="599" t="s">
        <v>135</v>
      </c>
      <c r="C59" s="598" t="s">
        <v>267</v>
      </c>
      <c r="D59" s="956">
        <v>2472</v>
      </c>
      <c r="E59" s="956">
        <v>3163</v>
      </c>
      <c r="F59" s="956">
        <v>369</v>
      </c>
      <c r="G59" s="956">
        <v>3343</v>
      </c>
      <c r="H59" s="956">
        <v>2661</v>
      </c>
      <c r="I59" s="600">
        <v>3464</v>
      </c>
      <c r="J59" s="600">
        <v>1478</v>
      </c>
      <c r="K59" s="600">
        <v>180</v>
      </c>
      <c r="L59" s="600">
        <v>882</v>
      </c>
    </row>
    <row r="60" spans="1:12" s="601" customFormat="1" x14ac:dyDescent="0.25">
      <c r="A60" s="603" t="s">
        <v>136</v>
      </c>
      <c r="B60" s="599" t="s">
        <v>137</v>
      </c>
      <c r="C60" s="598" t="s">
        <v>266</v>
      </c>
      <c r="D60" s="956">
        <v>1241</v>
      </c>
      <c r="E60" s="956">
        <v>1729</v>
      </c>
      <c r="F60" s="956">
        <v>247</v>
      </c>
      <c r="G60" s="956">
        <v>1800</v>
      </c>
      <c r="H60" s="956">
        <v>1417</v>
      </c>
      <c r="I60" s="600">
        <v>1295</v>
      </c>
      <c r="J60" s="600">
        <v>1508</v>
      </c>
      <c r="K60" s="600">
        <v>310</v>
      </c>
      <c r="L60" s="600">
        <v>104</v>
      </c>
    </row>
    <row r="61" spans="1:12" s="601" customFormat="1" x14ac:dyDescent="0.25">
      <c r="A61" s="603" t="s">
        <v>140</v>
      </c>
      <c r="B61" s="599" t="s">
        <v>141</v>
      </c>
      <c r="C61" s="598" t="s">
        <v>267</v>
      </c>
      <c r="D61" s="956">
        <v>851</v>
      </c>
      <c r="E61" s="956">
        <v>1105</v>
      </c>
      <c r="F61" s="956">
        <v>129</v>
      </c>
      <c r="G61" s="956">
        <v>1148</v>
      </c>
      <c r="H61" s="956">
        <v>937</v>
      </c>
      <c r="I61" s="600">
        <v>1406</v>
      </c>
      <c r="J61" s="600">
        <v>345</v>
      </c>
      <c r="K61" s="600">
        <v>44</v>
      </c>
      <c r="L61" s="600">
        <v>290</v>
      </c>
    </row>
    <row r="62" spans="1:12" s="601" customFormat="1" x14ac:dyDescent="0.25">
      <c r="A62" s="603" t="s">
        <v>146</v>
      </c>
      <c r="B62" s="599" t="s">
        <v>147</v>
      </c>
      <c r="C62" s="598" t="s">
        <v>264</v>
      </c>
      <c r="D62" s="956">
        <v>458</v>
      </c>
      <c r="E62" s="956">
        <v>762</v>
      </c>
      <c r="F62" s="956">
        <v>86</v>
      </c>
      <c r="G62" s="956">
        <v>749</v>
      </c>
      <c r="H62" s="956">
        <v>557</v>
      </c>
      <c r="I62" s="600">
        <v>943</v>
      </c>
      <c r="J62" s="600">
        <v>238</v>
      </c>
      <c r="K62" s="600">
        <v>31</v>
      </c>
      <c r="L62" s="600">
        <v>94</v>
      </c>
    </row>
    <row r="63" spans="1:12" s="601" customFormat="1" x14ac:dyDescent="0.25">
      <c r="A63" s="603" t="s">
        <v>148</v>
      </c>
      <c r="B63" s="599" t="s">
        <v>149</v>
      </c>
      <c r="C63" s="598" t="s">
        <v>265</v>
      </c>
      <c r="D63" s="956">
        <v>2628</v>
      </c>
      <c r="E63" s="956">
        <v>3679</v>
      </c>
      <c r="F63" s="956">
        <v>515</v>
      </c>
      <c r="G63" s="956">
        <v>3873</v>
      </c>
      <c r="H63" s="956">
        <v>2949</v>
      </c>
      <c r="I63" s="600">
        <v>2413</v>
      </c>
      <c r="J63" s="600">
        <v>3912</v>
      </c>
      <c r="K63" s="600">
        <v>100</v>
      </c>
      <c r="L63" s="600">
        <v>397</v>
      </c>
    </row>
    <row r="64" spans="1:12" s="601" customFormat="1" x14ac:dyDescent="0.25">
      <c r="A64" s="603" t="s">
        <v>150</v>
      </c>
      <c r="B64" s="599" t="s">
        <v>151</v>
      </c>
      <c r="C64" s="598" t="s">
        <v>266</v>
      </c>
      <c r="D64" s="956">
        <v>817</v>
      </c>
      <c r="E64" s="956">
        <v>1162</v>
      </c>
      <c r="F64" s="956">
        <v>143</v>
      </c>
      <c r="G64" s="956">
        <v>1197</v>
      </c>
      <c r="H64" s="956">
        <v>925</v>
      </c>
      <c r="I64" s="600">
        <v>1325</v>
      </c>
      <c r="J64" s="600">
        <v>656</v>
      </c>
      <c r="K64" s="600">
        <v>35</v>
      </c>
      <c r="L64" s="600">
        <v>106</v>
      </c>
    </row>
    <row r="65" spans="1:12" s="601" customFormat="1" x14ac:dyDescent="0.25">
      <c r="A65" s="603" t="s">
        <v>152</v>
      </c>
      <c r="B65" s="599" t="s">
        <v>153</v>
      </c>
      <c r="C65" s="598" t="s">
        <v>268</v>
      </c>
      <c r="D65" s="956">
        <v>3923</v>
      </c>
      <c r="E65" s="956">
        <v>5478</v>
      </c>
      <c r="F65" s="956">
        <v>455</v>
      </c>
      <c r="G65" s="956">
        <v>5561</v>
      </c>
      <c r="H65" s="956">
        <v>4296</v>
      </c>
      <c r="I65" s="600">
        <v>7316</v>
      </c>
      <c r="J65" s="600">
        <v>885</v>
      </c>
      <c r="K65" s="600">
        <v>317</v>
      </c>
      <c r="L65" s="600">
        <v>1339</v>
      </c>
    </row>
    <row r="66" spans="1:12" s="601" customFormat="1" x14ac:dyDescent="0.25">
      <c r="A66" s="603" t="s">
        <v>154</v>
      </c>
      <c r="B66" s="599" t="s">
        <v>155</v>
      </c>
      <c r="C66" s="598" t="s">
        <v>265</v>
      </c>
      <c r="D66" s="956">
        <v>1076</v>
      </c>
      <c r="E66" s="956">
        <v>1455</v>
      </c>
      <c r="F66" s="956">
        <v>230</v>
      </c>
      <c r="G66" s="956">
        <v>1503</v>
      </c>
      <c r="H66" s="956">
        <v>1258</v>
      </c>
      <c r="I66" s="600">
        <v>1799</v>
      </c>
      <c r="J66" s="600">
        <v>517</v>
      </c>
      <c r="K66" s="600">
        <v>103</v>
      </c>
      <c r="L66" s="600">
        <v>342</v>
      </c>
    </row>
    <row r="67" spans="1:12" s="601" customFormat="1" x14ac:dyDescent="0.25">
      <c r="A67" s="603" t="s">
        <v>156</v>
      </c>
      <c r="B67" s="599" t="s">
        <v>157</v>
      </c>
      <c r="C67" s="598" t="s">
        <v>266</v>
      </c>
      <c r="D67" s="956">
        <v>804</v>
      </c>
      <c r="E67" s="956">
        <v>929</v>
      </c>
      <c r="F67" s="956">
        <v>70</v>
      </c>
      <c r="G67" s="956">
        <v>1001</v>
      </c>
      <c r="H67" s="956">
        <v>802</v>
      </c>
      <c r="I67" s="600">
        <v>1164</v>
      </c>
      <c r="J67" s="600">
        <v>307</v>
      </c>
      <c r="K67" s="600">
        <v>72</v>
      </c>
      <c r="L67" s="600">
        <v>260</v>
      </c>
    </row>
    <row r="68" spans="1:12" s="601" customFormat="1" x14ac:dyDescent="0.25">
      <c r="A68" s="603" t="s">
        <v>162</v>
      </c>
      <c r="B68" s="599" t="s">
        <v>163</v>
      </c>
      <c r="C68" s="598" t="s">
        <v>264</v>
      </c>
      <c r="D68" s="956">
        <v>1335</v>
      </c>
      <c r="E68" s="956">
        <v>1790</v>
      </c>
      <c r="F68" s="956">
        <v>389</v>
      </c>
      <c r="G68" s="956">
        <v>2027</v>
      </c>
      <c r="H68" s="956">
        <v>1487</v>
      </c>
      <c r="I68" s="600">
        <v>1157</v>
      </c>
      <c r="J68" s="600">
        <v>2094</v>
      </c>
      <c r="K68" s="600">
        <v>50</v>
      </c>
      <c r="L68" s="600">
        <v>213</v>
      </c>
    </row>
    <row r="69" spans="1:12" s="601" customFormat="1" x14ac:dyDescent="0.25">
      <c r="A69" s="603" t="s">
        <v>164</v>
      </c>
      <c r="B69" s="599" t="s">
        <v>165</v>
      </c>
      <c r="C69" s="598" t="s">
        <v>266</v>
      </c>
      <c r="D69" s="956">
        <v>978</v>
      </c>
      <c r="E69" s="956">
        <v>1244</v>
      </c>
      <c r="F69" s="956">
        <v>179</v>
      </c>
      <c r="G69" s="956">
        <v>1336</v>
      </c>
      <c r="H69" s="956">
        <v>1065</v>
      </c>
      <c r="I69" s="600">
        <v>853</v>
      </c>
      <c r="J69" s="600">
        <v>1250</v>
      </c>
      <c r="K69" s="600">
        <v>118</v>
      </c>
      <c r="L69" s="600">
        <v>180</v>
      </c>
    </row>
    <row r="70" spans="1:12" s="601" customFormat="1" x14ac:dyDescent="0.25">
      <c r="A70" s="603" t="s">
        <v>168</v>
      </c>
      <c r="B70" s="599" t="s">
        <v>169</v>
      </c>
      <c r="C70" s="598" t="s">
        <v>266</v>
      </c>
      <c r="D70" s="956">
        <v>1796</v>
      </c>
      <c r="E70" s="956">
        <v>2319</v>
      </c>
      <c r="F70" s="956">
        <v>278</v>
      </c>
      <c r="G70" s="956">
        <v>2505</v>
      </c>
      <c r="H70" s="956">
        <v>1888</v>
      </c>
      <c r="I70" s="600">
        <v>1644</v>
      </c>
      <c r="J70" s="600">
        <v>2217</v>
      </c>
      <c r="K70" s="600">
        <v>161</v>
      </c>
      <c r="L70" s="600">
        <v>371</v>
      </c>
    </row>
    <row r="71" spans="1:12" s="601" customFormat="1" x14ac:dyDescent="0.25">
      <c r="A71" s="603" t="s">
        <v>170</v>
      </c>
      <c r="B71" s="599" t="s">
        <v>171</v>
      </c>
      <c r="C71" s="598" t="s">
        <v>267</v>
      </c>
      <c r="D71" s="956">
        <v>1996</v>
      </c>
      <c r="E71" s="956">
        <v>2443</v>
      </c>
      <c r="F71" s="956">
        <v>253</v>
      </c>
      <c r="G71" s="956">
        <v>2709</v>
      </c>
      <c r="H71" s="956">
        <v>1983</v>
      </c>
      <c r="I71" s="600">
        <v>2700</v>
      </c>
      <c r="J71" s="600">
        <v>1128</v>
      </c>
      <c r="K71" s="600">
        <v>171</v>
      </c>
      <c r="L71" s="600">
        <v>693</v>
      </c>
    </row>
    <row r="72" spans="1:12" s="601" customFormat="1" x14ac:dyDescent="0.25">
      <c r="A72" s="603" t="s">
        <v>172</v>
      </c>
      <c r="B72" s="599" t="s">
        <v>173</v>
      </c>
      <c r="C72" s="598" t="s">
        <v>267</v>
      </c>
      <c r="D72" s="956">
        <v>1930</v>
      </c>
      <c r="E72" s="956">
        <v>2748</v>
      </c>
      <c r="F72" s="956">
        <v>295</v>
      </c>
      <c r="G72" s="956">
        <v>2760</v>
      </c>
      <c r="H72" s="956">
        <v>2213</v>
      </c>
      <c r="I72" s="600">
        <v>4318</v>
      </c>
      <c r="J72" s="600">
        <v>159</v>
      </c>
      <c r="K72" s="600">
        <v>59</v>
      </c>
      <c r="L72" s="600">
        <v>437</v>
      </c>
    </row>
    <row r="73" spans="1:12" s="601" customFormat="1" x14ac:dyDescent="0.25">
      <c r="A73" s="603" t="s">
        <v>174</v>
      </c>
      <c r="B73" s="599" t="s">
        <v>175</v>
      </c>
      <c r="C73" s="598" t="s">
        <v>268</v>
      </c>
      <c r="D73" s="956">
        <v>1472</v>
      </c>
      <c r="E73" s="956">
        <v>2411</v>
      </c>
      <c r="F73" s="956">
        <v>318</v>
      </c>
      <c r="G73" s="956">
        <v>2238</v>
      </c>
      <c r="H73" s="956">
        <v>1963</v>
      </c>
      <c r="I73" s="600">
        <v>3510</v>
      </c>
      <c r="J73" s="600">
        <v>309</v>
      </c>
      <c r="K73" s="600">
        <v>142</v>
      </c>
      <c r="L73" s="600">
        <v>240</v>
      </c>
    </row>
    <row r="74" spans="1:12" s="601" customFormat="1" x14ac:dyDescent="0.25">
      <c r="A74" s="603" t="s">
        <v>178</v>
      </c>
      <c r="B74" s="599" t="s">
        <v>179</v>
      </c>
      <c r="C74" s="598" t="s">
        <v>265</v>
      </c>
      <c r="D74" s="956">
        <v>5013</v>
      </c>
      <c r="E74" s="956">
        <v>6769</v>
      </c>
      <c r="F74" s="956">
        <v>890</v>
      </c>
      <c r="G74" s="956">
        <v>7239</v>
      </c>
      <c r="H74" s="956">
        <v>5433</v>
      </c>
      <c r="I74" s="600">
        <v>6920</v>
      </c>
      <c r="J74" s="600">
        <v>3872</v>
      </c>
      <c r="K74" s="600">
        <v>407</v>
      </c>
      <c r="L74" s="600">
        <v>1473</v>
      </c>
    </row>
    <row r="75" spans="1:12" s="601" customFormat="1" x14ac:dyDescent="0.25">
      <c r="A75" s="603" t="s">
        <v>182</v>
      </c>
      <c r="B75" s="599" t="s">
        <v>183</v>
      </c>
      <c r="C75" s="598" t="s">
        <v>266</v>
      </c>
      <c r="D75" s="956">
        <v>742</v>
      </c>
      <c r="E75" s="956">
        <v>985</v>
      </c>
      <c r="F75" s="956">
        <v>111</v>
      </c>
      <c r="G75" s="956">
        <v>1052</v>
      </c>
      <c r="H75" s="956">
        <v>786</v>
      </c>
      <c r="I75" s="600">
        <v>1214</v>
      </c>
      <c r="J75" s="600">
        <v>286</v>
      </c>
      <c r="K75" s="600">
        <v>49</v>
      </c>
      <c r="L75" s="600">
        <v>289</v>
      </c>
    </row>
    <row r="76" spans="1:12" s="601" customFormat="1" x14ac:dyDescent="0.25">
      <c r="A76" s="603" t="s">
        <v>184</v>
      </c>
      <c r="B76" s="599" t="s">
        <v>185</v>
      </c>
      <c r="C76" s="598" t="s">
        <v>266</v>
      </c>
      <c r="D76" s="956">
        <v>1883</v>
      </c>
      <c r="E76" s="956">
        <v>2572</v>
      </c>
      <c r="F76" s="956">
        <v>326</v>
      </c>
      <c r="G76" s="956">
        <v>2693</v>
      </c>
      <c r="H76" s="956">
        <v>2088</v>
      </c>
      <c r="I76" s="600">
        <v>1626</v>
      </c>
      <c r="J76" s="600">
        <v>2758</v>
      </c>
      <c r="K76" s="600">
        <v>117</v>
      </c>
      <c r="L76" s="600">
        <v>280</v>
      </c>
    </row>
    <row r="77" spans="1:12" s="601" customFormat="1" x14ac:dyDescent="0.25">
      <c r="A77" s="603" t="s">
        <v>186</v>
      </c>
      <c r="B77" s="599" t="s">
        <v>187</v>
      </c>
      <c r="C77" s="598" t="s">
        <v>264</v>
      </c>
      <c r="D77" s="956">
        <v>2122</v>
      </c>
      <c r="E77" s="956">
        <v>2404</v>
      </c>
      <c r="F77" s="956">
        <v>116</v>
      </c>
      <c r="G77" s="956">
        <v>2734</v>
      </c>
      <c r="H77" s="956">
        <v>1908</v>
      </c>
      <c r="I77" s="600">
        <v>2051</v>
      </c>
      <c r="J77" s="600">
        <v>1921</v>
      </c>
      <c r="K77" s="600">
        <v>146</v>
      </c>
      <c r="L77" s="600">
        <v>524</v>
      </c>
    </row>
    <row r="78" spans="1:12" s="601" customFormat="1" x14ac:dyDescent="0.25">
      <c r="A78" s="603" t="s">
        <v>188</v>
      </c>
      <c r="B78" s="599" t="s">
        <v>189</v>
      </c>
      <c r="C78" s="598" t="s">
        <v>267</v>
      </c>
      <c r="D78" s="956">
        <v>22680</v>
      </c>
      <c r="E78" s="956">
        <v>21492</v>
      </c>
      <c r="F78" s="956">
        <v>2254</v>
      </c>
      <c r="G78" s="956">
        <v>26904</v>
      </c>
      <c r="H78" s="956">
        <v>19524</v>
      </c>
      <c r="I78" s="600">
        <v>18526</v>
      </c>
      <c r="J78" s="600">
        <v>13611</v>
      </c>
      <c r="K78" s="600">
        <v>4929</v>
      </c>
      <c r="L78" s="600">
        <v>9362</v>
      </c>
    </row>
    <row r="79" spans="1:12" s="601" customFormat="1" x14ac:dyDescent="0.25">
      <c r="A79" s="603" t="s">
        <v>190</v>
      </c>
      <c r="B79" s="599" t="s">
        <v>191</v>
      </c>
      <c r="C79" s="598" t="s">
        <v>268</v>
      </c>
      <c r="D79" s="956">
        <v>2653</v>
      </c>
      <c r="E79" s="956">
        <v>4324</v>
      </c>
      <c r="F79" s="956">
        <v>455</v>
      </c>
      <c r="G79" s="956">
        <v>4159</v>
      </c>
      <c r="H79" s="956">
        <v>3273</v>
      </c>
      <c r="I79" s="600">
        <v>6130</v>
      </c>
      <c r="J79" s="600">
        <v>744</v>
      </c>
      <c r="K79" s="600">
        <v>226</v>
      </c>
      <c r="L79" s="600">
        <v>332</v>
      </c>
    </row>
    <row r="80" spans="1:12" s="601" customFormat="1" x14ac:dyDescent="0.25">
      <c r="A80" s="603" t="s">
        <v>194</v>
      </c>
      <c r="B80" s="599" t="s">
        <v>195</v>
      </c>
      <c r="C80" s="598" t="s">
        <v>267</v>
      </c>
      <c r="D80" s="956">
        <v>256</v>
      </c>
      <c r="E80" s="956">
        <v>305</v>
      </c>
      <c r="F80" s="956">
        <v>46</v>
      </c>
      <c r="G80" s="956">
        <v>348</v>
      </c>
      <c r="H80" s="956">
        <v>259</v>
      </c>
      <c r="I80" s="600">
        <v>465</v>
      </c>
      <c r="J80" s="600">
        <v>78</v>
      </c>
      <c r="K80" s="600">
        <v>23</v>
      </c>
      <c r="L80" s="600">
        <v>41</v>
      </c>
    </row>
    <row r="81" spans="1:12" s="601" customFormat="1" x14ac:dyDescent="0.25">
      <c r="A81" s="603" t="s">
        <v>198</v>
      </c>
      <c r="B81" s="599" t="s">
        <v>272</v>
      </c>
      <c r="C81" s="598" t="s">
        <v>266</v>
      </c>
      <c r="D81" s="956">
        <v>778</v>
      </c>
      <c r="E81" s="956">
        <v>1113</v>
      </c>
      <c r="F81" s="956">
        <v>155</v>
      </c>
      <c r="G81" s="956">
        <v>1194</v>
      </c>
      <c r="H81" s="956">
        <v>852</v>
      </c>
      <c r="I81" s="600">
        <v>814</v>
      </c>
      <c r="J81" s="600">
        <v>932</v>
      </c>
      <c r="K81" s="600">
        <v>119</v>
      </c>
      <c r="L81" s="600">
        <v>181</v>
      </c>
    </row>
    <row r="82" spans="1:12" s="601" customFormat="1" x14ac:dyDescent="0.25">
      <c r="A82" s="603" t="s">
        <v>202</v>
      </c>
      <c r="B82" s="599" t="s">
        <v>301</v>
      </c>
      <c r="C82" s="598" t="s">
        <v>265</v>
      </c>
      <c r="D82" s="956">
        <v>4975</v>
      </c>
      <c r="E82" s="956">
        <v>5954</v>
      </c>
      <c r="F82" s="956">
        <v>641</v>
      </c>
      <c r="G82" s="956">
        <v>6635</v>
      </c>
      <c r="H82" s="956">
        <v>4935</v>
      </c>
      <c r="I82" s="600">
        <v>7459</v>
      </c>
      <c r="J82" s="600">
        <v>1792</v>
      </c>
      <c r="K82" s="600">
        <v>606</v>
      </c>
      <c r="L82" s="600">
        <v>1713</v>
      </c>
    </row>
    <row r="83" spans="1:12" s="601" customFormat="1" x14ac:dyDescent="0.25">
      <c r="A83" s="603" t="s">
        <v>204</v>
      </c>
      <c r="B83" s="599" t="s">
        <v>293</v>
      </c>
      <c r="C83" s="598" t="s">
        <v>265</v>
      </c>
      <c r="D83" s="956">
        <v>2257</v>
      </c>
      <c r="E83" s="956">
        <v>2989</v>
      </c>
      <c r="F83" s="956">
        <v>394</v>
      </c>
      <c r="G83" s="956">
        <v>3255</v>
      </c>
      <c r="H83" s="956">
        <v>2385</v>
      </c>
      <c r="I83" s="600">
        <v>4621</v>
      </c>
      <c r="J83" s="600">
        <v>431</v>
      </c>
      <c r="K83" s="600">
        <v>98</v>
      </c>
      <c r="L83" s="600">
        <v>490</v>
      </c>
    </row>
    <row r="84" spans="1:12" s="601" customFormat="1" x14ac:dyDescent="0.25">
      <c r="A84" s="603" t="s">
        <v>206</v>
      </c>
      <c r="B84" s="599" t="s">
        <v>294</v>
      </c>
      <c r="C84" s="598" t="s">
        <v>267</v>
      </c>
      <c r="D84" s="956">
        <v>7507</v>
      </c>
      <c r="E84" s="956">
        <v>8480</v>
      </c>
      <c r="F84" s="956">
        <v>760</v>
      </c>
      <c r="G84" s="956">
        <v>9392</v>
      </c>
      <c r="H84" s="956">
        <v>7355</v>
      </c>
      <c r="I84" s="600">
        <v>10441</v>
      </c>
      <c r="J84" s="600">
        <v>1434</v>
      </c>
      <c r="K84" s="600">
        <v>1270</v>
      </c>
      <c r="L84" s="600">
        <v>3602</v>
      </c>
    </row>
    <row r="85" spans="1:12" s="601" customFormat="1" x14ac:dyDescent="0.25">
      <c r="A85" s="603" t="s">
        <v>208</v>
      </c>
      <c r="B85" s="599" t="s">
        <v>209</v>
      </c>
      <c r="C85" s="598" t="s">
        <v>268</v>
      </c>
      <c r="D85" s="956">
        <v>2667</v>
      </c>
      <c r="E85" s="956">
        <v>4444</v>
      </c>
      <c r="F85" s="956">
        <v>459</v>
      </c>
      <c r="G85" s="956">
        <v>4190</v>
      </c>
      <c r="H85" s="956">
        <v>3380</v>
      </c>
      <c r="I85" s="600">
        <v>6589</v>
      </c>
      <c r="J85" s="600">
        <v>62</v>
      </c>
      <c r="K85" s="600">
        <v>15</v>
      </c>
      <c r="L85" s="600">
        <v>904</v>
      </c>
    </row>
    <row r="86" spans="1:12" s="601" customFormat="1" x14ac:dyDescent="0.25">
      <c r="A86" s="603" t="s">
        <v>210</v>
      </c>
      <c r="B86" s="599" t="s">
        <v>211</v>
      </c>
      <c r="C86" s="598" t="s">
        <v>268</v>
      </c>
      <c r="D86" s="956">
        <v>1758</v>
      </c>
      <c r="E86" s="956">
        <v>2873</v>
      </c>
      <c r="F86" s="956">
        <v>419</v>
      </c>
      <c r="G86" s="956">
        <v>2736</v>
      </c>
      <c r="H86" s="956">
        <v>2314</v>
      </c>
      <c r="I86" s="600">
        <v>4514</v>
      </c>
      <c r="J86" s="600">
        <v>74</v>
      </c>
      <c r="K86" s="600">
        <v>52</v>
      </c>
      <c r="L86" s="600">
        <v>410</v>
      </c>
    </row>
    <row r="87" spans="1:12" s="601" customFormat="1" x14ac:dyDescent="0.25">
      <c r="A87" s="603" t="s">
        <v>212</v>
      </c>
      <c r="B87" s="599" t="s">
        <v>213</v>
      </c>
      <c r="C87" s="598" t="s">
        <v>267</v>
      </c>
      <c r="D87" s="956">
        <v>3023</v>
      </c>
      <c r="E87" s="956">
        <v>3824</v>
      </c>
      <c r="F87" s="956">
        <v>336</v>
      </c>
      <c r="G87" s="956">
        <v>4027</v>
      </c>
      <c r="H87" s="956">
        <v>3156</v>
      </c>
      <c r="I87" s="600">
        <v>5503</v>
      </c>
      <c r="J87" s="600">
        <v>336</v>
      </c>
      <c r="K87" s="600">
        <v>577</v>
      </c>
      <c r="L87" s="600">
        <v>767</v>
      </c>
    </row>
    <row r="88" spans="1:12" s="601" customFormat="1" x14ac:dyDescent="0.25">
      <c r="A88" s="603" t="s">
        <v>214</v>
      </c>
      <c r="B88" s="599" t="s">
        <v>215</v>
      </c>
      <c r="C88" s="598" t="s">
        <v>268</v>
      </c>
      <c r="D88" s="956">
        <v>2922</v>
      </c>
      <c r="E88" s="956">
        <v>4912</v>
      </c>
      <c r="F88" s="956">
        <v>491</v>
      </c>
      <c r="G88" s="956">
        <v>4583</v>
      </c>
      <c r="H88" s="956">
        <v>3742</v>
      </c>
      <c r="I88" s="600">
        <v>7343</v>
      </c>
      <c r="J88" s="600">
        <v>193</v>
      </c>
      <c r="K88" s="600">
        <v>70</v>
      </c>
      <c r="L88" s="600">
        <v>719</v>
      </c>
    </row>
    <row r="89" spans="1:12" s="601" customFormat="1" x14ac:dyDescent="0.25">
      <c r="A89" s="603" t="s">
        <v>216</v>
      </c>
      <c r="B89" s="599" t="s">
        <v>217</v>
      </c>
      <c r="C89" s="598" t="s">
        <v>264</v>
      </c>
      <c r="D89" s="956">
        <v>1523</v>
      </c>
      <c r="E89" s="956">
        <v>2063</v>
      </c>
      <c r="F89" s="956">
        <v>284</v>
      </c>
      <c r="G89" s="956">
        <v>2277</v>
      </c>
      <c r="H89" s="956">
        <v>1593</v>
      </c>
      <c r="I89" s="600">
        <v>1179</v>
      </c>
      <c r="J89" s="600">
        <v>2098</v>
      </c>
      <c r="K89" s="600">
        <v>42</v>
      </c>
      <c r="L89" s="600">
        <v>551</v>
      </c>
    </row>
    <row r="90" spans="1:12" s="601" customFormat="1" x14ac:dyDescent="0.25">
      <c r="A90" s="603" t="s">
        <v>218</v>
      </c>
      <c r="B90" s="599" t="s">
        <v>219</v>
      </c>
      <c r="C90" s="598" t="s">
        <v>267</v>
      </c>
      <c r="D90" s="956">
        <v>8244</v>
      </c>
      <c r="E90" s="956">
        <v>8737</v>
      </c>
      <c r="F90" s="956">
        <v>655</v>
      </c>
      <c r="G90" s="956">
        <v>10109</v>
      </c>
      <c r="H90" s="956">
        <v>7527</v>
      </c>
      <c r="I90" s="600">
        <v>8825</v>
      </c>
      <c r="J90" s="600">
        <v>4806</v>
      </c>
      <c r="K90" s="600">
        <v>1059</v>
      </c>
      <c r="L90" s="600">
        <v>2946</v>
      </c>
    </row>
    <row r="91" spans="1:12" s="601" customFormat="1" x14ac:dyDescent="0.25">
      <c r="A91" s="603" t="s">
        <v>220</v>
      </c>
      <c r="B91" s="599" t="s">
        <v>221</v>
      </c>
      <c r="C91" s="598" t="s">
        <v>267</v>
      </c>
      <c r="D91" s="956">
        <v>6928</v>
      </c>
      <c r="E91" s="956">
        <v>6785</v>
      </c>
      <c r="F91" s="956">
        <v>443</v>
      </c>
      <c r="G91" s="956">
        <v>8278</v>
      </c>
      <c r="H91" s="956">
        <v>5878</v>
      </c>
      <c r="I91" s="600">
        <v>5859</v>
      </c>
      <c r="J91" s="600">
        <v>3968</v>
      </c>
      <c r="K91" s="600">
        <v>1221</v>
      </c>
      <c r="L91" s="600">
        <v>3108</v>
      </c>
    </row>
    <row r="92" spans="1:12" s="601" customFormat="1" x14ac:dyDescent="0.25">
      <c r="A92" s="603" t="s">
        <v>224</v>
      </c>
      <c r="B92" s="599" t="s">
        <v>225</v>
      </c>
      <c r="C92" s="598" t="s">
        <v>264</v>
      </c>
      <c r="D92" s="956">
        <v>497</v>
      </c>
      <c r="E92" s="956">
        <v>767</v>
      </c>
      <c r="F92" s="956">
        <v>88</v>
      </c>
      <c r="G92" s="956">
        <v>752</v>
      </c>
      <c r="H92" s="956">
        <v>600</v>
      </c>
      <c r="I92" s="600">
        <v>473</v>
      </c>
      <c r="J92" s="600">
        <v>804</v>
      </c>
      <c r="K92" s="600">
        <v>39</v>
      </c>
      <c r="L92" s="600">
        <v>36</v>
      </c>
    </row>
    <row r="93" spans="1:12" s="601" customFormat="1" x14ac:dyDescent="0.25">
      <c r="A93" s="603" t="s">
        <v>226</v>
      </c>
      <c r="B93" s="599" t="s">
        <v>227</v>
      </c>
      <c r="C93" s="598" t="s">
        <v>264</v>
      </c>
      <c r="D93" s="956">
        <v>1057</v>
      </c>
      <c r="E93" s="956">
        <v>1396</v>
      </c>
      <c r="F93" s="956">
        <v>179</v>
      </c>
      <c r="G93" s="956">
        <v>1526</v>
      </c>
      <c r="H93" s="956">
        <v>1106</v>
      </c>
      <c r="I93" s="600">
        <v>516</v>
      </c>
      <c r="J93" s="600">
        <v>1710</v>
      </c>
      <c r="K93" s="600">
        <v>31</v>
      </c>
      <c r="L93" s="600">
        <v>375</v>
      </c>
    </row>
    <row r="94" spans="1:12" s="601" customFormat="1" x14ac:dyDescent="0.25">
      <c r="A94" s="603" t="s">
        <v>228</v>
      </c>
      <c r="B94" s="599" t="s">
        <v>229</v>
      </c>
      <c r="C94" s="598" t="s">
        <v>268</v>
      </c>
      <c r="D94" s="956">
        <v>4063</v>
      </c>
      <c r="E94" s="956">
        <v>6580</v>
      </c>
      <c r="F94" s="956">
        <v>623</v>
      </c>
      <c r="G94" s="956">
        <v>6321</v>
      </c>
      <c r="H94" s="956">
        <v>4945</v>
      </c>
      <c r="I94" s="600">
        <v>9606</v>
      </c>
      <c r="J94" s="600">
        <v>420</v>
      </c>
      <c r="K94" s="600">
        <v>91</v>
      </c>
      <c r="L94" s="600">
        <v>1149</v>
      </c>
    </row>
    <row r="95" spans="1:12" s="601" customFormat="1" x14ac:dyDescent="0.25">
      <c r="A95" s="603" t="s">
        <v>232</v>
      </c>
      <c r="B95" s="599" t="s">
        <v>233</v>
      </c>
      <c r="C95" s="598" t="s">
        <v>267</v>
      </c>
      <c r="D95" s="956">
        <v>2739</v>
      </c>
      <c r="E95" s="956">
        <v>3398</v>
      </c>
      <c r="F95" s="956">
        <v>275</v>
      </c>
      <c r="G95" s="956">
        <v>3619</v>
      </c>
      <c r="H95" s="956">
        <v>2793</v>
      </c>
      <c r="I95" s="600">
        <v>4706</v>
      </c>
      <c r="J95" s="600">
        <v>646</v>
      </c>
      <c r="K95" s="600">
        <v>292</v>
      </c>
      <c r="L95" s="600">
        <v>768</v>
      </c>
    </row>
    <row r="96" spans="1:12" s="601" customFormat="1" x14ac:dyDescent="0.25">
      <c r="A96" s="603" t="s">
        <v>234</v>
      </c>
      <c r="B96" s="599" t="s">
        <v>235</v>
      </c>
      <c r="C96" s="598" t="s">
        <v>268</v>
      </c>
      <c r="D96" s="956">
        <v>3853</v>
      </c>
      <c r="E96" s="956">
        <v>5824</v>
      </c>
      <c r="F96" s="956">
        <v>653</v>
      </c>
      <c r="G96" s="956">
        <v>5791</v>
      </c>
      <c r="H96" s="956">
        <v>4539</v>
      </c>
      <c r="I96" s="600">
        <v>9171</v>
      </c>
      <c r="J96" s="600">
        <v>244</v>
      </c>
      <c r="K96" s="600">
        <v>148</v>
      </c>
      <c r="L96" s="600">
        <v>767</v>
      </c>
    </row>
    <row r="97" spans="1:12" s="601" customFormat="1" x14ac:dyDescent="0.25">
      <c r="A97" s="603" t="s">
        <v>236</v>
      </c>
      <c r="B97" s="599" t="s">
        <v>237</v>
      </c>
      <c r="C97" s="598" t="s">
        <v>266</v>
      </c>
      <c r="D97" s="956">
        <v>1888</v>
      </c>
      <c r="E97" s="956">
        <v>2363</v>
      </c>
      <c r="F97" s="956">
        <v>321</v>
      </c>
      <c r="G97" s="956">
        <v>2585</v>
      </c>
      <c r="H97" s="956">
        <v>1987</v>
      </c>
      <c r="I97" s="600">
        <v>1876</v>
      </c>
      <c r="J97" s="600">
        <v>1849</v>
      </c>
      <c r="K97" s="600">
        <v>223</v>
      </c>
      <c r="L97" s="600">
        <v>624</v>
      </c>
    </row>
    <row r="98" spans="1:12" s="601" customFormat="1" x14ac:dyDescent="0.25">
      <c r="A98" s="603" t="s">
        <v>242</v>
      </c>
      <c r="B98" s="599" t="s">
        <v>243</v>
      </c>
      <c r="C98" s="598" t="s">
        <v>268</v>
      </c>
      <c r="D98" s="956">
        <v>4059</v>
      </c>
      <c r="E98" s="956">
        <v>6545</v>
      </c>
      <c r="F98" s="956">
        <v>532</v>
      </c>
      <c r="G98" s="956">
        <v>6191</v>
      </c>
      <c r="H98" s="956">
        <v>4945</v>
      </c>
      <c r="I98" s="600">
        <v>9736</v>
      </c>
      <c r="J98" s="600">
        <v>254</v>
      </c>
      <c r="K98" s="600">
        <v>63</v>
      </c>
      <c r="L98" s="600">
        <v>1083</v>
      </c>
    </row>
    <row r="99" spans="1:12" s="601" customFormat="1" x14ac:dyDescent="0.25">
      <c r="A99" s="603" t="s">
        <v>244</v>
      </c>
      <c r="B99" s="599" t="s">
        <v>245</v>
      </c>
      <c r="C99" s="598" t="s">
        <v>268</v>
      </c>
      <c r="D99" s="956">
        <v>2104</v>
      </c>
      <c r="E99" s="956">
        <v>3234</v>
      </c>
      <c r="F99" s="956">
        <v>368</v>
      </c>
      <c r="G99" s="956">
        <v>3174</v>
      </c>
      <c r="H99" s="956">
        <v>2532</v>
      </c>
      <c r="I99" s="600">
        <v>4726</v>
      </c>
      <c r="J99" s="600">
        <v>324</v>
      </c>
      <c r="K99" s="600">
        <v>91</v>
      </c>
      <c r="L99" s="600">
        <v>565</v>
      </c>
    </row>
    <row r="100" spans="1:12" s="601" customFormat="1" x14ac:dyDescent="0.25">
      <c r="A100" s="603" t="s">
        <v>246</v>
      </c>
      <c r="B100" s="599" t="s">
        <v>247</v>
      </c>
      <c r="C100" s="598" t="s">
        <v>264</v>
      </c>
      <c r="D100" s="956">
        <v>2312</v>
      </c>
      <c r="E100" s="956">
        <v>2510</v>
      </c>
      <c r="F100" s="956">
        <v>194</v>
      </c>
      <c r="G100" s="956">
        <v>2964</v>
      </c>
      <c r="H100" s="956">
        <v>2052</v>
      </c>
      <c r="I100" s="600">
        <v>2574</v>
      </c>
      <c r="J100" s="600">
        <v>1563</v>
      </c>
      <c r="K100" s="600">
        <v>338</v>
      </c>
      <c r="L100" s="600">
        <v>541</v>
      </c>
    </row>
    <row r="101" spans="1:12" s="601" customFormat="1" x14ac:dyDescent="0.25">
      <c r="A101" s="603" t="s">
        <v>14</v>
      </c>
      <c r="B101" s="599" t="s">
        <v>15</v>
      </c>
      <c r="C101" s="598" t="s">
        <v>267</v>
      </c>
      <c r="D101" s="956">
        <v>6917</v>
      </c>
      <c r="E101" s="956">
        <v>7501</v>
      </c>
      <c r="F101" s="956">
        <v>1101</v>
      </c>
      <c r="G101" s="956">
        <v>9039</v>
      </c>
      <c r="H101" s="956">
        <v>6480</v>
      </c>
      <c r="I101" s="600">
        <v>5208</v>
      </c>
      <c r="J101" s="600">
        <v>5234</v>
      </c>
      <c r="K101" s="600">
        <v>878</v>
      </c>
      <c r="L101" s="600">
        <v>4199</v>
      </c>
    </row>
    <row r="102" spans="1:12" s="601" customFormat="1" x14ac:dyDescent="0.25">
      <c r="A102" s="603" t="s">
        <v>34</v>
      </c>
      <c r="B102" s="599" t="s">
        <v>35</v>
      </c>
      <c r="C102" s="598" t="s">
        <v>268</v>
      </c>
      <c r="D102" s="956">
        <v>2262</v>
      </c>
      <c r="E102" s="956">
        <v>3481</v>
      </c>
      <c r="F102" s="956">
        <v>332</v>
      </c>
      <c r="G102" s="956">
        <v>3410</v>
      </c>
      <c r="H102" s="956">
        <v>2665</v>
      </c>
      <c r="I102" s="600">
        <v>4515</v>
      </c>
      <c r="J102" s="600">
        <v>547</v>
      </c>
      <c r="K102" s="600">
        <v>142</v>
      </c>
      <c r="L102" s="600">
        <v>871</v>
      </c>
    </row>
    <row r="103" spans="1:12" s="601" customFormat="1" x14ac:dyDescent="0.25">
      <c r="A103" s="603" t="s">
        <v>52</v>
      </c>
      <c r="B103" s="599" t="s">
        <v>53</v>
      </c>
      <c r="C103" s="598" t="s">
        <v>265</v>
      </c>
      <c r="D103" s="956">
        <v>2768</v>
      </c>
      <c r="E103" s="956">
        <v>3748</v>
      </c>
      <c r="F103" s="956">
        <v>361</v>
      </c>
      <c r="G103" s="956">
        <v>3749</v>
      </c>
      <c r="H103" s="956">
        <v>3128</v>
      </c>
      <c r="I103" s="600">
        <v>1922</v>
      </c>
      <c r="J103" s="600">
        <v>3661</v>
      </c>
      <c r="K103" s="600">
        <v>532</v>
      </c>
      <c r="L103" s="600">
        <v>762</v>
      </c>
    </row>
    <row r="104" spans="1:12" s="601" customFormat="1" x14ac:dyDescent="0.25">
      <c r="A104" s="603" t="s">
        <v>54</v>
      </c>
      <c r="B104" s="599" t="s">
        <v>55</v>
      </c>
      <c r="C104" s="598" t="s">
        <v>264</v>
      </c>
      <c r="D104" s="956">
        <v>15091</v>
      </c>
      <c r="E104" s="956">
        <v>16522</v>
      </c>
      <c r="F104" s="956">
        <v>1283</v>
      </c>
      <c r="G104" s="956">
        <v>19788</v>
      </c>
      <c r="H104" s="956">
        <v>13108</v>
      </c>
      <c r="I104" s="600">
        <v>9186</v>
      </c>
      <c r="J104" s="600">
        <v>18080</v>
      </c>
      <c r="K104" s="600">
        <v>1191</v>
      </c>
      <c r="L104" s="600">
        <v>4439</v>
      </c>
    </row>
    <row r="105" spans="1:12" s="601" customFormat="1" x14ac:dyDescent="0.25">
      <c r="A105" s="603" t="s">
        <v>66</v>
      </c>
      <c r="B105" s="599" t="s">
        <v>67</v>
      </c>
      <c r="C105" s="598" t="s">
        <v>265</v>
      </c>
      <c r="D105" s="956">
        <v>6500</v>
      </c>
      <c r="E105" s="956">
        <v>9273</v>
      </c>
      <c r="F105" s="956">
        <v>924</v>
      </c>
      <c r="G105" s="956">
        <v>9512</v>
      </c>
      <c r="H105" s="956">
        <v>7185</v>
      </c>
      <c r="I105" s="600">
        <v>3921</v>
      </c>
      <c r="J105" s="600">
        <v>10843</v>
      </c>
      <c r="K105" s="600">
        <v>350</v>
      </c>
      <c r="L105" s="600">
        <v>1583</v>
      </c>
    </row>
    <row r="106" spans="1:12" s="601" customFormat="1" x14ac:dyDescent="0.25">
      <c r="A106" s="603" t="s">
        <v>82</v>
      </c>
      <c r="B106" s="599" t="s">
        <v>83</v>
      </c>
      <c r="C106" s="598" t="s">
        <v>264</v>
      </c>
      <c r="D106" s="956">
        <v>1326</v>
      </c>
      <c r="E106" s="956">
        <v>1848</v>
      </c>
      <c r="F106" s="956">
        <v>173</v>
      </c>
      <c r="G106" s="956">
        <v>1950</v>
      </c>
      <c r="H106" s="956">
        <v>1397</v>
      </c>
      <c r="I106" s="600">
        <v>316</v>
      </c>
      <c r="J106" s="600">
        <v>2645</v>
      </c>
      <c r="K106" s="600">
        <v>51</v>
      </c>
      <c r="L106" s="600">
        <v>335</v>
      </c>
    </row>
    <row r="107" spans="1:12" s="601" customFormat="1" x14ac:dyDescent="0.25">
      <c r="A107" s="603" t="s">
        <v>88</v>
      </c>
      <c r="B107" s="599" t="s">
        <v>89</v>
      </c>
      <c r="C107" s="598" t="s">
        <v>267</v>
      </c>
      <c r="D107" s="956">
        <v>2820</v>
      </c>
      <c r="E107" s="956">
        <v>3476</v>
      </c>
      <c r="F107" s="956">
        <v>271</v>
      </c>
      <c r="G107" s="956">
        <v>3767</v>
      </c>
      <c r="H107" s="956">
        <v>2800</v>
      </c>
      <c r="I107" s="600">
        <v>2091</v>
      </c>
      <c r="J107" s="600">
        <v>2577</v>
      </c>
      <c r="K107" s="600">
        <v>689</v>
      </c>
      <c r="L107" s="600">
        <v>1210</v>
      </c>
    </row>
    <row r="108" spans="1:12" s="601" customFormat="1" x14ac:dyDescent="0.25">
      <c r="A108" s="603" t="s">
        <v>90</v>
      </c>
      <c r="B108" s="599" t="s">
        <v>91</v>
      </c>
      <c r="C108" s="598" t="s">
        <v>268</v>
      </c>
      <c r="D108" s="956">
        <v>1059</v>
      </c>
      <c r="E108" s="956">
        <v>1495</v>
      </c>
      <c r="F108" s="956">
        <v>164</v>
      </c>
      <c r="G108" s="956">
        <v>1512</v>
      </c>
      <c r="H108" s="956">
        <v>1206</v>
      </c>
      <c r="I108" s="600">
        <v>2079</v>
      </c>
      <c r="J108" s="600">
        <v>298</v>
      </c>
      <c r="K108" s="600">
        <v>52</v>
      </c>
      <c r="L108" s="600">
        <v>289</v>
      </c>
    </row>
    <row r="109" spans="1:12" s="601" customFormat="1" x14ac:dyDescent="0.25">
      <c r="A109" s="603" t="s">
        <v>106</v>
      </c>
      <c r="B109" s="599" t="s">
        <v>107</v>
      </c>
      <c r="C109" s="598" t="s">
        <v>264</v>
      </c>
      <c r="D109" s="956">
        <v>13298</v>
      </c>
      <c r="E109" s="956">
        <v>15934</v>
      </c>
      <c r="F109" s="956">
        <v>1153</v>
      </c>
      <c r="G109" s="956">
        <v>17895</v>
      </c>
      <c r="H109" s="956">
        <v>12490</v>
      </c>
      <c r="I109" s="600">
        <v>5503</v>
      </c>
      <c r="J109" s="600">
        <v>19151</v>
      </c>
      <c r="K109" s="600">
        <v>857</v>
      </c>
      <c r="L109" s="600">
        <v>4874</v>
      </c>
    </row>
    <row r="110" spans="1:12" s="601" customFormat="1" x14ac:dyDescent="0.25">
      <c r="A110" s="603" t="s">
        <v>116</v>
      </c>
      <c r="B110" s="599" t="s">
        <v>117</v>
      </c>
      <c r="C110" s="598" t="s">
        <v>266</v>
      </c>
      <c r="D110" s="956">
        <v>4352</v>
      </c>
      <c r="E110" s="956">
        <v>5132</v>
      </c>
      <c r="F110" s="956">
        <v>301</v>
      </c>
      <c r="G110" s="956">
        <v>5699</v>
      </c>
      <c r="H110" s="956">
        <v>4086</v>
      </c>
      <c r="I110" s="600">
        <v>3125</v>
      </c>
      <c r="J110" s="600">
        <v>4948</v>
      </c>
      <c r="K110" s="600">
        <v>220</v>
      </c>
      <c r="L110" s="600">
        <v>1492</v>
      </c>
    </row>
    <row r="111" spans="1:12" s="601" customFormat="1" x14ac:dyDescent="0.25">
      <c r="A111" s="603" t="s">
        <v>138</v>
      </c>
      <c r="B111" s="599" t="s">
        <v>139</v>
      </c>
      <c r="C111" s="598" t="s">
        <v>265</v>
      </c>
      <c r="D111" s="956">
        <v>7256</v>
      </c>
      <c r="E111" s="956">
        <v>9030</v>
      </c>
      <c r="F111" s="956">
        <v>799</v>
      </c>
      <c r="G111" s="956">
        <v>9925</v>
      </c>
      <c r="H111" s="956">
        <v>7160</v>
      </c>
      <c r="I111" s="600">
        <v>4582</v>
      </c>
      <c r="J111" s="600">
        <v>9632</v>
      </c>
      <c r="K111" s="600">
        <v>397</v>
      </c>
      <c r="L111" s="600">
        <v>2474</v>
      </c>
    </row>
    <row r="112" spans="1:12" s="601" customFormat="1" x14ac:dyDescent="0.25">
      <c r="A112" s="603" t="s">
        <v>142</v>
      </c>
      <c r="B112" s="599" t="s">
        <v>143</v>
      </c>
      <c r="C112" s="598" t="s">
        <v>267</v>
      </c>
      <c r="D112" s="956">
        <v>3687</v>
      </c>
      <c r="E112" s="956">
        <v>3204</v>
      </c>
      <c r="F112" s="956">
        <v>224</v>
      </c>
      <c r="G112" s="956">
        <v>4083</v>
      </c>
      <c r="H112" s="956">
        <v>3032</v>
      </c>
      <c r="I112" s="600">
        <v>3024</v>
      </c>
      <c r="J112" s="600">
        <v>1257</v>
      </c>
      <c r="K112" s="600">
        <v>833</v>
      </c>
      <c r="L112" s="600">
        <v>2001</v>
      </c>
    </row>
    <row r="113" spans="1:12" s="601" customFormat="1" x14ac:dyDescent="0.25">
      <c r="A113" s="603" t="s">
        <v>144</v>
      </c>
      <c r="B113" s="599" t="s">
        <v>145</v>
      </c>
      <c r="C113" s="598" t="s">
        <v>267</v>
      </c>
      <c r="D113" s="956">
        <v>1105</v>
      </c>
      <c r="E113" s="956">
        <v>974</v>
      </c>
      <c r="F113" s="956">
        <v>117</v>
      </c>
      <c r="G113" s="956">
        <v>1251</v>
      </c>
      <c r="H113" s="956">
        <v>945</v>
      </c>
      <c r="I113" s="600">
        <v>915</v>
      </c>
      <c r="J113" s="600">
        <v>296</v>
      </c>
      <c r="K113" s="600">
        <v>499</v>
      </c>
      <c r="L113" s="600">
        <v>486</v>
      </c>
    </row>
    <row r="114" spans="1:12" s="601" customFormat="1" x14ac:dyDescent="0.25">
      <c r="A114" s="603" t="s">
        <v>158</v>
      </c>
      <c r="B114" s="599" t="s">
        <v>159</v>
      </c>
      <c r="C114" s="598" t="s">
        <v>264</v>
      </c>
      <c r="D114" s="956">
        <v>21636</v>
      </c>
      <c r="E114" s="956">
        <v>25310</v>
      </c>
      <c r="F114" s="956">
        <v>1649</v>
      </c>
      <c r="G114" s="956">
        <v>28720</v>
      </c>
      <c r="H114" s="956">
        <v>19875</v>
      </c>
      <c r="I114" s="600">
        <v>8468</v>
      </c>
      <c r="J114" s="600">
        <v>31139</v>
      </c>
      <c r="K114" s="600">
        <v>2528</v>
      </c>
      <c r="L114" s="600">
        <v>6460</v>
      </c>
    </row>
    <row r="115" spans="1:12" s="601" customFormat="1" x14ac:dyDescent="0.25">
      <c r="A115" s="603" t="s">
        <v>160</v>
      </c>
      <c r="B115" s="599" t="s">
        <v>161</v>
      </c>
      <c r="C115" s="598" t="s">
        <v>264</v>
      </c>
      <c r="D115" s="956">
        <v>26506</v>
      </c>
      <c r="E115" s="956">
        <v>32279</v>
      </c>
      <c r="F115" s="956">
        <v>2766</v>
      </c>
      <c r="G115" s="956">
        <v>36224</v>
      </c>
      <c r="H115" s="956">
        <v>25327</v>
      </c>
      <c r="I115" s="600">
        <v>9093</v>
      </c>
      <c r="J115" s="600">
        <v>42048</v>
      </c>
      <c r="K115" s="600">
        <v>2131</v>
      </c>
      <c r="L115" s="600">
        <v>8279</v>
      </c>
    </row>
    <row r="116" spans="1:12" s="601" customFormat="1" x14ac:dyDescent="0.25">
      <c r="A116" s="603" t="s">
        <v>166</v>
      </c>
      <c r="B116" s="599" t="s">
        <v>167</v>
      </c>
      <c r="C116" s="598" t="s">
        <v>268</v>
      </c>
      <c r="D116" s="956">
        <v>552</v>
      </c>
      <c r="E116" s="956">
        <v>858</v>
      </c>
      <c r="F116" s="956">
        <v>112</v>
      </c>
      <c r="G116" s="956">
        <v>882</v>
      </c>
      <c r="H116" s="956">
        <v>640</v>
      </c>
      <c r="I116" s="600">
        <v>1263</v>
      </c>
      <c r="J116" s="600">
        <v>114</v>
      </c>
      <c r="K116" s="600">
        <v>47</v>
      </c>
      <c r="L116" s="600">
        <v>98</v>
      </c>
    </row>
    <row r="117" spans="1:12" s="601" customFormat="1" x14ac:dyDescent="0.25">
      <c r="A117" s="603" t="s">
        <v>176</v>
      </c>
      <c r="B117" s="599" t="s">
        <v>177</v>
      </c>
      <c r="C117" s="598" t="s">
        <v>266</v>
      </c>
      <c r="D117" s="956">
        <v>5375</v>
      </c>
      <c r="E117" s="956">
        <v>8228</v>
      </c>
      <c r="F117" s="956">
        <v>654</v>
      </c>
      <c r="G117" s="956">
        <v>8037</v>
      </c>
      <c r="H117" s="956">
        <v>6220</v>
      </c>
      <c r="I117" s="600">
        <v>1061</v>
      </c>
      <c r="J117" s="600">
        <v>11501</v>
      </c>
      <c r="K117" s="600">
        <v>345</v>
      </c>
      <c r="L117" s="600">
        <v>1350</v>
      </c>
    </row>
    <row r="118" spans="1:12" s="601" customFormat="1" x14ac:dyDescent="0.25">
      <c r="A118" s="603" t="s">
        <v>180</v>
      </c>
      <c r="B118" s="599" t="s">
        <v>181</v>
      </c>
      <c r="C118" s="598" t="s">
        <v>264</v>
      </c>
      <c r="D118" s="956">
        <v>13414</v>
      </c>
      <c r="E118" s="956">
        <v>15699</v>
      </c>
      <c r="F118" s="956">
        <v>1196</v>
      </c>
      <c r="G118" s="956">
        <v>18025</v>
      </c>
      <c r="H118" s="956">
        <v>12285</v>
      </c>
      <c r="I118" s="600">
        <v>4306</v>
      </c>
      <c r="J118" s="600">
        <v>22029</v>
      </c>
      <c r="K118" s="600">
        <v>403</v>
      </c>
      <c r="L118" s="600">
        <v>3572</v>
      </c>
    </row>
    <row r="119" spans="1:12" s="601" customFormat="1" x14ac:dyDescent="0.25">
      <c r="A119" s="603" t="s">
        <v>192</v>
      </c>
      <c r="B119" s="599" t="s">
        <v>193</v>
      </c>
      <c r="C119" s="598" t="s">
        <v>268</v>
      </c>
      <c r="D119" s="956">
        <v>965</v>
      </c>
      <c r="E119" s="956">
        <v>1374</v>
      </c>
      <c r="F119" s="956">
        <v>61</v>
      </c>
      <c r="G119" s="956">
        <v>1369</v>
      </c>
      <c r="H119" s="956">
        <v>1031</v>
      </c>
      <c r="I119" s="600">
        <v>1616</v>
      </c>
      <c r="J119" s="600">
        <v>427</v>
      </c>
      <c r="K119" s="600">
        <v>68</v>
      </c>
      <c r="L119" s="600">
        <v>289</v>
      </c>
    </row>
    <row r="120" spans="1:12" s="601" customFormat="1" x14ac:dyDescent="0.25">
      <c r="A120" s="603" t="s">
        <v>196</v>
      </c>
      <c r="B120" s="599" t="s">
        <v>197</v>
      </c>
      <c r="C120" s="598" t="s">
        <v>266</v>
      </c>
      <c r="D120" s="956">
        <v>26220</v>
      </c>
      <c r="E120" s="956">
        <v>36040</v>
      </c>
      <c r="F120" s="956">
        <v>2840</v>
      </c>
      <c r="G120" s="956">
        <v>37263</v>
      </c>
      <c r="H120" s="956">
        <v>27837</v>
      </c>
      <c r="I120" s="600">
        <v>5984</v>
      </c>
      <c r="J120" s="600">
        <v>48099</v>
      </c>
      <c r="K120" s="600">
        <v>3036</v>
      </c>
      <c r="L120" s="600">
        <v>7981</v>
      </c>
    </row>
    <row r="121" spans="1:12" s="601" customFormat="1" x14ac:dyDescent="0.25">
      <c r="A121" s="603" t="s">
        <v>200</v>
      </c>
      <c r="B121" s="599" t="s">
        <v>201</v>
      </c>
      <c r="C121" s="598" t="s">
        <v>265</v>
      </c>
      <c r="D121" s="956">
        <v>13056</v>
      </c>
      <c r="E121" s="956">
        <v>16794</v>
      </c>
      <c r="F121" s="956">
        <v>1383</v>
      </c>
      <c r="G121" s="956">
        <v>17717</v>
      </c>
      <c r="H121" s="956">
        <v>13518</v>
      </c>
      <c r="I121" s="600">
        <v>12854</v>
      </c>
      <c r="J121" s="600">
        <v>13363</v>
      </c>
      <c r="K121" s="600">
        <v>2156</v>
      </c>
      <c r="L121" s="600">
        <v>2862</v>
      </c>
    </row>
    <row r="122" spans="1:12" s="601" customFormat="1" x14ac:dyDescent="0.25">
      <c r="A122" s="603" t="s">
        <v>222</v>
      </c>
      <c r="B122" s="599" t="s">
        <v>223</v>
      </c>
      <c r="C122" s="598" t="s">
        <v>264</v>
      </c>
      <c r="D122" s="956">
        <v>7334</v>
      </c>
      <c r="E122" s="956">
        <v>8700</v>
      </c>
      <c r="F122" s="956">
        <v>866</v>
      </c>
      <c r="G122" s="956">
        <v>9894</v>
      </c>
      <c r="H122" s="956">
        <v>7006</v>
      </c>
      <c r="I122" s="600">
        <v>3145</v>
      </c>
      <c r="J122" s="600">
        <v>11751</v>
      </c>
      <c r="K122" s="600">
        <v>319</v>
      </c>
      <c r="L122" s="600">
        <v>1685</v>
      </c>
    </row>
    <row r="123" spans="1:12" s="601" customFormat="1" x14ac:dyDescent="0.25">
      <c r="A123" s="603" t="s">
        <v>230</v>
      </c>
      <c r="B123" s="599" t="s">
        <v>231</v>
      </c>
      <c r="C123" s="598" t="s">
        <v>264</v>
      </c>
      <c r="D123" s="956">
        <v>22050</v>
      </c>
      <c r="E123" s="956">
        <v>25568</v>
      </c>
      <c r="F123" s="956">
        <v>2234</v>
      </c>
      <c r="G123" s="956">
        <v>29201</v>
      </c>
      <c r="H123" s="956">
        <v>20651</v>
      </c>
      <c r="I123" s="600">
        <v>15541</v>
      </c>
      <c r="J123" s="600">
        <v>20796</v>
      </c>
      <c r="K123" s="600">
        <v>3362</v>
      </c>
      <c r="L123" s="600">
        <v>10153</v>
      </c>
    </row>
    <row r="124" spans="1:12" s="601" customFormat="1" x14ac:dyDescent="0.25">
      <c r="A124" s="603" t="s">
        <v>238</v>
      </c>
      <c r="B124" s="599" t="s">
        <v>239</v>
      </c>
      <c r="C124" s="598" t="s">
        <v>264</v>
      </c>
      <c r="D124" s="956">
        <v>820</v>
      </c>
      <c r="E124" s="956">
        <v>1078</v>
      </c>
      <c r="F124" s="956">
        <v>50</v>
      </c>
      <c r="G124" s="956">
        <v>1086</v>
      </c>
      <c r="H124" s="956">
        <v>862</v>
      </c>
      <c r="I124" s="600">
        <v>715</v>
      </c>
      <c r="J124" s="600">
        <v>951</v>
      </c>
      <c r="K124" s="600">
        <v>194</v>
      </c>
      <c r="L124" s="600">
        <v>88</v>
      </c>
    </row>
    <row r="125" spans="1:12" s="601" customFormat="1" x14ac:dyDescent="0.25">
      <c r="A125" s="603" t="s">
        <v>240</v>
      </c>
      <c r="B125" s="599" t="s">
        <v>241</v>
      </c>
      <c r="C125" s="598" t="s">
        <v>267</v>
      </c>
      <c r="D125" s="956">
        <v>2876</v>
      </c>
      <c r="E125" s="956">
        <v>3315</v>
      </c>
      <c r="F125" s="956">
        <v>267</v>
      </c>
      <c r="G125" s="956">
        <v>3560</v>
      </c>
      <c r="H125" s="956">
        <v>2898</v>
      </c>
      <c r="I125" s="600">
        <v>4203</v>
      </c>
      <c r="J125" s="600">
        <v>1233</v>
      </c>
      <c r="K125" s="600">
        <v>223</v>
      </c>
      <c r="L125" s="600">
        <v>799</v>
      </c>
    </row>
    <row r="126" spans="1:12" x14ac:dyDescent="0.25">
      <c r="B126" s="505"/>
      <c r="C126" s="505"/>
      <c r="D126" s="505"/>
      <c r="E126" s="505"/>
      <c r="F126" s="505"/>
      <c r="G126" s="505"/>
      <c r="H126" s="505"/>
    </row>
    <row r="128" spans="1:12" ht="15.75" customHeight="1" x14ac:dyDescent="0.25">
      <c r="A128" s="2280" t="s">
        <v>1290</v>
      </c>
      <c r="B128" s="2280"/>
      <c r="C128" s="2280"/>
      <c r="D128" s="2280"/>
      <c r="E128" s="2280"/>
      <c r="F128" s="2280"/>
      <c r="G128" s="2280"/>
      <c r="H128" s="2280"/>
      <c r="I128" s="2280"/>
      <c r="J128" s="2280"/>
      <c r="K128" s="2280"/>
      <c r="L128" s="2280"/>
    </row>
    <row r="129" spans="1:12" x14ac:dyDescent="0.25">
      <c r="A129" s="2280"/>
      <c r="B129" s="2280"/>
      <c r="C129" s="2280"/>
      <c r="D129" s="2280"/>
      <c r="E129" s="2280"/>
      <c r="F129" s="2280"/>
      <c r="G129" s="2280"/>
      <c r="H129" s="2280"/>
      <c r="I129" s="2280"/>
      <c r="J129" s="2280"/>
      <c r="K129" s="2280"/>
      <c r="L129" s="2280"/>
    </row>
    <row r="130" spans="1:12" s="412" customFormat="1" x14ac:dyDescent="0.25">
      <c r="A130" s="412" t="s">
        <v>248</v>
      </c>
    </row>
    <row r="131" spans="1:12" s="412" customFormat="1" x14ac:dyDescent="0.25">
      <c r="A131" s="413" t="s">
        <v>249</v>
      </c>
      <c r="B131" s="414" t="s">
        <v>250</v>
      </c>
      <c r="C131" s="414"/>
      <c r="D131" s="414"/>
      <c r="E131" s="414"/>
      <c r="F131" s="414"/>
      <c r="G131" s="414"/>
      <c r="H131" s="414"/>
    </row>
  </sheetData>
  <autoFilter ref="A4:C4"/>
  <sortState ref="A6:L125">
    <sortCondition ref="A6:A125"/>
  </sortState>
  <mergeCells count="4">
    <mergeCell ref="D3:F3"/>
    <mergeCell ref="G3:H3"/>
    <mergeCell ref="A128:L129"/>
    <mergeCell ref="I3:L3"/>
  </mergeCells>
  <hyperlinks>
    <hyperlink ref="B131" r:id="rId1"/>
  </hyperlinks>
  <pageMargins left="0.75" right="0.75" top="1" bottom="1" header="0.5" footer="0.5"/>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1"/>
  <sheetViews>
    <sheetView workbookViewId="0">
      <pane xSplit="3" ySplit="5" topLeftCell="D111" activePane="bottomRight" state="frozen"/>
      <selection pane="topRight" activeCell="D1" sqref="D1"/>
      <selection pane="bottomLeft" activeCell="A6" sqref="A6"/>
      <selection pane="bottomRight" activeCell="I131" sqref="I131"/>
    </sheetView>
  </sheetViews>
  <sheetFormatPr defaultColWidth="14.375" defaultRowHeight="15.75" x14ac:dyDescent="0.25"/>
  <cols>
    <col min="1" max="1" width="14.375" style="500"/>
    <col min="2" max="2" width="32.25" style="500" customWidth="1"/>
    <col min="3" max="3" width="14.5" style="500" customWidth="1"/>
    <col min="4" max="4" width="11.875" style="500" customWidth="1"/>
    <col min="5" max="5" width="11.125" style="500" customWidth="1"/>
    <col min="6" max="6" width="14.5" style="500" customWidth="1"/>
    <col min="7" max="8" width="9.75" style="500" customWidth="1"/>
    <col min="9" max="12" width="10.75" style="500" customWidth="1"/>
    <col min="13" max="16384" width="14.375" style="500"/>
  </cols>
  <sheetData>
    <row r="1" spans="1:12" x14ac:dyDescent="0.25">
      <c r="A1" s="257" t="s">
        <v>1291</v>
      </c>
    </row>
    <row r="2" spans="1:12" x14ac:dyDescent="0.25">
      <c r="B2" s="501"/>
      <c r="C2" s="501"/>
      <c r="D2" s="501"/>
      <c r="E2" s="501"/>
      <c r="F2" s="501"/>
      <c r="G2" s="501"/>
      <c r="H2" s="501"/>
    </row>
    <row r="3" spans="1:12" ht="23.25" customHeight="1" x14ac:dyDescent="0.25">
      <c r="A3" s="502"/>
      <c r="B3" s="503"/>
      <c r="C3" s="602"/>
      <c r="D3" s="2279" t="s">
        <v>881</v>
      </c>
      <c r="E3" s="2279"/>
      <c r="F3" s="2279"/>
      <c r="G3" s="2279" t="s">
        <v>876</v>
      </c>
      <c r="H3" s="2279"/>
      <c r="I3" s="2279" t="s">
        <v>778</v>
      </c>
      <c r="J3" s="2279"/>
      <c r="K3" s="2279"/>
      <c r="L3" s="2279"/>
    </row>
    <row r="4" spans="1:12" ht="35.25" customHeight="1" x14ac:dyDescent="0.25">
      <c r="A4" s="504" t="s">
        <v>4</v>
      </c>
      <c r="B4" s="503" t="s">
        <v>5</v>
      </c>
      <c r="C4" s="602" t="s">
        <v>251</v>
      </c>
      <c r="D4" s="1185" t="s">
        <v>618</v>
      </c>
      <c r="E4" s="1185" t="s">
        <v>720</v>
      </c>
      <c r="F4" s="1185" t="s">
        <v>790</v>
      </c>
      <c r="G4" s="1185" t="s">
        <v>549</v>
      </c>
      <c r="H4" s="1185" t="s">
        <v>548</v>
      </c>
      <c r="I4" s="602" t="s">
        <v>2</v>
      </c>
      <c r="J4" s="602" t="s">
        <v>445</v>
      </c>
      <c r="K4" s="602" t="s">
        <v>841</v>
      </c>
      <c r="L4" s="1548" t="s">
        <v>1113</v>
      </c>
    </row>
    <row r="5" spans="1:12" x14ac:dyDescent="0.25">
      <c r="A5" s="1206" t="s">
        <v>8</v>
      </c>
      <c r="B5" s="1207" t="s">
        <v>9</v>
      </c>
      <c r="C5" s="1208"/>
      <c r="D5" s="1209">
        <f>SUM(D6:D125)</f>
        <v>79372</v>
      </c>
      <c r="E5" s="1209">
        <f t="shared" ref="E5:F5" si="0">SUM(E6:E125)</f>
        <v>43994</v>
      </c>
      <c r="F5" s="1209">
        <f t="shared" si="0"/>
        <v>142</v>
      </c>
      <c r="G5" s="1209">
        <f t="shared" ref="G5" si="1">SUM(G6:G125)</f>
        <v>75512</v>
      </c>
      <c r="H5" s="1209">
        <f t="shared" ref="H5:L5" si="2">SUM(H6:H125)</f>
        <v>47998</v>
      </c>
      <c r="I5" s="1210">
        <f t="shared" si="2"/>
        <v>40177</v>
      </c>
      <c r="J5" s="1210">
        <f t="shared" si="2"/>
        <v>62266</v>
      </c>
      <c r="K5" s="1210">
        <f t="shared" si="2"/>
        <v>5476</v>
      </c>
      <c r="L5" s="1210">
        <f t="shared" si="2"/>
        <v>15592</v>
      </c>
    </row>
    <row r="6" spans="1:12" s="601" customFormat="1" x14ac:dyDescent="0.25">
      <c r="A6" s="603" t="s">
        <v>10</v>
      </c>
      <c r="B6" s="599" t="s">
        <v>11</v>
      </c>
      <c r="C6" s="598" t="s">
        <v>264</v>
      </c>
      <c r="D6" s="956">
        <v>496</v>
      </c>
      <c r="E6" s="956">
        <v>262</v>
      </c>
      <c r="F6" s="956">
        <v>0</v>
      </c>
      <c r="G6" s="956">
        <v>451</v>
      </c>
      <c r="H6" s="956">
        <v>308</v>
      </c>
      <c r="I6" s="600">
        <v>267</v>
      </c>
      <c r="J6" s="600">
        <v>427</v>
      </c>
      <c r="K6" s="600">
        <v>30</v>
      </c>
      <c r="L6" s="600">
        <v>35</v>
      </c>
    </row>
    <row r="7" spans="1:12" s="601" customFormat="1" x14ac:dyDescent="0.25">
      <c r="A7" s="603" t="s">
        <v>12</v>
      </c>
      <c r="B7" s="599" t="s">
        <v>13</v>
      </c>
      <c r="C7" s="598" t="s">
        <v>265</v>
      </c>
      <c r="D7" s="956">
        <v>434</v>
      </c>
      <c r="E7" s="956">
        <v>266</v>
      </c>
      <c r="F7" s="956">
        <v>1</v>
      </c>
      <c r="G7" s="956">
        <v>427</v>
      </c>
      <c r="H7" s="956">
        <v>274</v>
      </c>
      <c r="I7" s="600">
        <v>194</v>
      </c>
      <c r="J7" s="600">
        <v>233</v>
      </c>
      <c r="K7" s="600">
        <v>54</v>
      </c>
      <c r="L7" s="600">
        <v>220</v>
      </c>
    </row>
    <row r="8" spans="1:12" s="601" customFormat="1" x14ac:dyDescent="0.25">
      <c r="A8" s="603" t="s">
        <v>16</v>
      </c>
      <c r="B8" s="599" t="s">
        <v>297</v>
      </c>
      <c r="C8" s="598" t="s">
        <v>265</v>
      </c>
      <c r="D8" s="956">
        <v>263</v>
      </c>
      <c r="E8" s="956">
        <v>162</v>
      </c>
      <c r="F8" s="956">
        <v>0</v>
      </c>
      <c r="G8" s="956">
        <v>242</v>
      </c>
      <c r="H8" s="956">
        <v>183</v>
      </c>
      <c r="I8" s="600">
        <v>297</v>
      </c>
      <c r="J8" s="600">
        <v>53</v>
      </c>
      <c r="K8" s="600">
        <v>61</v>
      </c>
      <c r="L8" s="600">
        <v>14</v>
      </c>
    </row>
    <row r="9" spans="1:12" s="601" customFormat="1" x14ac:dyDescent="0.25">
      <c r="A9" s="603" t="s">
        <v>18</v>
      </c>
      <c r="B9" s="599" t="s">
        <v>19</v>
      </c>
      <c r="C9" s="598" t="s">
        <v>266</v>
      </c>
      <c r="D9" s="956">
        <v>78</v>
      </c>
      <c r="E9" s="956">
        <v>40</v>
      </c>
      <c r="F9" s="956">
        <v>0</v>
      </c>
      <c r="G9" s="956">
        <v>67</v>
      </c>
      <c r="H9" s="956">
        <v>51</v>
      </c>
      <c r="I9" s="600">
        <v>62</v>
      </c>
      <c r="J9" s="600">
        <v>49</v>
      </c>
      <c r="K9" s="600">
        <v>5</v>
      </c>
      <c r="L9" s="600">
        <v>2</v>
      </c>
    </row>
    <row r="10" spans="1:12" s="601" customFormat="1" x14ac:dyDescent="0.25">
      <c r="A10" s="603" t="s">
        <v>20</v>
      </c>
      <c r="B10" s="599" t="s">
        <v>21</v>
      </c>
      <c r="C10" s="598" t="s">
        <v>265</v>
      </c>
      <c r="D10" s="956">
        <v>271</v>
      </c>
      <c r="E10" s="956">
        <v>133</v>
      </c>
      <c r="F10" s="956">
        <v>0</v>
      </c>
      <c r="G10" s="956">
        <v>232</v>
      </c>
      <c r="H10" s="956">
        <v>172</v>
      </c>
      <c r="I10" s="600">
        <v>228</v>
      </c>
      <c r="J10" s="600">
        <v>131</v>
      </c>
      <c r="K10" s="600">
        <v>16</v>
      </c>
      <c r="L10" s="600">
        <v>29</v>
      </c>
    </row>
    <row r="11" spans="1:12" s="601" customFormat="1" x14ac:dyDescent="0.25">
      <c r="A11" s="603" t="s">
        <v>22</v>
      </c>
      <c r="B11" s="599" t="s">
        <v>23</v>
      </c>
      <c r="C11" s="598" t="s">
        <v>265</v>
      </c>
      <c r="D11" s="956">
        <v>208</v>
      </c>
      <c r="E11" s="956">
        <v>121</v>
      </c>
      <c r="F11" s="956">
        <v>0</v>
      </c>
      <c r="G11" s="956">
        <v>196</v>
      </c>
      <c r="H11" s="956">
        <v>133</v>
      </c>
      <c r="I11" s="600">
        <v>129</v>
      </c>
      <c r="J11" s="600">
        <v>176</v>
      </c>
      <c r="K11" s="600">
        <v>10</v>
      </c>
      <c r="L11" s="600">
        <v>14</v>
      </c>
    </row>
    <row r="12" spans="1:12" s="601" customFormat="1" x14ac:dyDescent="0.25">
      <c r="A12" s="603" t="s">
        <v>24</v>
      </c>
      <c r="B12" s="599" t="s">
        <v>25</v>
      </c>
      <c r="C12" s="598" t="s">
        <v>267</v>
      </c>
      <c r="D12" s="956">
        <v>585</v>
      </c>
      <c r="E12" s="956">
        <v>390</v>
      </c>
      <c r="F12" s="956">
        <v>3</v>
      </c>
      <c r="G12" s="956">
        <v>595</v>
      </c>
      <c r="H12" s="956">
        <v>383</v>
      </c>
      <c r="I12" s="600">
        <v>275</v>
      </c>
      <c r="J12" s="600">
        <v>441</v>
      </c>
      <c r="K12" s="600">
        <v>156</v>
      </c>
      <c r="L12" s="600">
        <v>106</v>
      </c>
    </row>
    <row r="13" spans="1:12" s="601" customFormat="1" x14ac:dyDescent="0.25">
      <c r="A13" s="603" t="s">
        <v>26</v>
      </c>
      <c r="B13" s="599" t="s">
        <v>686</v>
      </c>
      <c r="C13" s="598" t="s">
        <v>265</v>
      </c>
      <c r="D13" s="956">
        <v>1192</v>
      </c>
      <c r="E13" s="956">
        <v>635</v>
      </c>
      <c r="F13" s="956">
        <v>0</v>
      </c>
      <c r="G13" s="956">
        <v>1091</v>
      </c>
      <c r="H13" s="956">
        <v>736</v>
      </c>
      <c r="I13" s="600">
        <v>1185</v>
      </c>
      <c r="J13" s="600">
        <v>429</v>
      </c>
      <c r="K13" s="600">
        <v>46</v>
      </c>
      <c r="L13" s="600">
        <v>167</v>
      </c>
    </row>
    <row r="14" spans="1:12" s="601" customFormat="1" x14ac:dyDescent="0.25">
      <c r="A14" s="603" t="s">
        <v>27</v>
      </c>
      <c r="B14" s="599" t="s">
        <v>28</v>
      </c>
      <c r="C14" s="598" t="s">
        <v>265</v>
      </c>
      <c r="D14" s="956">
        <v>9</v>
      </c>
      <c r="E14" s="956">
        <v>1</v>
      </c>
      <c r="F14" s="956">
        <v>0</v>
      </c>
      <c r="G14" s="956">
        <v>4</v>
      </c>
      <c r="H14" s="956">
        <v>6</v>
      </c>
      <c r="I14" s="600">
        <v>8</v>
      </c>
      <c r="J14" s="600">
        <v>0</v>
      </c>
      <c r="K14" s="600">
        <v>0</v>
      </c>
      <c r="L14" s="600">
        <v>2</v>
      </c>
    </row>
    <row r="15" spans="1:12" s="601" customFormat="1" x14ac:dyDescent="0.25">
      <c r="A15" s="603" t="s">
        <v>29</v>
      </c>
      <c r="B15" s="599" t="s">
        <v>924</v>
      </c>
      <c r="C15" s="598" t="s">
        <v>265</v>
      </c>
      <c r="D15" s="956">
        <v>493</v>
      </c>
      <c r="E15" s="956">
        <v>274</v>
      </c>
      <c r="F15" s="956">
        <v>2</v>
      </c>
      <c r="G15" s="956">
        <v>450</v>
      </c>
      <c r="H15" s="956">
        <v>319</v>
      </c>
      <c r="I15" s="600">
        <v>532</v>
      </c>
      <c r="J15" s="600">
        <v>134</v>
      </c>
      <c r="K15" s="600">
        <v>48</v>
      </c>
      <c r="L15" s="600">
        <v>55</v>
      </c>
    </row>
    <row r="16" spans="1:12" s="601" customFormat="1" x14ac:dyDescent="0.25">
      <c r="A16" s="603" t="s">
        <v>30</v>
      </c>
      <c r="B16" s="599" t="s">
        <v>31</v>
      </c>
      <c r="C16" s="598" t="s">
        <v>268</v>
      </c>
      <c r="D16" s="956">
        <v>54</v>
      </c>
      <c r="E16" s="956">
        <v>28</v>
      </c>
      <c r="F16" s="956">
        <v>0</v>
      </c>
      <c r="G16" s="956">
        <v>54</v>
      </c>
      <c r="H16" s="956">
        <v>28</v>
      </c>
      <c r="I16" s="600">
        <v>67</v>
      </c>
      <c r="J16" s="600">
        <v>9</v>
      </c>
      <c r="K16" s="600">
        <v>1</v>
      </c>
      <c r="L16" s="600">
        <v>5</v>
      </c>
    </row>
    <row r="17" spans="1:12" s="601" customFormat="1" x14ac:dyDescent="0.25">
      <c r="A17" s="603" t="s">
        <v>32</v>
      </c>
      <c r="B17" s="599" t="s">
        <v>33</v>
      </c>
      <c r="C17" s="598" t="s">
        <v>265</v>
      </c>
      <c r="D17" s="956">
        <v>117</v>
      </c>
      <c r="E17" s="956">
        <v>66</v>
      </c>
      <c r="F17" s="956">
        <v>1</v>
      </c>
      <c r="G17" s="956">
        <v>105</v>
      </c>
      <c r="H17" s="956">
        <v>79</v>
      </c>
      <c r="I17" s="600">
        <v>148</v>
      </c>
      <c r="J17" s="600">
        <v>14</v>
      </c>
      <c r="K17" s="600">
        <v>7</v>
      </c>
      <c r="L17" s="600">
        <v>15</v>
      </c>
    </row>
    <row r="18" spans="1:12" s="601" customFormat="1" x14ac:dyDescent="0.25">
      <c r="A18" s="603" t="s">
        <v>36</v>
      </c>
      <c r="B18" s="599" t="s">
        <v>37</v>
      </c>
      <c r="C18" s="598" t="s">
        <v>264</v>
      </c>
      <c r="D18" s="956">
        <v>246</v>
      </c>
      <c r="E18" s="956">
        <v>123</v>
      </c>
      <c r="F18" s="956">
        <v>2</v>
      </c>
      <c r="G18" s="956">
        <v>244</v>
      </c>
      <c r="H18" s="956">
        <v>127</v>
      </c>
      <c r="I18" s="600">
        <v>61</v>
      </c>
      <c r="J18" s="600">
        <v>304</v>
      </c>
      <c r="K18" s="600">
        <v>3</v>
      </c>
      <c r="L18" s="600">
        <v>3</v>
      </c>
    </row>
    <row r="19" spans="1:12" s="601" customFormat="1" x14ac:dyDescent="0.25">
      <c r="A19" s="603" t="s">
        <v>38</v>
      </c>
      <c r="B19" s="599" t="s">
        <v>39</v>
      </c>
      <c r="C19" s="598" t="s">
        <v>268</v>
      </c>
      <c r="D19" s="956">
        <v>304</v>
      </c>
      <c r="E19" s="956">
        <v>239</v>
      </c>
      <c r="F19" s="956">
        <v>2</v>
      </c>
      <c r="G19" s="956">
        <v>306</v>
      </c>
      <c r="H19" s="956">
        <v>239</v>
      </c>
      <c r="I19" s="600">
        <v>512</v>
      </c>
      <c r="J19" s="600">
        <v>11</v>
      </c>
      <c r="K19" s="600">
        <v>9</v>
      </c>
      <c r="L19" s="600">
        <v>13</v>
      </c>
    </row>
    <row r="20" spans="1:12" s="601" customFormat="1" x14ac:dyDescent="0.25">
      <c r="A20" s="603" t="s">
        <v>40</v>
      </c>
      <c r="B20" s="599" t="s">
        <v>41</v>
      </c>
      <c r="C20" s="598" t="s">
        <v>266</v>
      </c>
      <c r="D20" s="956">
        <v>196</v>
      </c>
      <c r="E20" s="956">
        <v>100</v>
      </c>
      <c r="F20" s="956">
        <v>1</v>
      </c>
      <c r="G20" s="956">
        <v>179</v>
      </c>
      <c r="H20" s="956">
        <v>118</v>
      </c>
      <c r="I20" s="600">
        <v>127</v>
      </c>
      <c r="J20" s="600">
        <v>129</v>
      </c>
      <c r="K20" s="600">
        <v>26</v>
      </c>
      <c r="L20" s="600">
        <v>15</v>
      </c>
    </row>
    <row r="21" spans="1:12" s="601" customFormat="1" x14ac:dyDescent="0.25">
      <c r="A21" s="603" t="s">
        <v>42</v>
      </c>
      <c r="B21" s="599" t="s">
        <v>43</v>
      </c>
      <c r="C21" s="598" t="s">
        <v>265</v>
      </c>
      <c r="D21" s="956">
        <v>625</v>
      </c>
      <c r="E21" s="956">
        <v>366</v>
      </c>
      <c r="F21" s="956">
        <v>0</v>
      </c>
      <c r="G21" s="956">
        <v>593</v>
      </c>
      <c r="H21" s="956">
        <v>398</v>
      </c>
      <c r="I21" s="600">
        <v>600</v>
      </c>
      <c r="J21" s="600">
        <v>249</v>
      </c>
      <c r="K21" s="600">
        <v>44</v>
      </c>
      <c r="L21" s="600">
        <v>98</v>
      </c>
    </row>
    <row r="22" spans="1:12" s="601" customFormat="1" x14ac:dyDescent="0.25">
      <c r="A22" s="603" t="s">
        <v>44</v>
      </c>
      <c r="B22" s="599" t="s">
        <v>45</v>
      </c>
      <c r="C22" s="598" t="s">
        <v>266</v>
      </c>
      <c r="D22" s="956">
        <v>394</v>
      </c>
      <c r="E22" s="956">
        <v>213</v>
      </c>
      <c r="F22" s="956">
        <v>1</v>
      </c>
      <c r="G22" s="956">
        <v>344</v>
      </c>
      <c r="H22" s="956">
        <v>264</v>
      </c>
      <c r="I22" s="600">
        <v>271</v>
      </c>
      <c r="J22" s="600">
        <v>216</v>
      </c>
      <c r="K22" s="600">
        <v>21</v>
      </c>
      <c r="L22" s="600">
        <v>100</v>
      </c>
    </row>
    <row r="23" spans="1:12" s="601" customFormat="1" x14ac:dyDescent="0.25">
      <c r="A23" s="603" t="s">
        <v>46</v>
      </c>
      <c r="B23" s="599" t="s">
        <v>47</v>
      </c>
      <c r="C23" s="598" t="s">
        <v>268</v>
      </c>
      <c r="D23" s="956">
        <v>230</v>
      </c>
      <c r="E23" s="956">
        <v>118</v>
      </c>
      <c r="F23" s="956">
        <v>0</v>
      </c>
      <c r="G23" s="956">
        <v>204</v>
      </c>
      <c r="H23" s="956">
        <v>144</v>
      </c>
      <c r="I23" s="600">
        <v>321</v>
      </c>
      <c r="J23" s="600">
        <v>13</v>
      </c>
      <c r="K23" s="600">
        <v>6</v>
      </c>
      <c r="L23" s="600">
        <v>8</v>
      </c>
    </row>
    <row r="24" spans="1:12" s="601" customFormat="1" x14ac:dyDescent="0.25">
      <c r="A24" s="603" t="s">
        <v>48</v>
      </c>
      <c r="B24" s="599" t="s">
        <v>269</v>
      </c>
      <c r="C24" s="598" t="s">
        <v>266</v>
      </c>
      <c r="D24" s="956">
        <v>45</v>
      </c>
      <c r="E24" s="956">
        <v>24</v>
      </c>
      <c r="F24" s="956">
        <v>0</v>
      </c>
      <c r="G24" s="956">
        <v>45</v>
      </c>
      <c r="H24" s="956">
        <v>24</v>
      </c>
      <c r="I24" s="600">
        <v>26</v>
      </c>
      <c r="J24" s="600">
        <v>29</v>
      </c>
      <c r="K24" s="600">
        <v>7</v>
      </c>
      <c r="L24" s="600">
        <v>7</v>
      </c>
    </row>
    <row r="25" spans="1:12" s="601" customFormat="1" x14ac:dyDescent="0.25">
      <c r="A25" s="603" t="s">
        <v>50</v>
      </c>
      <c r="B25" s="599" t="s">
        <v>51</v>
      </c>
      <c r="C25" s="598" t="s">
        <v>265</v>
      </c>
      <c r="D25" s="956">
        <v>168</v>
      </c>
      <c r="E25" s="956">
        <v>97</v>
      </c>
      <c r="F25" s="956">
        <v>0</v>
      </c>
      <c r="G25" s="956">
        <v>150</v>
      </c>
      <c r="H25" s="956">
        <v>115</v>
      </c>
      <c r="I25" s="600">
        <v>120</v>
      </c>
      <c r="J25" s="600">
        <v>119</v>
      </c>
      <c r="K25" s="600">
        <v>10</v>
      </c>
      <c r="L25" s="600">
        <v>16</v>
      </c>
    </row>
    <row r="26" spans="1:12" s="601" customFormat="1" x14ac:dyDescent="0.25">
      <c r="A26" s="603" t="s">
        <v>56</v>
      </c>
      <c r="B26" s="599" t="s">
        <v>295</v>
      </c>
      <c r="C26" s="598" t="s">
        <v>266</v>
      </c>
      <c r="D26" s="956">
        <v>2058</v>
      </c>
      <c r="E26" s="956">
        <v>1080</v>
      </c>
      <c r="F26" s="956">
        <v>2</v>
      </c>
      <c r="G26" s="956">
        <v>1887</v>
      </c>
      <c r="H26" s="956">
        <v>1254</v>
      </c>
      <c r="I26" s="600">
        <v>925</v>
      </c>
      <c r="J26" s="600">
        <v>1468</v>
      </c>
      <c r="K26" s="600">
        <v>169</v>
      </c>
      <c r="L26" s="600">
        <v>579</v>
      </c>
    </row>
    <row r="27" spans="1:12" s="601" customFormat="1" x14ac:dyDescent="0.25">
      <c r="A27" s="603" t="s">
        <v>58</v>
      </c>
      <c r="B27" s="599" t="s">
        <v>59</v>
      </c>
      <c r="C27" s="598" t="s">
        <v>267</v>
      </c>
      <c r="D27" s="956">
        <v>30</v>
      </c>
      <c r="E27" s="956">
        <v>9</v>
      </c>
      <c r="F27" s="956">
        <v>0</v>
      </c>
      <c r="G27" s="956">
        <v>20</v>
      </c>
      <c r="H27" s="956">
        <v>19</v>
      </c>
      <c r="I27" s="600">
        <v>29</v>
      </c>
      <c r="J27" s="600">
        <v>8</v>
      </c>
      <c r="K27" s="600">
        <v>0</v>
      </c>
      <c r="L27" s="600">
        <v>2</v>
      </c>
    </row>
    <row r="28" spans="1:12" s="601" customFormat="1" x14ac:dyDescent="0.25">
      <c r="A28" s="603" t="s">
        <v>60</v>
      </c>
      <c r="B28" s="599" t="s">
        <v>61</v>
      </c>
      <c r="C28" s="598" t="s">
        <v>265</v>
      </c>
      <c r="D28" s="956">
        <v>40</v>
      </c>
      <c r="E28" s="956">
        <v>23</v>
      </c>
      <c r="F28" s="956">
        <v>1</v>
      </c>
      <c r="G28" s="956">
        <v>38</v>
      </c>
      <c r="H28" s="956">
        <v>26</v>
      </c>
      <c r="I28" s="600">
        <v>56</v>
      </c>
      <c r="J28" s="600">
        <v>3</v>
      </c>
      <c r="K28" s="600">
        <v>1</v>
      </c>
      <c r="L28" s="600">
        <v>4</v>
      </c>
    </row>
    <row r="29" spans="1:12" s="601" customFormat="1" x14ac:dyDescent="0.25">
      <c r="A29" s="603" t="s">
        <v>62</v>
      </c>
      <c r="B29" s="599" t="s">
        <v>63</v>
      </c>
      <c r="C29" s="598" t="s">
        <v>267</v>
      </c>
      <c r="D29" s="956">
        <v>420</v>
      </c>
      <c r="E29" s="956">
        <v>215</v>
      </c>
      <c r="F29" s="956">
        <v>1</v>
      </c>
      <c r="G29" s="956">
        <v>396</v>
      </c>
      <c r="H29" s="956">
        <v>240</v>
      </c>
      <c r="I29" s="600">
        <v>304</v>
      </c>
      <c r="J29" s="600">
        <v>231</v>
      </c>
      <c r="K29" s="600">
        <v>43</v>
      </c>
      <c r="L29" s="600">
        <v>58</v>
      </c>
    </row>
    <row r="30" spans="1:12" s="601" customFormat="1" x14ac:dyDescent="0.25">
      <c r="A30" s="603" t="s">
        <v>64</v>
      </c>
      <c r="B30" s="599" t="s">
        <v>65</v>
      </c>
      <c r="C30" s="598" t="s">
        <v>266</v>
      </c>
      <c r="D30" s="956">
        <v>146</v>
      </c>
      <c r="E30" s="956">
        <v>90</v>
      </c>
      <c r="F30" s="956">
        <v>1</v>
      </c>
      <c r="G30" s="956">
        <v>133</v>
      </c>
      <c r="H30" s="956">
        <v>104</v>
      </c>
      <c r="I30" s="600">
        <v>90</v>
      </c>
      <c r="J30" s="600">
        <v>130</v>
      </c>
      <c r="K30" s="600">
        <v>13</v>
      </c>
      <c r="L30" s="600">
        <v>4</v>
      </c>
    </row>
    <row r="31" spans="1:12" s="601" customFormat="1" x14ac:dyDescent="0.25">
      <c r="A31" s="603" t="s">
        <v>68</v>
      </c>
      <c r="B31" s="599" t="s">
        <v>69</v>
      </c>
      <c r="C31" s="598" t="s">
        <v>268</v>
      </c>
      <c r="D31" s="956">
        <v>145</v>
      </c>
      <c r="E31" s="956">
        <v>95</v>
      </c>
      <c r="F31" s="956">
        <v>1</v>
      </c>
      <c r="G31" s="956">
        <v>143</v>
      </c>
      <c r="H31" s="956">
        <v>98</v>
      </c>
      <c r="I31" s="600">
        <v>239</v>
      </c>
      <c r="J31" s="600">
        <v>0</v>
      </c>
      <c r="K31" s="600">
        <v>0</v>
      </c>
      <c r="L31" s="600">
        <v>2</v>
      </c>
    </row>
    <row r="32" spans="1:12" s="601" customFormat="1" x14ac:dyDescent="0.25">
      <c r="A32" s="603" t="s">
        <v>70</v>
      </c>
      <c r="B32" s="599" t="s">
        <v>71</v>
      </c>
      <c r="C32" s="598" t="s">
        <v>264</v>
      </c>
      <c r="D32" s="956">
        <v>314</v>
      </c>
      <c r="E32" s="956">
        <v>161</v>
      </c>
      <c r="F32" s="956">
        <v>1</v>
      </c>
      <c r="G32" s="956">
        <v>263</v>
      </c>
      <c r="H32" s="956">
        <v>213</v>
      </c>
      <c r="I32" s="600">
        <v>207</v>
      </c>
      <c r="J32" s="600">
        <v>184</v>
      </c>
      <c r="K32" s="600">
        <v>24</v>
      </c>
      <c r="L32" s="600">
        <v>61</v>
      </c>
    </row>
    <row r="33" spans="1:12" s="601" customFormat="1" x14ac:dyDescent="0.25">
      <c r="A33" s="603" t="s">
        <v>72</v>
      </c>
      <c r="B33" s="599" t="s">
        <v>73</v>
      </c>
      <c r="C33" s="598" t="s">
        <v>266</v>
      </c>
      <c r="D33" s="956">
        <v>197</v>
      </c>
      <c r="E33" s="956">
        <v>117</v>
      </c>
      <c r="F33" s="956">
        <v>1</v>
      </c>
      <c r="G33" s="956">
        <v>197</v>
      </c>
      <c r="H33" s="956">
        <v>118</v>
      </c>
      <c r="I33" s="600">
        <v>69</v>
      </c>
      <c r="J33" s="600">
        <v>172</v>
      </c>
      <c r="K33" s="600">
        <v>10</v>
      </c>
      <c r="L33" s="600">
        <v>64</v>
      </c>
    </row>
    <row r="34" spans="1:12" s="601" customFormat="1" x14ac:dyDescent="0.25">
      <c r="A34" s="603" t="s">
        <v>74</v>
      </c>
      <c r="B34" s="599" t="s">
        <v>296</v>
      </c>
      <c r="C34" s="598" t="s">
        <v>267</v>
      </c>
      <c r="D34" s="956">
        <v>3527</v>
      </c>
      <c r="E34" s="956">
        <v>2343</v>
      </c>
      <c r="F34" s="956">
        <v>15</v>
      </c>
      <c r="G34" s="956">
        <v>3503</v>
      </c>
      <c r="H34" s="956">
        <v>2381</v>
      </c>
      <c r="I34" s="600">
        <v>1829</v>
      </c>
      <c r="J34" s="600">
        <v>1939</v>
      </c>
      <c r="K34" s="600">
        <v>671</v>
      </c>
      <c r="L34" s="600">
        <v>1446</v>
      </c>
    </row>
    <row r="35" spans="1:12" s="601" customFormat="1" x14ac:dyDescent="0.25">
      <c r="A35" s="603" t="s">
        <v>76</v>
      </c>
      <c r="B35" s="599" t="s">
        <v>77</v>
      </c>
      <c r="C35" s="598" t="s">
        <v>267</v>
      </c>
      <c r="D35" s="956">
        <v>249</v>
      </c>
      <c r="E35" s="956">
        <v>133</v>
      </c>
      <c r="F35" s="956">
        <v>0</v>
      </c>
      <c r="G35" s="956">
        <v>231</v>
      </c>
      <c r="H35" s="956">
        <v>151</v>
      </c>
      <c r="I35" s="600">
        <v>195</v>
      </c>
      <c r="J35" s="600">
        <v>74</v>
      </c>
      <c r="K35" s="600">
        <v>39</v>
      </c>
      <c r="L35" s="600">
        <v>74</v>
      </c>
    </row>
    <row r="36" spans="1:12" s="601" customFormat="1" x14ac:dyDescent="0.25">
      <c r="A36" s="603" t="s">
        <v>78</v>
      </c>
      <c r="B36" s="599" t="s">
        <v>79</v>
      </c>
      <c r="C36" s="598" t="s">
        <v>268</v>
      </c>
      <c r="D36" s="956">
        <v>127</v>
      </c>
      <c r="E36" s="956">
        <v>64</v>
      </c>
      <c r="F36" s="956">
        <v>0</v>
      </c>
      <c r="G36" s="956">
        <v>109</v>
      </c>
      <c r="H36" s="956">
        <v>82</v>
      </c>
      <c r="I36" s="600">
        <v>161</v>
      </c>
      <c r="J36" s="600">
        <v>21</v>
      </c>
      <c r="K36" s="600">
        <v>3</v>
      </c>
      <c r="L36" s="600">
        <v>6</v>
      </c>
    </row>
    <row r="37" spans="1:12" s="601" customFormat="1" x14ac:dyDescent="0.25">
      <c r="A37" s="603" t="s">
        <v>80</v>
      </c>
      <c r="B37" s="599" t="s">
        <v>81</v>
      </c>
      <c r="C37" s="598" t="s">
        <v>266</v>
      </c>
      <c r="D37" s="956">
        <v>126</v>
      </c>
      <c r="E37" s="956">
        <v>50</v>
      </c>
      <c r="F37" s="956">
        <v>2</v>
      </c>
      <c r="G37" s="956">
        <v>100</v>
      </c>
      <c r="H37" s="956">
        <v>78</v>
      </c>
      <c r="I37" s="600">
        <v>111</v>
      </c>
      <c r="J37" s="600">
        <v>53</v>
      </c>
      <c r="K37" s="600">
        <v>6</v>
      </c>
      <c r="L37" s="600">
        <v>8</v>
      </c>
    </row>
    <row r="38" spans="1:12" s="601" customFormat="1" x14ac:dyDescent="0.25">
      <c r="A38" s="603" t="s">
        <v>84</v>
      </c>
      <c r="B38" s="599" t="s">
        <v>85</v>
      </c>
      <c r="C38" s="598" t="s">
        <v>265</v>
      </c>
      <c r="D38" s="956">
        <v>526</v>
      </c>
      <c r="E38" s="956">
        <v>272</v>
      </c>
      <c r="F38" s="956">
        <v>1</v>
      </c>
      <c r="G38" s="956">
        <v>461</v>
      </c>
      <c r="H38" s="956">
        <v>338</v>
      </c>
      <c r="I38" s="600">
        <v>544</v>
      </c>
      <c r="J38" s="600">
        <v>140</v>
      </c>
      <c r="K38" s="600">
        <v>35</v>
      </c>
      <c r="L38" s="600">
        <v>80</v>
      </c>
    </row>
    <row r="39" spans="1:12" s="601" customFormat="1" x14ac:dyDescent="0.25">
      <c r="A39" s="603" t="s">
        <v>86</v>
      </c>
      <c r="B39" s="599" t="s">
        <v>87</v>
      </c>
      <c r="C39" s="598" t="s">
        <v>267</v>
      </c>
      <c r="D39" s="956">
        <v>259</v>
      </c>
      <c r="E39" s="956">
        <v>142</v>
      </c>
      <c r="F39" s="956">
        <v>0</v>
      </c>
      <c r="G39" s="956">
        <v>247</v>
      </c>
      <c r="H39" s="956">
        <v>154</v>
      </c>
      <c r="I39" s="600">
        <v>255</v>
      </c>
      <c r="J39" s="600">
        <v>77</v>
      </c>
      <c r="K39" s="600">
        <v>11</v>
      </c>
      <c r="L39" s="600">
        <v>58</v>
      </c>
    </row>
    <row r="40" spans="1:12" s="601" customFormat="1" x14ac:dyDescent="0.25">
      <c r="A40" s="603" t="s">
        <v>92</v>
      </c>
      <c r="B40" s="599" t="s">
        <v>93</v>
      </c>
      <c r="C40" s="598" t="s">
        <v>268</v>
      </c>
      <c r="D40" s="956">
        <v>139</v>
      </c>
      <c r="E40" s="956">
        <v>61</v>
      </c>
      <c r="F40" s="956">
        <v>0</v>
      </c>
      <c r="G40" s="956">
        <v>127</v>
      </c>
      <c r="H40" s="956">
        <v>73</v>
      </c>
      <c r="I40" s="600">
        <v>181</v>
      </c>
      <c r="J40" s="600">
        <v>9</v>
      </c>
      <c r="K40" s="600">
        <v>5</v>
      </c>
      <c r="L40" s="600">
        <v>5</v>
      </c>
    </row>
    <row r="41" spans="1:12" s="601" customFormat="1" x14ac:dyDescent="0.25">
      <c r="A41" s="603" t="s">
        <v>94</v>
      </c>
      <c r="B41" s="599" t="s">
        <v>95</v>
      </c>
      <c r="C41" s="598" t="s">
        <v>264</v>
      </c>
      <c r="D41" s="956">
        <v>281</v>
      </c>
      <c r="E41" s="956">
        <v>153</v>
      </c>
      <c r="F41" s="956">
        <v>0</v>
      </c>
      <c r="G41" s="956">
        <v>248</v>
      </c>
      <c r="H41" s="956">
        <v>186</v>
      </c>
      <c r="I41" s="600">
        <v>302</v>
      </c>
      <c r="J41" s="600">
        <v>56</v>
      </c>
      <c r="K41" s="600">
        <v>29</v>
      </c>
      <c r="L41" s="600">
        <v>47</v>
      </c>
    </row>
    <row r="42" spans="1:12" s="601" customFormat="1" x14ac:dyDescent="0.25">
      <c r="A42" s="603" t="s">
        <v>96</v>
      </c>
      <c r="B42" s="599" t="s">
        <v>97</v>
      </c>
      <c r="C42" s="598" t="s">
        <v>266</v>
      </c>
      <c r="D42" s="956">
        <v>66</v>
      </c>
      <c r="E42" s="956">
        <v>43</v>
      </c>
      <c r="F42" s="956">
        <v>0</v>
      </c>
      <c r="G42" s="956">
        <v>77</v>
      </c>
      <c r="H42" s="956">
        <v>32</v>
      </c>
      <c r="I42" s="600">
        <v>59</v>
      </c>
      <c r="J42" s="600">
        <v>42</v>
      </c>
      <c r="K42" s="600">
        <v>4</v>
      </c>
      <c r="L42" s="600">
        <v>4</v>
      </c>
    </row>
    <row r="43" spans="1:12" s="601" customFormat="1" x14ac:dyDescent="0.25">
      <c r="A43" s="603" t="s">
        <v>98</v>
      </c>
      <c r="B43" s="599" t="s">
        <v>99</v>
      </c>
      <c r="C43" s="598" t="s">
        <v>268</v>
      </c>
      <c r="D43" s="956">
        <v>90</v>
      </c>
      <c r="E43" s="956">
        <v>47</v>
      </c>
      <c r="F43" s="956">
        <v>2</v>
      </c>
      <c r="G43" s="956">
        <v>78</v>
      </c>
      <c r="H43" s="956">
        <v>61</v>
      </c>
      <c r="I43" s="600">
        <v>121</v>
      </c>
      <c r="J43" s="600">
        <v>8</v>
      </c>
      <c r="K43" s="600">
        <v>4</v>
      </c>
      <c r="L43" s="600">
        <v>6</v>
      </c>
    </row>
    <row r="44" spans="1:12" s="601" customFormat="1" x14ac:dyDescent="0.25">
      <c r="A44" s="603" t="s">
        <v>100</v>
      </c>
      <c r="B44" s="599" t="s">
        <v>101</v>
      </c>
      <c r="C44" s="598" t="s">
        <v>267</v>
      </c>
      <c r="D44" s="956">
        <v>170</v>
      </c>
      <c r="E44" s="956">
        <v>96</v>
      </c>
      <c r="F44" s="956">
        <v>0</v>
      </c>
      <c r="G44" s="956">
        <v>146</v>
      </c>
      <c r="H44" s="956">
        <v>120</v>
      </c>
      <c r="I44" s="600">
        <v>165</v>
      </c>
      <c r="J44" s="600">
        <v>60</v>
      </c>
      <c r="K44" s="600">
        <v>21</v>
      </c>
      <c r="L44" s="600">
        <v>20</v>
      </c>
    </row>
    <row r="45" spans="1:12" s="601" customFormat="1" x14ac:dyDescent="0.25">
      <c r="A45" s="603" t="s">
        <v>102</v>
      </c>
      <c r="B45" s="599" t="s">
        <v>282</v>
      </c>
      <c r="C45" s="598" t="s">
        <v>264</v>
      </c>
      <c r="D45" s="956">
        <v>383</v>
      </c>
      <c r="E45" s="956">
        <v>211</v>
      </c>
      <c r="F45" s="956">
        <v>1</v>
      </c>
      <c r="G45" s="956">
        <v>366</v>
      </c>
      <c r="H45" s="956">
        <v>229</v>
      </c>
      <c r="I45" s="600">
        <v>47</v>
      </c>
      <c r="J45" s="600">
        <v>491</v>
      </c>
      <c r="K45" s="600">
        <v>22</v>
      </c>
      <c r="L45" s="600">
        <v>35</v>
      </c>
    </row>
    <row r="46" spans="1:12" s="601" customFormat="1" x14ac:dyDescent="0.25">
      <c r="A46" s="603" t="s">
        <v>104</v>
      </c>
      <c r="B46" s="599" t="s">
        <v>105</v>
      </c>
      <c r="C46" s="598" t="s">
        <v>265</v>
      </c>
      <c r="D46" s="956">
        <v>502</v>
      </c>
      <c r="E46" s="956">
        <v>276</v>
      </c>
      <c r="F46" s="956">
        <v>2</v>
      </c>
      <c r="G46" s="956">
        <v>480</v>
      </c>
      <c r="H46" s="956">
        <v>300</v>
      </c>
      <c r="I46" s="600">
        <v>221</v>
      </c>
      <c r="J46" s="600">
        <v>488</v>
      </c>
      <c r="K46" s="600">
        <v>18</v>
      </c>
      <c r="L46" s="600">
        <v>53</v>
      </c>
    </row>
    <row r="47" spans="1:12" s="601" customFormat="1" x14ac:dyDescent="0.25">
      <c r="A47" s="603" t="s">
        <v>108</v>
      </c>
      <c r="B47" s="599" t="s">
        <v>109</v>
      </c>
      <c r="C47" s="598" t="s">
        <v>266</v>
      </c>
      <c r="D47" s="956">
        <v>316</v>
      </c>
      <c r="E47" s="956">
        <v>181</v>
      </c>
      <c r="F47" s="956">
        <v>1</v>
      </c>
      <c r="G47" s="956">
        <v>268</v>
      </c>
      <c r="H47" s="956">
        <v>230</v>
      </c>
      <c r="I47" s="600">
        <v>224</v>
      </c>
      <c r="J47" s="600">
        <v>170</v>
      </c>
      <c r="K47" s="600">
        <v>24</v>
      </c>
      <c r="L47" s="600">
        <v>80</v>
      </c>
    </row>
    <row r="48" spans="1:12" s="601" customFormat="1" x14ac:dyDescent="0.25">
      <c r="A48" s="603" t="s">
        <v>110</v>
      </c>
      <c r="B48" s="599" t="s">
        <v>111</v>
      </c>
      <c r="C48" s="598" t="s">
        <v>266</v>
      </c>
      <c r="D48" s="956">
        <v>3105</v>
      </c>
      <c r="E48" s="956">
        <v>1768</v>
      </c>
      <c r="F48" s="956">
        <v>6</v>
      </c>
      <c r="G48" s="956">
        <v>3044</v>
      </c>
      <c r="H48" s="956">
        <v>1835</v>
      </c>
      <c r="I48" s="600">
        <v>756</v>
      </c>
      <c r="J48" s="600">
        <v>3052</v>
      </c>
      <c r="K48" s="600">
        <v>158</v>
      </c>
      <c r="L48" s="600">
        <v>913</v>
      </c>
    </row>
    <row r="49" spans="1:12" s="601" customFormat="1" x14ac:dyDescent="0.25">
      <c r="A49" s="603" t="s">
        <v>112</v>
      </c>
      <c r="B49" s="599" t="s">
        <v>300</v>
      </c>
      <c r="C49" s="598" t="s">
        <v>265</v>
      </c>
      <c r="D49" s="956">
        <v>1206</v>
      </c>
      <c r="E49" s="956">
        <v>624</v>
      </c>
      <c r="F49" s="956">
        <v>0</v>
      </c>
      <c r="G49" s="956">
        <v>1069</v>
      </c>
      <c r="H49" s="956">
        <v>761</v>
      </c>
      <c r="I49" s="600">
        <v>712</v>
      </c>
      <c r="J49" s="600">
        <v>760</v>
      </c>
      <c r="K49" s="600">
        <v>58</v>
      </c>
      <c r="L49" s="600">
        <v>300</v>
      </c>
    </row>
    <row r="50" spans="1:12" s="601" customFormat="1" x14ac:dyDescent="0.25">
      <c r="A50" s="603" t="s">
        <v>114</v>
      </c>
      <c r="B50" s="599" t="s">
        <v>115</v>
      </c>
      <c r="C50" s="598" t="s">
        <v>265</v>
      </c>
      <c r="D50" s="956">
        <v>8</v>
      </c>
      <c r="E50" s="956">
        <v>4</v>
      </c>
      <c r="F50" s="956">
        <v>0</v>
      </c>
      <c r="G50" s="956">
        <v>8</v>
      </c>
      <c r="H50" s="956">
        <v>4</v>
      </c>
      <c r="I50" s="600">
        <v>8</v>
      </c>
      <c r="J50" s="600">
        <v>0</v>
      </c>
      <c r="K50" s="600">
        <v>0</v>
      </c>
      <c r="L50" s="600">
        <v>4</v>
      </c>
    </row>
    <row r="51" spans="1:12" s="601" customFormat="1" x14ac:dyDescent="0.25">
      <c r="A51" s="603" t="s">
        <v>118</v>
      </c>
      <c r="B51" s="599" t="s">
        <v>270</v>
      </c>
      <c r="C51" s="598" t="s">
        <v>264</v>
      </c>
      <c r="D51" s="956">
        <v>298</v>
      </c>
      <c r="E51" s="956">
        <v>162</v>
      </c>
      <c r="F51" s="956">
        <v>0</v>
      </c>
      <c r="G51" s="956">
        <v>281</v>
      </c>
      <c r="H51" s="956">
        <v>179</v>
      </c>
      <c r="I51" s="600">
        <v>173</v>
      </c>
      <c r="J51" s="600">
        <v>238</v>
      </c>
      <c r="K51" s="600">
        <v>10</v>
      </c>
      <c r="L51" s="600">
        <v>39</v>
      </c>
    </row>
    <row r="52" spans="1:12" s="601" customFormat="1" x14ac:dyDescent="0.25">
      <c r="A52" s="603" t="s">
        <v>120</v>
      </c>
      <c r="B52" s="599" t="s">
        <v>121</v>
      </c>
      <c r="C52" s="598" t="s">
        <v>264</v>
      </c>
      <c r="D52" s="956">
        <v>465</v>
      </c>
      <c r="E52" s="956">
        <v>260</v>
      </c>
      <c r="F52" s="956">
        <v>0</v>
      </c>
      <c r="G52" s="956">
        <v>446</v>
      </c>
      <c r="H52" s="956">
        <v>279</v>
      </c>
      <c r="I52" s="600">
        <v>254</v>
      </c>
      <c r="J52" s="600">
        <v>343</v>
      </c>
      <c r="K52" s="600">
        <v>52</v>
      </c>
      <c r="L52" s="600">
        <v>76</v>
      </c>
    </row>
    <row r="53" spans="1:12" s="601" customFormat="1" x14ac:dyDescent="0.25">
      <c r="A53" s="603" t="s">
        <v>122</v>
      </c>
      <c r="B53" s="599" t="s">
        <v>287</v>
      </c>
      <c r="C53" s="598" t="s">
        <v>266</v>
      </c>
      <c r="D53" s="956">
        <v>90</v>
      </c>
      <c r="E53" s="956">
        <v>44</v>
      </c>
      <c r="F53" s="956">
        <v>0</v>
      </c>
      <c r="G53" s="956">
        <v>83</v>
      </c>
      <c r="H53" s="956">
        <v>51</v>
      </c>
      <c r="I53" s="600">
        <v>47</v>
      </c>
      <c r="J53" s="600">
        <v>72</v>
      </c>
      <c r="K53" s="600">
        <v>10</v>
      </c>
      <c r="L53" s="600">
        <v>5</v>
      </c>
    </row>
    <row r="54" spans="1:12" s="601" customFormat="1" x14ac:dyDescent="0.25">
      <c r="A54" s="603" t="s">
        <v>124</v>
      </c>
      <c r="B54" s="599" t="s">
        <v>125</v>
      </c>
      <c r="C54" s="598" t="s">
        <v>267</v>
      </c>
      <c r="D54" s="956">
        <v>197</v>
      </c>
      <c r="E54" s="956">
        <v>96</v>
      </c>
      <c r="F54" s="956">
        <v>0</v>
      </c>
      <c r="G54" s="956">
        <v>185</v>
      </c>
      <c r="H54" s="956">
        <v>108</v>
      </c>
      <c r="I54" s="600">
        <v>129</v>
      </c>
      <c r="J54" s="600">
        <v>117</v>
      </c>
      <c r="K54" s="600">
        <v>14</v>
      </c>
      <c r="L54" s="600">
        <v>33</v>
      </c>
    </row>
    <row r="55" spans="1:12" s="601" customFormat="1" x14ac:dyDescent="0.25">
      <c r="A55" s="603" t="s">
        <v>126</v>
      </c>
      <c r="B55" s="599" t="s">
        <v>127</v>
      </c>
      <c r="C55" s="598" t="s">
        <v>266</v>
      </c>
      <c r="D55" s="956">
        <v>82</v>
      </c>
      <c r="E55" s="956">
        <v>45</v>
      </c>
      <c r="F55" s="956">
        <v>0</v>
      </c>
      <c r="G55" s="956">
        <v>73</v>
      </c>
      <c r="H55" s="956">
        <v>54</v>
      </c>
      <c r="I55" s="600">
        <v>59</v>
      </c>
      <c r="J55" s="600">
        <v>60</v>
      </c>
      <c r="K55" s="600">
        <v>5</v>
      </c>
      <c r="L55" s="600">
        <v>3</v>
      </c>
    </row>
    <row r="56" spans="1:12" s="601" customFormat="1" x14ac:dyDescent="0.25">
      <c r="A56" s="603" t="s">
        <v>128</v>
      </c>
      <c r="B56" s="599" t="s">
        <v>129</v>
      </c>
      <c r="C56" s="598" t="s">
        <v>266</v>
      </c>
      <c r="D56" s="956">
        <v>123</v>
      </c>
      <c r="E56" s="956">
        <v>63</v>
      </c>
      <c r="F56" s="956">
        <v>0</v>
      </c>
      <c r="G56" s="956">
        <v>118</v>
      </c>
      <c r="H56" s="956">
        <v>68</v>
      </c>
      <c r="I56" s="600">
        <v>62</v>
      </c>
      <c r="J56" s="600">
        <v>115</v>
      </c>
      <c r="K56" s="600">
        <v>7</v>
      </c>
      <c r="L56" s="600">
        <v>2</v>
      </c>
    </row>
    <row r="57" spans="1:12" s="601" customFormat="1" x14ac:dyDescent="0.25">
      <c r="A57" s="603" t="s">
        <v>130</v>
      </c>
      <c r="B57" s="599" t="s">
        <v>131</v>
      </c>
      <c r="C57" s="598" t="s">
        <v>268</v>
      </c>
      <c r="D57" s="956">
        <v>626</v>
      </c>
      <c r="E57" s="956">
        <v>416</v>
      </c>
      <c r="F57" s="956">
        <v>0</v>
      </c>
      <c r="G57" s="956">
        <v>588</v>
      </c>
      <c r="H57" s="956">
        <v>454</v>
      </c>
      <c r="I57" s="600">
        <v>989</v>
      </c>
      <c r="J57" s="600">
        <v>15</v>
      </c>
      <c r="K57" s="600">
        <v>6</v>
      </c>
      <c r="L57" s="600">
        <v>32</v>
      </c>
    </row>
    <row r="58" spans="1:12" s="601" customFormat="1" x14ac:dyDescent="0.25">
      <c r="A58" s="603" t="s">
        <v>132</v>
      </c>
      <c r="B58" s="599" t="s">
        <v>133</v>
      </c>
      <c r="C58" s="598" t="s">
        <v>267</v>
      </c>
      <c r="D58" s="956">
        <v>735</v>
      </c>
      <c r="E58" s="956">
        <v>532</v>
      </c>
      <c r="F58" s="956">
        <v>4</v>
      </c>
      <c r="G58" s="956">
        <v>762</v>
      </c>
      <c r="H58" s="956">
        <v>509</v>
      </c>
      <c r="I58" s="600">
        <v>420</v>
      </c>
      <c r="J58" s="600">
        <v>281</v>
      </c>
      <c r="K58" s="600">
        <v>113</v>
      </c>
      <c r="L58" s="600">
        <v>457</v>
      </c>
    </row>
    <row r="59" spans="1:12" s="601" customFormat="1" x14ac:dyDescent="0.25">
      <c r="A59" s="603" t="s">
        <v>134</v>
      </c>
      <c r="B59" s="599" t="s">
        <v>135</v>
      </c>
      <c r="C59" s="598" t="s">
        <v>267</v>
      </c>
      <c r="D59" s="956">
        <v>268</v>
      </c>
      <c r="E59" s="956">
        <v>142</v>
      </c>
      <c r="F59" s="956">
        <v>1</v>
      </c>
      <c r="G59" s="956">
        <v>255</v>
      </c>
      <c r="H59" s="956">
        <v>156</v>
      </c>
      <c r="I59" s="600">
        <v>213</v>
      </c>
      <c r="J59" s="600">
        <v>135</v>
      </c>
      <c r="K59" s="600">
        <v>11</v>
      </c>
      <c r="L59" s="600">
        <v>52</v>
      </c>
    </row>
    <row r="60" spans="1:12" s="601" customFormat="1" x14ac:dyDescent="0.25">
      <c r="A60" s="603" t="s">
        <v>136</v>
      </c>
      <c r="B60" s="599" t="s">
        <v>137</v>
      </c>
      <c r="C60" s="598" t="s">
        <v>266</v>
      </c>
      <c r="D60" s="956">
        <v>109</v>
      </c>
      <c r="E60" s="956">
        <v>61</v>
      </c>
      <c r="F60" s="956">
        <v>0</v>
      </c>
      <c r="G60" s="956">
        <v>102</v>
      </c>
      <c r="H60" s="956">
        <v>68</v>
      </c>
      <c r="I60" s="600">
        <v>55</v>
      </c>
      <c r="J60" s="600">
        <v>98</v>
      </c>
      <c r="K60" s="600">
        <v>12</v>
      </c>
      <c r="L60" s="600">
        <v>5</v>
      </c>
    </row>
    <row r="61" spans="1:12" s="601" customFormat="1" x14ac:dyDescent="0.25">
      <c r="A61" s="603" t="s">
        <v>140</v>
      </c>
      <c r="B61" s="599" t="s">
        <v>141</v>
      </c>
      <c r="C61" s="598" t="s">
        <v>267</v>
      </c>
      <c r="D61" s="956">
        <v>67</v>
      </c>
      <c r="E61" s="956">
        <v>28</v>
      </c>
      <c r="F61" s="956">
        <v>0</v>
      </c>
      <c r="G61" s="956">
        <v>56</v>
      </c>
      <c r="H61" s="956">
        <v>39</v>
      </c>
      <c r="I61" s="600">
        <v>68</v>
      </c>
      <c r="J61" s="600">
        <v>13</v>
      </c>
      <c r="K61" s="600">
        <v>3</v>
      </c>
      <c r="L61" s="600">
        <v>11</v>
      </c>
    </row>
    <row r="62" spans="1:12" s="601" customFormat="1" x14ac:dyDescent="0.25">
      <c r="A62" s="603" t="s">
        <v>146</v>
      </c>
      <c r="B62" s="599" t="s">
        <v>147</v>
      </c>
      <c r="C62" s="598" t="s">
        <v>264</v>
      </c>
      <c r="D62" s="956">
        <v>51</v>
      </c>
      <c r="E62" s="956">
        <v>27</v>
      </c>
      <c r="F62" s="956">
        <v>0</v>
      </c>
      <c r="G62" s="956">
        <v>48</v>
      </c>
      <c r="H62" s="956">
        <v>30</v>
      </c>
      <c r="I62" s="600">
        <v>53</v>
      </c>
      <c r="J62" s="600">
        <v>23</v>
      </c>
      <c r="K62" s="600">
        <v>1</v>
      </c>
      <c r="L62" s="600">
        <v>1</v>
      </c>
    </row>
    <row r="63" spans="1:12" s="601" customFormat="1" x14ac:dyDescent="0.25">
      <c r="A63" s="603" t="s">
        <v>148</v>
      </c>
      <c r="B63" s="599" t="s">
        <v>149</v>
      </c>
      <c r="C63" s="598" t="s">
        <v>265</v>
      </c>
      <c r="D63" s="956">
        <v>342</v>
      </c>
      <c r="E63" s="956">
        <v>164</v>
      </c>
      <c r="F63" s="956">
        <v>0</v>
      </c>
      <c r="G63" s="956">
        <v>308</v>
      </c>
      <c r="H63" s="956">
        <v>198</v>
      </c>
      <c r="I63" s="600">
        <v>100</v>
      </c>
      <c r="J63" s="600">
        <v>370</v>
      </c>
      <c r="K63" s="600">
        <v>10</v>
      </c>
      <c r="L63" s="600">
        <v>26</v>
      </c>
    </row>
    <row r="64" spans="1:12" s="601" customFormat="1" x14ac:dyDescent="0.25">
      <c r="A64" s="603" t="s">
        <v>150</v>
      </c>
      <c r="B64" s="599" t="s">
        <v>151</v>
      </c>
      <c r="C64" s="598" t="s">
        <v>266</v>
      </c>
      <c r="D64" s="956">
        <v>140</v>
      </c>
      <c r="E64" s="956">
        <v>92</v>
      </c>
      <c r="F64" s="956">
        <v>0</v>
      </c>
      <c r="G64" s="956">
        <v>139</v>
      </c>
      <c r="H64" s="956">
        <v>93</v>
      </c>
      <c r="I64" s="600">
        <v>129</v>
      </c>
      <c r="J64" s="600">
        <v>83</v>
      </c>
      <c r="K64" s="600">
        <v>5</v>
      </c>
      <c r="L64" s="600">
        <v>15</v>
      </c>
    </row>
    <row r="65" spans="1:12" s="601" customFormat="1" x14ac:dyDescent="0.25">
      <c r="A65" s="603" t="s">
        <v>152</v>
      </c>
      <c r="B65" s="599" t="s">
        <v>153</v>
      </c>
      <c r="C65" s="598" t="s">
        <v>268</v>
      </c>
      <c r="D65" s="956">
        <v>704</v>
      </c>
      <c r="E65" s="956">
        <v>378</v>
      </c>
      <c r="F65" s="956">
        <v>0</v>
      </c>
      <c r="G65" s="956">
        <v>613</v>
      </c>
      <c r="H65" s="956">
        <v>469</v>
      </c>
      <c r="I65" s="600">
        <v>832</v>
      </c>
      <c r="J65" s="600">
        <v>146</v>
      </c>
      <c r="K65" s="600">
        <v>32</v>
      </c>
      <c r="L65" s="600">
        <v>72</v>
      </c>
    </row>
    <row r="66" spans="1:12" s="601" customFormat="1" x14ac:dyDescent="0.25">
      <c r="A66" s="603" t="s">
        <v>154</v>
      </c>
      <c r="B66" s="599" t="s">
        <v>155</v>
      </c>
      <c r="C66" s="598" t="s">
        <v>265</v>
      </c>
      <c r="D66" s="956">
        <v>142</v>
      </c>
      <c r="E66" s="956">
        <v>78</v>
      </c>
      <c r="F66" s="956">
        <v>0</v>
      </c>
      <c r="G66" s="956">
        <v>130</v>
      </c>
      <c r="H66" s="956">
        <v>90</v>
      </c>
      <c r="I66" s="600">
        <v>131</v>
      </c>
      <c r="J66" s="600">
        <v>59</v>
      </c>
      <c r="K66" s="600">
        <v>6</v>
      </c>
      <c r="L66" s="600">
        <v>24</v>
      </c>
    </row>
    <row r="67" spans="1:12" s="601" customFormat="1" x14ac:dyDescent="0.25">
      <c r="A67" s="603" t="s">
        <v>156</v>
      </c>
      <c r="B67" s="599" t="s">
        <v>157</v>
      </c>
      <c r="C67" s="598" t="s">
        <v>266</v>
      </c>
      <c r="D67" s="956">
        <v>138</v>
      </c>
      <c r="E67" s="956">
        <v>72</v>
      </c>
      <c r="F67" s="956">
        <v>0</v>
      </c>
      <c r="G67" s="956">
        <v>115</v>
      </c>
      <c r="H67" s="956">
        <v>95</v>
      </c>
      <c r="I67" s="600">
        <v>119</v>
      </c>
      <c r="J67" s="600">
        <v>61</v>
      </c>
      <c r="K67" s="600">
        <v>11</v>
      </c>
      <c r="L67" s="600">
        <v>19</v>
      </c>
    </row>
    <row r="68" spans="1:12" s="601" customFormat="1" x14ac:dyDescent="0.25">
      <c r="A68" s="603" t="s">
        <v>162</v>
      </c>
      <c r="B68" s="599" t="s">
        <v>163</v>
      </c>
      <c r="C68" s="598" t="s">
        <v>264</v>
      </c>
      <c r="D68" s="956">
        <v>175</v>
      </c>
      <c r="E68" s="956">
        <v>92</v>
      </c>
      <c r="F68" s="956">
        <v>0</v>
      </c>
      <c r="G68" s="956">
        <v>162</v>
      </c>
      <c r="H68" s="956">
        <v>105</v>
      </c>
      <c r="I68" s="600">
        <v>46</v>
      </c>
      <c r="J68" s="600">
        <v>200</v>
      </c>
      <c r="K68" s="600">
        <v>11</v>
      </c>
      <c r="L68" s="600">
        <v>10</v>
      </c>
    </row>
    <row r="69" spans="1:12" s="601" customFormat="1" x14ac:dyDescent="0.25">
      <c r="A69" s="603" t="s">
        <v>164</v>
      </c>
      <c r="B69" s="599" t="s">
        <v>165</v>
      </c>
      <c r="C69" s="598" t="s">
        <v>266</v>
      </c>
      <c r="D69" s="956">
        <v>95</v>
      </c>
      <c r="E69" s="956">
        <v>54</v>
      </c>
      <c r="F69" s="956">
        <v>1</v>
      </c>
      <c r="G69" s="956">
        <v>92</v>
      </c>
      <c r="H69" s="956">
        <v>58</v>
      </c>
      <c r="I69" s="600">
        <v>60</v>
      </c>
      <c r="J69" s="600">
        <v>70</v>
      </c>
      <c r="K69" s="600">
        <v>7</v>
      </c>
      <c r="L69" s="600">
        <v>13</v>
      </c>
    </row>
    <row r="70" spans="1:12" s="601" customFormat="1" x14ac:dyDescent="0.25">
      <c r="A70" s="603" t="s">
        <v>168</v>
      </c>
      <c r="B70" s="599" t="s">
        <v>169</v>
      </c>
      <c r="C70" s="598" t="s">
        <v>266</v>
      </c>
      <c r="D70" s="956">
        <v>257</v>
      </c>
      <c r="E70" s="956">
        <v>136</v>
      </c>
      <c r="F70" s="956">
        <v>0</v>
      </c>
      <c r="G70" s="956">
        <v>236</v>
      </c>
      <c r="H70" s="956">
        <v>157</v>
      </c>
      <c r="I70" s="600">
        <v>95</v>
      </c>
      <c r="J70" s="600">
        <v>274</v>
      </c>
      <c r="K70" s="600">
        <v>10</v>
      </c>
      <c r="L70" s="600">
        <v>14</v>
      </c>
    </row>
    <row r="71" spans="1:12" s="601" customFormat="1" x14ac:dyDescent="0.25">
      <c r="A71" s="603" t="s">
        <v>170</v>
      </c>
      <c r="B71" s="599" t="s">
        <v>171</v>
      </c>
      <c r="C71" s="598" t="s">
        <v>267</v>
      </c>
      <c r="D71" s="956">
        <v>291</v>
      </c>
      <c r="E71" s="956">
        <v>146</v>
      </c>
      <c r="F71" s="956">
        <v>0</v>
      </c>
      <c r="G71" s="956">
        <v>260</v>
      </c>
      <c r="H71" s="956">
        <v>177</v>
      </c>
      <c r="I71" s="600">
        <v>219</v>
      </c>
      <c r="J71" s="600">
        <v>123</v>
      </c>
      <c r="K71" s="600">
        <v>21</v>
      </c>
      <c r="L71" s="600">
        <v>74</v>
      </c>
    </row>
    <row r="72" spans="1:12" s="601" customFormat="1" x14ac:dyDescent="0.25">
      <c r="A72" s="603" t="s">
        <v>172</v>
      </c>
      <c r="B72" s="599" t="s">
        <v>173</v>
      </c>
      <c r="C72" s="598" t="s">
        <v>267</v>
      </c>
      <c r="D72" s="956">
        <v>142</v>
      </c>
      <c r="E72" s="956">
        <v>70</v>
      </c>
      <c r="F72" s="956">
        <v>0</v>
      </c>
      <c r="G72" s="956">
        <v>131</v>
      </c>
      <c r="H72" s="956">
        <v>82</v>
      </c>
      <c r="I72" s="600">
        <v>185</v>
      </c>
      <c r="J72" s="600">
        <v>9</v>
      </c>
      <c r="K72" s="600">
        <v>14</v>
      </c>
      <c r="L72" s="600">
        <v>5</v>
      </c>
    </row>
    <row r="73" spans="1:12" s="601" customFormat="1" x14ac:dyDescent="0.25">
      <c r="A73" s="603" t="s">
        <v>174</v>
      </c>
      <c r="B73" s="599" t="s">
        <v>175</v>
      </c>
      <c r="C73" s="598" t="s">
        <v>268</v>
      </c>
      <c r="D73" s="956">
        <v>246</v>
      </c>
      <c r="E73" s="956">
        <v>170</v>
      </c>
      <c r="F73" s="956">
        <v>0</v>
      </c>
      <c r="G73" s="956">
        <v>232</v>
      </c>
      <c r="H73" s="956">
        <v>184</v>
      </c>
      <c r="I73" s="600">
        <v>347</v>
      </c>
      <c r="J73" s="600">
        <v>42</v>
      </c>
      <c r="K73" s="600">
        <v>21</v>
      </c>
      <c r="L73" s="600">
        <v>6</v>
      </c>
    </row>
    <row r="74" spans="1:12" s="601" customFormat="1" x14ac:dyDescent="0.25">
      <c r="A74" s="603" t="s">
        <v>178</v>
      </c>
      <c r="B74" s="599" t="s">
        <v>179</v>
      </c>
      <c r="C74" s="598" t="s">
        <v>265</v>
      </c>
      <c r="D74" s="956">
        <v>591</v>
      </c>
      <c r="E74" s="956">
        <v>319</v>
      </c>
      <c r="F74" s="956">
        <v>2</v>
      </c>
      <c r="G74" s="956">
        <v>553</v>
      </c>
      <c r="H74" s="956">
        <v>359</v>
      </c>
      <c r="I74" s="600">
        <v>464</v>
      </c>
      <c r="J74" s="600">
        <v>322</v>
      </c>
      <c r="K74" s="600">
        <v>41</v>
      </c>
      <c r="L74" s="600">
        <v>85</v>
      </c>
    </row>
    <row r="75" spans="1:12" s="601" customFormat="1" x14ac:dyDescent="0.25">
      <c r="A75" s="603" t="s">
        <v>182</v>
      </c>
      <c r="B75" s="599" t="s">
        <v>183</v>
      </c>
      <c r="C75" s="598" t="s">
        <v>266</v>
      </c>
      <c r="D75" s="956">
        <v>104</v>
      </c>
      <c r="E75" s="956">
        <v>59</v>
      </c>
      <c r="F75" s="956">
        <v>0</v>
      </c>
      <c r="G75" s="956">
        <v>94</v>
      </c>
      <c r="H75" s="956">
        <v>69</v>
      </c>
      <c r="I75" s="600">
        <v>131</v>
      </c>
      <c r="J75" s="600">
        <v>15</v>
      </c>
      <c r="K75" s="600">
        <v>7</v>
      </c>
      <c r="L75" s="600">
        <v>10</v>
      </c>
    </row>
    <row r="76" spans="1:12" s="601" customFormat="1" x14ac:dyDescent="0.25">
      <c r="A76" s="603" t="s">
        <v>184</v>
      </c>
      <c r="B76" s="599" t="s">
        <v>185</v>
      </c>
      <c r="C76" s="598" t="s">
        <v>266</v>
      </c>
      <c r="D76" s="956">
        <v>319</v>
      </c>
      <c r="E76" s="956">
        <v>176</v>
      </c>
      <c r="F76" s="956">
        <v>0</v>
      </c>
      <c r="G76" s="956">
        <v>315</v>
      </c>
      <c r="H76" s="956">
        <v>180</v>
      </c>
      <c r="I76" s="600">
        <v>96</v>
      </c>
      <c r="J76" s="600">
        <v>355</v>
      </c>
      <c r="K76" s="600">
        <v>21</v>
      </c>
      <c r="L76" s="600">
        <v>23</v>
      </c>
    </row>
    <row r="77" spans="1:12" s="601" customFormat="1" x14ac:dyDescent="0.25">
      <c r="A77" s="603" t="s">
        <v>186</v>
      </c>
      <c r="B77" s="599" t="s">
        <v>187</v>
      </c>
      <c r="C77" s="598" t="s">
        <v>264</v>
      </c>
      <c r="D77" s="956">
        <v>293</v>
      </c>
      <c r="E77" s="956">
        <v>159</v>
      </c>
      <c r="F77" s="956">
        <v>0</v>
      </c>
      <c r="G77" s="956">
        <v>267</v>
      </c>
      <c r="H77" s="956">
        <v>185</v>
      </c>
      <c r="I77" s="600">
        <v>185</v>
      </c>
      <c r="J77" s="600">
        <v>194</v>
      </c>
      <c r="K77" s="600">
        <v>12</v>
      </c>
      <c r="L77" s="600">
        <v>61</v>
      </c>
    </row>
    <row r="78" spans="1:12" s="601" customFormat="1" x14ac:dyDescent="0.25">
      <c r="A78" s="603" t="s">
        <v>188</v>
      </c>
      <c r="B78" s="599" t="s">
        <v>189</v>
      </c>
      <c r="C78" s="598" t="s">
        <v>267</v>
      </c>
      <c r="D78" s="956">
        <v>2889</v>
      </c>
      <c r="E78" s="956">
        <v>1669</v>
      </c>
      <c r="F78" s="956">
        <v>7</v>
      </c>
      <c r="G78" s="956">
        <v>2753</v>
      </c>
      <c r="H78" s="956">
        <v>1812</v>
      </c>
      <c r="I78" s="600">
        <v>1402</v>
      </c>
      <c r="J78" s="600">
        <v>1840</v>
      </c>
      <c r="K78" s="600">
        <v>427</v>
      </c>
      <c r="L78" s="600">
        <v>896</v>
      </c>
    </row>
    <row r="79" spans="1:12" s="601" customFormat="1" x14ac:dyDescent="0.25">
      <c r="A79" s="603" t="s">
        <v>190</v>
      </c>
      <c r="B79" s="599" t="s">
        <v>191</v>
      </c>
      <c r="C79" s="598" t="s">
        <v>268</v>
      </c>
      <c r="D79" s="956">
        <v>366</v>
      </c>
      <c r="E79" s="956">
        <v>168</v>
      </c>
      <c r="F79" s="956">
        <v>0</v>
      </c>
      <c r="G79" s="956">
        <v>304</v>
      </c>
      <c r="H79" s="956">
        <v>230</v>
      </c>
      <c r="I79" s="600">
        <v>391</v>
      </c>
      <c r="J79" s="600">
        <v>102</v>
      </c>
      <c r="K79" s="600">
        <v>20</v>
      </c>
      <c r="L79" s="600">
        <v>21</v>
      </c>
    </row>
    <row r="80" spans="1:12" s="601" customFormat="1" x14ac:dyDescent="0.25">
      <c r="A80" s="603" t="s">
        <v>194</v>
      </c>
      <c r="B80" s="599" t="s">
        <v>195</v>
      </c>
      <c r="C80" s="598" t="s">
        <v>267</v>
      </c>
      <c r="D80" s="956">
        <v>23</v>
      </c>
      <c r="E80" s="956">
        <v>14</v>
      </c>
      <c r="F80" s="956">
        <v>0</v>
      </c>
      <c r="G80" s="956">
        <v>21</v>
      </c>
      <c r="H80" s="956">
        <v>16</v>
      </c>
      <c r="I80" s="600">
        <v>31</v>
      </c>
      <c r="J80" s="600">
        <v>2</v>
      </c>
      <c r="K80" s="600">
        <v>0</v>
      </c>
      <c r="L80" s="600">
        <v>4</v>
      </c>
    </row>
    <row r="81" spans="1:12" s="601" customFormat="1" x14ac:dyDescent="0.25">
      <c r="A81" s="603" t="s">
        <v>198</v>
      </c>
      <c r="B81" s="599" t="s">
        <v>272</v>
      </c>
      <c r="C81" s="598" t="s">
        <v>266</v>
      </c>
      <c r="D81" s="956">
        <v>123</v>
      </c>
      <c r="E81" s="956">
        <v>68</v>
      </c>
      <c r="F81" s="956">
        <v>0</v>
      </c>
      <c r="G81" s="956">
        <v>127</v>
      </c>
      <c r="H81" s="956">
        <v>64</v>
      </c>
      <c r="I81" s="600">
        <v>53</v>
      </c>
      <c r="J81" s="600">
        <v>109</v>
      </c>
      <c r="K81" s="600">
        <v>8</v>
      </c>
      <c r="L81" s="600">
        <v>21</v>
      </c>
    </row>
    <row r="82" spans="1:12" s="601" customFormat="1" x14ac:dyDescent="0.25">
      <c r="A82" s="603" t="s">
        <v>202</v>
      </c>
      <c r="B82" s="599" t="s">
        <v>301</v>
      </c>
      <c r="C82" s="598" t="s">
        <v>265</v>
      </c>
      <c r="D82" s="956">
        <v>662</v>
      </c>
      <c r="E82" s="956">
        <v>303</v>
      </c>
      <c r="F82" s="956">
        <v>0</v>
      </c>
      <c r="G82" s="956">
        <v>567</v>
      </c>
      <c r="H82" s="956">
        <v>398</v>
      </c>
      <c r="I82" s="600">
        <v>602</v>
      </c>
      <c r="J82" s="600">
        <v>244</v>
      </c>
      <c r="K82" s="600">
        <v>68</v>
      </c>
      <c r="L82" s="600">
        <v>51</v>
      </c>
    </row>
    <row r="83" spans="1:12" s="601" customFormat="1" x14ac:dyDescent="0.25">
      <c r="A83" s="603" t="s">
        <v>204</v>
      </c>
      <c r="B83" s="599" t="s">
        <v>293</v>
      </c>
      <c r="C83" s="598" t="s">
        <v>265</v>
      </c>
      <c r="D83" s="956">
        <v>180</v>
      </c>
      <c r="E83" s="956">
        <v>97</v>
      </c>
      <c r="F83" s="956">
        <v>0</v>
      </c>
      <c r="G83" s="956">
        <v>166</v>
      </c>
      <c r="H83" s="956">
        <v>111</v>
      </c>
      <c r="I83" s="600">
        <v>213</v>
      </c>
      <c r="J83" s="600">
        <v>33</v>
      </c>
      <c r="K83" s="600">
        <v>8</v>
      </c>
      <c r="L83" s="600">
        <v>23</v>
      </c>
    </row>
    <row r="84" spans="1:12" s="601" customFormat="1" x14ac:dyDescent="0.25">
      <c r="A84" s="603" t="s">
        <v>206</v>
      </c>
      <c r="B84" s="599" t="s">
        <v>294</v>
      </c>
      <c r="C84" s="598" t="s">
        <v>267</v>
      </c>
      <c r="D84" s="956">
        <v>846</v>
      </c>
      <c r="E84" s="956">
        <v>476</v>
      </c>
      <c r="F84" s="956">
        <v>1</v>
      </c>
      <c r="G84" s="956">
        <v>772</v>
      </c>
      <c r="H84" s="956">
        <v>551</v>
      </c>
      <c r="I84" s="600">
        <v>745</v>
      </c>
      <c r="J84" s="600">
        <v>202</v>
      </c>
      <c r="K84" s="600">
        <v>115</v>
      </c>
      <c r="L84" s="600">
        <v>261</v>
      </c>
    </row>
    <row r="85" spans="1:12" s="601" customFormat="1" x14ac:dyDescent="0.25">
      <c r="A85" s="603" t="s">
        <v>208</v>
      </c>
      <c r="B85" s="599" t="s">
        <v>209</v>
      </c>
      <c r="C85" s="598" t="s">
        <v>268</v>
      </c>
      <c r="D85" s="956">
        <v>450</v>
      </c>
      <c r="E85" s="956">
        <v>288</v>
      </c>
      <c r="F85" s="956">
        <v>2</v>
      </c>
      <c r="G85" s="956">
        <v>423</v>
      </c>
      <c r="H85" s="956">
        <v>317</v>
      </c>
      <c r="I85" s="600">
        <v>675</v>
      </c>
      <c r="J85" s="600">
        <v>13</v>
      </c>
      <c r="K85" s="600">
        <v>0</v>
      </c>
      <c r="L85" s="600">
        <v>52</v>
      </c>
    </row>
    <row r="86" spans="1:12" s="601" customFormat="1" x14ac:dyDescent="0.25">
      <c r="A86" s="603" t="s">
        <v>210</v>
      </c>
      <c r="B86" s="599" t="s">
        <v>211</v>
      </c>
      <c r="C86" s="598" t="s">
        <v>268</v>
      </c>
      <c r="D86" s="956">
        <v>373</v>
      </c>
      <c r="E86" s="956">
        <v>234</v>
      </c>
      <c r="F86" s="956">
        <v>1</v>
      </c>
      <c r="G86" s="956">
        <v>350</v>
      </c>
      <c r="H86" s="956">
        <v>258</v>
      </c>
      <c r="I86" s="600">
        <v>531</v>
      </c>
      <c r="J86" s="600">
        <v>17</v>
      </c>
      <c r="K86" s="600">
        <v>6</v>
      </c>
      <c r="L86" s="600">
        <v>54</v>
      </c>
    </row>
    <row r="87" spans="1:12" s="601" customFormat="1" x14ac:dyDescent="0.25">
      <c r="A87" s="603" t="s">
        <v>212</v>
      </c>
      <c r="B87" s="599" t="s">
        <v>213</v>
      </c>
      <c r="C87" s="598" t="s">
        <v>267</v>
      </c>
      <c r="D87" s="956">
        <v>184</v>
      </c>
      <c r="E87" s="956">
        <v>90</v>
      </c>
      <c r="F87" s="956">
        <v>0</v>
      </c>
      <c r="G87" s="956">
        <v>154</v>
      </c>
      <c r="H87" s="956">
        <v>120</v>
      </c>
      <c r="I87" s="600">
        <v>201</v>
      </c>
      <c r="J87" s="600">
        <v>20</v>
      </c>
      <c r="K87" s="600">
        <v>26</v>
      </c>
      <c r="L87" s="600">
        <v>27</v>
      </c>
    </row>
    <row r="88" spans="1:12" s="601" customFormat="1" x14ac:dyDescent="0.25">
      <c r="A88" s="603" t="s">
        <v>214</v>
      </c>
      <c r="B88" s="599" t="s">
        <v>215</v>
      </c>
      <c r="C88" s="598" t="s">
        <v>268</v>
      </c>
      <c r="D88" s="956">
        <v>466</v>
      </c>
      <c r="E88" s="956">
        <v>277</v>
      </c>
      <c r="F88" s="956">
        <v>1</v>
      </c>
      <c r="G88" s="956">
        <v>421</v>
      </c>
      <c r="H88" s="956">
        <v>323</v>
      </c>
      <c r="I88" s="600">
        <v>679</v>
      </c>
      <c r="J88" s="600">
        <v>13</v>
      </c>
      <c r="K88" s="600">
        <v>5</v>
      </c>
      <c r="L88" s="600">
        <v>47</v>
      </c>
    </row>
    <row r="89" spans="1:12" s="601" customFormat="1" x14ac:dyDescent="0.25">
      <c r="A89" s="603" t="s">
        <v>216</v>
      </c>
      <c r="B89" s="599" t="s">
        <v>217</v>
      </c>
      <c r="C89" s="598" t="s">
        <v>264</v>
      </c>
      <c r="D89" s="956">
        <v>231</v>
      </c>
      <c r="E89" s="956">
        <v>151</v>
      </c>
      <c r="F89" s="956">
        <v>4</v>
      </c>
      <c r="G89" s="956">
        <v>230</v>
      </c>
      <c r="H89" s="956">
        <v>156</v>
      </c>
      <c r="I89" s="600">
        <v>97</v>
      </c>
      <c r="J89" s="600">
        <v>244</v>
      </c>
      <c r="K89" s="600">
        <v>7</v>
      </c>
      <c r="L89" s="600">
        <v>38</v>
      </c>
    </row>
    <row r="90" spans="1:12" s="601" customFormat="1" x14ac:dyDescent="0.25">
      <c r="A90" s="603" t="s">
        <v>218</v>
      </c>
      <c r="B90" s="599" t="s">
        <v>219</v>
      </c>
      <c r="C90" s="598" t="s">
        <v>267</v>
      </c>
      <c r="D90" s="956">
        <v>1199</v>
      </c>
      <c r="E90" s="956">
        <v>652</v>
      </c>
      <c r="F90" s="956">
        <v>0</v>
      </c>
      <c r="G90" s="956">
        <v>1096</v>
      </c>
      <c r="H90" s="956">
        <v>755</v>
      </c>
      <c r="I90" s="600">
        <v>877</v>
      </c>
      <c r="J90" s="600">
        <v>679</v>
      </c>
      <c r="K90" s="600">
        <v>74</v>
      </c>
      <c r="L90" s="600">
        <v>221</v>
      </c>
    </row>
    <row r="91" spans="1:12" s="601" customFormat="1" x14ac:dyDescent="0.25">
      <c r="A91" s="603" t="s">
        <v>220</v>
      </c>
      <c r="B91" s="599" t="s">
        <v>221</v>
      </c>
      <c r="C91" s="598" t="s">
        <v>267</v>
      </c>
      <c r="D91" s="956">
        <v>964</v>
      </c>
      <c r="E91" s="956">
        <v>537</v>
      </c>
      <c r="F91" s="956">
        <v>3</v>
      </c>
      <c r="G91" s="956">
        <v>896</v>
      </c>
      <c r="H91" s="956">
        <v>608</v>
      </c>
      <c r="I91" s="600">
        <v>516</v>
      </c>
      <c r="J91" s="600">
        <v>538</v>
      </c>
      <c r="K91" s="600">
        <v>111</v>
      </c>
      <c r="L91" s="600">
        <v>339</v>
      </c>
    </row>
    <row r="92" spans="1:12" s="601" customFormat="1" x14ac:dyDescent="0.25">
      <c r="A92" s="603" t="s">
        <v>224</v>
      </c>
      <c r="B92" s="599" t="s">
        <v>225</v>
      </c>
      <c r="C92" s="598" t="s">
        <v>264</v>
      </c>
      <c r="D92" s="956">
        <v>87</v>
      </c>
      <c r="E92" s="956">
        <v>55</v>
      </c>
      <c r="F92" s="956">
        <v>0</v>
      </c>
      <c r="G92" s="956">
        <v>88</v>
      </c>
      <c r="H92" s="956">
        <v>54</v>
      </c>
      <c r="I92" s="600">
        <v>28</v>
      </c>
      <c r="J92" s="600">
        <v>108</v>
      </c>
      <c r="K92" s="600">
        <v>6</v>
      </c>
      <c r="L92" s="600">
        <v>0</v>
      </c>
    </row>
    <row r="93" spans="1:12" s="601" customFormat="1" x14ac:dyDescent="0.25">
      <c r="A93" s="603" t="s">
        <v>226</v>
      </c>
      <c r="B93" s="599" t="s">
        <v>227</v>
      </c>
      <c r="C93" s="598" t="s">
        <v>264</v>
      </c>
      <c r="D93" s="956">
        <v>223</v>
      </c>
      <c r="E93" s="956">
        <v>119</v>
      </c>
      <c r="F93" s="956">
        <v>0</v>
      </c>
      <c r="G93" s="956">
        <v>224</v>
      </c>
      <c r="H93" s="956">
        <v>118</v>
      </c>
      <c r="I93" s="600">
        <v>53</v>
      </c>
      <c r="J93" s="600">
        <v>257</v>
      </c>
      <c r="K93" s="600">
        <v>8</v>
      </c>
      <c r="L93" s="600">
        <v>24</v>
      </c>
    </row>
    <row r="94" spans="1:12" s="601" customFormat="1" x14ac:dyDescent="0.25">
      <c r="A94" s="603" t="s">
        <v>228</v>
      </c>
      <c r="B94" s="599" t="s">
        <v>229</v>
      </c>
      <c r="C94" s="598" t="s">
        <v>268</v>
      </c>
      <c r="D94" s="956">
        <v>554</v>
      </c>
      <c r="E94" s="956">
        <v>320</v>
      </c>
      <c r="F94" s="956">
        <v>0</v>
      </c>
      <c r="G94" s="956">
        <v>514</v>
      </c>
      <c r="H94" s="956">
        <v>360</v>
      </c>
      <c r="I94" s="600">
        <v>742</v>
      </c>
      <c r="J94" s="600">
        <v>54</v>
      </c>
      <c r="K94" s="600">
        <v>8</v>
      </c>
      <c r="L94" s="600">
        <v>70</v>
      </c>
    </row>
    <row r="95" spans="1:12" s="601" customFormat="1" x14ac:dyDescent="0.25">
      <c r="A95" s="603" t="s">
        <v>232</v>
      </c>
      <c r="B95" s="599" t="s">
        <v>233</v>
      </c>
      <c r="C95" s="598" t="s">
        <v>267</v>
      </c>
      <c r="D95" s="956">
        <v>334</v>
      </c>
      <c r="E95" s="956">
        <v>174</v>
      </c>
      <c r="F95" s="956">
        <v>0</v>
      </c>
      <c r="G95" s="956">
        <v>299</v>
      </c>
      <c r="H95" s="956">
        <v>209</v>
      </c>
      <c r="I95" s="600">
        <v>352</v>
      </c>
      <c r="J95" s="600">
        <v>91</v>
      </c>
      <c r="K95" s="600">
        <v>36</v>
      </c>
      <c r="L95" s="600">
        <v>29</v>
      </c>
    </row>
    <row r="96" spans="1:12" s="601" customFormat="1" x14ac:dyDescent="0.25">
      <c r="A96" s="603" t="s">
        <v>234</v>
      </c>
      <c r="B96" s="599" t="s">
        <v>235</v>
      </c>
      <c r="C96" s="598" t="s">
        <v>268</v>
      </c>
      <c r="D96" s="956">
        <v>557</v>
      </c>
      <c r="E96" s="956">
        <v>308</v>
      </c>
      <c r="F96" s="956">
        <v>1</v>
      </c>
      <c r="G96" s="956">
        <v>488</v>
      </c>
      <c r="H96" s="956">
        <v>378</v>
      </c>
      <c r="I96" s="600">
        <v>776</v>
      </c>
      <c r="J96" s="600">
        <v>37</v>
      </c>
      <c r="K96" s="600">
        <v>36</v>
      </c>
      <c r="L96" s="600">
        <v>17</v>
      </c>
    </row>
    <row r="97" spans="1:12" s="601" customFormat="1" x14ac:dyDescent="0.25">
      <c r="A97" s="603" t="s">
        <v>236</v>
      </c>
      <c r="B97" s="599" t="s">
        <v>237</v>
      </c>
      <c r="C97" s="598" t="s">
        <v>266</v>
      </c>
      <c r="D97" s="956">
        <v>276</v>
      </c>
      <c r="E97" s="956">
        <v>143</v>
      </c>
      <c r="F97" s="956">
        <v>0</v>
      </c>
      <c r="G97" s="956">
        <v>251</v>
      </c>
      <c r="H97" s="956">
        <v>168</v>
      </c>
      <c r="I97" s="600">
        <v>130</v>
      </c>
      <c r="J97" s="600">
        <v>246</v>
      </c>
      <c r="K97" s="600">
        <v>19</v>
      </c>
      <c r="L97" s="600">
        <v>24</v>
      </c>
    </row>
    <row r="98" spans="1:12" s="601" customFormat="1" x14ac:dyDescent="0.25">
      <c r="A98" s="603" t="s">
        <v>242</v>
      </c>
      <c r="B98" s="599" t="s">
        <v>243</v>
      </c>
      <c r="C98" s="598" t="s">
        <v>268</v>
      </c>
      <c r="D98" s="956">
        <v>852</v>
      </c>
      <c r="E98" s="956">
        <v>525</v>
      </c>
      <c r="F98" s="956">
        <v>1</v>
      </c>
      <c r="G98" s="956">
        <v>805</v>
      </c>
      <c r="H98" s="956">
        <v>573</v>
      </c>
      <c r="I98" s="600">
        <v>1226</v>
      </c>
      <c r="J98" s="600">
        <v>33</v>
      </c>
      <c r="K98" s="600">
        <v>19</v>
      </c>
      <c r="L98" s="600">
        <v>100</v>
      </c>
    </row>
    <row r="99" spans="1:12" s="601" customFormat="1" x14ac:dyDescent="0.25">
      <c r="A99" s="603" t="s">
        <v>244</v>
      </c>
      <c r="B99" s="599" t="s">
        <v>245</v>
      </c>
      <c r="C99" s="598" t="s">
        <v>268</v>
      </c>
      <c r="D99" s="956">
        <v>250</v>
      </c>
      <c r="E99" s="956">
        <v>131</v>
      </c>
      <c r="F99" s="956">
        <v>0</v>
      </c>
      <c r="G99" s="956">
        <v>221</v>
      </c>
      <c r="H99" s="956">
        <v>160</v>
      </c>
      <c r="I99" s="600">
        <v>317</v>
      </c>
      <c r="J99" s="600">
        <v>31</v>
      </c>
      <c r="K99" s="600">
        <v>10</v>
      </c>
      <c r="L99" s="600">
        <v>23</v>
      </c>
    </row>
    <row r="100" spans="1:12" s="601" customFormat="1" x14ac:dyDescent="0.25">
      <c r="A100" s="603" t="s">
        <v>246</v>
      </c>
      <c r="B100" s="599" t="s">
        <v>247</v>
      </c>
      <c r="C100" s="598" t="s">
        <v>264</v>
      </c>
      <c r="D100" s="956">
        <v>378</v>
      </c>
      <c r="E100" s="956">
        <v>211</v>
      </c>
      <c r="F100" s="956">
        <v>0</v>
      </c>
      <c r="G100" s="956">
        <v>368</v>
      </c>
      <c r="H100" s="956">
        <v>221</v>
      </c>
      <c r="I100" s="600">
        <v>265</v>
      </c>
      <c r="J100" s="600">
        <v>247</v>
      </c>
      <c r="K100" s="600">
        <v>18</v>
      </c>
      <c r="L100" s="600">
        <v>59</v>
      </c>
    </row>
    <row r="101" spans="1:12" s="601" customFormat="1" x14ac:dyDescent="0.25">
      <c r="A101" s="603" t="s">
        <v>14</v>
      </c>
      <c r="B101" s="599" t="s">
        <v>15</v>
      </c>
      <c r="C101" s="598" t="s">
        <v>267</v>
      </c>
      <c r="D101" s="956">
        <v>1365</v>
      </c>
      <c r="E101" s="956">
        <v>904</v>
      </c>
      <c r="F101" s="956">
        <v>4</v>
      </c>
      <c r="G101" s="956">
        <v>1353</v>
      </c>
      <c r="H101" s="956">
        <v>920</v>
      </c>
      <c r="I101" s="600">
        <v>676</v>
      </c>
      <c r="J101" s="600">
        <v>794</v>
      </c>
      <c r="K101" s="600">
        <v>70</v>
      </c>
      <c r="L101" s="600">
        <v>733</v>
      </c>
    </row>
    <row r="102" spans="1:12" s="601" customFormat="1" x14ac:dyDescent="0.25">
      <c r="A102" s="603" t="s">
        <v>34</v>
      </c>
      <c r="B102" s="599" t="s">
        <v>35</v>
      </c>
      <c r="C102" s="598" t="s">
        <v>268</v>
      </c>
      <c r="D102" s="956">
        <v>550</v>
      </c>
      <c r="E102" s="956">
        <v>347</v>
      </c>
      <c r="F102" s="956">
        <v>0</v>
      </c>
      <c r="G102" s="956">
        <v>521</v>
      </c>
      <c r="H102" s="956">
        <v>376</v>
      </c>
      <c r="I102" s="600">
        <v>632</v>
      </c>
      <c r="J102" s="600">
        <v>95</v>
      </c>
      <c r="K102" s="600">
        <v>49</v>
      </c>
      <c r="L102" s="600">
        <v>121</v>
      </c>
    </row>
    <row r="103" spans="1:12" s="601" customFormat="1" x14ac:dyDescent="0.25">
      <c r="A103" s="603" t="s">
        <v>52</v>
      </c>
      <c r="B103" s="599" t="s">
        <v>53</v>
      </c>
      <c r="C103" s="598" t="s">
        <v>265</v>
      </c>
      <c r="D103" s="956">
        <v>737</v>
      </c>
      <c r="E103" s="956">
        <v>429</v>
      </c>
      <c r="F103" s="956">
        <v>2</v>
      </c>
      <c r="G103" s="956">
        <v>693</v>
      </c>
      <c r="H103" s="956">
        <v>475</v>
      </c>
      <c r="I103" s="600">
        <v>181</v>
      </c>
      <c r="J103" s="600">
        <v>711</v>
      </c>
      <c r="K103" s="600">
        <v>91</v>
      </c>
      <c r="L103" s="600">
        <v>185</v>
      </c>
    </row>
    <row r="104" spans="1:12" s="601" customFormat="1" x14ac:dyDescent="0.25">
      <c r="A104" s="603" t="s">
        <v>54</v>
      </c>
      <c r="B104" s="599" t="s">
        <v>55</v>
      </c>
      <c r="C104" s="598" t="s">
        <v>264</v>
      </c>
      <c r="D104" s="956">
        <v>2411</v>
      </c>
      <c r="E104" s="956">
        <v>1226</v>
      </c>
      <c r="F104" s="956">
        <v>1</v>
      </c>
      <c r="G104" s="956">
        <v>2294</v>
      </c>
      <c r="H104" s="956">
        <v>1344</v>
      </c>
      <c r="I104" s="600">
        <v>710</v>
      </c>
      <c r="J104" s="600">
        <v>2381</v>
      </c>
      <c r="K104" s="600">
        <v>113</v>
      </c>
      <c r="L104" s="600">
        <v>434</v>
      </c>
    </row>
    <row r="105" spans="1:12" s="601" customFormat="1" x14ac:dyDescent="0.25">
      <c r="A105" s="603" t="s">
        <v>66</v>
      </c>
      <c r="B105" s="599" t="s">
        <v>67</v>
      </c>
      <c r="C105" s="598" t="s">
        <v>265</v>
      </c>
      <c r="D105" s="956">
        <v>1158</v>
      </c>
      <c r="E105" s="956">
        <v>640</v>
      </c>
      <c r="F105" s="956">
        <v>3</v>
      </c>
      <c r="G105" s="956">
        <v>1126</v>
      </c>
      <c r="H105" s="956">
        <v>675</v>
      </c>
      <c r="I105" s="600">
        <v>333</v>
      </c>
      <c r="J105" s="600">
        <v>1290</v>
      </c>
      <c r="K105" s="600">
        <v>38</v>
      </c>
      <c r="L105" s="600">
        <v>140</v>
      </c>
    </row>
    <row r="106" spans="1:12" s="601" customFormat="1" x14ac:dyDescent="0.25">
      <c r="A106" s="603" t="s">
        <v>82</v>
      </c>
      <c r="B106" s="599" t="s">
        <v>83</v>
      </c>
      <c r="C106" s="598" t="s">
        <v>264</v>
      </c>
      <c r="D106" s="956">
        <v>232</v>
      </c>
      <c r="E106" s="956">
        <v>110</v>
      </c>
      <c r="F106" s="956">
        <v>0</v>
      </c>
      <c r="G106" s="956">
        <v>204</v>
      </c>
      <c r="H106" s="956">
        <v>138</v>
      </c>
      <c r="I106" s="600">
        <v>14</v>
      </c>
      <c r="J106" s="600">
        <v>278</v>
      </c>
      <c r="K106" s="600">
        <v>10</v>
      </c>
      <c r="L106" s="600">
        <v>40</v>
      </c>
    </row>
    <row r="107" spans="1:12" s="601" customFormat="1" x14ac:dyDescent="0.25">
      <c r="A107" s="603" t="s">
        <v>88</v>
      </c>
      <c r="B107" s="599" t="s">
        <v>89</v>
      </c>
      <c r="C107" s="598" t="s">
        <v>267</v>
      </c>
      <c r="D107" s="956">
        <v>513</v>
      </c>
      <c r="E107" s="956">
        <v>315</v>
      </c>
      <c r="F107" s="956">
        <v>0</v>
      </c>
      <c r="G107" s="956">
        <v>523</v>
      </c>
      <c r="H107" s="956">
        <v>305</v>
      </c>
      <c r="I107" s="600">
        <v>262</v>
      </c>
      <c r="J107" s="600">
        <v>362</v>
      </c>
      <c r="K107" s="600">
        <v>37</v>
      </c>
      <c r="L107" s="600">
        <v>167</v>
      </c>
    </row>
    <row r="108" spans="1:12" s="601" customFormat="1" x14ac:dyDescent="0.25">
      <c r="A108" s="603" t="s">
        <v>90</v>
      </c>
      <c r="B108" s="599" t="s">
        <v>91</v>
      </c>
      <c r="C108" s="598" t="s">
        <v>268</v>
      </c>
      <c r="D108" s="956">
        <v>138</v>
      </c>
      <c r="E108" s="956">
        <v>72</v>
      </c>
      <c r="F108" s="956">
        <v>0</v>
      </c>
      <c r="G108" s="956">
        <v>136</v>
      </c>
      <c r="H108" s="956">
        <v>74</v>
      </c>
      <c r="I108" s="600">
        <v>147</v>
      </c>
      <c r="J108" s="600">
        <v>45</v>
      </c>
      <c r="K108" s="600">
        <v>7</v>
      </c>
      <c r="L108" s="600">
        <v>11</v>
      </c>
    </row>
    <row r="109" spans="1:12" s="601" customFormat="1" x14ac:dyDescent="0.25">
      <c r="A109" s="603" t="s">
        <v>106</v>
      </c>
      <c r="B109" s="599" t="s">
        <v>107</v>
      </c>
      <c r="C109" s="598" t="s">
        <v>264</v>
      </c>
      <c r="D109" s="956">
        <v>3039</v>
      </c>
      <c r="E109" s="956">
        <v>1544</v>
      </c>
      <c r="F109" s="956">
        <v>4</v>
      </c>
      <c r="G109" s="956">
        <v>2882</v>
      </c>
      <c r="H109" s="956">
        <v>1705</v>
      </c>
      <c r="I109" s="600">
        <v>620</v>
      </c>
      <c r="J109" s="600">
        <v>3263</v>
      </c>
      <c r="K109" s="600">
        <v>116</v>
      </c>
      <c r="L109" s="600">
        <v>588</v>
      </c>
    </row>
    <row r="110" spans="1:12" s="601" customFormat="1" x14ac:dyDescent="0.25">
      <c r="A110" s="603" t="s">
        <v>116</v>
      </c>
      <c r="B110" s="599" t="s">
        <v>117</v>
      </c>
      <c r="C110" s="598" t="s">
        <v>266</v>
      </c>
      <c r="D110" s="956">
        <v>833</v>
      </c>
      <c r="E110" s="956">
        <v>473</v>
      </c>
      <c r="F110" s="956">
        <v>1</v>
      </c>
      <c r="G110" s="956">
        <v>824</v>
      </c>
      <c r="H110" s="956">
        <v>483</v>
      </c>
      <c r="I110" s="600">
        <v>359</v>
      </c>
      <c r="J110" s="600">
        <v>753</v>
      </c>
      <c r="K110" s="600">
        <v>16</v>
      </c>
      <c r="L110" s="600">
        <v>179</v>
      </c>
    </row>
    <row r="111" spans="1:12" s="601" customFormat="1" x14ac:dyDescent="0.25">
      <c r="A111" s="603" t="s">
        <v>138</v>
      </c>
      <c r="B111" s="599" t="s">
        <v>139</v>
      </c>
      <c r="C111" s="598" t="s">
        <v>265</v>
      </c>
      <c r="D111" s="956">
        <v>1332</v>
      </c>
      <c r="E111" s="956">
        <v>705</v>
      </c>
      <c r="F111" s="956">
        <v>1</v>
      </c>
      <c r="G111" s="956">
        <v>1273</v>
      </c>
      <c r="H111" s="956">
        <v>765</v>
      </c>
      <c r="I111" s="600">
        <v>368</v>
      </c>
      <c r="J111" s="600">
        <v>1394</v>
      </c>
      <c r="K111" s="600">
        <v>44</v>
      </c>
      <c r="L111" s="600">
        <v>232</v>
      </c>
    </row>
    <row r="112" spans="1:12" s="601" customFormat="1" x14ac:dyDescent="0.25">
      <c r="A112" s="603" t="s">
        <v>142</v>
      </c>
      <c r="B112" s="599" t="s">
        <v>143</v>
      </c>
      <c r="C112" s="598" t="s">
        <v>267</v>
      </c>
      <c r="D112" s="956">
        <v>370</v>
      </c>
      <c r="E112" s="956">
        <v>213</v>
      </c>
      <c r="F112" s="956">
        <v>1</v>
      </c>
      <c r="G112" s="956">
        <v>358</v>
      </c>
      <c r="H112" s="956">
        <v>226</v>
      </c>
      <c r="I112" s="600">
        <v>251</v>
      </c>
      <c r="J112" s="600">
        <v>169</v>
      </c>
      <c r="K112" s="600">
        <v>26</v>
      </c>
      <c r="L112" s="600">
        <v>138</v>
      </c>
    </row>
    <row r="113" spans="1:12" s="601" customFormat="1" x14ac:dyDescent="0.25">
      <c r="A113" s="603" t="s">
        <v>144</v>
      </c>
      <c r="B113" s="599" t="s">
        <v>145</v>
      </c>
      <c r="C113" s="598" t="s">
        <v>267</v>
      </c>
      <c r="D113" s="956">
        <v>71</v>
      </c>
      <c r="E113" s="956">
        <v>49</v>
      </c>
      <c r="F113" s="956">
        <v>0</v>
      </c>
      <c r="G113" s="956">
        <v>70</v>
      </c>
      <c r="H113" s="956">
        <v>50</v>
      </c>
      <c r="I113" s="600">
        <v>62</v>
      </c>
      <c r="J113" s="600">
        <v>23</v>
      </c>
      <c r="K113" s="600">
        <v>17</v>
      </c>
      <c r="L113" s="600">
        <v>18</v>
      </c>
    </row>
    <row r="114" spans="1:12" s="601" customFormat="1" x14ac:dyDescent="0.25">
      <c r="A114" s="603" t="s">
        <v>158</v>
      </c>
      <c r="B114" s="599" t="s">
        <v>159</v>
      </c>
      <c r="C114" s="598" t="s">
        <v>264</v>
      </c>
      <c r="D114" s="956">
        <v>4623</v>
      </c>
      <c r="E114" s="956">
        <v>2470</v>
      </c>
      <c r="F114" s="956">
        <v>7</v>
      </c>
      <c r="G114" s="956">
        <v>4448</v>
      </c>
      <c r="H114" s="956">
        <v>2652</v>
      </c>
      <c r="I114" s="600">
        <v>937</v>
      </c>
      <c r="J114" s="600">
        <v>4971</v>
      </c>
      <c r="K114" s="600">
        <v>337</v>
      </c>
      <c r="L114" s="600">
        <v>855</v>
      </c>
    </row>
    <row r="115" spans="1:12" s="601" customFormat="1" x14ac:dyDescent="0.25">
      <c r="A115" s="603" t="s">
        <v>160</v>
      </c>
      <c r="B115" s="599" t="s">
        <v>161</v>
      </c>
      <c r="C115" s="598" t="s">
        <v>264</v>
      </c>
      <c r="D115" s="956">
        <v>4792</v>
      </c>
      <c r="E115" s="956">
        <v>2448</v>
      </c>
      <c r="F115" s="956">
        <v>9</v>
      </c>
      <c r="G115" s="956">
        <v>4600</v>
      </c>
      <c r="H115" s="956">
        <v>2649</v>
      </c>
      <c r="I115" s="600">
        <v>670</v>
      </c>
      <c r="J115" s="600">
        <v>5623</v>
      </c>
      <c r="K115" s="600">
        <v>194</v>
      </c>
      <c r="L115" s="600">
        <v>762</v>
      </c>
    </row>
    <row r="116" spans="1:12" s="601" customFormat="1" x14ac:dyDescent="0.25">
      <c r="A116" s="603" t="s">
        <v>166</v>
      </c>
      <c r="B116" s="599" t="s">
        <v>167</v>
      </c>
      <c r="C116" s="598" t="s">
        <v>268</v>
      </c>
      <c r="D116" s="956">
        <v>132</v>
      </c>
      <c r="E116" s="956">
        <v>82</v>
      </c>
      <c r="F116" s="956">
        <v>0</v>
      </c>
      <c r="G116" s="956">
        <v>131</v>
      </c>
      <c r="H116" s="956">
        <v>83</v>
      </c>
      <c r="I116" s="600">
        <v>175</v>
      </c>
      <c r="J116" s="600">
        <v>18</v>
      </c>
      <c r="K116" s="600">
        <v>10</v>
      </c>
      <c r="L116" s="600">
        <v>11</v>
      </c>
    </row>
    <row r="117" spans="1:12" s="601" customFormat="1" x14ac:dyDescent="0.25">
      <c r="A117" s="603" t="s">
        <v>176</v>
      </c>
      <c r="B117" s="599" t="s">
        <v>177</v>
      </c>
      <c r="C117" s="598" t="s">
        <v>266</v>
      </c>
      <c r="D117" s="956">
        <v>1345</v>
      </c>
      <c r="E117" s="956">
        <v>772</v>
      </c>
      <c r="F117" s="956">
        <v>1</v>
      </c>
      <c r="G117" s="956">
        <v>1377</v>
      </c>
      <c r="H117" s="956">
        <v>741</v>
      </c>
      <c r="I117" s="600">
        <v>78</v>
      </c>
      <c r="J117" s="600">
        <v>1833</v>
      </c>
      <c r="K117" s="600">
        <v>39</v>
      </c>
      <c r="L117" s="600">
        <v>168</v>
      </c>
    </row>
    <row r="118" spans="1:12" s="601" customFormat="1" x14ac:dyDescent="0.25">
      <c r="A118" s="603" t="s">
        <v>180</v>
      </c>
      <c r="B118" s="599" t="s">
        <v>181</v>
      </c>
      <c r="C118" s="598" t="s">
        <v>264</v>
      </c>
      <c r="D118" s="956">
        <v>2747</v>
      </c>
      <c r="E118" s="956">
        <v>1446</v>
      </c>
      <c r="F118" s="956">
        <v>7</v>
      </c>
      <c r="G118" s="956">
        <v>2617</v>
      </c>
      <c r="H118" s="956">
        <v>1583</v>
      </c>
      <c r="I118" s="600">
        <v>429</v>
      </c>
      <c r="J118" s="600">
        <v>3328</v>
      </c>
      <c r="K118" s="600">
        <v>44</v>
      </c>
      <c r="L118" s="600">
        <v>399</v>
      </c>
    </row>
    <row r="119" spans="1:12" s="601" customFormat="1" x14ac:dyDescent="0.25">
      <c r="A119" s="603" t="s">
        <v>192</v>
      </c>
      <c r="B119" s="599" t="s">
        <v>193</v>
      </c>
      <c r="C119" s="598" t="s">
        <v>268</v>
      </c>
      <c r="D119" s="956">
        <v>167</v>
      </c>
      <c r="E119" s="956">
        <v>101</v>
      </c>
      <c r="F119" s="956">
        <v>0</v>
      </c>
      <c r="G119" s="956">
        <v>150</v>
      </c>
      <c r="H119" s="956">
        <v>118</v>
      </c>
      <c r="I119" s="600">
        <v>184</v>
      </c>
      <c r="J119" s="600">
        <v>50</v>
      </c>
      <c r="K119" s="600">
        <v>7</v>
      </c>
      <c r="L119" s="600">
        <v>27</v>
      </c>
    </row>
    <row r="120" spans="1:12" s="601" customFormat="1" x14ac:dyDescent="0.25">
      <c r="A120" s="603" t="s">
        <v>196</v>
      </c>
      <c r="B120" s="599" t="s">
        <v>197</v>
      </c>
      <c r="C120" s="598" t="s">
        <v>266</v>
      </c>
      <c r="D120" s="956">
        <v>5708</v>
      </c>
      <c r="E120" s="956">
        <v>3123</v>
      </c>
      <c r="F120" s="956">
        <v>10</v>
      </c>
      <c r="G120" s="956">
        <v>5744</v>
      </c>
      <c r="H120" s="956">
        <v>3097</v>
      </c>
      <c r="I120" s="600">
        <v>428</v>
      </c>
      <c r="J120" s="600">
        <v>7241</v>
      </c>
      <c r="K120" s="600">
        <v>239</v>
      </c>
      <c r="L120" s="600">
        <v>933</v>
      </c>
    </row>
    <row r="121" spans="1:12" s="601" customFormat="1" x14ac:dyDescent="0.25">
      <c r="A121" s="603" t="s">
        <v>200</v>
      </c>
      <c r="B121" s="599" t="s">
        <v>201</v>
      </c>
      <c r="C121" s="598" t="s">
        <v>265</v>
      </c>
      <c r="D121" s="956">
        <v>2900</v>
      </c>
      <c r="E121" s="956">
        <v>1616</v>
      </c>
      <c r="F121" s="956">
        <v>6</v>
      </c>
      <c r="G121" s="956">
        <v>2755</v>
      </c>
      <c r="H121" s="956">
        <v>1767</v>
      </c>
      <c r="I121" s="600">
        <v>1490</v>
      </c>
      <c r="J121" s="600">
        <v>2414</v>
      </c>
      <c r="K121" s="600">
        <v>276</v>
      </c>
      <c r="L121" s="600">
        <v>342</v>
      </c>
    </row>
    <row r="122" spans="1:12" s="601" customFormat="1" x14ac:dyDescent="0.25">
      <c r="A122" s="603" t="s">
        <v>222</v>
      </c>
      <c r="B122" s="599" t="s">
        <v>223</v>
      </c>
      <c r="C122" s="598" t="s">
        <v>264</v>
      </c>
      <c r="D122" s="956">
        <v>1183</v>
      </c>
      <c r="E122" s="956">
        <v>576</v>
      </c>
      <c r="F122" s="956">
        <v>1</v>
      </c>
      <c r="G122" s="956">
        <v>1097</v>
      </c>
      <c r="H122" s="956">
        <v>663</v>
      </c>
      <c r="I122" s="600">
        <v>235</v>
      </c>
      <c r="J122" s="600">
        <v>1303</v>
      </c>
      <c r="K122" s="600">
        <v>37</v>
      </c>
      <c r="L122" s="600">
        <v>185</v>
      </c>
    </row>
    <row r="123" spans="1:12" s="601" customFormat="1" x14ac:dyDescent="0.25">
      <c r="A123" s="603" t="s">
        <v>230</v>
      </c>
      <c r="B123" s="599" t="s">
        <v>231</v>
      </c>
      <c r="C123" s="598" t="s">
        <v>264</v>
      </c>
      <c r="D123" s="956">
        <v>2231</v>
      </c>
      <c r="E123" s="956">
        <v>1129</v>
      </c>
      <c r="F123" s="956">
        <v>3</v>
      </c>
      <c r="G123" s="956">
        <v>2130</v>
      </c>
      <c r="H123" s="956">
        <v>1233</v>
      </c>
      <c r="I123" s="600">
        <v>778</v>
      </c>
      <c r="J123" s="600">
        <v>1913</v>
      </c>
      <c r="K123" s="600">
        <v>193</v>
      </c>
      <c r="L123" s="600">
        <v>479</v>
      </c>
    </row>
    <row r="124" spans="1:12" s="601" customFormat="1" x14ac:dyDescent="0.25">
      <c r="A124" s="603" t="s">
        <v>238</v>
      </c>
      <c r="B124" s="599" t="s">
        <v>239</v>
      </c>
      <c r="C124" s="598" t="s">
        <v>264</v>
      </c>
      <c r="D124" s="956">
        <v>92</v>
      </c>
      <c r="E124" s="956">
        <v>55</v>
      </c>
      <c r="F124" s="956">
        <v>0</v>
      </c>
      <c r="G124" s="956">
        <v>97</v>
      </c>
      <c r="H124" s="956">
        <v>50</v>
      </c>
      <c r="I124" s="600">
        <v>43</v>
      </c>
      <c r="J124" s="600">
        <v>87</v>
      </c>
      <c r="K124" s="600">
        <v>11</v>
      </c>
      <c r="L124" s="600">
        <v>6</v>
      </c>
    </row>
    <row r="125" spans="1:12" s="601" customFormat="1" x14ac:dyDescent="0.25">
      <c r="A125" s="603" t="s">
        <v>240</v>
      </c>
      <c r="B125" s="599" t="s">
        <v>241</v>
      </c>
      <c r="C125" s="598" t="s">
        <v>267</v>
      </c>
      <c r="D125" s="956">
        <v>308</v>
      </c>
      <c r="E125" s="956">
        <v>182</v>
      </c>
      <c r="F125" s="956">
        <v>1</v>
      </c>
      <c r="G125" s="956">
        <v>309</v>
      </c>
      <c r="H125" s="956">
        <v>182</v>
      </c>
      <c r="I125" s="600">
        <v>312</v>
      </c>
      <c r="J125" s="600">
        <v>132</v>
      </c>
      <c r="K125" s="600">
        <v>19</v>
      </c>
      <c r="L125" s="600">
        <v>28</v>
      </c>
    </row>
    <row r="126" spans="1:12" x14ac:dyDescent="0.25">
      <c r="B126" s="505"/>
      <c r="C126" s="505"/>
      <c r="D126" s="505"/>
      <c r="E126" s="505"/>
      <c r="F126" s="505"/>
      <c r="G126" s="505"/>
      <c r="H126" s="505"/>
    </row>
    <row r="128" spans="1:12" ht="15.75" customHeight="1" x14ac:dyDescent="0.25">
      <c r="A128" s="1212" t="s">
        <v>1292</v>
      </c>
      <c r="B128" s="1212"/>
      <c r="C128" s="1212"/>
      <c r="D128" s="1212"/>
      <c r="E128" s="1212"/>
      <c r="F128" s="1212"/>
      <c r="G128" s="1186"/>
      <c r="H128" s="1186"/>
    </row>
    <row r="130" spans="1:8" s="412" customFormat="1" x14ac:dyDescent="0.25">
      <c r="A130" s="412" t="s">
        <v>248</v>
      </c>
    </row>
    <row r="131" spans="1:8" s="412" customFormat="1" x14ac:dyDescent="0.25">
      <c r="A131" s="413" t="s">
        <v>249</v>
      </c>
      <c r="B131" s="414" t="s">
        <v>250</v>
      </c>
      <c r="C131" s="414"/>
      <c r="D131" s="414"/>
      <c r="E131" s="414"/>
      <c r="F131" s="414"/>
      <c r="G131" s="414"/>
      <c r="H131" s="414"/>
    </row>
  </sheetData>
  <autoFilter ref="A4:C4"/>
  <sortState ref="A6:L125">
    <sortCondition ref="A6:A125"/>
  </sortState>
  <mergeCells count="3">
    <mergeCell ref="D3:F3"/>
    <mergeCell ref="G3:H3"/>
    <mergeCell ref="I3:L3"/>
  </mergeCells>
  <hyperlinks>
    <hyperlink ref="B131"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1"/>
  <sheetViews>
    <sheetView workbookViewId="0">
      <pane xSplit="3" ySplit="5" topLeftCell="D112" activePane="bottomRight" state="frozen"/>
      <selection pane="topRight" activeCell="D1" sqref="D1"/>
      <selection pane="bottomLeft" activeCell="A6" sqref="A6"/>
      <selection pane="bottomRight" activeCell="A125" sqref="A6:XFD125"/>
    </sheetView>
  </sheetViews>
  <sheetFormatPr defaultColWidth="14.375" defaultRowHeight="15.75" x14ac:dyDescent="0.25"/>
  <cols>
    <col min="1" max="1" width="14.375" style="500"/>
    <col min="2" max="2" width="32.25" style="500" customWidth="1"/>
    <col min="3" max="3" width="14.5" style="500" customWidth="1"/>
    <col min="4" max="4" width="11.875" style="500" customWidth="1"/>
    <col min="5" max="5" width="11.125" style="500" customWidth="1"/>
    <col min="6" max="6" width="14.5" style="500" customWidth="1"/>
    <col min="7" max="8" width="10.125" style="500" customWidth="1"/>
    <col min="9" max="13" width="12.25" style="500" customWidth="1"/>
    <col min="14" max="16384" width="14.375" style="500"/>
  </cols>
  <sheetData>
    <row r="1" spans="1:13" x14ac:dyDescent="0.25">
      <c r="A1" s="257" t="s">
        <v>1293</v>
      </c>
    </row>
    <row r="2" spans="1:13" x14ac:dyDescent="0.25">
      <c r="B2" s="501"/>
      <c r="C2" s="501"/>
      <c r="D2" s="501"/>
      <c r="E2" s="501"/>
      <c r="F2" s="501"/>
      <c r="G2" s="501"/>
      <c r="H2" s="501"/>
    </row>
    <row r="3" spans="1:13" ht="23.25" customHeight="1" x14ac:dyDescent="0.25">
      <c r="A3" s="502"/>
      <c r="B3" s="503"/>
      <c r="C3" s="602"/>
      <c r="D3" s="2279" t="s">
        <v>881</v>
      </c>
      <c r="E3" s="2279"/>
      <c r="F3" s="2279"/>
      <c r="G3" s="2279" t="s">
        <v>876</v>
      </c>
      <c r="H3" s="2279"/>
      <c r="I3" s="2279" t="s">
        <v>778</v>
      </c>
      <c r="J3" s="2279"/>
      <c r="K3" s="2279"/>
      <c r="L3" s="2279"/>
      <c r="M3" s="1185"/>
    </row>
    <row r="4" spans="1:13" ht="35.25" customHeight="1" x14ac:dyDescent="0.25">
      <c r="A4" s="504" t="s">
        <v>4</v>
      </c>
      <c r="B4" s="503" t="s">
        <v>5</v>
      </c>
      <c r="C4" s="602" t="s">
        <v>251</v>
      </c>
      <c r="D4" s="1185" t="s">
        <v>618</v>
      </c>
      <c r="E4" s="1185" t="s">
        <v>720</v>
      </c>
      <c r="F4" s="1185" t="s">
        <v>790</v>
      </c>
      <c r="G4" s="1185" t="s">
        <v>549</v>
      </c>
      <c r="H4" s="1185" t="s">
        <v>548</v>
      </c>
      <c r="I4" s="602" t="s">
        <v>2</v>
      </c>
      <c r="J4" s="602" t="s">
        <v>445</v>
      </c>
      <c r="K4" s="602" t="s">
        <v>841</v>
      </c>
      <c r="L4" s="602" t="s">
        <v>1113</v>
      </c>
      <c r="M4" s="1185" t="s">
        <v>281</v>
      </c>
    </row>
    <row r="5" spans="1:13" x14ac:dyDescent="0.25">
      <c r="A5" s="1206" t="s">
        <v>8</v>
      </c>
      <c r="B5" s="1207" t="s">
        <v>9</v>
      </c>
      <c r="C5" s="1208"/>
      <c r="D5" s="1209">
        <f>SUM(D6:D125)</f>
        <v>741228</v>
      </c>
      <c r="E5" s="1209">
        <f t="shared" ref="E5:F5" si="0">SUM(E6:E125)</f>
        <v>573526</v>
      </c>
      <c r="F5" s="1209">
        <f t="shared" si="0"/>
        <v>120131</v>
      </c>
      <c r="G5" s="1209">
        <f t="shared" ref="G5" si="1">SUM(G6:G125)</f>
        <v>832632</v>
      </c>
      <c r="H5" s="1209">
        <f t="shared" ref="H5:M5" si="2">SUM(H6:H125)</f>
        <v>602249</v>
      </c>
      <c r="I5" s="1210">
        <f t="shared" si="2"/>
        <v>702175</v>
      </c>
      <c r="J5" s="1210">
        <f t="shared" si="2"/>
        <v>512866</v>
      </c>
      <c r="K5" s="1210">
        <f t="shared" si="2"/>
        <v>116021</v>
      </c>
      <c r="L5" s="1210">
        <f t="shared" si="2"/>
        <v>75096</v>
      </c>
      <c r="M5" s="1210">
        <f t="shared" si="2"/>
        <v>1389412</v>
      </c>
    </row>
    <row r="6" spans="1:13" s="601" customFormat="1" x14ac:dyDescent="0.25">
      <c r="A6" s="603" t="s">
        <v>10</v>
      </c>
      <c r="B6" s="599" t="s">
        <v>11</v>
      </c>
      <c r="C6" s="598" t="s">
        <v>264</v>
      </c>
      <c r="D6" s="956">
        <v>5042</v>
      </c>
      <c r="E6" s="956">
        <v>3655</v>
      </c>
      <c r="F6" s="956">
        <v>1015</v>
      </c>
      <c r="G6" s="956">
        <v>5604</v>
      </c>
      <c r="H6" s="956">
        <v>4108</v>
      </c>
      <c r="I6" s="600">
        <v>4626</v>
      </c>
      <c r="J6" s="600">
        <v>4454</v>
      </c>
      <c r="K6" s="600">
        <v>376</v>
      </c>
      <c r="L6" s="600">
        <v>99</v>
      </c>
      <c r="M6" s="600">
        <v>9118</v>
      </c>
    </row>
    <row r="7" spans="1:13" s="601" customFormat="1" x14ac:dyDescent="0.25">
      <c r="A7" s="603" t="s">
        <v>12</v>
      </c>
      <c r="B7" s="599" t="s">
        <v>13</v>
      </c>
      <c r="C7" s="598" t="s">
        <v>265</v>
      </c>
      <c r="D7" s="956">
        <v>6171</v>
      </c>
      <c r="E7" s="956">
        <v>4181</v>
      </c>
      <c r="F7" s="956">
        <v>925</v>
      </c>
      <c r="G7" s="956">
        <v>6394</v>
      </c>
      <c r="H7" s="956">
        <v>4883</v>
      </c>
      <c r="I7" s="600">
        <v>6316</v>
      </c>
      <c r="J7" s="600">
        <v>2695</v>
      </c>
      <c r="K7" s="600">
        <v>1069</v>
      </c>
      <c r="L7" s="600">
        <v>888</v>
      </c>
      <c r="M7" s="600">
        <v>11019</v>
      </c>
    </row>
    <row r="8" spans="1:13" s="601" customFormat="1" x14ac:dyDescent="0.25">
      <c r="A8" s="603" t="s">
        <v>16</v>
      </c>
      <c r="B8" s="599" t="s">
        <v>297</v>
      </c>
      <c r="C8" s="598" t="s">
        <v>265</v>
      </c>
      <c r="D8" s="956">
        <v>2456</v>
      </c>
      <c r="E8" s="956">
        <v>2540</v>
      </c>
      <c r="F8" s="956">
        <v>637</v>
      </c>
      <c r="G8" s="956">
        <v>3291</v>
      </c>
      <c r="H8" s="956">
        <v>2341</v>
      </c>
      <c r="I8" s="600">
        <v>4514</v>
      </c>
      <c r="J8" s="600">
        <v>532</v>
      </c>
      <c r="K8" s="600">
        <v>280</v>
      </c>
      <c r="L8" s="600">
        <v>187</v>
      </c>
      <c r="M8" s="600">
        <v>5544</v>
      </c>
    </row>
    <row r="9" spans="1:13" s="601" customFormat="1" x14ac:dyDescent="0.25">
      <c r="A9" s="603" t="s">
        <v>18</v>
      </c>
      <c r="B9" s="599" t="s">
        <v>19</v>
      </c>
      <c r="C9" s="598" t="s">
        <v>266</v>
      </c>
      <c r="D9" s="956">
        <v>1253</v>
      </c>
      <c r="E9" s="956">
        <v>1168</v>
      </c>
      <c r="F9" s="956">
        <v>323</v>
      </c>
      <c r="G9" s="956">
        <v>1564</v>
      </c>
      <c r="H9" s="956">
        <v>1180</v>
      </c>
      <c r="I9" s="600">
        <v>1624</v>
      </c>
      <c r="J9" s="600">
        <v>953</v>
      </c>
      <c r="K9" s="600">
        <v>110</v>
      </c>
      <c r="L9" s="600">
        <v>19</v>
      </c>
      <c r="M9" s="600">
        <v>2712</v>
      </c>
    </row>
    <row r="10" spans="1:13" s="601" customFormat="1" x14ac:dyDescent="0.25">
      <c r="A10" s="603" t="s">
        <v>20</v>
      </c>
      <c r="B10" s="599" t="s">
        <v>21</v>
      </c>
      <c r="C10" s="598" t="s">
        <v>265</v>
      </c>
      <c r="D10" s="956">
        <v>3112</v>
      </c>
      <c r="E10" s="956">
        <v>2648</v>
      </c>
      <c r="F10" s="956">
        <v>660</v>
      </c>
      <c r="G10" s="956">
        <v>3649</v>
      </c>
      <c r="H10" s="956">
        <v>2771</v>
      </c>
      <c r="I10" s="600">
        <v>4157</v>
      </c>
      <c r="J10" s="600">
        <v>1632</v>
      </c>
      <c r="K10" s="600">
        <v>318</v>
      </c>
      <c r="L10" s="600">
        <v>235</v>
      </c>
      <c r="M10" s="600">
        <v>6134</v>
      </c>
    </row>
    <row r="11" spans="1:13" s="601" customFormat="1" x14ac:dyDescent="0.25">
      <c r="A11" s="603" t="s">
        <v>22</v>
      </c>
      <c r="B11" s="599" t="s">
        <v>23</v>
      </c>
      <c r="C11" s="598" t="s">
        <v>265</v>
      </c>
      <c r="D11" s="956">
        <v>1762</v>
      </c>
      <c r="E11" s="956">
        <v>1666</v>
      </c>
      <c r="F11" s="956">
        <v>409</v>
      </c>
      <c r="G11" s="956">
        <v>2266</v>
      </c>
      <c r="H11" s="956">
        <v>1571</v>
      </c>
      <c r="I11" s="600">
        <v>2278</v>
      </c>
      <c r="J11" s="600">
        <v>1299</v>
      </c>
      <c r="K11" s="600">
        <v>125</v>
      </c>
      <c r="L11" s="600">
        <v>60</v>
      </c>
      <c r="M11" s="600">
        <v>3731</v>
      </c>
    </row>
    <row r="12" spans="1:13" s="601" customFormat="1" x14ac:dyDescent="0.25">
      <c r="A12" s="603" t="s">
        <v>24</v>
      </c>
      <c r="B12" s="599" t="s">
        <v>25</v>
      </c>
      <c r="C12" s="598" t="s">
        <v>267</v>
      </c>
      <c r="D12" s="956">
        <v>10020</v>
      </c>
      <c r="E12" s="956">
        <v>4831</v>
      </c>
      <c r="F12" s="956">
        <v>2265</v>
      </c>
      <c r="G12" s="956">
        <v>9432</v>
      </c>
      <c r="H12" s="956">
        <v>7684</v>
      </c>
      <c r="I12" s="600">
        <v>8445</v>
      </c>
      <c r="J12" s="600">
        <v>4180</v>
      </c>
      <c r="K12" s="600">
        <v>2953</v>
      </c>
      <c r="L12" s="600">
        <v>1098</v>
      </c>
      <c r="M12" s="600">
        <v>16707</v>
      </c>
    </row>
    <row r="13" spans="1:13" s="601" customFormat="1" x14ac:dyDescent="0.25">
      <c r="A13" s="603" t="s">
        <v>26</v>
      </c>
      <c r="B13" s="599" t="s">
        <v>686</v>
      </c>
      <c r="C13" s="598" t="s">
        <v>265</v>
      </c>
      <c r="D13" s="956">
        <v>11703</v>
      </c>
      <c r="E13" s="956">
        <v>9844</v>
      </c>
      <c r="F13" s="956">
        <v>1982</v>
      </c>
      <c r="G13" s="956">
        <v>13680</v>
      </c>
      <c r="H13" s="956">
        <v>9849</v>
      </c>
      <c r="I13" s="600">
        <v>18505</v>
      </c>
      <c r="J13" s="600">
        <v>3043</v>
      </c>
      <c r="K13" s="600">
        <v>903</v>
      </c>
      <c r="L13" s="600">
        <v>762</v>
      </c>
      <c r="M13" s="600">
        <v>23088</v>
      </c>
    </row>
    <row r="14" spans="1:13" s="601" customFormat="1" x14ac:dyDescent="0.25">
      <c r="A14" s="603" t="s">
        <v>27</v>
      </c>
      <c r="B14" s="599" t="s">
        <v>28</v>
      </c>
      <c r="C14" s="598" t="s">
        <v>265</v>
      </c>
      <c r="D14" s="956">
        <v>368</v>
      </c>
      <c r="E14" s="956">
        <v>353</v>
      </c>
      <c r="F14" s="956">
        <v>117</v>
      </c>
      <c r="G14" s="956">
        <v>482</v>
      </c>
      <c r="H14" s="956">
        <v>356</v>
      </c>
      <c r="I14" s="600">
        <v>771</v>
      </c>
      <c r="J14" s="600">
        <v>37</v>
      </c>
      <c r="K14" s="600">
        <v>19</v>
      </c>
      <c r="L14" s="600">
        <v>10</v>
      </c>
      <c r="M14" s="600">
        <v>847</v>
      </c>
    </row>
    <row r="15" spans="1:13" s="601" customFormat="1" x14ac:dyDescent="0.25">
      <c r="A15" s="603" t="s">
        <v>29</v>
      </c>
      <c r="B15" s="599" t="s">
        <v>924</v>
      </c>
      <c r="C15" s="598" t="s">
        <v>265</v>
      </c>
      <c r="D15" s="956">
        <v>5477</v>
      </c>
      <c r="E15" s="956">
        <v>4809</v>
      </c>
      <c r="F15" s="956">
        <v>976</v>
      </c>
      <c r="G15" s="956">
        <v>6415</v>
      </c>
      <c r="H15" s="956">
        <v>4847</v>
      </c>
      <c r="I15" s="600">
        <v>8763</v>
      </c>
      <c r="J15" s="600">
        <v>1497</v>
      </c>
      <c r="K15" s="600">
        <v>396</v>
      </c>
      <c r="L15" s="600">
        <v>475</v>
      </c>
      <c r="M15" s="600">
        <v>11159</v>
      </c>
    </row>
    <row r="16" spans="1:13" s="601" customFormat="1" x14ac:dyDescent="0.25">
      <c r="A16" s="603" t="s">
        <v>30</v>
      </c>
      <c r="B16" s="599" t="s">
        <v>31</v>
      </c>
      <c r="C16" s="598" t="s">
        <v>268</v>
      </c>
      <c r="D16" s="956">
        <v>504</v>
      </c>
      <c r="E16" s="956">
        <v>537</v>
      </c>
      <c r="F16" s="956">
        <v>137</v>
      </c>
      <c r="G16" s="956">
        <v>688</v>
      </c>
      <c r="H16" s="956">
        <v>490</v>
      </c>
      <c r="I16" s="600">
        <v>1076</v>
      </c>
      <c r="J16" s="600">
        <v>37</v>
      </c>
      <c r="K16" s="600">
        <v>16</v>
      </c>
      <c r="L16" s="600">
        <v>47</v>
      </c>
      <c r="M16" s="600">
        <v>1135</v>
      </c>
    </row>
    <row r="17" spans="1:13" s="601" customFormat="1" x14ac:dyDescent="0.25">
      <c r="A17" s="603" t="s">
        <v>32</v>
      </c>
      <c r="B17" s="599" t="s">
        <v>33</v>
      </c>
      <c r="C17" s="598" t="s">
        <v>265</v>
      </c>
      <c r="D17" s="956">
        <v>1835</v>
      </c>
      <c r="E17" s="956">
        <v>1582</v>
      </c>
      <c r="F17" s="956">
        <v>371</v>
      </c>
      <c r="G17" s="956">
        <v>2162</v>
      </c>
      <c r="H17" s="956">
        <v>1626</v>
      </c>
      <c r="I17" s="600">
        <v>3306</v>
      </c>
      <c r="J17" s="600">
        <v>181</v>
      </c>
      <c r="K17" s="600">
        <v>211</v>
      </c>
      <c r="L17" s="600">
        <v>66</v>
      </c>
      <c r="M17" s="600">
        <v>3509</v>
      </c>
    </row>
    <row r="18" spans="1:13" s="601" customFormat="1" x14ac:dyDescent="0.25">
      <c r="A18" s="603" t="s">
        <v>36</v>
      </c>
      <c r="B18" s="599" t="s">
        <v>37</v>
      </c>
      <c r="C18" s="598" t="s">
        <v>264</v>
      </c>
      <c r="D18" s="956">
        <v>2072</v>
      </c>
      <c r="E18" s="956">
        <v>2069</v>
      </c>
      <c r="F18" s="956">
        <v>825</v>
      </c>
      <c r="G18" s="956">
        <v>2897</v>
      </c>
      <c r="H18" s="956">
        <v>2069</v>
      </c>
      <c r="I18" s="600">
        <v>1271</v>
      </c>
      <c r="J18" s="600">
        <v>3482</v>
      </c>
      <c r="K18" s="600">
        <v>134</v>
      </c>
      <c r="L18" s="600">
        <v>68</v>
      </c>
      <c r="M18" s="600">
        <v>4883</v>
      </c>
    </row>
    <row r="19" spans="1:13" s="601" customFormat="1" x14ac:dyDescent="0.25">
      <c r="A19" s="603" t="s">
        <v>38</v>
      </c>
      <c r="B19" s="599" t="s">
        <v>39</v>
      </c>
      <c r="C19" s="598" t="s">
        <v>268</v>
      </c>
      <c r="D19" s="956">
        <v>2723</v>
      </c>
      <c r="E19" s="956">
        <v>3720</v>
      </c>
      <c r="F19" s="956">
        <v>711</v>
      </c>
      <c r="G19" s="956">
        <v>3988</v>
      </c>
      <c r="H19" s="956">
        <v>3166</v>
      </c>
      <c r="I19" s="600">
        <v>6889</v>
      </c>
      <c r="J19" s="600">
        <v>31</v>
      </c>
      <c r="K19" s="600">
        <v>42</v>
      </c>
      <c r="L19" s="600">
        <v>109</v>
      </c>
      <c r="M19" s="600">
        <v>6989</v>
      </c>
    </row>
    <row r="20" spans="1:13" s="601" customFormat="1" x14ac:dyDescent="0.25">
      <c r="A20" s="603" t="s">
        <v>40</v>
      </c>
      <c r="B20" s="599" t="s">
        <v>41</v>
      </c>
      <c r="C20" s="598" t="s">
        <v>266</v>
      </c>
      <c r="D20" s="956">
        <v>1922</v>
      </c>
      <c r="E20" s="956">
        <v>1662</v>
      </c>
      <c r="F20" s="956">
        <v>522</v>
      </c>
      <c r="G20" s="956">
        <v>2362</v>
      </c>
      <c r="H20" s="956">
        <v>1744</v>
      </c>
      <c r="I20" s="600">
        <v>2031</v>
      </c>
      <c r="J20" s="600">
        <v>1762</v>
      </c>
      <c r="K20" s="600">
        <v>175</v>
      </c>
      <c r="L20" s="600">
        <v>100</v>
      </c>
      <c r="M20" s="600">
        <v>4087</v>
      </c>
    </row>
    <row r="21" spans="1:13" s="601" customFormat="1" x14ac:dyDescent="0.25">
      <c r="A21" s="603" t="s">
        <v>42</v>
      </c>
      <c r="B21" s="599" t="s">
        <v>43</v>
      </c>
      <c r="C21" s="598" t="s">
        <v>265</v>
      </c>
      <c r="D21" s="956">
        <v>5564</v>
      </c>
      <c r="E21" s="956">
        <v>5342</v>
      </c>
      <c r="F21" s="956">
        <v>1182</v>
      </c>
      <c r="G21" s="956">
        <v>7143</v>
      </c>
      <c r="H21" s="956">
        <v>4945</v>
      </c>
      <c r="I21" s="600">
        <v>8249</v>
      </c>
      <c r="J21" s="600">
        <v>2762</v>
      </c>
      <c r="K21" s="600">
        <v>418</v>
      </c>
      <c r="L21" s="600">
        <v>485</v>
      </c>
      <c r="M21" s="600">
        <v>11752</v>
      </c>
    </row>
    <row r="22" spans="1:13" s="601" customFormat="1" x14ac:dyDescent="0.25">
      <c r="A22" s="603" t="s">
        <v>44</v>
      </c>
      <c r="B22" s="599" t="s">
        <v>45</v>
      </c>
      <c r="C22" s="598" t="s">
        <v>266</v>
      </c>
      <c r="D22" s="956">
        <v>3435</v>
      </c>
      <c r="E22" s="956">
        <v>2736</v>
      </c>
      <c r="F22" s="956">
        <v>482</v>
      </c>
      <c r="G22" s="956">
        <v>3872</v>
      </c>
      <c r="H22" s="956">
        <v>2781</v>
      </c>
      <c r="I22" s="600">
        <v>3515</v>
      </c>
      <c r="J22" s="600">
        <v>2276</v>
      </c>
      <c r="K22" s="600">
        <v>288</v>
      </c>
      <c r="L22" s="600">
        <v>458</v>
      </c>
      <c r="M22" s="600">
        <v>6396</v>
      </c>
    </row>
    <row r="23" spans="1:13" s="601" customFormat="1" x14ac:dyDescent="0.25">
      <c r="A23" s="603" t="s">
        <v>46</v>
      </c>
      <c r="B23" s="599" t="s">
        <v>47</v>
      </c>
      <c r="C23" s="598" t="s">
        <v>268</v>
      </c>
      <c r="D23" s="956">
        <v>3317</v>
      </c>
      <c r="E23" s="956">
        <v>3127</v>
      </c>
      <c r="F23" s="956">
        <v>1105</v>
      </c>
      <c r="G23" s="956">
        <v>4344</v>
      </c>
      <c r="H23" s="956">
        <v>3205</v>
      </c>
      <c r="I23" s="600">
        <v>6849</v>
      </c>
      <c r="J23" s="600">
        <v>115</v>
      </c>
      <c r="K23" s="600">
        <v>175</v>
      </c>
      <c r="L23" s="600">
        <v>376</v>
      </c>
      <c r="M23" s="600">
        <v>7486</v>
      </c>
    </row>
    <row r="24" spans="1:13" s="601" customFormat="1" x14ac:dyDescent="0.25">
      <c r="A24" s="603" t="s">
        <v>48</v>
      </c>
      <c r="B24" s="599" t="s">
        <v>269</v>
      </c>
      <c r="C24" s="598" t="s">
        <v>266</v>
      </c>
      <c r="D24" s="956">
        <v>654</v>
      </c>
      <c r="E24" s="956">
        <v>665</v>
      </c>
      <c r="F24" s="956">
        <v>181</v>
      </c>
      <c r="G24" s="956">
        <v>907</v>
      </c>
      <c r="H24" s="956">
        <v>593</v>
      </c>
      <c r="I24" s="600">
        <v>496</v>
      </c>
      <c r="J24" s="600">
        <v>827</v>
      </c>
      <c r="K24" s="600">
        <v>90</v>
      </c>
      <c r="L24" s="600">
        <v>65</v>
      </c>
      <c r="M24" s="600">
        <v>1344</v>
      </c>
    </row>
    <row r="25" spans="1:13" s="601" customFormat="1" x14ac:dyDescent="0.25">
      <c r="A25" s="603" t="s">
        <v>50</v>
      </c>
      <c r="B25" s="599" t="s">
        <v>51</v>
      </c>
      <c r="C25" s="598" t="s">
        <v>265</v>
      </c>
      <c r="D25" s="956">
        <v>1488</v>
      </c>
      <c r="E25" s="956">
        <v>1407</v>
      </c>
      <c r="F25" s="956">
        <v>491</v>
      </c>
      <c r="G25" s="956">
        <v>1936</v>
      </c>
      <c r="H25" s="956">
        <v>1450</v>
      </c>
      <c r="I25" s="600">
        <v>1670</v>
      </c>
      <c r="J25" s="600">
        <v>1538</v>
      </c>
      <c r="K25" s="600">
        <v>99</v>
      </c>
      <c r="L25" s="600">
        <v>62</v>
      </c>
      <c r="M25" s="600">
        <v>3441</v>
      </c>
    </row>
    <row r="26" spans="1:13" s="601" customFormat="1" x14ac:dyDescent="0.25">
      <c r="A26" s="603" t="s">
        <v>56</v>
      </c>
      <c r="B26" s="599" t="s">
        <v>295</v>
      </c>
      <c r="C26" s="598" t="s">
        <v>266</v>
      </c>
      <c r="D26" s="956">
        <v>32607</v>
      </c>
      <c r="E26" s="956">
        <v>23069</v>
      </c>
      <c r="F26" s="956">
        <v>2674</v>
      </c>
      <c r="G26" s="956">
        <v>33725</v>
      </c>
      <c r="H26" s="956">
        <v>24624</v>
      </c>
      <c r="I26" s="600">
        <v>27671</v>
      </c>
      <c r="J26" s="600">
        <v>19643</v>
      </c>
      <c r="K26" s="600">
        <v>6245</v>
      </c>
      <c r="L26" s="600">
        <v>3697</v>
      </c>
      <c r="M26" s="600">
        <v>52998</v>
      </c>
    </row>
    <row r="27" spans="1:13" s="601" customFormat="1" x14ac:dyDescent="0.25">
      <c r="A27" s="603" t="s">
        <v>58</v>
      </c>
      <c r="B27" s="599" t="s">
        <v>59</v>
      </c>
      <c r="C27" s="598" t="s">
        <v>267</v>
      </c>
      <c r="D27" s="956">
        <v>713</v>
      </c>
      <c r="E27" s="956">
        <v>520</v>
      </c>
      <c r="F27" s="956">
        <v>162</v>
      </c>
      <c r="G27" s="956">
        <v>792</v>
      </c>
      <c r="H27" s="956">
        <v>603</v>
      </c>
      <c r="I27" s="600">
        <v>1129</v>
      </c>
      <c r="J27" s="600">
        <v>171</v>
      </c>
      <c r="K27" s="600">
        <v>46</v>
      </c>
      <c r="L27" s="600">
        <v>41</v>
      </c>
      <c r="M27" s="600">
        <v>1380</v>
      </c>
    </row>
    <row r="28" spans="1:13" s="601" customFormat="1" x14ac:dyDescent="0.25">
      <c r="A28" s="603" t="s">
        <v>60</v>
      </c>
      <c r="B28" s="599" t="s">
        <v>61</v>
      </c>
      <c r="C28" s="598" t="s">
        <v>265</v>
      </c>
      <c r="D28" s="956">
        <v>512</v>
      </c>
      <c r="E28" s="956">
        <v>463</v>
      </c>
      <c r="F28" s="956">
        <v>129</v>
      </c>
      <c r="G28" s="956">
        <v>645</v>
      </c>
      <c r="H28" s="956">
        <v>459</v>
      </c>
      <c r="I28" s="600">
        <v>1039</v>
      </c>
      <c r="J28" s="600">
        <v>4</v>
      </c>
      <c r="K28" s="600">
        <v>14</v>
      </c>
      <c r="L28" s="600">
        <v>23</v>
      </c>
      <c r="M28" s="600">
        <v>1091</v>
      </c>
    </row>
    <row r="29" spans="1:13" s="601" customFormat="1" x14ac:dyDescent="0.25">
      <c r="A29" s="603" t="s">
        <v>62</v>
      </c>
      <c r="B29" s="599" t="s">
        <v>63</v>
      </c>
      <c r="C29" s="598" t="s">
        <v>267</v>
      </c>
      <c r="D29" s="956">
        <v>5318</v>
      </c>
      <c r="E29" s="956">
        <v>3401</v>
      </c>
      <c r="F29" s="956">
        <v>654</v>
      </c>
      <c r="G29" s="956">
        <v>5326</v>
      </c>
      <c r="H29" s="956">
        <v>4047</v>
      </c>
      <c r="I29" s="600">
        <v>5360</v>
      </c>
      <c r="J29" s="600">
        <v>2253</v>
      </c>
      <c r="K29" s="600">
        <v>841</v>
      </c>
      <c r="L29" s="600">
        <v>540</v>
      </c>
      <c r="M29" s="600">
        <v>9104</v>
      </c>
    </row>
    <row r="30" spans="1:13" s="601" customFormat="1" x14ac:dyDescent="0.25">
      <c r="A30" s="603" t="s">
        <v>64</v>
      </c>
      <c r="B30" s="599" t="s">
        <v>65</v>
      </c>
      <c r="C30" s="598" t="s">
        <v>266</v>
      </c>
      <c r="D30" s="956">
        <v>1367</v>
      </c>
      <c r="E30" s="956">
        <v>1261</v>
      </c>
      <c r="F30" s="956">
        <v>331</v>
      </c>
      <c r="G30" s="956">
        <v>1700</v>
      </c>
      <c r="H30" s="956">
        <v>1259</v>
      </c>
      <c r="I30" s="600">
        <v>1523</v>
      </c>
      <c r="J30" s="600">
        <v>1256</v>
      </c>
      <c r="K30" s="600">
        <v>114</v>
      </c>
      <c r="L30" s="600">
        <v>48</v>
      </c>
      <c r="M30" s="600">
        <v>2900</v>
      </c>
    </row>
    <row r="31" spans="1:13" s="601" customFormat="1" x14ac:dyDescent="0.25">
      <c r="A31" s="603" t="s">
        <v>68</v>
      </c>
      <c r="B31" s="599" t="s">
        <v>69</v>
      </c>
      <c r="C31" s="598" t="s">
        <v>268</v>
      </c>
      <c r="D31" s="956">
        <v>2163</v>
      </c>
      <c r="E31" s="956">
        <v>2625</v>
      </c>
      <c r="F31" s="956">
        <v>536</v>
      </c>
      <c r="G31" s="956">
        <v>3002</v>
      </c>
      <c r="H31" s="956">
        <v>2322</v>
      </c>
      <c r="I31" s="600">
        <v>5129</v>
      </c>
      <c r="J31" s="600">
        <v>56</v>
      </c>
      <c r="K31" s="600">
        <v>17</v>
      </c>
      <c r="L31" s="600">
        <v>87</v>
      </c>
      <c r="M31" s="600">
        <v>5086</v>
      </c>
    </row>
    <row r="32" spans="1:13" s="601" customFormat="1" x14ac:dyDescent="0.25">
      <c r="A32" s="603" t="s">
        <v>70</v>
      </c>
      <c r="B32" s="599" t="s">
        <v>71</v>
      </c>
      <c r="C32" s="598" t="s">
        <v>264</v>
      </c>
      <c r="D32" s="956">
        <v>3111</v>
      </c>
      <c r="E32" s="956">
        <v>2717</v>
      </c>
      <c r="F32" s="956">
        <v>536</v>
      </c>
      <c r="G32" s="956">
        <v>3781</v>
      </c>
      <c r="H32" s="956">
        <v>2583</v>
      </c>
      <c r="I32" s="600">
        <v>3214</v>
      </c>
      <c r="J32" s="600">
        <v>2489</v>
      </c>
      <c r="K32" s="600">
        <v>214</v>
      </c>
      <c r="L32" s="600">
        <v>333</v>
      </c>
      <c r="M32" s="600">
        <v>6145</v>
      </c>
    </row>
    <row r="33" spans="1:13" s="601" customFormat="1" x14ac:dyDescent="0.25">
      <c r="A33" s="603" t="s">
        <v>72</v>
      </c>
      <c r="B33" s="599" t="s">
        <v>73</v>
      </c>
      <c r="C33" s="598" t="s">
        <v>266</v>
      </c>
      <c r="D33" s="956">
        <v>1544</v>
      </c>
      <c r="E33" s="956">
        <v>1333</v>
      </c>
      <c r="F33" s="956">
        <v>274</v>
      </c>
      <c r="G33" s="956">
        <v>1916</v>
      </c>
      <c r="H33" s="956">
        <v>1235</v>
      </c>
      <c r="I33" s="600">
        <v>962</v>
      </c>
      <c r="J33" s="600">
        <v>1648</v>
      </c>
      <c r="K33" s="600">
        <v>151</v>
      </c>
      <c r="L33" s="600">
        <v>331</v>
      </c>
      <c r="M33" s="600">
        <v>3036</v>
      </c>
    </row>
    <row r="34" spans="1:13" s="601" customFormat="1" x14ac:dyDescent="0.25">
      <c r="A34" s="603" t="s">
        <v>74</v>
      </c>
      <c r="B34" s="599" t="s">
        <v>296</v>
      </c>
      <c r="C34" s="598" t="s">
        <v>267</v>
      </c>
      <c r="D34" s="956">
        <v>67133</v>
      </c>
      <c r="E34" s="956">
        <v>30993</v>
      </c>
      <c r="F34" s="956">
        <v>12193</v>
      </c>
      <c r="G34" s="956">
        <v>60551</v>
      </c>
      <c r="H34" s="956">
        <v>49768</v>
      </c>
      <c r="I34" s="600">
        <v>53909</v>
      </c>
      <c r="J34" s="600">
        <v>19000</v>
      </c>
      <c r="K34" s="600">
        <v>26110</v>
      </c>
      <c r="L34" s="600">
        <v>7483</v>
      </c>
      <c r="M34" s="600">
        <v>109634</v>
      </c>
    </row>
    <row r="35" spans="1:13" s="601" customFormat="1" x14ac:dyDescent="0.25">
      <c r="A35" s="603" t="s">
        <v>76</v>
      </c>
      <c r="B35" s="599" t="s">
        <v>77</v>
      </c>
      <c r="C35" s="598" t="s">
        <v>267</v>
      </c>
      <c r="D35" s="956">
        <v>4216</v>
      </c>
      <c r="E35" s="956">
        <v>2767</v>
      </c>
      <c r="F35" s="956">
        <v>590</v>
      </c>
      <c r="G35" s="956">
        <v>4315</v>
      </c>
      <c r="H35" s="956">
        <v>3258</v>
      </c>
      <c r="I35" s="600">
        <v>5047</v>
      </c>
      <c r="J35" s="600">
        <v>1400</v>
      </c>
      <c r="K35" s="600">
        <v>637</v>
      </c>
      <c r="L35" s="600">
        <v>329</v>
      </c>
      <c r="M35" s="600">
        <v>7690</v>
      </c>
    </row>
    <row r="36" spans="1:13" s="601" customFormat="1" x14ac:dyDescent="0.25">
      <c r="A36" s="603" t="s">
        <v>78</v>
      </c>
      <c r="B36" s="599" t="s">
        <v>79</v>
      </c>
      <c r="C36" s="598" t="s">
        <v>268</v>
      </c>
      <c r="D36" s="956">
        <v>1596</v>
      </c>
      <c r="E36" s="956">
        <v>1261</v>
      </c>
      <c r="F36" s="956">
        <v>332</v>
      </c>
      <c r="G36" s="956">
        <v>1773</v>
      </c>
      <c r="H36" s="956">
        <v>1416</v>
      </c>
      <c r="I36" s="600">
        <v>2858</v>
      </c>
      <c r="J36" s="600">
        <v>114</v>
      </c>
      <c r="K36" s="600">
        <v>116</v>
      </c>
      <c r="L36" s="600">
        <v>74</v>
      </c>
      <c r="M36" s="600">
        <v>3154</v>
      </c>
    </row>
    <row r="37" spans="1:13" s="601" customFormat="1" x14ac:dyDescent="0.25">
      <c r="A37" s="603" t="s">
        <v>80</v>
      </c>
      <c r="B37" s="599" t="s">
        <v>81</v>
      </c>
      <c r="C37" s="598" t="s">
        <v>266</v>
      </c>
      <c r="D37" s="956">
        <v>1810</v>
      </c>
      <c r="E37" s="956">
        <v>1342</v>
      </c>
      <c r="F37" s="956">
        <v>325</v>
      </c>
      <c r="G37" s="956">
        <v>2007</v>
      </c>
      <c r="H37" s="956">
        <v>1470</v>
      </c>
      <c r="I37" s="600">
        <v>2220</v>
      </c>
      <c r="J37" s="600">
        <v>879</v>
      </c>
      <c r="K37" s="600">
        <v>241</v>
      </c>
      <c r="L37" s="600">
        <v>103</v>
      </c>
      <c r="M37" s="600">
        <v>3269</v>
      </c>
    </row>
    <row r="38" spans="1:13" s="601" customFormat="1" x14ac:dyDescent="0.25">
      <c r="A38" s="603" t="s">
        <v>84</v>
      </c>
      <c r="B38" s="599" t="s">
        <v>85</v>
      </c>
      <c r="C38" s="598" t="s">
        <v>265</v>
      </c>
      <c r="D38" s="956">
        <v>5541</v>
      </c>
      <c r="E38" s="956">
        <v>4865</v>
      </c>
      <c r="F38" s="956">
        <v>1028</v>
      </c>
      <c r="G38" s="956">
        <v>6635</v>
      </c>
      <c r="H38" s="956">
        <v>4799</v>
      </c>
      <c r="I38" s="600">
        <v>8862</v>
      </c>
      <c r="J38" s="600">
        <v>1463</v>
      </c>
      <c r="K38" s="600">
        <v>462</v>
      </c>
      <c r="L38" s="600">
        <v>532</v>
      </c>
      <c r="M38" s="600">
        <v>11100</v>
      </c>
    </row>
    <row r="39" spans="1:13" s="601" customFormat="1" x14ac:dyDescent="0.25">
      <c r="A39" s="603" t="s">
        <v>86</v>
      </c>
      <c r="B39" s="599" t="s">
        <v>87</v>
      </c>
      <c r="C39" s="598" t="s">
        <v>267</v>
      </c>
      <c r="D39" s="956">
        <v>6851</v>
      </c>
      <c r="E39" s="956">
        <v>4633</v>
      </c>
      <c r="F39" s="956">
        <v>871</v>
      </c>
      <c r="G39" s="956">
        <v>7057</v>
      </c>
      <c r="H39" s="956">
        <v>5298</v>
      </c>
      <c r="I39" s="600">
        <v>9889</v>
      </c>
      <c r="J39" s="600">
        <v>845</v>
      </c>
      <c r="K39" s="600">
        <v>734</v>
      </c>
      <c r="L39" s="600">
        <v>602</v>
      </c>
      <c r="M39" s="600">
        <v>11993</v>
      </c>
    </row>
    <row r="40" spans="1:13" s="601" customFormat="1" x14ac:dyDescent="0.25">
      <c r="A40" s="603" t="s">
        <v>92</v>
      </c>
      <c r="B40" s="599" t="s">
        <v>93</v>
      </c>
      <c r="C40" s="598" t="s">
        <v>268</v>
      </c>
      <c r="D40" s="956">
        <v>1702</v>
      </c>
      <c r="E40" s="956">
        <v>1788</v>
      </c>
      <c r="F40" s="956">
        <v>452</v>
      </c>
      <c r="G40" s="956">
        <v>2243</v>
      </c>
      <c r="H40" s="956">
        <v>1699</v>
      </c>
      <c r="I40" s="600">
        <v>3672</v>
      </c>
      <c r="J40" s="600">
        <v>89</v>
      </c>
      <c r="K40" s="600">
        <v>60</v>
      </c>
      <c r="L40" s="600">
        <v>75</v>
      </c>
      <c r="M40" s="600">
        <v>3854</v>
      </c>
    </row>
    <row r="41" spans="1:13" s="601" customFormat="1" x14ac:dyDescent="0.25">
      <c r="A41" s="603" t="s">
        <v>94</v>
      </c>
      <c r="B41" s="599" t="s">
        <v>95</v>
      </c>
      <c r="C41" s="598" t="s">
        <v>264</v>
      </c>
      <c r="D41" s="956">
        <v>3049</v>
      </c>
      <c r="E41" s="956">
        <v>2639</v>
      </c>
      <c r="F41" s="956">
        <v>509</v>
      </c>
      <c r="G41" s="956">
        <v>3614</v>
      </c>
      <c r="H41" s="956">
        <v>2583</v>
      </c>
      <c r="I41" s="600">
        <v>4732</v>
      </c>
      <c r="J41" s="600">
        <v>873</v>
      </c>
      <c r="K41" s="600">
        <v>244</v>
      </c>
      <c r="L41" s="600">
        <v>169</v>
      </c>
      <c r="M41" s="600">
        <v>5882</v>
      </c>
    </row>
    <row r="42" spans="1:13" s="601" customFormat="1" x14ac:dyDescent="0.25">
      <c r="A42" s="603" t="s">
        <v>96</v>
      </c>
      <c r="B42" s="599" t="s">
        <v>97</v>
      </c>
      <c r="C42" s="598" t="s">
        <v>266</v>
      </c>
      <c r="D42" s="956">
        <v>1082</v>
      </c>
      <c r="E42" s="956">
        <v>891</v>
      </c>
      <c r="F42" s="956">
        <v>210</v>
      </c>
      <c r="G42" s="956">
        <v>1249</v>
      </c>
      <c r="H42" s="956">
        <v>934</v>
      </c>
      <c r="I42" s="600">
        <v>1162</v>
      </c>
      <c r="J42" s="600">
        <v>797</v>
      </c>
      <c r="K42" s="600">
        <v>113</v>
      </c>
      <c r="L42" s="600">
        <v>71</v>
      </c>
      <c r="M42" s="600">
        <v>2153</v>
      </c>
    </row>
    <row r="43" spans="1:13" s="601" customFormat="1" x14ac:dyDescent="0.25">
      <c r="A43" s="603" t="s">
        <v>98</v>
      </c>
      <c r="B43" s="599" t="s">
        <v>99</v>
      </c>
      <c r="C43" s="598" t="s">
        <v>268</v>
      </c>
      <c r="D43" s="956">
        <v>1781</v>
      </c>
      <c r="E43" s="956">
        <v>1745</v>
      </c>
      <c r="F43" s="956">
        <v>681</v>
      </c>
      <c r="G43" s="956">
        <v>2436</v>
      </c>
      <c r="H43" s="956">
        <v>1771</v>
      </c>
      <c r="I43" s="600">
        <v>3835</v>
      </c>
      <c r="J43" s="600">
        <v>145</v>
      </c>
      <c r="K43" s="600">
        <v>67</v>
      </c>
      <c r="L43" s="600">
        <v>103</v>
      </c>
      <c r="M43" s="600">
        <v>4204</v>
      </c>
    </row>
    <row r="44" spans="1:13" s="601" customFormat="1" x14ac:dyDescent="0.25">
      <c r="A44" s="603" t="s">
        <v>100</v>
      </c>
      <c r="B44" s="599" t="s">
        <v>101</v>
      </c>
      <c r="C44" s="598" t="s">
        <v>267</v>
      </c>
      <c r="D44" s="956">
        <v>1948</v>
      </c>
      <c r="E44" s="956">
        <v>1304</v>
      </c>
      <c r="F44" s="956">
        <v>258</v>
      </c>
      <c r="G44" s="956">
        <v>1986</v>
      </c>
      <c r="H44" s="956">
        <v>1524</v>
      </c>
      <c r="I44" s="600">
        <v>2613</v>
      </c>
      <c r="J44" s="600">
        <v>494</v>
      </c>
      <c r="K44" s="600">
        <v>231</v>
      </c>
      <c r="L44" s="600">
        <v>111</v>
      </c>
      <c r="M44" s="600">
        <v>3371</v>
      </c>
    </row>
    <row r="45" spans="1:13" s="601" customFormat="1" x14ac:dyDescent="0.25">
      <c r="A45" s="603" t="s">
        <v>102</v>
      </c>
      <c r="B45" s="599" t="s">
        <v>282</v>
      </c>
      <c r="C45" s="598" t="s">
        <v>264</v>
      </c>
      <c r="D45" s="956">
        <v>2684</v>
      </c>
      <c r="E45" s="956">
        <v>2371</v>
      </c>
      <c r="F45" s="956">
        <v>630</v>
      </c>
      <c r="G45" s="956">
        <v>3366</v>
      </c>
      <c r="H45" s="956">
        <v>2319</v>
      </c>
      <c r="I45" s="600">
        <v>933</v>
      </c>
      <c r="J45" s="600">
        <v>4373</v>
      </c>
      <c r="K45" s="600">
        <v>160</v>
      </c>
      <c r="L45" s="600">
        <v>146</v>
      </c>
      <c r="M45" s="600">
        <v>5555</v>
      </c>
    </row>
    <row r="46" spans="1:13" s="601" customFormat="1" x14ac:dyDescent="0.25">
      <c r="A46" s="603" t="s">
        <v>104</v>
      </c>
      <c r="B46" s="599" t="s">
        <v>105</v>
      </c>
      <c r="C46" s="598" t="s">
        <v>265</v>
      </c>
      <c r="D46" s="956">
        <v>4353</v>
      </c>
      <c r="E46" s="956">
        <v>4418</v>
      </c>
      <c r="F46" s="956">
        <v>1430</v>
      </c>
      <c r="G46" s="956">
        <v>6044</v>
      </c>
      <c r="H46" s="956">
        <v>4157</v>
      </c>
      <c r="I46" s="600">
        <v>4041</v>
      </c>
      <c r="J46" s="600">
        <v>5370</v>
      </c>
      <c r="K46" s="600">
        <v>332</v>
      </c>
      <c r="L46" s="600">
        <v>426</v>
      </c>
      <c r="M46" s="600">
        <v>10065</v>
      </c>
    </row>
    <row r="47" spans="1:13" s="601" customFormat="1" x14ac:dyDescent="0.25">
      <c r="A47" s="603" t="s">
        <v>108</v>
      </c>
      <c r="B47" s="599" t="s">
        <v>109</v>
      </c>
      <c r="C47" s="598" t="s">
        <v>266</v>
      </c>
      <c r="D47" s="956">
        <v>5165</v>
      </c>
      <c r="E47" s="956">
        <v>4104</v>
      </c>
      <c r="F47" s="956">
        <v>747</v>
      </c>
      <c r="G47" s="956">
        <v>5783</v>
      </c>
      <c r="H47" s="956">
        <v>4233</v>
      </c>
      <c r="I47" s="600">
        <v>6484</v>
      </c>
      <c r="J47" s="600">
        <v>2068</v>
      </c>
      <c r="K47" s="600">
        <v>655</v>
      </c>
      <c r="L47" s="600">
        <v>601</v>
      </c>
      <c r="M47" s="600">
        <v>9663</v>
      </c>
    </row>
    <row r="48" spans="1:13" s="601" customFormat="1" x14ac:dyDescent="0.25">
      <c r="A48" s="603" t="s">
        <v>110</v>
      </c>
      <c r="B48" s="599" t="s">
        <v>111</v>
      </c>
      <c r="C48" s="598" t="s">
        <v>266</v>
      </c>
      <c r="D48" s="956">
        <v>28756</v>
      </c>
      <c r="E48" s="956">
        <v>20906</v>
      </c>
      <c r="F48" s="956">
        <v>3411</v>
      </c>
      <c r="G48" s="956">
        <v>31000</v>
      </c>
      <c r="H48" s="956">
        <v>22072</v>
      </c>
      <c r="I48" s="600">
        <v>16176</v>
      </c>
      <c r="J48" s="600">
        <v>26664</v>
      </c>
      <c r="K48" s="600">
        <v>5134</v>
      </c>
      <c r="L48" s="600">
        <v>3858</v>
      </c>
      <c r="M48" s="600">
        <v>49934</v>
      </c>
    </row>
    <row r="49" spans="1:13" s="601" customFormat="1" x14ac:dyDescent="0.25">
      <c r="A49" s="603" t="s">
        <v>112</v>
      </c>
      <c r="B49" s="599" t="s">
        <v>300</v>
      </c>
      <c r="C49" s="598" t="s">
        <v>265</v>
      </c>
      <c r="D49" s="956">
        <v>10034</v>
      </c>
      <c r="E49" s="956">
        <v>9794</v>
      </c>
      <c r="F49" s="956">
        <v>2428</v>
      </c>
      <c r="G49" s="956">
        <v>13027</v>
      </c>
      <c r="H49" s="956">
        <v>9229</v>
      </c>
      <c r="I49" s="600">
        <v>12118</v>
      </c>
      <c r="J49" s="600">
        <v>7651</v>
      </c>
      <c r="K49" s="600">
        <v>581</v>
      </c>
      <c r="L49" s="600">
        <v>1608</v>
      </c>
      <c r="M49" s="600">
        <v>21857</v>
      </c>
    </row>
    <row r="50" spans="1:13" s="601" customFormat="1" x14ac:dyDescent="0.25">
      <c r="A50" s="603" t="s">
        <v>114</v>
      </c>
      <c r="B50" s="599" t="s">
        <v>115</v>
      </c>
      <c r="C50" s="598" t="s">
        <v>265</v>
      </c>
      <c r="D50" s="956">
        <v>144</v>
      </c>
      <c r="E50" s="956">
        <v>131</v>
      </c>
      <c r="F50" s="956">
        <v>48</v>
      </c>
      <c r="G50" s="956">
        <v>189</v>
      </c>
      <c r="H50" s="956">
        <v>134</v>
      </c>
      <c r="I50" s="600">
        <v>272</v>
      </c>
      <c r="J50" s="600">
        <v>11</v>
      </c>
      <c r="K50" s="600">
        <v>11</v>
      </c>
      <c r="L50" s="600">
        <v>23</v>
      </c>
      <c r="M50" s="600">
        <v>442</v>
      </c>
    </row>
    <row r="51" spans="1:13" s="601" customFormat="1" x14ac:dyDescent="0.25">
      <c r="A51" s="603" t="s">
        <v>118</v>
      </c>
      <c r="B51" s="599" t="s">
        <v>270</v>
      </c>
      <c r="C51" s="598" t="s">
        <v>264</v>
      </c>
      <c r="D51" s="956">
        <v>2774</v>
      </c>
      <c r="E51" s="956">
        <v>2464</v>
      </c>
      <c r="F51" s="956">
        <v>620</v>
      </c>
      <c r="G51" s="956">
        <v>3521</v>
      </c>
      <c r="H51" s="956">
        <v>2337</v>
      </c>
      <c r="I51" s="600">
        <v>2599</v>
      </c>
      <c r="J51" s="600">
        <v>2653</v>
      </c>
      <c r="K51" s="600">
        <v>195</v>
      </c>
      <c r="L51" s="600">
        <v>300</v>
      </c>
      <c r="M51" s="600">
        <v>5693</v>
      </c>
    </row>
    <row r="52" spans="1:13" s="601" customFormat="1" x14ac:dyDescent="0.25">
      <c r="A52" s="603" t="s">
        <v>120</v>
      </c>
      <c r="B52" s="599" t="s">
        <v>121</v>
      </c>
      <c r="C52" s="598" t="s">
        <v>264</v>
      </c>
      <c r="D52" s="956">
        <v>4445</v>
      </c>
      <c r="E52" s="956">
        <v>3130</v>
      </c>
      <c r="F52" s="956">
        <v>443</v>
      </c>
      <c r="G52" s="956">
        <v>4640</v>
      </c>
      <c r="H52" s="956">
        <v>3378</v>
      </c>
      <c r="I52" s="600">
        <v>4001</v>
      </c>
      <c r="J52" s="600">
        <v>2911</v>
      </c>
      <c r="K52" s="600">
        <v>584</v>
      </c>
      <c r="L52" s="600">
        <v>364</v>
      </c>
      <c r="M52" s="600">
        <v>7542</v>
      </c>
    </row>
    <row r="53" spans="1:13" s="601" customFormat="1" x14ac:dyDescent="0.25">
      <c r="A53" s="603" t="s">
        <v>122</v>
      </c>
      <c r="B53" s="599" t="s">
        <v>287</v>
      </c>
      <c r="C53" s="598" t="s">
        <v>266</v>
      </c>
      <c r="D53" s="956">
        <v>790</v>
      </c>
      <c r="E53" s="956">
        <v>780</v>
      </c>
      <c r="F53" s="956">
        <v>171</v>
      </c>
      <c r="G53" s="956">
        <v>1043</v>
      </c>
      <c r="H53" s="956">
        <v>698</v>
      </c>
      <c r="I53" s="600">
        <v>866</v>
      </c>
      <c r="J53" s="600">
        <v>688</v>
      </c>
      <c r="K53" s="600">
        <v>105</v>
      </c>
      <c r="L53" s="600">
        <v>81</v>
      </c>
      <c r="M53" s="600">
        <v>1765</v>
      </c>
    </row>
    <row r="54" spans="1:13" s="601" customFormat="1" x14ac:dyDescent="0.25">
      <c r="A54" s="603" t="s">
        <v>124</v>
      </c>
      <c r="B54" s="599" t="s">
        <v>125</v>
      </c>
      <c r="C54" s="598" t="s">
        <v>267</v>
      </c>
      <c r="D54" s="956">
        <v>2078</v>
      </c>
      <c r="E54" s="956">
        <v>1611</v>
      </c>
      <c r="F54" s="956">
        <v>282</v>
      </c>
      <c r="G54" s="956">
        <v>2330</v>
      </c>
      <c r="H54" s="956">
        <v>1641</v>
      </c>
      <c r="I54" s="600">
        <v>2179</v>
      </c>
      <c r="J54" s="600">
        <v>1264</v>
      </c>
      <c r="K54" s="600">
        <v>185</v>
      </c>
      <c r="L54" s="600">
        <v>202</v>
      </c>
      <c r="M54" s="600">
        <v>3985</v>
      </c>
    </row>
    <row r="55" spans="1:13" s="601" customFormat="1" x14ac:dyDescent="0.25">
      <c r="A55" s="603" t="s">
        <v>126</v>
      </c>
      <c r="B55" s="599" t="s">
        <v>127</v>
      </c>
      <c r="C55" s="598" t="s">
        <v>266</v>
      </c>
      <c r="D55" s="956">
        <v>1414</v>
      </c>
      <c r="E55" s="956">
        <v>1091</v>
      </c>
      <c r="F55" s="956">
        <v>244</v>
      </c>
      <c r="G55" s="956">
        <v>1633</v>
      </c>
      <c r="H55" s="956">
        <v>1116</v>
      </c>
      <c r="I55" s="600">
        <v>1481</v>
      </c>
      <c r="J55" s="600">
        <v>933</v>
      </c>
      <c r="K55" s="600">
        <v>182</v>
      </c>
      <c r="L55" s="600">
        <v>93</v>
      </c>
      <c r="M55" s="600">
        <v>2623</v>
      </c>
    </row>
    <row r="56" spans="1:13" s="601" customFormat="1" x14ac:dyDescent="0.25">
      <c r="A56" s="603" t="s">
        <v>128</v>
      </c>
      <c r="B56" s="599" t="s">
        <v>129</v>
      </c>
      <c r="C56" s="598" t="s">
        <v>266</v>
      </c>
      <c r="D56" s="956">
        <v>1108</v>
      </c>
      <c r="E56" s="956">
        <v>867</v>
      </c>
      <c r="F56" s="956">
        <v>336</v>
      </c>
      <c r="G56" s="956">
        <v>1390</v>
      </c>
      <c r="H56" s="956">
        <v>921</v>
      </c>
      <c r="I56" s="600">
        <v>762</v>
      </c>
      <c r="J56" s="600">
        <v>1422</v>
      </c>
      <c r="K56" s="600">
        <v>92</v>
      </c>
      <c r="L56" s="600">
        <v>12</v>
      </c>
      <c r="M56" s="600">
        <v>2376</v>
      </c>
    </row>
    <row r="57" spans="1:13" s="601" customFormat="1" x14ac:dyDescent="0.25">
      <c r="A57" s="603" t="s">
        <v>130</v>
      </c>
      <c r="B57" s="599" t="s">
        <v>131</v>
      </c>
      <c r="C57" s="598" t="s">
        <v>268</v>
      </c>
      <c r="D57" s="956">
        <v>3302</v>
      </c>
      <c r="E57" s="956">
        <v>4102</v>
      </c>
      <c r="F57" s="956">
        <v>1167</v>
      </c>
      <c r="G57" s="956">
        <v>4712</v>
      </c>
      <c r="H57" s="956">
        <v>3859</v>
      </c>
      <c r="I57" s="600">
        <v>8207</v>
      </c>
      <c r="J57" s="600">
        <v>52</v>
      </c>
      <c r="K57" s="600">
        <v>99</v>
      </c>
      <c r="L57" s="600">
        <v>161</v>
      </c>
      <c r="M57" s="600">
        <v>8384</v>
      </c>
    </row>
    <row r="58" spans="1:13" s="601" customFormat="1" x14ac:dyDescent="0.25">
      <c r="A58" s="603" t="s">
        <v>132</v>
      </c>
      <c r="B58" s="599" t="s">
        <v>133</v>
      </c>
      <c r="C58" s="598" t="s">
        <v>267</v>
      </c>
      <c r="D58" s="956">
        <v>17156</v>
      </c>
      <c r="E58" s="956">
        <v>7772</v>
      </c>
      <c r="F58" s="956">
        <v>2545</v>
      </c>
      <c r="G58" s="956">
        <v>15141</v>
      </c>
      <c r="H58" s="956">
        <v>12332</v>
      </c>
      <c r="I58" s="600">
        <v>14855</v>
      </c>
      <c r="J58" s="600">
        <v>3294</v>
      </c>
      <c r="K58" s="600">
        <v>6554</v>
      </c>
      <c r="L58" s="600">
        <v>1727</v>
      </c>
      <c r="M58" s="600">
        <v>24210</v>
      </c>
    </row>
    <row r="59" spans="1:13" s="601" customFormat="1" x14ac:dyDescent="0.25">
      <c r="A59" s="603" t="s">
        <v>134</v>
      </c>
      <c r="B59" s="599" t="s">
        <v>135</v>
      </c>
      <c r="C59" s="598" t="s">
        <v>267</v>
      </c>
      <c r="D59" s="956">
        <v>3363</v>
      </c>
      <c r="E59" s="956">
        <v>2851</v>
      </c>
      <c r="F59" s="956">
        <v>670</v>
      </c>
      <c r="G59" s="956">
        <v>3930</v>
      </c>
      <c r="H59" s="956">
        <v>2954</v>
      </c>
      <c r="I59" s="600">
        <v>4350</v>
      </c>
      <c r="J59" s="600">
        <v>1789</v>
      </c>
      <c r="K59" s="600">
        <v>286</v>
      </c>
      <c r="L59" s="600">
        <v>415</v>
      </c>
      <c r="M59" s="600">
        <v>6853</v>
      </c>
    </row>
    <row r="60" spans="1:13" s="601" customFormat="1" x14ac:dyDescent="0.25">
      <c r="A60" s="603" t="s">
        <v>136</v>
      </c>
      <c r="B60" s="599" t="s">
        <v>137</v>
      </c>
      <c r="C60" s="598" t="s">
        <v>266</v>
      </c>
      <c r="D60" s="956">
        <v>1534</v>
      </c>
      <c r="E60" s="956">
        <v>1357</v>
      </c>
      <c r="F60" s="956">
        <v>498</v>
      </c>
      <c r="G60" s="956">
        <v>1958</v>
      </c>
      <c r="H60" s="956">
        <v>1431</v>
      </c>
      <c r="I60" s="600">
        <v>1522</v>
      </c>
      <c r="J60" s="600">
        <v>1592</v>
      </c>
      <c r="K60" s="600">
        <v>212</v>
      </c>
      <c r="L60" s="600">
        <v>55</v>
      </c>
      <c r="M60" s="600">
        <v>3422</v>
      </c>
    </row>
    <row r="61" spans="1:13" s="601" customFormat="1" x14ac:dyDescent="0.25">
      <c r="A61" s="603" t="s">
        <v>140</v>
      </c>
      <c r="B61" s="599" t="s">
        <v>141</v>
      </c>
      <c r="C61" s="598" t="s">
        <v>267</v>
      </c>
      <c r="D61" s="956">
        <v>1295</v>
      </c>
      <c r="E61" s="956">
        <v>932</v>
      </c>
      <c r="F61" s="956">
        <v>282</v>
      </c>
      <c r="G61" s="956">
        <v>1456</v>
      </c>
      <c r="H61" s="956">
        <v>1053</v>
      </c>
      <c r="I61" s="600">
        <v>1873</v>
      </c>
      <c r="J61" s="600">
        <v>391</v>
      </c>
      <c r="K61" s="600">
        <v>75</v>
      </c>
      <c r="L61" s="600">
        <v>92</v>
      </c>
      <c r="M61" s="600">
        <v>2483</v>
      </c>
    </row>
    <row r="62" spans="1:13" s="601" customFormat="1" x14ac:dyDescent="0.25">
      <c r="A62" s="603" t="s">
        <v>146</v>
      </c>
      <c r="B62" s="599" t="s">
        <v>147</v>
      </c>
      <c r="C62" s="598" t="s">
        <v>264</v>
      </c>
      <c r="D62" s="956">
        <v>649</v>
      </c>
      <c r="E62" s="956">
        <v>548</v>
      </c>
      <c r="F62" s="956">
        <v>182</v>
      </c>
      <c r="G62" s="956">
        <v>817</v>
      </c>
      <c r="H62" s="956">
        <v>562</v>
      </c>
      <c r="I62" s="600">
        <v>1005</v>
      </c>
      <c r="J62" s="600">
        <v>265</v>
      </c>
      <c r="K62" s="600">
        <v>66</v>
      </c>
      <c r="L62" s="600">
        <v>40</v>
      </c>
      <c r="M62" s="600">
        <v>1352</v>
      </c>
    </row>
    <row r="63" spans="1:13" s="601" customFormat="1" x14ac:dyDescent="0.25">
      <c r="A63" s="603" t="s">
        <v>148</v>
      </c>
      <c r="B63" s="599" t="s">
        <v>149</v>
      </c>
      <c r="C63" s="598" t="s">
        <v>265</v>
      </c>
      <c r="D63" s="956">
        <v>3567</v>
      </c>
      <c r="E63" s="956">
        <v>3159</v>
      </c>
      <c r="F63" s="956">
        <v>1126</v>
      </c>
      <c r="G63" s="956">
        <v>4588</v>
      </c>
      <c r="H63" s="956">
        <v>3264</v>
      </c>
      <c r="I63" s="600">
        <v>3012</v>
      </c>
      <c r="J63" s="600">
        <v>4368</v>
      </c>
      <c r="K63" s="600">
        <v>198</v>
      </c>
      <c r="L63" s="600">
        <v>161</v>
      </c>
      <c r="M63" s="600">
        <v>7996</v>
      </c>
    </row>
    <row r="64" spans="1:13" s="601" customFormat="1" x14ac:dyDescent="0.25">
      <c r="A64" s="603" t="s">
        <v>150</v>
      </c>
      <c r="B64" s="599" t="s">
        <v>151</v>
      </c>
      <c r="C64" s="598" t="s">
        <v>266</v>
      </c>
      <c r="D64" s="956">
        <v>1072</v>
      </c>
      <c r="E64" s="956">
        <v>997</v>
      </c>
      <c r="F64" s="956">
        <v>271</v>
      </c>
      <c r="G64" s="956">
        <v>1383</v>
      </c>
      <c r="H64" s="956">
        <v>957</v>
      </c>
      <c r="I64" s="600">
        <v>1504</v>
      </c>
      <c r="J64" s="600">
        <v>683</v>
      </c>
      <c r="K64" s="600">
        <v>89</v>
      </c>
      <c r="L64" s="600">
        <v>76</v>
      </c>
      <c r="M64" s="600">
        <v>2268</v>
      </c>
    </row>
    <row r="65" spans="1:13" s="601" customFormat="1" x14ac:dyDescent="0.25">
      <c r="A65" s="603" t="s">
        <v>152</v>
      </c>
      <c r="B65" s="599" t="s">
        <v>153</v>
      </c>
      <c r="C65" s="598" t="s">
        <v>268</v>
      </c>
      <c r="D65" s="956">
        <v>5455</v>
      </c>
      <c r="E65" s="956">
        <v>5038</v>
      </c>
      <c r="F65" s="956">
        <v>908</v>
      </c>
      <c r="G65" s="956">
        <v>6637</v>
      </c>
      <c r="H65" s="956">
        <v>4764</v>
      </c>
      <c r="I65" s="600">
        <v>9155</v>
      </c>
      <c r="J65" s="600">
        <v>954</v>
      </c>
      <c r="K65" s="600">
        <v>549</v>
      </c>
      <c r="L65" s="600">
        <v>641</v>
      </c>
      <c r="M65" s="600">
        <v>11453</v>
      </c>
    </row>
    <row r="66" spans="1:13" s="601" customFormat="1" x14ac:dyDescent="0.25">
      <c r="A66" s="603" t="s">
        <v>154</v>
      </c>
      <c r="B66" s="599" t="s">
        <v>155</v>
      </c>
      <c r="C66" s="598" t="s">
        <v>265</v>
      </c>
      <c r="D66" s="956">
        <v>1501</v>
      </c>
      <c r="E66" s="956">
        <v>1332</v>
      </c>
      <c r="F66" s="956">
        <v>421</v>
      </c>
      <c r="G66" s="956">
        <v>1888</v>
      </c>
      <c r="H66" s="956">
        <v>1366</v>
      </c>
      <c r="I66" s="600">
        <v>2231</v>
      </c>
      <c r="J66" s="600">
        <v>647</v>
      </c>
      <c r="K66" s="600">
        <v>166</v>
      </c>
      <c r="L66" s="600">
        <v>274</v>
      </c>
      <c r="M66" s="600">
        <v>3327</v>
      </c>
    </row>
    <row r="67" spans="1:13" s="601" customFormat="1" x14ac:dyDescent="0.25">
      <c r="A67" s="603" t="s">
        <v>156</v>
      </c>
      <c r="B67" s="599" t="s">
        <v>157</v>
      </c>
      <c r="C67" s="598" t="s">
        <v>266</v>
      </c>
      <c r="D67" s="956">
        <v>1193</v>
      </c>
      <c r="E67" s="956">
        <v>962</v>
      </c>
      <c r="F67" s="956">
        <v>139</v>
      </c>
      <c r="G67" s="956">
        <v>1310</v>
      </c>
      <c r="H67" s="956">
        <v>984</v>
      </c>
      <c r="I67" s="600">
        <v>1581</v>
      </c>
      <c r="J67" s="600">
        <v>428</v>
      </c>
      <c r="K67" s="600">
        <v>130</v>
      </c>
      <c r="L67" s="600">
        <v>119</v>
      </c>
      <c r="M67" s="600">
        <v>2187</v>
      </c>
    </row>
    <row r="68" spans="1:13" s="601" customFormat="1" x14ac:dyDescent="0.25">
      <c r="A68" s="603" t="s">
        <v>162</v>
      </c>
      <c r="B68" s="599" t="s">
        <v>163</v>
      </c>
      <c r="C68" s="598" t="s">
        <v>264</v>
      </c>
      <c r="D68" s="956">
        <v>1808</v>
      </c>
      <c r="E68" s="956">
        <v>1460</v>
      </c>
      <c r="F68" s="956">
        <v>662</v>
      </c>
      <c r="G68" s="956">
        <v>2283</v>
      </c>
      <c r="H68" s="956">
        <v>1647</v>
      </c>
      <c r="I68" s="600">
        <v>1435</v>
      </c>
      <c r="J68" s="600">
        <v>2256</v>
      </c>
      <c r="K68" s="600">
        <v>106</v>
      </c>
      <c r="L68" s="600">
        <v>124</v>
      </c>
      <c r="M68" s="600">
        <v>3933</v>
      </c>
    </row>
    <row r="69" spans="1:13" s="601" customFormat="1" x14ac:dyDescent="0.25">
      <c r="A69" s="603" t="s">
        <v>164</v>
      </c>
      <c r="B69" s="599" t="s">
        <v>165</v>
      </c>
      <c r="C69" s="598" t="s">
        <v>266</v>
      </c>
      <c r="D69" s="956">
        <v>1245</v>
      </c>
      <c r="E69" s="956">
        <v>1092</v>
      </c>
      <c r="F69" s="956">
        <v>322</v>
      </c>
      <c r="G69" s="956">
        <v>1546</v>
      </c>
      <c r="H69" s="956">
        <v>1113</v>
      </c>
      <c r="I69" s="600">
        <v>1056</v>
      </c>
      <c r="J69" s="600">
        <v>1380</v>
      </c>
      <c r="K69" s="600">
        <v>118</v>
      </c>
      <c r="L69" s="600">
        <v>59</v>
      </c>
      <c r="M69" s="600">
        <v>2579</v>
      </c>
    </row>
    <row r="70" spans="1:13" s="601" customFormat="1" x14ac:dyDescent="0.25">
      <c r="A70" s="603" t="s">
        <v>168</v>
      </c>
      <c r="B70" s="599" t="s">
        <v>169</v>
      </c>
      <c r="C70" s="598" t="s">
        <v>266</v>
      </c>
      <c r="D70" s="956">
        <v>2197</v>
      </c>
      <c r="E70" s="956">
        <v>1902</v>
      </c>
      <c r="F70" s="956">
        <v>511</v>
      </c>
      <c r="G70" s="956">
        <v>2716</v>
      </c>
      <c r="H70" s="956">
        <v>1894</v>
      </c>
      <c r="I70" s="600">
        <v>1946</v>
      </c>
      <c r="J70" s="600">
        <v>2311</v>
      </c>
      <c r="K70" s="600">
        <v>149</v>
      </c>
      <c r="L70" s="600">
        <v>126</v>
      </c>
      <c r="M70" s="600">
        <v>4600</v>
      </c>
    </row>
    <row r="71" spans="1:13" s="601" customFormat="1" x14ac:dyDescent="0.25">
      <c r="A71" s="603" t="s">
        <v>170</v>
      </c>
      <c r="B71" s="599" t="s">
        <v>171</v>
      </c>
      <c r="C71" s="598" t="s">
        <v>267</v>
      </c>
      <c r="D71" s="956">
        <v>3104</v>
      </c>
      <c r="E71" s="956">
        <v>2447</v>
      </c>
      <c r="F71" s="956">
        <v>585</v>
      </c>
      <c r="G71" s="956">
        <v>3625</v>
      </c>
      <c r="H71" s="956">
        <v>2511</v>
      </c>
      <c r="I71" s="600">
        <v>4030</v>
      </c>
      <c r="J71" s="600">
        <v>1396</v>
      </c>
      <c r="K71" s="600">
        <v>333</v>
      </c>
      <c r="L71" s="600">
        <v>310</v>
      </c>
      <c r="M71" s="600">
        <v>6030</v>
      </c>
    </row>
    <row r="72" spans="1:13" s="601" customFormat="1" x14ac:dyDescent="0.25">
      <c r="A72" s="603" t="s">
        <v>172</v>
      </c>
      <c r="B72" s="599" t="s">
        <v>173</v>
      </c>
      <c r="C72" s="598" t="s">
        <v>267</v>
      </c>
      <c r="D72" s="956">
        <v>2517</v>
      </c>
      <c r="E72" s="956">
        <v>2399</v>
      </c>
      <c r="F72" s="956">
        <v>654</v>
      </c>
      <c r="G72" s="956">
        <v>3168</v>
      </c>
      <c r="H72" s="956">
        <v>2402</v>
      </c>
      <c r="I72" s="600">
        <v>5109</v>
      </c>
      <c r="J72" s="600">
        <v>159</v>
      </c>
      <c r="K72" s="600">
        <v>87</v>
      </c>
      <c r="L72" s="600">
        <v>160</v>
      </c>
      <c r="M72" s="600">
        <v>5512</v>
      </c>
    </row>
    <row r="73" spans="1:13" s="601" customFormat="1" x14ac:dyDescent="0.25">
      <c r="A73" s="603" t="s">
        <v>174</v>
      </c>
      <c r="B73" s="599" t="s">
        <v>175</v>
      </c>
      <c r="C73" s="598" t="s">
        <v>268</v>
      </c>
      <c r="D73" s="956">
        <v>2037</v>
      </c>
      <c r="E73" s="956">
        <v>2102</v>
      </c>
      <c r="F73" s="956">
        <v>656</v>
      </c>
      <c r="G73" s="956">
        <v>2716</v>
      </c>
      <c r="H73" s="956">
        <v>2079</v>
      </c>
      <c r="I73" s="600">
        <v>4139</v>
      </c>
      <c r="J73" s="600">
        <v>351</v>
      </c>
      <c r="K73" s="600">
        <v>169</v>
      </c>
      <c r="L73" s="600">
        <v>100</v>
      </c>
      <c r="M73" s="600">
        <v>4882</v>
      </c>
    </row>
    <row r="74" spans="1:13" s="601" customFormat="1" x14ac:dyDescent="0.25">
      <c r="A74" s="603" t="s">
        <v>178</v>
      </c>
      <c r="B74" s="599" t="s">
        <v>179</v>
      </c>
      <c r="C74" s="598" t="s">
        <v>265</v>
      </c>
      <c r="D74" s="956">
        <v>6954</v>
      </c>
      <c r="E74" s="956">
        <v>6666</v>
      </c>
      <c r="F74" s="956">
        <v>1983</v>
      </c>
      <c r="G74" s="956">
        <v>9279</v>
      </c>
      <c r="H74" s="956">
        <v>6324</v>
      </c>
      <c r="I74" s="600">
        <v>9278</v>
      </c>
      <c r="J74" s="600">
        <v>4840</v>
      </c>
      <c r="K74" s="600">
        <v>560</v>
      </c>
      <c r="L74" s="600">
        <v>823</v>
      </c>
      <c r="M74" s="600">
        <v>15185</v>
      </c>
    </row>
    <row r="75" spans="1:13" s="601" customFormat="1" x14ac:dyDescent="0.25">
      <c r="A75" s="603" t="s">
        <v>182</v>
      </c>
      <c r="B75" s="599" t="s">
        <v>183</v>
      </c>
      <c r="C75" s="598" t="s">
        <v>266</v>
      </c>
      <c r="D75" s="956">
        <v>1369</v>
      </c>
      <c r="E75" s="956">
        <v>1097</v>
      </c>
      <c r="F75" s="956">
        <v>209</v>
      </c>
      <c r="G75" s="956">
        <v>1530</v>
      </c>
      <c r="H75" s="956">
        <v>1145</v>
      </c>
      <c r="I75" s="600">
        <v>1941</v>
      </c>
      <c r="J75" s="600">
        <v>436</v>
      </c>
      <c r="K75" s="600">
        <v>118</v>
      </c>
      <c r="L75" s="600">
        <v>174</v>
      </c>
      <c r="M75" s="600">
        <v>2552</v>
      </c>
    </row>
    <row r="76" spans="1:13" s="601" customFormat="1" x14ac:dyDescent="0.25">
      <c r="A76" s="603" t="s">
        <v>184</v>
      </c>
      <c r="B76" s="599" t="s">
        <v>185</v>
      </c>
      <c r="C76" s="598" t="s">
        <v>266</v>
      </c>
      <c r="D76" s="956">
        <v>2434</v>
      </c>
      <c r="E76" s="956">
        <v>2287</v>
      </c>
      <c r="F76" s="956">
        <v>576</v>
      </c>
      <c r="G76" s="956">
        <v>3098</v>
      </c>
      <c r="H76" s="956">
        <v>2199</v>
      </c>
      <c r="I76" s="600">
        <v>1896</v>
      </c>
      <c r="J76" s="600">
        <v>3042</v>
      </c>
      <c r="K76" s="600">
        <v>174</v>
      </c>
      <c r="L76" s="600">
        <v>129</v>
      </c>
      <c r="M76" s="600">
        <v>5249</v>
      </c>
    </row>
    <row r="77" spans="1:13" s="601" customFormat="1" x14ac:dyDescent="0.25">
      <c r="A77" s="603" t="s">
        <v>186</v>
      </c>
      <c r="B77" s="599" t="s">
        <v>187</v>
      </c>
      <c r="C77" s="598" t="s">
        <v>264</v>
      </c>
      <c r="D77" s="956">
        <v>2718</v>
      </c>
      <c r="E77" s="956">
        <v>2240</v>
      </c>
      <c r="F77" s="956">
        <v>287</v>
      </c>
      <c r="G77" s="956">
        <v>3104</v>
      </c>
      <c r="H77" s="956">
        <v>2141</v>
      </c>
      <c r="I77" s="600">
        <v>2523</v>
      </c>
      <c r="J77" s="600">
        <v>2128</v>
      </c>
      <c r="K77" s="600">
        <v>272</v>
      </c>
      <c r="L77" s="600">
        <v>188</v>
      </c>
      <c r="M77" s="600">
        <v>4774</v>
      </c>
    </row>
    <row r="78" spans="1:13" s="601" customFormat="1" x14ac:dyDescent="0.25">
      <c r="A78" s="603" t="s">
        <v>188</v>
      </c>
      <c r="B78" s="599" t="s">
        <v>189</v>
      </c>
      <c r="C78" s="598" t="s">
        <v>267</v>
      </c>
      <c r="D78" s="956">
        <v>41005</v>
      </c>
      <c r="E78" s="956">
        <v>20445</v>
      </c>
      <c r="F78" s="956">
        <v>3429</v>
      </c>
      <c r="G78" s="956">
        <v>36378</v>
      </c>
      <c r="H78" s="956">
        <v>28501</v>
      </c>
      <c r="I78" s="600">
        <v>31454</v>
      </c>
      <c r="J78" s="600">
        <v>17031</v>
      </c>
      <c r="K78" s="600">
        <v>10950</v>
      </c>
      <c r="L78" s="600">
        <v>3430</v>
      </c>
      <c r="M78" s="600">
        <v>61561</v>
      </c>
    </row>
    <row r="79" spans="1:13" s="601" customFormat="1" x14ac:dyDescent="0.25">
      <c r="A79" s="603" t="s">
        <v>190</v>
      </c>
      <c r="B79" s="599" t="s">
        <v>191</v>
      </c>
      <c r="C79" s="598" t="s">
        <v>268</v>
      </c>
      <c r="D79" s="956">
        <v>3394</v>
      </c>
      <c r="E79" s="956">
        <v>3785</v>
      </c>
      <c r="F79" s="956">
        <v>942</v>
      </c>
      <c r="G79" s="956">
        <v>4720</v>
      </c>
      <c r="H79" s="956">
        <v>3401</v>
      </c>
      <c r="I79" s="600">
        <v>6927</v>
      </c>
      <c r="J79" s="600">
        <v>744</v>
      </c>
      <c r="K79" s="600">
        <v>249</v>
      </c>
      <c r="L79" s="600">
        <v>102</v>
      </c>
      <c r="M79" s="600">
        <v>8022</v>
      </c>
    </row>
    <row r="80" spans="1:13" s="601" customFormat="1" x14ac:dyDescent="0.25">
      <c r="A80" s="603" t="s">
        <v>194</v>
      </c>
      <c r="B80" s="599" t="s">
        <v>195</v>
      </c>
      <c r="C80" s="598" t="s">
        <v>267</v>
      </c>
      <c r="D80" s="956">
        <v>498</v>
      </c>
      <c r="E80" s="956">
        <v>401</v>
      </c>
      <c r="F80" s="956">
        <v>118</v>
      </c>
      <c r="G80" s="956">
        <v>570</v>
      </c>
      <c r="H80" s="956">
        <v>447</v>
      </c>
      <c r="I80" s="600">
        <v>853</v>
      </c>
      <c r="J80" s="600">
        <v>110</v>
      </c>
      <c r="K80" s="600">
        <v>31</v>
      </c>
      <c r="L80" s="600">
        <v>22</v>
      </c>
      <c r="M80" s="600">
        <v>1027</v>
      </c>
    </row>
    <row r="81" spans="1:13" s="601" customFormat="1" x14ac:dyDescent="0.25">
      <c r="A81" s="603" t="s">
        <v>198</v>
      </c>
      <c r="B81" s="599" t="s">
        <v>272</v>
      </c>
      <c r="C81" s="598" t="s">
        <v>266</v>
      </c>
      <c r="D81" s="956">
        <v>1058</v>
      </c>
      <c r="E81" s="956">
        <v>878</v>
      </c>
      <c r="F81" s="956">
        <v>211</v>
      </c>
      <c r="G81" s="956">
        <v>1292</v>
      </c>
      <c r="H81" s="956">
        <v>855</v>
      </c>
      <c r="I81" s="600">
        <v>981</v>
      </c>
      <c r="J81" s="600">
        <v>921</v>
      </c>
      <c r="K81" s="600">
        <v>147</v>
      </c>
      <c r="L81" s="600">
        <v>73</v>
      </c>
      <c r="M81" s="600">
        <v>2077</v>
      </c>
    </row>
    <row r="82" spans="1:13" s="601" customFormat="1" x14ac:dyDescent="0.25">
      <c r="A82" s="603" t="s">
        <v>202</v>
      </c>
      <c r="B82" s="599" t="s">
        <v>301</v>
      </c>
      <c r="C82" s="598" t="s">
        <v>265</v>
      </c>
      <c r="D82" s="956">
        <v>8134</v>
      </c>
      <c r="E82" s="956">
        <v>6098</v>
      </c>
      <c r="F82" s="956">
        <v>1447</v>
      </c>
      <c r="G82" s="956">
        <v>8978</v>
      </c>
      <c r="H82" s="956">
        <v>6701</v>
      </c>
      <c r="I82" s="600">
        <v>11400</v>
      </c>
      <c r="J82" s="600">
        <v>2177</v>
      </c>
      <c r="K82" s="600">
        <v>1060</v>
      </c>
      <c r="L82" s="600">
        <v>740</v>
      </c>
      <c r="M82" s="600">
        <v>15407</v>
      </c>
    </row>
    <row r="83" spans="1:13" s="601" customFormat="1" x14ac:dyDescent="0.25">
      <c r="A83" s="603" t="s">
        <v>204</v>
      </c>
      <c r="B83" s="599" t="s">
        <v>293</v>
      </c>
      <c r="C83" s="598" t="s">
        <v>265</v>
      </c>
      <c r="D83" s="956">
        <v>3193</v>
      </c>
      <c r="E83" s="956">
        <v>2798</v>
      </c>
      <c r="F83" s="956">
        <v>855</v>
      </c>
      <c r="G83" s="956">
        <v>4012</v>
      </c>
      <c r="H83" s="956">
        <v>2834</v>
      </c>
      <c r="I83" s="600">
        <v>5908</v>
      </c>
      <c r="J83" s="600">
        <v>467</v>
      </c>
      <c r="K83" s="600">
        <v>210</v>
      </c>
      <c r="L83" s="600">
        <v>222</v>
      </c>
      <c r="M83" s="600">
        <v>6453</v>
      </c>
    </row>
    <row r="84" spans="1:13" s="601" customFormat="1" x14ac:dyDescent="0.25">
      <c r="A84" s="603" t="s">
        <v>206</v>
      </c>
      <c r="B84" s="599" t="s">
        <v>294</v>
      </c>
      <c r="C84" s="598" t="s">
        <v>267</v>
      </c>
      <c r="D84" s="956">
        <v>12090</v>
      </c>
      <c r="E84" s="956">
        <v>7392</v>
      </c>
      <c r="F84" s="956">
        <v>1637</v>
      </c>
      <c r="G84" s="956">
        <v>12047</v>
      </c>
      <c r="H84" s="956">
        <v>9072</v>
      </c>
      <c r="I84" s="600">
        <v>15687</v>
      </c>
      <c r="J84" s="600">
        <v>1601</v>
      </c>
      <c r="K84" s="600">
        <v>1790</v>
      </c>
      <c r="L84" s="600">
        <v>1528</v>
      </c>
      <c r="M84" s="600">
        <v>20248</v>
      </c>
    </row>
    <row r="85" spans="1:13" s="601" customFormat="1" x14ac:dyDescent="0.25">
      <c r="A85" s="603" t="s">
        <v>208</v>
      </c>
      <c r="B85" s="599" t="s">
        <v>209</v>
      </c>
      <c r="C85" s="598" t="s">
        <v>268</v>
      </c>
      <c r="D85" s="956">
        <v>3538</v>
      </c>
      <c r="E85" s="956">
        <v>4155</v>
      </c>
      <c r="F85" s="956">
        <v>891</v>
      </c>
      <c r="G85" s="956">
        <v>4907</v>
      </c>
      <c r="H85" s="956">
        <v>3677</v>
      </c>
      <c r="I85" s="600">
        <v>7876</v>
      </c>
      <c r="J85" s="600">
        <v>81</v>
      </c>
      <c r="K85" s="600">
        <v>51</v>
      </c>
      <c r="L85" s="600">
        <v>539</v>
      </c>
      <c r="M85" s="600">
        <v>8420</v>
      </c>
    </row>
    <row r="86" spans="1:13" s="601" customFormat="1" x14ac:dyDescent="0.25">
      <c r="A86" s="603" t="s">
        <v>210</v>
      </c>
      <c r="B86" s="599" t="s">
        <v>211</v>
      </c>
      <c r="C86" s="598" t="s">
        <v>268</v>
      </c>
      <c r="D86" s="956">
        <v>2399</v>
      </c>
      <c r="E86" s="956">
        <v>2865</v>
      </c>
      <c r="F86" s="956">
        <v>929</v>
      </c>
      <c r="G86" s="956">
        <v>3462</v>
      </c>
      <c r="H86" s="956">
        <v>2731</v>
      </c>
      <c r="I86" s="600">
        <v>5766</v>
      </c>
      <c r="J86" s="600">
        <v>80</v>
      </c>
      <c r="K86" s="600">
        <v>80</v>
      </c>
      <c r="L86" s="600">
        <v>163</v>
      </c>
      <c r="M86" s="600">
        <v>6114</v>
      </c>
    </row>
    <row r="87" spans="1:13" s="601" customFormat="1" x14ac:dyDescent="0.25">
      <c r="A87" s="603" t="s">
        <v>212</v>
      </c>
      <c r="B87" s="599" t="s">
        <v>213</v>
      </c>
      <c r="C87" s="598" t="s">
        <v>267</v>
      </c>
      <c r="D87" s="956">
        <v>4373</v>
      </c>
      <c r="E87" s="956">
        <v>3242</v>
      </c>
      <c r="F87" s="956">
        <v>759</v>
      </c>
      <c r="G87" s="956">
        <v>4858</v>
      </c>
      <c r="H87" s="956">
        <v>3516</v>
      </c>
      <c r="I87" s="600">
        <v>6927</v>
      </c>
      <c r="J87" s="600">
        <v>379</v>
      </c>
      <c r="K87" s="600">
        <v>615</v>
      </c>
      <c r="L87" s="600">
        <v>322</v>
      </c>
      <c r="M87" s="600">
        <v>7931</v>
      </c>
    </row>
    <row r="88" spans="1:13" s="601" customFormat="1" x14ac:dyDescent="0.25">
      <c r="A88" s="603" t="s">
        <v>214</v>
      </c>
      <c r="B88" s="599" t="s">
        <v>215</v>
      </c>
      <c r="C88" s="598" t="s">
        <v>268</v>
      </c>
      <c r="D88" s="956">
        <v>3660</v>
      </c>
      <c r="E88" s="956">
        <v>4001</v>
      </c>
      <c r="F88" s="956">
        <v>1060</v>
      </c>
      <c r="G88" s="956">
        <v>5015</v>
      </c>
      <c r="H88" s="956">
        <v>3706</v>
      </c>
      <c r="I88" s="600">
        <v>7978</v>
      </c>
      <c r="J88" s="600">
        <v>169</v>
      </c>
      <c r="K88" s="600">
        <v>138</v>
      </c>
      <c r="L88" s="600">
        <v>313</v>
      </c>
      <c r="M88" s="600">
        <v>8822</v>
      </c>
    </row>
    <row r="89" spans="1:13" s="601" customFormat="1" x14ac:dyDescent="0.25">
      <c r="A89" s="603" t="s">
        <v>216</v>
      </c>
      <c r="B89" s="599" t="s">
        <v>217</v>
      </c>
      <c r="C89" s="598" t="s">
        <v>264</v>
      </c>
      <c r="D89" s="956">
        <v>1930</v>
      </c>
      <c r="E89" s="956">
        <v>1746</v>
      </c>
      <c r="F89" s="956">
        <v>527</v>
      </c>
      <c r="G89" s="956">
        <v>2528</v>
      </c>
      <c r="H89" s="956">
        <v>1675</v>
      </c>
      <c r="I89" s="600">
        <v>1534</v>
      </c>
      <c r="J89" s="600">
        <v>2257</v>
      </c>
      <c r="K89" s="600">
        <v>91</v>
      </c>
      <c r="L89" s="600">
        <v>307</v>
      </c>
      <c r="M89" s="600">
        <v>4156</v>
      </c>
    </row>
    <row r="90" spans="1:13" s="601" customFormat="1" x14ac:dyDescent="0.25">
      <c r="A90" s="603" t="s">
        <v>218</v>
      </c>
      <c r="B90" s="599" t="s">
        <v>219</v>
      </c>
      <c r="C90" s="598" t="s">
        <v>267</v>
      </c>
      <c r="D90" s="956">
        <v>12231</v>
      </c>
      <c r="E90" s="956">
        <v>8506</v>
      </c>
      <c r="F90" s="956">
        <v>1104</v>
      </c>
      <c r="G90" s="956">
        <v>12545</v>
      </c>
      <c r="H90" s="956">
        <v>9296</v>
      </c>
      <c r="I90" s="600">
        <v>12660</v>
      </c>
      <c r="J90" s="600">
        <v>5482</v>
      </c>
      <c r="K90" s="600">
        <v>2025</v>
      </c>
      <c r="L90" s="600">
        <v>1046</v>
      </c>
      <c r="M90" s="600">
        <v>20416</v>
      </c>
    </row>
    <row r="91" spans="1:13" s="601" customFormat="1" x14ac:dyDescent="0.25">
      <c r="A91" s="603" t="s">
        <v>220</v>
      </c>
      <c r="B91" s="599" t="s">
        <v>221</v>
      </c>
      <c r="C91" s="598" t="s">
        <v>267</v>
      </c>
      <c r="D91" s="956">
        <v>10704</v>
      </c>
      <c r="E91" s="956">
        <v>7016</v>
      </c>
      <c r="F91" s="956">
        <v>807</v>
      </c>
      <c r="G91" s="956">
        <v>10748</v>
      </c>
      <c r="H91" s="956">
        <v>7779</v>
      </c>
      <c r="I91" s="600">
        <v>9554</v>
      </c>
      <c r="J91" s="600">
        <v>4984</v>
      </c>
      <c r="K91" s="600">
        <v>2102</v>
      </c>
      <c r="L91" s="600">
        <v>1316</v>
      </c>
      <c r="M91" s="600">
        <v>16832</v>
      </c>
    </row>
    <row r="92" spans="1:13" s="601" customFormat="1" x14ac:dyDescent="0.25">
      <c r="A92" s="603" t="s">
        <v>224</v>
      </c>
      <c r="B92" s="599" t="s">
        <v>225</v>
      </c>
      <c r="C92" s="598" t="s">
        <v>264</v>
      </c>
      <c r="D92" s="956">
        <v>674</v>
      </c>
      <c r="E92" s="956">
        <v>664</v>
      </c>
      <c r="F92" s="956">
        <v>150</v>
      </c>
      <c r="G92" s="956">
        <v>884</v>
      </c>
      <c r="H92" s="956">
        <v>604</v>
      </c>
      <c r="I92" s="600">
        <v>513</v>
      </c>
      <c r="J92" s="600">
        <v>911</v>
      </c>
      <c r="K92" s="600">
        <v>45</v>
      </c>
      <c r="L92" s="600">
        <v>7</v>
      </c>
      <c r="M92" s="600">
        <v>1433</v>
      </c>
    </row>
    <row r="93" spans="1:13" s="601" customFormat="1" x14ac:dyDescent="0.25">
      <c r="A93" s="603" t="s">
        <v>226</v>
      </c>
      <c r="B93" s="599" t="s">
        <v>227</v>
      </c>
      <c r="C93" s="598" t="s">
        <v>264</v>
      </c>
      <c r="D93" s="956">
        <v>1223</v>
      </c>
      <c r="E93" s="956">
        <v>1147</v>
      </c>
      <c r="F93" s="956">
        <v>322</v>
      </c>
      <c r="G93" s="956">
        <v>1584</v>
      </c>
      <c r="H93" s="956">
        <v>1108</v>
      </c>
      <c r="I93" s="600">
        <v>674</v>
      </c>
      <c r="J93" s="600">
        <v>1768</v>
      </c>
      <c r="K93" s="600">
        <v>42</v>
      </c>
      <c r="L93" s="600">
        <v>183</v>
      </c>
      <c r="M93" s="600">
        <v>2658</v>
      </c>
    </row>
    <row r="94" spans="1:13" s="601" customFormat="1" x14ac:dyDescent="0.25">
      <c r="A94" s="603" t="s">
        <v>228</v>
      </c>
      <c r="B94" s="599" t="s">
        <v>229</v>
      </c>
      <c r="C94" s="598" t="s">
        <v>268</v>
      </c>
      <c r="D94" s="956">
        <v>5142</v>
      </c>
      <c r="E94" s="956">
        <v>5680</v>
      </c>
      <c r="F94" s="956">
        <v>1195</v>
      </c>
      <c r="G94" s="956">
        <v>6984</v>
      </c>
      <c r="H94" s="956">
        <v>5033</v>
      </c>
      <c r="I94" s="600">
        <v>10789</v>
      </c>
      <c r="J94" s="600">
        <v>409</v>
      </c>
      <c r="K94" s="600">
        <v>137</v>
      </c>
      <c r="L94" s="600">
        <v>340</v>
      </c>
      <c r="M94" s="600">
        <v>11591</v>
      </c>
    </row>
    <row r="95" spans="1:13" s="601" customFormat="1" x14ac:dyDescent="0.25">
      <c r="A95" s="603" t="s">
        <v>232</v>
      </c>
      <c r="B95" s="599" t="s">
        <v>233</v>
      </c>
      <c r="C95" s="598" t="s">
        <v>267</v>
      </c>
      <c r="D95" s="956">
        <v>3698</v>
      </c>
      <c r="E95" s="956">
        <v>3118</v>
      </c>
      <c r="F95" s="956">
        <v>536</v>
      </c>
      <c r="G95" s="956">
        <v>4261</v>
      </c>
      <c r="H95" s="956">
        <v>3091</v>
      </c>
      <c r="I95" s="600">
        <v>5807</v>
      </c>
      <c r="J95" s="600">
        <v>704</v>
      </c>
      <c r="K95" s="600">
        <v>417</v>
      </c>
      <c r="L95" s="600">
        <v>373</v>
      </c>
      <c r="M95" s="600">
        <v>7167</v>
      </c>
    </row>
    <row r="96" spans="1:13" s="601" customFormat="1" x14ac:dyDescent="0.25">
      <c r="A96" s="603" t="s">
        <v>234</v>
      </c>
      <c r="B96" s="599" t="s">
        <v>235</v>
      </c>
      <c r="C96" s="598" t="s">
        <v>268</v>
      </c>
      <c r="D96" s="956">
        <v>5074</v>
      </c>
      <c r="E96" s="956">
        <v>5295</v>
      </c>
      <c r="F96" s="956">
        <v>1342</v>
      </c>
      <c r="G96" s="956">
        <v>6777</v>
      </c>
      <c r="H96" s="956">
        <v>4934</v>
      </c>
      <c r="I96" s="600">
        <v>10761</v>
      </c>
      <c r="J96" s="600">
        <v>238</v>
      </c>
      <c r="K96" s="600">
        <v>285</v>
      </c>
      <c r="L96" s="600">
        <v>311</v>
      </c>
      <c r="M96" s="600">
        <v>11609</v>
      </c>
    </row>
    <row r="97" spans="1:13" s="601" customFormat="1" x14ac:dyDescent="0.25">
      <c r="A97" s="603" t="s">
        <v>236</v>
      </c>
      <c r="B97" s="599" t="s">
        <v>237</v>
      </c>
      <c r="C97" s="598" t="s">
        <v>266</v>
      </c>
      <c r="D97" s="956">
        <v>2289</v>
      </c>
      <c r="E97" s="956">
        <v>1876</v>
      </c>
      <c r="F97" s="956">
        <v>547</v>
      </c>
      <c r="G97" s="956">
        <v>2768</v>
      </c>
      <c r="H97" s="956">
        <v>1944</v>
      </c>
      <c r="I97" s="600">
        <v>2232</v>
      </c>
      <c r="J97" s="600">
        <v>1890</v>
      </c>
      <c r="K97" s="600">
        <v>253</v>
      </c>
      <c r="L97" s="600">
        <v>279</v>
      </c>
      <c r="M97" s="600">
        <v>4495</v>
      </c>
    </row>
    <row r="98" spans="1:13" s="601" customFormat="1" x14ac:dyDescent="0.25">
      <c r="A98" s="603" t="s">
        <v>242</v>
      </c>
      <c r="B98" s="599" t="s">
        <v>243</v>
      </c>
      <c r="C98" s="598" t="s">
        <v>268</v>
      </c>
      <c r="D98" s="956">
        <v>5173</v>
      </c>
      <c r="E98" s="956">
        <v>6215</v>
      </c>
      <c r="F98" s="956">
        <v>1098</v>
      </c>
      <c r="G98" s="956">
        <v>7199</v>
      </c>
      <c r="H98" s="956">
        <v>5287</v>
      </c>
      <c r="I98" s="600">
        <v>11366</v>
      </c>
      <c r="J98" s="600">
        <v>301</v>
      </c>
      <c r="K98" s="600">
        <v>180</v>
      </c>
      <c r="L98" s="600">
        <v>508</v>
      </c>
      <c r="M98" s="600">
        <v>12301</v>
      </c>
    </row>
    <row r="99" spans="1:13" s="601" customFormat="1" x14ac:dyDescent="0.25">
      <c r="A99" s="603" t="s">
        <v>244</v>
      </c>
      <c r="B99" s="599" t="s">
        <v>245</v>
      </c>
      <c r="C99" s="598" t="s">
        <v>268</v>
      </c>
      <c r="D99" s="956">
        <v>3047</v>
      </c>
      <c r="E99" s="956">
        <v>3017</v>
      </c>
      <c r="F99" s="956">
        <v>780</v>
      </c>
      <c r="G99" s="956">
        <v>3980</v>
      </c>
      <c r="H99" s="956">
        <v>2864</v>
      </c>
      <c r="I99" s="600">
        <v>6006</v>
      </c>
      <c r="J99" s="600">
        <v>339</v>
      </c>
      <c r="K99" s="600">
        <v>146</v>
      </c>
      <c r="L99" s="600">
        <v>224</v>
      </c>
      <c r="M99" s="600">
        <v>6866</v>
      </c>
    </row>
    <row r="100" spans="1:13" s="601" customFormat="1" x14ac:dyDescent="0.25">
      <c r="A100" s="603" t="s">
        <v>246</v>
      </c>
      <c r="B100" s="599" t="s">
        <v>247</v>
      </c>
      <c r="C100" s="598" t="s">
        <v>264</v>
      </c>
      <c r="D100" s="956">
        <v>3346</v>
      </c>
      <c r="E100" s="956">
        <v>2418</v>
      </c>
      <c r="F100" s="956">
        <v>429</v>
      </c>
      <c r="G100" s="956">
        <v>3657</v>
      </c>
      <c r="H100" s="956">
        <v>2535</v>
      </c>
      <c r="I100" s="600">
        <v>3560</v>
      </c>
      <c r="J100" s="600">
        <v>1742</v>
      </c>
      <c r="K100" s="600">
        <v>550</v>
      </c>
      <c r="L100" s="600">
        <v>204</v>
      </c>
      <c r="M100" s="600">
        <v>6071</v>
      </c>
    </row>
    <row r="101" spans="1:13" s="601" customFormat="1" x14ac:dyDescent="0.25">
      <c r="A101" s="603" t="s">
        <v>14</v>
      </c>
      <c r="B101" s="599" t="s">
        <v>15</v>
      </c>
      <c r="C101" s="598" t="s">
        <v>267</v>
      </c>
      <c r="D101" s="956">
        <v>11926</v>
      </c>
      <c r="E101" s="956">
        <v>6183</v>
      </c>
      <c r="F101" s="956">
        <v>1649</v>
      </c>
      <c r="G101" s="956">
        <v>11096</v>
      </c>
      <c r="H101" s="956">
        <v>8662</v>
      </c>
      <c r="I101" s="600">
        <v>7455</v>
      </c>
      <c r="J101" s="600">
        <v>7724</v>
      </c>
      <c r="K101" s="600">
        <v>2164</v>
      </c>
      <c r="L101" s="600">
        <v>1459</v>
      </c>
      <c r="M101" s="600">
        <v>18338</v>
      </c>
    </row>
    <row r="102" spans="1:13" s="601" customFormat="1" x14ac:dyDescent="0.25">
      <c r="A102" s="603" t="s">
        <v>34</v>
      </c>
      <c r="B102" s="599" t="s">
        <v>35</v>
      </c>
      <c r="C102" s="598" t="s">
        <v>268</v>
      </c>
      <c r="D102" s="956">
        <v>2531</v>
      </c>
      <c r="E102" s="956">
        <v>2740</v>
      </c>
      <c r="F102" s="956">
        <v>570</v>
      </c>
      <c r="G102" s="956">
        <v>3437</v>
      </c>
      <c r="H102" s="956">
        <v>2404</v>
      </c>
      <c r="I102" s="600">
        <v>4679</v>
      </c>
      <c r="J102" s="600">
        <v>517</v>
      </c>
      <c r="K102" s="600">
        <v>203</v>
      </c>
      <c r="L102" s="600">
        <v>193</v>
      </c>
      <c r="M102" s="600">
        <v>5833</v>
      </c>
    </row>
    <row r="103" spans="1:13" s="601" customFormat="1" x14ac:dyDescent="0.25">
      <c r="A103" s="603" t="s">
        <v>52</v>
      </c>
      <c r="B103" s="599" t="s">
        <v>53</v>
      </c>
      <c r="C103" s="598" t="s">
        <v>265</v>
      </c>
      <c r="D103" s="956">
        <v>3737</v>
      </c>
      <c r="E103" s="956">
        <v>3364</v>
      </c>
      <c r="F103" s="956">
        <v>650</v>
      </c>
      <c r="G103" s="956">
        <v>4301</v>
      </c>
      <c r="H103" s="956">
        <v>3450</v>
      </c>
      <c r="I103" s="600">
        <v>2681</v>
      </c>
      <c r="J103" s="600">
        <v>3946</v>
      </c>
      <c r="K103" s="600">
        <v>731</v>
      </c>
      <c r="L103" s="600">
        <v>214</v>
      </c>
      <c r="M103" s="600">
        <v>7686</v>
      </c>
    </row>
    <row r="104" spans="1:13" s="601" customFormat="1" x14ac:dyDescent="0.25">
      <c r="A104" s="603" t="s">
        <v>54</v>
      </c>
      <c r="B104" s="599" t="s">
        <v>55</v>
      </c>
      <c r="C104" s="598" t="s">
        <v>264</v>
      </c>
      <c r="D104" s="956">
        <v>19776</v>
      </c>
      <c r="E104" s="956">
        <v>15892</v>
      </c>
      <c r="F104" s="956">
        <v>2330</v>
      </c>
      <c r="G104" s="956">
        <v>22716</v>
      </c>
      <c r="H104" s="956">
        <v>15282</v>
      </c>
      <c r="I104" s="600">
        <v>13240</v>
      </c>
      <c r="J104" s="600">
        <v>20002</v>
      </c>
      <c r="K104" s="600">
        <v>2020</v>
      </c>
      <c r="L104" s="600">
        <v>1841</v>
      </c>
      <c r="M104" s="600">
        <v>35837</v>
      </c>
    </row>
    <row r="105" spans="1:13" s="601" customFormat="1" x14ac:dyDescent="0.25">
      <c r="A105" s="603" t="s">
        <v>66</v>
      </c>
      <c r="B105" s="599" t="s">
        <v>67</v>
      </c>
      <c r="C105" s="598" t="s">
        <v>265</v>
      </c>
      <c r="D105" s="956">
        <v>7586</v>
      </c>
      <c r="E105" s="956">
        <v>7842</v>
      </c>
      <c r="F105" s="956">
        <v>1884</v>
      </c>
      <c r="G105" s="956">
        <v>10497</v>
      </c>
      <c r="H105" s="956">
        <v>6815</v>
      </c>
      <c r="I105" s="600">
        <v>4818</v>
      </c>
      <c r="J105" s="600">
        <v>10979</v>
      </c>
      <c r="K105" s="600">
        <v>515</v>
      </c>
      <c r="L105" s="600">
        <v>840</v>
      </c>
      <c r="M105" s="600">
        <v>17125</v>
      </c>
    </row>
    <row r="106" spans="1:13" s="601" customFormat="1" x14ac:dyDescent="0.25">
      <c r="A106" s="603" t="s">
        <v>82</v>
      </c>
      <c r="B106" s="599" t="s">
        <v>83</v>
      </c>
      <c r="C106" s="598" t="s">
        <v>264</v>
      </c>
      <c r="D106" s="956">
        <v>1539</v>
      </c>
      <c r="E106" s="956">
        <v>1505</v>
      </c>
      <c r="F106" s="956">
        <v>308</v>
      </c>
      <c r="G106" s="956">
        <v>2063</v>
      </c>
      <c r="H106" s="956">
        <v>1289</v>
      </c>
      <c r="I106" s="600">
        <v>396</v>
      </c>
      <c r="J106" s="600">
        <v>2650</v>
      </c>
      <c r="K106" s="600">
        <v>96</v>
      </c>
      <c r="L106" s="600">
        <v>179</v>
      </c>
      <c r="M106" s="600">
        <v>3374</v>
      </c>
    </row>
    <row r="107" spans="1:13" s="601" customFormat="1" x14ac:dyDescent="0.25">
      <c r="A107" s="603" t="s">
        <v>88</v>
      </c>
      <c r="B107" s="599" t="s">
        <v>89</v>
      </c>
      <c r="C107" s="598" t="s">
        <v>267</v>
      </c>
      <c r="D107" s="956">
        <v>3428</v>
      </c>
      <c r="E107" s="956">
        <v>2652</v>
      </c>
      <c r="F107" s="956">
        <v>422</v>
      </c>
      <c r="G107" s="956">
        <v>3843</v>
      </c>
      <c r="H107" s="956">
        <v>2659</v>
      </c>
      <c r="I107" s="600">
        <v>2515</v>
      </c>
      <c r="J107" s="600">
        <v>2617</v>
      </c>
      <c r="K107" s="600">
        <v>694</v>
      </c>
      <c r="L107" s="600">
        <v>464</v>
      </c>
      <c r="M107" s="600">
        <v>6788</v>
      </c>
    </row>
    <row r="108" spans="1:13" s="601" customFormat="1" x14ac:dyDescent="0.25">
      <c r="A108" s="603" t="s">
        <v>90</v>
      </c>
      <c r="B108" s="599" t="s">
        <v>91</v>
      </c>
      <c r="C108" s="598" t="s">
        <v>268</v>
      </c>
      <c r="D108" s="956">
        <v>1230</v>
      </c>
      <c r="E108" s="956">
        <v>1045</v>
      </c>
      <c r="F108" s="956">
        <v>368</v>
      </c>
      <c r="G108" s="956">
        <v>1543</v>
      </c>
      <c r="H108" s="956">
        <v>1100</v>
      </c>
      <c r="I108" s="600">
        <v>2106</v>
      </c>
      <c r="J108" s="600">
        <v>278</v>
      </c>
      <c r="K108" s="600">
        <v>97</v>
      </c>
      <c r="L108" s="600">
        <v>130</v>
      </c>
      <c r="M108" s="600">
        <v>2661</v>
      </c>
    </row>
    <row r="109" spans="1:13" s="601" customFormat="1" x14ac:dyDescent="0.25">
      <c r="A109" s="603" t="s">
        <v>106</v>
      </c>
      <c r="B109" s="599" t="s">
        <v>107</v>
      </c>
      <c r="C109" s="598" t="s">
        <v>264</v>
      </c>
      <c r="D109" s="956">
        <v>15763</v>
      </c>
      <c r="E109" s="956">
        <v>13912</v>
      </c>
      <c r="F109" s="956">
        <v>1806</v>
      </c>
      <c r="G109" s="956">
        <v>18991</v>
      </c>
      <c r="H109" s="956">
        <v>12490</v>
      </c>
      <c r="I109" s="600">
        <v>7045</v>
      </c>
      <c r="J109" s="600">
        <v>20346</v>
      </c>
      <c r="K109" s="600">
        <v>1492</v>
      </c>
      <c r="L109" s="600">
        <v>2219</v>
      </c>
      <c r="M109" s="600">
        <v>31530</v>
      </c>
    </row>
    <row r="110" spans="1:13" s="601" customFormat="1" x14ac:dyDescent="0.25">
      <c r="A110" s="603" t="s">
        <v>116</v>
      </c>
      <c r="B110" s="599" t="s">
        <v>117</v>
      </c>
      <c r="C110" s="598" t="s">
        <v>266</v>
      </c>
      <c r="D110" s="956">
        <v>4822</v>
      </c>
      <c r="E110" s="956">
        <v>3960</v>
      </c>
      <c r="F110" s="956">
        <v>452</v>
      </c>
      <c r="G110" s="956">
        <v>5543</v>
      </c>
      <c r="H110" s="956">
        <v>3691</v>
      </c>
      <c r="I110" s="600">
        <v>3166</v>
      </c>
      <c r="J110" s="600">
        <v>4827</v>
      </c>
      <c r="K110" s="600">
        <v>314</v>
      </c>
      <c r="L110" s="600">
        <v>666</v>
      </c>
      <c r="M110" s="600">
        <v>9004</v>
      </c>
    </row>
    <row r="111" spans="1:13" s="601" customFormat="1" x14ac:dyDescent="0.25">
      <c r="A111" s="603" t="s">
        <v>138</v>
      </c>
      <c r="B111" s="599" t="s">
        <v>139</v>
      </c>
      <c r="C111" s="598" t="s">
        <v>265</v>
      </c>
      <c r="D111" s="956">
        <v>8758</v>
      </c>
      <c r="E111" s="956">
        <v>8347</v>
      </c>
      <c r="F111" s="956">
        <v>1564</v>
      </c>
      <c r="G111" s="956">
        <v>10958</v>
      </c>
      <c r="H111" s="956">
        <v>7711</v>
      </c>
      <c r="I111" s="600">
        <v>6379</v>
      </c>
      <c r="J111" s="600">
        <v>10146</v>
      </c>
      <c r="K111" s="600">
        <v>645</v>
      </c>
      <c r="L111" s="600">
        <v>1221</v>
      </c>
      <c r="M111" s="600">
        <v>18584</v>
      </c>
    </row>
    <row r="112" spans="1:13" s="601" customFormat="1" x14ac:dyDescent="0.25">
      <c r="A112" s="603" t="s">
        <v>142</v>
      </c>
      <c r="B112" s="599" t="s">
        <v>143</v>
      </c>
      <c r="C112" s="598" t="s">
        <v>267</v>
      </c>
      <c r="D112" s="956">
        <v>6386</v>
      </c>
      <c r="E112" s="956">
        <v>2416</v>
      </c>
      <c r="F112" s="956">
        <v>306</v>
      </c>
      <c r="G112" s="956">
        <v>4955</v>
      </c>
      <c r="H112" s="956">
        <v>4153</v>
      </c>
      <c r="I112" s="600">
        <v>5080</v>
      </c>
      <c r="J112" s="600">
        <v>1506</v>
      </c>
      <c r="K112" s="600">
        <v>1338</v>
      </c>
      <c r="L112" s="600">
        <v>910</v>
      </c>
      <c r="M112" s="600">
        <v>8943</v>
      </c>
    </row>
    <row r="113" spans="1:13" s="601" customFormat="1" x14ac:dyDescent="0.25">
      <c r="A113" s="603" t="s">
        <v>144</v>
      </c>
      <c r="B113" s="599" t="s">
        <v>145</v>
      </c>
      <c r="C113" s="598" t="s">
        <v>267</v>
      </c>
      <c r="D113" s="956">
        <v>2421</v>
      </c>
      <c r="E113" s="956">
        <v>829</v>
      </c>
      <c r="F113" s="956">
        <v>152</v>
      </c>
      <c r="G113" s="956">
        <v>1846</v>
      </c>
      <c r="H113" s="956">
        <v>1556</v>
      </c>
      <c r="I113" s="600">
        <v>2104</v>
      </c>
      <c r="J113" s="600">
        <v>354</v>
      </c>
      <c r="K113" s="600">
        <v>681</v>
      </c>
      <c r="L113" s="600">
        <v>222</v>
      </c>
      <c r="M113" s="600">
        <v>3220</v>
      </c>
    </row>
    <row r="114" spans="1:13" s="601" customFormat="1" x14ac:dyDescent="0.25">
      <c r="A114" s="603" t="s">
        <v>158</v>
      </c>
      <c r="B114" s="599" t="s">
        <v>159</v>
      </c>
      <c r="C114" s="598" t="s">
        <v>264</v>
      </c>
      <c r="D114" s="956">
        <v>24244</v>
      </c>
      <c r="E114" s="956">
        <v>20396</v>
      </c>
      <c r="F114" s="956">
        <v>2685</v>
      </c>
      <c r="G114" s="956">
        <v>28776</v>
      </c>
      <c r="H114" s="956">
        <v>18549</v>
      </c>
      <c r="I114" s="600">
        <v>10404</v>
      </c>
      <c r="J114" s="600">
        <v>30312</v>
      </c>
      <c r="K114" s="600">
        <v>2958</v>
      </c>
      <c r="L114" s="600">
        <v>2578</v>
      </c>
      <c r="M114" s="600">
        <v>45837</v>
      </c>
    </row>
    <row r="115" spans="1:13" s="601" customFormat="1" x14ac:dyDescent="0.25">
      <c r="A115" s="603" t="s">
        <v>160</v>
      </c>
      <c r="B115" s="599" t="s">
        <v>161</v>
      </c>
      <c r="C115" s="598" t="s">
        <v>264</v>
      </c>
      <c r="D115" s="956">
        <v>29517</v>
      </c>
      <c r="E115" s="956">
        <v>26856</v>
      </c>
      <c r="F115" s="956">
        <v>4152</v>
      </c>
      <c r="G115" s="956">
        <v>36622</v>
      </c>
      <c r="H115" s="956">
        <v>23903</v>
      </c>
      <c r="I115" s="600">
        <v>11575</v>
      </c>
      <c r="J115" s="600">
        <v>41982</v>
      </c>
      <c r="K115" s="600">
        <v>2735</v>
      </c>
      <c r="L115" s="600">
        <v>2858</v>
      </c>
      <c r="M115" s="600">
        <v>60128</v>
      </c>
    </row>
    <row r="116" spans="1:13" s="601" customFormat="1" x14ac:dyDescent="0.25">
      <c r="A116" s="603" t="s">
        <v>166</v>
      </c>
      <c r="B116" s="599" t="s">
        <v>167</v>
      </c>
      <c r="C116" s="598" t="s">
        <v>268</v>
      </c>
      <c r="D116" s="956">
        <v>632</v>
      </c>
      <c r="E116" s="956">
        <v>747</v>
      </c>
      <c r="F116" s="956">
        <v>174</v>
      </c>
      <c r="G116" s="956">
        <v>941</v>
      </c>
      <c r="H116" s="956">
        <v>612</v>
      </c>
      <c r="I116" s="600">
        <v>1311</v>
      </c>
      <c r="J116" s="600">
        <v>119</v>
      </c>
      <c r="K116" s="600">
        <v>56</v>
      </c>
      <c r="L116" s="600">
        <v>58</v>
      </c>
      <c r="M116" s="600">
        <v>1486</v>
      </c>
    </row>
    <row r="117" spans="1:13" s="601" customFormat="1" x14ac:dyDescent="0.25">
      <c r="A117" s="603" t="s">
        <v>176</v>
      </c>
      <c r="B117" s="599" t="s">
        <v>177</v>
      </c>
      <c r="C117" s="598" t="s">
        <v>266</v>
      </c>
      <c r="D117" s="956">
        <v>6448</v>
      </c>
      <c r="E117" s="956">
        <v>6325</v>
      </c>
      <c r="F117" s="956">
        <v>1030</v>
      </c>
      <c r="G117" s="956">
        <v>8113</v>
      </c>
      <c r="H117" s="956">
        <v>5690</v>
      </c>
      <c r="I117" s="600">
        <v>1275</v>
      </c>
      <c r="J117" s="600">
        <v>11295</v>
      </c>
      <c r="K117" s="600">
        <v>580</v>
      </c>
      <c r="L117" s="600">
        <v>537</v>
      </c>
      <c r="M117" s="600">
        <v>12744</v>
      </c>
    </row>
    <row r="118" spans="1:13" s="601" customFormat="1" x14ac:dyDescent="0.25">
      <c r="A118" s="603" t="s">
        <v>180</v>
      </c>
      <c r="B118" s="599" t="s">
        <v>181</v>
      </c>
      <c r="C118" s="598" t="s">
        <v>264</v>
      </c>
      <c r="D118" s="956">
        <v>15239</v>
      </c>
      <c r="E118" s="956">
        <v>13752</v>
      </c>
      <c r="F118" s="956">
        <v>1899</v>
      </c>
      <c r="G118" s="956">
        <v>18545</v>
      </c>
      <c r="H118" s="956">
        <v>12345</v>
      </c>
      <c r="I118" s="600">
        <v>5492</v>
      </c>
      <c r="J118" s="600">
        <v>22628</v>
      </c>
      <c r="K118" s="600">
        <v>812</v>
      </c>
      <c r="L118" s="600">
        <v>1387</v>
      </c>
      <c r="M118" s="600">
        <v>30501</v>
      </c>
    </row>
    <row r="119" spans="1:13" s="601" customFormat="1" x14ac:dyDescent="0.25">
      <c r="A119" s="603" t="s">
        <v>192</v>
      </c>
      <c r="B119" s="599" t="s">
        <v>193</v>
      </c>
      <c r="C119" s="598" t="s">
        <v>268</v>
      </c>
      <c r="D119" s="956">
        <v>1194</v>
      </c>
      <c r="E119" s="956">
        <v>1239</v>
      </c>
      <c r="F119" s="956">
        <v>142</v>
      </c>
      <c r="G119" s="956">
        <v>1484</v>
      </c>
      <c r="H119" s="956">
        <v>1091</v>
      </c>
      <c r="I119" s="600">
        <v>1883</v>
      </c>
      <c r="J119" s="600">
        <v>455</v>
      </c>
      <c r="K119" s="600">
        <v>77</v>
      </c>
      <c r="L119" s="600">
        <v>128</v>
      </c>
      <c r="M119" s="600">
        <v>2540</v>
      </c>
    </row>
    <row r="120" spans="1:13" s="601" customFormat="1" x14ac:dyDescent="0.25">
      <c r="A120" s="603" t="s">
        <v>196</v>
      </c>
      <c r="B120" s="599" t="s">
        <v>197</v>
      </c>
      <c r="C120" s="598" t="s">
        <v>266</v>
      </c>
      <c r="D120" s="956">
        <v>31249</v>
      </c>
      <c r="E120" s="956">
        <v>28569</v>
      </c>
      <c r="F120" s="956">
        <v>4862</v>
      </c>
      <c r="G120" s="956">
        <v>38137</v>
      </c>
      <c r="H120" s="956">
        <v>26543</v>
      </c>
      <c r="I120" s="600">
        <v>8322</v>
      </c>
      <c r="J120" s="600">
        <v>48452</v>
      </c>
      <c r="K120" s="600">
        <v>3817</v>
      </c>
      <c r="L120" s="600">
        <v>3306</v>
      </c>
      <c r="M120" s="600">
        <v>60000</v>
      </c>
    </row>
    <row r="121" spans="1:13" s="601" customFormat="1" x14ac:dyDescent="0.25">
      <c r="A121" s="603" t="s">
        <v>200</v>
      </c>
      <c r="B121" s="599" t="s">
        <v>201</v>
      </c>
      <c r="C121" s="598" t="s">
        <v>265</v>
      </c>
      <c r="D121" s="956">
        <v>15658</v>
      </c>
      <c r="E121" s="956">
        <v>14217</v>
      </c>
      <c r="F121" s="956">
        <v>2481</v>
      </c>
      <c r="G121" s="956">
        <v>18862</v>
      </c>
      <c r="H121" s="956">
        <v>13494</v>
      </c>
      <c r="I121" s="600">
        <v>14839</v>
      </c>
      <c r="J121" s="600">
        <v>13774</v>
      </c>
      <c r="K121" s="600">
        <v>2069</v>
      </c>
      <c r="L121" s="600">
        <v>1320</v>
      </c>
      <c r="M121" s="600">
        <v>31771</v>
      </c>
    </row>
    <row r="122" spans="1:13" s="601" customFormat="1" x14ac:dyDescent="0.25">
      <c r="A122" s="603" t="s">
        <v>222</v>
      </c>
      <c r="B122" s="599" t="s">
        <v>223</v>
      </c>
      <c r="C122" s="598" t="s">
        <v>264</v>
      </c>
      <c r="D122" s="956">
        <v>8667</v>
      </c>
      <c r="E122" s="956">
        <v>7977</v>
      </c>
      <c r="F122" s="956">
        <v>1477</v>
      </c>
      <c r="G122" s="956">
        <v>10931</v>
      </c>
      <c r="H122" s="956">
        <v>7190</v>
      </c>
      <c r="I122" s="600">
        <v>4066</v>
      </c>
      <c r="J122" s="600">
        <v>12392</v>
      </c>
      <c r="K122" s="600">
        <v>563</v>
      </c>
      <c r="L122" s="600">
        <v>776</v>
      </c>
      <c r="M122" s="600">
        <v>17519</v>
      </c>
    </row>
    <row r="123" spans="1:13" s="601" customFormat="1" x14ac:dyDescent="0.25">
      <c r="A123" s="603" t="s">
        <v>230</v>
      </c>
      <c r="B123" s="599" t="s">
        <v>231</v>
      </c>
      <c r="C123" s="598" t="s">
        <v>264</v>
      </c>
      <c r="D123" s="956">
        <v>30357</v>
      </c>
      <c r="E123" s="956">
        <v>24097</v>
      </c>
      <c r="F123" s="956">
        <v>3581</v>
      </c>
      <c r="G123" s="956">
        <v>34566</v>
      </c>
      <c r="H123" s="956">
        <v>23469</v>
      </c>
      <c r="I123" s="600">
        <v>23646</v>
      </c>
      <c r="J123" s="600">
        <v>22956</v>
      </c>
      <c r="K123" s="600">
        <v>5557</v>
      </c>
      <c r="L123" s="600">
        <v>4490</v>
      </c>
      <c r="M123" s="600">
        <v>57656</v>
      </c>
    </row>
    <row r="124" spans="1:13" s="601" customFormat="1" x14ac:dyDescent="0.25">
      <c r="A124" s="603" t="s">
        <v>238</v>
      </c>
      <c r="B124" s="599" t="s">
        <v>239</v>
      </c>
      <c r="C124" s="598" t="s">
        <v>264</v>
      </c>
      <c r="D124" s="956">
        <v>942</v>
      </c>
      <c r="E124" s="956">
        <v>701</v>
      </c>
      <c r="F124" s="956">
        <v>91</v>
      </c>
      <c r="G124" s="956">
        <v>1011</v>
      </c>
      <c r="H124" s="956">
        <v>723</v>
      </c>
      <c r="I124" s="600">
        <v>676</v>
      </c>
      <c r="J124" s="600">
        <v>819</v>
      </c>
      <c r="K124" s="600">
        <v>196</v>
      </c>
      <c r="L124" s="600">
        <v>38</v>
      </c>
      <c r="M124" s="600">
        <v>1781</v>
      </c>
    </row>
    <row r="125" spans="1:13" s="601" customFormat="1" x14ac:dyDescent="0.25">
      <c r="A125" s="603" t="s">
        <v>240</v>
      </c>
      <c r="B125" s="599" t="s">
        <v>241</v>
      </c>
      <c r="C125" s="598" t="s">
        <v>267</v>
      </c>
      <c r="D125" s="956">
        <v>4168</v>
      </c>
      <c r="E125" s="956">
        <v>2637</v>
      </c>
      <c r="F125" s="956">
        <v>476</v>
      </c>
      <c r="G125" s="956">
        <v>4021</v>
      </c>
      <c r="H125" s="956">
        <v>3260</v>
      </c>
      <c r="I125" s="600">
        <v>5072</v>
      </c>
      <c r="J125" s="600">
        <v>1283</v>
      </c>
      <c r="K125" s="600">
        <v>437</v>
      </c>
      <c r="L125" s="600">
        <v>421</v>
      </c>
      <c r="M125" s="600">
        <v>6993</v>
      </c>
    </row>
    <row r="126" spans="1:13" x14ac:dyDescent="0.25">
      <c r="B126" s="505"/>
      <c r="C126" s="505"/>
      <c r="D126" s="505"/>
      <c r="E126" s="505"/>
      <c r="F126" s="505"/>
      <c r="G126" s="505"/>
      <c r="H126" s="505"/>
    </row>
    <row r="128" spans="1:13" ht="15.75" customHeight="1" x14ac:dyDescent="0.25">
      <c r="A128" s="1212" t="s">
        <v>1294</v>
      </c>
      <c r="B128" s="1211"/>
      <c r="C128" s="1211"/>
      <c r="D128" s="1211"/>
      <c r="E128" s="1211"/>
      <c r="F128" s="1211"/>
      <c r="G128" s="1186"/>
      <c r="H128" s="1186"/>
    </row>
    <row r="130" spans="1:8" s="412" customFormat="1" x14ac:dyDescent="0.25">
      <c r="A130" s="412" t="s">
        <v>248</v>
      </c>
    </row>
    <row r="131" spans="1:8" s="412" customFormat="1" x14ac:dyDescent="0.25">
      <c r="A131" s="413" t="s">
        <v>249</v>
      </c>
      <c r="B131" s="414" t="s">
        <v>250</v>
      </c>
      <c r="C131" s="414"/>
      <c r="D131" s="414"/>
      <c r="E131" s="414"/>
      <c r="F131" s="414"/>
      <c r="G131" s="414"/>
      <c r="H131" s="414"/>
    </row>
  </sheetData>
  <autoFilter ref="A4:C4"/>
  <sortState ref="A6:N125">
    <sortCondition ref="A6:A125"/>
  </sortState>
  <mergeCells count="3">
    <mergeCell ref="D3:F3"/>
    <mergeCell ref="G3:H3"/>
    <mergeCell ref="I3:L3"/>
  </mergeCells>
  <hyperlinks>
    <hyperlink ref="B131"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workbookViewId="0">
      <selection activeCell="B5" sqref="B5"/>
    </sheetView>
  </sheetViews>
  <sheetFormatPr defaultRowHeight="12.75" x14ac:dyDescent="0.2"/>
  <cols>
    <col min="1" max="1" width="5" style="326" bestFit="1" customWidth="1"/>
    <col min="2" max="2" width="26.375" style="326" customWidth="1"/>
    <col min="3" max="3" width="8.75" style="93" customWidth="1"/>
    <col min="4" max="16384" width="9" style="93"/>
  </cols>
  <sheetData>
    <row r="1" spans="1:24" x14ac:dyDescent="0.2">
      <c r="A1" s="93"/>
      <c r="B1" s="93"/>
    </row>
    <row r="2" spans="1:24" x14ac:dyDescent="0.2">
      <c r="A2" s="93"/>
      <c r="B2" s="93"/>
      <c r="C2" s="2282" t="s">
        <v>790</v>
      </c>
      <c r="D2" s="2282"/>
      <c r="E2" s="2282"/>
      <c r="F2" s="2282"/>
      <c r="G2" s="2282" t="s">
        <v>791</v>
      </c>
      <c r="H2" s="2282"/>
      <c r="I2" s="2282"/>
      <c r="J2" s="2282"/>
      <c r="K2" s="2282" t="s">
        <v>793</v>
      </c>
      <c r="L2" s="2282"/>
      <c r="M2" s="2282"/>
      <c r="N2" s="2282"/>
      <c r="P2" s="2281" t="s">
        <v>727</v>
      </c>
      <c r="Q2" s="2281"/>
      <c r="R2" s="2281"/>
      <c r="S2" s="2281" t="s">
        <v>792</v>
      </c>
      <c r="T2" s="2281"/>
      <c r="U2" s="2281"/>
      <c r="V2" s="2281" t="s">
        <v>7</v>
      </c>
      <c r="W2" s="2281"/>
      <c r="X2" s="2281"/>
    </row>
    <row r="3" spans="1:24" x14ac:dyDescent="0.2">
      <c r="A3" s="325" t="s">
        <v>4</v>
      </c>
      <c r="B3" s="325" t="s">
        <v>5</v>
      </c>
      <c r="C3" s="327" t="s">
        <v>281</v>
      </c>
      <c r="D3" s="327" t="s">
        <v>2</v>
      </c>
      <c r="E3" s="327" t="s">
        <v>445</v>
      </c>
      <c r="F3" s="327" t="s">
        <v>446</v>
      </c>
      <c r="G3" s="327" t="s">
        <v>281</v>
      </c>
      <c r="H3" s="327" t="s">
        <v>2</v>
      </c>
      <c r="I3" s="327" t="s">
        <v>445</v>
      </c>
      <c r="J3" s="327" t="s">
        <v>446</v>
      </c>
      <c r="K3" s="327" t="s">
        <v>281</v>
      </c>
      <c r="L3" s="327" t="s">
        <v>2</v>
      </c>
      <c r="M3" s="327" t="s">
        <v>445</v>
      </c>
      <c r="N3" s="327" t="s">
        <v>446</v>
      </c>
      <c r="P3" s="93" t="s">
        <v>2</v>
      </c>
      <c r="Q3" s="93" t="s">
        <v>445</v>
      </c>
      <c r="R3" s="93" t="s">
        <v>446</v>
      </c>
      <c r="S3" s="93" t="s">
        <v>2</v>
      </c>
      <c r="T3" s="93" t="s">
        <v>445</v>
      </c>
      <c r="U3" s="93" t="s">
        <v>446</v>
      </c>
      <c r="V3" s="93" t="s">
        <v>2</v>
      </c>
      <c r="W3" s="93" t="s">
        <v>445</v>
      </c>
      <c r="X3" s="93" t="s">
        <v>446</v>
      </c>
    </row>
    <row r="4" spans="1:24" x14ac:dyDescent="0.2">
      <c r="A4" s="325"/>
      <c r="B4" s="325"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x14ac:dyDescent="0.2">
      <c r="A5" s="326">
        <v>1</v>
      </c>
      <c r="B5" s="93" t="s">
        <v>450</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x14ac:dyDescent="0.2">
      <c r="A6" s="326">
        <v>3</v>
      </c>
      <c r="B6" s="93" t="s">
        <v>451</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x14ac:dyDescent="0.2">
      <c r="A7" s="326">
        <v>5</v>
      </c>
      <c r="B7" s="93" t="s">
        <v>687</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x14ac:dyDescent="0.2">
      <c r="A8" s="326">
        <v>7</v>
      </c>
      <c r="B8" s="93" t="s">
        <v>452</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x14ac:dyDescent="0.2">
      <c r="A9" s="326">
        <v>9</v>
      </c>
      <c r="B9" s="93" t="s">
        <v>453</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x14ac:dyDescent="0.2">
      <c r="A10" s="326">
        <v>11</v>
      </c>
      <c r="B10" s="93" t="s">
        <v>454</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x14ac:dyDescent="0.2">
      <c r="A11" s="326">
        <v>13</v>
      </c>
      <c r="B11" s="93" t="s">
        <v>455</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x14ac:dyDescent="0.2">
      <c r="A12" s="326">
        <v>15</v>
      </c>
      <c r="B12" s="93" t="s">
        <v>794</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x14ac:dyDescent="0.2">
      <c r="A13" s="326">
        <v>17</v>
      </c>
      <c r="B13" s="93" t="s">
        <v>456</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x14ac:dyDescent="0.2">
      <c r="A14" s="326">
        <v>19</v>
      </c>
      <c r="B14" s="93" t="s">
        <v>688</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x14ac:dyDescent="0.2">
      <c r="A15" s="326">
        <v>21</v>
      </c>
      <c r="B15" s="93" t="s">
        <v>457</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x14ac:dyDescent="0.2">
      <c r="A16" s="326">
        <v>23</v>
      </c>
      <c r="B16" s="93" t="s">
        <v>458</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x14ac:dyDescent="0.2">
      <c r="A17" s="326">
        <v>25</v>
      </c>
      <c r="B17" s="93" t="s">
        <v>459</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x14ac:dyDescent="0.2">
      <c r="A18" s="326">
        <v>27</v>
      </c>
      <c r="B18" s="93" t="s">
        <v>460</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x14ac:dyDescent="0.2">
      <c r="A19" s="326">
        <v>29</v>
      </c>
      <c r="B19" s="93" t="s">
        <v>461</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x14ac:dyDescent="0.2">
      <c r="A20" s="326">
        <v>31</v>
      </c>
      <c r="B20" s="93" t="s">
        <v>462</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x14ac:dyDescent="0.2">
      <c r="A21" s="326">
        <v>33</v>
      </c>
      <c r="B21" s="93" t="s">
        <v>463</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x14ac:dyDescent="0.2">
      <c r="A22" s="326">
        <v>35</v>
      </c>
      <c r="B22" s="93" t="s">
        <v>464</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x14ac:dyDescent="0.2">
      <c r="A23" s="326">
        <v>36</v>
      </c>
      <c r="B23" s="93" t="s">
        <v>465</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x14ac:dyDescent="0.2">
      <c r="A24" s="326">
        <v>37</v>
      </c>
      <c r="B24" s="93" t="s">
        <v>466</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x14ac:dyDescent="0.2">
      <c r="A25" s="326">
        <v>41</v>
      </c>
      <c r="B25" s="93" t="s">
        <v>689</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x14ac:dyDescent="0.2">
      <c r="A26" s="326">
        <v>43</v>
      </c>
      <c r="B26" s="93" t="s">
        <v>467</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x14ac:dyDescent="0.2">
      <c r="A27" s="326">
        <v>45</v>
      </c>
      <c r="B27" s="93" t="s">
        <v>468</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x14ac:dyDescent="0.2">
      <c r="A28" s="326">
        <v>47</v>
      </c>
      <c r="B28" s="93" t="s">
        <v>469</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x14ac:dyDescent="0.2">
      <c r="A29" s="326">
        <v>49</v>
      </c>
      <c r="B29" s="93" t="s">
        <v>470</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x14ac:dyDescent="0.2">
      <c r="A30" s="326">
        <v>51</v>
      </c>
      <c r="B30" s="93" t="s">
        <v>471</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x14ac:dyDescent="0.2">
      <c r="A31" s="326">
        <v>53</v>
      </c>
      <c r="B31" s="93" t="s">
        <v>472</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x14ac:dyDescent="0.2">
      <c r="A32" s="326">
        <v>57</v>
      </c>
      <c r="B32" s="93" t="s">
        <v>473</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x14ac:dyDescent="0.2">
      <c r="A33" s="326">
        <v>59</v>
      </c>
      <c r="B33" s="93" t="s">
        <v>296</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x14ac:dyDescent="0.2">
      <c r="A34" s="326">
        <v>61</v>
      </c>
      <c r="B34" s="93" t="s">
        <v>474</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x14ac:dyDescent="0.2">
      <c r="A35" s="326">
        <v>63</v>
      </c>
      <c r="B35" s="93" t="s">
        <v>475</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x14ac:dyDescent="0.2">
      <c r="A36" s="326">
        <v>65</v>
      </c>
      <c r="B36" s="93" t="s">
        <v>476</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x14ac:dyDescent="0.2">
      <c r="A37" s="326">
        <v>67</v>
      </c>
      <c r="B37" s="93" t="s">
        <v>85</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x14ac:dyDescent="0.2">
      <c r="A38" s="326">
        <v>69</v>
      </c>
      <c r="B38" s="93" t="s">
        <v>477</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x14ac:dyDescent="0.2">
      <c r="A39" s="326">
        <v>71</v>
      </c>
      <c r="B39" s="93" t="s">
        <v>478</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x14ac:dyDescent="0.2">
      <c r="A40" s="326">
        <v>73</v>
      </c>
      <c r="B40" s="93" t="s">
        <v>479</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x14ac:dyDescent="0.2">
      <c r="A41" s="326">
        <v>75</v>
      </c>
      <c r="B41" s="93" t="s">
        <v>480</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x14ac:dyDescent="0.2">
      <c r="A42" s="326">
        <v>77</v>
      </c>
      <c r="B42" s="93" t="s">
        <v>481</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x14ac:dyDescent="0.2">
      <c r="A43" s="326">
        <v>79</v>
      </c>
      <c r="B43" s="93" t="s">
        <v>482</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x14ac:dyDescent="0.2">
      <c r="A44" s="326">
        <v>81</v>
      </c>
      <c r="B44" s="93" t="s">
        <v>693</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x14ac:dyDescent="0.2">
      <c r="A45" s="326">
        <v>83</v>
      </c>
      <c r="B45" s="93" t="s">
        <v>787</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x14ac:dyDescent="0.2">
      <c r="A46" s="326">
        <v>85</v>
      </c>
      <c r="B46" s="93" t="s">
        <v>483</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x14ac:dyDescent="0.2">
      <c r="A47" s="326">
        <v>87</v>
      </c>
      <c r="B47" s="93" t="s">
        <v>484</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x14ac:dyDescent="0.2">
      <c r="A48" s="326">
        <v>89</v>
      </c>
      <c r="B48" s="93" t="s">
        <v>788</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x14ac:dyDescent="0.2">
      <c r="A49" s="326">
        <v>91</v>
      </c>
      <c r="B49" s="93" t="s">
        <v>485</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x14ac:dyDescent="0.2">
      <c r="A50" s="326">
        <v>93</v>
      </c>
      <c r="B50" s="93" t="s">
        <v>486</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x14ac:dyDescent="0.2">
      <c r="A51" s="326">
        <v>95</v>
      </c>
      <c r="B51" s="93" t="s">
        <v>285</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x14ac:dyDescent="0.2">
      <c r="A52" s="326">
        <v>97</v>
      </c>
      <c r="B52" s="93" t="s">
        <v>487</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x14ac:dyDescent="0.2">
      <c r="A53" s="326">
        <v>99</v>
      </c>
      <c r="B53" s="93" t="s">
        <v>488</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x14ac:dyDescent="0.2">
      <c r="A54" s="326">
        <v>101</v>
      </c>
      <c r="B54" s="93" t="s">
        <v>489</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x14ac:dyDescent="0.2">
      <c r="A55" s="326">
        <v>103</v>
      </c>
      <c r="B55" s="93" t="s">
        <v>490</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x14ac:dyDescent="0.2">
      <c r="A56" s="326">
        <v>105</v>
      </c>
      <c r="B56" s="93" t="s">
        <v>491</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x14ac:dyDescent="0.2">
      <c r="A57" s="326">
        <v>107</v>
      </c>
      <c r="B57" s="93" t="s">
        <v>492</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x14ac:dyDescent="0.2">
      <c r="A58" s="326">
        <v>109</v>
      </c>
      <c r="B58" s="93" t="s">
        <v>493</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x14ac:dyDescent="0.2">
      <c r="A59" s="326">
        <v>111</v>
      </c>
      <c r="B59" s="93" t="s">
        <v>494</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x14ac:dyDescent="0.2">
      <c r="A60" s="326">
        <v>113</v>
      </c>
      <c r="B60" s="93" t="s">
        <v>495</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x14ac:dyDescent="0.2">
      <c r="A61" s="326">
        <v>115</v>
      </c>
      <c r="B61" s="93" t="s">
        <v>496</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x14ac:dyDescent="0.2">
      <c r="A62" s="326">
        <v>117</v>
      </c>
      <c r="B62" s="93" t="s">
        <v>497</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x14ac:dyDescent="0.2">
      <c r="A63" s="326">
        <v>119</v>
      </c>
      <c r="B63" s="93" t="s">
        <v>498</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x14ac:dyDescent="0.2">
      <c r="A64" s="326">
        <v>121</v>
      </c>
      <c r="B64" s="93" t="s">
        <v>499</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x14ac:dyDescent="0.2">
      <c r="A65" s="326">
        <v>125</v>
      </c>
      <c r="B65" s="93" t="s">
        <v>500</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x14ac:dyDescent="0.2">
      <c r="A66" s="326">
        <v>127</v>
      </c>
      <c r="B66" s="93" t="s">
        <v>501</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x14ac:dyDescent="0.2">
      <c r="A67" s="326">
        <v>131</v>
      </c>
      <c r="B67" s="93" t="s">
        <v>502</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x14ac:dyDescent="0.2">
      <c r="A68" s="326">
        <v>133</v>
      </c>
      <c r="B68" s="93" t="s">
        <v>503</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x14ac:dyDescent="0.2">
      <c r="A69" s="326">
        <v>135</v>
      </c>
      <c r="B69" s="93" t="s">
        <v>504</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x14ac:dyDescent="0.2">
      <c r="A70" s="326">
        <v>137</v>
      </c>
      <c r="B70" s="93" t="s">
        <v>505</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x14ac:dyDescent="0.2">
      <c r="A71" s="326">
        <v>139</v>
      </c>
      <c r="B71" s="93" t="s">
        <v>506</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x14ac:dyDescent="0.2">
      <c r="A72" s="326">
        <v>141</v>
      </c>
      <c r="B72" s="93" t="s">
        <v>507</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x14ac:dyDescent="0.2">
      <c r="A73" s="326">
        <v>143</v>
      </c>
      <c r="B73" s="93" t="s">
        <v>508</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x14ac:dyDescent="0.2">
      <c r="A74" s="326">
        <v>145</v>
      </c>
      <c r="B74" s="93" t="s">
        <v>509</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x14ac:dyDescent="0.2">
      <c r="A75" s="326">
        <v>147</v>
      </c>
      <c r="B75" s="93" t="s">
        <v>510</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x14ac:dyDescent="0.2">
      <c r="A76" s="326">
        <v>149</v>
      </c>
      <c r="B76" s="93" t="s">
        <v>511</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x14ac:dyDescent="0.2">
      <c r="A77" s="326">
        <v>153</v>
      </c>
      <c r="B77" s="93" t="s">
        <v>512</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x14ac:dyDescent="0.2">
      <c r="A78" s="326">
        <v>155</v>
      </c>
      <c r="B78" s="93" t="s">
        <v>513</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x14ac:dyDescent="0.2">
      <c r="A79" s="326">
        <v>157</v>
      </c>
      <c r="B79" s="93" t="s">
        <v>514</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x14ac:dyDescent="0.2">
      <c r="A80" s="326">
        <v>159</v>
      </c>
      <c r="B80" s="93" t="s">
        <v>272</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x14ac:dyDescent="0.2">
      <c r="A81" s="326">
        <v>161</v>
      </c>
      <c r="B81" s="93" t="s">
        <v>301</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x14ac:dyDescent="0.2">
      <c r="A82" s="326">
        <v>163</v>
      </c>
      <c r="B82" s="93" t="s">
        <v>691</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x14ac:dyDescent="0.2">
      <c r="A83" s="326">
        <v>165</v>
      </c>
      <c r="B83" s="93" t="s">
        <v>692</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x14ac:dyDescent="0.2">
      <c r="A84" s="326">
        <v>167</v>
      </c>
      <c r="B84" s="93" t="s">
        <v>515</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x14ac:dyDescent="0.2">
      <c r="A85" s="326">
        <v>169</v>
      </c>
      <c r="B85" s="93" t="s">
        <v>516</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x14ac:dyDescent="0.2">
      <c r="A86" s="326">
        <v>171</v>
      </c>
      <c r="B86" s="93" t="s">
        <v>517</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x14ac:dyDescent="0.2">
      <c r="A87" s="326">
        <v>173</v>
      </c>
      <c r="B87" s="93" t="s">
        <v>518</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x14ac:dyDescent="0.2">
      <c r="A88" s="326">
        <v>175</v>
      </c>
      <c r="B88" s="93" t="s">
        <v>519</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x14ac:dyDescent="0.2">
      <c r="A89" s="326">
        <v>177</v>
      </c>
      <c r="B89" s="93" t="s">
        <v>520</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x14ac:dyDescent="0.2">
      <c r="A90" s="326">
        <v>179</v>
      </c>
      <c r="B90" s="93" t="s">
        <v>521</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x14ac:dyDescent="0.2">
      <c r="A91" s="326">
        <v>181</v>
      </c>
      <c r="B91" s="93" t="s">
        <v>522</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x14ac:dyDescent="0.2">
      <c r="A92" s="326">
        <v>183</v>
      </c>
      <c r="B92" s="93" t="s">
        <v>523</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x14ac:dyDescent="0.2">
      <c r="A93" s="326">
        <v>185</v>
      </c>
      <c r="B93" s="93" t="s">
        <v>524</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x14ac:dyDescent="0.2">
      <c r="A94" s="326">
        <v>187</v>
      </c>
      <c r="B94" s="93" t="s">
        <v>525</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x14ac:dyDescent="0.2">
      <c r="A95" s="326">
        <v>191</v>
      </c>
      <c r="B95" s="93" t="s">
        <v>526</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x14ac:dyDescent="0.2">
      <c r="A96" s="326">
        <v>193</v>
      </c>
      <c r="B96" s="93" t="s">
        <v>527</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x14ac:dyDescent="0.2">
      <c r="A97" s="326">
        <v>195</v>
      </c>
      <c r="B97" s="93" t="s">
        <v>528</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x14ac:dyDescent="0.2">
      <c r="A98" s="326">
        <v>197</v>
      </c>
      <c r="B98" s="93" t="s">
        <v>529</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x14ac:dyDescent="0.2">
      <c r="A99" s="326">
        <v>199</v>
      </c>
      <c r="B99" s="93" t="s">
        <v>690</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x14ac:dyDescent="0.2">
      <c r="A100" s="326">
        <v>510</v>
      </c>
      <c r="B100" s="93" t="s">
        <v>670</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x14ac:dyDescent="0.2">
      <c r="A101" s="326">
        <v>520</v>
      </c>
      <c r="B101" s="93" t="s">
        <v>666</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x14ac:dyDescent="0.2">
      <c r="A102" s="326">
        <v>540</v>
      </c>
      <c r="B102" s="93" t="s">
        <v>672</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x14ac:dyDescent="0.2">
      <c r="A103" s="326">
        <v>550</v>
      </c>
      <c r="B103" s="93" t="s">
        <v>678</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x14ac:dyDescent="0.2">
      <c r="A104" s="326">
        <v>590</v>
      </c>
      <c r="B104" s="93" t="s">
        <v>674</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x14ac:dyDescent="0.2">
      <c r="A105" s="326">
        <v>620</v>
      </c>
      <c r="B105" s="93" t="s">
        <v>83</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x14ac:dyDescent="0.2">
      <c r="A106" s="326">
        <v>630</v>
      </c>
      <c r="B106" s="93" t="s">
        <v>675</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x14ac:dyDescent="0.2">
      <c r="A107" s="326">
        <v>640</v>
      </c>
      <c r="B107" s="93" t="s">
        <v>667</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x14ac:dyDescent="0.2">
      <c r="A108" s="326">
        <v>650</v>
      </c>
      <c r="B108" s="93" t="s">
        <v>683</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x14ac:dyDescent="0.2">
      <c r="A109" s="326">
        <v>670</v>
      </c>
      <c r="B109" s="93" t="s">
        <v>676</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x14ac:dyDescent="0.2">
      <c r="A110" s="326">
        <v>680</v>
      </c>
      <c r="B110" s="93" t="s">
        <v>673</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x14ac:dyDescent="0.2">
      <c r="A111" s="326">
        <v>683</v>
      </c>
      <c r="B111" s="93" t="s">
        <v>273</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x14ac:dyDescent="0.2">
      <c r="A112" s="326">
        <v>685</v>
      </c>
      <c r="B112" s="93" t="s">
        <v>671</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x14ac:dyDescent="0.2">
      <c r="A113" s="326">
        <v>690</v>
      </c>
      <c r="B113" s="93" t="s">
        <v>789</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x14ac:dyDescent="0.2">
      <c r="A114" s="326">
        <v>700</v>
      </c>
      <c r="B114" s="93" t="s">
        <v>684</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x14ac:dyDescent="0.2">
      <c r="A115" s="326">
        <v>710</v>
      </c>
      <c r="B115" s="93" t="s">
        <v>679</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x14ac:dyDescent="0.2">
      <c r="A116" s="326">
        <v>720</v>
      </c>
      <c r="B116" s="93" t="s">
        <v>665</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x14ac:dyDescent="0.2">
      <c r="A117" s="326">
        <v>730</v>
      </c>
      <c r="B117" s="93" t="s">
        <v>677</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x14ac:dyDescent="0.2">
      <c r="A118" s="326">
        <v>740</v>
      </c>
      <c r="B118" s="93" t="s">
        <v>680</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x14ac:dyDescent="0.2">
      <c r="A119" s="326">
        <v>750</v>
      </c>
      <c r="B119" s="93" t="s">
        <v>668</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x14ac:dyDescent="0.2">
      <c r="A120" s="326">
        <v>760</v>
      </c>
      <c r="B120" s="93" t="s">
        <v>197</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x14ac:dyDescent="0.2">
      <c r="A121" s="326">
        <v>770</v>
      </c>
      <c r="B121" s="93" t="s">
        <v>201</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x14ac:dyDescent="0.2">
      <c r="A122" s="326">
        <v>800</v>
      </c>
      <c r="B122" s="93" t="s">
        <v>681</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x14ac:dyDescent="0.2">
      <c r="A123" s="326">
        <v>810</v>
      </c>
      <c r="B123" s="93" t="s">
        <v>682</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x14ac:dyDescent="0.2">
      <c r="A124" s="326">
        <v>830</v>
      </c>
      <c r="B124" s="93" t="s">
        <v>685</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x14ac:dyDescent="0.2">
      <c r="A125" s="326">
        <v>840</v>
      </c>
      <c r="B125" s="93" t="s">
        <v>669</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1"/>
  <sheetViews>
    <sheetView workbookViewId="0">
      <pane xSplit="3" ySplit="5" topLeftCell="D112" activePane="bottomRight" state="frozen"/>
      <selection pane="topRight" activeCell="D1" sqref="D1"/>
      <selection pane="bottomLeft" activeCell="A6" sqref="A6"/>
      <selection pane="bottomRight" activeCell="A125" sqref="A6:XFD125"/>
    </sheetView>
  </sheetViews>
  <sheetFormatPr defaultColWidth="14.375" defaultRowHeight="15.75" x14ac:dyDescent="0.25"/>
  <cols>
    <col min="1" max="1" width="14.375" style="500"/>
    <col min="2" max="2" width="32.25" style="500" customWidth="1"/>
    <col min="3" max="3" width="14.5" style="500" customWidth="1"/>
    <col min="4" max="4" width="11.875" style="500" customWidth="1"/>
    <col min="5" max="5" width="11.125" style="500" customWidth="1"/>
    <col min="6" max="6" width="14.5" style="500" customWidth="1"/>
    <col min="7" max="8" width="9.75" style="500" customWidth="1"/>
    <col min="9" max="12" width="11.125" style="500" customWidth="1"/>
    <col min="13" max="16384" width="14.375" style="500"/>
  </cols>
  <sheetData>
    <row r="1" spans="1:12" x14ac:dyDescent="0.25">
      <c r="A1" s="257" t="s">
        <v>1296</v>
      </c>
    </row>
    <row r="2" spans="1:12" x14ac:dyDescent="0.25">
      <c r="B2" s="501"/>
      <c r="C2" s="501"/>
      <c r="D2" s="501"/>
      <c r="E2" s="501"/>
      <c r="F2" s="501"/>
      <c r="G2" s="501"/>
      <c r="H2" s="501"/>
    </row>
    <row r="3" spans="1:12" x14ac:dyDescent="0.25">
      <c r="A3" s="502"/>
      <c r="B3" s="503"/>
      <c r="C3" s="602"/>
      <c r="D3" s="2279" t="s">
        <v>881</v>
      </c>
      <c r="E3" s="2279"/>
      <c r="F3" s="2279"/>
      <c r="G3" s="2279" t="s">
        <v>876</v>
      </c>
      <c r="H3" s="2279"/>
      <c r="I3" s="2279" t="s">
        <v>778</v>
      </c>
      <c r="J3" s="2279"/>
      <c r="K3" s="2279"/>
      <c r="L3" s="2279"/>
    </row>
    <row r="4" spans="1:12" ht="47.25" x14ac:dyDescent="0.25">
      <c r="A4" s="504" t="s">
        <v>4</v>
      </c>
      <c r="B4" s="503" t="s">
        <v>5</v>
      </c>
      <c r="C4" s="602" t="s">
        <v>251</v>
      </c>
      <c r="D4" s="1185" t="s">
        <v>618</v>
      </c>
      <c r="E4" s="1185" t="s">
        <v>720</v>
      </c>
      <c r="F4" s="1185" t="s">
        <v>790</v>
      </c>
      <c r="G4" s="1185" t="s">
        <v>549</v>
      </c>
      <c r="H4" s="1185" t="s">
        <v>548</v>
      </c>
      <c r="I4" s="602" t="s">
        <v>2</v>
      </c>
      <c r="J4" s="602" t="s">
        <v>445</v>
      </c>
      <c r="K4" s="602" t="s">
        <v>841</v>
      </c>
      <c r="L4" s="1548" t="s">
        <v>1113</v>
      </c>
    </row>
    <row r="5" spans="1:12" x14ac:dyDescent="0.25">
      <c r="A5" s="1206" t="s">
        <v>8</v>
      </c>
      <c r="B5" s="1207" t="s">
        <v>9</v>
      </c>
      <c r="C5" s="1208"/>
      <c r="D5" s="1209">
        <f>SUM(D6:D125)</f>
        <v>834950</v>
      </c>
      <c r="E5" s="1209">
        <f t="shared" ref="E5:L5" si="0">SUM(E6:E125)</f>
        <v>811197</v>
      </c>
      <c r="F5" s="1209">
        <f t="shared" si="0"/>
        <v>134008</v>
      </c>
      <c r="G5" s="1209">
        <f t="shared" si="0"/>
        <v>1008595</v>
      </c>
      <c r="H5" s="1209">
        <f t="shared" si="0"/>
        <v>771562</v>
      </c>
      <c r="I5" s="1210">
        <f t="shared" si="0"/>
        <v>840789</v>
      </c>
      <c r="J5" s="1210">
        <f t="shared" si="0"/>
        <v>642153</v>
      </c>
      <c r="K5" s="1210">
        <f t="shared" si="0"/>
        <v>128435</v>
      </c>
      <c r="L5" s="1210">
        <f t="shared" si="0"/>
        <v>168784</v>
      </c>
    </row>
    <row r="6" spans="1:12" s="601" customFormat="1" x14ac:dyDescent="0.25">
      <c r="A6" s="603" t="s">
        <v>10</v>
      </c>
      <c r="B6" s="599" t="s">
        <v>11</v>
      </c>
      <c r="C6" s="598" t="s">
        <v>264</v>
      </c>
      <c r="D6" s="956">
        <v>5524</v>
      </c>
      <c r="E6" s="956">
        <v>5199</v>
      </c>
      <c r="F6" s="956">
        <v>1092</v>
      </c>
      <c r="G6" s="956">
        <v>6628</v>
      </c>
      <c r="H6" s="956">
        <v>5188</v>
      </c>
      <c r="I6" s="600">
        <v>5527</v>
      </c>
      <c r="J6" s="600">
        <v>5418</v>
      </c>
      <c r="K6" s="600">
        <v>403</v>
      </c>
      <c r="L6" s="600">
        <v>468</v>
      </c>
    </row>
    <row r="7" spans="1:12" s="601" customFormat="1" x14ac:dyDescent="0.25">
      <c r="A7" s="603" t="s">
        <v>12</v>
      </c>
      <c r="B7" s="599" t="s">
        <v>13</v>
      </c>
      <c r="C7" s="598" t="s">
        <v>265</v>
      </c>
      <c r="D7" s="956">
        <v>6711</v>
      </c>
      <c r="E7" s="956">
        <v>5886</v>
      </c>
      <c r="F7" s="956">
        <v>998</v>
      </c>
      <c r="G7" s="956">
        <v>7602</v>
      </c>
      <c r="H7" s="956">
        <v>5993</v>
      </c>
      <c r="I7" s="600">
        <v>7390</v>
      </c>
      <c r="J7" s="600">
        <v>3271</v>
      </c>
      <c r="K7" s="600">
        <v>1189</v>
      </c>
      <c r="L7" s="600">
        <v>1745</v>
      </c>
    </row>
    <row r="8" spans="1:12" s="601" customFormat="1" x14ac:dyDescent="0.25">
      <c r="A8" s="603" t="s">
        <v>16</v>
      </c>
      <c r="B8" s="599" t="s">
        <v>297</v>
      </c>
      <c r="C8" s="598" t="s">
        <v>265</v>
      </c>
      <c r="D8" s="956">
        <v>2829</v>
      </c>
      <c r="E8" s="956">
        <v>3570</v>
      </c>
      <c r="F8" s="956">
        <v>668</v>
      </c>
      <c r="G8" s="956">
        <v>3986</v>
      </c>
      <c r="H8" s="956">
        <v>3080</v>
      </c>
      <c r="I8" s="600">
        <v>5541</v>
      </c>
      <c r="J8" s="600">
        <v>661</v>
      </c>
      <c r="K8" s="600">
        <v>317</v>
      </c>
      <c r="L8" s="600">
        <v>548</v>
      </c>
    </row>
    <row r="9" spans="1:12" s="601" customFormat="1" x14ac:dyDescent="0.25">
      <c r="A9" s="603" t="s">
        <v>18</v>
      </c>
      <c r="B9" s="599" t="s">
        <v>19</v>
      </c>
      <c r="C9" s="598" t="s">
        <v>266</v>
      </c>
      <c r="D9" s="956">
        <v>1424</v>
      </c>
      <c r="E9" s="956">
        <v>1635</v>
      </c>
      <c r="F9" s="956">
        <v>349</v>
      </c>
      <c r="G9" s="956">
        <v>1893</v>
      </c>
      <c r="H9" s="956">
        <v>1515</v>
      </c>
      <c r="I9" s="600">
        <v>2027</v>
      </c>
      <c r="J9" s="600">
        <v>1153</v>
      </c>
      <c r="K9" s="600">
        <v>138</v>
      </c>
      <c r="L9" s="600">
        <v>90</v>
      </c>
    </row>
    <row r="10" spans="1:12" s="601" customFormat="1" x14ac:dyDescent="0.25">
      <c r="A10" s="603" t="s">
        <v>20</v>
      </c>
      <c r="B10" s="599" t="s">
        <v>21</v>
      </c>
      <c r="C10" s="598" t="s">
        <v>265</v>
      </c>
      <c r="D10" s="956">
        <v>3545</v>
      </c>
      <c r="E10" s="956">
        <v>3693</v>
      </c>
      <c r="F10" s="956">
        <v>701</v>
      </c>
      <c r="G10" s="956">
        <v>4429</v>
      </c>
      <c r="H10" s="956">
        <v>3510</v>
      </c>
      <c r="I10" s="600">
        <v>5029</v>
      </c>
      <c r="J10" s="600">
        <v>1985</v>
      </c>
      <c r="K10" s="600">
        <v>368</v>
      </c>
      <c r="L10" s="600">
        <v>557</v>
      </c>
    </row>
    <row r="11" spans="1:12" s="601" customFormat="1" x14ac:dyDescent="0.25">
      <c r="A11" s="603" t="s">
        <v>22</v>
      </c>
      <c r="B11" s="599" t="s">
        <v>23</v>
      </c>
      <c r="C11" s="598" t="s">
        <v>265</v>
      </c>
      <c r="D11" s="956">
        <v>1980</v>
      </c>
      <c r="E11" s="956">
        <v>2326</v>
      </c>
      <c r="F11" s="956">
        <v>444</v>
      </c>
      <c r="G11" s="956">
        <v>2705</v>
      </c>
      <c r="H11" s="956">
        <v>2045</v>
      </c>
      <c r="I11" s="600">
        <v>2749</v>
      </c>
      <c r="J11" s="600">
        <v>1609</v>
      </c>
      <c r="K11" s="600">
        <v>132</v>
      </c>
      <c r="L11" s="600">
        <v>260</v>
      </c>
    </row>
    <row r="12" spans="1:12" s="601" customFormat="1" x14ac:dyDescent="0.25">
      <c r="A12" s="603" t="s">
        <v>24</v>
      </c>
      <c r="B12" s="599" t="s">
        <v>25</v>
      </c>
      <c r="C12" s="598" t="s">
        <v>267</v>
      </c>
      <c r="D12" s="956">
        <v>10584</v>
      </c>
      <c r="E12" s="956">
        <v>6547</v>
      </c>
      <c r="F12" s="956">
        <v>2450</v>
      </c>
      <c r="G12" s="956">
        <v>10709</v>
      </c>
      <c r="H12" s="956">
        <v>8872</v>
      </c>
      <c r="I12" s="600">
        <v>9156</v>
      </c>
      <c r="J12" s="600">
        <v>4994</v>
      </c>
      <c r="K12" s="600">
        <v>3209</v>
      </c>
      <c r="L12" s="600">
        <v>2222</v>
      </c>
    </row>
    <row r="13" spans="1:12" s="601" customFormat="1" x14ac:dyDescent="0.25">
      <c r="A13" s="603" t="s">
        <v>26</v>
      </c>
      <c r="B13" s="599" t="s">
        <v>686</v>
      </c>
      <c r="C13" s="598" t="s">
        <v>265</v>
      </c>
      <c r="D13" s="956">
        <v>13590</v>
      </c>
      <c r="E13" s="956">
        <v>14228</v>
      </c>
      <c r="F13" s="956">
        <v>2211</v>
      </c>
      <c r="G13" s="956">
        <v>17054</v>
      </c>
      <c r="H13" s="956">
        <v>12975</v>
      </c>
      <c r="I13" s="600">
        <v>23046</v>
      </c>
      <c r="J13" s="600">
        <v>4016</v>
      </c>
      <c r="K13" s="600">
        <v>1006</v>
      </c>
      <c r="L13" s="600">
        <v>1961</v>
      </c>
    </row>
    <row r="14" spans="1:12" s="601" customFormat="1" x14ac:dyDescent="0.25">
      <c r="A14" s="603" t="s">
        <v>27</v>
      </c>
      <c r="B14" s="599" t="s">
        <v>28</v>
      </c>
      <c r="C14" s="598" t="s">
        <v>265</v>
      </c>
      <c r="D14" s="956">
        <v>408</v>
      </c>
      <c r="E14" s="956">
        <v>466</v>
      </c>
      <c r="F14" s="956">
        <v>129</v>
      </c>
      <c r="G14" s="956">
        <v>558</v>
      </c>
      <c r="H14" s="956">
        <v>445</v>
      </c>
      <c r="I14" s="600">
        <v>908</v>
      </c>
      <c r="J14" s="600">
        <v>47</v>
      </c>
      <c r="K14" s="600">
        <v>20</v>
      </c>
      <c r="L14" s="600">
        <v>28</v>
      </c>
    </row>
    <row r="15" spans="1:12" s="601" customFormat="1" x14ac:dyDescent="0.25">
      <c r="A15" s="603" t="s">
        <v>29</v>
      </c>
      <c r="B15" s="599" t="s">
        <v>924</v>
      </c>
      <c r="C15" s="598" t="s">
        <v>265</v>
      </c>
      <c r="D15" s="956">
        <v>6151</v>
      </c>
      <c r="E15" s="956">
        <v>6593</v>
      </c>
      <c r="F15" s="956">
        <v>1051</v>
      </c>
      <c r="G15" s="956">
        <v>7678</v>
      </c>
      <c r="H15" s="956">
        <v>6117</v>
      </c>
      <c r="I15" s="600">
        <v>10530</v>
      </c>
      <c r="J15" s="600">
        <v>1855</v>
      </c>
      <c r="K15" s="600">
        <v>442</v>
      </c>
      <c r="L15" s="600">
        <v>968</v>
      </c>
    </row>
    <row r="16" spans="1:12" s="601" customFormat="1" x14ac:dyDescent="0.25">
      <c r="A16" s="603" t="s">
        <v>30</v>
      </c>
      <c r="B16" s="599" t="s">
        <v>31</v>
      </c>
      <c r="C16" s="598" t="s">
        <v>268</v>
      </c>
      <c r="D16" s="956">
        <v>550</v>
      </c>
      <c r="E16" s="956">
        <v>674</v>
      </c>
      <c r="F16" s="956">
        <v>149</v>
      </c>
      <c r="G16" s="956">
        <v>778</v>
      </c>
      <c r="H16" s="956">
        <v>595</v>
      </c>
      <c r="I16" s="600">
        <v>1230</v>
      </c>
      <c r="J16" s="600">
        <v>42</v>
      </c>
      <c r="K16" s="600">
        <v>18</v>
      </c>
      <c r="L16" s="600">
        <v>83</v>
      </c>
    </row>
    <row r="17" spans="1:12" s="601" customFormat="1" x14ac:dyDescent="0.25">
      <c r="A17" s="603" t="s">
        <v>32</v>
      </c>
      <c r="B17" s="599" t="s">
        <v>33</v>
      </c>
      <c r="C17" s="598" t="s">
        <v>265</v>
      </c>
      <c r="D17" s="956">
        <v>2133</v>
      </c>
      <c r="E17" s="956">
        <v>2128</v>
      </c>
      <c r="F17" s="956">
        <v>397</v>
      </c>
      <c r="G17" s="956">
        <v>2600</v>
      </c>
      <c r="H17" s="956">
        <v>2058</v>
      </c>
      <c r="I17" s="600">
        <v>4053</v>
      </c>
      <c r="J17" s="600">
        <v>223</v>
      </c>
      <c r="K17" s="600">
        <v>235</v>
      </c>
      <c r="L17" s="600">
        <v>147</v>
      </c>
    </row>
    <row r="18" spans="1:12" s="601" customFormat="1" x14ac:dyDescent="0.25">
      <c r="A18" s="603" t="s">
        <v>36</v>
      </c>
      <c r="B18" s="599" t="s">
        <v>37</v>
      </c>
      <c r="C18" s="598" t="s">
        <v>264</v>
      </c>
      <c r="D18" s="956">
        <v>2285</v>
      </c>
      <c r="E18" s="956">
        <v>3099</v>
      </c>
      <c r="F18" s="956">
        <v>877</v>
      </c>
      <c r="G18" s="956">
        <v>3477</v>
      </c>
      <c r="H18" s="956">
        <v>2784</v>
      </c>
      <c r="I18" s="600">
        <v>1598</v>
      </c>
      <c r="J18" s="600">
        <v>4395</v>
      </c>
      <c r="K18" s="600">
        <v>147</v>
      </c>
      <c r="L18" s="600">
        <v>121</v>
      </c>
    </row>
    <row r="19" spans="1:12" s="601" customFormat="1" x14ac:dyDescent="0.25">
      <c r="A19" s="603" t="s">
        <v>38</v>
      </c>
      <c r="B19" s="599" t="s">
        <v>39</v>
      </c>
      <c r="C19" s="598" t="s">
        <v>268</v>
      </c>
      <c r="D19" s="956">
        <v>2911</v>
      </c>
      <c r="E19" s="956">
        <v>5099</v>
      </c>
      <c r="F19" s="956">
        <v>734</v>
      </c>
      <c r="G19" s="956">
        <v>4697</v>
      </c>
      <c r="H19" s="956">
        <v>4047</v>
      </c>
      <c r="I19" s="600">
        <v>8331</v>
      </c>
      <c r="J19" s="600">
        <v>39</v>
      </c>
      <c r="K19" s="600">
        <v>47</v>
      </c>
      <c r="L19" s="600">
        <v>327</v>
      </c>
    </row>
    <row r="20" spans="1:12" s="601" customFormat="1" x14ac:dyDescent="0.25">
      <c r="A20" s="603" t="s">
        <v>40</v>
      </c>
      <c r="B20" s="599" t="s">
        <v>41</v>
      </c>
      <c r="C20" s="598" t="s">
        <v>266</v>
      </c>
      <c r="D20" s="956">
        <v>2162</v>
      </c>
      <c r="E20" s="956">
        <v>2557</v>
      </c>
      <c r="F20" s="956">
        <v>589</v>
      </c>
      <c r="G20" s="956">
        <v>2963</v>
      </c>
      <c r="H20" s="956">
        <v>2345</v>
      </c>
      <c r="I20" s="600">
        <v>2628</v>
      </c>
      <c r="J20" s="600">
        <v>2215</v>
      </c>
      <c r="K20" s="600">
        <v>188</v>
      </c>
      <c r="L20" s="600">
        <v>277</v>
      </c>
    </row>
    <row r="21" spans="1:12" s="601" customFormat="1" x14ac:dyDescent="0.25">
      <c r="A21" s="603" t="s">
        <v>42</v>
      </c>
      <c r="B21" s="599" t="s">
        <v>43</v>
      </c>
      <c r="C21" s="598" t="s">
        <v>265</v>
      </c>
      <c r="D21" s="956">
        <v>6436</v>
      </c>
      <c r="E21" s="956">
        <v>7347</v>
      </c>
      <c r="F21" s="956">
        <v>1278</v>
      </c>
      <c r="G21" s="956">
        <v>8606</v>
      </c>
      <c r="H21" s="956">
        <v>6455</v>
      </c>
      <c r="I21" s="600">
        <v>10133</v>
      </c>
      <c r="J21" s="600">
        <v>3341</v>
      </c>
      <c r="K21" s="600">
        <v>459</v>
      </c>
      <c r="L21" s="600">
        <v>1128</v>
      </c>
    </row>
    <row r="22" spans="1:12" s="601" customFormat="1" x14ac:dyDescent="0.25">
      <c r="A22" s="603" t="s">
        <v>44</v>
      </c>
      <c r="B22" s="599" t="s">
        <v>45</v>
      </c>
      <c r="C22" s="598" t="s">
        <v>266</v>
      </c>
      <c r="D22" s="956">
        <v>3995</v>
      </c>
      <c r="E22" s="956">
        <v>4146</v>
      </c>
      <c r="F22" s="956">
        <v>577</v>
      </c>
      <c r="G22" s="956">
        <v>4920</v>
      </c>
      <c r="H22" s="956">
        <v>3798</v>
      </c>
      <c r="I22" s="600">
        <v>4507</v>
      </c>
      <c r="J22" s="600">
        <v>2935</v>
      </c>
      <c r="K22" s="600">
        <v>335</v>
      </c>
      <c r="L22" s="600">
        <v>941</v>
      </c>
    </row>
    <row r="23" spans="1:12" s="601" customFormat="1" x14ac:dyDescent="0.25">
      <c r="A23" s="603" t="s">
        <v>46</v>
      </c>
      <c r="B23" s="599" t="s">
        <v>47</v>
      </c>
      <c r="C23" s="598" t="s">
        <v>268</v>
      </c>
      <c r="D23" s="956">
        <v>3673</v>
      </c>
      <c r="E23" s="956">
        <v>4789</v>
      </c>
      <c r="F23" s="956">
        <v>1166</v>
      </c>
      <c r="G23" s="956">
        <v>5271</v>
      </c>
      <c r="H23" s="956">
        <v>4357</v>
      </c>
      <c r="I23" s="600">
        <v>8548</v>
      </c>
      <c r="J23" s="600">
        <v>137</v>
      </c>
      <c r="K23" s="600">
        <v>197</v>
      </c>
      <c r="L23" s="600">
        <v>746</v>
      </c>
    </row>
    <row r="24" spans="1:12" s="601" customFormat="1" x14ac:dyDescent="0.25">
      <c r="A24" s="603" t="s">
        <v>48</v>
      </c>
      <c r="B24" s="599" t="s">
        <v>269</v>
      </c>
      <c r="C24" s="598" t="s">
        <v>266</v>
      </c>
      <c r="D24" s="956">
        <v>738</v>
      </c>
      <c r="E24" s="956">
        <v>980</v>
      </c>
      <c r="F24" s="956">
        <v>205</v>
      </c>
      <c r="G24" s="956">
        <v>1092</v>
      </c>
      <c r="H24" s="956">
        <v>831</v>
      </c>
      <c r="I24" s="600">
        <v>612</v>
      </c>
      <c r="J24" s="600">
        <v>1039</v>
      </c>
      <c r="K24" s="600">
        <v>102</v>
      </c>
      <c r="L24" s="600">
        <v>170</v>
      </c>
    </row>
    <row r="25" spans="1:12" s="601" customFormat="1" x14ac:dyDescent="0.25">
      <c r="A25" s="603" t="s">
        <v>50</v>
      </c>
      <c r="B25" s="599" t="s">
        <v>51</v>
      </c>
      <c r="C25" s="598" t="s">
        <v>265</v>
      </c>
      <c r="D25" s="956">
        <v>1657</v>
      </c>
      <c r="E25" s="956">
        <v>2033</v>
      </c>
      <c r="F25" s="956">
        <v>527</v>
      </c>
      <c r="G25" s="956">
        <v>2328</v>
      </c>
      <c r="H25" s="956">
        <v>1889</v>
      </c>
      <c r="I25" s="600">
        <v>2055</v>
      </c>
      <c r="J25" s="600">
        <v>1924</v>
      </c>
      <c r="K25" s="600">
        <v>120</v>
      </c>
      <c r="L25" s="600">
        <v>118</v>
      </c>
    </row>
    <row r="26" spans="1:12" s="601" customFormat="1" x14ac:dyDescent="0.25">
      <c r="A26" s="603" t="s">
        <v>56</v>
      </c>
      <c r="B26" s="599" t="s">
        <v>295</v>
      </c>
      <c r="C26" s="598" t="s">
        <v>266</v>
      </c>
      <c r="D26" s="956">
        <v>36799</v>
      </c>
      <c r="E26" s="956">
        <v>31251</v>
      </c>
      <c r="F26" s="956">
        <v>3175</v>
      </c>
      <c r="G26" s="956">
        <v>40828</v>
      </c>
      <c r="H26" s="956">
        <v>30397</v>
      </c>
      <c r="I26" s="600">
        <v>32439</v>
      </c>
      <c r="J26" s="600">
        <v>24187</v>
      </c>
      <c r="K26" s="600">
        <v>6844</v>
      </c>
      <c r="L26" s="600">
        <v>7756</v>
      </c>
    </row>
    <row r="27" spans="1:12" s="601" customFormat="1" x14ac:dyDescent="0.25">
      <c r="A27" s="603" t="s">
        <v>58</v>
      </c>
      <c r="B27" s="599" t="s">
        <v>59</v>
      </c>
      <c r="C27" s="598" t="s">
        <v>267</v>
      </c>
      <c r="D27" s="956">
        <v>781</v>
      </c>
      <c r="E27" s="956">
        <v>707</v>
      </c>
      <c r="F27" s="956">
        <v>177</v>
      </c>
      <c r="G27" s="956">
        <v>929</v>
      </c>
      <c r="H27" s="956">
        <v>736</v>
      </c>
      <c r="I27" s="600">
        <v>1334</v>
      </c>
      <c r="J27" s="600">
        <v>205</v>
      </c>
      <c r="K27" s="600">
        <v>49</v>
      </c>
      <c r="L27" s="600">
        <v>77</v>
      </c>
    </row>
    <row r="28" spans="1:12" s="601" customFormat="1" x14ac:dyDescent="0.25">
      <c r="A28" s="603" t="s">
        <v>60</v>
      </c>
      <c r="B28" s="599" t="s">
        <v>61</v>
      </c>
      <c r="C28" s="598" t="s">
        <v>265</v>
      </c>
      <c r="D28" s="956">
        <v>563</v>
      </c>
      <c r="E28" s="956">
        <v>623</v>
      </c>
      <c r="F28" s="956">
        <v>141</v>
      </c>
      <c r="G28" s="956">
        <v>737</v>
      </c>
      <c r="H28" s="956">
        <v>590</v>
      </c>
      <c r="I28" s="600">
        <v>1215</v>
      </c>
      <c r="J28" s="600">
        <v>9</v>
      </c>
      <c r="K28" s="600">
        <v>14</v>
      </c>
      <c r="L28" s="600">
        <v>89</v>
      </c>
    </row>
    <row r="29" spans="1:12" s="601" customFormat="1" x14ac:dyDescent="0.25">
      <c r="A29" s="603" t="s">
        <v>62</v>
      </c>
      <c r="B29" s="599" t="s">
        <v>63</v>
      </c>
      <c r="C29" s="598" t="s">
        <v>267</v>
      </c>
      <c r="D29" s="956">
        <v>5904</v>
      </c>
      <c r="E29" s="956">
        <v>4853</v>
      </c>
      <c r="F29" s="956">
        <v>737</v>
      </c>
      <c r="G29" s="956">
        <v>6454</v>
      </c>
      <c r="H29" s="956">
        <v>5040</v>
      </c>
      <c r="I29" s="600">
        <v>6298</v>
      </c>
      <c r="J29" s="600">
        <v>2841</v>
      </c>
      <c r="K29" s="600">
        <v>916</v>
      </c>
      <c r="L29" s="600">
        <v>1439</v>
      </c>
    </row>
    <row r="30" spans="1:12" s="601" customFormat="1" x14ac:dyDescent="0.25">
      <c r="A30" s="603" t="s">
        <v>64</v>
      </c>
      <c r="B30" s="599" t="s">
        <v>65</v>
      </c>
      <c r="C30" s="598" t="s">
        <v>266</v>
      </c>
      <c r="D30" s="956">
        <v>1507</v>
      </c>
      <c r="E30" s="956">
        <v>1736</v>
      </c>
      <c r="F30" s="956">
        <v>373</v>
      </c>
      <c r="G30" s="956">
        <v>2029</v>
      </c>
      <c r="H30" s="956">
        <v>1587</v>
      </c>
      <c r="I30" s="600">
        <v>1865</v>
      </c>
      <c r="J30" s="600">
        <v>1536</v>
      </c>
      <c r="K30" s="600">
        <v>131</v>
      </c>
      <c r="L30" s="600">
        <v>84</v>
      </c>
    </row>
    <row r="31" spans="1:12" s="601" customFormat="1" x14ac:dyDescent="0.25">
      <c r="A31" s="603" t="s">
        <v>68</v>
      </c>
      <c r="B31" s="599" t="s">
        <v>69</v>
      </c>
      <c r="C31" s="598" t="s">
        <v>268</v>
      </c>
      <c r="D31" s="956">
        <v>2324</v>
      </c>
      <c r="E31" s="956">
        <v>3644</v>
      </c>
      <c r="F31" s="956">
        <v>557</v>
      </c>
      <c r="G31" s="956">
        <v>3522</v>
      </c>
      <c r="H31" s="956">
        <v>3003</v>
      </c>
      <c r="I31" s="600">
        <v>6237</v>
      </c>
      <c r="J31" s="600">
        <v>60</v>
      </c>
      <c r="K31" s="600">
        <v>22</v>
      </c>
      <c r="L31" s="600">
        <v>206</v>
      </c>
    </row>
    <row r="32" spans="1:12" s="601" customFormat="1" x14ac:dyDescent="0.25">
      <c r="A32" s="603" t="s">
        <v>70</v>
      </c>
      <c r="B32" s="599" t="s">
        <v>71</v>
      </c>
      <c r="C32" s="598" t="s">
        <v>264</v>
      </c>
      <c r="D32" s="956">
        <v>3650</v>
      </c>
      <c r="E32" s="956">
        <v>4122</v>
      </c>
      <c r="F32" s="956">
        <v>603</v>
      </c>
      <c r="G32" s="956">
        <v>4799</v>
      </c>
      <c r="H32" s="956">
        <v>3576</v>
      </c>
      <c r="I32" s="600">
        <v>4098</v>
      </c>
      <c r="J32" s="600">
        <v>3173</v>
      </c>
      <c r="K32" s="600">
        <v>234</v>
      </c>
      <c r="L32" s="600">
        <v>870</v>
      </c>
    </row>
    <row r="33" spans="1:12" s="601" customFormat="1" x14ac:dyDescent="0.25">
      <c r="A33" s="603" t="s">
        <v>72</v>
      </c>
      <c r="B33" s="599" t="s">
        <v>73</v>
      </c>
      <c r="C33" s="598" t="s">
        <v>266</v>
      </c>
      <c r="D33" s="956">
        <v>1732</v>
      </c>
      <c r="E33" s="956">
        <v>1911</v>
      </c>
      <c r="F33" s="956">
        <v>300</v>
      </c>
      <c r="G33" s="956">
        <v>2324</v>
      </c>
      <c r="H33" s="956">
        <v>1619</v>
      </c>
      <c r="I33" s="600">
        <v>1151</v>
      </c>
      <c r="J33" s="600">
        <v>2018</v>
      </c>
      <c r="K33" s="600">
        <v>159</v>
      </c>
      <c r="L33" s="600">
        <v>615</v>
      </c>
    </row>
    <row r="34" spans="1:12" s="601" customFormat="1" x14ac:dyDescent="0.25">
      <c r="A34" s="603" t="s">
        <v>74</v>
      </c>
      <c r="B34" s="599" t="s">
        <v>296</v>
      </c>
      <c r="C34" s="598" t="s">
        <v>267</v>
      </c>
      <c r="D34" s="956">
        <v>72098</v>
      </c>
      <c r="E34" s="956">
        <v>41136</v>
      </c>
      <c r="F34" s="956">
        <v>13883</v>
      </c>
      <c r="G34" s="956">
        <v>69668</v>
      </c>
      <c r="H34" s="956">
        <v>57450</v>
      </c>
      <c r="I34" s="600">
        <v>59198</v>
      </c>
      <c r="J34" s="600">
        <v>22800</v>
      </c>
      <c r="K34" s="600">
        <v>28366</v>
      </c>
      <c r="L34" s="600">
        <v>16754</v>
      </c>
    </row>
    <row r="35" spans="1:12" s="601" customFormat="1" x14ac:dyDescent="0.25">
      <c r="A35" s="603" t="s">
        <v>76</v>
      </c>
      <c r="B35" s="599" t="s">
        <v>77</v>
      </c>
      <c r="C35" s="598" t="s">
        <v>267</v>
      </c>
      <c r="D35" s="956">
        <v>4675</v>
      </c>
      <c r="E35" s="956">
        <v>3841</v>
      </c>
      <c r="F35" s="956">
        <v>672</v>
      </c>
      <c r="G35" s="956">
        <v>5158</v>
      </c>
      <c r="H35" s="956">
        <v>4030</v>
      </c>
      <c r="I35" s="600">
        <v>5934</v>
      </c>
      <c r="J35" s="600">
        <v>1728</v>
      </c>
      <c r="K35" s="600">
        <v>702</v>
      </c>
      <c r="L35" s="600">
        <v>824</v>
      </c>
    </row>
    <row r="36" spans="1:12" s="601" customFormat="1" x14ac:dyDescent="0.25">
      <c r="A36" s="603" t="s">
        <v>78</v>
      </c>
      <c r="B36" s="599" t="s">
        <v>79</v>
      </c>
      <c r="C36" s="598" t="s">
        <v>268</v>
      </c>
      <c r="D36" s="956">
        <v>1705</v>
      </c>
      <c r="E36" s="956">
        <v>1717</v>
      </c>
      <c r="F36" s="956">
        <v>358</v>
      </c>
      <c r="G36" s="956">
        <v>2048</v>
      </c>
      <c r="H36" s="956">
        <v>1732</v>
      </c>
      <c r="I36" s="600">
        <v>3339</v>
      </c>
      <c r="J36" s="600">
        <v>134</v>
      </c>
      <c r="K36" s="600">
        <v>132</v>
      </c>
      <c r="L36" s="600">
        <v>175</v>
      </c>
    </row>
    <row r="37" spans="1:12" s="601" customFormat="1" x14ac:dyDescent="0.25">
      <c r="A37" s="603" t="s">
        <v>80</v>
      </c>
      <c r="B37" s="599" t="s">
        <v>81</v>
      </c>
      <c r="C37" s="598" t="s">
        <v>266</v>
      </c>
      <c r="D37" s="956">
        <v>1974</v>
      </c>
      <c r="E37" s="956">
        <v>1799</v>
      </c>
      <c r="F37" s="956">
        <v>355</v>
      </c>
      <c r="G37" s="956">
        <v>2339</v>
      </c>
      <c r="H37" s="956">
        <v>1789</v>
      </c>
      <c r="I37" s="600">
        <v>2606</v>
      </c>
      <c r="J37" s="600">
        <v>1038</v>
      </c>
      <c r="K37" s="600">
        <v>252</v>
      </c>
      <c r="L37" s="600">
        <v>232</v>
      </c>
    </row>
    <row r="38" spans="1:12" s="601" customFormat="1" x14ac:dyDescent="0.25">
      <c r="A38" s="603" t="s">
        <v>84</v>
      </c>
      <c r="B38" s="599" t="s">
        <v>85</v>
      </c>
      <c r="C38" s="598" t="s">
        <v>265</v>
      </c>
      <c r="D38" s="956">
        <v>6188</v>
      </c>
      <c r="E38" s="956">
        <v>6814</v>
      </c>
      <c r="F38" s="956">
        <v>1129</v>
      </c>
      <c r="G38" s="956">
        <v>7942</v>
      </c>
      <c r="H38" s="956">
        <v>6189</v>
      </c>
      <c r="I38" s="600">
        <v>10726</v>
      </c>
      <c r="J38" s="600">
        <v>1814</v>
      </c>
      <c r="K38" s="600">
        <v>500</v>
      </c>
      <c r="L38" s="600">
        <v>1091</v>
      </c>
    </row>
    <row r="39" spans="1:12" s="601" customFormat="1" x14ac:dyDescent="0.25">
      <c r="A39" s="603" t="s">
        <v>86</v>
      </c>
      <c r="B39" s="599" t="s">
        <v>87</v>
      </c>
      <c r="C39" s="598" t="s">
        <v>267</v>
      </c>
      <c r="D39" s="956">
        <v>7564</v>
      </c>
      <c r="E39" s="956">
        <v>6129</v>
      </c>
      <c r="F39" s="956">
        <v>956</v>
      </c>
      <c r="G39" s="956">
        <v>8240</v>
      </c>
      <c r="H39" s="956">
        <v>6409</v>
      </c>
      <c r="I39" s="600">
        <v>11510</v>
      </c>
      <c r="J39" s="600">
        <v>1028</v>
      </c>
      <c r="K39" s="600">
        <v>796</v>
      </c>
      <c r="L39" s="600">
        <v>1315</v>
      </c>
    </row>
    <row r="40" spans="1:12" s="601" customFormat="1" x14ac:dyDescent="0.25">
      <c r="A40" s="603" t="s">
        <v>92</v>
      </c>
      <c r="B40" s="599" t="s">
        <v>93</v>
      </c>
      <c r="C40" s="598" t="s">
        <v>268</v>
      </c>
      <c r="D40" s="956">
        <v>1887</v>
      </c>
      <c r="E40" s="956">
        <v>2413</v>
      </c>
      <c r="F40" s="956">
        <v>480</v>
      </c>
      <c r="G40" s="956">
        <v>2629</v>
      </c>
      <c r="H40" s="956">
        <v>2151</v>
      </c>
      <c r="I40" s="600">
        <v>4414</v>
      </c>
      <c r="J40" s="600">
        <v>119</v>
      </c>
      <c r="K40" s="600">
        <v>62</v>
      </c>
      <c r="L40" s="600">
        <v>185</v>
      </c>
    </row>
    <row r="41" spans="1:12" s="601" customFormat="1" x14ac:dyDescent="0.25">
      <c r="A41" s="603" t="s">
        <v>94</v>
      </c>
      <c r="B41" s="599" t="s">
        <v>95</v>
      </c>
      <c r="C41" s="598" t="s">
        <v>264</v>
      </c>
      <c r="D41" s="956">
        <v>3500</v>
      </c>
      <c r="E41" s="956">
        <v>3926</v>
      </c>
      <c r="F41" s="956">
        <v>554</v>
      </c>
      <c r="G41" s="956">
        <v>4488</v>
      </c>
      <c r="H41" s="956">
        <v>3492</v>
      </c>
      <c r="I41" s="600">
        <v>5994</v>
      </c>
      <c r="J41" s="600">
        <v>1107</v>
      </c>
      <c r="K41" s="600">
        <v>287</v>
      </c>
      <c r="L41" s="600">
        <v>592</v>
      </c>
    </row>
    <row r="42" spans="1:12" s="601" customFormat="1" x14ac:dyDescent="0.25">
      <c r="A42" s="603" t="s">
        <v>96</v>
      </c>
      <c r="B42" s="599" t="s">
        <v>97</v>
      </c>
      <c r="C42" s="598" t="s">
        <v>266</v>
      </c>
      <c r="D42" s="956">
        <v>1203</v>
      </c>
      <c r="E42" s="956">
        <v>1281</v>
      </c>
      <c r="F42" s="956">
        <v>244</v>
      </c>
      <c r="G42" s="956">
        <v>1535</v>
      </c>
      <c r="H42" s="956">
        <v>1193</v>
      </c>
      <c r="I42" s="600">
        <v>1430</v>
      </c>
      <c r="J42" s="600">
        <v>991</v>
      </c>
      <c r="K42" s="600">
        <v>122</v>
      </c>
      <c r="L42" s="600">
        <v>185</v>
      </c>
    </row>
    <row r="43" spans="1:12" s="601" customFormat="1" x14ac:dyDescent="0.25">
      <c r="A43" s="603" t="s">
        <v>98</v>
      </c>
      <c r="B43" s="599" t="s">
        <v>99</v>
      </c>
      <c r="C43" s="598" t="s">
        <v>268</v>
      </c>
      <c r="D43" s="956">
        <v>1939</v>
      </c>
      <c r="E43" s="956">
        <v>2520</v>
      </c>
      <c r="F43" s="956">
        <v>722</v>
      </c>
      <c r="G43" s="956">
        <v>2883</v>
      </c>
      <c r="H43" s="956">
        <v>2298</v>
      </c>
      <c r="I43" s="600">
        <v>4677</v>
      </c>
      <c r="J43" s="600">
        <v>186</v>
      </c>
      <c r="K43" s="600">
        <v>72</v>
      </c>
      <c r="L43" s="600">
        <v>246</v>
      </c>
    </row>
    <row r="44" spans="1:12" s="601" customFormat="1" x14ac:dyDescent="0.25">
      <c r="A44" s="603" t="s">
        <v>100</v>
      </c>
      <c r="B44" s="599" t="s">
        <v>101</v>
      </c>
      <c r="C44" s="598" t="s">
        <v>267</v>
      </c>
      <c r="D44" s="956">
        <v>2158</v>
      </c>
      <c r="E44" s="956">
        <v>1934</v>
      </c>
      <c r="F44" s="956">
        <v>282</v>
      </c>
      <c r="G44" s="956">
        <v>2393</v>
      </c>
      <c r="H44" s="956">
        <v>1981</v>
      </c>
      <c r="I44" s="600">
        <v>3210</v>
      </c>
      <c r="J44" s="600">
        <v>656</v>
      </c>
      <c r="K44" s="600">
        <v>251</v>
      </c>
      <c r="L44" s="600">
        <v>257</v>
      </c>
    </row>
    <row r="45" spans="1:12" s="601" customFormat="1" x14ac:dyDescent="0.25">
      <c r="A45" s="603" t="s">
        <v>102</v>
      </c>
      <c r="B45" s="599" t="s">
        <v>282</v>
      </c>
      <c r="C45" s="598" t="s">
        <v>264</v>
      </c>
      <c r="D45" s="956">
        <v>3246</v>
      </c>
      <c r="E45" s="956">
        <v>3652</v>
      </c>
      <c r="F45" s="956">
        <v>705</v>
      </c>
      <c r="G45" s="956">
        <v>4338</v>
      </c>
      <c r="H45" s="956">
        <v>3265</v>
      </c>
      <c r="I45" s="600">
        <v>1165</v>
      </c>
      <c r="J45" s="600">
        <v>5841</v>
      </c>
      <c r="K45" s="600">
        <v>183</v>
      </c>
      <c r="L45" s="600">
        <v>414</v>
      </c>
    </row>
    <row r="46" spans="1:12" s="601" customFormat="1" x14ac:dyDescent="0.25">
      <c r="A46" s="603" t="s">
        <v>104</v>
      </c>
      <c r="B46" s="599" t="s">
        <v>105</v>
      </c>
      <c r="C46" s="598" t="s">
        <v>265</v>
      </c>
      <c r="D46" s="956">
        <v>4781</v>
      </c>
      <c r="E46" s="956">
        <v>6055</v>
      </c>
      <c r="F46" s="956">
        <v>1527</v>
      </c>
      <c r="G46" s="956">
        <v>7037</v>
      </c>
      <c r="H46" s="956">
        <v>5326</v>
      </c>
      <c r="I46" s="600">
        <v>4788</v>
      </c>
      <c r="J46" s="600">
        <v>6428</v>
      </c>
      <c r="K46" s="600">
        <v>353</v>
      </c>
      <c r="L46" s="600">
        <v>794</v>
      </c>
    </row>
    <row r="47" spans="1:12" s="601" customFormat="1" x14ac:dyDescent="0.25">
      <c r="A47" s="603" t="s">
        <v>108</v>
      </c>
      <c r="B47" s="599" t="s">
        <v>109</v>
      </c>
      <c r="C47" s="598" t="s">
        <v>266</v>
      </c>
      <c r="D47" s="956">
        <v>5888</v>
      </c>
      <c r="E47" s="956">
        <v>5700</v>
      </c>
      <c r="F47" s="956">
        <v>845</v>
      </c>
      <c r="G47" s="956">
        <v>7082</v>
      </c>
      <c r="H47" s="956">
        <v>5351</v>
      </c>
      <c r="I47" s="600">
        <v>7846</v>
      </c>
      <c r="J47" s="600">
        <v>2623</v>
      </c>
      <c r="K47" s="600">
        <v>715</v>
      </c>
      <c r="L47" s="600">
        <v>1249</v>
      </c>
    </row>
    <row r="48" spans="1:12" s="601" customFormat="1" x14ac:dyDescent="0.25">
      <c r="A48" s="603" t="s">
        <v>110</v>
      </c>
      <c r="B48" s="599" t="s">
        <v>111</v>
      </c>
      <c r="C48" s="598" t="s">
        <v>266</v>
      </c>
      <c r="D48" s="956">
        <v>33098</v>
      </c>
      <c r="E48" s="956">
        <v>30709</v>
      </c>
      <c r="F48" s="956">
        <v>4042</v>
      </c>
      <c r="G48" s="956">
        <v>39151</v>
      </c>
      <c r="H48" s="956">
        <v>28697</v>
      </c>
      <c r="I48" s="600">
        <v>19392</v>
      </c>
      <c r="J48" s="600">
        <v>33892</v>
      </c>
      <c r="K48" s="600">
        <v>5706</v>
      </c>
      <c r="L48" s="600">
        <v>8859</v>
      </c>
    </row>
    <row r="49" spans="1:12" s="601" customFormat="1" x14ac:dyDescent="0.25">
      <c r="A49" s="603" t="s">
        <v>112</v>
      </c>
      <c r="B49" s="599" t="s">
        <v>300</v>
      </c>
      <c r="C49" s="598" t="s">
        <v>265</v>
      </c>
      <c r="D49" s="956">
        <v>11406</v>
      </c>
      <c r="E49" s="956">
        <v>14496</v>
      </c>
      <c r="F49" s="956">
        <v>2674</v>
      </c>
      <c r="G49" s="956">
        <v>15991</v>
      </c>
      <c r="H49" s="956">
        <v>12585</v>
      </c>
      <c r="I49" s="600">
        <v>15182</v>
      </c>
      <c r="J49" s="600">
        <v>9977</v>
      </c>
      <c r="K49" s="600">
        <v>653</v>
      </c>
      <c r="L49" s="600">
        <v>2764</v>
      </c>
    </row>
    <row r="50" spans="1:12" s="601" customFormat="1" x14ac:dyDescent="0.25">
      <c r="A50" s="603" t="s">
        <v>114</v>
      </c>
      <c r="B50" s="599" t="s">
        <v>115</v>
      </c>
      <c r="C50" s="598" t="s">
        <v>265</v>
      </c>
      <c r="D50" s="956">
        <v>163</v>
      </c>
      <c r="E50" s="956">
        <v>185</v>
      </c>
      <c r="F50" s="956">
        <v>51</v>
      </c>
      <c r="G50" s="956">
        <v>228</v>
      </c>
      <c r="H50" s="956">
        <v>171</v>
      </c>
      <c r="I50" s="600">
        <v>324</v>
      </c>
      <c r="J50" s="600">
        <v>11</v>
      </c>
      <c r="K50" s="600">
        <v>11</v>
      </c>
      <c r="L50" s="600">
        <v>53</v>
      </c>
    </row>
    <row r="51" spans="1:12" s="601" customFormat="1" x14ac:dyDescent="0.25">
      <c r="A51" s="603" t="s">
        <v>118</v>
      </c>
      <c r="B51" s="599" t="s">
        <v>270</v>
      </c>
      <c r="C51" s="598" t="s">
        <v>264</v>
      </c>
      <c r="D51" s="956">
        <v>3161</v>
      </c>
      <c r="E51" s="956">
        <v>3552</v>
      </c>
      <c r="F51" s="956">
        <v>672</v>
      </c>
      <c r="G51" s="956">
        <v>4276</v>
      </c>
      <c r="H51" s="956">
        <v>3109</v>
      </c>
      <c r="I51" s="600">
        <v>3186</v>
      </c>
      <c r="J51" s="600">
        <v>3280</v>
      </c>
      <c r="K51" s="600">
        <v>234</v>
      </c>
      <c r="L51" s="600">
        <v>685</v>
      </c>
    </row>
    <row r="52" spans="1:12" s="601" customFormat="1" x14ac:dyDescent="0.25">
      <c r="A52" s="603" t="s">
        <v>120</v>
      </c>
      <c r="B52" s="599" t="s">
        <v>121</v>
      </c>
      <c r="C52" s="598" t="s">
        <v>264</v>
      </c>
      <c r="D52" s="956">
        <v>5093</v>
      </c>
      <c r="E52" s="956">
        <v>4500</v>
      </c>
      <c r="F52" s="956">
        <v>510</v>
      </c>
      <c r="G52" s="956">
        <v>5820</v>
      </c>
      <c r="H52" s="956">
        <v>4283</v>
      </c>
      <c r="I52" s="600">
        <v>4946</v>
      </c>
      <c r="J52" s="600">
        <v>3632</v>
      </c>
      <c r="K52" s="600">
        <v>660</v>
      </c>
      <c r="L52" s="600">
        <v>865</v>
      </c>
    </row>
    <row r="53" spans="1:12" s="601" customFormat="1" x14ac:dyDescent="0.25">
      <c r="A53" s="603" t="s">
        <v>122</v>
      </c>
      <c r="B53" s="599" t="s">
        <v>287</v>
      </c>
      <c r="C53" s="598" t="s">
        <v>266</v>
      </c>
      <c r="D53" s="956">
        <v>910</v>
      </c>
      <c r="E53" s="956">
        <v>1064</v>
      </c>
      <c r="F53" s="956">
        <v>196</v>
      </c>
      <c r="G53" s="956">
        <v>1257</v>
      </c>
      <c r="H53" s="956">
        <v>913</v>
      </c>
      <c r="I53" s="600">
        <v>1062</v>
      </c>
      <c r="J53" s="600">
        <v>845</v>
      </c>
      <c r="K53" s="600">
        <v>111</v>
      </c>
      <c r="L53" s="600">
        <v>152</v>
      </c>
    </row>
    <row r="54" spans="1:12" s="601" customFormat="1" x14ac:dyDescent="0.25">
      <c r="A54" s="603" t="s">
        <v>124</v>
      </c>
      <c r="B54" s="599" t="s">
        <v>125</v>
      </c>
      <c r="C54" s="598" t="s">
        <v>267</v>
      </c>
      <c r="D54" s="956">
        <v>2443</v>
      </c>
      <c r="E54" s="956">
        <v>2448</v>
      </c>
      <c r="F54" s="956">
        <v>316</v>
      </c>
      <c r="G54" s="956">
        <v>2980</v>
      </c>
      <c r="H54" s="956">
        <v>2227</v>
      </c>
      <c r="I54" s="600">
        <v>2789</v>
      </c>
      <c r="J54" s="600">
        <v>1715</v>
      </c>
      <c r="K54" s="600">
        <v>218</v>
      </c>
      <c r="L54" s="600">
        <v>485</v>
      </c>
    </row>
    <row r="55" spans="1:12" s="601" customFormat="1" x14ac:dyDescent="0.25">
      <c r="A55" s="603" t="s">
        <v>126</v>
      </c>
      <c r="B55" s="599" t="s">
        <v>127</v>
      </c>
      <c r="C55" s="598" t="s">
        <v>266</v>
      </c>
      <c r="D55" s="956">
        <v>1655</v>
      </c>
      <c r="E55" s="956">
        <v>1580</v>
      </c>
      <c r="F55" s="956">
        <v>284</v>
      </c>
      <c r="G55" s="956">
        <v>2057</v>
      </c>
      <c r="H55" s="956">
        <v>1462</v>
      </c>
      <c r="I55" s="600">
        <v>1862</v>
      </c>
      <c r="J55" s="600">
        <v>1176</v>
      </c>
      <c r="K55" s="600">
        <v>210</v>
      </c>
      <c r="L55" s="600">
        <v>271</v>
      </c>
    </row>
    <row r="56" spans="1:12" s="601" customFormat="1" x14ac:dyDescent="0.25">
      <c r="A56" s="603" t="s">
        <v>128</v>
      </c>
      <c r="B56" s="599" t="s">
        <v>129</v>
      </c>
      <c r="C56" s="598" t="s">
        <v>266</v>
      </c>
      <c r="D56" s="956">
        <v>1214</v>
      </c>
      <c r="E56" s="956">
        <v>1330</v>
      </c>
      <c r="F56" s="956">
        <v>363</v>
      </c>
      <c r="G56" s="956">
        <v>1711</v>
      </c>
      <c r="H56" s="956">
        <v>1196</v>
      </c>
      <c r="I56" s="600">
        <v>982</v>
      </c>
      <c r="J56" s="600">
        <v>1752</v>
      </c>
      <c r="K56" s="600">
        <v>106</v>
      </c>
      <c r="L56" s="600">
        <v>67</v>
      </c>
    </row>
    <row r="57" spans="1:12" s="601" customFormat="1" x14ac:dyDescent="0.25">
      <c r="A57" s="603" t="s">
        <v>130</v>
      </c>
      <c r="B57" s="599" t="s">
        <v>131</v>
      </c>
      <c r="C57" s="598" t="s">
        <v>268</v>
      </c>
      <c r="D57" s="956">
        <v>3571</v>
      </c>
      <c r="E57" s="956">
        <v>5656</v>
      </c>
      <c r="F57" s="956">
        <v>1211</v>
      </c>
      <c r="G57" s="956">
        <v>5539</v>
      </c>
      <c r="H57" s="956">
        <v>4899</v>
      </c>
      <c r="I57" s="600">
        <v>9911</v>
      </c>
      <c r="J57" s="600">
        <v>67</v>
      </c>
      <c r="K57" s="600">
        <v>108</v>
      </c>
      <c r="L57" s="600">
        <v>352</v>
      </c>
    </row>
    <row r="58" spans="1:12" s="601" customFormat="1" x14ac:dyDescent="0.25">
      <c r="A58" s="603" t="s">
        <v>132</v>
      </c>
      <c r="B58" s="599" t="s">
        <v>133</v>
      </c>
      <c r="C58" s="598" t="s">
        <v>267</v>
      </c>
      <c r="D58" s="956">
        <v>18576</v>
      </c>
      <c r="E58" s="956">
        <v>10033</v>
      </c>
      <c r="F58" s="956">
        <v>2869</v>
      </c>
      <c r="G58" s="956">
        <v>17402</v>
      </c>
      <c r="H58" s="956">
        <v>14076</v>
      </c>
      <c r="I58" s="600">
        <v>16232</v>
      </c>
      <c r="J58" s="600">
        <v>3970</v>
      </c>
      <c r="K58" s="600">
        <v>7034</v>
      </c>
      <c r="L58" s="600">
        <v>4242</v>
      </c>
    </row>
    <row r="59" spans="1:12" s="601" customFormat="1" x14ac:dyDescent="0.25">
      <c r="A59" s="603" t="s">
        <v>134</v>
      </c>
      <c r="B59" s="599" t="s">
        <v>135</v>
      </c>
      <c r="C59" s="598" t="s">
        <v>267</v>
      </c>
      <c r="D59" s="956">
        <v>3853</v>
      </c>
      <c r="E59" s="956">
        <v>4116</v>
      </c>
      <c r="F59" s="956">
        <v>750</v>
      </c>
      <c r="G59" s="956">
        <v>4853</v>
      </c>
      <c r="H59" s="956">
        <v>3866</v>
      </c>
      <c r="I59" s="600">
        <v>5363</v>
      </c>
      <c r="J59" s="600">
        <v>2181</v>
      </c>
      <c r="K59" s="600">
        <v>319</v>
      </c>
      <c r="L59" s="600">
        <v>856</v>
      </c>
    </row>
    <row r="60" spans="1:12" s="601" customFormat="1" x14ac:dyDescent="0.25">
      <c r="A60" s="603" t="s">
        <v>136</v>
      </c>
      <c r="B60" s="599" t="s">
        <v>137</v>
      </c>
      <c r="C60" s="598" t="s">
        <v>266</v>
      </c>
      <c r="D60" s="956">
        <v>1698</v>
      </c>
      <c r="E60" s="956">
        <v>2028</v>
      </c>
      <c r="F60" s="956">
        <v>531</v>
      </c>
      <c r="G60" s="956">
        <v>2359</v>
      </c>
      <c r="H60" s="956">
        <v>1898</v>
      </c>
      <c r="I60" s="600">
        <v>1925</v>
      </c>
      <c r="J60" s="600">
        <v>2013</v>
      </c>
      <c r="K60" s="600">
        <v>221</v>
      </c>
      <c r="L60" s="600">
        <v>98</v>
      </c>
    </row>
    <row r="61" spans="1:12" s="601" customFormat="1" x14ac:dyDescent="0.25">
      <c r="A61" s="603" t="s">
        <v>140</v>
      </c>
      <c r="B61" s="599" t="s">
        <v>141</v>
      </c>
      <c r="C61" s="598" t="s">
        <v>267</v>
      </c>
      <c r="D61" s="956">
        <v>1480</v>
      </c>
      <c r="E61" s="956">
        <v>1435</v>
      </c>
      <c r="F61" s="956">
        <v>302</v>
      </c>
      <c r="G61" s="956">
        <v>1792</v>
      </c>
      <c r="H61" s="956">
        <v>1425</v>
      </c>
      <c r="I61" s="600">
        <v>2326</v>
      </c>
      <c r="J61" s="600">
        <v>520</v>
      </c>
      <c r="K61" s="600">
        <v>88</v>
      </c>
      <c r="L61" s="600">
        <v>283</v>
      </c>
    </row>
    <row r="62" spans="1:12" s="601" customFormat="1" x14ac:dyDescent="0.25">
      <c r="A62" s="603" t="s">
        <v>146</v>
      </c>
      <c r="B62" s="599" t="s">
        <v>147</v>
      </c>
      <c r="C62" s="598" t="s">
        <v>264</v>
      </c>
      <c r="D62" s="956">
        <v>736</v>
      </c>
      <c r="E62" s="956">
        <v>924</v>
      </c>
      <c r="F62" s="956">
        <v>198</v>
      </c>
      <c r="G62" s="956">
        <v>1065</v>
      </c>
      <c r="H62" s="956">
        <v>793</v>
      </c>
      <c r="I62" s="600">
        <v>1362</v>
      </c>
      <c r="J62" s="600">
        <v>339</v>
      </c>
      <c r="K62" s="600">
        <v>67</v>
      </c>
      <c r="L62" s="600">
        <v>90</v>
      </c>
    </row>
    <row r="63" spans="1:12" s="601" customFormat="1" x14ac:dyDescent="0.25">
      <c r="A63" s="603" t="s">
        <v>148</v>
      </c>
      <c r="B63" s="599" t="s">
        <v>149</v>
      </c>
      <c r="C63" s="598" t="s">
        <v>265</v>
      </c>
      <c r="D63" s="956">
        <v>3844</v>
      </c>
      <c r="E63" s="956">
        <v>4663</v>
      </c>
      <c r="F63" s="956">
        <v>1222</v>
      </c>
      <c r="G63" s="956">
        <v>5521</v>
      </c>
      <c r="H63" s="956">
        <v>4208</v>
      </c>
      <c r="I63" s="600">
        <v>3789</v>
      </c>
      <c r="J63" s="600">
        <v>5352</v>
      </c>
      <c r="K63" s="600">
        <v>210</v>
      </c>
      <c r="L63" s="600">
        <v>378</v>
      </c>
    </row>
    <row r="64" spans="1:12" s="601" customFormat="1" x14ac:dyDescent="0.25">
      <c r="A64" s="603" t="s">
        <v>150</v>
      </c>
      <c r="B64" s="599" t="s">
        <v>151</v>
      </c>
      <c r="C64" s="598" t="s">
        <v>266</v>
      </c>
      <c r="D64" s="956">
        <v>1216</v>
      </c>
      <c r="E64" s="956">
        <v>1452</v>
      </c>
      <c r="F64" s="956">
        <v>304</v>
      </c>
      <c r="G64" s="956">
        <v>1683</v>
      </c>
      <c r="H64" s="956">
        <v>1289</v>
      </c>
      <c r="I64" s="600">
        <v>1890</v>
      </c>
      <c r="J64" s="600">
        <v>879</v>
      </c>
      <c r="K64" s="600">
        <v>95</v>
      </c>
      <c r="L64" s="600">
        <v>108</v>
      </c>
    </row>
    <row r="65" spans="1:12" s="601" customFormat="1" x14ac:dyDescent="0.25">
      <c r="A65" s="603" t="s">
        <v>152</v>
      </c>
      <c r="B65" s="599" t="s">
        <v>153</v>
      </c>
      <c r="C65" s="598" t="s">
        <v>268</v>
      </c>
      <c r="D65" s="956">
        <v>6086</v>
      </c>
      <c r="E65" s="956">
        <v>6900</v>
      </c>
      <c r="F65" s="956">
        <v>965</v>
      </c>
      <c r="G65" s="956">
        <v>7872</v>
      </c>
      <c r="H65" s="956">
        <v>6080</v>
      </c>
      <c r="I65" s="600">
        <v>10957</v>
      </c>
      <c r="J65" s="600">
        <v>1170</v>
      </c>
      <c r="K65" s="600">
        <v>592</v>
      </c>
      <c r="L65" s="600">
        <v>1233</v>
      </c>
    </row>
    <row r="66" spans="1:12" s="601" customFormat="1" x14ac:dyDescent="0.25">
      <c r="A66" s="603" t="s">
        <v>154</v>
      </c>
      <c r="B66" s="599" t="s">
        <v>155</v>
      </c>
      <c r="C66" s="598" t="s">
        <v>265</v>
      </c>
      <c r="D66" s="956">
        <v>1676</v>
      </c>
      <c r="E66" s="956">
        <v>1833</v>
      </c>
      <c r="F66" s="956">
        <v>468</v>
      </c>
      <c r="G66" s="956">
        <v>2222</v>
      </c>
      <c r="H66" s="956">
        <v>1755</v>
      </c>
      <c r="I66" s="600">
        <v>2717</v>
      </c>
      <c r="J66" s="600">
        <v>758</v>
      </c>
      <c r="K66" s="600">
        <v>177</v>
      </c>
      <c r="L66" s="600">
        <v>325</v>
      </c>
    </row>
    <row r="67" spans="1:12" s="601" customFormat="1" x14ac:dyDescent="0.25">
      <c r="A67" s="603" t="s">
        <v>156</v>
      </c>
      <c r="B67" s="599" t="s">
        <v>157</v>
      </c>
      <c r="C67" s="598" t="s">
        <v>266</v>
      </c>
      <c r="D67" s="956">
        <v>1347</v>
      </c>
      <c r="E67" s="956">
        <v>1339</v>
      </c>
      <c r="F67" s="956">
        <v>160</v>
      </c>
      <c r="G67" s="956">
        <v>1588</v>
      </c>
      <c r="H67" s="956">
        <v>1258</v>
      </c>
      <c r="I67" s="600">
        <v>1934</v>
      </c>
      <c r="J67" s="600">
        <v>517</v>
      </c>
      <c r="K67" s="600">
        <v>139</v>
      </c>
      <c r="L67" s="600">
        <v>256</v>
      </c>
    </row>
    <row r="68" spans="1:12" s="601" customFormat="1" x14ac:dyDescent="0.25">
      <c r="A68" s="603" t="s">
        <v>162</v>
      </c>
      <c r="B68" s="599" t="s">
        <v>163</v>
      </c>
      <c r="C68" s="598" t="s">
        <v>264</v>
      </c>
      <c r="D68" s="956">
        <v>1941</v>
      </c>
      <c r="E68" s="956">
        <v>2132</v>
      </c>
      <c r="F68" s="956">
        <v>704</v>
      </c>
      <c r="G68" s="956">
        <v>2712</v>
      </c>
      <c r="H68" s="956">
        <v>2065</v>
      </c>
      <c r="I68" s="600">
        <v>1702</v>
      </c>
      <c r="J68" s="600">
        <v>2757</v>
      </c>
      <c r="K68" s="600">
        <v>117</v>
      </c>
      <c r="L68" s="600">
        <v>201</v>
      </c>
    </row>
    <row r="69" spans="1:12" s="601" customFormat="1" x14ac:dyDescent="0.25">
      <c r="A69" s="603" t="s">
        <v>164</v>
      </c>
      <c r="B69" s="599" t="s">
        <v>165</v>
      </c>
      <c r="C69" s="598" t="s">
        <v>266</v>
      </c>
      <c r="D69" s="956">
        <v>1379</v>
      </c>
      <c r="E69" s="956">
        <v>1524</v>
      </c>
      <c r="F69" s="956">
        <v>361</v>
      </c>
      <c r="G69" s="956">
        <v>1818</v>
      </c>
      <c r="H69" s="956">
        <v>1446</v>
      </c>
      <c r="I69" s="600">
        <v>1312</v>
      </c>
      <c r="J69" s="600">
        <v>1645</v>
      </c>
      <c r="K69" s="600">
        <v>135</v>
      </c>
      <c r="L69" s="600">
        <v>172</v>
      </c>
    </row>
    <row r="70" spans="1:12" s="601" customFormat="1" x14ac:dyDescent="0.25">
      <c r="A70" s="603" t="s">
        <v>168</v>
      </c>
      <c r="B70" s="599" t="s">
        <v>169</v>
      </c>
      <c r="C70" s="598" t="s">
        <v>266</v>
      </c>
      <c r="D70" s="956">
        <v>2465</v>
      </c>
      <c r="E70" s="956">
        <v>2691</v>
      </c>
      <c r="F70" s="956">
        <v>548</v>
      </c>
      <c r="G70" s="956">
        <v>3251</v>
      </c>
      <c r="H70" s="956">
        <v>2453</v>
      </c>
      <c r="I70" s="600">
        <v>2331</v>
      </c>
      <c r="J70" s="600">
        <v>2861</v>
      </c>
      <c r="K70" s="600">
        <v>162</v>
      </c>
      <c r="L70" s="600">
        <v>350</v>
      </c>
    </row>
    <row r="71" spans="1:12" s="601" customFormat="1" x14ac:dyDescent="0.25">
      <c r="A71" s="603" t="s">
        <v>170</v>
      </c>
      <c r="B71" s="599" t="s">
        <v>171</v>
      </c>
      <c r="C71" s="598" t="s">
        <v>267</v>
      </c>
      <c r="D71" s="956">
        <v>3523</v>
      </c>
      <c r="E71" s="956">
        <v>3430</v>
      </c>
      <c r="F71" s="956">
        <v>643</v>
      </c>
      <c r="G71" s="956">
        <v>4369</v>
      </c>
      <c r="H71" s="956">
        <v>3227</v>
      </c>
      <c r="I71" s="600">
        <v>4819</v>
      </c>
      <c r="J71" s="600">
        <v>1739</v>
      </c>
      <c r="K71" s="600">
        <v>372</v>
      </c>
      <c r="L71" s="600">
        <v>666</v>
      </c>
    </row>
    <row r="72" spans="1:12" s="601" customFormat="1" x14ac:dyDescent="0.25">
      <c r="A72" s="603" t="s">
        <v>172</v>
      </c>
      <c r="B72" s="599" t="s">
        <v>173</v>
      </c>
      <c r="C72" s="598" t="s">
        <v>267</v>
      </c>
      <c r="D72" s="956">
        <v>2869</v>
      </c>
      <c r="E72" s="956">
        <v>3532</v>
      </c>
      <c r="F72" s="956">
        <v>714</v>
      </c>
      <c r="G72" s="956">
        <v>3916</v>
      </c>
      <c r="H72" s="956">
        <v>3200</v>
      </c>
      <c r="I72" s="600">
        <v>6376</v>
      </c>
      <c r="J72" s="600">
        <v>211</v>
      </c>
      <c r="K72" s="600">
        <v>104</v>
      </c>
      <c r="L72" s="600">
        <v>425</v>
      </c>
    </row>
    <row r="73" spans="1:12" s="601" customFormat="1" x14ac:dyDescent="0.25">
      <c r="A73" s="603" t="s">
        <v>174</v>
      </c>
      <c r="B73" s="599" t="s">
        <v>175</v>
      </c>
      <c r="C73" s="598" t="s">
        <v>268</v>
      </c>
      <c r="D73" s="956">
        <v>2188</v>
      </c>
      <c r="E73" s="956">
        <v>3008</v>
      </c>
      <c r="F73" s="956">
        <v>712</v>
      </c>
      <c r="G73" s="956">
        <v>3207</v>
      </c>
      <c r="H73" s="956">
        <v>2701</v>
      </c>
      <c r="I73" s="600">
        <v>5050</v>
      </c>
      <c r="J73" s="600">
        <v>436</v>
      </c>
      <c r="K73" s="600">
        <v>188</v>
      </c>
      <c r="L73" s="600">
        <v>234</v>
      </c>
    </row>
    <row r="74" spans="1:12" s="601" customFormat="1" x14ac:dyDescent="0.25">
      <c r="A74" s="603" t="s">
        <v>178</v>
      </c>
      <c r="B74" s="599" t="s">
        <v>179</v>
      </c>
      <c r="C74" s="598" t="s">
        <v>265</v>
      </c>
      <c r="D74" s="956">
        <v>7695</v>
      </c>
      <c r="E74" s="956">
        <v>9048</v>
      </c>
      <c r="F74" s="956">
        <v>2106</v>
      </c>
      <c r="G74" s="956">
        <v>10782</v>
      </c>
      <c r="H74" s="956">
        <v>8067</v>
      </c>
      <c r="I74" s="600">
        <v>10959</v>
      </c>
      <c r="J74" s="600">
        <v>5839</v>
      </c>
      <c r="K74" s="600">
        <v>611</v>
      </c>
      <c r="L74" s="600">
        <v>1440</v>
      </c>
    </row>
    <row r="75" spans="1:12" s="601" customFormat="1" x14ac:dyDescent="0.25">
      <c r="A75" s="603" t="s">
        <v>182</v>
      </c>
      <c r="B75" s="599" t="s">
        <v>183</v>
      </c>
      <c r="C75" s="598" t="s">
        <v>266</v>
      </c>
      <c r="D75" s="956">
        <v>1492</v>
      </c>
      <c r="E75" s="956">
        <v>1471</v>
      </c>
      <c r="F75" s="956">
        <v>242</v>
      </c>
      <c r="G75" s="956">
        <v>1798</v>
      </c>
      <c r="H75" s="956">
        <v>1407</v>
      </c>
      <c r="I75" s="600">
        <v>2289</v>
      </c>
      <c r="J75" s="600">
        <v>499</v>
      </c>
      <c r="K75" s="600">
        <v>129</v>
      </c>
      <c r="L75" s="600">
        <v>288</v>
      </c>
    </row>
    <row r="76" spans="1:12" s="601" customFormat="1" x14ac:dyDescent="0.25">
      <c r="A76" s="603" t="s">
        <v>184</v>
      </c>
      <c r="B76" s="599" t="s">
        <v>185</v>
      </c>
      <c r="C76" s="598" t="s">
        <v>266</v>
      </c>
      <c r="D76" s="956">
        <v>2660</v>
      </c>
      <c r="E76" s="956">
        <v>3198</v>
      </c>
      <c r="F76" s="956">
        <v>635</v>
      </c>
      <c r="G76" s="956">
        <v>3634</v>
      </c>
      <c r="H76" s="956">
        <v>2859</v>
      </c>
      <c r="I76" s="600">
        <v>2347</v>
      </c>
      <c r="J76" s="600">
        <v>3678</v>
      </c>
      <c r="K76" s="600">
        <v>190</v>
      </c>
      <c r="L76" s="600">
        <v>278</v>
      </c>
    </row>
    <row r="77" spans="1:12" s="601" customFormat="1" x14ac:dyDescent="0.25">
      <c r="A77" s="603" t="s">
        <v>186</v>
      </c>
      <c r="B77" s="599" t="s">
        <v>187</v>
      </c>
      <c r="C77" s="598" t="s">
        <v>264</v>
      </c>
      <c r="D77" s="956">
        <v>3346</v>
      </c>
      <c r="E77" s="956">
        <v>3234</v>
      </c>
      <c r="F77" s="956">
        <v>315</v>
      </c>
      <c r="G77" s="956">
        <v>3998</v>
      </c>
      <c r="H77" s="956">
        <v>2897</v>
      </c>
      <c r="I77" s="600">
        <v>3263</v>
      </c>
      <c r="J77" s="600">
        <v>2798</v>
      </c>
      <c r="K77" s="600">
        <v>320</v>
      </c>
      <c r="L77" s="600">
        <v>514</v>
      </c>
    </row>
    <row r="78" spans="1:12" s="601" customFormat="1" x14ac:dyDescent="0.25">
      <c r="A78" s="603" t="s">
        <v>188</v>
      </c>
      <c r="B78" s="599" t="s">
        <v>189</v>
      </c>
      <c r="C78" s="598" t="s">
        <v>267</v>
      </c>
      <c r="D78" s="956">
        <v>44969</v>
      </c>
      <c r="E78" s="956">
        <v>26824</v>
      </c>
      <c r="F78" s="956">
        <v>3952</v>
      </c>
      <c r="G78" s="956">
        <v>42377</v>
      </c>
      <c r="H78" s="956">
        <v>33368</v>
      </c>
      <c r="I78" s="600">
        <v>34990</v>
      </c>
      <c r="J78" s="600">
        <v>20590</v>
      </c>
      <c r="K78" s="600">
        <v>11928</v>
      </c>
      <c r="L78" s="600">
        <v>8237</v>
      </c>
    </row>
    <row r="79" spans="1:12" s="601" customFormat="1" x14ac:dyDescent="0.25">
      <c r="A79" s="603" t="s">
        <v>190</v>
      </c>
      <c r="B79" s="599" t="s">
        <v>191</v>
      </c>
      <c r="C79" s="598" t="s">
        <v>268</v>
      </c>
      <c r="D79" s="956">
        <v>3839</v>
      </c>
      <c r="E79" s="956">
        <v>5341</v>
      </c>
      <c r="F79" s="956">
        <v>1012</v>
      </c>
      <c r="G79" s="956">
        <v>5693</v>
      </c>
      <c r="H79" s="956">
        <v>4499</v>
      </c>
      <c r="I79" s="600">
        <v>8664</v>
      </c>
      <c r="J79" s="600">
        <v>929</v>
      </c>
      <c r="K79" s="600">
        <v>270</v>
      </c>
      <c r="L79" s="600">
        <v>329</v>
      </c>
    </row>
    <row r="80" spans="1:12" s="601" customFormat="1" x14ac:dyDescent="0.25">
      <c r="A80" s="603" t="s">
        <v>194</v>
      </c>
      <c r="B80" s="599" t="s">
        <v>195</v>
      </c>
      <c r="C80" s="598" t="s">
        <v>267</v>
      </c>
      <c r="D80" s="956">
        <v>541</v>
      </c>
      <c r="E80" s="956">
        <v>496</v>
      </c>
      <c r="F80" s="956">
        <v>128</v>
      </c>
      <c r="G80" s="956">
        <v>648</v>
      </c>
      <c r="H80" s="956">
        <v>517</v>
      </c>
      <c r="I80" s="600">
        <v>977</v>
      </c>
      <c r="J80" s="600">
        <v>119</v>
      </c>
      <c r="K80" s="600">
        <v>33</v>
      </c>
      <c r="L80" s="600">
        <v>36</v>
      </c>
    </row>
    <row r="81" spans="1:12" s="601" customFormat="1" x14ac:dyDescent="0.25">
      <c r="A81" s="603" t="s">
        <v>198</v>
      </c>
      <c r="B81" s="599" t="s">
        <v>272</v>
      </c>
      <c r="C81" s="598" t="s">
        <v>266</v>
      </c>
      <c r="D81" s="956">
        <v>1238</v>
      </c>
      <c r="E81" s="956">
        <v>1352</v>
      </c>
      <c r="F81" s="956">
        <v>259</v>
      </c>
      <c r="G81" s="956">
        <v>1661</v>
      </c>
      <c r="H81" s="956">
        <v>1188</v>
      </c>
      <c r="I81" s="600">
        <v>1245</v>
      </c>
      <c r="J81" s="600">
        <v>1255</v>
      </c>
      <c r="K81" s="600">
        <v>175</v>
      </c>
      <c r="L81" s="600">
        <v>174</v>
      </c>
    </row>
    <row r="82" spans="1:12" s="601" customFormat="1" x14ac:dyDescent="0.25">
      <c r="A82" s="603" t="s">
        <v>202</v>
      </c>
      <c r="B82" s="599" t="s">
        <v>301</v>
      </c>
      <c r="C82" s="598" t="s">
        <v>265</v>
      </c>
      <c r="D82" s="956">
        <v>8924</v>
      </c>
      <c r="E82" s="956">
        <v>8297</v>
      </c>
      <c r="F82" s="956">
        <v>1587</v>
      </c>
      <c r="G82" s="956">
        <v>10612</v>
      </c>
      <c r="H82" s="956">
        <v>8196</v>
      </c>
      <c r="I82" s="600">
        <v>13409</v>
      </c>
      <c r="J82" s="600">
        <v>2634</v>
      </c>
      <c r="K82" s="600">
        <v>1146</v>
      </c>
      <c r="L82" s="600">
        <v>1619</v>
      </c>
    </row>
    <row r="83" spans="1:12" s="601" customFormat="1" x14ac:dyDescent="0.25">
      <c r="A83" s="603" t="s">
        <v>204</v>
      </c>
      <c r="B83" s="599" t="s">
        <v>293</v>
      </c>
      <c r="C83" s="598" t="s">
        <v>265</v>
      </c>
      <c r="D83" s="956">
        <v>3776</v>
      </c>
      <c r="E83" s="956">
        <v>4097</v>
      </c>
      <c r="F83" s="956">
        <v>945</v>
      </c>
      <c r="G83" s="956">
        <v>5045</v>
      </c>
      <c r="H83" s="956">
        <v>3773</v>
      </c>
      <c r="I83" s="600">
        <v>7491</v>
      </c>
      <c r="J83" s="600">
        <v>625</v>
      </c>
      <c r="K83" s="600">
        <v>232</v>
      </c>
      <c r="L83" s="600">
        <v>470</v>
      </c>
    </row>
    <row r="84" spans="1:12" s="601" customFormat="1" x14ac:dyDescent="0.25">
      <c r="A84" s="603" t="s">
        <v>206</v>
      </c>
      <c r="B84" s="599" t="s">
        <v>294</v>
      </c>
      <c r="C84" s="598" t="s">
        <v>267</v>
      </c>
      <c r="D84" s="956">
        <v>13539</v>
      </c>
      <c r="E84" s="956">
        <v>10673</v>
      </c>
      <c r="F84" s="956">
        <v>1806</v>
      </c>
      <c r="G84" s="956">
        <v>14541</v>
      </c>
      <c r="H84" s="956">
        <v>11477</v>
      </c>
      <c r="I84" s="600">
        <v>18717</v>
      </c>
      <c r="J84" s="600">
        <v>2028</v>
      </c>
      <c r="K84" s="600">
        <v>2024</v>
      </c>
      <c r="L84" s="600">
        <v>3249</v>
      </c>
    </row>
    <row r="85" spans="1:12" s="601" customFormat="1" x14ac:dyDescent="0.25">
      <c r="A85" s="603" t="s">
        <v>208</v>
      </c>
      <c r="B85" s="599" t="s">
        <v>209</v>
      </c>
      <c r="C85" s="598" t="s">
        <v>268</v>
      </c>
      <c r="D85" s="956">
        <v>3794</v>
      </c>
      <c r="E85" s="956">
        <v>5633</v>
      </c>
      <c r="F85" s="956">
        <v>940</v>
      </c>
      <c r="G85" s="956">
        <v>5680</v>
      </c>
      <c r="H85" s="956">
        <v>4687</v>
      </c>
      <c r="I85" s="600">
        <v>9315</v>
      </c>
      <c r="J85" s="600">
        <v>100</v>
      </c>
      <c r="K85" s="600">
        <v>53</v>
      </c>
      <c r="L85" s="600">
        <v>899</v>
      </c>
    </row>
    <row r="86" spans="1:12" s="601" customFormat="1" x14ac:dyDescent="0.25">
      <c r="A86" s="603" t="s">
        <v>210</v>
      </c>
      <c r="B86" s="599" t="s">
        <v>211</v>
      </c>
      <c r="C86" s="598" t="s">
        <v>268</v>
      </c>
      <c r="D86" s="956">
        <v>2628</v>
      </c>
      <c r="E86" s="956">
        <v>3805</v>
      </c>
      <c r="F86" s="956">
        <v>983</v>
      </c>
      <c r="G86" s="956">
        <v>4019</v>
      </c>
      <c r="H86" s="956">
        <v>3397</v>
      </c>
      <c r="I86" s="600">
        <v>6816</v>
      </c>
      <c r="J86" s="600">
        <v>101</v>
      </c>
      <c r="K86" s="600">
        <v>90</v>
      </c>
      <c r="L86" s="600">
        <v>409</v>
      </c>
    </row>
    <row r="87" spans="1:12" s="601" customFormat="1" x14ac:dyDescent="0.25">
      <c r="A87" s="603" t="s">
        <v>212</v>
      </c>
      <c r="B87" s="599" t="s">
        <v>213</v>
      </c>
      <c r="C87" s="598" t="s">
        <v>267</v>
      </c>
      <c r="D87" s="956">
        <v>4896</v>
      </c>
      <c r="E87" s="956">
        <v>4848</v>
      </c>
      <c r="F87" s="956">
        <v>820</v>
      </c>
      <c r="G87" s="956">
        <v>5927</v>
      </c>
      <c r="H87" s="956">
        <v>4637</v>
      </c>
      <c r="I87" s="600">
        <v>8661</v>
      </c>
      <c r="J87" s="600">
        <v>472</v>
      </c>
      <c r="K87" s="600">
        <v>717</v>
      </c>
      <c r="L87" s="600">
        <v>714</v>
      </c>
    </row>
    <row r="88" spans="1:12" s="601" customFormat="1" x14ac:dyDescent="0.25">
      <c r="A88" s="603" t="s">
        <v>214</v>
      </c>
      <c r="B88" s="599" t="s">
        <v>215</v>
      </c>
      <c r="C88" s="598" t="s">
        <v>268</v>
      </c>
      <c r="D88" s="956">
        <v>4043</v>
      </c>
      <c r="E88" s="956">
        <v>5951</v>
      </c>
      <c r="F88" s="956">
        <v>1106</v>
      </c>
      <c r="G88" s="956">
        <v>6091</v>
      </c>
      <c r="H88" s="956">
        <v>5009</v>
      </c>
      <c r="I88" s="600">
        <v>10006</v>
      </c>
      <c r="J88" s="600">
        <v>232</v>
      </c>
      <c r="K88" s="600">
        <v>156</v>
      </c>
      <c r="L88" s="600">
        <v>706</v>
      </c>
    </row>
    <row r="89" spans="1:12" s="601" customFormat="1" x14ac:dyDescent="0.25">
      <c r="A89" s="603" t="s">
        <v>216</v>
      </c>
      <c r="B89" s="599" t="s">
        <v>217</v>
      </c>
      <c r="C89" s="598" t="s">
        <v>264</v>
      </c>
      <c r="D89" s="956">
        <v>2201</v>
      </c>
      <c r="E89" s="956">
        <v>2563</v>
      </c>
      <c r="F89" s="956">
        <v>572</v>
      </c>
      <c r="G89" s="956">
        <v>3106</v>
      </c>
      <c r="H89" s="956">
        <v>2230</v>
      </c>
      <c r="I89" s="600">
        <v>1881</v>
      </c>
      <c r="J89" s="600">
        <v>2812</v>
      </c>
      <c r="K89" s="600">
        <v>105</v>
      </c>
      <c r="L89" s="600">
        <v>538</v>
      </c>
    </row>
    <row r="90" spans="1:12" s="601" customFormat="1" x14ac:dyDescent="0.25">
      <c r="A90" s="603" t="s">
        <v>218</v>
      </c>
      <c r="B90" s="599" t="s">
        <v>219</v>
      </c>
      <c r="C90" s="598" t="s">
        <v>267</v>
      </c>
      <c r="D90" s="956">
        <v>13761</v>
      </c>
      <c r="E90" s="956">
        <v>11584</v>
      </c>
      <c r="F90" s="956">
        <v>1283</v>
      </c>
      <c r="G90" s="956">
        <v>14985</v>
      </c>
      <c r="H90" s="956">
        <v>11643</v>
      </c>
      <c r="I90" s="600">
        <v>15061</v>
      </c>
      <c r="J90" s="600">
        <v>6613</v>
      </c>
      <c r="K90" s="600">
        <v>2204</v>
      </c>
      <c r="L90" s="600">
        <v>2750</v>
      </c>
    </row>
    <row r="91" spans="1:12" s="601" customFormat="1" x14ac:dyDescent="0.25">
      <c r="A91" s="603" t="s">
        <v>220</v>
      </c>
      <c r="B91" s="599" t="s">
        <v>221</v>
      </c>
      <c r="C91" s="598" t="s">
        <v>267</v>
      </c>
      <c r="D91" s="956">
        <v>12162</v>
      </c>
      <c r="E91" s="956">
        <v>9440</v>
      </c>
      <c r="F91" s="956">
        <v>946</v>
      </c>
      <c r="G91" s="956">
        <v>12895</v>
      </c>
      <c r="H91" s="956">
        <v>9653</v>
      </c>
      <c r="I91" s="600">
        <v>11178</v>
      </c>
      <c r="J91" s="600">
        <v>6088</v>
      </c>
      <c r="K91" s="600">
        <v>2333</v>
      </c>
      <c r="L91" s="600">
        <v>2949</v>
      </c>
    </row>
    <row r="92" spans="1:12" s="601" customFormat="1" x14ac:dyDescent="0.25">
      <c r="A92" s="603" t="s">
        <v>224</v>
      </c>
      <c r="B92" s="599" t="s">
        <v>225</v>
      </c>
      <c r="C92" s="598" t="s">
        <v>264</v>
      </c>
      <c r="D92" s="956">
        <v>747</v>
      </c>
      <c r="E92" s="956">
        <v>980</v>
      </c>
      <c r="F92" s="956">
        <v>169</v>
      </c>
      <c r="G92" s="956">
        <v>1072</v>
      </c>
      <c r="H92" s="956">
        <v>824</v>
      </c>
      <c r="I92" s="600">
        <v>663</v>
      </c>
      <c r="J92" s="600">
        <v>1148</v>
      </c>
      <c r="K92" s="600">
        <v>49</v>
      </c>
      <c r="L92" s="600">
        <v>36</v>
      </c>
    </row>
    <row r="93" spans="1:12" s="601" customFormat="1" x14ac:dyDescent="0.25">
      <c r="A93" s="603" t="s">
        <v>226</v>
      </c>
      <c r="B93" s="599" t="s">
        <v>227</v>
      </c>
      <c r="C93" s="598" t="s">
        <v>264</v>
      </c>
      <c r="D93" s="956">
        <v>1447</v>
      </c>
      <c r="E93" s="956">
        <v>1752</v>
      </c>
      <c r="F93" s="956">
        <v>373</v>
      </c>
      <c r="G93" s="956">
        <v>2034</v>
      </c>
      <c r="H93" s="956">
        <v>1538</v>
      </c>
      <c r="I93" s="600">
        <v>840</v>
      </c>
      <c r="J93" s="600">
        <v>2312</v>
      </c>
      <c r="K93" s="600">
        <v>50</v>
      </c>
      <c r="L93" s="600">
        <v>370</v>
      </c>
    </row>
    <row r="94" spans="1:12" s="601" customFormat="1" x14ac:dyDescent="0.25">
      <c r="A94" s="603" t="s">
        <v>228</v>
      </c>
      <c r="B94" s="599" t="s">
        <v>229</v>
      </c>
      <c r="C94" s="598" t="s">
        <v>268</v>
      </c>
      <c r="D94" s="956">
        <v>5807</v>
      </c>
      <c r="E94" s="956">
        <v>8030</v>
      </c>
      <c r="F94" s="956">
        <v>1277</v>
      </c>
      <c r="G94" s="956">
        <v>8404</v>
      </c>
      <c r="H94" s="956">
        <v>6710</v>
      </c>
      <c r="I94" s="600">
        <v>13295</v>
      </c>
      <c r="J94" s="600">
        <v>522</v>
      </c>
      <c r="K94" s="600">
        <v>159</v>
      </c>
      <c r="L94" s="600">
        <v>1138</v>
      </c>
    </row>
    <row r="95" spans="1:12" s="601" customFormat="1" x14ac:dyDescent="0.25">
      <c r="A95" s="603" t="s">
        <v>232</v>
      </c>
      <c r="B95" s="599" t="s">
        <v>233</v>
      </c>
      <c r="C95" s="598" t="s">
        <v>267</v>
      </c>
      <c r="D95" s="956">
        <v>4289</v>
      </c>
      <c r="E95" s="956">
        <v>4449</v>
      </c>
      <c r="F95" s="956">
        <v>599</v>
      </c>
      <c r="G95" s="956">
        <v>5229</v>
      </c>
      <c r="H95" s="956">
        <v>4108</v>
      </c>
      <c r="I95" s="600">
        <v>7199</v>
      </c>
      <c r="J95" s="600">
        <v>888</v>
      </c>
      <c r="K95" s="600">
        <v>492</v>
      </c>
      <c r="L95" s="600">
        <v>758</v>
      </c>
    </row>
    <row r="96" spans="1:12" s="601" customFormat="1" x14ac:dyDescent="0.25">
      <c r="A96" s="603" t="s">
        <v>234</v>
      </c>
      <c r="B96" s="599" t="s">
        <v>235</v>
      </c>
      <c r="C96" s="598" t="s">
        <v>268</v>
      </c>
      <c r="D96" s="956">
        <v>5666</v>
      </c>
      <c r="E96" s="956">
        <v>7459</v>
      </c>
      <c r="F96" s="956">
        <v>1453</v>
      </c>
      <c r="G96" s="956">
        <v>8144</v>
      </c>
      <c r="H96" s="956">
        <v>6434</v>
      </c>
      <c r="I96" s="600">
        <v>13221</v>
      </c>
      <c r="J96" s="600">
        <v>306</v>
      </c>
      <c r="K96" s="600">
        <v>305</v>
      </c>
      <c r="L96" s="600">
        <v>746</v>
      </c>
    </row>
    <row r="97" spans="1:12" s="601" customFormat="1" x14ac:dyDescent="0.25">
      <c r="A97" s="603" t="s">
        <v>236</v>
      </c>
      <c r="B97" s="599" t="s">
        <v>237</v>
      </c>
      <c r="C97" s="598" t="s">
        <v>266</v>
      </c>
      <c r="D97" s="956">
        <v>2624</v>
      </c>
      <c r="E97" s="956">
        <v>2793</v>
      </c>
      <c r="F97" s="956">
        <v>608</v>
      </c>
      <c r="G97" s="956">
        <v>3419</v>
      </c>
      <c r="H97" s="956">
        <v>2606</v>
      </c>
      <c r="I97" s="600">
        <v>2742</v>
      </c>
      <c r="J97" s="600">
        <v>2388</v>
      </c>
      <c r="K97" s="600">
        <v>295</v>
      </c>
      <c r="L97" s="600">
        <v>600</v>
      </c>
    </row>
    <row r="98" spans="1:12" s="601" customFormat="1" x14ac:dyDescent="0.25">
      <c r="A98" s="603" t="s">
        <v>242</v>
      </c>
      <c r="B98" s="599" t="s">
        <v>243</v>
      </c>
      <c r="C98" s="598" t="s">
        <v>268</v>
      </c>
      <c r="D98" s="956">
        <v>5769</v>
      </c>
      <c r="E98" s="956">
        <v>8343</v>
      </c>
      <c r="F98" s="956">
        <v>1177</v>
      </c>
      <c r="G98" s="956">
        <v>8493</v>
      </c>
      <c r="H98" s="956">
        <v>6796</v>
      </c>
      <c r="I98" s="600">
        <v>13654</v>
      </c>
      <c r="J98" s="600">
        <v>367</v>
      </c>
      <c r="K98" s="600">
        <v>193</v>
      </c>
      <c r="L98" s="600">
        <v>1075</v>
      </c>
    </row>
    <row r="99" spans="1:12" s="601" customFormat="1" x14ac:dyDescent="0.25">
      <c r="A99" s="603" t="s">
        <v>244</v>
      </c>
      <c r="B99" s="599" t="s">
        <v>245</v>
      </c>
      <c r="C99" s="598" t="s">
        <v>268</v>
      </c>
      <c r="D99" s="956">
        <v>3305</v>
      </c>
      <c r="E99" s="956">
        <v>4217</v>
      </c>
      <c r="F99" s="956">
        <v>827</v>
      </c>
      <c r="G99" s="956">
        <v>4680</v>
      </c>
      <c r="H99" s="956">
        <v>3669</v>
      </c>
      <c r="I99" s="600">
        <v>7218</v>
      </c>
      <c r="J99" s="600">
        <v>427</v>
      </c>
      <c r="K99" s="600">
        <v>154</v>
      </c>
      <c r="L99" s="600">
        <v>550</v>
      </c>
    </row>
    <row r="100" spans="1:12" s="601" customFormat="1" x14ac:dyDescent="0.25">
      <c r="A100" s="603" t="s">
        <v>246</v>
      </c>
      <c r="B100" s="599" t="s">
        <v>247</v>
      </c>
      <c r="C100" s="598" t="s">
        <v>264</v>
      </c>
      <c r="D100" s="956">
        <v>3898</v>
      </c>
      <c r="E100" s="956">
        <v>3509</v>
      </c>
      <c r="F100" s="956">
        <v>484</v>
      </c>
      <c r="G100" s="956">
        <v>4610</v>
      </c>
      <c r="H100" s="956">
        <v>3280</v>
      </c>
      <c r="I100" s="600">
        <v>4511</v>
      </c>
      <c r="J100" s="600">
        <v>2207</v>
      </c>
      <c r="K100" s="600">
        <v>650</v>
      </c>
      <c r="L100" s="600">
        <v>523</v>
      </c>
    </row>
    <row r="101" spans="1:12" s="601" customFormat="1" x14ac:dyDescent="0.25">
      <c r="A101" s="603" t="s">
        <v>14</v>
      </c>
      <c r="B101" s="599" t="s">
        <v>15</v>
      </c>
      <c r="C101" s="598" t="s">
        <v>267</v>
      </c>
      <c r="D101" s="956">
        <v>12876</v>
      </c>
      <c r="E101" s="956">
        <v>8186</v>
      </c>
      <c r="F101" s="956">
        <v>1872</v>
      </c>
      <c r="G101" s="956">
        <v>12840</v>
      </c>
      <c r="H101" s="956">
        <v>10094</v>
      </c>
      <c r="I101" s="600">
        <v>8219</v>
      </c>
      <c r="J101" s="600">
        <v>8930</v>
      </c>
      <c r="K101" s="600">
        <v>2321</v>
      </c>
      <c r="L101" s="600">
        <v>3464</v>
      </c>
    </row>
    <row r="102" spans="1:12" s="601" customFormat="1" x14ac:dyDescent="0.25">
      <c r="A102" s="603" t="s">
        <v>34</v>
      </c>
      <c r="B102" s="599" t="s">
        <v>35</v>
      </c>
      <c r="C102" s="598" t="s">
        <v>268</v>
      </c>
      <c r="D102" s="956">
        <v>2977</v>
      </c>
      <c r="E102" s="956">
        <v>4134</v>
      </c>
      <c r="F102" s="956">
        <v>617</v>
      </c>
      <c r="G102" s="956">
        <v>4371</v>
      </c>
      <c r="H102" s="956">
        <v>3357</v>
      </c>
      <c r="I102" s="600">
        <v>5966</v>
      </c>
      <c r="J102" s="600">
        <v>680</v>
      </c>
      <c r="K102" s="600">
        <v>232</v>
      </c>
      <c r="L102" s="600">
        <v>850</v>
      </c>
    </row>
    <row r="103" spans="1:12" s="601" customFormat="1" x14ac:dyDescent="0.25">
      <c r="A103" s="603" t="s">
        <v>52</v>
      </c>
      <c r="B103" s="599" t="s">
        <v>53</v>
      </c>
      <c r="C103" s="598" t="s">
        <v>265</v>
      </c>
      <c r="D103" s="956">
        <v>4167</v>
      </c>
      <c r="E103" s="956">
        <v>4761</v>
      </c>
      <c r="F103" s="956">
        <v>710</v>
      </c>
      <c r="G103" s="956">
        <v>5171</v>
      </c>
      <c r="H103" s="956">
        <v>4467</v>
      </c>
      <c r="I103" s="600">
        <v>3239</v>
      </c>
      <c r="J103" s="600">
        <v>4869</v>
      </c>
      <c r="K103" s="600">
        <v>827</v>
      </c>
      <c r="L103" s="600">
        <v>703</v>
      </c>
    </row>
    <row r="104" spans="1:12" s="601" customFormat="1" x14ac:dyDescent="0.25">
      <c r="A104" s="603" t="s">
        <v>54</v>
      </c>
      <c r="B104" s="599" t="s">
        <v>55</v>
      </c>
      <c r="C104" s="598" t="s">
        <v>264</v>
      </c>
      <c r="D104" s="956">
        <v>22542</v>
      </c>
      <c r="E104" s="956">
        <v>21869</v>
      </c>
      <c r="F104" s="956">
        <v>2612</v>
      </c>
      <c r="G104" s="956">
        <v>27768</v>
      </c>
      <c r="H104" s="956">
        <v>19255</v>
      </c>
      <c r="I104" s="600">
        <v>15863</v>
      </c>
      <c r="J104" s="600">
        <v>24613</v>
      </c>
      <c r="K104" s="600">
        <v>2269</v>
      </c>
      <c r="L104" s="600">
        <v>4278</v>
      </c>
    </row>
    <row r="105" spans="1:12" s="601" customFormat="1" x14ac:dyDescent="0.25">
      <c r="A105" s="603" t="s">
        <v>66</v>
      </c>
      <c r="B105" s="599" t="s">
        <v>67</v>
      </c>
      <c r="C105" s="598" t="s">
        <v>265</v>
      </c>
      <c r="D105" s="956">
        <v>8348</v>
      </c>
      <c r="E105" s="956">
        <v>11114</v>
      </c>
      <c r="F105" s="956">
        <v>2002</v>
      </c>
      <c r="G105" s="956">
        <v>12306</v>
      </c>
      <c r="H105" s="956">
        <v>9158</v>
      </c>
      <c r="I105" s="600">
        <v>5825</v>
      </c>
      <c r="J105" s="600">
        <v>13563</v>
      </c>
      <c r="K105" s="600">
        <v>554</v>
      </c>
      <c r="L105" s="600">
        <v>1522</v>
      </c>
    </row>
    <row r="106" spans="1:12" s="601" customFormat="1" x14ac:dyDescent="0.25">
      <c r="A106" s="603" t="s">
        <v>82</v>
      </c>
      <c r="B106" s="599" t="s">
        <v>83</v>
      </c>
      <c r="C106" s="598" t="s">
        <v>264</v>
      </c>
      <c r="D106" s="956">
        <v>1724</v>
      </c>
      <c r="E106" s="956">
        <v>2223</v>
      </c>
      <c r="F106" s="956">
        <v>339</v>
      </c>
      <c r="G106" s="956">
        <v>2512</v>
      </c>
      <c r="H106" s="956">
        <v>1774</v>
      </c>
      <c r="I106" s="600">
        <v>508</v>
      </c>
      <c r="J106" s="600">
        <v>3339</v>
      </c>
      <c r="K106" s="600">
        <v>110</v>
      </c>
      <c r="L106" s="600">
        <v>329</v>
      </c>
    </row>
    <row r="107" spans="1:12" s="601" customFormat="1" x14ac:dyDescent="0.25">
      <c r="A107" s="603" t="s">
        <v>88</v>
      </c>
      <c r="B107" s="599" t="s">
        <v>89</v>
      </c>
      <c r="C107" s="598" t="s">
        <v>267</v>
      </c>
      <c r="D107" s="956">
        <v>3971</v>
      </c>
      <c r="E107" s="956">
        <v>3912</v>
      </c>
      <c r="F107" s="956">
        <v>483</v>
      </c>
      <c r="G107" s="956">
        <v>4779</v>
      </c>
      <c r="H107" s="956">
        <v>3587</v>
      </c>
      <c r="I107" s="600">
        <v>3169</v>
      </c>
      <c r="J107" s="600">
        <v>3309</v>
      </c>
      <c r="K107" s="600">
        <v>790</v>
      </c>
      <c r="L107" s="600">
        <v>1098</v>
      </c>
    </row>
    <row r="108" spans="1:12" s="601" customFormat="1" x14ac:dyDescent="0.25">
      <c r="A108" s="603" t="s">
        <v>90</v>
      </c>
      <c r="B108" s="599" t="s">
        <v>91</v>
      </c>
      <c r="C108" s="598" t="s">
        <v>268</v>
      </c>
      <c r="D108" s="956">
        <v>1368</v>
      </c>
      <c r="E108" s="956">
        <v>1573</v>
      </c>
      <c r="F108" s="956">
        <v>375</v>
      </c>
      <c r="G108" s="956">
        <v>1834</v>
      </c>
      <c r="H108" s="956">
        <v>1482</v>
      </c>
      <c r="I108" s="600">
        <v>2608</v>
      </c>
      <c r="J108" s="600">
        <v>359</v>
      </c>
      <c r="K108" s="600">
        <v>102</v>
      </c>
      <c r="L108" s="600">
        <v>247</v>
      </c>
    </row>
    <row r="109" spans="1:12" s="601" customFormat="1" x14ac:dyDescent="0.25">
      <c r="A109" s="603" t="s">
        <v>106</v>
      </c>
      <c r="B109" s="599" t="s">
        <v>107</v>
      </c>
      <c r="C109" s="598" t="s">
        <v>264</v>
      </c>
      <c r="D109" s="956">
        <v>18456</v>
      </c>
      <c r="E109" s="956">
        <v>20211</v>
      </c>
      <c r="F109" s="956">
        <v>2129</v>
      </c>
      <c r="G109" s="956">
        <v>23861</v>
      </c>
      <c r="H109" s="956">
        <v>16935</v>
      </c>
      <c r="I109" s="600">
        <v>8773</v>
      </c>
      <c r="J109" s="600">
        <v>25529</v>
      </c>
      <c r="K109" s="600">
        <v>1703</v>
      </c>
      <c r="L109" s="600">
        <v>4791</v>
      </c>
    </row>
    <row r="110" spans="1:12" s="601" customFormat="1" x14ac:dyDescent="0.25">
      <c r="A110" s="603" t="s">
        <v>116</v>
      </c>
      <c r="B110" s="599" t="s">
        <v>117</v>
      </c>
      <c r="C110" s="598" t="s">
        <v>266</v>
      </c>
      <c r="D110" s="956">
        <v>5588</v>
      </c>
      <c r="E110" s="956">
        <v>5958</v>
      </c>
      <c r="F110" s="956">
        <v>519</v>
      </c>
      <c r="G110" s="956">
        <v>6954</v>
      </c>
      <c r="H110" s="956">
        <v>5111</v>
      </c>
      <c r="I110" s="600">
        <v>4109</v>
      </c>
      <c r="J110" s="600">
        <v>6130</v>
      </c>
      <c r="K110" s="600">
        <v>372</v>
      </c>
      <c r="L110" s="600">
        <v>1454</v>
      </c>
    </row>
    <row r="111" spans="1:12" s="601" customFormat="1" x14ac:dyDescent="0.25">
      <c r="A111" s="603" t="s">
        <v>138</v>
      </c>
      <c r="B111" s="599" t="s">
        <v>139</v>
      </c>
      <c r="C111" s="598" t="s">
        <v>265</v>
      </c>
      <c r="D111" s="956">
        <v>9992</v>
      </c>
      <c r="E111" s="956">
        <v>11267</v>
      </c>
      <c r="F111" s="956">
        <v>1676</v>
      </c>
      <c r="G111" s="956">
        <v>13180</v>
      </c>
      <c r="H111" s="956">
        <v>9755</v>
      </c>
      <c r="I111" s="600">
        <v>7665</v>
      </c>
      <c r="J111" s="600">
        <v>12212</v>
      </c>
      <c r="K111" s="600">
        <v>719</v>
      </c>
      <c r="L111" s="600">
        <v>2339</v>
      </c>
    </row>
    <row r="112" spans="1:12" s="601" customFormat="1" x14ac:dyDescent="0.25">
      <c r="A112" s="603" t="s">
        <v>142</v>
      </c>
      <c r="B112" s="599" t="s">
        <v>143</v>
      </c>
      <c r="C112" s="598" t="s">
        <v>267</v>
      </c>
      <c r="D112" s="956">
        <v>6905</v>
      </c>
      <c r="E112" s="956">
        <v>3228</v>
      </c>
      <c r="F112" s="956">
        <v>360</v>
      </c>
      <c r="G112" s="956">
        <v>5722</v>
      </c>
      <c r="H112" s="956">
        <v>4771</v>
      </c>
      <c r="I112" s="600">
        <v>5640</v>
      </c>
      <c r="J112" s="600">
        <v>1829</v>
      </c>
      <c r="K112" s="600">
        <v>1477</v>
      </c>
      <c r="L112" s="600">
        <v>1547</v>
      </c>
    </row>
    <row r="113" spans="1:12" s="601" customFormat="1" x14ac:dyDescent="0.25">
      <c r="A113" s="603" t="s">
        <v>144</v>
      </c>
      <c r="B113" s="599" t="s">
        <v>145</v>
      </c>
      <c r="C113" s="598" t="s">
        <v>267</v>
      </c>
      <c r="D113" s="956">
        <v>2612</v>
      </c>
      <c r="E113" s="956">
        <v>1092</v>
      </c>
      <c r="F113" s="956">
        <v>182</v>
      </c>
      <c r="G113" s="956">
        <v>2114</v>
      </c>
      <c r="H113" s="956">
        <v>1772</v>
      </c>
      <c r="I113" s="600">
        <v>2306</v>
      </c>
      <c r="J113" s="600">
        <v>443</v>
      </c>
      <c r="K113" s="600">
        <v>746</v>
      </c>
      <c r="L113" s="600">
        <v>391</v>
      </c>
    </row>
    <row r="114" spans="1:12" s="601" customFormat="1" x14ac:dyDescent="0.25">
      <c r="A114" s="603" t="s">
        <v>158</v>
      </c>
      <c r="B114" s="599" t="s">
        <v>159</v>
      </c>
      <c r="C114" s="598" t="s">
        <v>264</v>
      </c>
      <c r="D114" s="956">
        <v>28588</v>
      </c>
      <c r="E114" s="956">
        <v>30269</v>
      </c>
      <c r="F114" s="956">
        <v>3077</v>
      </c>
      <c r="G114" s="956">
        <v>36358</v>
      </c>
      <c r="H114" s="956">
        <v>25576</v>
      </c>
      <c r="I114" s="600">
        <v>13082</v>
      </c>
      <c r="J114" s="600">
        <v>39120</v>
      </c>
      <c r="K114" s="600">
        <v>3564</v>
      </c>
      <c r="L114" s="600">
        <v>6168</v>
      </c>
    </row>
    <row r="115" spans="1:12" s="601" customFormat="1" x14ac:dyDescent="0.25">
      <c r="A115" s="603" t="s">
        <v>160</v>
      </c>
      <c r="B115" s="599" t="s">
        <v>161</v>
      </c>
      <c r="C115" s="598" t="s">
        <v>264</v>
      </c>
      <c r="D115" s="956">
        <v>35044</v>
      </c>
      <c r="E115" s="956">
        <v>39173</v>
      </c>
      <c r="F115" s="956">
        <v>4807</v>
      </c>
      <c r="G115" s="956">
        <v>46049</v>
      </c>
      <c r="H115" s="956">
        <v>32975</v>
      </c>
      <c r="I115" s="600">
        <v>14440</v>
      </c>
      <c r="J115" s="600">
        <v>53371</v>
      </c>
      <c r="K115" s="600">
        <v>3237</v>
      </c>
      <c r="L115" s="600">
        <v>7976</v>
      </c>
    </row>
    <row r="116" spans="1:12" s="601" customFormat="1" x14ac:dyDescent="0.25">
      <c r="A116" s="603" t="s">
        <v>166</v>
      </c>
      <c r="B116" s="599" t="s">
        <v>167</v>
      </c>
      <c r="C116" s="598" t="s">
        <v>268</v>
      </c>
      <c r="D116" s="956">
        <v>707</v>
      </c>
      <c r="E116" s="956">
        <v>1035</v>
      </c>
      <c r="F116" s="956">
        <v>183</v>
      </c>
      <c r="G116" s="956">
        <v>1109</v>
      </c>
      <c r="H116" s="956">
        <v>816</v>
      </c>
      <c r="I116" s="600">
        <v>1622</v>
      </c>
      <c r="J116" s="600">
        <v>142</v>
      </c>
      <c r="K116" s="600">
        <v>64</v>
      </c>
      <c r="L116" s="600">
        <v>97</v>
      </c>
    </row>
    <row r="117" spans="1:12" s="601" customFormat="1" x14ac:dyDescent="0.25">
      <c r="A117" s="603" t="s">
        <v>176</v>
      </c>
      <c r="B117" s="599" t="s">
        <v>177</v>
      </c>
      <c r="C117" s="598" t="s">
        <v>266</v>
      </c>
      <c r="D117" s="956">
        <v>7598</v>
      </c>
      <c r="E117" s="956">
        <v>10041</v>
      </c>
      <c r="F117" s="956">
        <v>1208</v>
      </c>
      <c r="G117" s="956">
        <v>10494</v>
      </c>
      <c r="H117" s="956">
        <v>8353</v>
      </c>
      <c r="I117" s="600">
        <v>1711</v>
      </c>
      <c r="J117" s="600">
        <v>15160</v>
      </c>
      <c r="K117" s="600">
        <v>663</v>
      </c>
      <c r="L117" s="600">
        <v>1313</v>
      </c>
    </row>
    <row r="118" spans="1:12" s="601" customFormat="1" x14ac:dyDescent="0.25">
      <c r="A118" s="603" t="s">
        <v>180</v>
      </c>
      <c r="B118" s="599" t="s">
        <v>181</v>
      </c>
      <c r="C118" s="598" t="s">
        <v>264</v>
      </c>
      <c r="D118" s="956">
        <v>17734</v>
      </c>
      <c r="E118" s="956">
        <v>19613</v>
      </c>
      <c r="F118" s="956">
        <v>2237</v>
      </c>
      <c r="G118" s="956">
        <v>23125</v>
      </c>
      <c r="H118" s="956">
        <v>16459</v>
      </c>
      <c r="I118" s="600">
        <v>6853</v>
      </c>
      <c r="J118" s="600">
        <v>28308</v>
      </c>
      <c r="K118" s="600">
        <v>909</v>
      </c>
      <c r="L118" s="600">
        <v>3514</v>
      </c>
    </row>
    <row r="119" spans="1:12" s="601" customFormat="1" x14ac:dyDescent="0.25">
      <c r="A119" s="603" t="s">
        <v>192</v>
      </c>
      <c r="B119" s="599" t="s">
        <v>193</v>
      </c>
      <c r="C119" s="598" t="s">
        <v>268</v>
      </c>
      <c r="D119" s="956">
        <v>1375</v>
      </c>
      <c r="E119" s="956">
        <v>1719</v>
      </c>
      <c r="F119" s="956">
        <v>153</v>
      </c>
      <c r="G119" s="956">
        <v>1854</v>
      </c>
      <c r="H119" s="956">
        <v>1393</v>
      </c>
      <c r="I119" s="600">
        <v>2303</v>
      </c>
      <c r="J119" s="600">
        <v>583</v>
      </c>
      <c r="K119" s="600">
        <v>89</v>
      </c>
      <c r="L119" s="600">
        <v>272</v>
      </c>
    </row>
    <row r="120" spans="1:12" s="601" customFormat="1" x14ac:dyDescent="0.25">
      <c r="A120" s="603" t="s">
        <v>196</v>
      </c>
      <c r="B120" s="599" t="s">
        <v>197</v>
      </c>
      <c r="C120" s="598" t="s">
        <v>266</v>
      </c>
      <c r="D120" s="956">
        <v>35927</v>
      </c>
      <c r="E120" s="956">
        <v>43057</v>
      </c>
      <c r="F120" s="956">
        <v>5583</v>
      </c>
      <c r="G120" s="956">
        <v>47699</v>
      </c>
      <c r="H120" s="956">
        <v>36868</v>
      </c>
      <c r="I120" s="600">
        <v>10514</v>
      </c>
      <c r="J120" s="600">
        <v>62449</v>
      </c>
      <c r="K120" s="600">
        <v>4243</v>
      </c>
      <c r="L120" s="600">
        <v>7361</v>
      </c>
    </row>
    <row r="121" spans="1:12" s="601" customFormat="1" x14ac:dyDescent="0.25">
      <c r="A121" s="603" t="s">
        <v>200</v>
      </c>
      <c r="B121" s="599" t="s">
        <v>201</v>
      </c>
      <c r="C121" s="598" t="s">
        <v>265</v>
      </c>
      <c r="D121" s="956">
        <v>17658</v>
      </c>
      <c r="E121" s="956">
        <v>19953</v>
      </c>
      <c r="F121" s="956">
        <v>2763</v>
      </c>
      <c r="G121" s="956">
        <v>22821</v>
      </c>
      <c r="H121" s="956">
        <v>17554</v>
      </c>
      <c r="I121" s="600">
        <v>18391</v>
      </c>
      <c r="J121" s="600">
        <v>16915</v>
      </c>
      <c r="K121" s="600">
        <v>2414</v>
      </c>
      <c r="L121" s="600">
        <v>2655</v>
      </c>
    </row>
    <row r="122" spans="1:12" s="601" customFormat="1" x14ac:dyDescent="0.25">
      <c r="A122" s="603" t="s">
        <v>222</v>
      </c>
      <c r="B122" s="599" t="s">
        <v>223</v>
      </c>
      <c r="C122" s="598" t="s">
        <v>264</v>
      </c>
      <c r="D122" s="956">
        <v>9893</v>
      </c>
      <c r="E122" s="956">
        <v>10783</v>
      </c>
      <c r="F122" s="956">
        <v>1633</v>
      </c>
      <c r="G122" s="956">
        <v>13079</v>
      </c>
      <c r="H122" s="956">
        <v>9230</v>
      </c>
      <c r="I122" s="600">
        <v>4897</v>
      </c>
      <c r="J122" s="600">
        <v>15103</v>
      </c>
      <c r="K122" s="600">
        <v>646</v>
      </c>
      <c r="L122" s="600">
        <v>1663</v>
      </c>
    </row>
    <row r="123" spans="1:12" s="601" customFormat="1" x14ac:dyDescent="0.25">
      <c r="A123" s="603" t="s">
        <v>230</v>
      </c>
      <c r="B123" s="599" t="s">
        <v>231</v>
      </c>
      <c r="C123" s="598" t="s">
        <v>264</v>
      </c>
      <c r="D123" s="956">
        <v>35205</v>
      </c>
      <c r="E123" s="956">
        <v>34433</v>
      </c>
      <c r="F123" s="956">
        <v>4123</v>
      </c>
      <c r="G123" s="956">
        <v>42905</v>
      </c>
      <c r="H123" s="956">
        <v>30856</v>
      </c>
      <c r="I123" s="600">
        <v>28747</v>
      </c>
      <c r="J123" s="600">
        <v>28927</v>
      </c>
      <c r="K123" s="600">
        <v>6338</v>
      </c>
      <c r="L123" s="600">
        <v>9749</v>
      </c>
    </row>
    <row r="124" spans="1:12" s="601" customFormat="1" x14ac:dyDescent="0.25">
      <c r="A124" s="603" t="s">
        <v>238</v>
      </c>
      <c r="B124" s="599" t="s">
        <v>239</v>
      </c>
      <c r="C124" s="598" t="s">
        <v>264</v>
      </c>
      <c r="D124" s="956">
        <v>1110</v>
      </c>
      <c r="E124" s="956">
        <v>1202</v>
      </c>
      <c r="F124" s="956">
        <v>101</v>
      </c>
      <c r="G124" s="956">
        <v>1343</v>
      </c>
      <c r="H124" s="956">
        <v>1070</v>
      </c>
      <c r="I124" s="600">
        <v>956</v>
      </c>
      <c r="J124" s="600">
        <v>1153</v>
      </c>
      <c r="K124" s="600">
        <v>230</v>
      </c>
      <c r="L124" s="600">
        <v>74</v>
      </c>
    </row>
    <row r="125" spans="1:12" s="601" customFormat="1" x14ac:dyDescent="0.25">
      <c r="A125" s="603" t="s">
        <v>240</v>
      </c>
      <c r="B125" s="599" t="s">
        <v>241</v>
      </c>
      <c r="C125" s="598" t="s">
        <v>267</v>
      </c>
      <c r="D125" s="956">
        <v>4586</v>
      </c>
      <c r="E125" s="956">
        <v>3685</v>
      </c>
      <c r="F125" s="956">
        <v>523</v>
      </c>
      <c r="G125" s="956">
        <v>4754</v>
      </c>
      <c r="H125" s="956">
        <v>4040</v>
      </c>
      <c r="I125" s="600">
        <v>5978</v>
      </c>
      <c r="J125" s="600">
        <v>1624</v>
      </c>
      <c r="K125" s="600">
        <v>482</v>
      </c>
      <c r="L125" s="600">
        <v>710</v>
      </c>
    </row>
    <row r="126" spans="1:12" x14ac:dyDescent="0.25">
      <c r="B126" s="505"/>
      <c r="C126" s="505"/>
      <c r="D126" s="505"/>
      <c r="E126" s="505"/>
      <c r="F126" s="505"/>
      <c r="G126" s="505"/>
      <c r="H126" s="505"/>
    </row>
    <row r="128" spans="1:12" x14ac:dyDescent="0.25">
      <c r="A128" s="1212" t="s">
        <v>1297</v>
      </c>
      <c r="B128" s="1211"/>
      <c r="C128" s="1211"/>
      <c r="D128" s="1211"/>
      <c r="E128" s="1211"/>
      <c r="F128" s="1211"/>
      <c r="G128" s="1186"/>
      <c r="H128" s="1186"/>
    </row>
    <row r="130" spans="1:8" s="412" customFormat="1" x14ac:dyDescent="0.25">
      <c r="A130" s="412" t="s">
        <v>248</v>
      </c>
    </row>
    <row r="131" spans="1:8" s="412" customFormat="1" x14ac:dyDescent="0.25">
      <c r="A131" s="413" t="s">
        <v>249</v>
      </c>
      <c r="B131" s="414" t="s">
        <v>250</v>
      </c>
      <c r="C131" s="414"/>
      <c r="D131" s="414"/>
      <c r="E131" s="414"/>
      <c r="F131" s="414"/>
      <c r="G131" s="414"/>
      <c r="H131" s="414"/>
    </row>
  </sheetData>
  <sortState ref="A6:L125">
    <sortCondition ref="A6:A125"/>
  </sortState>
  <mergeCells count="3">
    <mergeCell ref="D3:F3"/>
    <mergeCell ref="G3:H3"/>
    <mergeCell ref="I3:L3"/>
  </mergeCells>
  <hyperlinks>
    <hyperlink ref="B131"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130"/>
  <sheetViews>
    <sheetView zoomScaleNormal="100" workbookViewId="0">
      <pane xSplit="2" ySplit="5" topLeftCell="U67" activePane="bottomRight" state="frozen"/>
      <selection pane="topRight" activeCell="C1" sqref="C1"/>
      <selection pane="bottomLeft" activeCell="A6" sqref="A6"/>
      <selection pane="bottomRight" activeCell="AD75" sqref="AD75"/>
    </sheetView>
  </sheetViews>
  <sheetFormatPr defaultRowHeight="15.75" x14ac:dyDescent="0.25"/>
  <cols>
    <col min="1" max="1" width="6.875" style="561" bestFit="1" customWidth="1"/>
    <col min="2" max="2" width="30.875" style="565" customWidth="1"/>
    <col min="3" max="3" width="12.875" style="565" customWidth="1"/>
    <col min="4" max="4" width="7.75" style="561" bestFit="1" customWidth="1"/>
    <col min="5" max="5" width="8.875" style="561" bestFit="1" customWidth="1"/>
    <col min="6" max="6" width="9" style="561" customWidth="1"/>
    <col min="7" max="7" width="9.5" style="561" customWidth="1"/>
    <col min="8" max="8" width="11.625" style="561" customWidth="1"/>
    <col min="9" max="10" width="9" style="561" customWidth="1"/>
    <col min="11" max="11" width="10.75" style="561" customWidth="1"/>
    <col min="12" max="12" width="9" style="561" customWidth="1"/>
    <col min="13" max="13" width="1.5" style="561" customWidth="1"/>
    <col min="14" max="14" width="9.25" style="561" customWidth="1"/>
    <col min="15" max="15" width="2.75" style="561" customWidth="1"/>
    <col min="16" max="16" width="7.125" style="561" bestFit="1" customWidth="1"/>
    <col min="17" max="17" width="9" style="561"/>
    <col min="18" max="18" width="3.625" style="561" customWidth="1"/>
    <col min="19" max="23" width="10.875" style="561" customWidth="1"/>
    <col min="24" max="16384" width="9" style="561"/>
  </cols>
  <sheetData>
    <row r="1" spans="1:31" ht="15.75" customHeight="1" x14ac:dyDescent="0.25">
      <c r="A1" s="1139" t="s">
        <v>1325</v>
      </c>
      <c r="B1" s="560"/>
      <c r="C1" s="560"/>
      <c r="D1" s="560"/>
      <c r="E1" s="560"/>
      <c r="F1" s="560"/>
      <c r="G1" s="560"/>
      <c r="H1" s="560"/>
      <c r="I1" s="560"/>
      <c r="J1" s="560"/>
      <c r="K1" s="560"/>
      <c r="L1" s="560"/>
      <c r="M1" s="560"/>
      <c r="N1" s="560"/>
      <c r="O1" s="560"/>
      <c r="P1" s="560"/>
      <c r="Q1" s="560"/>
    </row>
    <row r="2" spans="1:31" x14ac:dyDescent="0.25">
      <c r="A2" s="562"/>
      <c r="B2" s="562"/>
      <c r="C2" s="562"/>
      <c r="D2" s="563"/>
      <c r="E2" s="564"/>
      <c r="F2" s="564"/>
      <c r="G2" s="1136"/>
      <c r="H2" s="1757"/>
      <c r="I2" s="1136"/>
      <c r="J2" s="1136"/>
      <c r="K2" s="1136"/>
      <c r="L2" s="564"/>
      <c r="M2" s="560"/>
      <c r="N2" s="560"/>
      <c r="O2" s="560"/>
      <c r="P2" s="564"/>
      <c r="Q2" s="564"/>
    </row>
    <row r="3" spans="1:31" ht="15.75" customHeight="1" x14ac:dyDescent="0.25">
      <c r="D3" s="2286" t="s">
        <v>769</v>
      </c>
      <c r="E3" s="2286"/>
      <c r="F3" s="2286"/>
      <c r="G3" s="2286"/>
      <c r="H3" s="2287"/>
      <c r="I3" s="2286"/>
      <c r="J3" s="2286"/>
      <c r="K3" s="2286"/>
      <c r="L3" s="2286"/>
      <c r="M3" s="566"/>
      <c r="N3" s="566"/>
      <c r="O3" s="566"/>
      <c r="P3" s="2283" t="s">
        <v>280</v>
      </c>
      <c r="Q3" s="2283"/>
    </row>
    <row r="4" spans="1:31" ht="63" x14ac:dyDescent="0.25">
      <c r="A4" s="567" t="s">
        <v>4</v>
      </c>
      <c r="B4" s="568" t="s">
        <v>5</v>
      </c>
      <c r="C4" s="563" t="s">
        <v>251</v>
      </c>
      <c r="D4" s="569" t="s">
        <v>281</v>
      </c>
      <c r="E4" s="569" t="s">
        <v>2</v>
      </c>
      <c r="F4" s="1390" t="s">
        <v>445</v>
      </c>
      <c r="G4" s="1751" t="s">
        <v>542</v>
      </c>
      <c r="H4" s="1758" t="s">
        <v>1132</v>
      </c>
      <c r="I4" s="1711" t="s">
        <v>1128</v>
      </c>
      <c r="J4" s="1137" t="s">
        <v>551</v>
      </c>
      <c r="K4" s="1137" t="s">
        <v>862</v>
      </c>
      <c r="L4" s="570" t="s">
        <v>773</v>
      </c>
      <c r="M4" s="569"/>
      <c r="N4" s="1137" t="s">
        <v>446</v>
      </c>
      <c r="O4" s="1137"/>
      <c r="P4" s="569" t="s">
        <v>2</v>
      </c>
      <c r="Q4" s="569" t="s">
        <v>3</v>
      </c>
      <c r="S4" s="1458" t="s">
        <v>1327</v>
      </c>
      <c r="T4" s="1458" t="s">
        <v>1328</v>
      </c>
      <c r="U4" s="1458" t="s">
        <v>1086</v>
      </c>
      <c r="V4" s="1458" t="s">
        <v>1087</v>
      </c>
      <c r="W4" s="1458" t="s">
        <v>1088</v>
      </c>
      <c r="X4" s="1458" t="s">
        <v>1089</v>
      </c>
      <c r="Y4" s="1458" t="s">
        <v>773</v>
      </c>
      <c r="AA4" s="1458" t="s">
        <v>1085</v>
      </c>
      <c r="AB4" s="1458" t="s">
        <v>1086</v>
      </c>
      <c r="AC4" s="2016" t="s">
        <v>1087</v>
      </c>
      <c r="AD4" s="1458" t="s">
        <v>1088</v>
      </c>
      <c r="AE4" s="1458" t="s">
        <v>1089</v>
      </c>
    </row>
    <row r="5" spans="1:31" x14ac:dyDescent="0.25">
      <c r="A5" s="571" t="s">
        <v>8</v>
      </c>
      <c r="B5" s="572" t="s">
        <v>9</v>
      </c>
      <c r="C5" s="572"/>
      <c r="D5" s="573">
        <f t="shared" ref="D5:L5" si="0">SUM(D6:D125)</f>
        <v>4865</v>
      </c>
      <c r="E5" s="573">
        <f t="shared" si="0"/>
        <v>2357</v>
      </c>
      <c r="F5" s="573">
        <f t="shared" si="0"/>
        <v>1447</v>
      </c>
      <c r="G5" s="573">
        <f t="shared" si="0"/>
        <v>40</v>
      </c>
      <c r="H5" s="573">
        <f t="shared" si="0"/>
        <v>5</v>
      </c>
      <c r="I5" s="573">
        <f t="shared" si="0"/>
        <v>1</v>
      </c>
      <c r="J5" s="573">
        <f>SUM(J6:J125)</f>
        <v>461</v>
      </c>
      <c r="K5" s="573">
        <f>SUM(K6:K125)</f>
        <v>483</v>
      </c>
      <c r="L5" s="573">
        <f t="shared" si="0"/>
        <v>71</v>
      </c>
      <c r="M5" s="574"/>
      <c r="N5" s="574">
        <f>SUM(N6:N125)</f>
        <v>990</v>
      </c>
      <c r="O5" s="574"/>
      <c r="P5" s="575">
        <f>+E5/D5</f>
        <v>0.48448098663926004</v>
      </c>
      <c r="Q5" s="575">
        <f>+F5/D5</f>
        <v>0.29743062692702982</v>
      </c>
      <c r="S5" s="574">
        <f t="shared" ref="S5:AE5" si="1">SUM(S6:S125)</f>
        <v>261</v>
      </c>
      <c r="T5" s="574">
        <f t="shared" si="1"/>
        <v>1304</v>
      </c>
      <c r="U5" s="574">
        <f t="shared" si="1"/>
        <v>1024</v>
      </c>
      <c r="V5" s="574">
        <f t="shared" si="1"/>
        <v>1270</v>
      </c>
      <c r="W5" s="574">
        <f t="shared" si="1"/>
        <v>1006</v>
      </c>
      <c r="X5" s="574">
        <f t="shared" si="1"/>
        <v>0</v>
      </c>
      <c r="Y5" s="574">
        <f t="shared" si="1"/>
        <v>0</v>
      </c>
      <c r="AA5" s="574">
        <f t="shared" si="1"/>
        <v>1565</v>
      </c>
      <c r="AB5" s="574">
        <f t="shared" si="1"/>
        <v>1024</v>
      </c>
      <c r="AC5" s="574">
        <f t="shared" si="1"/>
        <v>1270</v>
      </c>
      <c r="AD5" s="574">
        <f t="shared" si="1"/>
        <v>1006</v>
      </c>
      <c r="AE5" s="574">
        <f t="shared" si="1"/>
        <v>0</v>
      </c>
    </row>
    <row r="6" spans="1:31" x14ac:dyDescent="0.25">
      <c r="A6" s="576" t="s">
        <v>10</v>
      </c>
      <c r="B6" s="577" t="s">
        <v>11</v>
      </c>
      <c r="C6" s="578" t="s">
        <v>264</v>
      </c>
      <c r="D6" s="579">
        <v>10</v>
      </c>
      <c r="E6" s="579">
        <v>7</v>
      </c>
      <c r="F6" s="579">
        <v>2</v>
      </c>
      <c r="G6" s="579">
        <v>0</v>
      </c>
      <c r="H6" s="579">
        <v>0</v>
      </c>
      <c r="I6" s="579">
        <v>0</v>
      </c>
      <c r="J6" s="579">
        <v>0</v>
      </c>
      <c r="K6" s="579">
        <v>1</v>
      </c>
      <c r="L6" s="579">
        <v>0</v>
      </c>
      <c r="M6" s="580"/>
      <c r="N6" s="580">
        <f t="shared" ref="N6:N37" si="2">SUM(G6:K6)</f>
        <v>1</v>
      </c>
      <c r="O6" s="580"/>
      <c r="P6" s="581">
        <f t="shared" ref="P6:P37" si="3">IF(D6=0,"N/A",+E6/D6)</f>
        <v>0.7</v>
      </c>
      <c r="Q6" s="581">
        <f t="shared" ref="Q6:Q37" si="4">IF(D6=0,"N/A",+F6/D6)</f>
        <v>0.2</v>
      </c>
      <c r="S6" s="561">
        <v>2</v>
      </c>
      <c r="T6" s="561">
        <v>3</v>
      </c>
      <c r="U6" s="561">
        <v>2</v>
      </c>
      <c r="V6" s="561">
        <v>1</v>
      </c>
      <c r="W6" s="561">
        <v>2</v>
      </c>
      <c r="X6" s="561">
        <v>0</v>
      </c>
      <c r="Y6" s="561">
        <v>0</v>
      </c>
      <c r="AA6" s="561">
        <f>S6+T6</f>
        <v>5</v>
      </c>
      <c r="AB6" s="561">
        <f>U6</f>
        <v>2</v>
      </c>
      <c r="AC6" s="561">
        <f>V6</f>
        <v>1</v>
      </c>
      <c r="AD6" s="561">
        <f>W6</f>
        <v>2</v>
      </c>
      <c r="AE6" s="561">
        <f>X6</f>
        <v>0</v>
      </c>
    </row>
    <row r="7" spans="1:31" x14ac:dyDescent="0.25">
      <c r="A7" s="576" t="s">
        <v>12</v>
      </c>
      <c r="B7" s="577" t="s">
        <v>13</v>
      </c>
      <c r="C7" s="578" t="s">
        <v>265</v>
      </c>
      <c r="D7" s="579">
        <v>78</v>
      </c>
      <c r="E7" s="579">
        <v>35</v>
      </c>
      <c r="F7" s="579">
        <v>17</v>
      </c>
      <c r="G7" s="579">
        <v>0</v>
      </c>
      <c r="H7" s="579">
        <v>0</v>
      </c>
      <c r="I7" s="579">
        <v>0</v>
      </c>
      <c r="J7" s="579">
        <v>13</v>
      </c>
      <c r="K7" s="579">
        <v>12</v>
      </c>
      <c r="L7" s="579">
        <v>1</v>
      </c>
      <c r="M7" s="580"/>
      <c r="N7" s="580">
        <f t="shared" si="2"/>
        <v>25</v>
      </c>
      <c r="O7" s="580"/>
      <c r="P7" s="581">
        <f t="shared" si="3"/>
        <v>0.44871794871794873</v>
      </c>
      <c r="Q7" s="581">
        <f t="shared" si="4"/>
        <v>0.21794871794871795</v>
      </c>
      <c r="S7" s="561">
        <v>1</v>
      </c>
      <c r="T7" s="561">
        <v>14</v>
      </c>
      <c r="U7" s="561">
        <v>22</v>
      </c>
      <c r="V7" s="561">
        <v>23</v>
      </c>
      <c r="W7" s="561">
        <v>18</v>
      </c>
      <c r="X7" s="561">
        <v>0</v>
      </c>
      <c r="Y7" s="561">
        <v>0</v>
      </c>
      <c r="AA7" s="561">
        <f t="shared" ref="AA7:AA70" si="5">S7+T7</f>
        <v>15</v>
      </c>
      <c r="AB7" s="561">
        <f t="shared" ref="AB7:AB70" si="6">U7</f>
        <v>22</v>
      </c>
      <c r="AC7" s="561">
        <f t="shared" ref="AC7:AC70" si="7">V7</f>
        <v>23</v>
      </c>
      <c r="AD7" s="561">
        <f t="shared" ref="AD7:AD70" si="8">W7</f>
        <v>18</v>
      </c>
      <c r="AE7" s="561">
        <f t="shared" ref="AE7:AE70" si="9">X7</f>
        <v>0</v>
      </c>
    </row>
    <row r="8" spans="1:31" x14ac:dyDescent="0.25">
      <c r="A8" s="576" t="s">
        <v>14</v>
      </c>
      <c r="B8" s="577" t="s">
        <v>15</v>
      </c>
      <c r="C8" s="583" t="s">
        <v>267</v>
      </c>
      <c r="D8" s="579">
        <v>78</v>
      </c>
      <c r="E8" s="579">
        <v>5</v>
      </c>
      <c r="F8" s="579">
        <v>48</v>
      </c>
      <c r="G8" s="579">
        <v>0</v>
      </c>
      <c r="H8" s="579">
        <v>1</v>
      </c>
      <c r="I8" s="579">
        <v>0</v>
      </c>
      <c r="J8" s="579">
        <v>18</v>
      </c>
      <c r="K8" s="579">
        <v>6</v>
      </c>
      <c r="L8" s="579">
        <v>0</v>
      </c>
      <c r="M8" s="580"/>
      <c r="N8" s="580">
        <f t="shared" si="2"/>
        <v>25</v>
      </c>
      <c r="O8" s="580"/>
      <c r="P8" s="581">
        <f t="shared" si="3"/>
        <v>6.4102564102564097E-2</v>
      </c>
      <c r="Q8" s="581">
        <f t="shared" si="4"/>
        <v>0.61538461538461542</v>
      </c>
      <c r="S8" s="561">
        <v>5</v>
      </c>
      <c r="T8" s="561">
        <v>25</v>
      </c>
      <c r="U8" s="561">
        <v>13</v>
      </c>
      <c r="V8" s="561">
        <v>26</v>
      </c>
      <c r="W8" s="561">
        <v>9</v>
      </c>
      <c r="X8" s="561">
        <v>0</v>
      </c>
      <c r="Y8" s="561">
        <v>0</v>
      </c>
      <c r="AA8" s="561">
        <f t="shared" si="5"/>
        <v>30</v>
      </c>
      <c r="AB8" s="561">
        <f t="shared" si="6"/>
        <v>13</v>
      </c>
      <c r="AC8" s="561">
        <f t="shared" si="7"/>
        <v>26</v>
      </c>
      <c r="AD8" s="561">
        <f t="shared" si="8"/>
        <v>9</v>
      </c>
      <c r="AE8" s="561">
        <f t="shared" si="9"/>
        <v>0</v>
      </c>
    </row>
    <row r="9" spans="1:31" x14ac:dyDescent="0.25">
      <c r="A9" s="576" t="s">
        <v>16</v>
      </c>
      <c r="B9" s="577" t="s">
        <v>17</v>
      </c>
      <c r="C9" s="578" t="s">
        <v>265</v>
      </c>
      <c r="D9" s="579">
        <v>9</v>
      </c>
      <c r="E9" s="579">
        <v>7</v>
      </c>
      <c r="F9" s="579">
        <v>1</v>
      </c>
      <c r="G9" s="579">
        <v>0</v>
      </c>
      <c r="H9" s="579">
        <v>0</v>
      </c>
      <c r="I9" s="579">
        <v>0</v>
      </c>
      <c r="J9" s="579">
        <v>0</v>
      </c>
      <c r="K9" s="579">
        <v>1</v>
      </c>
      <c r="L9" s="579">
        <v>0</v>
      </c>
      <c r="M9" s="580"/>
      <c r="N9" s="580">
        <f t="shared" si="2"/>
        <v>1</v>
      </c>
      <c r="O9" s="580"/>
      <c r="P9" s="581">
        <f t="shared" si="3"/>
        <v>0.77777777777777779</v>
      </c>
      <c r="Q9" s="581">
        <f t="shared" si="4"/>
        <v>0.1111111111111111</v>
      </c>
      <c r="S9" s="561">
        <v>1</v>
      </c>
      <c r="T9" s="561">
        <v>3</v>
      </c>
      <c r="U9" s="561">
        <v>0</v>
      </c>
      <c r="V9" s="561">
        <v>3</v>
      </c>
      <c r="W9" s="561">
        <v>2</v>
      </c>
      <c r="X9" s="561">
        <v>0</v>
      </c>
      <c r="Y9" s="561">
        <v>0</v>
      </c>
      <c r="AA9" s="561">
        <f t="shared" si="5"/>
        <v>4</v>
      </c>
      <c r="AB9" s="561">
        <f t="shared" si="6"/>
        <v>0</v>
      </c>
      <c r="AC9" s="561">
        <f t="shared" si="7"/>
        <v>3</v>
      </c>
      <c r="AD9" s="561">
        <f t="shared" si="8"/>
        <v>2</v>
      </c>
      <c r="AE9" s="561">
        <f t="shared" si="9"/>
        <v>0</v>
      </c>
    </row>
    <row r="10" spans="1:31" x14ac:dyDescent="0.25">
      <c r="A10" s="576" t="s">
        <v>18</v>
      </c>
      <c r="B10" s="577" t="s">
        <v>19</v>
      </c>
      <c r="C10" s="578" t="s">
        <v>266</v>
      </c>
      <c r="D10" s="579">
        <v>1</v>
      </c>
      <c r="E10" s="579">
        <v>0</v>
      </c>
      <c r="F10" s="579">
        <v>0</v>
      </c>
      <c r="G10" s="579">
        <v>0</v>
      </c>
      <c r="H10" s="579">
        <v>0</v>
      </c>
      <c r="I10" s="579">
        <v>0</v>
      </c>
      <c r="J10" s="579">
        <v>1</v>
      </c>
      <c r="K10" s="579">
        <v>0</v>
      </c>
      <c r="L10" s="579">
        <v>0</v>
      </c>
      <c r="M10" s="580"/>
      <c r="N10" s="580">
        <f t="shared" si="2"/>
        <v>1</v>
      </c>
      <c r="O10" s="580"/>
      <c r="P10" s="581">
        <f t="shared" si="3"/>
        <v>0</v>
      </c>
      <c r="Q10" s="581">
        <f t="shared" si="4"/>
        <v>0</v>
      </c>
      <c r="S10" s="561">
        <v>0</v>
      </c>
      <c r="T10" s="561">
        <v>0</v>
      </c>
      <c r="U10" s="561">
        <v>0</v>
      </c>
      <c r="V10" s="561">
        <v>1</v>
      </c>
      <c r="W10" s="561">
        <v>0</v>
      </c>
      <c r="X10" s="561">
        <v>0</v>
      </c>
      <c r="Y10" s="561">
        <v>0</v>
      </c>
      <c r="AA10" s="561">
        <f t="shared" si="5"/>
        <v>0</v>
      </c>
      <c r="AB10" s="561">
        <f t="shared" si="6"/>
        <v>0</v>
      </c>
      <c r="AC10" s="561">
        <f t="shared" si="7"/>
        <v>1</v>
      </c>
      <c r="AD10" s="561">
        <f t="shared" si="8"/>
        <v>0</v>
      </c>
      <c r="AE10" s="561">
        <f t="shared" si="9"/>
        <v>0</v>
      </c>
    </row>
    <row r="11" spans="1:31" x14ac:dyDescent="0.25">
      <c r="A11" s="576" t="s">
        <v>20</v>
      </c>
      <c r="B11" s="577" t="s">
        <v>21</v>
      </c>
      <c r="C11" s="578" t="s">
        <v>265</v>
      </c>
      <c r="D11" s="579">
        <v>24</v>
      </c>
      <c r="E11" s="579">
        <v>16</v>
      </c>
      <c r="F11" s="579">
        <v>7</v>
      </c>
      <c r="G11" s="579">
        <v>0</v>
      </c>
      <c r="H11" s="579">
        <v>0</v>
      </c>
      <c r="I11" s="579">
        <v>0</v>
      </c>
      <c r="J11" s="579">
        <v>0</v>
      </c>
      <c r="K11" s="579">
        <v>1</v>
      </c>
      <c r="L11" s="579">
        <v>0</v>
      </c>
      <c r="M11" s="580"/>
      <c r="N11" s="580">
        <f t="shared" si="2"/>
        <v>1</v>
      </c>
      <c r="O11" s="580"/>
      <c r="P11" s="581">
        <f t="shared" si="3"/>
        <v>0.66666666666666663</v>
      </c>
      <c r="Q11" s="581">
        <f t="shared" si="4"/>
        <v>0.29166666666666669</v>
      </c>
      <c r="S11" s="561">
        <v>1</v>
      </c>
      <c r="T11" s="561">
        <v>8</v>
      </c>
      <c r="U11" s="561">
        <v>3</v>
      </c>
      <c r="V11" s="561">
        <v>7</v>
      </c>
      <c r="W11" s="561">
        <v>5</v>
      </c>
      <c r="X11" s="561">
        <v>0</v>
      </c>
      <c r="Y11" s="561">
        <v>0</v>
      </c>
      <c r="AA11" s="561">
        <f t="shared" si="5"/>
        <v>9</v>
      </c>
      <c r="AB11" s="561">
        <f t="shared" si="6"/>
        <v>3</v>
      </c>
      <c r="AC11" s="561">
        <f t="shared" si="7"/>
        <v>7</v>
      </c>
      <c r="AD11" s="561">
        <f t="shared" si="8"/>
        <v>5</v>
      </c>
      <c r="AE11" s="561">
        <f t="shared" si="9"/>
        <v>0</v>
      </c>
    </row>
    <row r="12" spans="1:31" x14ac:dyDescent="0.25">
      <c r="A12" s="576" t="s">
        <v>22</v>
      </c>
      <c r="B12" s="577" t="s">
        <v>23</v>
      </c>
      <c r="C12" s="578" t="s">
        <v>265</v>
      </c>
      <c r="D12" s="579">
        <v>16</v>
      </c>
      <c r="E12" s="579">
        <v>10</v>
      </c>
      <c r="F12" s="579">
        <v>1</v>
      </c>
      <c r="G12" s="579">
        <v>0</v>
      </c>
      <c r="H12" s="579">
        <v>0</v>
      </c>
      <c r="I12" s="579">
        <v>0</v>
      </c>
      <c r="J12" s="579">
        <v>0</v>
      </c>
      <c r="K12" s="579">
        <v>5</v>
      </c>
      <c r="L12" s="579">
        <v>0</v>
      </c>
      <c r="M12" s="580"/>
      <c r="N12" s="580">
        <f t="shared" si="2"/>
        <v>5</v>
      </c>
      <c r="O12" s="580"/>
      <c r="P12" s="581">
        <f t="shared" si="3"/>
        <v>0.625</v>
      </c>
      <c r="Q12" s="581">
        <f t="shared" si="4"/>
        <v>6.25E-2</v>
      </c>
      <c r="S12" s="561">
        <v>0</v>
      </c>
      <c r="T12" s="561">
        <v>5</v>
      </c>
      <c r="U12" s="561">
        <v>5</v>
      </c>
      <c r="V12" s="561">
        <v>3</v>
      </c>
      <c r="W12" s="561">
        <v>3</v>
      </c>
      <c r="X12" s="561">
        <v>0</v>
      </c>
      <c r="Y12" s="561">
        <v>0</v>
      </c>
      <c r="AA12" s="561">
        <f t="shared" si="5"/>
        <v>5</v>
      </c>
      <c r="AB12" s="561">
        <f t="shared" si="6"/>
        <v>5</v>
      </c>
      <c r="AC12" s="561">
        <f t="shared" si="7"/>
        <v>3</v>
      </c>
      <c r="AD12" s="561">
        <f t="shared" si="8"/>
        <v>3</v>
      </c>
      <c r="AE12" s="561">
        <f t="shared" si="9"/>
        <v>0</v>
      </c>
    </row>
    <row r="13" spans="1:31" x14ac:dyDescent="0.25">
      <c r="A13" s="576" t="s">
        <v>24</v>
      </c>
      <c r="B13" s="577" t="s">
        <v>25</v>
      </c>
      <c r="C13" s="578" t="s">
        <v>267</v>
      </c>
      <c r="D13" s="579">
        <v>84</v>
      </c>
      <c r="E13" s="579">
        <v>7</v>
      </c>
      <c r="F13" s="579">
        <v>38</v>
      </c>
      <c r="G13" s="579">
        <v>5</v>
      </c>
      <c r="H13" s="579">
        <v>0</v>
      </c>
      <c r="I13" s="579">
        <v>0</v>
      </c>
      <c r="J13" s="579">
        <v>29</v>
      </c>
      <c r="K13" s="579">
        <v>5</v>
      </c>
      <c r="L13" s="579">
        <v>0</v>
      </c>
      <c r="M13" s="580"/>
      <c r="N13" s="580">
        <f t="shared" si="2"/>
        <v>39</v>
      </c>
      <c r="O13" s="580"/>
      <c r="P13" s="581">
        <f t="shared" si="3"/>
        <v>8.3333333333333329E-2</v>
      </c>
      <c r="Q13" s="581">
        <f t="shared" si="4"/>
        <v>0.45238095238095238</v>
      </c>
      <c r="S13" s="561">
        <v>5</v>
      </c>
      <c r="T13" s="561">
        <v>21</v>
      </c>
      <c r="U13" s="561">
        <v>16</v>
      </c>
      <c r="V13" s="561">
        <v>17</v>
      </c>
      <c r="W13" s="561">
        <v>25</v>
      </c>
      <c r="X13" s="561">
        <v>0</v>
      </c>
      <c r="Y13" s="561">
        <v>0</v>
      </c>
      <c r="AA13" s="561">
        <f t="shared" si="5"/>
        <v>26</v>
      </c>
      <c r="AB13" s="561">
        <f t="shared" si="6"/>
        <v>16</v>
      </c>
      <c r="AC13" s="561">
        <f t="shared" si="7"/>
        <v>17</v>
      </c>
      <c r="AD13" s="561">
        <f t="shared" si="8"/>
        <v>25</v>
      </c>
      <c r="AE13" s="561">
        <f t="shared" si="9"/>
        <v>0</v>
      </c>
    </row>
    <row r="14" spans="1:31" x14ac:dyDescent="0.25">
      <c r="A14" s="576" t="s">
        <v>26</v>
      </c>
      <c r="B14" s="577" t="s">
        <v>686</v>
      </c>
      <c r="C14" s="578" t="s">
        <v>265</v>
      </c>
      <c r="D14" s="579">
        <v>144</v>
      </c>
      <c r="E14" s="579">
        <v>97</v>
      </c>
      <c r="F14" s="579">
        <v>9</v>
      </c>
      <c r="G14" s="579">
        <v>0</v>
      </c>
      <c r="H14" s="579">
        <v>0</v>
      </c>
      <c r="I14" s="579">
        <v>0</v>
      </c>
      <c r="J14" s="579">
        <v>14</v>
      </c>
      <c r="K14" s="579">
        <v>24</v>
      </c>
      <c r="L14" s="579">
        <v>0</v>
      </c>
      <c r="M14" s="580"/>
      <c r="N14" s="580">
        <f t="shared" si="2"/>
        <v>38</v>
      </c>
      <c r="O14" s="580"/>
      <c r="P14" s="581">
        <f t="shared" si="3"/>
        <v>0.67361111111111116</v>
      </c>
      <c r="Q14" s="581">
        <f t="shared" si="4"/>
        <v>6.25E-2</v>
      </c>
      <c r="S14" s="561">
        <v>5</v>
      </c>
      <c r="T14" s="561">
        <v>37</v>
      </c>
      <c r="U14" s="561">
        <v>37</v>
      </c>
      <c r="V14" s="561">
        <v>40</v>
      </c>
      <c r="W14" s="561">
        <v>25</v>
      </c>
      <c r="X14" s="561">
        <v>0</v>
      </c>
      <c r="Y14" s="561">
        <v>0</v>
      </c>
      <c r="AA14" s="561">
        <f t="shared" si="5"/>
        <v>42</v>
      </c>
      <c r="AB14" s="561">
        <f t="shared" si="6"/>
        <v>37</v>
      </c>
      <c r="AC14" s="561">
        <f t="shared" si="7"/>
        <v>40</v>
      </c>
      <c r="AD14" s="561">
        <f t="shared" si="8"/>
        <v>25</v>
      </c>
      <c r="AE14" s="561">
        <f t="shared" si="9"/>
        <v>0</v>
      </c>
    </row>
    <row r="15" spans="1:31" x14ac:dyDescent="0.25">
      <c r="A15" s="582" t="s">
        <v>27</v>
      </c>
      <c r="B15" s="577" t="s">
        <v>28</v>
      </c>
      <c r="C15" s="583" t="s">
        <v>265</v>
      </c>
      <c r="D15" s="579">
        <v>2</v>
      </c>
      <c r="E15" s="579">
        <v>0</v>
      </c>
      <c r="F15" s="579">
        <v>0</v>
      </c>
      <c r="G15" s="579">
        <v>0</v>
      </c>
      <c r="H15" s="579">
        <v>0</v>
      </c>
      <c r="I15" s="579">
        <v>0</v>
      </c>
      <c r="J15" s="579">
        <v>2</v>
      </c>
      <c r="K15" s="579">
        <v>0</v>
      </c>
      <c r="L15" s="579">
        <v>0</v>
      </c>
      <c r="M15" s="580"/>
      <c r="N15" s="580">
        <f t="shared" si="2"/>
        <v>2</v>
      </c>
      <c r="O15" s="580"/>
      <c r="P15" s="581">
        <f t="shared" si="3"/>
        <v>0</v>
      </c>
      <c r="Q15" s="581">
        <f t="shared" si="4"/>
        <v>0</v>
      </c>
      <c r="S15" s="561">
        <v>0</v>
      </c>
      <c r="T15" s="561">
        <v>0</v>
      </c>
      <c r="U15" s="561">
        <v>2</v>
      </c>
      <c r="V15" s="561">
        <v>0</v>
      </c>
      <c r="W15" s="561">
        <v>0</v>
      </c>
      <c r="X15" s="561">
        <v>0</v>
      </c>
      <c r="Y15" s="561">
        <v>0</v>
      </c>
      <c r="AA15" s="561">
        <f t="shared" si="5"/>
        <v>0</v>
      </c>
      <c r="AB15" s="561">
        <f t="shared" si="6"/>
        <v>2</v>
      </c>
      <c r="AC15" s="561">
        <f t="shared" si="7"/>
        <v>0</v>
      </c>
      <c r="AD15" s="561">
        <f t="shared" si="8"/>
        <v>0</v>
      </c>
      <c r="AE15" s="561">
        <f t="shared" si="9"/>
        <v>0</v>
      </c>
    </row>
    <row r="16" spans="1:31" x14ac:dyDescent="0.25">
      <c r="A16" s="576" t="s">
        <v>29</v>
      </c>
      <c r="B16" s="577" t="s">
        <v>924</v>
      </c>
      <c r="C16" s="583" t="s">
        <v>265</v>
      </c>
      <c r="D16" s="579">
        <v>54</v>
      </c>
      <c r="E16" s="579">
        <v>33</v>
      </c>
      <c r="F16" s="579">
        <v>16</v>
      </c>
      <c r="G16" s="579">
        <v>0</v>
      </c>
      <c r="H16" s="579">
        <v>0</v>
      </c>
      <c r="I16" s="579">
        <v>0</v>
      </c>
      <c r="J16" s="579">
        <v>4</v>
      </c>
      <c r="K16" s="579">
        <v>1</v>
      </c>
      <c r="L16" s="579">
        <v>0</v>
      </c>
      <c r="M16" s="580"/>
      <c r="N16" s="580">
        <f t="shared" si="2"/>
        <v>5</v>
      </c>
      <c r="O16" s="580"/>
      <c r="P16" s="581">
        <f t="shared" si="3"/>
        <v>0.61111111111111116</v>
      </c>
      <c r="Q16" s="581">
        <f t="shared" si="4"/>
        <v>0.29629629629629628</v>
      </c>
      <c r="S16" s="561">
        <v>3</v>
      </c>
      <c r="T16" s="561">
        <v>4</v>
      </c>
      <c r="U16" s="561">
        <v>13</v>
      </c>
      <c r="V16" s="561">
        <v>20</v>
      </c>
      <c r="W16" s="561">
        <v>14</v>
      </c>
      <c r="X16" s="561">
        <v>0</v>
      </c>
      <c r="Y16" s="561">
        <v>0</v>
      </c>
      <c r="AA16" s="561">
        <f t="shared" si="5"/>
        <v>7</v>
      </c>
      <c r="AB16" s="561">
        <f t="shared" si="6"/>
        <v>13</v>
      </c>
      <c r="AC16" s="561">
        <f t="shared" si="7"/>
        <v>20</v>
      </c>
      <c r="AD16" s="561">
        <f t="shared" si="8"/>
        <v>14</v>
      </c>
      <c r="AE16" s="561">
        <f t="shared" si="9"/>
        <v>0</v>
      </c>
    </row>
    <row r="17" spans="1:31" x14ac:dyDescent="0.25">
      <c r="A17" s="576" t="s">
        <v>30</v>
      </c>
      <c r="B17" s="577" t="s">
        <v>31</v>
      </c>
      <c r="C17" s="583" t="s">
        <v>268</v>
      </c>
      <c r="D17" s="579">
        <v>11</v>
      </c>
      <c r="E17" s="579">
        <v>11</v>
      </c>
      <c r="F17" s="579">
        <v>0</v>
      </c>
      <c r="G17" s="579">
        <v>0</v>
      </c>
      <c r="H17" s="579">
        <v>0</v>
      </c>
      <c r="I17" s="579">
        <v>0</v>
      </c>
      <c r="J17" s="579">
        <v>0</v>
      </c>
      <c r="K17" s="579">
        <v>0</v>
      </c>
      <c r="L17" s="579">
        <v>0</v>
      </c>
      <c r="M17" s="580"/>
      <c r="N17" s="580">
        <f t="shared" si="2"/>
        <v>0</v>
      </c>
      <c r="O17" s="580"/>
      <c r="P17" s="581">
        <f t="shared" si="3"/>
        <v>1</v>
      </c>
      <c r="Q17" s="581">
        <f t="shared" si="4"/>
        <v>0</v>
      </c>
      <c r="S17" s="561">
        <v>0</v>
      </c>
      <c r="T17" s="561">
        <v>2</v>
      </c>
      <c r="U17" s="561">
        <v>5</v>
      </c>
      <c r="V17" s="561">
        <v>3</v>
      </c>
      <c r="W17" s="561">
        <v>1</v>
      </c>
      <c r="X17" s="561">
        <v>0</v>
      </c>
      <c r="Y17" s="561">
        <v>0</v>
      </c>
      <c r="AA17" s="561">
        <f t="shared" si="5"/>
        <v>2</v>
      </c>
      <c r="AB17" s="561">
        <f t="shared" si="6"/>
        <v>5</v>
      </c>
      <c r="AC17" s="561">
        <f t="shared" si="7"/>
        <v>3</v>
      </c>
      <c r="AD17" s="561">
        <f t="shared" si="8"/>
        <v>1</v>
      </c>
      <c r="AE17" s="561">
        <f t="shared" si="9"/>
        <v>0</v>
      </c>
    </row>
    <row r="18" spans="1:31" x14ac:dyDescent="0.25">
      <c r="A18" s="576" t="s">
        <v>32</v>
      </c>
      <c r="B18" s="577" t="s">
        <v>33</v>
      </c>
      <c r="C18" s="583" t="s">
        <v>265</v>
      </c>
      <c r="D18" s="579">
        <v>4</v>
      </c>
      <c r="E18" s="579">
        <v>3</v>
      </c>
      <c r="F18" s="579">
        <v>0</v>
      </c>
      <c r="G18" s="579">
        <v>0</v>
      </c>
      <c r="H18" s="579">
        <v>0</v>
      </c>
      <c r="I18" s="579">
        <v>0</v>
      </c>
      <c r="J18" s="579">
        <v>0</v>
      </c>
      <c r="K18" s="579">
        <v>1</v>
      </c>
      <c r="L18" s="579">
        <v>0</v>
      </c>
      <c r="M18" s="580"/>
      <c r="N18" s="580">
        <f t="shared" si="2"/>
        <v>1</v>
      </c>
      <c r="O18" s="580"/>
      <c r="P18" s="581">
        <f t="shared" si="3"/>
        <v>0.75</v>
      </c>
      <c r="Q18" s="581">
        <f t="shared" si="4"/>
        <v>0</v>
      </c>
      <c r="S18" s="561">
        <v>0</v>
      </c>
      <c r="T18" s="561">
        <v>1</v>
      </c>
      <c r="U18" s="561">
        <v>0</v>
      </c>
      <c r="V18" s="561">
        <v>0</v>
      </c>
      <c r="W18" s="561">
        <v>3</v>
      </c>
      <c r="X18" s="561">
        <v>0</v>
      </c>
      <c r="Y18" s="561">
        <v>0</v>
      </c>
      <c r="AA18" s="561">
        <f t="shared" si="5"/>
        <v>1</v>
      </c>
      <c r="AB18" s="561">
        <f t="shared" si="6"/>
        <v>0</v>
      </c>
      <c r="AC18" s="561">
        <f t="shared" si="7"/>
        <v>0</v>
      </c>
      <c r="AD18" s="561">
        <f t="shared" si="8"/>
        <v>3</v>
      </c>
      <c r="AE18" s="561">
        <f t="shared" si="9"/>
        <v>0</v>
      </c>
    </row>
    <row r="19" spans="1:31" x14ac:dyDescent="0.25">
      <c r="A19" s="576" t="s">
        <v>34</v>
      </c>
      <c r="B19" s="577" t="s">
        <v>35</v>
      </c>
      <c r="C19" s="583" t="s">
        <v>268</v>
      </c>
      <c r="D19" s="579">
        <v>46</v>
      </c>
      <c r="E19" s="579">
        <v>36</v>
      </c>
      <c r="F19" s="579">
        <v>4</v>
      </c>
      <c r="G19" s="579">
        <v>0</v>
      </c>
      <c r="H19" s="579">
        <v>0</v>
      </c>
      <c r="I19" s="579">
        <v>0</v>
      </c>
      <c r="J19" s="579">
        <v>2</v>
      </c>
      <c r="K19" s="579">
        <v>4</v>
      </c>
      <c r="L19" s="579">
        <v>0</v>
      </c>
      <c r="M19" s="580"/>
      <c r="N19" s="580">
        <f t="shared" si="2"/>
        <v>6</v>
      </c>
      <c r="O19" s="580"/>
      <c r="P19" s="581">
        <f t="shared" si="3"/>
        <v>0.78260869565217395</v>
      </c>
      <c r="Q19" s="581">
        <f t="shared" si="4"/>
        <v>8.6956521739130432E-2</v>
      </c>
      <c r="S19" s="561">
        <v>1</v>
      </c>
      <c r="T19" s="561">
        <v>6</v>
      </c>
      <c r="U19" s="561">
        <v>14</v>
      </c>
      <c r="V19" s="561">
        <v>9</v>
      </c>
      <c r="W19" s="561">
        <v>16</v>
      </c>
      <c r="X19" s="561">
        <v>0</v>
      </c>
      <c r="Y19" s="561">
        <v>0</v>
      </c>
      <c r="AA19" s="561">
        <f t="shared" si="5"/>
        <v>7</v>
      </c>
      <c r="AB19" s="561">
        <f t="shared" si="6"/>
        <v>14</v>
      </c>
      <c r="AC19" s="561">
        <f t="shared" si="7"/>
        <v>9</v>
      </c>
      <c r="AD19" s="561">
        <f t="shared" si="8"/>
        <v>16</v>
      </c>
      <c r="AE19" s="561">
        <f t="shared" si="9"/>
        <v>0</v>
      </c>
    </row>
    <row r="20" spans="1:31" x14ac:dyDescent="0.25">
      <c r="A20" s="576" t="s">
        <v>36</v>
      </c>
      <c r="B20" s="577" t="s">
        <v>37</v>
      </c>
      <c r="C20" s="583" t="s">
        <v>264</v>
      </c>
      <c r="D20" s="579">
        <v>3</v>
      </c>
      <c r="E20" s="579">
        <v>1</v>
      </c>
      <c r="F20" s="579">
        <v>2</v>
      </c>
      <c r="G20" s="579">
        <v>0</v>
      </c>
      <c r="H20" s="579">
        <v>0</v>
      </c>
      <c r="I20" s="579">
        <v>0</v>
      </c>
      <c r="J20" s="579">
        <v>0</v>
      </c>
      <c r="K20" s="579">
        <v>0</v>
      </c>
      <c r="L20" s="579">
        <v>0</v>
      </c>
      <c r="M20" s="580"/>
      <c r="N20" s="580">
        <f t="shared" si="2"/>
        <v>0</v>
      </c>
      <c r="O20" s="580"/>
      <c r="P20" s="581">
        <f t="shared" si="3"/>
        <v>0.33333333333333331</v>
      </c>
      <c r="Q20" s="581">
        <f t="shared" si="4"/>
        <v>0.66666666666666663</v>
      </c>
      <c r="S20" s="561">
        <v>0</v>
      </c>
      <c r="T20" s="561">
        <v>0</v>
      </c>
      <c r="U20" s="561">
        <v>1</v>
      </c>
      <c r="V20" s="561">
        <v>2</v>
      </c>
      <c r="W20" s="561">
        <v>0</v>
      </c>
      <c r="X20" s="561">
        <v>0</v>
      </c>
      <c r="Y20" s="561">
        <v>0</v>
      </c>
      <c r="AA20" s="561">
        <f t="shared" si="5"/>
        <v>0</v>
      </c>
      <c r="AB20" s="561">
        <f t="shared" si="6"/>
        <v>1</v>
      </c>
      <c r="AC20" s="561">
        <f t="shared" si="7"/>
        <v>2</v>
      </c>
      <c r="AD20" s="561">
        <f t="shared" si="8"/>
        <v>0</v>
      </c>
      <c r="AE20" s="561">
        <f t="shared" si="9"/>
        <v>0</v>
      </c>
    </row>
    <row r="21" spans="1:31" x14ac:dyDescent="0.25">
      <c r="A21" s="576" t="s">
        <v>38</v>
      </c>
      <c r="B21" s="577" t="s">
        <v>39</v>
      </c>
      <c r="C21" s="583" t="s">
        <v>268</v>
      </c>
      <c r="D21" s="579">
        <v>69</v>
      </c>
      <c r="E21" s="579">
        <v>63</v>
      </c>
      <c r="F21" s="579">
        <v>1</v>
      </c>
      <c r="G21" s="579">
        <v>0</v>
      </c>
      <c r="H21" s="579">
        <v>0</v>
      </c>
      <c r="I21" s="579">
        <v>0</v>
      </c>
      <c r="J21" s="579">
        <v>0</v>
      </c>
      <c r="K21" s="579">
        <v>5</v>
      </c>
      <c r="L21" s="579">
        <v>0</v>
      </c>
      <c r="M21" s="580"/>
      <c r="N21" s="580">
        <f t="shared" si="2"/>
        <v>5</v>
      </c>
      <c r="O21" s="580"/>
      <c r="P21" s="581">
        <f t="shared" si="3"/>
        <v>0.91304347826086951</v>
      </c>
      <c r="Q21" s="581">
        <f t="shared" si="4"/>
        <v>1.4492753623188406E-2</v>
      </c>
      <c r="S21" s="561">
        <v>0</v>
      </c>
      <c r="T21" s="561">
        <v>25</v>
      </c>
      <c r="U21" s="561">
        <v>13</v>
      </c>
      <c r="V21" s="561">
        <v>20</v>
      </c>
      <c r="W21" s="561">
        <v>11</v>
      </c>
      <c r="X21" s="561">
        <v>0</v>
      </c>
      <c r="Y21" s="561">
        <v>0</v>
      </c>
      <c r="AA21" s="561">
        <f t="shared" si="5"/>
        <v>25</v>
      </c>
      <c r="AB21" s="561">
        <f t="shared" si="6"/>
        <v>13</v>
      </c>
      <c r="AC21" s="561">
        <f t="shared" si="7"/>
        <v>20</v>
      </c>
      <c r="AD21" s="561">
        <f t="shared" si="8"/>
        <v>11</v>
      </c>
      <c r="AE21" s="561">
        <f t="shared" si="9"/>
        <v>0</v>
      </c>
    </row>
    <row r="22" spans="1:31" x14ac:dyDescent="0.25">
      <c r="A22" s="576" t="s">
        <v>40</v>
      </c>
      <c r="B22" s="577" t="s">
        <v>41</v>
      </c>
      <c r="C22" s="583" t="s">
        <v>266</v>
      </c>
      <c r="D22" s="579">
        <v>9</v>
      </c>
      <c r="E22" s="579">
        <v>4</v>
      </c>
      <c r="F22" s="579">
        <v>3</v>
      </c>
      <c r="G22" s="579">
        <v>0</v>
      </c>
      <c r="H22" s="579">
        <v>0</v>
      </c>
      <c r="I22" s="579">
        <v>0</v>
      </c>
      <c r="J22" s="579">
        <v>0</v>
      </c>
      <c r="K22" s="579">
        <v>2</v>
      </c>
      <c r="L22" s="579">
        <v>0</v>
      </c>
      <c r="M22" s="580"/>
      <c r="N22" s="580">
        <f t="shared" si="2"/>
        <v>2</v>
      </c>
      <c r="O22" s="580"/>
      <c r="P22" s="581">
        <f t="shared" si="3"/>
        <v>0.44444444444444442</v>
      </c>
      <c r="Q22" s="581">
        <f t="shared" si="4"/>
        <v>0.33333333333333331</v>
      </c>
      <c r="S22" s="561">
        <v>0</v>
      </c>
      <c r="T22" s="561">
        <v>2</v>
      </c>
      <c r="U22" s="561">
        <v>1</v>
      </c>
      <c r="V22" s="561">
        <v>4</v>
      </c>
      <c r="W22" s="561">
        <v>2</v>
      </c>
      <c r="X22" s="561">
        <v>0</v>
      </c>
      <c r="Y22" s="561">
        <v>0</v>
      </c>
      <c r="AA22" s="561">
        <f t="shared" si="5"/>
        <v>2</v>
      </c>
      <c r="AB22" s="561">
        <f t="shared" si="6"/>
        <v>1</v>
      </c>
      <c r="AC22" s="561">
        <f t="shared" si="7"/>
        <v>4</v>
      </c>
      <c r="AD22" s="561">
        <f t="shared" si="8"/>
        <v>2</v>
      </c>
      <c r="AE22" s="561">
        <f t="shared" si="9"/>
        <v>0</v>
      </c>
    </row>
    <row r="23" spans="1:31" x14ac:dyDescent="0.25">
      <c r="A23" s="576" t="s">
        <v>42</v>
      </c>
      <c r="B23" s="577" t="s">
        <v>43</v>
      </c>
      <c r="C23" s="583" t="s">
        <v>265</v>
      </c>
      <c r="D23" s="579">
        <v>36</v>
      </c>
      <c r="E23" s="579">
        <v>25</v>
      </c>
      <c r="F23" s="579">
        <v>4</v>
      </c>
      <c r="G23" s="579">
        <v>0</v>
      </c>
      <c r="H23" s="579">
        <v>0</v>
      </c>
      <c r="I23" s="579">
        <v>0</v>
      </c>
      <c r="J23" s="579">
        <v>5</v>
      </c>
      <c r="K23" s="579">
        <v>2</v>
      </c>
      <c r="L23" s="579">
        <v>0</v>
      </c>
      <c r="M23" s="580"/>
      <c r="N23" s="580">
        <f t="shared" si="2"/>
        <v>7</v>
      </c>
      <c r="O23" s="580"/>
      <c r="P23" s="581">
        <f t="shared" si="3"/>
        <v>0.69444444444444442</v>
      </c>
      <c r="Q23" s="581">
        <f t="shared" si="4"/>
        <v>0.1111111111111111</v>
      </c>
      <c r="S23" s="561">
        <v>6</v>
      </c>
      <c r="T23" s="561">
        <v>9</v>
      </c>
      <c r="U23" s="561">
        <v>6</v>
      </c>
      <c r="V23" s="561">
        <v>7</v>
      </c>
      <c r="W23" s="561">
        <v>8</v>
      </c>
      <c r="X23" s="561">
        <v>0</v>
      </c>
      <c r="Y23" s="561">
        <v>0</v>
      </c>
      <c r="AA23" s="561">
        <f t="shared" si="5"/>
        <v>15</v>
      </c>
      <c r="AB23" s="561">
        <f t="shared" si="6"/>
        <v>6</v>
      </c>
      <c r="AC23" s="561">
        <f t="shared" si="7"/>
        <v>7</v>
      </c>
      <c r="AD23" s="561">
        <f t="shared" si="8"/>
        <v>8</v>
      </c>
      <c r="AE23" s="561">
        <f t="shared" si="9"/>
        <v>0</v>
      </c>
    </row>
    <row r="24" spans="1:31" x14ac:dyDescent="0.25">
      <c r="A24" s="576" t="s">
        <v>44</v>
      </c>
      <c r="B24" s="577" t="s">
        <v>45</v>
      </c>
      <c r="C24" s="583" t="s">
        <v>266</v>
      </c>
      <c r="D24" s="579">
        <v>25</v>
      </c>
      <c r="E24" s="579">
        <v>15</v>
      </c>
      <c r="F24" s="579">
        <v>5</v>
      </c>
      <c r="G24" s="579">
        <v>0</v>
      </c>
      <c r="H24" s="579">
        <v>0</v>
      </c>
      <c r="I24" s="579">
        <v>0</v>
      </c>
      <c r="J24" s="579">
        <v>1</v>
      </c>
      <c r="K24" s="579">
        <v>4</v>
      </c>
      <c r="L24" s="579">
        <v>0</v>
      </c>
      <c r="M24" s="580"/>
      <c r="N24" s="580">
        <f t="shared" si="2"/>
        <v>5</v>
      </c>
      <c r="O24" s="580"/>
      <c r="P24" s="581">
        <f t="shared" si="3"/>
        <v>0.6</v>
      </c>
      <c r="Q24" s="581">
        <f t="shared" si="4"/>
        <v>0.2</v>
      </c>
      <c r="S24" s="561">
        <v>0</v>
      </c>
      <c r="T24" s="561">
        <v>4</v>
      </c>
      <c r="U24" s="561">
        <v>8</v>
      </c>
      <c r="V24" s="561">
        <v>9</v>
      </c>
      <c r="W24" s="561">
        <v>4</v>
      </c>
      <c r="X24" s="561">
        <v>0</v>
      </c>
      <c r="Y24" s="561">
        <v>0</v>
      </c>
      <c r="AA24" s="561">
        <f t="shared" si="5"/>
        <v>4</v>
      </c>
      <c r="AB24" s="561">
        <f t="shared" si="6"/>
        <v>8</v>
      </c>
      <c r="AC24" s="561">
        <f t="shared" si="7"/>
        <v>9</v>
      </c>
      <c r="AD24" s="561">
        <f t="shared" si="8"/>
        <v>4</v>
      </c>
      <c r="AE24" s="561">
        <f t="shared" si="9"/>
        <v>0</v>
      </c>
    </row>
    <row r="25" spans="1:31" x14ac:dyDescent="0.25">
      <c r="A25" s="576" t="s">
        <v>46</v>
      </c>
      <c r="B25" s="577" t="s">
        <v>47</v>
      </c>
      <c r="C25" s="583" t="s">
        <v>268</v>
      </c>
      <c r="D25" s="579">
        <v>39</v>
      </c>
      <c r="E25" s="579">
        <v>30</v>
      </c>
      <c r="F25" s="579">
        <v>0</v>
      </c>
      <c r="G25" s="579">
        <v>0</v>
      </c>
      <c r="H25" s="579">
        <v>0</v>
      </c>
      <c r="I25" s="579">
        <v>0</v>
      </c>
      <c r="J25" s="579">
        <v>8</v>
      </c>
      <c r="K25" s="579">
        <v>1</v>
      </c>
      <c r="L25" s="579">
        <v>0</v>
      </c>
      <c r="M25" s="580"/>
      <c r="N25" s="580">
        <f t="shared" si="2"/>
        <v>9</v>
      </c>
      <c r="O25" s="580"/>
      <c r="P25" s="581">
        <f t="shared" si="3"/>
        <v>0.76923076923076927</v>
      </c>
      <c r="Q25" s="581">
        <f t="shared" si="4"/>
        <v>0</v>
      </c>
      <c r="S25" s="561">
        <v>2</v>
      </c>
      <c r="T25" s="561">
        <v>16</v>
      </c>
      <c r="U25" s="561">
        <v>6</v>
      </c>
      <c r="V25" s="561">
        <v>8</v>
      </c>
      <c r="W25" s="561">
        <v>7</v>
      </c>
      <c r="X25" s="561">
        <v>0</v>
      </c>
      <c r="Y25" s="561">
        <v>0</v>
      </c>
      <c r="AA25" s="561">
        <f t="shared" si="5"/>
        <v>18</v>
      </c>
      <c r="AB25" s="561">
        <f t="shared" si="6"/>
        <v>6</v>
      </c>
      <c r="AC25" s="561">
        <f t="shared" si="7"/>
        <v>8</v>
      </c>
      <c r="AD25" s="561">
        <f t="shared" si="8"/>
        <v>7</v>
      </c>
      <c r="AE25" s="561">
        <f t="shared" si="9"/>
        <v>0</v>
      </c>
    </row>
    <row r="26" spans="1:31" x14ac:dyDescent="0.25">
      <c r="A26" s="582" t="s">
        <v>48</v>
      </c>
      <c r="B26" s="577" t="s">
        <v>49</v>
      </c>
      <c r="C26" s="583" t="s">
        <v>266</v>
      </c>
      <c r="D26" s="579">
        <v>0</v>
      </c>
      <c r="E26" s="579">
        <v>0</v>
      </c>
      <c r="F26" s="579">
        <v>0</v>
      </c>
      <c r="G26" s="579">
        <v>0</v>
      </c>
      <c r="H26" s="579">
        <v>0</v>
      </c>
      <c r="I26" s="579">
        <v>0</v>
      </c>
      <c r="J26" s="579">
        <v>0</v>
      </c>
      <c r="K26" s="579">
        <v>0</v>
      </c>
      <c r="L26" s="579">
        <v>0</v>
      </c>
      <c r="M26" s="580"/>
      <c r="N26" s="580">
        <f t="shared" si="2"/>
        <v>0</v>
      </c>
      <c r="O26" s="580"/>
      <c r="P26" s="581" t="str">
        <f t="shared" si="3"/>
        <v>N/A</v>
      </c>
      <c r="Q26" s="581" t="str">
        <f t="shared" si="4"/>
        <v>N/A</v>
      </c>
      <c r="S26" s="561">
        <v>0</v>
      </c>
      <c r="T26" s="561">
        <v>0</v>
      </c>
      <c r="U26" s="561">
        <v>0</v>
      </c>
      <c r="V26" s="561">
        <v>0</v>
      </c>
      <c r="W26" s="561">
        <v>0</v>
      </c>
      <c r="X26" s="561">
        <v>0</v>
      </c>
      <c r="Y26" s="561">
        <v>0</v>
      </c>
      <c r="AA26" s="561">
        <f t="shared" si="5"/>
        <v>0</v>
      </c>
      <c r="AB26" s="561">
        <f t="shared" si="6"/>
        <v>0</v>
      </c>
      <c r="AC26" s="561">
        <f t="shared" si="7"/>
        <v>0</v>
      </c>
      <c r="AD26" s="561">
        <f t="shared" si="8"/>
        <v>0</v>
      </c>
      <c r="AE26" s="561">
        <f t="shared" si="9"/>
        <v>0</v>
      </c>
    </row>
    <row r="27" spans="1:31" x14ac:dyDescent="0.25">
      <c r="A27" s="576" t="s">
        <v>50</v>
      </c>
      <c r="B27" s="577" t="s">
        <v>51</v>
      </c>
      <c r="C27" s="583" t="s">
        <v>265</v>
      </c>
      <c r="D27" s="579">
        <v>16</v>
      </c>
      <c r="E27" s="579">
        <v>6</v>
      </c>
      <c r="F27" s="579">
        <v>3</v>
      </c>
      <c r="G27" s="579">
        <v>0</v>
      </c>
      <c r="H27" s="579">
        <v>0</v>
      </c>
      <c r="I27" s="579">
        <v>0</v>
      </c>
      <c r="J27" s="579">
        <v>0</v>
      </c>
      <c r="K27" s="579">
        <v>7</v>
      </c>
      <c r="L27" s="579">
        <v>0</v>
      </c>
      <c r="M27" s="580"/>
      <c r="N27" s="580">
        <f t="shared" si="2"/>
        <v>7</v>
      </c>
      <c r="O27" s="580"/>
      <c r="P27" s="581">
        <f t="shared" si="3"/>
        <v>0.375</v>
      </c>
      <c r="Q27" s="581">
        <f t="shared" si="4"/>
        <v>0.1875</v>
      </c>
      <c r="S27" s="561">
        <v>0</v>
      </c>
      <c r="T27" s="561">
        <v>5</v>
      </c>
      <c r="U27" s="561">
        <v>4</v>
      </c>
      <c r="V27" s="561">
        <v>4</v>
      </c>
      <c r="W27" s="561">
        <v>3</v>
      </c>
      <c r="X27" s="561">
        <v>0</v>
      </c>
      <c r="Y27" s="561">
        <v>0</v>
      </c>
      <c r="AA27" s="561">
        <f t="shared" si="5"/>
        <v>5</v>
      </c>
      <c r="AB27" s="561">
        <f t="shared" si="6"/>
        <v>4</v>
      </c>
      <c r="AC27" s="561">
        <f t="shared" si="7"/>
        <v>4</v>
      </c>
      <c r="AD27" s="561">
        <f t="shared" si="8"/>
        <v>3</v>
      </c>
      <c r="AE27" s="561">
        <f t="shared" si="9"/>
        <v>0</v>
      </c>
    </row>
    <row r="28" spans="1:31" x14ac:dyDescent="0.25">
      <c r="A28" s="576" t="s">
        <v>52</v>
      </c>
      <c r="B28" s="577" t="s">
        <v>53</v>
      </c>
      <c r="C28" s="583" t="s">
        <v>265</v>
      </c>
      <c r="D28" s="579">
        <v>96</v>
      </c>
      <c r="E28" s="579">
        <v>11</v>
      </c>
      <c r="F28" s="579">
        <v>49</v>
      </c>
      <c r="G28" s="579">
        <v>1</v>
      </c>
      <c r="H28" s="579">
        <v>0</v>
      </c>
      <c r="I28" s="579">
        <v>0</v>
      </c>
      <c r="J28" s="579">
        <v>8</v>
      </c>
      <c r="K28" s="579">
        <v>26</v>
      </c>
      <c r="L28" s="579">
        <v>1</v>
      </c>
      <c r="M28" s="580"/>
      <c r="N28" s="580">
        <f t="shared" si="2"/>
        <v>35</v>
      </c>
      <c r="O28" s="580"/>
      <c r="P28" s="581">
        <f t="shared" si="3"/>
        <v>0.11458333333333333</v>
      </c>
      <c r="Q28" s="581">
        <f t="shared" si="4"/>
        <v>0.51041666666666663</v>
      </c>
      <c r="S28" s="561">
        <v>7</v>
      </c>
      <c r="T28" s="561">
        <v>27</v>
      </c>
      <c r="U28" s="561">
        <v>26</v>
      </c>
      <c r="V28" s="561">
        <v>22</v>
      </c>
      <c r="W28" s="561">
        <v>14</v>
      </c>
      <c r="X28" s="561">
        <v>0</v>
      </c>
      <c r="Y28" s="561">
        <v>0</v>
      </c>
      <c r="AA28" s="561">
        <f t="shared" si="5"/>
        <v>34</v>
      </c>
      <c r="AB28" s="561">
        <f t="shared" si="6"/>
        <v>26</v>
      </c>
      <c r="AC28" s="561">
        <f t="shared" si="7"/>
        <v>22</v>
      </c>
      <c r="AD28" s="561">
        <f t="shared" si="8"/>
        <v>14</v>
      </c>
      <c r="AE28" s="561">
        <f t="shared" si="9"/>
        <v>0</v>
      </c>
    </row>
    <row r="29" spans="1:31" x14ac:dyDescent="0.25">
      <c r="A29" s="576" t="s">
        <v>54</v>
      </c>
      <c r="B29" s="577" t="s">
        <v>55</v>
      </c>
      <c r="C29" s="583" t="s">
        <v>264</v>
      </c>
      <c r="D29" s="579">
        <v>48</v>
      </c>
      <c r="E29" s="579">
        <v>24</v>
      </c>
      <c r="F29" s="579">
        <v>19</v>
      </c>
      <c r="G29" s="579">
        <v>0</v>
      </c>
      <c r="H29" s="579">
        <v>0</v>
      </c>
      <c r="I29" s="579">
        <v>0</v>
      </c>
      <c r="J29" s="579">
        <v>3</v>
      </c>
      <c r="K29" s="579">
        <v>2</v>
      </c>
      <c r="L29" s="579">
        <v>0</v>
      </c>
      <c r="M29" s="580"/>
      <c r="N29" s="580">
        <f t="shared" si="2"/>
        <v>5</v>
      </c>
      <c r="O29" s="580"/>
      <c r="P29" s="581">
        <f t="shared" si="3"/>
        <v>0.5</v>
      </c>
      <c r="Q29" s="581">
        <f t="shared" si="4"/>
        <v>0.39583333333333331</v>
      </c>
      <c r="S29" s="561">
        <v>0</v>
      </c>
      <c r="T29" s="561">
        <v>5</v>
      </c>
      <c r="U29" s="561">
        <v>16</v>
      </c>
      <c r="V29" s="561">
        <v>15</v>
      </c>
      <c r="W29" s="561">
        <v>12</v>
      </c>
      <c r="X29" s="561">
        <v>0</v>
      </c>
      <c r="Y29" s="561">
        <v>0</v>
      </c>
      <c r="AA29" s="561">
        <f t="shared" si="5"/>
        <v>5</v>
      </c>
      <c r="AB29" s="561">
        <f t="shared" si="6"/>
        <v>16</v>
      </c>
      <c r="AC29" s="561">
        <f t="shared" si="7"/>
        <v>15</v>
      </c>
      <c r="AD29" s="561">
        <f t="shared" si="8"/>
        <v>12</v>
      </c>
      <c r="AE29" s="561">
        <f t="shared" si="9"/>
        <v>0</v>
      </c>
    </row>
    <row r="30" spans="1:31" x14ac:dyDescent="0.25">
      <c r="A30" s="576" t="s">
        <v>56</v>
      </c>
      <c r="B30" s="577" t="s">
        <v>57</v>
      </c>
      <c r="C30" s="583" t="s">
        <v>266</v>
      </c>
      <c r="D30" s="579">
        <v>89</v>
      </c>
      <c r="E30" s="579">
        <v>53</v>
      </c>
      <c r="F30" s="579">
        <v>12</v>
      </c>
      <c r="G30" s="579">
        <v>4</v>
      </c>
      <c r="H30" s="579">
        <v>0</v>
      </c>
      <c r="I30" s="579">
        <v>0</v>
      </c>
      <c r="J30" s="579">
        <v>10</v>
      </c>
      <c r="K30" s="579">
        <v>8</v>
      </c>
      <c r="L30" s="579">
        <v>2</v>
      </c>
      <c r="M30" s="580"/>
      <c r="N30" s="580">
        <f t="shared" si="2"/>
        <v>22</v>
      </c>
      <c r="O30" s="580"/>
      <c r="P30" s="581">
        <f t="shared" si="3"/>
        <v>0.5955056179775281</v>
      </c>
      <c r="Q30" s="581">
        <f t="shared" si="4"/>
        <v>0.1348314606741573</v>
      </c>
      <c r="S30" s="561">
        <v>3</v>
      </c>
      <c r="T30" s="561">
        <v>19</v>
      </c>
      <c r="U30" s="561">
        <v>14</v>
      </c>
      <c r="V30" s="561">
        <v>34</v>
      </c>
      <c r="W30" s="561">
        <v>19</v>
      </c>
      <c r="X30" s="561">
        <v>0</v>
      </c>
      <c r="Y30" s="561">
        <v>0</v>
      </c>
      <c r="AA30" s="561">
        <f t="shared" si="5"/>
        <v>22</v>
      </c>
      <c r="AB30" s="561">
        <f t="shared" si="6"/>
        <v>14</v>
      </c>
      <c r="AC30" s="561">
        <f t="shared" si="7"/>
        <v>34</v>
      </c>
      <c r="AD30" s="561">
        <f t="shared" si="8"/>
        <v>19</v>
      </c>
      <c r="AE30" s="561">
        <f t="shared" si="9"/>
        <v>0</v>
      </c>
    </row>
    <row r="31" spans="1:31" x14ac:dyDescent="0.25">
      <c r="A31" s="576" t="s">
        <v>58</v>
      </c>
      <c r="B31" s="577" t="s">
        <v>59</v>
      </c>
      <c r="C31" s="583" t="s">
        <v>267</v>
      </c>
      <c r="D31" s="579">
        <v>10</v>
      </c>
      <c r="E31" s="579">
        <v>10</v>
      </c>
      <c r="F31" s="579">
        <v>0</v>
      </c>
      <c r="G31" s="579">
        <v>0</v>
      </c>
      <c r="H31" s="579">
        <v>0</v>
      </c>
      <c r="I31" s="579">
        <v>0</v>
      </c>
      <c r="J31" s="579">
        <v>0</v>
      </c>
      <c r="K31" s="579">
        <v>0</v>
      </c>
      <c r="L31" s="579">
        <v>0</v>
      </c>
      <c r="M31" s="580"/>
      <c r="N31" s="580">
        <f t="shared" si="2"/>
        <v>0</v>
      </c>
      <c r="O31" s="580"/>
      <c r="P31" s="581">
        <f t="shared" si="3"/>
        <v>1</v>
      </c>
      <c r="Q31" s="581">
        <f t="shared" si="4"/>
        <v>0</v>
      </c>
      <c r="S31" s="561">
        <v>0</v>
      </c>
      <c r="T31" s="561">
        <v>4</v>
      </c>
      <c r="U31" s="561">
        <v>3</v>
      </c>
      <c r="V31" s="561">
        <v>1</v>
      </c>
      <c r="W31" s="561">
        <v>2</v>
      </c>
      <c r="X31" s="561">
        <v>0</v>
      </c>
      <c r="Y31" s="561">
        <v>0</v>
      </c>
      <c r="AA31" s="561">
        <f t="shared" si="5"/>
        <v>4</v>
      </c>
      <c r="AB31" s="561">
        <f t="shared" si="6"/>
        <v>3</v>
      </c>
      <c r="AC31" s="561">
        <f t="shared" si="7"/>
        <v>1</v>
      </c>
      <c r="AD31" s="561">
        <f t="shared" si="8"/>
        <v>2</v>
      </c>
      <c r="AE31" s="561">
        <f t="shared" si="9"/>
        <v>0</v>
      </c>
    </row>
    <row r="32" spans="1:31" x14ac:dyDescent="0.25">
      <c r="A32" s="582" t="s">
        <v>60</v>
      </c>
      <c r="B32" s="577" t="s">
        <v>61</v>
      </c>
      <c r="C32" s="583" t="s">
        <v>265</v>
      </c>
      <c r="D32" s="579">
        <v>9</v>
      </c>
      <c r="E32" s="579">
        <v>8</v>
      </c>
      <c r="F32" s="579">
        <v>0</v>
      </c>
      <c r="G32" s="579">
        <v>0</v>
      </c>
      <c r="H32" s="579">
        <v>0</v>
      </c>
      <c r="I32" s="579">
        <v>0</v>
      </c>
      <c r="J32" s="579">
        <v>0</v>
      </c>
      <c r="K32" s="579">
        <v>1</v>
      </c>
      <c r="L32" s="579">
        <v>0</v>
      </c>
      <c r="M32" s="580"/>
      <c r="N32" s="580">
        <f t="shared" si="2"/>
        <v>1</v>
      </c>
      <c r="O32" s="580"/>
      <c r="P32" s="581">
        <f t="shared" si="3"/>
        <v>0.88888888888888884</v>
      </c>
      <c r="Q32" s="581">
        <f t="shared" si="4"/>
        <v>0</v>
      </c>
      <c r="S32" s="561">
        <v>0</v>
      </c>
      <c r="T32" s="561">
        <v>2</v>
      </c>
      <c r="U32" s="561">
        <v>3</v>
      </c>
      <c r="V32" s="561">
        <v>3</v>
      </c>
      <c r="W32" s="561">
        <v>1</v>
      </c>
      <c r="X32" s="561">
        <v>0</v>
      </c>
      <c r="Y32" s="561">
        <v>0</v>
      </c>
      <c r="AA32" s="561">
        <f t="shared" si="5"/>
        <v>2</v>
      </c>
      <c r="AB32" s="561">
        <f t="shared" si="6"/>
        <v>3</v>
      </c>
      <c r="AC32" s="561">
        <f t="shared" si="7"/>
        <v>3</v>
      </c>
      <c r="AD32" s="561">
        <f t="shared" si="8"/>
        <v>1</v>
      </c>
      <c r="AE32" s="561">
        <f t="shared" si="9"/>
        <v>0</v>
      </c>
    </row>
    <row r="33" spans="1:31" x14ac:dyDescent="0.25">
      <c r="A33" s="576" t="s">
        <v>62</v>
      </c>
      <c r="B33" s="577" t="s">
        <v>63</v>
      </c>
      <c r="C33" s="583" t="s">
        <v>267</v>
      </c>
      <c r="D33" s="579">
        <v>44</v>
      </c>
      <c r="E33" s="579">
        <v>20</v>
      </c>
      <c r="F33" s="579">
        <v>13</v>
      </c>
      <c r="G33" s="579">
        <v>0</v>
      </c>
      <c r="H33" s="579">
        <v>0</v>
      </c>
      <c r="I33" s="579">
        <v>0</v>
      </c>
      <c r="J33" s="579">
        <v>3</v>
      </c>
      <c r="K33" s="579">
        <v>8</v>
      </c>
      <c r="L33" s="579">
        <v>0</v>
      </c>
      <c r="M33" s="580"/>
      <c r="N33" s="580">
        <f t="shared" si="2"/>
        <v>11</v>
      </c>
      <c r="O33" s="580"/>
      <c r="P33" s="581">
        <f t="shared" si="3"/>
        <v>0.45454545454545453</v>
      </c>
      <c r="Q33" s="581">
        <f t="shared" si="4"/>
        <v>0.29545454545454547</v>
      </c>
      <c r="S33" s="561">
        <v>4</v>
      </c>
      <c r="T33" s="561">
        <v>6</v>
      </c>
      <c r="U33" s="561">
        <v>8</v>
      </c>
      <c r="V33" s="561">
        <v>12</v>
      </c>
      <c r="W33" s="561">
        <v>14</v>
      </c>
      <c r="X33" s="561">
        <v>0</v>
      </c>
      <c r="Y33" s="561">
        <v>0</v>
      </c>
      <c r="AA33" s="561">
        <f t="shared" si="5"/>
        <v>10</v>
      </c>
      <c r="AB33" s="561">
        <f t="shared" si="6"/>
        <v>8</v>
      </c>
      <c r="AC33" s="561">
        <f t="shared" si="7"/>
        <v>12</v>
      </c>
      <c r="AD33" s="561">
        <f t="shared" si="8"/>
        <v>14</v>
      </c>
      <c r="AE33" s="561">
        <f t="shared" si="9"/>
        <v>0</v>
      </c>
    </row>
    <row r="34" spans="1:31" x14ac:dyDescent="0.25">
      <c r="A34" s="576" t="s">
        <v>64</v>
      </c>
      <c r="B34" s="577" t="s">
        <v>65</v>
      </c>
      <c r="C34" s="583" t="s">
        <v>266</v>
      </c>
      <c r="D34" s="579">
        <v>4</v>
      </c>
      <c r="E34" s="579">
        <v>4</v>
      </c>
      <c r="F34" s="579">
        <v>0</v>
      </c>
      <c r="G34" s="579">
        <v>0</v>
      </c>
      <c r="H34" s="579">
        <v>0</v>
      </c>
      <c r="I34" s="579">
        <v>0</v>
      </c>
      <c r="J34" s="579">
        <v>0</v>
      </c>
      <c r="K34" s="579">
        <v>0</v>
      </c>
      <c r="L34" s="579">
        <v>0</v>
      </c>
      <c r="M34" s="580"/>
      <c r="N34" s="580">
        <f t="shared" si="2"/>
        <v>0</v>
      </c>
      <c r="O34" s="580"/>
      <c r="P34" s="581">
        <f t="shared" si="3"/>
        <v>1</v>
      </c>
      <c r="Q34" s="581">
        <f t="shared" si="4"/>
        <v>0</v>
      </c>
      <c r="S34" s="561">
        <v>0</v>
      </c>
      <c r="T34" s="561">
        <v>1</v>
      </c>
      <c r="U34" s="561">
        <v>1</v>
      </c>
      <c r="V34" s="561">
        <v>1</v>
      </c>
      <c r="W34" s="561">
        <v>1</v>
      </c>
      <c r="X34" s="561">
        <v>0</v>
      </c>
      <c r="Y34" s="561">
        <v>0</v>
      </c>
      <c r="AA34" s="561">
        <f t="shared" si="5"/>
        <v>1</v>
      </c>
      <c r="AB34" s="561">
        <f t="shared" si="6"/>
        <v>1</v>
      </c>
      <c r="AC34" s="561">
        <f t="shared" si="7"/>
        <v>1</v>
      </c>
      <c r="AD34" s="561">
        <f t="shared" si="8"/>
        <v>1</v>
      </c>
      <c r="AE34" s="561">
        <f t="shared" si="9"/>
        <v>0</v>
      </c>
    </row>
    <row r="35" spans="1:31" x14ac:dyDescent="0.25">
      <c r="A35" s="576" t="s">
        <v>66</v>
      </c>
      <c r="B35" s="577" t="s">
        <v>67</v>
      </c>
      <c r="C35" s="583" t="s">
        <v>265</v>
      </c>
      <c r="D35" s="579">
        <v>42</v>
      </c>
      <c r="E35" s="579">
        <v>7</v>
      </c>
      <c r="F35" s="579">
        <v>25</v>
      </c>
      <c r="G35" s="579">
        <v>0</v>
      </c>
      <c r="H35" s="579">
        <v>0</v>
      </c>
      <c r="I35" s="579">
        <v>0</v>
      </c>
      <c r="J35" s="579">
        <v>2</v>
      </c>
      <c r="K35" s="579">
        <v>7</v>
      </c>
      <c r="L35" s="579">
        <v>1</v>
      </c>
      <c r="M35" s="580"/>
      <c r="N35" s="580">
        <f t="shared" si="2"/>
        <v>9</v>
      </c>
      <c r="O35" s="580"/>
      <c r="P35" s="581">
        <f t="shared" si="3"/>
        <v>0.16666666666666666</v>
      </c>
      <c r="Q35" s="581">
        <f t="shared" si="4"/>
        <v>0.59523809523809523</v>
      </c>
      <c r="S35" s="561">
        <v>1</v>
      </c>
      <c r="T35" s="561">
        <v>6</v>
      </c>
      <c r="U35" s="561">
        <v>8</v>
      </c>
      <c r="V35" s="561">
        <v>11</v>
      </c>
      <c r="W35" s="561">
        <v>16</v>
      </c>
      <c r="X35" s="561">
        <v>0</v>
      </c>
      <c r="Y35" s="561">
        <v>0</v>
      </c>
      <c r="AA35" s="561">
        <f t="shared" si="5"/>
        <v>7</v>
      </c>
      <c r="AB35" s="561">
        <f t="shared" si="6"/>
        <v>8</v>
      </c>
      <c r="AC35" s="561">
        <f t="shared" si="7"/>
        <v>11</v>
      </c>
      <c r="AD35" s="561">
        <f t="shared" si="8"/>
        <v>16</v>
      </c>
      <c r="AE35" s="561">
        <f t="shared" si="9"/>
        <v>0</v>
      </c>
    </row>
    <row r="36" spans="1:31" x14ac:dyDescent="0.25">
      <c r="A36" s="576" t="s">
        <v>68</v>
      </c>
      <c r="B36" s="577" t="s">
        <v>69</v>
      </c>
      <c r="C36" s="583" t="s">
        <v>268</v>
      </c>
      <c r="D36" s="579">
        <v>41</v>
      </c>
      <c r="E36" s="579">
        <v>41</v>
      </c>
      <c r="F36" s="579">
        <v>0</v>
      </c>
      <c r="G36" s="579">
        <v>0</v>
      </c>
      <c r="H36" s="579">
        <v>0</v>
      </c>
      <c r="I36" s="579">
        <v>0</v>
      </c>
      <c r="J36" s="579">
        <v>0</v>
      </c>
      <c r="K36" s="579">
        <v>0</v>
      </c>
      <c r="L36" s="579">
        <v>0</v>
      </c>
      <c r="M36" s="580"/>
      <c r="N36" s="580">
        <f t="shared" si="2"/>
        <v>0</v>
      </c>
      <c r="O36" s="580"/>
      <c r="P36" s="581">
        <f t="shared" si="3"/>
        <v>1</v>
      </c>
      <c r="Q36" s="581">
        <f t="shared" si="4"/>
        <v>0</v>
      </c>
      <c r="S36" s="561">
        <v>3</v>
      </c>
      <c r="T36" s="561">
        <v>6</v>
      </c>
      <c r="U36" s="561">
        <v>12</v>
      </c>
      <c r="V36" s="561">
        <v>11</v>
      </c>
      <c r="W36" s="561">
        <v>9</v>
      </c>
      <c r="X36" s="561">
        <v>0</v>
      </c>
      <c r="Y36" s="561">
        <v>0</v>
      </c>
      <c r="AA36" s="561">
        <f t="shared" si="5"/>
        <v>9</v>
      </c>
      <c r="AB36" s="561">
        <f t="shared" si="6"/>
        <v>12</v>
      </c>
      <c r="AC36" s="561">
        <f t="shared" si="7"/>
        <v>11</v>
      </c>
      <c r="AD36" s="561">
        <f t="shared" si="8"/>
        <v>9</v>
      </c>
      <c r="AE36" s="561">
        <f t="shared" si="9"/>
        <v>0</v>
      </c>
    </row>
    <row r="37" spans="1:31" x14ac:dyDescent="0.25">
      <c r="A37" s="576" t="s">
        <v>70</v>
      </c>
      <c r="B37" s="577" t="s">
        <v>71</v>
      </c>
      <c r="C37" s="583" t="s">
        <v>264</v>
      </c>
      <c r="D37" s="579">
        <v>21</v>
      </c>
      <c r="E37" s="579">
        <v>8</v>
      </c>
      <c r="F37" s="579">
        <v>13</v>
      </c>
      <c r="G37" s="579">
        <v>0</v>
      </c>
      <c r="H37" s="579">
        <v>0</v>
      </c>
      <c r="I37" s="579">
        <v>0</v>
      </c>
      <c r="J37" s="579">
        <v>0</v>
      </c>
      <c r="K37" s="579">
        <v>0</v>
      </c>
      <c r="L37" s="579">
        <v>0</v>
      </c>
      <c r="M37" s="580"/>
      <c r="N37" s="580">
        <f t="shared" si="2"/>
        <v>0</v>
      </c>
      <c r="O37" s="580"/>
      <c r="P37" s="581">
        <f t="shared" si="3"/>
        <v>0.38095238095238093</v>
      </c>
      <c r="Q37" s="581">
        <f t="shared" si="4"/>
        <v>0.61904761904761907</v>
      </c>
      <c r="S37" s="561">
        <v>3</v>
      </c>
      <c r="T37" s="561">
        <v>6</v>
      </c>
      <c r="U37" s="561">
        <v>5</v>
      </c>
      <c r="V37" s="561">
        <v>4</v>
      </c>
      <c r="W37" s="561">
        <v>3</v>
      </c>
      <c r="X37" s="561">
        <v>0</v>
      </c>
      <c r="Y37" s="561">
        <v>0</v>
      </c>
      <c r="AA37" s="561">
        <f t="shared" si="5"/>
        <v>9</v>
      </c>
      <c r="AB37" s="561">
        <f t="shared" si="6"/>
        <v>5</v>
      </c>
      <c r="AC37" s="561">
        <f t="shared" si="7"/>
        <v>4</v>
      </c>
      <c r="AD37" s="561">
        <f t="shared" si="8"/>
        <v>3</v>
      </c>
      <c r="AE37" s="561">
        <f t="shared" si="9"/>
        <v>0</v>
      </c>
    </row>
    <row r="38" spans="1:31" x14ac:dyDescent="0.25">
      <c r="A38" s="576" t="s">
        <v>72</v>
      </c>
      <c r="B38" s="577" t="s">
        <v>73</v>
      </c>
      <c r="C38" s="583" t="s">
        <v>266</v>
      </c>
      <c r="D38" s="579">
        <v>12</v>
      </c>
      <c r="E38" s="579">
        <v>3</v>
      </c>
      <c r="F38" s="579">
        <v>8</v>
      </c>
      <c r="G38" s="579">
        <v>0</v>
      </c>
      <c r="H38" s="579">
        <v>0</v>
      </c>
      <c r="I38" s="579">
        <v>0</v>
      </c>
      <c r="J38" s="579">
        <v>0</v>
      </c>
      <c r="K38" s="579">
        <v>1</v>
      </c>
      <c r="L38" s="579">
        <v>0</v>
      </c>
      <c r="M38" s="580"/>
      <c r="N38" s="580">
        <f t="shared" ref="N38:N69" si="10">SUM(G38:K38)</f>
        <v>1</v>
      </c>
      <c r="O38" s="580"/>
      <c r="P38" s="581">
        <f t="shared" ref="P38:P69" si="11">IF(D38=0,"N/A",+E38/D38)</f>
        <v>0.25</v>
      </c>
      <c r="Q38" s="581">
        <f t="shared" ref="Q38:Q69" si="12">IF(D38=0,"N/A",+F38/D38)</f>
        <v>0.66666666666666663</v>
      </c>
      <c r="S38" s="561">
        <v>0</v>
      </c>
      <c r="T38" s="561">
        <v>1</v>
      </c>
      <c r="U38" s="561">
        <v>2</v>
      </c>
      <c r="V38" s="561">
        <v>7</v>
      </c>
      <c r="W38" s="561">
        <v>2</v>
      </c>
      <c r="X38" s="561">
        <v>0</v>
      </c>
      <c r="Y38" s="561">
        <v>0</v>
      </c>
      <c r="AA38" s="561">
        <f t="shared" si="5"/>
        <v>1</v>
      </c>
      <c r="AB38" s="561">
        <f t="shared" si="6"/>
        <v>2</v>
      </c>
      <c r="AC38" s="561">
        <f t="shared" si="7"/>
        <v>7</v>
      </c>
      <c r="AD38" s="561">
        <f t="shared" si="8"/>
        <v>2</v>
      </c>
      <c r="AE38" s="561">
        <f t="shared" si="9"/>
        <v>0</v>
      </c>
    </row>
    <row r="39" spans="1:31" x14ac:dyDescent="0.25">
      <c r="A39" s="576" t="s">
        <v>74</v>
      </c>
      <c r="B39" s="577" t="s">
        <v>75</v>
      </c>
      <c r="C39" s="583" t="s">
        <v>267</v>
      </c>
      <c r="D39" s="579">
        <v>223</v>
      </c>
      <c r="E39" s="579">
        <v>37</v>
      </c>
      <c r="F39" s="579">
        <v>68</v>
      </c>
      <c r="G39" s="579">
        <v>14</v>
      </c>
      <c r="H39" s="579">
        <v>0</v>
      </c>
      <c r="I39" s="579">
        <v>0</v>
      </c>
      <c r="J39" s="579">
        <v>84</v>
      </c>
      <c r="K39" s="579">
        <v>17</v>
      </c>
      <c r="L39" s="579">
        <v>3</v>
      </c>
      <c r="M39" s="580"/>
      <c r="N39" s="580">
        <f t="shared" si="10"/>
        <v>115</v>
      </c>
      <c r="O39" s="580"/>
      <c r="P39" s="581">
        <f t="shared" si="11"/>
        <v>0.16591928251121077</v>
      </c>
      <c r="Q39" s="581">
        <f t="shared" si="12"/>
        <v>0.30493273542600896</v>
      </c>
      <c r="S39" s="561">
        <v>11</v>
      </c>
      <c r="T39" s="561">
        <v>54</v>
      </c>
      <c r="U39" s="561">
        <v>66</v>
      </c>
      <c r="V39" s="561">
        <v>48</v>
      </c>
      <c r="W39" s="561">
        <v>44</v>
      </c>
      <c r="X39" s="561">
        <v>0</v>
      </c>
      <c r="Y39" s="561">
        <v>0</v>
      </c>
      <c r="AA39" s="561">
        <f t="shared" si="5"/>
        <v>65</v>
      </c>
      <c r="AB39" s="561">
        <f t="shared" si="6"/>
        <v>66</v>
      </c>
      <c r="AC39" s="561">
        <f t="shared" si="7"/>
        <v>48</v>
      </c>
      <c r="AD39" s="561">
        <f t="shared" si="8"/>
        <v>44</v>
      </c>
      <c r="AE39" s="561">
        <f t="shared" si="9"/>
        <v>0</v>
      </c>
    </row>
    <row r="40" spans="1:31" x14ac:dyDescent="0.25">
      <c r="A40" s="576" t="s">
        <v>76</v>
      </c>
      <c r="B40" s="577" t="s">
        <v>77</v>
      </c>
      <c r="C40" s="583" t="s">
        <v>267</v>
      </c>
      <c r="D40" s="579">
        <v>46</v>
      </c>
      <c r="E40" s="579">
        <v>19</v>
      </c>
      <c r="F40" s="579">
        <v>10</v>
      </c>
      <c r="G40" s="579">
        <v>0</v>
      </c>
      <c r="H40" s="579">
        <v>0</v>
      </c>
      <c r="I40" s="579">
        <v>0</v>
      </c>
      <c r="J40" s="579">
        <v>6</v>
      </c>
      <c r="K40" s="579">
        <v>11</v>
      </c>
      <c r="L40" s="579">
        <v>0</v>
      </c>
      <c r="M40" s="580"/>
      <c r="N40" s="580">
        <f t="shared" si="10"/>
        <v>17</v>
      </c>
      <c r="O40" s="580"/>
      <c r="P40" s="581">
        <f t="shared" si="11"/>
        <v>0.41304347826086957</v>
      </c>
      <c r="Q40" s="581">
        <f t="shared" si="12"/>
        <v>0.21739130434782608</v>
      </c>
      <c r="S40" s="561">
        <v>5</v>
      </c>
      <c r="T40" s="561">
        <v>15</v>
      </c>
      <c r="U40" s="561">
        <v>10</v>
      </c>
      <c r="V40" s="561">
        <v>11</v>
      </c>
      <c r="W40" s="561">
        <v>5</v>
      </c>
      <c r="X40" s="561">
        <v>0</v>
      </c>
      <c r="Y40" s="561">
        <v>0</v>
      </c>
      <c r="AA40" s="561">
        <f t="shared" si="5"/>
        <v>20</v>
      </c>
      <c r="AB40" s="561">
        <f t="shared" si="6"/>
        <v>10</v>
      </c>
      <c r="AC40" s="561">
        <f t="shared" si="7"/>
        <v>11</v>
      </c>
      <c r="AD40" s="561">
        <f t="shared" si="8"/>
        <v>5</v>
      </c>
      <c r="AE40" s="561">
        <f t="shared" si="9"/>
        <v>0</v>
      </c>
    </row>
    <row r="41" spans="1:31" x14ac:dyDescent="0.25">
      <c r="A41" s="576" t="s">
        <v>78</v>
      </c>
      <c r="B41" s="577" t="s">
        <v>79</v>
      </c>
      <c r="C41" s="583" t="s">
        <v>268</v>
      </c>
      <c r="D41" s="579">
        <v>9</v>
      </c>
      <c r="E41" s="579">
        <v>8</v>
      </c>
      <c r="F41" s="579">
        <v>0</v>
      </c>
      <c r="G41" s="579">
        <v>0</v>
      </c>
      <c r="H41" s="579">
        <v>0</v>
      </c>
      <c r="I41" s="579">
        <v>0</v>
      </c>
      <c r="J41" s="579">
        <v>0</v>
      </c>
      <c r="K41" s="579">
        <v>1</v>
      </c>
      <c r="L41" s="579">
        <v>0</v>
      </c>
      <c r="M41" s="580"/>
      <c r="N41" s="580">
        <f t="shared" si="10"/>
        <v>1</v>
      </c>
      <c r="O41" s="580"/>
      <c r="P41" s="581">
        <f t="shared" si="11"/>
        <v>0.88888888888888884</v>
      </c>
      <c r="Q41" s="581">
        <f t="shared" si="12"/>
        <v>0</v>
      </c>
      <c r="S41" s="561">
        <v>1</v>
      </c>
      <c r="T41" s="561">
        <v>3</v>
      </c>
      <c r="U41" s="561">
        <v>0</v>
      </c>
      <c r="V41" s="561">
        <v>1</v>
      </c>
      <c r="W41" s="561">
        <v>4</v>
      </c>
      <c r="X41" s="561">
        <v>0</v>
      </c>
      <c r="Y41" s="561">
        <v>0</v>
      </c>
      <c r="AA41" s="561">
        <f t="shared" si="5"/>
        <v>4</v>
      </c>
      <c r="AB41" s="561">
        <f t="shared" si="6"/>
        <v>0</v>
      </c>
      <c r="AC41" s="561">
        <f t="shared" si="7"/>
        <v>1</v>
      </c>
      <c r="AD41" s="561">
        <f t="shared" si="8"/>
        <v>4</v>
      </c>
      <c r="AE41" s="561">
        <f t="shared" si="9"/>
        <v>0</v>
      </c>
    </row>
    <row r="42" spans="1:31" x14ac:dyDescent="0.25">
      <c r="A42" s="576" t="s">
        <v>80</v>
      </c>
      <c r="B42" s="577" t="s">
        <v>81</v>
      </c>
      <c r="C42" s="583" t="s">
        <v>266</v>
      </c>
      <c r="D42" s="579">
        <v>13</v>
      </c>
      <c r="E42" s="579">
        <v>7</v>
      </c>
      <c r="F42" s="579">
        <v>2</v>
      </c>
      <c r="G42" s="579">
        <v>0</v>
      </c>
      <c r="H42" s="579">
        <v>0</v>
      </c>
      <c r="I42" s="579">
        <v>0</v>
      </c>
      <c r="J42" s="579">
        <v>3</v>
      </c>
      <c r="K42" s="579">
        <v>1</v>
      </c>
      <c r="L42" s="579">
        <v>0</v>
      </c>
      <c r="M42" s="580"/>
      <c r="N42" s="580">
        <f t="shared" si="10"/>
        <v>4</v>
      </c>
      <c r="O42" s="580"/>
      <c r="P42" s="581">
        <f t="shared" si="11"/>
        <v>0.53846153846153844</v>
      </c>
      <c r="Q42" s="581">
        <f t="shared" si="12"/>
        <v>0.15384615384615385</v>
      </c>
      <c r="S42" s="561">
        <v>0</v>
      </c>
      <c r="T42" s="561">
        <v>4</v>
      </c>
      <c r="U42" s="561">
        <v>0</v>
      </c>
      <c r="V42" s="561">
        <v>5</v>
      </c>
      <c r="W42" s="561">
        <v>4</v>
      </c>
      <c r="X42" s="561">
        <v>0</v>
      </c>
      <c r="Y42" s="561">
        <v>0</v>
      </c>
      <c r="AA42" s="561">
        <f t="shared" si="5"/>
        <v>4</v>
      </c>
      <c r="AB42" s="561">
        <f t="shared" si="6"/>
        <v>0</v>
      </c>
      <c r="AC42" s="561">
        <f t="shared" si="7"/>
        <v>5</v>
      </c>
      <c r="AD42" s="561">
        <f t="shared" si="8"/>
        <v>4</v>
      </c>
      <c r="AE42" s="561">
        <f t="shared" si="9"/>
        <v>0</v>
      </c>
    </row>
    <row r="43" spans="1:31" x14ac:dyDescent="0.25">
      <c r="A43" s="576" t="s">
        <v>82</v>
      </c>
      <c r="B43" s="577" t="s">
        <v>83</v>
      </c>
      <c r="C43" s="583" t="s">
        <v>264</v>
      </c>
      <c r="D43" s="579">
        <v>4</v>
      </c>
      <c r="E43" s="579">
        <v>2</v>
      </c>
      <c r="F43" s="579">
        <v>1</v>
      </c>
      <c r="G43" s="579">
        <v>0</v>
      </c>
      <c r="H43" s="579">
        <v>0</v>
      </c>
      <c r="I43" s="579">
        <v>0</v>
      </c>
      <c r="J43" s="579">
        <v>0</v>
      </c>
      <c r="K43" s="579">
        <v>1</v>
      </c>
      <c r="L43" s="579">
        <v>0</v>
      </c>
      <c r="M43" s="580"/>
      <c r="N43" s="580">
        <f t="shared" si="10"/>
        <v>1</v>
      </c>
      <c r="O43" s="580"/>
      <c r="P43" s="581">
        <f t="shared" si="11"/>
        <v>0.5</v>
      </c>
      <c r="Q43" s="581">
        <f t="shared" si="12"/>
        <v>0.25</v>
      </c>
      <c r="S43" s="561">
        <v>0</v>
      </c>
      <c r="T43" s="561">
        <v>2</v>
      </c>
      <c r="U43" s="561">
        <v>0</v>
      </c>
      <c r="V43" s="561">
        <v>2</v>
      </c>
      <c r="W43" s="561">
        <v>0</v>
      </c>
      <c r="X43" s="561">
        <v>0</v>
      </c>
      <c r="Y43" s="561">
        <v>0</v>
      </c>
      <c r="AA43" s="561">
        <f t="shared" si="5"/>
        <v>2</v>
      </c>
      <c r="AB43" s="561">
        <f t="shared" si="6"/>
        <v>0</v>
      </c>
      <c r="AC43" s="561">
        <f t="shared" si="7"/>
        <v>2</v>
      </c>
      <c r="AD43" s="561">
        <f t="shared" si="8"/>
        <v>0</v>
      </c>
      <c r="AE43" s="561">
        <f t="shared" si="9"/>
        <v>0</v>
      </c>
    </row>
    <row r="44" spans="1:31" x14ac:dyDescent="0.25">
      <c r="A44" s="576" t="s">
        <v>84</v>
      </c>
      <c r="B44" s="577" t="s">
        <v>85</v>
      </c>
      <c r="C44" s="583" t="s">
        <v>265</v>
      </c>
      <c r="D44" s="579">
        <v>55</v>
      </c>
      <c r="E44" s="579">
        <v>33</v>
      </c>
      <c r="F44" s="579">
        <v>1</v>
      </c>
      <c r="G44" s="579">
        <v>0</v>
      </c>
      <c r="H44" s="579">
        <v>0</v>
      </c>
      <c r="I44" s="579">
        <v>0</v>
      </c>
      <c r="J44" s="579">
        <v>7</v>
      </c>
      <c r="K44" s="579">
        <v>4</v>
      </c>
      <c r="L44" s="579">
        <v>10</v>
      </c>
      <c r="M44" s="580"/>
      <c r="N44" s="580">
        <f t="shared" si="10"/>
        <v>11</v>
      </c>
      <c r="O44" s="580"/>
      <c r="P44" s="581">
        <f t="shared" si="11"/>
        <v>0.6</v>
      </c>
      <c r="Q44" s="581">
        <f t="shared" si="12"/>
        <v>1.8181818181818181E-2</v>
      </c>
      <c r="S44" s="561">
        <v>1</v>
      </c>
      <c r="T44" s="561">
        <v>17</v>
      </c>
      <c r="U44" s="561">
        <v>10</v>
      </c>
      <c r="V44" s="561">
        <v>13</v>
      </c>
      <c r="W44" s="561">
        <v>14</v>
      </c>
      <c r="X44" s="561">
        <v>0</v>
      </c>
      <c r="Y44" s="561">
        <v>0</v>
      </c>
      <c r="AA44" s="561">
        <f t="shared" si="5"/>
        <v>18</v>
      </c>
      <c r="AB44" s="561">
        <f t="shared" si="6"/>
        <v>10</v>
      </c>
      <c r="AC44" s="561">
        <f t="shared" si="7"/>
        <v>13</v>
      </c>
      <c r="AD44" s="561">
        <f t="shared" si="8"/>
        <v>14</v>
      </c>
      <c r="AE44" s="561">
        <f t="shared" si="9"/>
        <v>0</v>
      </c>
    </row>
    <row r="45" spans="1:31" x14ac:dyDescent="0.25">
      <c r="A45" s="576" t="s">
        <v>86</v>
      </c>
      <c r="B45" s="577" t="s">
        <v>87</v>
      </c>
      <c r="C45" s="583" t="s">
        <v>267</v>
      </c>
      <c r="D45" s="579">
        <v>34</v>
      </c>
      <c r="E45" s="579">
        <v>19</v>
      </c>
      <c r="F45" s="579">
        <v>2</v>
      </c>
      <c r="G45" s="579">
        <v>0</v>
      </c>
      <c r="H45" s="579">
        <v>0</v>
      </c>
      <c r="I45" s="579">
        <v>0</v>
      </c>
      <c r="J45" s="579">
        <v>4</v>
      </c>
      <c r="K45" s="579">
        <v>7</v>
      </c>
      <c r="L45" s="579">
        <v>2</v>
      </c>
      <c r="M45" s="580"/>
      <c r="N45" s="580">
        <f t="shared" si="10"/>
        <v>11</v>
      </c>
      <c r="O45" s="580"/>
      <c r="P45" s="581">
        <f t="shared" si="11"/>
        <v>0.55882352941176472</v>
      </c>
      <c r="Q45" s="581">
        <f t="shared" si="12"/>
        <v>5.8823529411764705E-2</v>
      </c>
      <c r="S45" s="561">
        <v>0</v>
      </c>
      <c r="T45" s="561">
        <v>8</v>
      </c>
      <c r="U45" s="561">
        <v>12</v>
      </c>
      <c r="V45" s="561">
        <v>6</v>
      </c>
      <c r="W45" s="561">
        <v>8</v>
      </c>
      <c r="X45" s="561">
        <v>0</v>
      </c>
      <c r="Y45" s="561">
        <v>0</v>
      </c>
      <c r="AA45" s="561">
        <f t="shared" si="5"/>
        <v>8</v>
      </c>
      <c r="AB45" s="561">
        <f t="shared" si="6"/>
        <v>12</v>
      </c>
      <c r="AC45" s="561">
        <f t="shared" si="7"/>
        <v>6</v>
      </c>
      <c r="AD45" s="561">
        <f t="shared" si="8"/>
        <v>8</v>
      </c>
      <c r="AE45" s="561">
        <f t="shared" si="9"/>
        <v>0</v>
      </c>
    </row>
    <row r="46" spans="1:31" x14ac:dyDescent="0.25">
      <c r="A46" s="576" t="s">
        <v>88</v>
      </c>
      <c r="B46" s="577" t="s">
        <v>89</v>
      </c>
      <c r="C46" s="583" t="s">
        <v>267</v>
      </c>
      <c r="D46" s="579">
        <v>19</v>
      </c>
      <c r="E46" s="579">
        <v>7</v>
      </c>
      <c r="F46" s="579">
        <v>10</v>
      </c>
      <c r="G46" s="579">
        <v>0</v>
      </c>
      <c r="H46" s="579">
        <v>0</v>
      </c>
      <c r="I46" s="579">
        <v>0</v>
      </c>
      <c r="J46" s="579">
        <v>0</v>
      </c>
      <c r="K46" s="579">
        <v>2</v>
      </c>
      <c r="L46" s="579">
        <v>0</v>
      </c>
      <c r="M46" s="580"/>
      <c r="N46" s="580">
        <f t="shared" si="10"/>
        <v>2</v>
      </c>
      <c r="O46" s="580"/>
      <c r="P46" s="581">
        <f t="shared" si="11"/>
        <v>0.36842105263157893</v>
      </c>
      <c r="Q46" s="581">
        <f t="shared" si="12"/>
        <v>0.52631578947368418</v>
      </c>
      <c r="S46" s="561">
        <v>2</v>
      </c>
      <c r="T46" s="561">
        <v>6</v>
      </c>
      <c r="U46" s="561">
        <v>2</v>
      </c>
      <c r="V46" s="561">
        <v>6</v>
      </c>
      <c r="W46" s="561">
        <v>3</v>
      </c>
      <c r="X46" s="561">
        <v>0</v>
      </c>
      <c r="Y46" s="561">
        <v>0</v>
      </c>
      <c r="AA46" s="561">
        <f t="shared" si="5"/>
        <v>8</v>
      </c>
      <c r="AB46" s="561">
        <f t="shared" si="6"/>
        <v>2</v>
      </c>
      <c r="AC46" s="561">
        <f t="shared" si="7"/>
        <v>6</v>
      </c>
      <c r="AD46" s="561">
        <f t="shared" si="8"/>
        <v>3</v>
      </c>
      <c r="AE46" s="561">
        <f t="shared" si="9"/>
        <v>0</v>
      </c>
    </row>
    <row r="47" spans="1:31" x14ac:dyDescent="0.25">
      <c r="A47" s="582" t="s">
        <v>90</v>
      </c>
      <c r="B47" s="577" t="s">
        <v>91</v>
      </c>
      <c r="C47" s="583" t="s">
        <v>268</v>
      </c>
      <c r="D47" s="579">
        <v>5</v>
      </c>
      <c r="E47" s="579">
        <v>4</v>
      </c>
      <c r="F47" s="579">
        <v>0</v>
      </c>
      <c r="G47" s="579">
        <v>0</v>
      </c>
      <c r="H47" s="579">
        <v>0</v>
      </c>
      <c r="I47" s="579">
        <v>0</v>
      </c>
      <c r="J47" s="579">
        <v>0</v>
      </c>
      <c r="K47" s="579">
        <v>1</v>
      </c>
      <c r="L47" s="579">
        <v>0</v>
      </c>
      <c r="M47" s="580"/>
      <c r="N47" s="580">
        <f t="shared" si="10"/>
        <v>1</v>
      </c>
      <c r="O47" s="580"/>
      <c r="P47" s="581">
        <f t="shared" si="11"/>
        <v>0.8</v>
      </c>
      <c r="Q47" s="581">
        <f t="shared" si="12"/>
        <v>0</v>
      </c>
      <c r="S47" s="561">
        <v>1</v>
      </c>
      <c r="T47" s="561">
        <v>3</v>
      </c>
      <c r="U47" s="561">
        <v>0</v>
      </c>
      <c r="V47" s="561">
        <v>0</v>
      </c>
      <c r="W47" s="561">
        <v>1</v>
      </c>
      <c r="X47" s="561">
        <v>0</v>
      </c>
      <c r="Y47" s="561">
        <v>0</v>
      </c>
      <c r="AA47" s="561">
        <f t="shared" si="5"/>
        <v>4</v>
      </c>
      <c r="AB47" s="561">
        <f t="shared" si="6"/>
        <v>0</v>
      </c>
      <c r="AC47" s="561">
        <f t="shared" si="7"/>
        <v>0</v>
      </c>
      <c r="AD47" s="561">
        <f t="shared" si="8"/>
        <v>1</v>
      </c>
      <c r="AE47" s="561">
        <f t="shared" si="9"/>
        <v>0</v>
      </c>
    </row>
    <row r="48" spans="1:31" x14ac:dyDescent="0.25">
      <c r="A48" s="582" t="s">
        <v>92</v>
      </c>
      <c r="B48" s="577" t="s">
        <v>93</v>
      </c>
      <c r="C48" s="583" t="s">
        <v>268</v>
      </c>
      <c r="D48" s="579">
        <v>51</v>
      </c>
      <c r="E48" s="579">
        <v>49</v>
      </c>
      <c r="F48" s="579">
        <v>2</v>
      </c>
      <c r="G48" s="579">
        <v>0</v>
      </c>
      <c r="H48" s="579">
        <v>0</v>
      </c>
      <c r="I48" s="579">
        <v>0</v>
      </c>
      <c r="J48" s="579">
        <v>0</v>
      </c>
      <c r="K48" s="579">
        <v>0</v>
      </c>
      <c r="L48" s="579">
        <v>0</v>
      </c>
      <c r="M48" s="580"/>
      <c r="N48" s="580">
        <f t="shared" si="10"/>
        <v>0</v>
      </c>
      <c r="O48" s="580"/>
      <c r="P48" s="581">
        <f t="shared" si="11"/>
        <v>0.96078431372549022</v>
      </c>
      <c r="Q48" s="581">
        <f t="shared" si="12"/>
        <v>3.9215686274509803E-2</v>
      </c>
      <c r="S48" s="561">
        <v>5</v>
      </c>
      <c r="T48" s="561">
        <v>15</v>
      </c>
      <c r="U48" s="561">
        <v>11</v>
      </c>
      <c r="V48" s="561">
        <v>12</v>
      </c>
      <c r="W48" s="561">
        <v>8</v>
      </c>
      <c r="X48" s="561">
        <v>0</v>
      </c>
      <c r="Y48" s="561">
        <v>0</v>
      </c>
      <c r="AA48" s="561">
        <f t="shared" si="5"/>
        <v>20</v>
      </c>
      <c r="AB48" s="561">
        <f t="shared" si="6"/>
        <v>11</v>
      </c>
      <c r="AC48" s="561">
        <f t="shared" si="7"/>
        <v>12</v>
      </c>
      <c r="AD48" s="561">
        <f t="shared" si="8"/>
        <v>8</v>
      </c>
      <c r="AE48" s="561">
        <f t="shared" si="9"/>
        <v>0</v>
      </c>
    </row>
    <row r="49" spans="1:31" x14ac:dyDescent="0.25">
      <c r="A49" s="576" t="s">
        <v>94</v>
      </c>
      <c r="B49" s="577" t="s">
        <v>95</v>
      </c>
      <c r="C49" s="583" t="s">
        <v>264</v>
      </c>
      <c r="D49" s="579">
        <v>34</v>
      </c>
      <c r="E49" s="579">
        <v>26</v>
      </c>
      <c r="F49" s="579">
        <v>0</v>
      </c>
      <c r="G49" s="579">
        <v>0</v>
      </c>
      <c r="H49" s="579">
        <v>0</v>
      </c>
      <c r="I49" s="579">
        <v>0</v>
      </c>
      <c r="J49" s="579">
        <v>3</v>
      </c>
      <c r="K49" s="579">
        <v>5</v>
      </c>
      <c r="L49" s="579">
        <v>0</v>
      </c>
      <c r="M49" s="580"/>
      <c r="N49" s="580">
        <f t="shared" si="10"/>
        <v>8</v>
      </c>
      <c r="O49" s="580"/>
      <c r="P49" s="581">
        <f t="shared" si="11"/>
        <v>0.76470588235294112</v>
      </c>
      <c r="Q49" s="581">
        <f t="shared" si="12"/>
        <v>0</v>
      </c>
      <c r="S49" s="561">
        <v>0</v>
      </c>
      <c r="T49" s="561">
        <v>10</v>
      </c>
      <c r="U49" s="561">
        <v>8</v>
      </c>
      <c r="V49" s="561">
        <v>10</v>
      </c>
      <c r="W49" s="561">
        <v>6</v>
      </c>
      <c r="X49" s="561">
        <v>0</v>
      </c>
      <c r="Y49" s="561">
        <v>0</v>
      </c>
      <c r="AA49" s="561">
        <f t="shared" si="5"/>
        <v>10</v>
      </c>
      <c r="AB49" s="561">
        <f t="shared" si="6"/>
        <v>8</v>
      </c>
      <c r="AC49" s="561">
        <f t="shared" si="7"/>
        <v>10</v>
      </c>
      <c r="AD49" s="561">
        <f t="shared" si="8"/>
        <v>6</v>
      </c>
      <c r="AE49" s="561">
        <f t="shared" si="9"/>
        <v>0</v>
      </c>
    </row>
    <row r="50" spans="1:31" x14ac:dyDescent="0.25">
      <c r="A50" s="576" t="s">
        <v>96</v>
      </c>
      <c r="B50" s="577" t="s">
        <v>97</v>
      </c>
      <c r="C50" s="583" t="s">
        <v>266</v>
      </c>
      <c r="D50" s="579">
        <v>20</v>
      </c>
      <c r="E50" s="579">
        <v>15</v>
      </c>
      <c r="F50" s="579">
        <v>0</v>
      </c>
      <c r="G50" s="579">
        <v>0</v>
      </c>
      <c r="H50" s="579">
        <v>0</v>
      </c>
      <c r="I50" s="579">
        <v>0</v>
      </c>
      <c r="J50" s="579">
        <v>0</v>
      </c>
      <c r="K50" s="579">
        <v>5</v>
      </c>
      <c r="L50" s="579">
        <v>0</v>
      </c>
      <c r="M50" s="580"/>
      <c r="N50" s="580">
        <f t="shared" si="10"/>
        <v>5</v>
      </c>
      <c r="O50" s="580"/>
      <c r="P50" s="581">
        <f t="shared" si="11"/>
        <v>0.75</v>
      </c>
      <c r="Q50" s="581">
        <f t="shared" si="12"/>
        <v>0</v>
      </c>
      <c r="S50" s="561">
        <v>2</v>
      </c>
      <c r="T50" s="561">
        <v>2</v>
      </c>
      <c r="U50" s="561">
        <v>4</v>
      </c>
      <c r="V50" s="561">
        <v>6</v>
      </c>
      <c r="W50" s="561">
        <v>6</v>
      </c>
      <c r="X50" s="561">
        <v>0</v>
      </c>
      <c r="Y50" s="561">
        <v>0</v>
      </c>
      <c r="AA50" s="561">
        <f t="shared" si="5"/>
        <v>4</v>
      </c>
      <c r="AB50" s="561">
        <f t="shared" si="6"/>
        <v>4</v>
      </c>
      <c r="AC50" s="561">
        <f t="shared" si="7"/>
        <v>6</v>
      </c>
      <c r="AD50" s="561">
        <f t="shared" si="8"/>
        <v>6</v>
      </c>
      <c r="AE50" s="561">
        <f t="shared" si="9"/>
        <v>0</v>
      </c>
    </row>
    <row r="51" spans="1:31" x14ac:dyDescent="0.25">
      <c r="A51" s="576" t="s">
        <v>98</v>
      </c>
      <c r="B51" s="577" t="s">
        <v>99</v>
      </c>
      <c r="C51" s="583" t="s">
        <v>268</v>
      </c>
      <c r="D51" s="579">
        <v>18</v>
      </c>
      <c r="E51" s="579">
        <v>18</v>
      </c>
      <c r="F51" s="579">
        <v>0</v>
      </c>
      <c r="G51" s="579">
        <v>0</v>
      </c>
      <c r="H51" s="579">
        <v>0</v>
      </c>
      <c r="I51" s="579">
        <v>0</v>
      </c>
      <c r="J51" s="579">
        <v>0</v>
      </c>
      <c r="K51" s="579">
        <v>0</v>
      </c>
      <c r="L51" s="579">
        <v>0</v>
      </c>
      <c r="M51" s="580"/>
      <c r="N51" s="580">
        <f t="shared" si="10"/>
        <v>0</v>
      </c>
      <c r="O51" s="580"/>
      <c r="P51" s="581">
        <f t="shared" si="11"/>
        <v>1</v>
      </c>
      <c r="Q51" s="581">
        <f t="shared" si="12"/>
        <v>0</v>
      </c>
      <c r="S51" s="561">
        <v>1</v>
      </c>
      <c r="T51" s="561">
        <v>7</v>
      </c>
      <c r="U51" s="561">
        <v>2</v>
      </c>
      <c r="V51" s="561">
        <v>5</v>
      </c>
      <c r="W51" s="561">
        <v>3</v>
      </c>
      <c r="X51" s="561">
        <v>0</v>
      </c>
      <c r="Y51" s="561">
        <v>0</v>
      </c>
      <c r="AA51" s="561">
        <f t="shared" si="5"/>
        <v>8</v>
      </c>
      <c r="AB51" s="561">
        <f t="shared" si="6"/>
        <v>2</v>
      </c>
      <c r="AC51" s="561">
        <f t="shared" si="7"/>
        <v>5</v>
      </c>
      <c r="AD51" s="561">
        <f t="shared" si="8"/>
        <v>3</v>
      </c>
      <c r="AE51" s="561">
        <f t="shared" si="9"/>
        <v>0</v>
      </c>
    </row>
    <row r="52" spans="1:31" x14ac:dyDescent="0.25">
      <c r="A52" s="576" t="s">
        <v>100</v>
      </c>
      <c r="B52" s="577" t="s">
        <v>101</v>
      </c>
      <c r="C52" s="583" t="s">
        <v>267</v>
      </c>
      <c r="D52" s="579">
        <v>8</v>
      </c>
      <c r="E52" s="579">
        <v>6</v>
      </c>
      <c r="F52" s="579">
        <v>2</v>
      </c>
      <c r="G52" s="579">
        <v>0</v>
      </c>
      <c r="H52" s="579">
        <v>0</v>
      </c>
      <c r="I52" s="579">
        <v>0</v>
      </c>
      <c r="J52" s="579">
        <v>0</v>
      </c>
      <c r="K52" s="579">
        <v>0</v>
      </c>
      <c r="L52" s="579">
        <v>0</v>
      </c>
      <c r="M52" s="580"/>
      <c r="N52" s="580">
        <f t="shared" si="10"/>
        <v>0</v>
      </c>
      <c r="O52" s="580"/>
      <c r="P52" s="581">
        <f t="shared" si="11"/>
        <v>0.75</v>
      </c>
      <c r="Q52" s="581">
        <f t="shared" si="12"/>
        <v>0.25</v>
      </c>
      <c r="S52" s="561">
        <v>0</v>
      </c>
      <c r="T52" s="561">
        <v>2</v>
      </c>
      <c r="U52" s="561">
        <v>2</v>
      </c>
      <c r="V52" s="561">
        <v>2</v>
      </c>
      <c r="W52" s="561">
        <v>2</v>
      </c>
      <c r="X52" s="561">
        <v>0</v>
      </c>
      <c r="Y52" s="561">
        <v>0</v>
      </c>
      <c r="AA52" s="561">
        <f t="shared" si="5"/>
        <v>2</v>
      </c>
      <c r="AB52" s="561">
        <f t="shared" si="6"/>
        <v>2</v>
      </c>
      <c r="AC52" s="561">
        <f t="shared" si="7"/>
        <v>2</v>
      </c>
      <c r="AD52" s="561">
        <f t="shared" si="8"/>
        <v>2</v>
      </c>
      <c r="AE52" s="561">
        <f t="shared" si="9"/>
        <v>0</v>
      </c>
    </row>
    <row r="53" spans="1:31" x14ac:dyDescent="0.25">
      <c r="A53" s="576" t="s">
        <v>102</v>
      </c>
      <c r="B53" s="577" t="s">
        <v>282</v>
      </c>
      <c r="C53" s="583" t="s">
        <v>264</v>
      </c>
      <c r="D53" s="579">
        <v>6</v>
      </c>
      <c r="E53" s="579">
        <v>0</v>
      </c>
      <c r="F53" s="579">
        <v>6</v>
      </c>
      <c r="G53" s="579">
        <v>0</v>
      </c>
      <c r="H53" s="579">
        <v>0</v>
      </c>
      <c r="I53" s="579">
        <v>0</v>
      </c>
      <c r="J53" s="579">
        <v>0</v>
      </c>
      <c r="K53" s="579">
        <v>0</v>
      </c>
      <c r="L53" s="579">
        <v>0</v>
      </c>
      <c r="M53" s="580"/>
      <c r="N53" s="580">
        <f t="shared" si="10"/>
        <v>0</v>
      </c>
      <c r="O53" s="580"/>
      <c r="P53" s="581">
        <f t="shared" si="11"/>
        <v>0</v>
      </c>
      <c r="Q53" s="581">
        <f t="shared" si="12"/>
        <v>1</v>
      </c>
      <c r="S53" s="561">
        <v>1</v>
      </c>
      <c r="T53" s="561">
        <v>3</v>
      </c>
      <c r="U53" s="561">
        <v>1</v>
      </c>
      <c r="V53" s="561">
        <v>1</v>
      </c>
      <c r="W53" s="561">
        <v>0</v>
      </c>
      <c r="X53" s="561">
        <v>0</v>
      </c>
      <c r="Y53" s="561">
        <v>0</v>
      </c>
      <c r="AA53" s="561">
        <f t="shared" si="5"/>
        <v>4</v>
      </c>
      <c r="AB53" s="561">
        <f t="shared" si="6"/>
        <v>1</v>
      </c>
      <c r="AC53" s="561">
        <f t="shared" si="7"/>
        <v>1</v>
      </c>
      <c r="AD53" s="561">
        <f t="shared" si="8"/>
        <v>0</v>
      </c>
      <c r="AE53" s="561">
        <f t="shared" si="9"/>
        <v>0</v>
      </c>
    </row>
    <row r="54" spans="1:31" x14ac:dyDescent="0.25">
      <c r="A54" s="576" t="s">
        <v>104</v>
      </c>
      <c r="B54" s="577" t="s">
        <v>105</v>
      </c>
      <c r="C54" s="583" t="s">
        <v>265</v>
      </c>
      <c r="D54" s="579">
        <v>28</v>
      </c>
      <c r="E54" s="579">
        <v>12</v>
      </c>
      <c r="F54" s="579">
        <v>11</v>
      </c>
      <c r="G54" s="579">
        <v>0</v>
      </c>
      <c r="H54" s="579">
        <v>0</v>
      </c>
      <c r="I54" s="579">
        <v>0</v>
      </c>
      <c r="J54" s="579">
        <v>1</v>
      </c>
      <c r="K54" s="579">
        <v>4</v>
      </c>
      <c r="L54" s="579">
        <v>0</v>
      </c>
      <c r="M54" s="580"/>
      <c r="N54" s="580">
        <f t="shared" si="10"/>
        <v>5</v>
      </c>
      <c r="O54" s="580"/>
      <c r="P54" s="581">
        <f t="shared" si="11"/>
        <v>0.42857142857142855</v>
      </c>
      <c r="Q54" s="581">
        <f t="shared" si="12"/>
        <v>0.39285714285714285</v>
      </c>
      <c r="S54" s="561">
        <v>1</v>
      </c>
      <c r="T54" s="561">
        <v>9</v>
      </c>
      <c r="U54" s="561">
        <v>5</v>
      </c>
      <c r="V54" s="561">
        <v>7</v>
      </c>
      <c r="W54" s="561">
        <v>6</v>
      </c>
      <c r="X54" s="561">
        <v>0</v>
      </c>
      <c r="Y54" s="561">
        <v>0</v>
      </c>
      <c r="AA54" s="561">
        <f t="shared" si="5"/>
        <v>10</v>
      </c>
      <c r="AB54" s="561">
        <f t="shared" si="6"/>
        <v>5</v>
      </c>
      <c r="AC54" s="561">
        <f t="shared" si="7"/>
        <v>7</v>
      </c>
      <c r="AD54" s="561">
        <f t="shared" si="8"/>
        <v>6</v>
      </c>
      <c r="AE54" s="561">
        <f t="shared" si="9"/>
        <v>0</v>
      </c>
    </row>
    <row r="55" spans="1:31" x14ac:dyDescent="0.25">
      <c r="A55" s="576" t="s">
        <v>106</v>
      </c>
      <c r="B55" s="577" t="s">
        <v>107</v>
      </c>
      <c r="C55" s="583" t="s">
        <v>264</v>
      </c>
      <c r="D55" s="579">
        <v>65</v>
      </c>
      <c r="E55" s="579">
        <v>19</v>
      </c>
      <c r="F55" s="579">
        <v>27</v>
      </c>
      <c r="G55" s="579">
        <v>0</v>
      </c>
      <c r="H55" s="579">
        <v>0</v>
      </c>
      <c r="I55" s="579">
        <v>0</v>
      </c>
      <c r="J55" s="579">
        <v>3</v>
      </c>
      <c r="K55" s="579">
        <v>16</v>
      </c>
      <c r="L55" s="579">
        <v>0</v>
      </c>
      <c r="M55" s="580"/>
      <c r="N55" s="580">
        <f t="shared" si="10"/>
        <v>19</v>
      </c>
      <c r="O55" s="580"/>
      <c r="P55" s="581">
        <f t="shared" si="11"/>
        <v>0.29230769230769232</v>
      </c>
      <c r="Q55" s="581">
        <f t="shared" si="12"/>
        <v>0.41538461538461541</v>
      </c>
      <c r="S55" s="561">
        <v>3</v>
      </c>
      <c r="T55" s="561">
        <v>24</v>
      </c>
      <c r="U55" s="561">
        <v>12</v>
      </c>
      <c r="V55" s="561">
        <v>9</v>
      </c>
      <c r="W55" s="561">
        <v>17</v>
      </c>
      <c r="X55" s="561">
        <v>0</v>
      </c>
      <c r="Y55" s="561">
        <v>0</v>
      </c>
      <c r="AA55" s="561">
        <f t="shared" si="5"/>
        <v>27</v>
      </c>
      <c r="AB55" s="561">
        <f t="shared" si="6"/>
        <v>12</v>
      </c>
      <c r="AC55" s="561">
        <f t="shared" si="7"/>
        <v>9</v>
      </c>
      <c r="AD55" s="561">
        <f t="shared" si="8"/>
        <v>17</v>
      </c>
      <c r="AE55" s="561">
        <f t="shared" si="9"/>
        <v>0</v>
      </c>
    </row>
    <row r="56" spans="1:31" x14ac:dyDescent="0.25">
      <c r="A56" s="576" t="s">
        <v>108</v>
      </c>
      <c r="B56" s="577" t="s">
        <v>109</v>
      </c>
      <c r="C56" s="583" t="s">
        <v>266</v>
      </c>
      <c r="D56" s="579">
        <v>17</v>
      </c>
      <c r="E56" s="579">
        <v>11</v>
      </c>
      <c r="F56" s="579">
        <v>3</v>
      </c>
      <c r="G56" s="579">
        <v>0</v>
      </c>
      <c r="H56" s="579">
        <v>0</v>
      </c>
      <c r="I56" s="579">
        <v>0</v>
      </c>
      <c r="J56" s="579">
        <v>1</v>
      </c>
      <c r="K56" s="579">
        <v>2</v>
      </c>
      <c r="L56" s="579">
        <v>0</v>
      </c>
      <c r="M56" s="580"/>
      <c r="N56" s="580">
        <f t="shared" si="10"/>
        <v>3</v>
      </c>
      <c r="O56" s="580"/>
      <c r="P56" s="581">
        <f t="shared" si="11"/>
        <v>0.6470588235294118</v>
      </c>
      <c r="Q56" s="581">
        <f t="shared" si="12"/>
        <v>0.17647058823529413</v>
      </c>
      <c r="S56" s="561">
        <v>0</v>
      </c>
      <c r="T56" s="561">
        <v>2</v>
      </c>
      <c r="U56" s="561">
        <v>0</v>
      </c>
      <c r="V56" s="561">
        <v>6</v>
      </c>
      <c r="W56" s="561">
        <v>9</v>
      </c>
      <c r="X56" s="561">
        <v>0</v>
      </c>
      <c r="Y56" s="561">
        <v>0</v>
      </c>
      <c r="AA56" s="561">
        <f t="shared" si="5"/>
        <v>2</v>
      </c>
      <c r="AB56" s="561">
        <f t="shared" si="6"/>
        <v>0</v>
      </c>
      <c r="AC56" s="561">
        <f t="shared" si="7"/>
        <v>6</v>
      </c>
      <c r="AD56" s="561">
        <f t="shared" si="8"/>
        <v>9</v>
      </c>
      <c r="AE56" s="561">
        <f t="shared" si="9"/>
        <v>0</v>
      </c>
    </row>
    <row r="57" spans="1:31" x14ac:dyDescent="0.25">
      <c r="A57" s="576" t="s">
        <v>110</v>
      </c>
      <c r="B57" s="577" t="s">
        <v>111</v>
      </c>
      <c r="C57" s="583" t="s">
        <v>266</v>
      </c>
      <c r="D57" s="579">
        <v>100</v>
      </c>
      <c r="E57" s="579">
        <v>36</v>
      </c>
      <c r="F57" s="579">
        <v>40</v>
      </c>
      <c r="G57" s="579">
        <v>6</v>
      </c>
      <c r="H57" s="579">
        <v>0</v>
      </c>
      <c r="I57" s="579">
        <v>1</v>
      </c>
      <c r="J57" s="579">
        <v>8</v>
      </c>
      <c r="K57" s="579">
        <v>9</v>
      </c>
      <c r="L57" s="579">
        <v>0</v>
      </c>
      <c r="M57" s="580"/>
      <c r="N57" s="580">
        <f t="shared" si="10"/>
        <v>24</v>
      </c>
      <c r="O57" s="580"/>
      <c r="P57" s="581">
        <f t="shared" si="11"/>
        <v>0.36</v>
      </c>
      <c r="Q57" s="581">
        <f t="shared" si="12"/>
        <v>0.4</v>
      </c>
      <c r="S57" s="561">
        <v>2</v>
      </c>
      <c r="T57" s="561">
        <v>32</v>
      </c>
      <c r="U57" s="561">
        <v>20</v>
      </c>
      <c r="V57" s="561">
        <v>25</v>
      </c>
      <c r="W57" s="561">
        <v>21</v>
      </c>
      <c r="X57" s="561">
        <v>0</v>
      </c>
      <c r="Y57" s="561">
        <v>0</v>
      </c>
      <c r="AA57" s="561">
        <f t="shared" si="5"/>
        <v>34</v>
      </c>
      <c r="AB57" s="561">
        <f t="shared" si="6"/>
        <v>20</v>
      </c>
      <c r="AC57" s="561">
        <f t="shared" si="7"/>
        <v>25</v>
      </c>
      <c r="AD57" s="561">
        <f t="shared" si="8"/>
        <v>21</v>
      </c>
      <c r="AE57" s="561">
        <f t="shared" si="9"/>
        <v>0</v>
      </c>
    </row>
    <row r="58" spans="1:31" x14ac:dyDescent="0.25">
      <c r="A58" s="576" t="s">
        <v>112</v>
      </c>
      <c r="B58" s="577" t="s">
        <v>113</v>
      </c>
      <c r="C58" s="583" t="s">
        <v>265</v>
      </c>
      <c r="D58" s="579">
        <v>39</v>
      </c>
      <c r="E58" s="579">
        <v>26</v>
      </c>
      <c r="F58" s="579">
        <v>4</v>
      </c>
      <c r="G58" s="579">
        <v>0</v>
      </c>
      <c r="H58" s="579">
        <v>0</v>
      </c>
      <c r="I58" s="579">
        <v>0</v>
      </c>
      <c r="J58" s="579">
        <v>2</v>
      </c>
      <c r="K58" s="579">
        <v>5</v>
      </c>
      <c r="L58" s="579">
        <v>2</v>
      </c>
      <c r="M58" s="580"/>
      <c r="N58" s="580">
        <f t="shared" si="10"/>
        <v>7</v>
      </c>
      <c r="O58" s="580"/>
      <c r="P58" s="581">
        <f t="shared" si="11"/>
        <v>0.66666666666666663</v>
      </c>
      <c r="Q58" s="581">
        <f t="shared" si="12"/>
        <v>0.10256410256410256</v>
      </c>
      <c r="S58" s="561">
        <v>4</v>
      </c>
      <c r="T58" s="561">
        <v>11</v>
      </c>
      <c r="U58" s="561">
        <v>6</v>
      </c>
      <c r="V58" s="561">
        <v>10</v>
      </c>
      <c r="W58" s="561">
        <v>8</v>
      </c>
      <c r="X58" s="561">
        <v>0</v>
      </c>
      <c r="Y58" s="561">
        <v>0</v>
      </c>
      <c r="AA58" s="561">
        <f t="shared" si="5"/>
        <v>15</v>
      </c>
      <c r="AB58" s="561">
        <f t="shared" si="6"/>
        <v>6</v>
      </c>
      <c r="AC58" s="561">
        <f t="shared" si="7"/>
        <v>10</v>
      </c>
      <c r="AD58" s="561">
        <f t="shared" si="8"/>
        <v>8</v>
      </c>
      <c r="AE58" s="561">
        <f t="shared" si="9"/>
        <v>0</v>
      </c>
    </row>
    <row r="59" spans="1:31" x14ac:dyDescent="0.25">
      <c r="A59" s="582" t="s">
        <v>114</v>
      </c>
      <c r="B59" s="577" t="s">
        <v>115</v>
      </c>
      <c r="C59" s="583" t="s">
        <v>265</v>
      </c>
      <c r="D59" s="579">
        <v>1</v>
      </c>
      <c r="E59" s="579">
        <v>1</v>
      </c>
      <c r="F59" s="579">
        <v>0</v>
      </c>
      <c r="G59" s="579">
        <v>0</v>
      </c>
      <c r="H59" s="579">
        <v>0</v>
      </c>
      <c r="I59" s="579">
        <v>0</v>
      </c>
      <c r="J59" s="579">
        <v>0</v>
      </c>
      <c r="K59" s="579">
        <v>0</v>
      </c>
      <c r="L59" s="579">
        <v>0</v>
      </c>
      <c r="M59" s="580"/>
      <c r="N59" s="580">
        <f t="shared" si="10"/>
        <v>0</v>
      </c>
      <c r="O59" s="580"/>
      <c r="P59" s="581">
        <f t="shared" si="11"/>
        <v>1</v>
      </c>
      <c r="Q59" s="581">
        <f t="shared" si="12"/>
        <v>0</v>
      </c>
      <c r="S59" s="561">
        <v>0</v>
      </c>
      <c r="T59" s="561">
        <v>1</v>
      </c>
      <c r="U59" s="561">
        <v>0</v>
      </c>
      <c r="V59" s="561">
        <v>0</v>
      </c>
      <c r="W59" s="561">
        <v>0</v>
      </c>
      <c r="X59" s="561">
        <v>0</v>
      </c>
      <c r="Y59" s="561">
        <v>0</v>
      </c>
      <c r="AA59" s="561">
        <f t="shared" si="5"/>
        <v>1</v>
      </c>
      <c r="AB59" s="561">
        <f t="shared" si="6"/>
        <v>0</v>
      </c>
      <c r="AC59" s="561">
        <f t="shared" si="7"/>
        <v>0</v>
      </c>
      <c r="AD59" s="561">
        <f t="shared" si="8"/>
        <v>0</v>
      </c>
      <c r="AE59" s="561">
        <f t="shared" si="9"/>
        <v>0</v>
      </c>
    </row>
    <row r="60" spans="1:31" x14ac:dyDescent="0.25">
      <c r="A60" s="576" t="s">
        <v>116</v>
      </c>
      <c r="B60" s="577" t="s">
        <v>117</v>
      </c>
      <c r="C60" s="583" t="s">
        <v>266</v>
      </c>
      <c r="D60" s="579">
        <v>26</v>
      </c>
      <c r="E60" s="579">
        <v>12</v>
      </c>
      <c r="F60" s="579">
        <v>12</v>
      </c>
      <c r="G60" s="579">
        <v>0</v>
      </c>
      <c r="H60" s="579">
        <v>0</v>
      </c>
      <c r="I60" s="579">
        <v>0</v>
      </c>
      <c r="J60" s="579">
        <v>0</v>
      </c>
      <c r="K60" s="579">
        <v>2</v>
      </c>
      <c r="L60" s="579">
        <v>0</v>
      </c>
      <c r="M60" s="580"/>
      <c r="N60" s="580">
        <f t="shared" si="10"/>
        <v>2</v>
      </c>
      <c r="O60" s="580"/>
      <c r="P60" s="581">
        <f t="shared" si="11"/>
        <v>0.46153846153846156</v>
      </c>
      <c r="Q60" s="581">
        <f t="shared" si="12"/>
        <v>0.46153846153846156</v>
      </c>
      <c r="S60" s="561">
        <v>2</v>
      </c>
      <c r="T60" s="561">
        <v>11</v>
      </c>
      <c r="U60" s="561">
        <v>7</v>
      </c>
      <c r="V60" s="561">
        <v>5</v>
      </c>
      <c r="W60" s="561">
        <v>1</v>
      </c>
      <c r="X60" s="561">
        <v>0</v>
      </c>
      <c r="Y60" s="561">
        <v>0</v>
      </c>
      <c r="AA60" s="561">
        <f t="shared" si="5"/>
        <v>13</v>
      </c>
      <c r="AB60" s="561">
        <f t="shared" si="6"/>
        <v>7</v>
      </c>
      <c r="AC60" s="561">
        <f t="shared" si="7"/>
        <v>5</v>
      </c>
      <c r="AD60" s="561">
        <f t="shared" si="8"/>
        <v>1</v>
      </c>
      <c r="AE60" s="561">
        <f t="shared" si="9"/>
        <v>0</v>
      </c>
    </row>
    <row r="61" spans="1:31" x14ac:dyDescent="0.25">
      <c r="A61" s="576" t="s">
        <v>118</v>
      </c>
      <c r="B61" s="577" t="s">
        <v>119</v>
      </c>
      <c r="C61" s="583" t="s">
        <v>264</v>
      </c>
      <c r="D61" s="579">
        <v>4</v>
      </c>
      <c r="E61" s="579">
        <v>4</v>
      </c>
      <c r="F61" s="579">
        <v>0</v>
      </c>
      <c r="G61" s="579">
        <v>0</v>
      </c>
      <c r="H61" s="579">
        <v>0</v>
      </c>
      <c r="I61" s="579">
        <v>0</v>
      </c>
      <c r="J61" s="579">
        <v>0</v>
      </c>
      <c r="K61" s="579">
        <v>0</v>
      </c>
      <c r="L61" s="579">
        <v>0</v>
      </c>
      <c r="M61" s="580"/>
      <c r="N61" s="580">
        <f t="shared" si="10"/>
        <v>0</v>
      </c>
      <c r="O61" s="580"/>
      <c r="P61" s="581">
        <f t="shared" si="11"/>
        <v>1</v>
      </c>
      <c r="Q61" s="581">
        <f t="shared" si="12"/>
        <v>0</v>
      </c>
      <c r="S61" s="561">
        <v>0</v>
      </c>
      <c r="T61" s="561">
        <v>1</v>
      </c>
      <c r="U61" s="561">
        <v>2</v>
      </c>
      <c r="V61" s="561">
        <v>0</v>
      </c>
      <c r="W61" s="561">
        <v>1</v>
      </c>
      <c r="X61" s="561">
        <v>0</v>
      </c>
      <c r="Y61" s="561">
        <v>0</v>
      </c>
      <c r="AA61" s="561">
        <f t="shared" si="5"/>
        <v>1</v>
      </c>
      <c r="AB61" s="561">
        <f t="shared" si="6"/>
        <v>2</v>
      </c>
      <c r="AC61" s="561">
        <f t="shared" si="7"/>
        <v>0</v>
      </c>
      <c r="AD61" s="561">
        <f t="shared" si="8"/>
        <v>1</v>
      </c>
      <c r="AE61" s="561">
        <f t="shared" si="9"/>
        <v>0</v>
      </c>
    </row>
    <row r="62" spans="1:31" x14ac:dyDescent="0.25">
      <c r="A62" s="576" t="s">
        <v>120</v>
      </c>
      <c r="B62" s="577" t="s">
        <v>121</v>
      </c>
      <c r="C62" s="583" t="s">
        <v>264</v>
      </c>
      <c r="D62" s="579">
        <v>6</v>
      </c>
      <c r="E62" s="579">
        <v>2</v>
      </c>
      <c r="F62" s="579">
        <v>3</v>
      </c>
      <c r="G62" s="579">
        <v>0</v>
      </c>
      <c r="H62" s="579">
        <v>0</v>
      </c>
      <c r="I62" s="579">
        <v>0</v>
      </c>
      <c r="J62" s="579">
        <v>0</v>
      </c>
      <c r="K62" s="579">
        <v>1</v>
      </c>
      <c r="L62" s="579">
        <v>0</v>
      </c>
      <c r="M62" s="580"/>
      <c r="N62" s="580">
        <f t="shared" si="10"/>
        <v>1</v>
      </c>
      <c r="O62" s="580"/>
      <c r="P62" s="581">
        <f t="shared" si="11"/>
        <v>0.33333333333333331</v>
      </c>
      <c r="Q62" s="581">
        <f t="shared" si="12"/>
        <v>0.5</v>
      </c>
      <c r="S62" s="561">
        <v>1</v>
      </c>
      <c r="T62" s="561">
        <v>2</v>
      </c>
      <c r="U62" s="561">
        <v>2</v>
      </c>
      <c r="V62" s="561">
        <v>1</v>
      </c>
      <c r="W62" s="561">
        <v>0</v>
      </c>
      <c r="X62" s="561">
        <v>0</v>
      </c>
      <c r="Y62" s="561">
        <v>0</v>
      </c>
      <c r="AA62" s="561">
        <f t="shared" si="5"/>
        <v>3</v>
      </c>
      <c r="AB62" s="561">
        <f t="shared" si="6"/>
        <v>2</v>
      </c>
      <c r="AC62" s="561">
        <f t="shared" si="7"/>
        <v>1</v>
      </c>
      <c r="AD62" s="561">
        <f t="shared" si="8"/>
        <v>0</v>
      </c>
      <c r="AE62" s="561">
        <f t="shared" si="9"/>
        <v>0</v>
      </c>
    </row>
    <row r="63" spans="1:31" x14ac:dyDescent="0.25">
      <c r="A63" s="576" t="s">
        <v>122</v>
      </c>
      <c r="B63" s="577" t="s">
        <v>123</v>
      </c>
      <c r="C63" s="583" t="s">
        <v>266</v>
      </c>
      <c r="D63" s="579">
        <v>2</v>
      </c>
      <c r="E63" s="579">
        <v>2</v>
      </c>
      <c r="F63" s="579">
        <v>0</v>
      </c>
      <c r="G63" s="579">
        <v>0</v>
      </c>
      <c r="H63" s="579">
        <v>0</v>
      </c>
      <c r="I63" s="579">
        <v>0</v>
      </c>
      <c r="J63" s="579">
        <v>0</v>
      </c>
      <c r="K63" s="579">
        <v>0</v>
      </c>
      <c r="L63" s="579">
        <v>0</v>
      </c>
      <c r="M63" s="580"/>
      <c r="N63" s="580">
        <f t="shared" si="10"/>
        <v>0</v>
      </c>
      <c r="O63" s="580"/>
      <c r="P63" s="581">
        <f t="shared" si="11"/>
        <v>1</v>
      </c>
      <c r="Q63" s="581">
        <f t="shared" si="12"/>
        <v>0</v>
      </c>
      <c r="S63" s="561">
        <v>0</v>
      </c>
      <c r="T63" s="561">
        <v>0</v>
      </c>
      <c r="U63" s="561">
        <v>0</v>
      </c>
      <c r="V63" s="561">
        <v>2</v>
      </c>
      <c r="W63" s="561">
        <v>0</v>
      </c>
      <c r="X63" s="561">
        <v>0</v>
      </c>
      <c r="Y63" s="561">
        <v>0</v>
      </c>
      <c r="AA63" s="561">
        <f t="shared" si="5"/>
        <v>0</v>
      </c>
      <c r="AB63" s="561">
        <f t="shared" si="6"/>
        <v>0</v>
      </c>
      <c r="AC63" s="561">
        <f t="shared" si="7"/>
        <v>2</v>
      </c>
      <c r="AD63" s="561">
        <f t="shared" si="8"/>
        <v>0</v>
      </c>
      <c r="AE63" s="561">
        <f t="shared" si="9"/>
        <v>0</v>
      </c>
    </row>
    <row r="64" spans="1:31" x14ac:dyDescent="0.25">
      <c r="A64" s="576" t="s">
        <v>124</v>
      </c>
      <c r="B64" s="577" t="s">
        <v>125</v>
      </c>
      <c r="C64" s="583" t="s">
        <v>267</v>
      </c>
      <c r="D64" s="579">
        <v>17</v>
      </c>
      <c r="E64" s="579">
        <v>15</v>
      </c>
      <c r="F64" s="579">
        <v>1</v>
      </c>
      <c r="G64" s="579">
        <v>0</v>
      </c>
      <c r="H64" s="579">
        <v>0</v>
      </c>
      <c r="I64" s="579">
        <v>0</v>
      </c>
      <c r="J64" s="579">
        <v>1</v>
      </c>
      <c r="K64" s="579">
        <v>0</v>
      </c>
      <c r="L64" s="579">
        <v>0</v>
      </c>
      <c r="M64" s="580"/>
      <c r="N64" s="580">
        <f t="shared" si="10"/>
        <v>1</v>
      </c>
      <c r="O64" s="580"/>
      <c r="P64" s="581">
        <f t="shared" si="11"/>
        <v>0.88235294117647056</v>
      </c>
      <c r="Q64" s="581">
        <f t="shared" si="12"/>
        <v>5.8823529411764705E-2</v>
      </c>
      <c r="S64" s="561">
        <v>0</v>
      </c>
      <c r="T64" s="561">
        <v>6</v>
      </c>
      <c r="U64" s="561">
        <v>6</v>
      </c>
      <c r="V64" s="561">
        <v>4</v>
      </c>
      <c r="W64" s="561">
        <v>1</v>
      </c>
      <c r="X64" s="561">
        <v>0</v>
      </c>
      <c r="Y64" s="561">
        <v>0</v>
      </c>
      <c r="AA64" s="561">
        <f t="shared" si="5"/>
        <v>6</v>
      </c>
      <c r="AB64" s="561">
        <f t="shared" si="6"/>
        <v>6</v>
      </c>
      <c r="AC64" s="561">
        <f t="shared" si="7"/>
        <v>4</v>
      </c>
      <c r="AD64" s="561">
        <f t="shared" si="8"/>
        <v>1</v>
      </c>
      <c r="AE64" s="561">
        <f t="shared" si="9"/>
        <v>0</v>
      </c>
    </row>
    <row r="65" spans="1:31" x14ac:dyDescent="0.25">
      <c r="A65" s="576" t="s">
        <v>126</v>
      </c>
      <c r="B65" s="577" t="s">
        <v>127</v>
      </c>
      <c r="C65" s="583" t="s">
        <v>266</v>
      </c>
      <c r="D65" s="579">
        <v>2</v>
      </c>
      <c r="E65" s="579">
        <v>1</v>
      </c>
      <c r="F65" s="579">
        <v>0</v>
      </c>
      <c r="G65" s="579">
        <v>0</v>
      </c>
      <c r="H65" s="579">
        <v>0</v>
      </c>
      <c r="I65" s="579">
        <v>0</v>
      </c>
      <c r="J65" s="579">
        <v>0</v>
      </c>
      <c r="K65" s="579">
        <v>1</v>
      </c>
      <c r="L65" s="579">
        <v>0</v>
      </c>
      <c r="M65" s="580"/>
      <c r="N65" s="580">
        <f t="shared" si="10"/>
        <v>1</v>
      </c>
      <c r="O65" s="580"/>
      <c r="P65" s="581">
        <f t="shared" si="11"/>
        <v>0.5</v>
      </c>
      <c r="Q65" s="581">
        <f t="shared" si="12"/>
        <v>0</v>
      </c>
      <c r="S65" s="561">
        <v>0</v>
      </c>
      <c r="T65" s="561">
        <v>0</v>
      </c>
      <c r="U65" s="561">
        <v>0</v>
      </c>
      <c r="V65" s="561">
        <v>1</v>
      </c>
      <c r="W65" s="561">
        <v>1</v>
      </c>
      <c r="X65" s="561">
        <v>0</v>
      </c>
      <c r="Y65" s="561">
        <v>0</v>
      </c>
      <c r="AA65" s="561">
        <f t="shared" si="5"/>
        <v>0</v>
      </c>
      <c r="AB65" s="561">
        <f t="shared" si="6"/>
        <v>0</v>
      </c>
      <c r="AC65" s="561">
        <f t="shared" si="7"/>
        <v>1</v>
      </c>
      <c r="AD65" s="561">
        <f t="shared" si="8"/>
        <v>1</v>
      </c>
      <c r="AE65" s="561">
        <f t="shared" si="9"/>
        <v>0</v>
      </c>
    </row>
    <row r="66" spans="1:31" x14ac:dyDescent="0.25">
      <c r="A66" s="576" t="s">
        <v>128</v>
      </c>
      <c r="B66" s="577" t="s">
        <v>129</v>
      </c>
      <c r="C66" s="583" t="s">
        <v>266</v>
      </c>
      <c r="D66" s="579">
        <v>4</v>
      </c>
      <c r="E66" s="579">
        <v>4</v>
      </c>
      <c r="F66" s="579">
        <v>0</v>
      </c>
      <c r="G66" s="579">
        <v>0</v>
      </c>
      <c r="H66" s="579">
        <v>0</v>
      </c>
      <c r="I66" s="579">
        <v>0</v>
      </c>
      <c r="J66" s="579">
        <v>0</v>
      </c>
      <c r="K66" s="579">
        <v>0</v>
      </c>
      <c r="L66" s="579">
        <v>0</v>
      </c>
      <c r="M66" s="580"/>
      <c r="N66" s="580">
        <f t="shared" si="10"/>
        <v>0</v>
      </c>
      <c r="O66" s="580"/>
      <c r="P66" s="581">
        <f t="shared" si="11"/>
        <v>1</v>
      </c>
      <c r="Q66" s="581">
        <f t="shared" si="12"/>
        <v>0</v>
      </c>
      <c r="S66" s="561">
        <v>0</v>
      </c>
      <c r="T66" s="561">
        <v>0</v>
      </c>
      <c r="U66" s="561">
        <v>0</v>
      </c>
      <c r="V66" s="561">
        <v>2</v>
      </c>
      <c r="W66" s="561">
        <v>2</v>
      </c>
      <c r="X66" s="561">
        <v>0</v>
      </c>
      <c r="Y66" s="561">
        <v>0</v>
      </c>
      <c r="AA66" s="561">
        <f t="shared" si="5"/>
        <v>0</v>
      </c>
      <c r="AB66" s="561">
        <f t="shared" si="6"/>
        <v>0</v>
      </c>
      <c r="AC66" s="561">
        <f t="shared" si="7"/>
        <v>2</v>
      </c>
      <c r="AD66" s="561">
        <f t="shared" si="8"/>
        <v>2</v>
      </c>
      <c r="AE66" s="561">
        <f t="shared" si="9"/>
        <v>0</v>
      </c>
    </row>
    <row r="67" spans="1:31" x14ac:dyDescent="0.25">
      <c r="A67" s="582" t="s">
        <v>130</v>
      </c>
      <c r="B67" s="577" t="s">
        <v>131</v>
      </c>
      <c r="C67" s="583" t="s">
        <v>268</v>
      </c>
      <c r="D67" s="579">
        <v>57</v>
      </c>
      <c r="E67" s="579">
        <v>56</v>
      </c>
      <c r="F67" s="579">
        <v>0</v>
      </c>
      <c r="G67" s="579">
        <v>0</v>
      </c>
      <c r="H67" s="579">
        <v>0</v>
      </c>
      <c r="I67" s="579">
        <v>0</v>
      </c>
      <c r="J67" s="579">
        <v>0</v>
      </c>
      <c r="K67" s="579">
        <v>1</v>
      </c>
      <c r="L67" s="579">
        <v>0</v>
      </c>
      <c r="M67" s="580"/>
      <c r="N67" s="580">
        <f t="shared" si="10"/>
        <v>1</v>
      </c>
      <c r="O67" s="580"/>
      <c r="P67" s="581">
        <f t="shared" si="11"/>
        <v>0.98245614035087714</v>
      </c>
      <c r="Q67" s="581">
        <f t="shared" si="12"/>
        <v>0</v>
      </c>
      <c r="S67" s="561">
        <v>2</v>
      </c>
      <c r="T67" s="561">
        <v>14</v>
      </c>
      <c r="U67" s="561">
        <v>19</v>
      </c>
      <c r="V67" s="561">
        <v>15</v>
      </c>
      <c r="W67" s="561">
        <v>7</v>
      </c>
      <c r="X67" s="561">
        <v>0</v>
      </c>
      <c r="Y67" s="561">
        <v>0</v>
      </c>
      <c r="AA67" s="561">
        <f t="shared" si="5"/>
        <v>16</v>
      </c>
      <c r="AB67" s="561">
        <f t="shared" si="6"/>
        <v>19</v>
      </c>
      <c r="AC67" s="561">
        <f t="shared" si="7"/>
        <v>15</v>
      </c>
      <c r="AD67" s="561">
        <f t="shared" si="8"/>
        <v>7</v>
      </c>
      <c r="AE67" s="561">
        <f t="shared" si="9"/>
        <v>0</v>
      </c>
    </row>
    <row r="68" spans="1:31" x14ac:dyDescent="0.25">
      <c r="A68" s="576" t="s">
        <v>132</v>
      </c>
      <c r="B68" s="577" t="s">
        <v>133</v>
      </c>
      <c r="C68" s="583" t="s">
        <v>267</v>
      </c>
      <c r="D68" s="579">
        <v>42</v>
      </c>
      <c r="E68" s="579">
        <v>12</v>
      </c>
      <c r="F68" s="579">
        <v>6</v>
      </c>
      <c r="G68" s="579">
        <v>0</v>
      </c>
      <c r="H68" s="579">
        <v>0</v>
      </c>
      <c r="I68" s="579">
        <v>0</v>
      </c>
      <c r="J68" s="579">
        <v>14</v>
      </c>
      <c r="K68" s="579">
        <v>6</v>
      </c>
      <c r="L68" s="579">
        <v>4</v>
      </c>
      <c r="M68" s="580"/>
      <c r="N68" s="580">
        <f t="shared" si="10"/>
        <v>20</v>
      </c>
      <c r="O68" s="580"/>
      <c r="P68" s="581">
        <f t="shared" si="11"/>
        <v>0.2857142857142857</v>
      </c>
      <c r="Q68" s="581">
        <f t="shared" si="12"/>
        <v>0.14285714285714285</v>
      </c>
      <c r="S68" s="561">
        <v>1</v>
      </c>
      <c r="T68" s="561">
        <v>9</v>
      </c>
      <c r="U68" s="561">
        <v>12</v>
      </c>
      <c r="V68" s="561">
        <v>9</v>
      </c>
      <c r="W68" s="561">
        <v>11</v>
      </c>
      <c r="X68" s="561">
        <v>0</v>
      </c>
      <c r="Y68" s="561">
        <v>0</v>
      </c>
      <c r="AA68" s="561">
        <f t="shared" si="5"/>
        <v>10</v>
      </c>
      <c r="AB68" s="561">
        <f t="shared" si="6"/>
        <v>12</v>
      </c>
      <c r="AC68" s="561">
        <f t="shared" si="7"/>
        <v>9</v>
      </c>
      <c r="AD68" s="561">
        <f t="shared" si="8"/>
        <v>11</v>
      </c>
      <c r="AE68" s="561">
        <f t="shared" si="9"/>
        <v>0</v>
      </c>
    </row>
    <row r="69" spans="1:31" x14ac:dyDescent="0.25">
      <c r="A69" s="576" t="s">
        <v>134</v>
      </c>
      <c r="B69" s="577" t="s">
        <v>135</v>
      </c>
      <c r="C69" s="583" t="s">
        <v>267</v>
      </c>
      <c r="D69" s="579">
        <v>39</v>
      </c>
      <c r="E69" s="579">
        <v>27</v>
      </c>
      <c r="F69" s="579">
        <v>3</v>
      </c>
      <c r="G69" s="579">
        <v>0</v>
      </c>
      <c r="H69" s="579">
        <v>0</v>
      </c>
      <c r="I69" s="579">
        <v>0</v>
      </c>
      <c r="J69" s="579">
        <v>2</v>
      </c>
      <c r="K69" s="579">
        <v>7</v>
      </c>
      <c r="L69" s="579">
        <v>0</v>
      </c>
      <c r="M69" s="580"/>
      <c r="N69" s="580">
        <f t="shared" si="10"/>
        <v>9</v>
      </c>
      <c r="O69" s="580"/>
      <c r="P69" s="581">
        <f t="shared" si="11"/>
        <v>0.69230769230769229</v>
      </c>
      <c r="Q69" s="581">
        <f t="shared" si="12"/>
        <v>7.6923076923076927E-2</v>
      </c>
      <c r="S69" s="561">
        <v>0</v>
      </c>
      <c r="T69" s="561">
        <v>10</v>
      </c>
      <c r="U69" s="561">
        <v>8</v>
      </c>
      <c r="V69" s="561">
        <v>15</v>
      </c>
      <c r="W69" s="561">
        <v>6</v>
      </c>
      <c r="X69" s="561">
        <v>0</v>
      </c>
      <c r="Y69" s="561">
        <v>0</v>
      </c>
      <c r="AA69" s="561">
        <f t="shared" si="5"/>
        <v>10</v>
      </c>
      <c r="AB69" s="561">
        <f t="shared" si="6"/>
        <v>8</v>
      </c>
      <c r="AC69" s="561">
        <f t="shared" si="7"/>
        <v>15</v>
      </c>
      <c r="AD69" s="561">
        <f t="shared" si="8"/>
        <v>6</v>
      </c>
      <c r="AE69" s="561">
        <f t="shared" si="9"/>
        <v>0</v>
      </c>
    </row>
    <row r="70" spans="1:31" x14ac:dyDescent="0.25">
      <c r="A70" s="576" t="s">
        <v>136</v>
      </c>
      <c r="B70" s="577" t="s">
        <v>137</v>
      </c>
      <c r="C70" s="583" t="s">
        <v>266</v>
      </c>
      <c r="D70" s="579">
        <v>13</v>
      </c>
      <c r="E70" s="579">
        <v>3</v>
      </c>
      <c r="F70" s="579">
        <v>10</v>
      </c>
      <c r="G70" s="579">
        <v>0</v>
      </c>
      <c r="H70" s="579">
        <v>0</v>
      </c>
      <c r="I70" s="579">
        <v>0</v>
      </c>
      <c r="J70" s="579">
        <v>0</v>
      </c>
      <c r="K70" s="579">
        <v>0</v>
      </c>
      <c r="L70" s="579">
        <v>0</v>
      </c>
      <c r="M70" s="580"/>
      <c r="N70" s="580">
        <f t="shared" ref="N70:N101" si="13">SUM(G70:K70)</f>
        <v>0</v>
      </c>
      <c r="O70" s="580"/>
      <c r="P70" s="581">
        <f t="shared" ref="P70:P101" si="14">IF(D70=0,"N/A",+E70/D70)</f>
        <v>0.23076923076923078</v>
      </c>
      <c r="Q70" s="581">
        <f t="shared" ref="Q70:Q101" si="15">IF(D70=0,"N/A",+F70/D70)</f>
        <v>0.76923076923076927</v>
      </c>
      <c r="S70" s="561">
        <v>2</v>
      </c>
      <c r="T70" s="561">
        <v>6</v>
      </c>
      <c r="U70" s="561">
        <v>3</v>
      </c>
      <c r="V70" s="561">
        <v>1</v>
      </c>
      <c r="W70" s="561">
        <v>1</v>
      </c>
      <c r="X70" s="561">
        <v>0</v>
      </c>
      <c r="Y70" s="561">
        <v>0</v>
      </c>
      <c r="AA70" s="561">
        <f t="shared" si="5"/>
        <v>8</v>
      </c>
      <c r="AB70" s="561">
        <f t="shared" si="6"/>
        <v>3</v>
      </c>
      <c r="AC70" s="561">
        <f t="shared" si="7"/>
        <v>1</v>
      </c>
      <c r="AD70" s="561">
        <f t="shared" si="8"/>
        <v>1</v>
      </c>
      <c r="AE70" s="561">
        <f t="shared" si="9"/>
        <v>0</v>
      </c>
    </row>
    <row r="71" spans="1:31" x14ac:dyDescent="0.25">
      <c r="A71" s="576" t="s">
        <v>138</v>
      </c>
      <c r="B71" s="577" t="s">
        <v>139</v>
      </c>
      <c r="C71" s="583" t="s">
        <v>265</v>
      </c>
      <c r="D71" s="579">
        <v>149</v>
      </c>
      <c r="E71" s="579">
        <v>52</v>
      </c>
      <c r="F71" s="579">
        <v>79</v>
      </c>
      <c r="G71" s="579">
        <v>0</v>
      </c>
      <c r="H71" s="579">
        <v>0</v>
      </c>
      <c r="I71" s="579">
        <v>0</v>
      </c>
      <c r="J71" s="579">
        <v>7</v>
      </c>
      <c r="K71" s="579">
        <v>11</v>
      </c>
      <c r="L71" s="579">
        <v>0</v>
      </c>
      <c r="M71" s="580"/>
      <c r="N71" s="580">
        <f t="shared" si="13"/>
        <v>18</v>
      </c>
      <c r="O71" s="580"/>
      <c r="P71" s="581">
        <f t="shared" si="14"/>
        <v>0.34899328859060402</v>
      </c>
      <c r="Q71" s="581">
        <f t="shared" si="15"/>
        <v>0.53020134228187921</v>
      </c>
      <c r="S71" s="561">
        <v>6</v>
      </c>
      <c r="T71" s="561">
        <v>51</v>
      </c>
      <c r="U71" s="561">
        <v>40</v>
      </c>
      <c r="V71" s="561">
        <v>34</v>
      </c>
      <c r="W71" s="561">
        <v>18</v>
      </c>
      <c r="X71" s="561">
        <v>0</v>
      </c>
      <c r="Y71" s="561">
        <v>0</v>
      </c>
      <c r="AA71" s="561">
        <f t="shared" ref="AA71:AA125" si="16">S71+T71</f>
        <v>57</v>
      </c>
      <c r="AB71" s="561">
        <f t="shared" ref="AB71:AB125" si="17">U71</f>
        <v>40</v>
      </c>
      <c r="AC71" s="561">
        <f t="shared" ref="AC71:AC125" si="18">V71</f>
        <v>34</v>
      </c>
      <c r="AD71" s="561">
        <f t="shared" ref="AD71:AD125" si="19">W71</f>
        <v>18</v>
      </c>
      <c r="AE71" s="561">
        <f t="shared" ref="AE71:AE125" si="20">X71</f>
        <v>0</v>
      </c>
    </row>
    <row r="72" spans="1:31" x14ac:dyDescent="0.25">
      <c r="A72" s="576" t="s">
        <v>140</v>
      </c>
      <c r="B72" s="577" t="s">
        <v>141</v>
      </c>
      <c r="C72" s="583" t="s">
        <v>267</v>
      </c>
      <c r="D72" s="579">
        <v>63</v>
      </c>
      <c r="E72" s="579">
        <v>50</v>
      </c>
      <c r="F72" s="579">
        <v>5</v>
      </c>
      <c r="G72" s="579">
        <v>1</v>
      </c>
      <c r="H72" s="579">
        <v>0</v>
      </c>
      <c r="I72" s="579">
        <v>0</v>
      </c>
      <c r="J72" s="579">
        <v>3</v>
      </c>
      <c r="K72" s="579">
        <v>3</v>
      </c>
      <c r="L72" s="579">
        <v>1</v>
      </c>
      <c r="M72" s="580"/>
      <c r="N72" s="580">
        <f t="shared" si="13"/>
        <v>7</v>
      </c>
      <c r="O72" s="580"/>
      <c r="P72" s="581">
        <f t="shared" si="14"/>
        <v>0.79365079365079361</v>
      </c>
      <c r="Q72" s="581">
        <f t="shared" si="15"/>
        <v>7.9365079365079361E-2</v>
      </c>
      <c r="S72" s="561">
        <v>5</v>
      </c>
      <c r="T72" s="561">
        <v>16</v>
      </c>
      <c r="U72" s="561">
        <v>9</v>
      </c>
      <c r="V72" s="561">
        <v>19</v>
      </c>
      <c r="W72" s="561">
        <v>14</v>
      </c>
      <c r="X72" s="561">
        <v>0</v>
      </c>
      <c r="Y72" s="561">
        <v>0</v>
      </c>
      <c r="AA72" s="561">
        <f t="shared" si="16"/>
        <v>21</v>
      </c>
      <c r="AB72" s="561">
        <f t="shared" si="17"/>
        <v>9</v>
      </c>
      <c r="AC72" s="561">
        <f t="shared" si="18"/>
        <v>19</v>
      </c>
      <c r="AD72" s="561">
        <f t="shared" si="19"/>
        <v>14</v>
      </c>
      <c r="AE72" s="561">
        <f t="shared" si="20"/>
        <v>0</v>
      </c>
    </row>
    <row r="73" spans="1:31" x14ac:dyDescent="0.25">
      <c r="A73" s="576" t="s">
        <v>142</v>
      </c>
      <c r="B73" s="577" t="s">
        <v>143</v>
      </c>
      <c r="C73" s="583" t="s">
        <v>267</v>
      </c>
      <c r="D73" s="579">
        <v>15</v>
      </c>
      <c r="E73" s="579">
        <v>2</v>
      </c>
      <c r="F73" s="579">
        <v>6</v>
      </c>
      <c r="G73" s="579">
        <v>0</v>
      </c>
      <c r="H73" s="579">
        <v>0</v>
      </c>
      <c r="I73" s="579">
        <v>0</v>
      </c>
      <c r="J73" s="579">
        <v>2</v>
      </c>
      <c r="K73" s="579">
        <v>5</v>
      </c>
      <c r="L73" s="579">
        <v>0</v>
      </c>
      <c r="M73" s="580"/>
      <c r="N73" s="580">
        <f t="shared" si="13"/>
        <v>7</v>
      </c>
      <c r="O73" s="580"/>
      <c r="P73" s="581">
        <f t="shared" si="14"/>
        <v>0.13333333333333333</v>
      </c>
      <c r="Q73" s="581">
        <f t="shared" si="15"/>
        <v>0.4</v>
      </c>
      <c r="S73" s="561">
        <v>1</v>
      </c>
      <c r="T73" s="561">
        <v>4</v>
      </c>
      <c r="U73" s="561">
        <v>2</v>
      </c>
      <c r="V73" s="561">
        <v>5</v>
      </c>
      <c r="W73" s="561">
        <v>3</v>
      </c>
      <c r="X73" s="561">
        <v>0</v>
      </c>
      <c r="Y73" s="561">
        <v>0</v>
      </c>
      <c r="AA73" s="561">
        <f t="shared" si="16"/>
        <v>5</v>
      </c>
      <c r="AB73" s="561">
        <f t="shared" si="17"/>
        <v>2</v>
      </c>
      <c r="AC73" s="561">
        <f t="shared" si="18"/>
        <v>5</v>
      </c>
      <c r="AD73" s="561">
        <f t="shared" si="19"/>
        <v>3</v>
      </c>
      <c r="AE73" s="561">
        <f t="shared" si="20"/>
        <v>0</v>
      </c>
    </row>
    <row r="74" spans="1:31" x14ac:dyDescent="0.25">
      <c r="A74" s="582" t="s">
        <v>144</v>
      </c>
      <c r="B74" s="577" t="s">
        <v>145</v>
      </c>
      <c r="C74" s="583" t="s">
        <v>267</v>
      </c>
      <c r="D74" s="579">
        <v>4</v>
      </c>
      <c r="E74" s="579">
        <v>0</v>
      </c>
      <c r="F74" s="579">
        <v>2</v>
      </c>
      <c r="G74" s="579">
        <v>0</v>
      </c>
      <c r="H74" s="579">
        <v>0</v>
      </c>
      <c r="I74" s="579">
        <v>0</v>
      </c>
      <c r="J74" s="579">
        <v>0</v>
      </c>
      <c r="K74" s="579">
        <v>2</v>
      </c>
      <c r="L74" s="579">
        <v>0</v>
      </c>
      <c r="M74" s="580"/>
      <c r="N74" s="580">
        <f t="shared" si="13"/>
        <v>2</v>
      </c>
      <c r="O74" s="580"/>
      <c r="P74" s="581">
        <f t="shared" si="14"/>
        <v>0</v>
      </c>
      <c r="Q74" s="581">
        <f t="shared" si="15"/>
        <v>0.5</v>
      </c>
      <c r="S74" s="561">
        <v>0</v>
      </c>
      <c r="T74" s="561">
        <v>2</v>
      </c>
      <c r="U74" s="561">
        <v>2</v>
      </c>
      <c r="V74" s="561">
        <v>0</v>
      </c>
      <c r="W74" s="561">
        <v>0</v>
      </c>
      <c r="X74" s="561">
        <v>0</v>
      </c>
      <c r="Y74" s="561">
        <v>0</v>
      </c>
      <c r="AA74" s="561">
        <f t="shared" si="16"/>
        <v>2</v>
      </c>
      <c r="AB74" s="561">
        <f t="shared" si="17"/>
        <v>2</v>
      </c>
      <c r="AC74" s="561">
        <f t="shared" si="18"/>
        <v>0</v>
      </c>
      <c r="AD74" s="561">
        <f t="shared" si="19"/>
        <v>0</v>
      </c>
      <c r="AE74" s="561">
        <f t="shared" si="20"/>
        <v>0</v>
      </c>
    </row>
    <row r="75" spans="1:31" x14ac:dyDescent="0.25">
      <c r="A75" s="576" t="s">
        <v>146</v>
      </c>
      <c r="B75" s="577" t="s">
        <v>147</v>
      </c>
      <c r="C75" s="583" t="s">
        <v>264</v>
      </c>
      <c r="D75" s="579">
        <v>2</v>
      </c>
      <c r="E75" s="579">
        <v>0</v>
      </c>
      <c r="F75" s="579">
        <v>1</v>
      </c>
      <c r="G75" s="579">
        <v>0</v>
      </c>
      <c r="H75" s="579">
        <v>0</v>
      </c>
      <c r="I75" s="579">
        <v>0</v>
      </c>
      <c r="J75" s="579">
        <v>0</v>
      </c>
      <c r="K75" s="579">
        <v>1</v>
      </c>
      <c r="L75" s="579">
        <v>0</v>
      </c>
      <c r="M75" s="580"/>
      <c r="N75" s="580">
        <f t="shared" si="13"/>
        <v>1</v>
      </c>
      <c r="O75" s="580"/>
      <c r="P75" s="581">
        <f t="shared" si="14"/>
        <v>0</v>
      </c>
      <c r="Q75" s="581">
        <f t="shared" si="15"/>
        <v>0.5</v>
      </c>
      <c r="S75" s="561">
        <v>1</v>
      </c>
      <c r="T75" s="561">
        <v>0</v>
      </c>
      <c r="U75" s="561">
        <v>0</v>
      </c>
      <c r="V75" s="561">
        <v>0</v>
      </c>
      <c r="W75" s="561">
        <v>1</v>
      </c>
      <c r="X75" s="561">
        <v>0</v>
      </c>
      <c r="Y75" s="561">
        <v>0</v>
      </c>
      <c r="AA75" s="561">
        <f t="shared" si="16"/>
        <v>1</v>
      </c>
      <c r="AB75" s="561">
        <f t="shared" si="17"/>
        <v>0</v>
      </c>
      <c r="AC75" s="561">
        <f t="shared" si="18"/>
        <v>0</v>
      </c>
      <c r="AD75" s="561">
        <f t="shared" si="19"/>
        <v>1</v>
      </c>
      <c r="AE75" s="561">
        <f t="shared" si="20"/>
        <v>0</v>
      </c>
    </row>
    <row r="76" spans="1:31" x14ac:dyDescent="0.25">
      <c r="A76" s="576" t="s">
        <v>148</v>
      </c>
      <c r="B76" s="577" t="s">
        <v>149</v>
      </c>
      <c r="C76" s="583" t="s">
        <v>265</v>
      </c>
      <c r="D76" s="579">
        <v>20</v>
      </c>
      <c r="E76" s="579">
        <v>9</v>
      </c>
      <c r="F76" s="579">
        <v>10</v>
      </c>
      <c r="G76" s="579">
        <v>0</v>
      </c>
      <c r="H76" s="579">
        <v>0</v>
      </c>
      <c r="I76" s="579">
        <v>0</v>
      </c>
      <c r="J76" s="579">
        <v>0</v>
      </c>
      <c r="K76" s="579">
        <v>1</v>
      </c>
      <c r="L76" s="579">
        <v>0</v>
      </c>
      <c r="M76" s="580"/>
      <c r="N76" s="580">
        <f t="shared" si="13"/>
        <v>1</v>
      </c>
      <c r="O76" s="580"/>
      <c r="P76" s="581">
        <f t="shared" si="14"/>
        <v>0.45</v>
      </c>
      <c r="Q76" s="581">
        <f t="shared" si="15"/>
        <v>0.5</v>
      </c>
      <c r="S76" s="561">
        <v>5</v>
      </c>
      <c r="T76" s="561">
        <v>6</v>
      </c>
      <c r="U76" s="561">
        <v>1</v>
      </c>
      <c r="V76" s="561">
        <v>3</v>
      </c>
      <c r="W76" s="561">
        <v>5</v>
      </c>
      <c r="X76" s="561">
        <v>0</v>
      </c>
      <c r="Y76" s="561">
        <v>0</v>
      </c>
      <c r="AA76" s="561">
        <f t="shared" si="16"/>
        <v>11</v>
      </c>
      <c r="AB76" s="561">
        <f t="shared" si="17"/>
        <v>1</v>
      </c>
      <c r="AC76" s="561">
        <f t="shared" si="18"/>
        <v>3</v>
      </c>
      <c r="AD76" s="561">
        <f t="shared" si="19"/>
        <v>5</v>
      </c>
      <c r="AE76" s="561">
        <f t="shared" si="20"/>
        <v>0</v>
      </c>
    </row>
    <row r="77" spans="1:31" x14ac:dyDescent="0.25">
      <c r="A77" s="576" t="s">
        <v>150</v>
      </c>
      <c r="B77" s="577" t="s">
        <v>151</v>
      </c>
      <c r="C77" s="583" t="s">
        <v>266</v>
      </c>
      <c r="D77" s="579">
        <v>11</v>
      </c>
      <c r="E77" s="579">
        <v>9</v>
      </c>
      <c r="F77" s="579">
        <v>1</v>
      </c>
      <c r="G77" s="579">
        <v>0</v>
      </c>
      <c r="H77" s="579">
        <v>0</v>
      </c>
      <c r="I77" s="579">
        <v>0</v>
      </c>
      <c r="J77" s="579">
        <v>0</v>
      </c>
      <c r="K77" s="579">
        <v>0</v>
      </c>
      <c r="L77" s="579">
        <v>1</v>
      </c>
      <c r="M77" s="580"/>
      <c r="N77" s="580">
        <f t="shared" si="13"/>
        <v>0</v>
      </c>
      <c r="O77" s="580"/>
      <c r="P77" s="581">
        <f t="shared" si="14"/>
        <v>0.81818181818181823</v>
      </c>
      <c r="Q77" s="581">
        <f t="shared" si="15"/>
        <v>9.0909090909090912E-2</v>
      </c>
      <c r="S77" s="561">
        <v>2</v>
      </c>
      <c r="T77" s="561">
        <v>4</v>
      </c>
      <c r="U77" s="561">
        <v>2</v>
      </c>
      <c r="V77" s="561">
        <v>1</v>
      </c>
      <c r="W77" s="561">
        <v>2</v>
      </c>
      <c r="X77" s="561">
        <v>0</v>
      </c>
      <c r="Y77" s="561">
        <v>0</v>
      </c>
      <c r="AA77" s="561">
        <f t="shared" si="16"/>
        <v>6</v>
      </c>
      <c r="AB77" s="561">
        <f t="shared" si="17"/>
        <v>2</v>
      </c>
      <c r="AC77" s="561">
        <f t="shared" si="18"/>
        <v>1</v>
      </c>
      <c r="AD77" s="561">
        <f t="shared" si="19"/>
        <v>2</v>
      </c>
      <c r="AE77" s="561">
        <f t="shared" si="20"/>
        <v>0</v>
      </c>
    </row>
    <row r="78" spans="1:31" x14ac:dyDescent="0.25">
      <c r="A78" s="576" t="s">
        <v>152</v>
      </c>
      <c r="B78" s="577" t="s">
        <v>153</v>
      </c>
      <c r="C78" s="583" t="s">
        <v>268</v>
      </c>
      <c r="D78" s="579">
        <v>25</v>
      </c>
      <c r="E78" s="579">
        <v>25</v>
      </c>
      <c r="F78" s="579">
        <v>0</v>
      </c>
      <c r="G78" s="579">
        <v>0</v>
      </c>
      <c r="H78" s="579">
        <v>0</v>
      </c>
      <c r="I78" s="579">
        <v>0</v>
      </c>
      <c r="J78" s="579">
        <v>0</v>
      </c>
      <c r="K78" s="579">
        <v>0</v>
      </c>
      <c r="L78" s="579">
        <v>0</v>
      </c>
      <c r="M78" s="580"/>
      <c r="N78" s="580">
        <f t="shared" si="13"/>
        <v>0</v>
      </c>
      <c r="O78" s="580"/>
      <c r="P78" s="581">
        <f t="shared" si="14"/>
        <v>1</v>
      </c>
      <c r="Q78" s="581">
        <f t="shared" si="15"/>
        <v>0</v>
      </c>
      <c r="S78" s="561">
        <v>2</v>
      </c>
      <c r="T78" s="561">
        <v>10</v>
      </c>
      <c r="U78" s="561">
        <v>6</v>
      </c>
      <c r="V78" s="561">
        <v>4</v>
      </c>
      <c r="W78" s="561">
        <v>3</v>
      </c>
      <c r="X78" s="561">
        <v>0</v>
      </c>
      <c r="Y78" s="561">
        <v>0</v>
      </c>
      <c r="AA78" s="561">
        <f t="shared" si="16"/>
        <v>12</v>
      </c>
      <c r="AB78" s="561">
        <f t="shared" si="17"/>
        <v>6</v>
      </c>
      <c r="AC78" s="561">
        <f t="shared" si="18"/>
        <v>4</v>
      </c>
      <c r="AD78" s="561">
        <f t="shared" si="19"/>
        <v>3</v>
      </c>
      <c r="AE78" s="561">
        <f t="shared" si="20"/>
        <v>0</v>
      </c>
    </row>
    <row r="79" spans="1:31" x14ac:dyDescent="0.25">
      <c r="A79" s="576" t="s">
        <v>154</v>
      </c>
      <c r="B79" s="577" t="s">
        <v>155</v>
      </c>
      <c r="C79" s="583" t="s">
        <v>265</v>
      </c>
      <c r="D79" s="579">
        <v>11</v>
      </c>
      <c r="E79" s="579">
        <v>11</v>
      </c>
      <c r="F79" s="579">
        <v>0</v>
      </c>
      <c r="G79" s="579">
        <v>0</v>
      </c>
      <c r="H79" s="579">
        <v>0</v>
      </c>
      <c r="I79" s="579">
        <v>0</v>
      </c>
      <c r="J79" s="579">
        <v>0</v>
      </c>
      <c r="K79" s="579">
        <v>0</v>
      </c>
      <c r="L79" s="579">
        <v>0</v>
      </c>
      <c r="M79" s="580"/>
      <c r="N79" s="580">
        <f t="shared" si="13"/>
        <v>0</v>
      </c>
      <c r="O79" s="580"/>
      <c r="P79" s="581">
        <f t="shared" si="14"/>
        <v>1</v>
      </c>
      <c r="Q79" s="581">
        <f t="shared" si="15"/>
        <v>0</v>
      </c>
      <c r="S79" s="561">
        <v>0</v>
      </c>
      <c r="T79" s="561">
        <v>3</v>
      </c>
      <c r="U79" s="561">
        <v>3</v>
      </c>
      <c r="V79" s="561">
        <v>3</v>
      </c>
      <c r="W79" s="561">
        <v>2</v>
      </c>
      <c r="X79" s="561">
        <v>0</v>
      </c>
      <c r="Y79" s="561">
        <v>0</v>
      </c>
      <c r="AA79" s="561">
        <f t="shared" si="16"/>
        <v>3</v>
      </c>
      <c r="AB79" s="561">
        <f t="shared" si="17"/>
        <v>3</v>
      </c>
      <c r="AC79" s="561">
        <f t="shared" si="18"/>
        <v>3</v>
      </c>
      <c r="AD79" s="561">
        <f t="shared" si="19"/>
        <v>2</v>
      </c>
      <c r="AE79" s="561">
        <f t="shared" si="20"/>
        <v>0</v>
      </c>
    </row>
    <row r="80" spans="1:31" x14ac:dyDescent="0.25">
      <c r="A80" s="582" t="s">
        <v>156</v>
      </c>
      <c r="B80" s="577" t="s">
        <v>157</v>
      </c>
      <c r="C80" s="583" t="s">
        <v>266</v>
      </c>
      <c r="D80" s="579">
        <v>8</v>
      </c>
      <c r="E80" s="579">
        <v>5</v>
      </c>
      <c r="F80" s="579">
        <v>3</v>
      </c>
      <c r="G80" s="579">
        <v>0</v>
      </c>
      <c r="H80" s="579">
        <v>0</v>
      </c>
      <c r="I80" s="579">
        <v>0</v>
      </c>
      <c r="J80" s="579">
        <v>0</v>
      </c>
      <c r="K80" s="579">
        <v>0</v>
      </c>
      <c r="L80" s="579">
        <v>0</v>
      </c>
      <c r="M80" s="580"/>
      <c r="N80" s="580">
        <f t="shared" si="13"/>
        <v>0</v>
      </c>
      <c r="O80" s="580"/>
      <c r="P80" s="581">
        <f t="shared" si="14"/>
        <v>0.625</v>
      </c>
      <c r="Q80" s="581">
        <f t="shared" si="15"/>
        <v>0.375</v>
      </c>
      <c r="S80" s="561">
        <v>0</v>
      </c>
      <c r="T80" s="561">
        <v>0</v>
      </c>
      <c r="U80" s="561">
        <v>4</v>
      </c>
      <c r="V80" s="561">
        <v>2</v>
      </c>
      <c r="W80" s="561">
        <v>2</v>
      </c>
      <c r="X80" s="561">
        <v>0</v>
      </c>
      <c r="Y80" s="561">
        <v>0</v>
      </c>
      <c r="AA80" s="561">
        <f t="shared" si="16"/>
        <v>0</v>
      </c>
      <c r="AB80" s="561">
        <f t="shared" si="17"/>
        <v>4</v>
      </c>
      <c r="AC80" s="561">
        <f t="shared" si="18"/>
        <v>2</v>
      </c>
      <c r="AD80" s="561">
        <f t="shared" si="19"/>
        <v>2</v>
      </c>
      <c r="AE80" s="561">
        <f t="shared" si="20"/>
        <v>0</v>
      </c>
    </row>
    <row r="81" spans="1:31" x14ac:dyDescent="0.25">
      <c r="A81" s="576" t="s">
        <v>158</v>
      </c>
      <c r="B81" s="577" t="s">
        <v>159</v>
      </c>
      <c r="C81" s="583" t="s">
        <v>264</v>
      </c>
      <c r="D81" s="579">
        <v>94</v>
      </c>
      <c r="E81" s="579">
        <v>15</v>
      </c>
      <c r="F81" s="579">
        <v>65</v>
      </c>
      <c r="G81" s="579">
        <v>0</v>
      </c>
      <c r="H81" s="579">
        <v>0</v>
      </c>
      <c r="I81" s="579">
        <v>0</v>
      </c>
      <c r="J81" s="579">
        <v>11</v>
      </c>
      <c r="K81" s="579">
        <v>3</v>
      </c>
      <c r="L81" s="579">
        <v>0</v>
      </c>
      <c r="M81" s="580"/>
      <c r="N81" s="580">
        <f t="shared" si="13"/>
        <v>14</v>
      </c>
      <c r="O81" s="580"/>
      <c r="P81" s="581">
        <f t="shared" si="14"/>
        <v>0.15957446808510639</v>
      </c>
      <c r="Q81" s="581">
        <f t="shared" si="15"/>
        <v>0.69148936170212771</v>
      </c>
      <c r="S81" s="561">
        <v>8</v>
      </c>
      <c r="T81" s="561">
        <v>20</v>
      </c>
      <c r="U81" s="561">
        <v>13</v>
      </c>
      <c r="V81" s="561">
        <v>23</v>
      </c>
      <c r="W81" s="561">
        <v>30</v>
      </c>
      <c r="X81" s="561">
        <v>0</v>
      </c>
      <c r="Y81" s="561">
        <v>0</v>
      </c>
      <c r="AA81" s="561">
        <f t="shared" si="16"/>
        <v>28</v>
      </c>
      <c r="AB81" s="561">
        <f t="shared" si="17"/>
        <v>13</v>
      </c>
      <c r="AC81" s="561">
        <f t="shared" si="18"/>
        <v>23</v>
      </c>
      <c r="AD81" s="561">
        <f t="shared" si="19"/>
        <v>30</v>
      </c>
      <c r="AE81" s="561">
        <f t="shared" si="20"/>
        <v>0</v>
      </c>
    </row>
    <row r="82" spans="1:31" x14ac:dyDescent="0.25">
      <c r="A82" s="576" t="s">
        <v>160</v>
      </c>
      <c r="B82" s="577" t="s">
        <v>161</v>
      </c>
      <c r="C82" s="583" t="s">
        <v>264</v>
      </c>
      <c r="D82" s="579">
        <v>177</v>
      </c>
      <c r="E82" s="579">
        <v>39</v>
      </c>
      <c r="F82" s="579">
        <v>104</v>
      </c>
      <c r="G82" s="579">
        <v>0</v>
      </c>
      <c r="H82" s="579">
        <v>0</v>
      </c>
      <c r="I82" s="579">
        <v>0</v>
      </c>
      <c r="J82" s="579">
        <v>12</v>
      </c>
      <c r="K82" s="579">
        <v>15</v>
      </c>
      <c r="L82" s="579">
        <v>7</v>
      </c>
      <c r="M82" s="580"/>
      <c r="N82" s="580">
        <f t="shared" si="13"/>
        <v>27</v>
      </c>
      <c r="O82" s="580"/>
      <c r="P82" s="581">
        <f t="shared" si="14"/>
        <v>0.22033898305084745</v>
      </c>
      <c r="Q82" s="581">
        <f t="shared" si="15"/>
        <v>0.58757062146892658</v>
      </c>
      <c r="S82" s="561">
        <v>15</v>
      </c>
      <c r="T82" s="561">
        <v>37</v>
      </c>
      <c r="U82" s="561">
        <v>40</v>
      </c>
      <c r="V82" s="561">
        <v>54</v>
      </c>
      <c r="W82" s="561">
        <v>31</v>
      </c>
      <c r="X82" s="561">
        <v>0</v>
      </c>
      <c r="Y82" s="561">
        <v>0</v>
      </c>
      <c r="AA82" s="561">
        <f t="shared" si="16"/>
        <v>52</v>
      </c>
      <c r="AB82" s="561">
        <f t="shared" si="17"/>
        <v>40</v>
      </c>
      <c r="AC82" s="561">
        <f t="shared" si="18"/>
        <v>54</v>
      </c>
      <c r="AD82" s="561">
        <f t="shared" si="19"/>
        <v>31</v>
      </c>
      <c r="AE82" s="561">
        <f t="shared" si="20"/>
        <v>0</v>
      </c>
    </row>
    <row r="83" spans="1:31" x14ac:dyDescent="0.25">
      <c r="A83" s="576" t="s">
        <v>162</v>
      </c>
      <c r="B83" s="577" t="s">
        <v>163</v>
      </c>
      <c r="C83" s="583" t="s">
        <v>264</v>
      </c>
      <c r="D83" s="579">
        <v>5</v>
      </c>
      <c r="E83" s="579">
        <v>0</v>
      </c>
      <c r="F83" s="579">
        <v>5</v>
      </c>
      <c r="G83" s="579">
        <v>0</v>
      </c>
      <c r="H83" s="579">
        <v>0</v>
      </c>
      <c r="I83" s="579">
        <v>0</v>
      </c>
      <c r="J83" s="579">
        <v>0</v>
      </c>
      <c r="K83" s="579">
        <v>0</v>
      </c>
      <c r="L83" s="579">
        <v>0</v>
      </c>
      <c r="M83" s="580"/>
      <c r="N83" s="580">
        <f t="shared" si="13"/>
        <v>0</v>
      </c>
      <c r="O83" s="580"/>
      <c r="P83" s="581">
        <f t="shared" si="14"/>
        <v>0</v>
      </c>
      <c r="Q83" s="581">
        <f t="shared" si="15"/>
        <v>1</v>
      </c>
      <c r="S83" s="561">
        <v>0</v>
      </c>
      <c r="T83" s="561">
        <v>0</v>
      </c>
      <c r="U83" s="561">
        <v>0</v>
      </c>
      <c r="V83" s="561">
        <v>4</v>
      </c>
      <c r="W83" s="561">
        <v>1</v>
      </c>
      <c r="X83" s="561">
        <v>0</v>
      </c>
      <c r="Y83" s="561">
        <v>0</v>
      </c>
      <c r="AA83" s="561">
        <f t="shared" si="16"/>
        <v>0</v>
      </c>
      <c r="AB83" s="561">
        <f t="shared" si="17"/>
        <v>0</v>
      </c>
      <c r="AC83" s="561">
        <f t="shared" si="18"/>
        <v>4</v>
      </c>
      <c r="AD83" s="561">
        <f t="shared" si="19"/>
        <v>1</v>
      </c>
      <c r="AE83" s="561">
        <f t="shared" si="20"/>
        <v>0</v>
      </c>
    </row>
    <row r="84" spans="1:31" x14ac:dyDescent="0.25">
      <c r="A84" s="576" t="s">
        <v>164</v>
      </c>
      <c r="B84" s="577" t="s">
        <v>165</v>
      </c>
      <c r="C84" s="583" t="s">
        <v>266</v>
      </c>
      <c r="D84" s="579">
        <v>5</v>
      </c>
      <c r="E84" s="579">
        <v>4</v>
      </c>
      <c r="F84" s="579">
        <v>0</v>
      </c>
      <c r="G84" s="579">
        <v>0</v>
      </c>
      <c r="H84" s="579">
        <v>0</v>
      </c>
      <c r="I84" s="579">
        <v>0</v>
      </c>
      <c r="J84" s="579">
        <v>1</v>
      </c>
      <c r="K84" s="579">
        <v>0</v>
      </c>
      <c r="L84" s="579">
        <v>0</v>
      </c>
      <c r="M84" s="580"/>
      <c r="N84" s="580">
        <f t="shared" si="13"/>
        <v>1</v>
      </c>
      <c r="O84" s="580"/>
      <c r="P84" s="581">
        <f t="shared" si="14"/>
        <v>0.8</v>
      </c>
      <c r="Q84" s="581">
        <f t="shared" si="15"/>
        <v>0</v>
      </c>
      <c r="S84" s="561">
        <v>0</v>
      </c>
      <c r="T84" s="561">
        <v>2</v>
      </c>
      <c r="U84" s="561">
        <v>2</v>
      </c>
      <c r="V84" s="561">
        <v>1</v>
      </c>
      <c r="W84" s="561">
        <v>0</v>
      </c>
      <c r="X84" s="561">
        <v>0</v>
      </c>
      <c r="Y84" s="561">
        <v>0</v>
      </c>
      <c r="AA84" s="561">
        <f t="shared" si="16"/>
        <v>2</v>
      </c>
      <c r="AB84" s="561">
        <f t="shared" si="17"/>
        <v>2</v>
      </c>
      <c r="AC84" s="561">
        <f t="shared" si="18"/>
        <v>1</v>
      </c>
      <c r="AD84" s="561">
        <f t="shared" si="19"/>
        <v>0</v>
      </c>
      <c r="AE84" s="561">
        <f t="shared" si="20"/>
        <v>0</v>
      </c>
    </row>
    <row r="85" spans="1:31" x14ac:dyDescent="0.25">
      <c r="A85" s="576" t="s">
        <v>166</v>
      </c>
      <c r="B85" s="577" t="s">
        <v>167</v>
      </c>
      <c r="C85" s="583" t="s">
        <v>268</v>
      </c>
      <c r="D85" s="579">
        <v>9</v>
      </c>
      <c r="E85" s="579">
        <v>7</v>
      </c>
      <c r="F85" s="579">
        <v>0</v>
      </c>
      <c r="G85" s="579">
        <v>0</v>
      </c>
      <c r="H85" s="579">
        <v>0</v>
      </c>
      <c r="I85" s="579">
        <v>0</v>
      </c>
      <c r="J85" s="579">
        <v>0</v>
      </c>
      <c r="K85" s="579">
        <v>2</v>
      </c>
      <c r="L85" s="579">
        <v>0</v>
      </c>
      <c r="M85" s="580"/>
      <c r="N85" s="580">
        <f t="shared" si="13"/>
        <v>2</v>
      </c>
      <c r="O85" s="580"/>
      <c r="P85" s="581">
        <f t="shared" si="14"/>
        <v>0.77777777777777779</v>
      </c>
      <c r="Q85" s="581">
        <f t="shared" si="15"/>
        <v>0</v>
      </c>
      <c r="S85" s="561">
        <v>1</v>
      </c>
      <c r="T85" s="561">
        <v>5</v>
      </c>
      <c r="U85" s="561">
        <v>0</v>
      </c>
      <c r="V85" s="561">
        <v>2</v>
      </c>
      <c r="W85" s="561">
        <v>1</v>
      </c>
      <c r="X85" s="561">
        <v>0</v>
      </c>
      <c r="Y85" s="561">
        <v>0</v>
      </c>
      <c r="AA85" s="561">
        <f t="shared" si="16"/>
        <v>6</v>
      </c>
      <c r="AB85" s="561">
        <f t="shared" si="17"/>
        <v>0</v>
      </c>
      <c r="AC85" s="561">
        <f t="shared" si="18"/>
        <v>2</v>
      </c>
      <c r="AD85" s="561">
        <f t="shared" si="19"/>
        <v>1</v>
      </c>
      <c r="AE85" s="561">
        <f t="shared" si="20"/>
        <v>0</v>
      </c>
    </row>
    <row r="86" spans="1:31" x14ac:dyDescent="0.25">
      <c r="A86" s="576" t="s">
        <v>168</v>
      </c>
      <c r="B86" s="577" t="s">
        <v>169</v>
      </c>
      <c r="C86" s="583" t="s">
        <v>266</v>
      </c>
      <c r="D86" s="579">
        <v>1</v>
      </c>
      <c r="E86" s="579">
        <v>0</v>
      </c>
      <c r="F86" s="579">
        <v>0</v>
      </c>
      <c r="G86" s="579">
        <v>0</v>
      </c>
      <c r="H86" s="579">
        <v>0</v>
      </c>
      <c r="I86" s="579">
        <v>0</v>
      </c>
      <c r="J86" s="579">
        <v>1</v>
      </c>
      <c r="K86" s="579">
        <v>0</v>
      </c>
      <c r="L86" s="579">
        <v>0</v>
      </c>
      <c r="M86" s="580"/>
      <c r="N86" s="580">
        <f t="shared" si="13"/>
        <v>1</v>
      </c>
      <c r="O86" s="580"/>
      <c r="P86" s="581">
        <f t="shared" si="14"/>
        <v>0</v>
      </c>
      <c r="Q86" s="581">
        <f t="shared" si="15"/>
        <v>0</v>
      </c>
      <c r="S86" s="561">
        <v>0</v>
      </c>
      <c r="T86" s="561">
        <v>0</v>
      </c>
      <c r="U86" s="561">
        <v>0</v>
      </c>
      <c r="V86" s="561">
        <v>0</v>
      </c>
      <c r="W86" s="561">
        <v>1</v>
      </c>
      <c r="X86" s="561">
        <v>0</v>
      </c>
      <c r="Y86" s="561">
        <v>0</v>
      </c>
      <c r="AA86" s="561">
        <f t="shared" si="16"/>
        <v>0</v>
      </c>
      <c r="AB86" s="561">
        <f t="shared" si="17"/>
        <v>0</v>
      </c>
      <c r="AC86" s="561">
        <f t="shared" si="18"/>
        <v>0</v>
      </c>
      <c r="AD86" s="561">
        <f t="shared" si="19"/>
        <v>1</v>
      </c>
      <c r="AE86" s="561">
        <f t="shared" si="20"/>
        <v>0</v>
      </c>
    </row>
    <row r="87" spans="1:31" x14ac:dyDescent="0.25">
      <c r="A87" s="576" t="s">
        <v>170</v>
      </c>
      <c r="B87" s="577" t="s">
        <v>171</v>
      </c>
      <c r="C87" s="583" t="s">
        <v>267</v>
      </c>
      <c r="D87" s="579">
        <v>32</v>
      </c>
      <c r="E87" s="579">
        <v>18</v>
      </c>
      <c r="F87" s="579">
        <v>5</v>
      </c>
      <c r="G87" s="579">
        <v>2</v>
      </c>
      <c r="H87" s="579">
        <v>0</v>
      </c>
      <c r="I87" s="579">
        <v>0</v>
      </c>
      <c r="J87" s="579">
        <v>4</v>
      </c>
      <c r="K87" s="579">
        <v>3</v>
      </c>
      <c r="L87" s="579">
        <v>0</v>
      </c>
      <c r="M87" s="580"/>
      <c r="N87" s="580">
        <f t="shared" si="13"/>
        <v>9</v>
      </c>
      <c r="O87" s="580"/>
      <c r="P87" s="581">
        <f t="shared" si="14"/>
        <v>0.5625</v>
      </c>
      <c r="Q87" s="581">
        <f t="shared" si="15"/>
        <v>0.15625</v>
      </c>
      <c r="S87" s="561">
        <v>0</v>
      </c>
      <c r="T87" s="561">
        <v>7</v>
      </c>
      <c r="U87" s="561">
        <v>10</v>
      </c>
      <c r="V87" s="561">
        <v>7</v>
      </c>
      <c r="W87" s="561">
        <v>8</v>
      </c>
      <c r="X87" s="561">
        <v>0</v>
      </c>
      <c r="Y87" s="561">
        <v>0</v>
      </c>
      <c r="AA87" s="561">
        <f t="shared" si="16"/>
        <v>7</v>
      </c>
      <c r="AB87" s="561">
        <f t="shared" si="17"/>
        <v>10</v>
      </c>
      <c r="AC87" s="561">
        <f t="shared" si="18"/>
        <v>7</v>
      </c>
      <c r="AD87" s="561">
        <f t="shared" si="19"/>
        <v>8</v>
      </c>
      <c r="AE87" s="561">
        <f t="shared" si="20"/>
        <v>0</v>
      </c>
    </row>
    <row r="88" spans="1:31" x14ac:dyDescent="0.25">
      <c r="A88" s="582" t="s">
        <v>172</v>
      </c>
      <c r="B88" s="577" t="s">
        <v>173</v>
      </c>
      <c r="C88" s="583" t="s">
        <v>267</v>
      </c>
      <c r="D88" s="579">
        <v>11</v>
      </c>
      <c r="E88" s="579">
        <v>9</v>
      </c>
      <c r="F88" s="579">
        <v>0</v>
      </c>
      <c r="G88" s="579">
        <v>0</v>
      </c>
      <c r="H88" s="579">
        <v>0</v>
      </c>
      <c r="I88" s="579">
        <v>0</v>
      </c>
      <c r="J88" s="579">
        <v>1</v>
      </c>
      <c r="K88" s="579">
        <v>1</v>
      </c>
      <c r="L88" s="579">
        <v>0</v>
      </c>
      <c r="M88" s="580"/>
      <c r="N88" s="580">
        <f t="shared" si="13"/>
        <v>2</v>
      </c>
      <c r="O88" s="580"/>
      <c r="P88" s="581">
        <f t="shared" si="14"/>
        <v>0.81818181818181823</v>
      </c>
      <c r="Q88" s="581">
        <f t="shared" si="15"/>
        <v>0</v>
      </c>
      <c r="S88" s="561">
        <v>1</v>
      </c>
      <c r="T88" s="561">
        <v>3</v>
      </c>
      <c r="U88" s="561">
        <v>3</v>
      </c>
      <c r="V88" s="561">
        <v>1</v>
      </c>
      <c r="W88" s="561">
        <v>3</v>
      </c>
      <c r="X88" s="561">
        <v>0</v>
      </c>
      <c r="Y88" s="561">
        <v>0</v>
      </c>
      <c r="AA88" s="561">
        <f t="shared" si="16"/>
        <v>4</v>
      </c>
      <c r="AB88" s="561">
        <f t="shared" si="17"/>
        <v>3</v>
      </c>
      <c r="AC88" s="561">
        <f t="shared" si="18"/>
        <v>1</v>
      </c>
      <c r="AD88" s="561">
        <f t="shared" si="19"/>
        <v>3</v>
      </c>
      <c r="AE88" s="561">
        <f t="shared" si="20"/>
        <v>0</v>
      </c>
    </row>
    <row r="89" spans="1:31" x14ac:dyDescent="0.25">
      <c r="A89" s="582" t="s">
        <v>174</v>
      </c>
      <c r="B89" s="577" t="s">
        <v>175</v>
      </c>
      <c r="C89" s="583" t="s">
        <v>268</v>
      </c>
      <c r="D89" s="579">
        <v>16</v>
      </c>
      <c r="E89" s="579">
        <v>16</v>
      </c>
      <c r="F89" s="579">
        <v>0</v>
      </c>
      <c r="G89" s="579">
        <v>0</v>
      </c>
      <c r="H89" s="579">
        <v>0</v>
      </c>
      <c r="I89" s="579">
        <v>0</v>
      </c>
      <c r="J89" s="579">
        <v>0</v>
      </c>
      <c r="K89" s="579">
        <v>0</v>
      </c>
      <c r="L89" s="579">
        <v>0</v>
      </c>
      <c r="M89" s="580"/>
      <c r="N89" s="580">
        <f t="shared" si="13"/>
        <v>0</v>
      </c>
      <c r="O89" s="580"/>
      <c r="P89" s="581">
        <f t="shared" si="14"/>
        <v>1</v>
      </c>
      <c r="Q89" s="581">
        <f t="shared" si="15"/>
        <v>0</v>
      </c>
      <c r="S89" s="561">
        <v>0</v>
      </c>
      <c r="T89" s="561">
        <v>4</v>
      </c>
      <c r="U89" s="561">
        <v>2</v>
      </c>
      <c r="V89" s="561">
        <v>7</v>
      </c>
      <c r="W89" s="561">
        <v>3</v>
      </c>
      <c r="X89" s="561">
        <v>0</v>
      </c>
      <c r="Y89" s="561">
        <v>0</v>
      </c>
      <c r="AA89" s="561">
        <f t="shared" si="16"/>
        <v>4</v>
      </c>
      <c r="AB89" s="561">
        <f t="shared" si="17"/>
        <v>2</v>
      </c>
      <c r="AC89" s="561">
        <f t="shared" si="18"/>
        <v>7</v>
      </c>
      <c r="AD89" s="561">
        <f t="shared" si="19"/>
        <v>3</v>
      </c>
      <c r="AE89" s="561">
        <f t="shared" si="20"/>
        <v>0</v>
      </c>
    </row>
    <row r="90" spans="1:31" x14ac:dyDescent="0.25">
      <c r="A90" s="576" t="s">
        <v>176</v>
      </c>
      <c r="B90" s="577" t="s">
        <v>177</v>
      </c>
      <c r="C90" s="583" t="s">
        <v>266</v>
      </c>
      <c r="D90" s="579">
        <v>39</v>
      </c>
      <c r="E90" s="579">
        <v>6</v>
      </c>
      <c r="F90" s="579">
        <v>29</v>
      </c>
      <c r="G90" s="579">
        <v>0</v>
      </c>
      <c r="H90" s="579">
        <v>0</v>
      </c>
      <c r="I90" s="579">
        <v>0</v>
      </c>
      <c r="J90" s="579">
        <v>1</v>
      </c>
      <c r="K90" s="579">
        <v>3</v>
      </c>
      <c r="L90" s="579">
        <v>0</v>
      </c>
      <c r="M90" s="580"/>
      <c r="N90" s="580">
        <f t="shared" si="13"/>
        <v>4</v>
      </c>
      <c r="O90" s="580"/>
      <c r="P90" s="581">
        <f t="shared" si="14"/>
        <v>0.15384615384615385</v>
      </c>
      <c r="Q90" s="581">
        <f t="shared" si="15"/>
        <v>0.74358974358974361</v>
      </c>
      <c r="S90" s="561">
        <v>2</v>
      </c>
      <c r="T90" s="561">
        <v>18</v>
      </c>
      <c r="U90" s="561">
        <v>5</v>
      </c>
      <c r="V90" s="561">
        <v>8</v>
      </c>
      <c r="W90" s="561">
        <v>6</v>
      </c>
      <c r="X90" s="561">
        <v>0</v>
      </c>
      <c r="Y90" s="561">
        <v>0</v>
      </c>
      <c r="AA90" s="561">
        <f t="shared" si="16"/>
        <v>20</v>
      </c>
      <c r="AB90" s="561">
        <f t="shared" si="17"/>
        <v>5</v>
      </c>
      <c r="AC90" s="561">
        <f t="shared" si="18"/>
        <v>8</v>
      </c>
      <c r="AD90" s="561">
        <f t="shared" si="19"/>
        <v>6</v>
      </c>
      <c r="AE90" s="561">
        <f t="shared" si="20"/>
        <v>0</v>
      </c>
    </row>
    <row r="91" spans="1:31" x14ac:dyDescent="0.25">
      <c r="A91" s="576" t="s">
        <v>178</v>
      </c>
      <c r="B91" s="577" t="s">
        <v>179</v>
      </c>
      <c r="C91" s="583" t="s">
        <v>265</v>
      </c>
      <c r="D91" s="579">
        <v>19</v>
      </c>
      <c r="E91" s="579">
        <v>13</v>
      </c>
      <c r="F91" s="579">
        <v>3</v>
      </c>
      <c r="G91" s="579">
        <v>0</v>
      </c>
      <c r="H91" s="579">
        <v>0</v>
      </c>
      <c r="I91" s="579">
        <v>0</v>
      </c>
      <c r="J91" s="579">
        <v>1</v>
      </c>
      <c r="K91" s="579">
        <v>2</v>
      </c>
      <c r="L91" s="579">
        <v>0</v>
      </c>
      <c r="M91" s="580"/>
      <c r="N91" s="580">
        <f t="shared" si="13"/>
        <v>3</v>
      </c>
      <c r="O91" s="580"/>
      <c r="P91" s="581">
        <f t="shared" si="14"/>
        <v>0.68421052631578949</v>
      </c>
      <c r="Q91" s="581">
        <f t="shared" si="15"/>
        <v>0.15789473684210525</v>
      </c>
      <c r="S91" s="561">
        <v>1</v>
      </c>
      <c r="T91" s="561">
        <v>5</v>
      </c>
      <c r="U91" s="561">
        <v>2</v>
      </c>
      <c r="V91" s="561">
        <v>2</v>
      </c>
      <c r="W91" s="561">
        <v>9</v>
      </c>
      <c r="X91" s="561">
        <v>0</v>
      </c>
      <c r="Y91" s="561">
        <v>0</v>
      </c>
      <c r="AA91" s="561">
        <f t="shared" si="16"/>
        <v>6</v>
      </c>
      <c r="AB91" s="561">
        <f t="shared" si="17"/>
        <v>2</v>
      </c>
      <c r="AC91" s="561">
        <f t="shared" si="18"/>
        <v>2</v>
      </c>
      <c r="AD91" s="561">
        <f t="shared" si="19"/>
        <v>9</v>
      </c>
      <c r="AE91" s="561">
        <f t="shared" si="20"/>
        <v>0</v>
      </c>
    </row>
    <row r="92" spans="1:31" x14ac:dyDescent="0.25">
      <c r="A92" s="576" t="s">
        <v>180</v>
      </c>
      <c r="B92" s="577" t="s">
        <v>181</v>
      </c>
      <c r="C92" s="583" t="s">
        <v>264</v>
      </c>
      <c r="D92" s="579">
        <v>109</v>
      </c>
      <c r="E92" s="579">
        <v>21</v>
      </c>
      <c r="F92" s="579">
        <v>80</v>
      </c>
      <c r="G92" s="579">
        <v>0</v>
      </c>
      <c r="H92" s="579">
        <v>0</v>
      </c>
      <c r="I92" s="579">
        <v>0</v>
      </c>
      <c r="J92" s="579">
        <v>5</v>
      </c>
      <c r="K92" s="579">
        <v>3</v>
      </c>
      <c r="L92" s="579">
        <v>0</v>
      </c>
      <c r="M92" s="580"/>
      <c r="N92" s="580">
        <f t="shared" si="13"/>
        <v>8</v>
      </c>
      <c r="O92" s="580"/>
      <c r="P92" s="581">
        <f t="shared" si="14"/>
        <v>0.19266055045871561</v>
      </c>
      <c r="Q92" s="581">
        <f t="shared" si="15"/>
        <v>0.73394495412844041</v>
      </c>
      <c r="S92" s="561">
        <v>3</v>
      </c>
      <c r="T92" s="561">
        <v>37</v>
      </c>
      <c r="U92" s="561">
        <v>26</v>
      </c>
      <c r="V92" s="561">
        <v>29</v>
      </c>
      <c r="W92" s="561">
        <v>14</v>
      </c>
      <c r="X92" s="561">
        <v>0</v>
      </c>
      <c r="Y92" s="561">
        <v>0</v>
      </c>
      <c r="AA92" s="561">
        <f t="shared" si="16"/>
        <v>40</v>
      </c>
      <c r="AB92" s="561">
        <f t="shared" si="17"/>
        <v>26</v>
      </c>
      <c r="AC92" s="561">
        <f t="shared" si="18"/>
        <v>29</v>
      </c>
      <c r="AD92" s="561">
        <f t="shared" si="19"/>
        <v>14</v>
      </c>
      <c r="AE92" s="561">
        <f t="shared" si="20"/>
        <v>0</v>
      </c>
    </row>
    <row r="93" spans="1:31" x14ac:dyDescent="0.25">
      <c r="A93" s="576" t="s">
        <v>182</v>
      </c>
      <c r="B93" s="577" t="s">
        <v>183</v>
      </c>
      <c r="C93" s="583" t="s">
        <v>266</v>
      </c>
      <c r="D93" s="579">
        <v>6</v>
      </c>
      <c r="E93" s="579">
        <v>6</v>
      </c>
      <c r="F93" s="579">
        <v>0</v>
      </c>
      <c r="G93" s="579">
        <v>0</v>
      </c>
      <c r="H93" s="579">
        <v>0</v>
      </c>
      <c r="I93" s="579">
        <v>0</v>
      </c>
      <c r="J93" s="579">
        <v>0</v>
      </c>
      <c r="K93" s="579">
        <v>0</v>
      </c>
      <c r="L93" s="579">
        <v>0</v>
      </c>
      <c r="M93" s="580"/>
      <c r="N93" s="580">
        <f t="shared" si="13"/>
        <v>0</v>
      </c>
      <c r="O93" s="580"/>
      <c r="P93" s="581">
        <f t="shared" si="14"/>
        <v>1</v>
      </c>
      <c r="Q93" s="581">
        <f t="shared" si="15"/>
        <v>0</v>
      </c>
      <c r="S93" s="561">
        <v>0</v>
      </c>
      <c r="T93" s="561">
        <v>2</v>
      </c>
      <c r="U93" s="561">
        <v>0</v>
      </c>
      <c r="V93" s="561">
        <v>2</v>
      </c>
      <c r="W93" s="561">
        <v>2</v>
      </c>
      <c r="X93" s="561">
        <v>0</v>
      </c>
      <c r="Y93" s="561">
        <v>0</v>
      </c>
      <c r="AA93" s="561">
        <f t="shared" si="16"/>
        <v>2</v>
      </c>
      <c r="AB93" s="561">
        <f t="shared" si="17"/>
        <v>0</v>
      </c>
      <c r="AC93" s="561">
        <f t="shared" si="18"/>
        <v>2</v>
      </c>
      <c r="AD93" s="561">
        <f t="shared" si="19"/>
        <v>2</v>
      </c>
      <c r="AE93" s="561">
        <f t="shared" si="20"/>
        <v>0</v>
      </c>
    </row>
    <row r="94" spans="1:31" x14ac:dyDescent="0.25">
      <c r="A94" s="576" t="s">
        <v>184</v>
      </c>
      <c r="B94" s="577" t="s">
        <v>185</v>
      </c>
      <c r="C94" s="583" t="s">
        <v>266</v>
      </c>
      <c r="D94" s="579">
        <v>16</v>
      </c>
      <c r="E94" s="579">
        <v>8</v>
      </c>
      <c r="F94" s="579">
        <v>4</v>
      </c>
      <c r="G94" s="579">
        <v>0</v>
      </c>
      <c r="H94" s="579">
        <v>0</v>
      </c>
      <c r="I94" s="579">
        <v>0</v>
      </c>
      <c r="J94" s="579">
        <v>4</v>
      </c>
      <c r="K94" s="579">
        <v>0</v>
      </c>
      <c r="L94" s="579">
        <v>0</v>
      </c>
      <c r="M94" s="580"/>
      <c r="N94" s="580">
        <f t="shared" si="13"/>
        <v>4</v>
      </c>
      <c r="O94" s="580"/>
      <c r="P94" s="581">
        <f t="shared" si="14"/>
        <v>0.5</v>
      </c>
      <c r="Q94" s="581">
        <f t="shared" si="15"/>
        <v>0.25</v>
      </c>
      <c r="S94" s="561">
        <v>0</v>
      </c>
      <c r="T94" s="561">
        <v>2</v>
      </c>
      <c r="U94" s="561">
        <v>6</v>
      </c>
      <c r="V94" s="561">
        <v>6</v>
      </c>
      <c r="W94" s="561">
        <v>2</v>
      </c>
      <c r="X94" s="561">
        <v>0</v>
      </c>
      <c r="Y94" s="561">
        <v>0</v>
      </c>
      <c r="AA94" s="561">
        <f t="shared" si="16"/>
        <v>2</v>
      </c>
      <c r="AB94" s="561">
        <f t="shared" si="17"/>
        <v>6</v>
      </c>
      <c r="AC94" s="561">
        <f t="shared" si="18"/>
        <v>6</v>
      </c>
      <c r="AD94" s="561">
        <f t="shared" si="19"/>
        <v>2</v>
      </c>
      <c r="AE94" s="561">
        <f t="shared" si="20"/>
        <v>0</v>
      </c>
    </row>
    <row r="95" spans="1:31" x14ac:dyDescent="0.25">
      <c r="A95" s="576" t="s">
        <v>186</v>
      </c>
      <c r="B95" s="577" t="s">
        <v>187</v>
      </c>
      <c r="C95" s="583" t="s">
        <v>264</v>
      </c>
      <c r="D95" s="579">
        <v>15</v>
      </c>
      <c r="E95" s="579">
        <v>11</v>
      </c>
      <c r="F95" s="579">
        <v>1</v>
      </c>
      <c r="G95" s="579">
        <v>0</v>
      </c>
      <c r="H95" s="579">
        <v>0</v>
      </c>
      <c r="I95" s="579">
        <v>0</v>
      </c>
      <c r="J95" s="579">
        <v>1</v>
      </c>
      <c r="K95" s="579">
        <v>2</v>
      </c>
      <c r="L95" s="579">
        <v>0</v>
      </c>
      <c r="M95" s="580"/>
      <c r="N95" s="580">
        <f t="shared" si="13"/>
        <v>3</v>
      </c>
      <c r="O95" s="580"/>
      <c r="P95" s="581">
        <f t="shared" si="14"/>
        <v>0.73333333333333328</v>
      </c>
      <c r="Q95" s="581">
        <f t="shared" si="15"/>
        <v>6.6666666666666666E-2</v>
      </c>
      <c r="S95" s="561">
        <v>3</v>
      </c>
      <c r="T95" s="561">
        <v>5</v>
      </c>
      <c r="U95" s="561">
        <v>2</v>
      </c>
      <c r="V95" s="561">
        <v>3</v>
      </c>
      <c r="W95" s="561">
        <v>2</v>
      </c>
      <c r="X95" s="561">
        <v>0</v>
      </c>
      <c r="Y95" s="561">
        <v>0</v>
      </c>
      <c r="AA95" s="561">
        <f t="shared" si="16"/>
        <v>8</v>
      </c>
      <c r="AB95" s="561">
        <f t="shared" si="17"/>
        <v>2</v>
      </c>
      <c r="AC95" s="561">
        <f t="shared" si="18"/>
        <v>3</v>
      </c>
      <c r="AD95" s="561">
        <f t="shared" si="19"/>
        <v>2</v>
      </c>
      <c r="AE95" s="561">
        <f t="shared" si="20"/>
        <v>0</v>
      </c>
    </row>
    <row r="96" spans="1:31" x14ac:dyDescent="0.25">
      <c r="A96" s="576" t="s">
        <v>188</v>
      </c>
      <c r="B96" s="577" t="s">
        <v>189</v>
      </c>
      <c r="C96" s="583" t="s">
        <v>267</v>
      </c>
      <c r="D96" s="579">
        <v>104</v>
      </c>
      <c r="E96" s="579">
        <v>26</v>
      </c>
      <c r="F96" s="579">
        <v>42</v>
      </c>
      <c r="G96" s="579">
        <v>1</v>
      </c>
      <c r="H96" s="579">
        <v>1</v>
      </c>
      <c r="I96" s="579">
        <v>0</v>
      </c>
      <c r="J96" s="579">
        <v>25</v>
      </c>
      <c r="K96" s="579">
        <v>7</v>
      </c>
      <c r="L96" s="579">
        <v>2</v>
      </c>
      <c r="M96" s="580"/>
      <c r="N96" s="580">
        <f t="shared" si="13"/>
        <v>34</v>
      </c>
      <c r="O96" s="580"/>
      <c r="P96" s="581">
        <f t="shared" si="14"/>
        <v>0.25</v>
      </c>
      <c r="Q96" s="581">
        <f t="shared" si="15"/>
        <v>0.40384615384615385</v>
      </c>
      <c r="S96" s="561">
        <v>6</v>
      </c>
      <c r="T96" s="561">
        <v>25</v>
      </c>
      <c r="U96" s="561">
        <v>16</v>
      </c>
      <c r="V96" s="561">
        <v>21</v>
      </c>
      <c r="W96" s="561">
        <v>36</v>
      </c>
      <c r="X96" s="561">
        <v>0</v>
      </c>
      <c r="Y96" s="561">
        <v>0</v>
      </c>
      <c r="AA96" s="561">
        <f t="shared" si="16"/>
        <v>31</v>
      </c>
      <c r="AB96" s="561">
        <f t="shared" si="17"/>
        <v>16</v>
      </c>
      <c r="AC96" s="561">
        <f t="shared" si="18"/>
        <v>21</v>
      </c>
      <c r="AD96" s="561">
        <f t="shared" si="19"/>
        <v>36</v>
      </c>
      <c r="AE96" s="561">
        <f t="shared" si="20"/>
        <v>0</v>
      </c>
    </row>
    <row r="97" spans="1:31" x14ac:dyDescent="0.25">
      <c r="A97" s="576" t="s">
        <v>190</v>
      </c>
      <c r="B97" s="577" t="s">
        <v>191</v>
      </c>
      <c r="C97" s="583" t="s">
        <v>268</v>
      </c>
      <c r="D97" s="579">
        <v>56</v>
      </c>
      <c r="E97" s="579">
        <v>39</v>
      </c>
      <c r="F97" s="579">
        <v>7</v>
      </c>
      <c r="G97" s="579">
        <v>0</v>
      </c>
      <c r="H97" s="579">
        <v>0</v>
      </c>
      <c r="I97" s="579">
        <v>0</v>
      </c>
      <c r="J97" s="579">
        <v>2</v>
      </c>
      <c r="K97" s="579">
        <v>8</v>
      </c>
      <c r="L97" s="579">
        <v>0</v>
      </c>
      <c r="M97" s="580"/>
      <c r="N97" s="580">
        <f t="shared" si="13"/>
        <v>10</v>
      </c>
      <c r="O97" s="580"/>
      <c r="P97" s="581">
        <f t="shared" si="14"/>
        <v>0.6964285714285714</v>
      </c>
      <c r="Q97" s="581">
        <f t="shared" si="15"/>
        <v>0.125</v>
      </c>
      <c r="S97" s="561">
        <v>3</v>
      </c>
      <c r="T97" s="561">
        <v>12</v>
      </c>
      <c r="U97" s="561">
        <v>7</v>
      </c>
      <c r="V97" s="561">
        <v>17</v>
      </c>
      <c r="W97" s="561">
        <v>17</v>
      </c>
      <c r="X97" s="561">
        <v>0</v>
      </c>
      <c r="Y97" s="561">
        <v>0</v>
      </c>
      <c r="AA97" s="561">
        <f t="shared" si="16"/>
        <v>15</v>
      </c>
      <c r="AB97" s="561">
        <f t="shared" si="17"/>
        <v>7</v>
      </c>
      <c r="AC97" s="561">
        <f t="shared" si="18"/>
        <v>17</v>
      </c>
      <c r="AD97" s="561">
        <f t="shared" si="19"/>
        <v>17</v>
      </c>
      <c r="AE97" s="561">
        <f t="shared" si="20"/>
        <v>0</v>
      </c>
    </row>
    <row r="98" spans="1:31" x14ac:dyDescent="0.25">
      <c r="A98" s="576" t="s">
        <v>192</v>
      </c>
      <c r="B98" s="577" t="s">
        <v>193</v>
      </c>
      <c r="C98" s="583" t="s">
        <v>268</v>
      </c>
      <c r="D98" s="579">
        <v>16</v>
      </c>
      <c r="E98" s="579">
        <v>10</v>
      </c>
      <c r="F98" s="579">
        <v>5</v>
      </c>
      <c r="G98" s="579">
        <v>0</v>
      </c>
      <c r="H98" s="579">
        <v>0</v>
      </c>
      <c r="I98" s="579">
        <v>0</v>
      </c>
      <c r="J98" s="579">
        <v>0</v>
      </c>
      <c r="K98" s="579">
        <v>1</v>
      </c>
      <c r="L98" s="579">
        <v>0</v>
      </c>
      <c r="M98" s="580"/>
      <c r="N98" s="580">
        <f t="shared" si="13"/>
        <v>1</v>
      </c>
      <c r="O98" s="580"/>
      <c r="P98" s="581">
        <f t="shared" si="14"/>
        <v>0.625</v>
      </c>
      <c r="Q98" s="581">
        <f t="shared" si="15"/>
        <v>0.3125</v>
      </c>
      <c r="S98" s="561">
        <v>0</v>
      </c>
      <c r="T98" s="561">
        <v>2</v>
      </c>
      <c r="U98" s="561">
        <v>2</v>
      </c>
      <c r="V98" s="561">
        <v>6</v>
      </c>
      <c r="W98" s="561">
        <v>6</v>
      </c>
      <c r="X98" s="561">
        <v>0</v>
      </c>
      <c r="Y98" s="561">
        <v>0</v>
      </c>
      <c r="AA98" s="561">
        <f t="shared" si="16"/>
        <v>2</v>
      </c>
      <c r="AB98" s="561">
        <f t="shared" si="17"/>
        <v>2</v>
      </c>
      <c r="AC98" s="561">
        <f t="shared" si="18"/>
        <v>6</v>
      </c>
      <c r="AD98" s="561">
        <f t="shared" si="19"/>
        <v>6</v>
      </c>
      <c r="AE98" s="561">
        <f t="shared" si="20"/>
        <v>0</v>
      </c>
    </row>
    <row r="99" spans="1:31" x14ac:dyDescent="0.25">
      <c r="A99" s="576" t="s">
        <v>194</v>
      </c>
      <c r="B99" s="577" t="s">
        <v>195</v>
      </c>
      <c r="C99" s="583" t="s">
        <v>267</v>
      </c>
      <c r="D99" s="579">
        <v>11</v>
      </c>
      <c r="E99" s="579">
        <v>8</v>
      </c>
      <c r="F99" s="579">
        <v>0</v>
      </c>
      <c r="G99" s="579">
        <v>0</v>
      </c>
      <c r="H99" s="579">
        <v>0</v>
      </c>
      <c r="I99" s="579">
        <v>0</v>
      </c>
      <c r="J99" s="579">
        <v>0</v>
      </c>
      <c r="K99" s="579">
        <v>3</v>
      </c>
      <c r="L99" s="579">
        <v>0</v>
      </c>
      <c r="M99" s="580"/>
      <c r="N99" s="580">
        <f t="shared" si="13"/>
        <v>3</v>
      </c>
      <c r="O99" s="580"/>
      <c r="P99" s="581">
        <f t="shared" si="14"/>
        <v>0.72727272727272729</v>
      </c>
      <c r="Q99" s="581">
        <f t="shared" si="15"/>
        <v>0</v>
      </c>
      <c r="S99" s="561">
        <v>2</v>
      </c>
      <c r="T99" s="561">
        <v>1</v>
      </c>
      <c r="U99" s="561">
        <v>2</v>
      </c>
      <c r="V99" s="561">
        <v>4</v>
      </c>
      <c r="W99" s="561">
        <v>2</v>
      </c>
      <c r="X99" s="561">
        <v>0</v>
      </c>
      <c r="Y99" s="561">
        <v>0</v>
      </c>
      <c r="AA99" s="561">
        <f t="shared" si="16"/>
        <v>3</v>
      </c>
      <c r="AB99" s="561">
        <f t="shared" si="17"/>
        <v>2</v>
      </c>
      <c r="AC99" s="561">
        <f t="shared" si="18"/>
        <v>4</v>
      </c>
      <c r="AD99" s="561">
        <f t="shared" si="19"/>
        <v>2</v>
      </c>
      <c r="AE99" s="561">
        <f t="shared" si="20"/>
        <v>0</v>
      </c>
    </row>
    <row r="100" spans="1:31" x14ac:dyDescent="0.25">
      <c r="A100" s="576" t="s">
        <v>196</v>
      </c>
      <c r="B100" s="577" t="s">
        <v>197</v>
      </c>
      <c r="C100" s="583" t="s">
        <v>266</v>
      </c>
      <c r="D100" s="579">
        <v>290</v>
      </c>
      <c r="E100" s="579">
        <v>17</v>
      </c>
      <c r="F100" s="579">
        <v>246</v>
      </c>
      <c r="G100" s="579">
        <v>0</v>
      </c>
      <c r="H100" s="579">
        <v>0</v>
      </c>
      <c r="I100" s="579">
        <v>0</v>
      </c>
      <c r="J100" s="579">
        <v>13</v>
      </c>
      <c r="K100" s="579">
        <v>13</v>
      </c>
      <c r="L100" s="579">
        <v>1</v>
      </c>
      <c r="M100" s="580"/>
      <c r="N100" s="580">
        <f t="shared" si="13"/>
        <v>26</v>
      </c>
      <c r="O100" s="580"/>
      <c r="P100" s="581">
        <f t="shared" si="14"/>
        <v>5.8620689655172413E-2</v>
      </c>
      <c r="Q100" s="581">
        <f t="shared" si="15"/>
        <v>0.84827586206896555</v>
      </c>
      <c r="S100" s="561">
        <v>16</v>
      </c>
      <c r="T100" s="561">
        <v>69</v>
      </c>
      <c r="U100" s="561">
        <v>44</v>
      </c>
      <c r="V100" s="561">
        <v>81</v>
      </c>
      <c r="W100" s="561">
        <v>80</v>
      </c>
      <c r="X100" s="561">
        <v>0</v>
      </c>
      <c r="Y100" s="561">
        <v>0</v>
      </c>
      <c r="AA100" s="561">
        <f t="shared" si="16"/>
        <v>85</v>
      </c>
      <c r="AB100" s="561">
        <f t="shared" si="17"/>
        <v>44</v>
      </c>
      <c r="AC100" s="561">
        <f t="shared" si="18"/>
        <v>81</v>
      </c>
      <c r="AD100" s="561">
        <f t="shared" si="19"/>
        <v>80</v>
      </c>
      <c r="AE100" s="561">
        <f t="shared" si="20"/>
        <v>0</v>
      </c>
    </row>
    <row r="101" spans="1:31" x14ac:dyDescent="0.25">
      <c r="A101" s="576" t="s">
        <v>198</v>
      </c>
      <c r="B101" s="577" t="s">
        <v>272</v>
      </c>
      <c r="C101" s="583" t="s">
        <v>266</v>
      </c>
      <c r="D101" s="579">
        <v>2</v>
      </c>
      <c r="E101" s="579">
        <v>0</v>
      </c>
      <c r="F101" s="579">
        <v>2</v>
      </c>
      <c r="G101" s="579">
        <v>0</v>
      </c>
      <c r="H101" s="579">
        <v>0</v>
      </c>
      <c r="I101" s="579">
        <v>0</v>
      </c>
      <c r="J101" s="579">
        <v>0</v>
      </c>
      <c r="K101" s="579">
        <v>0</v>
      </c>
      <c r="L101" s="579">
        <v>0</v>
      </c>
      <c r="M101" s="580"/>
      <c r="N101" s="580">
        <f t="shared" si="13"/>
        <v>0</v>
      </c>
      <c r="O101" s="580"/>
      <c r="P101" s="581">
        <f t="shared" si="14"/>
        <v>0</v>
      </c>
      <c r="Q101" s="581">
        <f t="shared" si="15"/>
        <v>1</v>
      </c>
      <c r="S101" s="561">
        <v>0</v>
      </c>
      <c r="T101" s="561">
        <v>0</v>
      </c>
      <c r="U101" s="561">
        <v>0</v>
      </c>
      <c r="V101" s="561">
        <v>1</v>
      </c>
      <c r="W101" s="561">
        <v>1</v>
      </c>
      <c r="X101" s="561">
        <v>0</v>
      </c>
      <c r="Y101" s="561">
        <v>0</v>
      </c>
      <c r="AA101" s="561">
        <f t="shared" si="16"/>
        <v>0</v>
      </c>
      <c r="AB101" s="561">
        <f t="shared" si="17"/>
        <v>0</v>
      </c>
      <c r="AC101" s="561">
        <f t="shared" si="18"/>
        <v>1</v>
      </c>
      <c r="AD101" s="561">
        <f t="shared" si="19"/>
        <v>1</v>
      </c>
      <c r="AE101" s="561">
        <f t="shared" si="20"/>
        <v>0</v>
      </c>
    </row>
    <row r="102" spans="1:31" x14ac:dyDescent="0.25">
      <c r="A102" s="576" t="s">
        <v>200</v>
      </c>
      <c r="B102" s="577" t="s">
        <v>201</v>
      </c>
      <c r="C102" s="583" t="s">
        <v>265</v>
      </c>
      <c r="D102" s="579">
        <v>263</v>
      </c>
      <c r="E102" s="579">
        <v>124</v>
      </c>
      <c r="F102" s="579">
        <v>61</v>
      </c>
      <c r="G102" s="579">
        <v>0</v>
      </c>
      <c r="H102" s="579">
        <v>0</v>
      </c>
      <c r="I102" s="579">
        <v>0</v>
      </c>
      <c r="J102" s="579">
        <v>11</v>
      </c>
      <c r="K102" s="579">
        <v>45</v>
      </c>
      <c r="L102" s="579">
        <v>22</v>
      </c>
      <c r="M102" s="580"/>
      <c r="N102" s="580">
        <f t="shared" ref="N102:N125" si="21">SUM(G102:K102)</f>
        <v>56</v>
      </c>
      <c r="O102" s="580"/>
      <c r="P102" s="581">
        <f t="shared" ref="P102:P125" si="22">IF(D102=0,"N/A",+E102/D102)</f>
        <v>0.47148288973384028</v>
      </c>
      <c r="Q102" s="581">
        <f t="shared" ref="Q102:Q125" si="23">IF(D102=0,"N/A",+F102/D102)</f>
        <v>0.23193916349809887</v>
      </c>
      <c r="S102" s="561">
        <v>19</v>
      </c>
      <c r="T102" s="561">
        <v>95</v>
      </c>
      <c r="U102" s="561">
        <v>56</v>
      </c>
      <c r="V102" s="561">
        <v>52</v>
      </c>
      <c r="W102" s="561">
        <v>41</v>
      </c>
      <c r="X102" s="561">
        <v>0</v>
      </c>
      <c r="Y102" s="561">
        <v>0</v>
      </c>
      <c r="AA102" s="561">
        <f t="shared" si="16"/>
        <v>114</v>
      </c>
      <c r="AB102" s="561">
        <f t="shared" si="17"/>
        <v>56</v>
      </c>
      <c r="AC102" s="561">
        <f t="shared" si="18"/>
        <v>52</v>
      </c>
      <c r="AD102" s="561">
        <f t="shared" si="19"/>
        <v>41</v>
      </c>
      <c r="AE102" s="561">
        <f t="shared" si="20"/>
        <v>0</v>
      </c>
    </row>
    <row r="103" spans="1:31" x14ac:dyDescent="0.25">
      <c r="A103" s="576" t="s">
        <v>202</v>
      </c>
      <c r="B103" s="577" t="s">
        <v>283</v>
      </c>
      <c r="C103" s="583" t="s">
        <v>265</v>
      </c>
      <c r="D103" s="579">
        <v>92</v>
      </c>
      <c r="E103" s="579">
        <v>71</v>
      </c>
      <c r="F103" s="579">
        <v>8</v>
      </c>
      <c r="G103" s="579">
        <v>0</v>
      </c>
      <c r="H103" s="579">
        <v>1</v>
      </c>
      <c r="I103" s="579">
        <v>0</v>
      </c>
      <c r="J103" s="579">
        <v>3</v>
      </c>
      <c r="K103" s="579">
        <v>7</v>
      </c>
      <c r="L103" s="579">
        <v>2</v>
      </c>
      <c r="M103" s="580"/>
      <c r="N103" s="580">
        <f t="shared" si="21"/>
        <v>11</v>
      </c>
      <c r="O103" s="580"/>
      <c r="P103" s="581">
        <f t="shared" si="22"/>
        <v>0.77173913043478259</v>
      </c>
      <c r="Q103" s="581">
        <f t="shared" si="23"/>
        <v>8.6956521739130432E-2</v>
      </c>
      <c r="S103" s="561">
        <v>3</v>
      </c>
      <c r="T103" s="561">
        <v>27</v>
      </c>
      <c r="U103" s="561">
        <v>16</v>
      </c>
      <c r="V103" s="561">
        <v>28</v>
      </c>
      <c r="W103" s="561">
        <v>18</v>
      </c>
      <c r="X103" s="561">
        <v>0</v>
      </c>
      <c r="Y103" s="561">
        <v>0</v>
      </c>
      <c r="AA103" s="561">
        <f t="shared" si="16"/>
        <v>30</v>
      </c>
      <c r="AB103" s="561">
        <f t="shared" si="17"/>
        <v>16</v>
      </c>
      <c r="AC103" s="561">
        <f t="shared" si="18"/>
        <v>28</v>
      </c>
      <c r="AD103" s="561">
        <f t="shared" si="19"/>
        <v>18</v>
      </c>
      <c r="AE103" s="561">
        <f t="shared" si="20"/>
        <v>0</v>
      </c>
    </row>
    <row r="104" spans="1:31" x14ac:dyDescent="0.25">
      <c r="A104" s="576" t="s">
        <v>204</v>
      </c>
      <c r="B104" s="577" t="s">
        <v>284</v>
      </c>
      <c r="C104" s="583" t="s">
        <v>265</v>
      </c>
      <c r="D104" s="579">
        <v>22</v>
      </c>
      <c r="E104" s="579">
        <v>20</v>
      </c>
      <c r="F104" s="579">
        <v>0</v>
      </c>
      <c r="G104" s="579">
        <v>0</v>
      </c>
      <c r="H104" s="579">
        <v>0</v>
      </c>
      <c r="I104" s="579">
        <v>0</v>
      </c>
      <c r="J104" s="579">
        <v>0</v>
      </c>
      <c r="K104" s="579">
        <v>2</v>
      </c>
      <c r="L104" s="579">
        <v>0</v>
      </c>
      <c r="M104" s="580"/>
      <c r="N104" s="580">
        <f t="shared" si="21"/>
        <v>2</v>
      </c>
      <c r="O104" s="580"/>
      <c r="P104" s="581">
        <f t="shared" si="22"/>
        <v>0.90909090909090906</v>
      </c>
      <c r="Q104" s="581">
        <f t="shared" si="23"/>
        <v>0</v>
      </c>
      <c r="S104" s="561">
        <v>0</v>
      </c>
      <c r="T104" s="561">
        <v>6</v>
      </c>
      <c r="U104" s="561">
        <v>6</v>
      </c>
      <c r="V104" s="561">
        <v>7</v>
      </c>
      <c r="W104" s="561">
        <v>3</v>
      </c>
      <c r="X104" s="561">
        <v>0</v>
      </c>
      <c r="Y104" s="561">
        <v>0</v>
      </c>
      <c r="AA104" s="561">
        <f t="shared" si="16"/>
        <v>6</v>
      </c>
      <c r="AB104" s="561">
        <f t="shared" si="17"/>
        <v>6</v>
      </c>
      <c r="AC104" s="561">
        <f t="shared" si="18"/>
        <v>7</v>
      </c>
      <c r="AD104" s="561">
        <f t="shared" si="19"/>
        <v>3</v>
      </c>
      <c r="AE104" s="561">
        <f t="shared" si="20"/>
        <v>0</v>
      </c>
    </row>
    <row r="105" spans="1:31" x14ac:dyDescent="0.25">
      <c r="A105" s="576" t="s">
        <v>206</v>
      </c>
      <c r="B105" s="577" t="s">
        <v>207</v>
      </c>
      <c r="C105" s="583" t="s">
        <v>267</v>
      </c>
      <c r="D105" s="579">
        <v>155</v>
      </c>
      <c r="E105" s="579">
        <v>95</v>
      </c>
      <c r="F105" s="579">
        <v>19</v>
      </c>
      <c r="G105" s="579">
        <v>0</v>
      </c>
      <c r="H105" s="579">
        <v>0</v>
      </c>
      <c r="I105" s="579">
        <v>0</v>
      </c>
      <c r="J105" s="579">
        <v>25</v>
      </c>
      <c r="K105" s="579">
        <v>15</v>
      </c>
      <c r="L105" s="579">
        <v>1</v>
      </c>
      <c r="M105" s="580"/>
      <c r="N105" s="580">
        <f t="shared" si="21"/>
        <v>40</v>
      </c>
      <c r="O105" s="580"/>
      <c r="P105" s="581">
        <f t="shared" si="22"/>
        <v>0.61290322580645162</v>
      </c>
      <c r="Q105" s="581">
        <f t="shared" si="23"/>
        <v>0.12258064516129032</v>
      </c>
      <c r="S105" s="561">
        <v>13</v>
      </c>
      <c r="T105" s="561">
        <v>42</v>
      </c>
      <c r="U105" s="561">
        <v>31</v>
      </c>
      <c r="V105" s="561">
        <v>34</v>
      </c>
      <c r="W105" s="561">
        <v>35</v>
      </c>
      <c r="X105" s="561">
        <v>0</v>
      </c>
      <c r="Y105" s="561">
        <v>0</v>
      </c>
      <c r="AA105" s="561">
        <f t="shared" si="16"/>
        <v>55</v>
      </c>
      <c r="AB105" s="561">
        <f t="shared" si="17"/>
        <v>31</v>
      </c>
      <c r="AC105" s="561">
        <f t="shared" si="18"/>
        <v>34</v>
      </c>
      <c r="AD105" s="561">
        <f t="shared" si="19"/>
        <v>35</v>
      </c>
      <c r="AE105" s="561">
        <f t="shared" si="20"/>
        <v>0</v>
      </c>
    </row>
    <row r="106" spans="1:31" x14ac:dyDescent="0.25">
      <c r="A106" s="576" t="s">
        <v>208</v>
      </c>
      <c r="B106" s="577" t="s">
        <v>209</v>
      </c>
      <c r="C106" s="583" t="s">
        <v>268</v>
      </c>
      <c r="D106" s="579">
        <v>85</v>
      </c>
      <c r="E106" s="579">
        <v>81</v>
      </c>
      <c r="F106" s="579">
        <v>0</v>
      </c>
      <c r="G106" s="579">
        <v>0</v>
      </c>
      <c r="H106" s="579">
        <v>0</v>
      </c>
      <c r="I106" s="579">
        <v>0</v>
      </c>
      <c r="J106" s="579">
        <v>2</v>
      </c>
      <c r="K106" s="579">
        <v>2</v>
      </c>
      <c r="L106" s="579">
        <v>0</v>
      </c>
      <c r="M106" s="580"/>
      <c r="N106" s="580">
        <f t="shared" si="21"/>
        <v>4</v>
      </c>
      <c r="O106" s="580"/>
      <c r="P106" s="581">
        <f t="shared" si="22"/>
        <v>0.95294117647058818</v>
      </c>
      <c r="Q106" s="581">
        <f t="shared" si="23"/>
        <v>0</v>
      </c>
      <c r="S106" s="561">
        <v>1</v>
      </c>
      <c r="T106" s="561">
        <v>14</v>
      </c>
      <c r="U106" s="561">
        <v>16</v>
      </c>
      <c r="V106" s="561">
        <v>39</v>
      </c>
      <c r="W106" s="561">
        <v>15</v>
      </c>
      <c r="X106" s="561">
        <v>0</v>
      </c>
      <c r="Y106" s="561">
        <v>0</v>
      </c>
      <c r="AA106" s="561">
        <f t="shared" si="16"/>
        <v>15</v>
      </c>
      <c r="AB106" s="561">
        <f t="shared" si="17"/>
        <v>16</v>
      </c>
      <c r="AC106" s="561">
        <f t="shared" si="18"/>
        <v>39</v>
      </c>
      <c r="AD106" s="561">
        <f t="shared" si="19"/>
        <v>15</v>
      </c>
      <c r="AE106" s="561">
        <f t="shared" si="20"/>
        <v>0</v>
      </c>
    </row>
    <row r="107" spans="1:31" x14ac:dyDescent="0.25">
      <c r="A107" s="582" t="s">
        <v>210</v>
      </c>
      <c r="B107" s="577" t="s">
        <v>211</v>
      </c>
      <c r="C107" s="583" t="s">
        <v>268</v>
      </c>
      <c r="D107" s="579">
        <v>46</v>
      </c>
      <c r="E107" s="579">
        <v>39</v>
      </c>
      <c r="F107" s="579">
        <v>1</v>
      </c>
      <c r="G107" s="579">
        <v>0</v>
      </c>
      <c r="H107" s="579">
        <v>1</v>
      </c>
      <c r="I107" s="579">
        <v>0</v>
      </c>
      <c r="J107" s="579">
        <v>3</v>
      </c>
      <c r="K107" s="579">
        <v>2</v>
      </c>
      <c r="L107" s="579">
        <v>0</v>
      </c>
      <c r="M107" s="580"/>
      <c r="N107" s="580">
        <f t="shared" si="21"/>
        <v>6</v>
      </c>
      <c r="O107" s="580"/>
      <c r="P107" s="581">
        <f t="shared" si="22"/>
        <v>0.84782608695652173</v>
      </c>
      <c r="Q107" s="581">
        <f t="shared" si="23"/>
        <v>2.1739130434782608E-2</v>
      </c>
      <c r="S107" s="561">
        <v>1</v>
      </c>
      <c r="T107" s="561">
        <v>9</v>
      </c>
      <c r="U107" s="561">
        <v>9</v>
      </c>
      <c r="V107" s="561">
        <v>18</v>
      </c>
      <c r="W107" s="561">
        <v>9</v>
      </c>
      <c r="X107" s="561">
        <v>0</v>
      </c>
      <c r="Y107" s="561">
        <v>0</v>
      </c>
      <c r="AA107" s="561">
        <f t="shared" si="16"/>
        <v>10</v>
      </c>
      <c r="AB107" s="561">
        <f t="shared" si="17"/>
        <v>9</v>
      </c>
      <c r="AC107" s="561">
        <f t="shared" si="18"/>
        <v>18</v>
      </c>
      <c r="AD107" s="561">
        <f t="shared" si="19"/>
        <v>9</v>
      </c>
      <c r="AE107" s="561">
        <f t="shared" si="20"/>
        <v>0</v>
      </c>
    </row>
    <row r="108" spans="1:31" x14ac:dyDescent="0.25">
      <c r="A108" s="576" t="s">
        <v>212</v>
      </c>
      <c r="B108" s="577" t="s">
        <v>213</v>
      </c>
      <c r="C108" s="583" t="s">
        <v>267</v>
      </c>
      <c r="D108" s="579">
        <v>9</v>
      </c>
      <c r="E108" s="579">
        <v>9</v>
      </c>
      <c r="F108" s="579">
        <v>0</v>
      </c>
      <c r="G108" s="579">
        <v>0</v>
      </c>
      <c r="H108" s="579">
        <v>0</v>
      </c>
      <c r="I108" s="579">
        <v>0</v>
      </c>
      <c r="J108" s="579">
        <v>0</v>
      </c>
      <c r="K108" s="579">
        <v>0</v>
      </c>
      <c r="L108" s="579">
        <v>0</v>
      </c>
      <c r="M108" s="580"/>
      <c r="N108" s="580">
        <f t="shared" si="21"/>
        <v>0</v>
      </c>
      <c r="O108" s="580"/>
      <c r="P108" s="581">
        <f t="shared" si="22"/>
        <v>1</v>
      </c>
      <c r="Q108" s="581">
        <f t="shared" si="23"/>
        <v>0</v>
      </c>
      <c r="S108" s="561">
        <v>0</v>
      </c>
      <c r="T108" s="561">
        <v>4</v>
      </c>
      <c r="U108" s="561">
        <v>0</v>
      </c>
      <c r="V108" s="561">
        <v>1</v>
      </c>
      <c r="W108" s="561">
        <v>4</v>
      </c>
      <c r="X108" s="561">
        <v>0</v>
      </c>
      <c r="Y108" s="561">
        <v>0</v>
      </c>
      <c r="AA108" s="561">
        <f t="shared" si="16"/>
        <v>4</v>
      </c>
      <c r="AB108" s="561">
        <f t="shared" si="17"/>
        <v>0</v>
      </c>
      <c r="AC108" s="561">
        <f t="shared" si="18"/>
        <v>1</v>
      </c>
      <c r="AD108" s="561">
        <f t="shared" si="19"/>
        <v>4</v>
      </c>
      <c r="AE108" s="561">
        <f t="shared" si="20"/>
        <v>0</v>
      </c>
    </row>
    <row r="109" spans="1:31" x14ac:dyDescent="0.25">
      <c r="A109" s="576" t="s">
        <v>214</v>
      </c>
      <c r="B109" s="577" t="s">
        <v>215</v>
      </c>
      <c r="C109" s="583" t="s">
        <v>268</v>
      </c>
      <c r="D109" s="579">
        <v>29</v>
      </c>
      <c r="E109" s="579">
        <v>22</v>
      </c>
      <c r="F109" s="579">
        <v>0</v>
      </c>
      <c r="G109" s="579">
        <v>0</v>
      </c>
      <c r="H109" s="579">
        <v>0</v>
      </c>
      <c r="I109" s="579">
        <v>0</v>
      </c>
      <c r="J109" s="579">
        <v>1</v>
      </c>
      <c r="K109" s="579">
        <v>6</v>
      </c>
      <c r="L109" s="579">
        <v>0</v>
      </c>
      <c r="M109" s="580"/>
      <c r="N109" s="580">
        <f t="shared" si="21"/>
        <v>7</v>
      </c>
      <c r="O109" s="580"/>
      <c r="P109" s="581">
        <f t="shared" si="22"/>
        <v>0.75862068965517238</v>
      </c>
      <c r="Q109" s="581">
        <f t="shared" si="23"/>
        <v>0</v>
      </c>
      <c r="S109" s="561">
        <v>0</v>
      </c>
      <c r="T109" s="561">
        <v>10</v>
      </c>
      <c r="U109" s="561">
        <v>7</v>
      </c>
      <c r="V109" s="561">
        <v>9</v>
      </c>
      <c r="W109" s="561">
        <v>3</v>
      </c>
      <c r="X109" s="561">
        <v>0</v>
      </c>
      <c r="Y109" s="561">
        <v>0</v>
      </c>
      <c r="AA109" s="561">
        <f t="shared" si="16"/>
        <v>10</v>
      </c>
      <c r="AB109" s="561">
        <f t="shared" si="17"/>
        <v>7</v>
      </c>
      <c r="AC109" s="561">
        <f t="shared" si="18"/>
        <v>9</v>
      </c>
      <c r="AD109" s="561">
        <f t="shared" si="19"/>
        <v>3</v>
      </c>
      <c r="AE109" s="561">
        <f t="shared" si="20"/>
        <v>0</v>
      </c>
    </row>
    <row r="110" spans="1:31" x14ac:dyDescent="0.25">
      <c r="A110" s="576" t="s">
        <v>216</v>
      </c>
      <c r="B110" s="577" t="s">
        <v>217</v>
      </c>
      <c r="C110" s="583" t="s">
        <v>264</v>
      </c>
      <c r="D110" s="579">
        <v>5</v>
      </c>
      <c r="E110" s="579">
        <v>3</v>
      </c>
      <c r="F110" s="579">
        <v>2</v>
      </c>
      <c r="G110" s="579">
        <v>0</v>
      </c>
      <c r="H110" s="579">
        <v>0</v>
      </c>
      <c r="I110" s="579">
        <v>0</v>
      </c>
      <c r="J110" s="579">
        <v>0</v>
      </c>
      <c r="K110" s="579">
        <v>0</v>
      </c>
      <c r="L110" s="579">
        <v>0</v>
      </c>
      <c r="M110" s="580"/>
      <c r="N110" s="580">
        <f t="shared" si="21"/>
        <v>0</v>
      </c>
      <c r="O110" s="580"/>
      <c r="P110" s="581">
        <f t="shared" si="22"/>
        <v>0.6</v>
      </c>
      <c r="Q110" s="581">
        <f t="shared" si="23"/>
        <v>0.4</v>
      </c>
      <c r="S110" s="561">
        <v>0</v>
      </c>
      <c r="T110" s="561">
        <v>0</v>
      </c>
      <c r="U110" s="561">
        <v>0</v>
      </c>
      <c r="V110" s="561">
        <v>3</v>
      </c>
      <c r="W110" s="561">
        <v>2</v>
      </c>
      <c r="X110" s="561">
        <v>0</v>
      </c>
      <c r="Y110" s="561">
        <v>0</v>
      </c>
      <c r="AA110" s="561">
        <f t="shared" si="16"/>
        <v>0</v>
      </c>
      <c r="AB110" s="561">
        <f t="shared" si="17"/>
        <v>0</v>
      </c>
      <c r="AC110" s="561">
        <f t="shared" si="18"/>
        <v>3</v>
      </c>
      <c r="AD110" s="561">
        <f t="shared" si="19"/>
        <v>2</v>
      </c>
      <c r="AE110" s="561">
        <f t="shared" si="20"/>
        <v>0</v>
      </c>
    </row>
    <row r="111" spans="1:31" x14ac:dyDescent="0.25">
      <c r="A111" s="576" t="s">
        <v>218</v>
      </c>
      <c r="B111" s="577" t="s">
        <v>219</v>
      </c>
      <c r="C111" s="583" t="s">
        <v>267</v>
      </c>
      <c r="D111" s="579">
        <v>95</v>
      </c>
      <c r="E111" s="579">
        <v>39</v>
      </c>
      <c r="F111" s="579">
        <v>26</v>
      </c>
      <c r="G111" s="579">
        <v>0</v>
      </c>
      <c r="H111" s="579">
        <v>0</v>
      </c>
      <c r="I111" s="579">
        <v>0</v>
      </c>
      <c r="J111" s="579">
        <v>10</v>
      </c>
      <c r="K111" s="579">
        <v>18</v>
      </c>
      <c r="L111" s="579">
        <v>2</v>
      </c>
      <c r="M111" s="580"/>
      <c r="N111" s="580">
        <f t="shared" si="21"/>
        <v>28</v>
      </c>
      <c r="O111" s="580"/>
      <c r="P111" s="581">
        <f t="shared" si="22"/>
        <v>0.41052631578947368</v>
      </c>
      <c r="Q111" s="581">
        <f t="shared" si="23"/>
        <v>0.27368421052631581</v>
      </c>
      <c r="S111" s="561">
        <v>5</v>
      </c>
      <c r="T111" s="561">
        <v>28</v>
      </c>
      <c r="U111" s="561">
        <v>27</v>
      </c>
      <c r="V111" s="561">
        <v>19</v>
      </c>
      <c r="W111" s="561">
        <v>16</v>
      </c>
      <c r="X111" s="561">
        <v>0</v>
      </c>
      <c r="Y111" s="561">
        <v>0</v>
      </c>
      <c r="AA111" s="561">
        <f t="shared" si="16"/>
        <v>33</v>
      </c>
      <c r="AB111" s="561">
        <f t="shared" si="17"/>
        <v>27</v>
      </c>
      <c r="AC111" s="561">
        <f t="shared" si="18"/>
        <v>19</v>
      </c>
      <c r="AD111" s="561">
        <f t="shared" si="19"/>
        <v>16</v>
      </c>
      <c r="AE111" s="561">
        <f t="shared" si="20"/>
        <v>0</v>
      </c>
    </row>
    <row r="112" spans="1:31" x14ac:dyDescent="0.25">
      <c r="A112" s="576" t="s">
        <v>220</v>
      </c>
      <c r="B112" s="577" t="s">
        <v>221</v>
      </c>
      <c r="C112" s="583" t="s">
        <v>267</v>
      </c>
      <c r="D112" s="579">
        <v>29</v>
      </c>
      <c r="E112" s="579">
        <v>13</v>
      </c>
      <c r="F112" s="579">
        <v>5</v>
      </c>
      <c r="G112" s="579">
        <v>0</v>
      </c>
      <c r="H112" s="579">
        <v>0</v>
      </c>
      <c r="I112" s="579">
        <v>0</v>
      </c>
      <c r="J112" s="579">
        <v>3</v>
      </c>
      <c r="K112" s="579">
        <v>7</v>
      </c>
      <c r="L112" s="579">
        <v>1</v>
      </c>
      <c r="M112" s="580"/>
      <c r="N112" s="580">
        <f t="shared" si="21"/>
        <v>10</v>
      </c>
      <c r="O112" s="580"/>
      <c r="P112" s="581">
        <f t="shared" si="22"/>
        <v>0.44827586206896552</v>
      </c>
      <c r="Q112" s="581">
        <f t="shared" si="23"/>
        <v>0.17241379310344829</v>
      </c>
      <c r="S112" s="561">
        <v>4</v>
      </c>
      <c r="T112" s="561">
        <v>12</v>
      </c>
      <c r="U112" s="561">
        <v>5</v>
      </c>
      <c r="V112" s="561">
        <v>2</v>
      </c>
      <c r="W112" s="561">
        <v>6</v>
      </c>
      <c r="X112" s="561">
        <v>0</v>
      </c>
      <c r="Y112" s="561">
        <v>0</v>
      </c>
      <c r="AA112" s="561">
        <f t="shared" si="16"/>
        <v>16</v>
      </c>
      <c r="AB112" s="561">
        <f t="shared" si="17"/>
        <v>5</v>
      </c>
      <c r="AC112" s="561">
        <f t="shared" si="18"/>
        <v>2</v>
      </c>
      <c r="AD112" s="561">
        <f t="shared" si="19"/>
        <v>6</v>
      </c>
      <c r="AE112" s="561">
        <f t="shared" si="20"/>
        <v>0</v>
      </c>
    </row>
    <row r="113" spans="1:31" x14ac:dyDescent="0.25">
      <c r="A113" s="576" t="s">
        <v>222</v>
      </c>
      <c r="B113" s="577" t="s">
        <v>223</v>
      </c>
      <c r="C113" s="583" t="s">
        <v>264</v>
      </c>
      <c r="D113" s="579">
        <v>12</v>
      </c>
      <c r="E113" s="579">
        <v>3</v>
      </c>
      <c r="F113" s="579">
        <v>8</v>
      </c>
      <c r="G113" s="579">
        <v>0</v>
      </c>
      <c r="H113" s="579">
        <v>0</v>
      </c>
      <c r="I113" s="579">
        <v>0</v>
      </c>
      <c r="J113" s="579">
        <v>1</v>
      </c>
      <c r="K113" s="579">
        <v>0</v>
      </c>
      <c r="L113" s="579">
        <v>0</v>
      </c>
      <c r="M113" s="580"/>
      <c r="N113" s="580">
        <f t="shared" si="21"/>
        <v>1</v>
      </c>
      <c r="O113" s="580"/>
      <c r="P113" s="581">
        <f t="shared" si="22"/>
        <v>0.25</v>
      </c>
      <c r="Q113" s="581">
        <f t="shared" si="23"/>
        <v>0.66666666666666663</v>
      </c>
      <c r="S113" s="561">
        <v>0</v>
      </c>
      <c r="T113" s="561">
        <v>0</v>
      </c>
      <c r="U113" s="561">
        <v>0</v>
      </c>
      <c r="V113" s="561">
        <v>3</v>
      </c>
      <c r="W113" s="561">
        <v>9</v>
      </c>
      <c r="X113" s="561">
        <v>0</v>
      </c>
      <c r="Y113" s="561">
        <v>0</v>
      </c>
      <c r="AA113" s="561">
        <f t="shared" si="16"/>
        <v>0</v>
      </c>
      <c r="AB113" s="561">
        <f t="shared" si="17"/>
        <v>0</v>
      </c>
      <c r="AC113" s="561">
        <f t="shared" si="18"/>
        <v>3</v>
      </c>
      <c r="AD113" s="561">
        <f t="shared" si="19"/>
        <v>9</v>
      </c>
      <c r="AE113" s="561">
        <f t="shared" si="20"/>
        <v>0</v>
      </c>
    </row>
    <row r="114" spans="1:31" x14ac:dyDescent="0.25">
      <c r="A114" s="582" t="s">
        <v>224</v>
      </c>
      <c r="B114" s="577" t="s">
        <v>225</v>
      </c>
      <c r="C114" s="583" t="s">
        <v>264</v>
      </c>
      <c r="D114" s="579">
        <v>0</v>
      </c>
      <c r="E114" s="579">
        <v>0</v>
      </c>
      <c r="F114" s="579">
        <v>0</v>
      </c>
      <c r="G114" s="579">
        <v>0</v>
      </c>
      <c r="H114" s="579">
        <v>0</v>
      </c>
      <c r="I114" s="579">
        <v>0</v>
      </c>
      <c r="J114" s="579">
        <v>0</v>
      </c>
      <c r="K114" s="579">
        <v>0</v>
      </c>
      <c r="L114" s="579">
        <v>0</v>
      </c>
      <c r="M114" s="580"/>
      <c r="N114" s="580">
        <f t="shared" si="21"/>
        <v>0</v>
      </c>
      <c r="O114" s="580"/>
      <c r="P114" s="581" t="str">
        <f t="shared" si="22"/>
        <v>N/A</v>
      </c>
      <c r="Q114" s="581" t="str">
        <f t="shared" si="23"/>
        <v>N/A</v>
      </c>
      <c r="S114" s="561">
        <v>0</v>
      </c>
      <c r="T114" s="561">
        <v>0</v>
      </c>
      <c r="U114" s="561">
        <v>0</v>
      </c>
      <c r="V114" s="561">
        <v>0</v>
      </c>
      <c r="W114" s="561">
        <v>0</v>
      </c>
      <c r="X114" s="561">
        <v>0</v>
      </c>
      <c r="Y114" s="561">
        <v>0</v>
      </c>
      <c r="AA114" s="561">
        <f t="shared" si="16"/>
        <v>0</v>
      </c>
      <c r="AB114" s="561">
        <f t="shared" si="17"/>
        <v>0</v>
      </c>
      <c r="AC114" s="561">
        <f t="shared" si="18"/>
        <v>0</v>
      </c>
      <c r="AD114" s="561">
        <f t="shared" si="19"/>
        <v>0</v>
      </c>
      <c r="AE114" s="561">
        <f t="shared" si="20"/>
        <v>0</v>
      </c>
    </row>
    <row r="115" spans="1:31" x14ac:dyDescent="0.25">
      <c r="A115" s="576" t="s">
        <v>226</v>
      </c>
      <c r="B115" s="577" t="s">
        <v>227</v>
      </c>
      <c r="C115" s="583" t="s">
        <v>264</v>
      </c>
      <c r="D115" s="579">
        <v>4</v>
      </c>
      <c r="E115" s="579">
        <v>0</v>
      </c>
      <c r="F115" s="579">
        <v>0</v>
      </c>
      <c r="G115" s="579">
        <v>0</v>
      </c>
      <c r="H115" s="579">
        <v>0</v>
      </c>
      <c r="I115" s="579">
        <v>0</v>
      </c>
      <c r="J115" s="579">
        <v>1</v>
      </c>
      <c r="K115" s="579">
        <v>3</v>
      </c>
      <c r="L115" s="579">
        <v>0</v>
      </c>
      <c r="M115" s="580"/>
      <c r="N115" s="580">
        <f t="shared" si="21"/>
        <v>4</v>
      </c>
      <c r="O115" s="580"/>
      <c r="P115" s="581">
        <f t="shared" si="22"/>
        <v>0</v>
      </c>
      <c r="Q115" s="581">
        <f t="shared" si="23"/>
        <v>0</v>
      </c>
      <c r="S115" s="561">
        <v>1</v>
      </c>
      <c r="T115" s="561">
        <v>2</v>
      </c>
      <c r="U115" s="561">
        <v>1</v>
      </c>
      <c r="V115" s="561">
        <v>0</v>
      </c>
      <c r="W115" s="561">
        <v>0</v>
      </c>
      <c r="X115" s="561">
        <v>0</v>
      </c>
      <c r="Y115" s="561">
        <v>0</v>
      </c>
      <c r="AA115" s="561">
        <f t="shared" si="16"/>
        <v>3</v>
      </c>
      <c r="AB115" s="561">
        <f t="shared" si="17"/>
        <v>1</v>
      </c>
      <c r="AC115" s="561">
        <f t="shared" si="18"/>
        <v>0</v>
      </c>
      <c r="AD115" s="561">
        <f t="shared" si="19"/>
        <v>0</v>
      </c>
      <c r="AE115" s="561">
        <f t="shared" si="20"/>
        <v>0</v>
      </c>
    </row>
    <row r="116" spans="1:31" x14ac:dyDescent="0.25">
      <c r="A116" s="576" t="s">
        <v>228</v>
      </c>
      <c r="B116" s="577" t="s">
        <v>229</v>
      </c>
      <c r="C116" s="583" t="s">
        <v>268</v>
      </c>
      <c r="D116" s="579">
        <v>43</v>
      </c>
      <c r="E116" s="579">
        <v>33</v>
      </c>
      <c r="F116" s="579">
        <v>1</v>
      </c>
      <c r="G116" s="579">
        <v>0</v>
      </c>
      <c r="H116" s="579">
        <v>0</v>
      </c>
      <c r="I116" s="579">
        <v>0</v>
      </c>
      <c r="J116" s="579">
        <v>2</v>
      </c>
      <c r="K116" s="579">
        <v>7</v>
      </c>
      <c r="L116" s="579">
        <v>0</v>
      </c>
      <c r="M116" s="580"/>
      <c r="N116" s="580">
        <f t="shared" si="21"/>
        <v>9</v>
      </c>
      <c r="O116" s="580"/>
      <c r="P116" s="581">
        <f t="shared" si="22"/>
        <v>0.76744186046511631</v>
      </c>
      <c r="Q116" s="581">
        <f t="shared" si="23"/>
        <v>2.3255813953488372E-2</v>
      </c>
      <c r="S116" s="561">
        <v>2</v>
      </c>
      <c r="T116" s="561">
        <v>14</v>
      </c>
      <c r="U116" s="561">
        <v>3</v>
      </c>
      <c r="V116" s="561">
        <v>16</v>
      </c>
      <c r="W116" s="561">
        <v>8</v>
      </c>
      <c r="X116" s="561">
        <v>0</v>
      </c>
      <c r="Y116" s="561">
        <v>0</v>
      </c>
      <c r="AA116" s="561">
        <f t="shared" si="16"/>
        <v>16</v>
      </c>
      <c r="AB116" s="561">
        <f t="shared" si="17"/>
        <v>3</v>
      </c>
      <c r="AC116" s="561">
        <f t="shared" si="18"/>
        <v>16</v>
      </c>
      <c r="AD116" s="561">
        <f t="shared" si="19"/>
        <v>8</v>
      </c>
      <c r="AE116" s="561">
        <f t="shared" si="20"/>
        <v>0</v>
      </c>
    </row>
    <row r="117" spans="1:31" x14ac:dyDescent="0.25">
      <c r="A117" s="576" t="s">
        <v>230</v>
      </c>
      <c r="B117" s="577" t="s">
        <v>231</v>
      </c>
      <c r="C117" s="583" t="s">
        <v>264</v>
      </c>
      <c r="D117" s="579">
        <v>231</v>
      </c>
      <c r="E117" s="579">
        <v>98</v>
      </c>
      <c r="F117" s="579">
        <v>73</v>
      </c>
      <c r="G117" s="579">
        <v>6</v>
      </c>
      <c r="H117" s="579">
        <v>1</v>
      </c>
      <c r="I117" s="579">
        <v>0</v>
      </c>
      <c r="J117" s="579">
        <v>28</v>
      </c>
      <c r="K117" s="579">
        <v>23</v>
      </c>
      <c r="L117" s="579">
        <v>2</v>
      </c>
      <c r="M117" s="580"/>
      <c r="N117" s="580">
        <f t="shared" si="21"/>
        <v>58</v>
      </c>
      <c r="O117" s="580"/>
      <c r="P117" s="581">
        <f t="shared" si="22"/>
        <v>0.42424242424242425</v>
      </c>
      <c r="Q117" s="581">
        <f t="shared" si="23"/>
        <v>0.31601731601731603</v>
      </c>
      <c r="S117" s="561">
        <v>17</v>
      </c>
      <c r="T117" s="561">
        <v>59</v>
      </c>
      <c r="U117" s="561">
        <v>55</v>
      </c>
      <c r="V117" s="561">
        <v>59</v>
      </c>
      <c r="W117" s="561">
        <v>41</v>
      </c>
      <c r="X117" s="561">
        <v>0</v>
      </c>
      <c r="Y117" s="561">
        <v>0</v>
      </c>
      <c r="AA117" s="561">
        <f t="shared" si="16"/>
        <v>76</v>
      </c>
      <c r="AB117" s="561">
        <f t="shared" si="17"/>
        <v>55</v>
      </c>
      <c r="AC117" s="561">
        <f t="shared" si="18"/>
        <v>59</v>
      </c>
      <c r="AD117" s="561">
        <f t="shared" si="19"/>
        <v>41</v>
      </c>
      <c r="AE117" s="561">
        <f t="shared" si="20"/>
        <v>0</v>
      </c>
    </row>
    <row r="118" spans="1:31" x14ac:dyDescent="0.25">
      <c r="A118" s="576" t="s">
        <v>232</v>
      </c>
      <c r="B118" s="577" t="s">
        <v>233</v>
      </c>
      <c r="C118" s="583" t="s">
        <v>267</v>
      </c>
      <c r="D118" s="579">
        <v>18</v>
      </c>
      <c r="E118" s="579">
        <v>8</v>
      </c>
      <c r="F118" s="579">
        <v>5</v>
      </c>
      <c r="G118" s="579">
        <v>0</v>
      </c>
      <c r="H118" s="579">
        <v>0</v>
      </c>
      <c r="I118" s="579">
        <v>0</v>
      </c>
      <c r="J118" s="579">
        <v>4</v>
      </c>
      <c r="K118" s="579">
        <v>1</v>
      </c>
      <c r="L118" s="579">
        <v>0</v>
      </c>
      <c r="M118" s="580"/>
      <c r="N118" s="580">
        <f t="shared" si="21"/>
        <v>5</v>
      </c>
      <c r="O118" s="580"/>
      <c r="P118" s="581">
        <f t="shared" si="22"/>
        <v>0.44444444444444442</v>
      </c>
      <c r="Q118" s="581">
        <f t="shared" si="23"/>
        <v>0.27777777777777779</v>
      </c>
      <c r="S118" s="561">
        <v>2</v>
      </c>
      <c r="T118" s="561">
        <v>6</v>
      </c>
      <c r="U118" s="561">
        <v>2</v>
      </c>
      <c r="V118" s="561">
        <v>3</v>
      </c>
      <c r="W118" s="561">
        <v>5</v>
      </c>
      <c r="X118" s="561">
        <v>0</v>
      </c>
      <c r="Y118" s="561">
        <v>0</v>
      </c>
      <c r="AA118" s="561">
        <f t="shared" si="16"/>
        <v>8</v>
      </c>
      <c r="AB118" s="561">
        <f t="shared" si="17"/>
        <v>2</v>
      </c>
      <c r="AC118" s="561">
        <f t="shared" si="18"/>
        <v>3</v>
      </c>
      <c r="AD118" s="561">
        <f t="shared" si="19"/>
        <v>5</v>
      </c>
      <c r="AE118" s="561">
        <f t="shared" si="20"/>
        <v>0</v>
      </c>
    </row>
    <row r="119" spans="1:31" x14ac:dyDescent="0.25">
      <c r="A119" s="576" t="s">
        <v>234</v>
      </c>
      <c r="B119" s="577" t="s">
        <v>235</v>
      </c>
      <c r="C119" s="583" t="s">
        <v>268</v>
      </c>
      <c r="D119" s="579">
        <v>37</v>
      </c>
      <c r="E119" s="579">
        <v>32</v>
      </c>
      <c r="F119" s="579">
        <v>1</v>
      </c>
      <c r="G119" s="579">
        <v>0</v>
      </c>
      <c r="H119" s="579">
        <v>0</v>
      </c>
      <c r="I119" s="579">
        <v>0</v>
      </c>
      <c r="J119" s="579">
        <v>3</v>
      </c>
      <c r="K119" s="579">
        <v>0</v>
      </c>
      <c r="L119" s="579">
        <v>1</v>
      </c>
      <c r="M119" s="580"/>
      <c r="N119" s="580">
        <f t="shared" si="21"/>
        <v>3</v>
      </c>
      <c r="O119" s="580"/>
      <c r="P119" s="581">
        <f t="shared" si="22"/>
        <v>0.86486486486486491</v>
      </c>
      <c r="Q119" s="581">
        <f t="shared" si="23"/>
        <v>2.7027027027027029E-2</v>
      </c>
      <c r="S119" s="561">
        <v>1</v>
      </c>
      <c r="T119" s="561">
        <v>9</v>
      </c>
      <c r="U119" s="561">
        <v>6</v>
      </c>
      <c r="V119" s="561">
        <v>10</v>
      </c>
      <c r="W119" s="561">
        <v>11</v>
      </c>
      <c r="X119" s="561">
        <v>0</v>
      </c>
      <c r="Y119" s="561">
        <v>0</v>
      </c>
      <c r="AA119" s="561">
        <f t="shared" si="16"/>
        <v>10</v>
      </c>
      <c r="AB119" s="561">
        <f t="shared" si="17"/>
        <v>6</v>
      </c>
      <c r="AC119" s="561">
        <f t="shared" si="18"/>
        <v>10</v>
      </c>
      <c r="AD119" s="561">
        <f t="shared" si="19"/>
        <v>11</v>
      </c>
      <c r="AE119" s="561">
        <f t="shared" si="20"/>
        <v>0</v>
      </c>
    </row>
    <row r="120" spans="1:31" x14ac:dyDescent="0.25">
      <c r="A120" s="576" t="s">
        <v>236</v>
      </c>
      <c r="B120" s="577" t="s">
        <v>237</v>
      </c>
      <c r="C120" s="583" t="s">
        <v>266</v>
      </c>
      <c r="D120" s="579">
        <v>6</v>
      </c>
      <c r="E120" s="579">
        <v>4</v>
      </c>
      <c r="F120" s="579">
        <v>1</v>
      </c>
      <c r="G120" s="579">
        <v>0</v>
      </c>
      <c r="H120" s="579">
        <v>0</v>
      </c>
      <c r="I120" s="579">
        <v>0</v>
      </c>
      <c r="J120" s="579">
        <v>0</v>
      </c>
      <c r="K120" s="579">
        <v>0</v>
      </c>
      <c r="L120" s="579">
        <v>1</v>
      </c>
      <c r="M120" s="580"/>
      <c r="N120" s="580">
        <f t="shared" si="21"/>
        <v>0</v>
      </c>
      <c r="O120" s="580"/>
      <c r="P120" s="581">
        <f t="shared" si="22"/>
        <v>0.66666666666666663</v>
      </c>
      <c r="Q120" s="581">
        <f t="shared" si="23"/>
        <v>0.16666666666666666</v>
      </c>
      <c r="S120" s="561">
        <v>1</v>
      </c>
      <c r="T120" s="561">
        <v>0</v>
      </c>
      <c r="U120" s="561">
        <v>2</v>
      </c>
      <c r="V120" s="561">
        <v>1</v>
      </c>
      <c r="W120" s="561">
        <v>2</v>
      </c>
      <c r="X120" s="561">
        <v>0</v>
      </c>
      <c r="Y120" s="561">
        <v>0</v>
      </c>
      <c r="AA120" s="561">
        <f t="shared" si="16"/>
        <v>1</v>
      </c>
      <c r="AB120" s="561">
        <f t="shared" si="17"/>
        <v>2</v>
      </c>
      <c r="AC120" s="561">
        <f t="shared" si="18"/>
        <v>1</v>
      </c>
      <c r="AD120" s="561">
        <f t="shared" si="19"/>
        <v>2</v>
      </c>
      <c r="AE120" s="561">
        <f t="shared" si="20"/>
        <v>0</v>
      </c>
    </row>
    <row r="121" spans="1:31" x14ac:dyDescent="0.25">
      <c r="A121" s="576" t="s">
        <v>238</v>
      </c>
      <c r="B121" s="577" t="s">
        <v>239</v>
      </c>
      <c r="C121" s="583" t="s">
        <v>264</v>
      </c>
      <c r="D121" s="579">
        <v>1</v>
      </c>
      <c r="E121" s="579">
        <v>0</v>
      </c>
      <c r="F121" s="579">
        <v>1</v>
      </c>
      <c r="G121" s="579">
        <v>0</v>
      </c>
      <c r="H121" s="579">
        <v>0</v>
      </c>
      <c r="I121" s="579">
        <v>0</v>
      </c>
      <c r="J121" s="579">
        <v>0</v>
      </c>
      <c r="K121" s="579">
        <v>0</v>
      </c>
      <c r="L121" s="579">
        <v>0</v>
      </c>
      <c r="M121" s="580"/>
      <c r="N121" s="580">
        <f t="shared" si="21"/>
        <v>0</v>
      </c>
      <c r="O121" s="580"/>
      <c r="P121" s="581">
        <f t="shared" si="22"/>
        <v>0</v>
      </c>
      <c r="Q121" s="581">
        <f t="shared" si="23"/>
        <v>1</v>
      </c>
      <c r="S121" s="561">
        <v>0</v>
      </c>
      <c r="T121" s="561">
        <v>1</v>
      </c>
      <c r="U121" s="561">
        <v>0</v>
      </c>
      <c r="V121" s="561">
        <v>0</v>
      </c>
      <c r="W121" s="561">
        <v>0</v>
      </c>
      <c r="X121" s="561">
        <v>0</v>
      </c>
      <c r="Y121" s="561">
        <v>0</v>
      </c>
      <c r="AA121" s="561">
        <f t="shared" si="16"/>
        <v>1</v>
      </c>
      <c r="AB121" s="561">
        <f t="shared" si="17"/>
        <v>0</v>
      </c>
      <c r="AC121" s="561">
        <f t="shared" si="18"/>
        <v>0</v>
      </c>
      <c r="AD121" s="561">
        <f t="shared" si="19"/>
        <v>0</v>
      </c>
      <c r="AE121" s="561">
        <f t="shared" si="20"/>
        <v>0</v>
      </c>
    </row>
    <row r="122" spans="1:31" x14ac:dyDescent="0.25">
      <c r="A122" s="1132" t="s">
        <v>240</v>
      </c>
      <c r="B122" s="1133" t="s">
        <v>241</v>
      </c>
      <c r="C122" s="583" t="s">
        <v>267</v>
      </c>
      <c r="D122" s="1134">
        <v>28</v>
      </c>
      <c r="E122" s="1134">
        <v>17</v>
      </c>
      <c r="F122" s="1134">
        <v>2</v>
      </c>
      <c r="G122" s="1134">
        <v>0</v>
      </c>
      <c r="H122" s="1134">
        <v>0</v>
      </c>
      <c r="I122" s="1134">
        <v>0</v>
      </c>
      <c r="J122" s="1134">
        <v>3</v>
      </c>
      <c r="K122" s="1134">
        <v>6</v>
      </c>
      <c r="L122" s="1134">
        <v>0</v>
      </c>
      <c r="M122" s="1135"/>
      <c r="N122" s="580">
        <f t="shared" si="21"/>
        <v>9</v>
      </c>
      <c r="O122" s="1135"/>
      <c r="P122" s="581">
        <f t="shared" si="22"/>
        <v>0.6071428571428571</v>
      </c>
      <c r="Q122" s="581">
        <f t="shared" si="23"/>
        <v>7.1428571428571425E-2</v>
      </c>
      <c r="S122" s="561">
        <v>1</v>
      </c>
      <c r="T122" s="561">
        <v>9</v>
      </c>
      <c r="U122" s="561">
        <v>5</v>
      </c>
      <c r="V122" s="561">
        <v>11</v>
      </c>
      <c r="W122" s="561">
        <v>2</v>
      </c>
      <c r="X122" s="561">
        <v>0</v>
      </c>
      <c r="Y122" s="561">
        <v>0</v>
      </c>
      <c r="AA122" s="561">
        <f t="shared" si="16"/>
        <v>10</v>
      </c>
      <c r="AB122" s="561">
        <f t="shared" si="17"/>
        <v>5</v>
      </c>
      <c r="AC122" s="561">
        <f t="shared" si="18"/>
        <v>11</v>
      </c>
      <c r="AD122" s="561">
        <f t="shared" si="19"/>
        <v>2</v>
      </c>
      <c r="AE122" s="561">
        <f t="shared" si="20"/>
        <v>0</v>
      </c>
    </row>
    <row r="123" spans="1:31" x14ac:dyDescent="0.25">
      <c r="A123" s="576" t="s">
        <v>242</v>
      </c>
      <c r="B123" s="577" t="s">
        <v>243</v>
      </c>
      <c r="C123" s="583" t="s">
        <v>268</v>
      </c>
      <c r="D123" s="579">
        <v>95</v>
      </c>
      <c r="E123" s="579">
        <v>86</v>
      </c>
      <c r="F123" s="579">
        <v>2</v>
      </c>
      <c r="G123" s="579">
        <v>0</v>
      </c>
      <c r="H123" s="579">
        <v>0</v>
      </c>
      <c r="I123" s="579">
        <v>0</v>
      </c>
      <c r="J123" s="579">
        <v>3</v>
      </c>
      <c r="K123" s="579">
        <v>4</v>
      </c>
      <c r="L123" s="579">
        <v>0</v>
      </c>
      <c r="M123" s="580"/>
      <c r="N123" s="580">
        <f t="shared" si="21"/>
        <v>7</v>
      </c>
      <c r="O123" s="580"/>
      <c r="P123" s="581">
        <f t="shared" si="22"/>
        <v>0.90526315789473688</v>
      </c>
      <c r="Q123" s="581">
        <f t="shared" si="23"/>
        <v>2.1052631578947368E-2</v>
      </c>
      <c r="S123" s="561">
        <v>4</v>
      </c>
      <c r="T123" s="561">
        <v>35</v>
      </c>
      <c r="U123" s="561">
        <v>20</v>
      </c>
      <c r="V123" s="561">
        <v>23</v>
      </c>
      <c r="W123" s="561">
        <v>13</v>
      </c>
      <c r="X123" s="561">
        <v>0</v>
      </c>
      <c r="Y123" s="561">
        <v>0</v>
      </c>
      <c r="AA123" s="561">
        <f t="shared" si="16"/>
        <v>39</v>
      </c>
      <c r="AB123" s="561">
        <f t="shared" si="17"/>
        <v>20</v>
      </c>
      <c r="AC123" s="561">
        <f t="shared" si="18"/>
        <v>23</v>
      </c>
      <c r="AD123" s="561">
        <f t="shared" si="19"/>
        <v>13</v>
      </c>
      <c r="AE123" s="561">
        <f t="shared" si="20"/>
        <v>0</v>
      </c>
    </row>
    <row r="124" spans="1:31" x14ac:dyDescent="0.25">
      <c r="A124" s="576" t="s">
        <v>244</v>
      </c>
      <c r="B124" s="577" t="s">
        <v>245</v>
      </c>
      <c r="C124" s="583" t="s">
        <v>268</v>
      </c>
      <c r="D124" s="579">
        <v>32</v>
      </c>
      <c r="E124" s="579">
        <v>26</v>
      </c>
      <c r="F124" s="579">
        <v>1</v>
      </c>
      <c r="G124" s="579">
        <v>0</v>
      </c>
      <c r="H124" s="579">
        <v>0</v>
      </c>
      <c r="I124" s="579">
        <v>0</v>
      </c>
      <c r="J124" s="579">
        <v>2</v>
      </c>
      <c r="K124" s="579">
        <v>2</v>
      </c>
      <c r="L124" s="579">
        <v>1</v>
      </c>
      <c r="M124" s="580"/>
      <c r="N124" s="580">
        <f t="shared" si="21"/>
        <v>4</v>
      </c>
      <c r="O124" s="580"/>
      <c r="P124" s="581">
        <f t="shared" si="22"/>
        <v>0.8125</v>
      </c>
      <c r="Q124" s="581">
        <f t="shared" si="23"/>
        <v>3.125E-2</v>
      </c>
      <c r="S124" s="561">
        <v>2</v>
      </c>
      <c r="T124" s="561">
        <v>8</v>
      </c>
      <c r="U124" s="561">
        <v>7</v>
      </c>
      <c r="V124" s="561">
        <v>9</v>
      </c>
      <c r="W124" s="561">
        <v>6</v>
      </c>
      <c r="X124" s="561">
        <v>0</v>
      </c>
      <c r="Y124" s="561">
        <v>0</v>
      </c>
      <c r="AA124" s="561">
        <f t="shared" si="16"/>
        <v>10</v>
      </c>
      <c r="AB124" s="561">
        <f t="shared" si="17"/>
        <v>7</v>
      </c>
      <c r="AC124" s="561">
        <f t="shared" si="18"/>
        <v>9</v>
      </c>
      <c r="AD124" s="561">
        <f t="shared" si="19"/>
        <v>6</v>
      </c>
      <c r="AE124" s="561">
        <f t="shared" si="20"/>
        <v>0</v>
      </c>
    </row>
    <row r="125" spans="1:31" x14ac:dyDescent="0.25">
      <c r="A125" s="584" t="s">
        <v>246</v>
      </c>
      <c r="B125" s="585" t="s">
        <v>247</v>
      </c>
      <c r="C125" s="591" t="s">
        <v>264</v>
      </c>
      <c r="D125" s="1138">
        <v>6</v>
      </c>
      <c r="E125" s="1138">
        <v>5</v>
      </c>
      <c r="F125" s="1138">
        <v>1</v>
      </c>
      <c r="G125" s="1138">
        <v>0</v>
      </c>
      <c r="H125" s="1759">
        <v>0</v>
      </c>
      <c r="I125" s="1138">
        <v>0</v>
      </c>
      <c r="J125" s="1138">
        <v>0</v>
      </c>
      <c r="K125" s="1138">
        <v>0</v>
      </c>
      <c r="L125" s="1138">
        <v>0</v>
      </c>
      <c r="M125" s="586"/>
      <c r="N125" s="580">
        <f t="shared" si="21"/>
        <v>0</v>
      </c>
      <c r="O125" s="1135"/>
      <c r="P125" s="581">
        <f t="shared" si="22"/>
        <v>0.83333333333333337</v>
      </c>
      <c r="Q125" s="581">
        <f t="shared" si="23"/>
        <v>0.16666666666666666</v>
      </c>
      <c r="S125" s="561">
        <v>0</v>
      </c>
      <c r="T125" s="561">
        <v>0</v>
      </c>
      <c r="U125" s="561">
        <v>0</v>
      </c>
      <c r="V125" s="561">
        <v>5</v>
      </c>
      <c r="W125" s="561">
        <v>1</v>
      </c>
      <c r="X125" s="561">
        <v>0</v>
      </c>
      <c r="Y125" s="561">
        <v>0</v>
      </c>
      <c r="AA125" s="561">
        <f t="shared" si="16"/>
        <v>0</v>
      </c>
      <c r="AB125" s="561">
        <f t="shared" si="17"/>
        <v>0</v>
      </c>
      <c r="AC125" s="561">
        <f t="shared" si="18"/>
        <v>5</v>
      </c>
      <c r="AD125" s="561">
        <f t="shared" si="19"/>
        <v>1</v>
      </c>
      <c r="AE125" s="561">
        <f t="shared" si="20"/>
        <v>0</v>
      </c>
    </row>
    <row r="127" spans="1:31" ht="31.5" customHeight="1" x14ac:dyDescent="0.25">
      <c r="A127" s="2284" t="s">
        <v>1326</v>
      </c>
      <c r="B127" s="2284"/>
      <c r="C127" s="2284"/>
      <c r="D127" s="2284"/>
      <c r="E127" s="2284"/>
      <c r="F127" s="2284"/>
      <c r="G127" s="2284"/>
      <c r="H127" s="2284"/>
      <c r="I127" s="2284"/>
      <c r="J127" s="2284"/>
      <c r="K127" s="2284"/>
      <c r="L127" s="2284"/>
      <c r="M127" s="2284"/>
      <c r="N127" s="2284"/>
      <c r="O127" s="2284"/>
      <c r="P127" s="2284"/>
      <c r="Q127" s="2284"/>
    </row>
    <row r="128" spans="1:31" ht="15" customHeight="1" x14ac:dyDescent="0.25">
      <c r="A128" s="590"/>
      <c r="B128" s="590"/>
      <c r="C128" s="590"/>
      <c r="D128" s="590"/>
      <c r="E128" s="590"/>
      <c r="F128" s="590"/>
      <c r="G128" s="1129"/>
      <c r="H128" s="1752"/>
      <c r="I128" s="1129"/>
      <c r="J128" s="1130"/>
      <c r="K128" s="1130"/>
      <c r="L128" s="590"/>
      <c r="M128" s="590"/>
      <c r="N128" s="1129"/>
      <c r="O128" s="1129"/>
      <c r="P128" s="590"/>
      <c r="Q128" s="590"/>
    </row>
    <row r="129" spans="1:17" ht="15" customHeight="1" x14ac:dyDescent="0.25">
      <c r="A129" s="2285" t="s">
        <v>248</v>
      </c>
      <c r="B129" s="2285"/>
      <c r="C129" s="2285"/>
      <c r="D129" s="2285"/>
      <c r="E129" s="2285"/>
      <c r="F129" s="2285"/>
      <c r="G129" s="2285"/>
      <c r="H129" s="2285"/>
      <c r="I129" s="2285"/>
      <c r="J129" s="2285"/>
      <c r="K129" s="2285"/>
      <c r="L129" s="2285"/>
      <c r="M129" s="2285"/>
      <c r="N129" s="2285"/>
      <c r="O129" s="2285"/>
      <c r="P129" s="2285"/>
      <c r="Q129" s="2285"/>
    </row>
    <row r="130" spans="1:17" ht="15" customHeight="1" x14ac:dyDescent="0.25">
      <c r="A130" s="587" t="s">
        <v>249</v>
      </c>
      <c r="B130" s="588" t="s">
        <v>250</v>
      </c>
      <c r="C130" s="588"/>
      <c r="D130" s="589"/>
      <c r="E130" s="589"/>
      <c r="F130" s="589"/>
      <c r="G130" s="589"/>
      <c r="H130" s="589"/>
      <c r="I130" s="589"/>
      <c r="J130" s="589"/>
      <c r="K130" s="589"/>
      <c r="L130" s="589"/>
      <c r="M130" s="589"/>
      <c r="N130" s="589"/>
      <c r="O130" s="589"/>
      <c r="P130" s="589"/>
      <c r="Q130" s="589"/>
    </row>
  </sheetData>
  <autoFilter ref="A4:C4"/>
  <sortState ref="A6:W125">
    <sortCondition ref="B6:B125"/>
  </sortState>
  <mergeCells count="4">
    <mergeCell ref="P3:Q3"/>
    <mergeCell ref="A127:Q127"/>
    <mergeCell ref="A129:Q129"/>
    <mergeCell ref="D3:L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workbookViewId="0">
      <pane ySplit="4" topLeftCell="A5" activePane="bottomLeft" state="frozen"/>
      <selection pane="bottomLeft" sqref="A1:IV65536"/>
    </sheetView>
  </sheetViews>
  <sheetFormatPr defaultRowHeight="15.75" x14ac:dyDescent="0.25"/>
  <cols>
    <col min="1" max="1" width="11" style="392" customWidth="1"/>
    <col min="2" max="2" width="25.625" style="392" bestFit="1" customWidth="1"/>
    <col min="3" max="3" width="14.25" style="392" customWidth="1"/>
    <col min="4" max="7" width="7.5" style="392" customWidth="1"/>
    <col min="8" max="11" width="12.25" style="392" customWidth="1"/>
    <col min="12" max="16384" width="9" style="392"/>
  </cols>
  <sheetData>
    <row r="1" spans="1:12" x14ac:dyDescent="0.25">
      <c r="A1" s="193" t="s">
        <v>775</v>
      </c>
    </row>
    <row r="3" spans="1:12" ht="32.25" customHeight="1" x14ac:dyDescent="0.25">
      <c r="A3" s="647" t="s">
        <v>4</v>
      </c>
      <c r="B3" s="648" t="s">
        <v>5</v>
      </c>
      <c r="C3" s="649" t="s">
        <v>251</v>
      </c>
      <c r="D3" s="650" t="s">
        <v>281</v>
      </c>
      <c r="E3" s="651" t="s">
        <v>2</v>
      </c>
      <c r="F3" s="652" t="s">
        <v>445</v>
      </c>
      <c r="G3" s="652" t="s">
        <v>446</v>
      </c>
      <c r="H3" s="653"/>
      <c r="I3" s="653"/>
      <c r="J3" s="653"/>
      <c r="K3" s="653"/>
    </row>
    <row r="4" spans="1:12" x14ac:dyDescent="0.25">
      <c r="A4" s="654">
        <v>999</v>
      </c>
      <c r="B4" s="655" t="s">
        <v>9</v>
      </c>
      <c r="C4" s="655"/>
      <c r="D4" s="656">
        <f>SUM(D5:D124)</f>
        <v>639</v>
      </c>
      <c r="E4" s="656">
        <f>SUM(E5:E124)</f>
        <v>314</v>
      </c>
      <c r="F4" s="656">
        <f>SUM(F5:F124)</f>
        <v>201</v>
      </c>
      <c r="G4" s="656">
        <f>SUM(G5:G124)</f>
        <v>124</v>
      </c>
      <c r="H4" s="653"/>
      <c r="I4" s="653"/>
      <c r="J4" s="653"/>
      <c r="K4" s="653"/>
    </row>
    <row r="5" spans="1:12" ht="16.5" customHeight="1" x14ac:dyDescent="0.25">
      <c r="A5" s="657" t="s">
        <v>10</v>
      </c>
      <c r="B5" s="658" t="s">
        <v>11</v>
      </c>
      <c r="C5" s="578" t="s">
        <v>264</v>
      </c>
      <c r="D5" s="659">
        <v>1</v>
      </c>
      <c r="E5" s="660">
        <v>0</v>
      </c>
      <c r="F5" s="661">
        <v>1</v>
      </c>
      <c r="G5" s="661">
        <v>0</v>
      </c>
      <c r="H5" s="662"/>
      <c r="I5" s="663"/>
      <c r="J5" s="662"/>
      <c r="K5" s="662"/>
      <c r="L5" s="662"/>
    </row>
    <row r="6" spans="1:12" ht="16.5" customHeight="1" x14ac:dyDescent="0.25">
      <c r="A6" s="657" t="s">
        <v>12</v>
      </c>
      <c r="B6" s="658" t="s">
        <v>13</v>
      </c>
      <c r="C6" s="578" t="s">
        <v>265</v>
      </c>
      <c r="D6" s="659">
        <v>2</v>
      </c>
      <c r="E6" s="660">
        <v>0</v>
      </c>
      <c r="F6" s="661">
        <v>2</v>
      </c>
      <c r="G6" s="661">
        <v>0</v>
      </c>
      <c r="H6" s="662"/>
      <c r="I6" s="664"/>
      <c r="J6" s="662"/>
      <c r="K6" s="662"/>
      <c r="L6" s="662"/>
    </row>
    <row r="7" spans="1:12" ht="16.5" customHeight="1" x14ac:dyDescent="0.25">
      <c r="A7" s="657" t="s">
        <v>16</v>
      </c>
      <c r="B7" s="658" t="s">
        <v>297</v>
      </c>
      <c r="C7" s="578" t="s">
        <v>265</v>
      </c>
      <c r="D7" s="659">
        <v>5</v>
      </c>
      <c r="E7" s="660">
        <v>1</v>
      </c>
      <c r="F7" s="661">
        <v>3</v>
      </c>
      <c r="G7" s="661">
        <v>1</v>
      </c>
      <c r="H7" s="662"/>
      <c r="I7" s="664"/>
      <c r="J7" s="662"/>
      <c r="K7" s="665"/>
      <c r="L7" s="662"/>
    </row>
    <row r="8" spans="1:12" ht="16.5" customHeight="1" x14ac:dyDescent="0.25">
      <c r="A8" s="657" t="s">
        <v>18</v>
      </c>
      <c r="B8" s="658" t="s">
        <v>19</v>
      </c>
      <c r="C8" s="578" t="s">
        <v>266</v>
      </c>
      <c r="D8" s="659">
        <v>0</v>
      </c>
      <c r="E8" s="660">
        <v>0</v>
      </c>
      <c r="F8" s="661">
        <v>0</v>
      </c>
      <c r="G8" s="661">
        <v>0</v>
      </c>
      <c r="H8" s="662"/>
      <c r="I8" s="665"/>
      <c r="J8" s="662"/>
      <c r="K8" s="662"/>
      <c r="L8" s="662"/>
    </row>
    <row r="9" spans="1:12" ht="16.5" customHeight="1" x14ac:dyDescent="0.25">
      <c r="A9" s="657" t="s">
        <v>20</v>
      </c>
      <c r="B9" s="658" t="s">
        <v>21</v>
      </c>
      <c r="C9" s="578" t="s">
        <v>265</v>
      </c>
      <c r="D9" s="659">
        <v>0</v>
      </c>
      <c r="E9" s="660">
        <v>0</v>
      </c>
      <c r="F9" s="661">
        <v>0</v>
      </c>
      <c r="G9" s="661">
        <v>0</v>
      </c>
      <c r="H9" s="662"/>
      <c r="I9" s="666"/>
      <c r="J9" s="662"/>
      <c r="K9" s="662"/>
      <c r="L9" s="662"/>
    </row>
    <row r="10" spans="1:12" ht="16.5" customHeight="1" x14ac:dyDescent="0.25">
      <c r="A10" s="657" t="s">
        <v>22</v>
      </c>
      <c r="B10" s="658" t="s">
        <v>23</v>
      </c>
      <c r="C10" s="578" t="s">
        <v>265</v>
      </c>
      <c r="D10" s="659">
        <v>0</v>
      </c>
      <c r="E10" s="660">
        <v>0</v>
      </c>
      <c r="F10" s="661">
        <v>0</v>
      </c>
      <c r="G10" s="667">
        <v>0</v>
      </c>
      <c r="H10" s="662"/>
      <c r="I10" s="665"/>
      <c r="J10" s="662"/>
      <c r="K10" s="662"/>
      <c r="L10" s="662"/>
    </row>
    <row r="11" spans="1:12" ht="16.5" customHeight="1" x14ac:dyDescent="0.25">
      <c r="A11" s="657" t="s">
        <v>24</v>
      </c>
      <c r="B11" s="658" t="s">
        <v>25</v>
      </c>
      <c r="C11" s="578" t="s">
        <v>267</v>
      </c>
      <c r="D11" s="659">
        <v>12</v>
      </c>
      <c r="E11" s="660">
        <v>0</v>
      </c>
      <c r="F11" s="661">
        <v>6</v>
      </c>
      <c r="G11" s="661">
        <v>6</v>
      </c>
      <c r="H11" s="662"/>
      <c r="I11" s="666"/>
      <c r="J11" s="662"/>
      <c r="K11" s="666"/>
      <c r="L11" s="662"/>
    </row>
    <row r="12" spans="1:12" ht="16.5" customHeight="1" x14ac:dyDescent="0.25">
      <c r="A12" s="657" t="s">
        <v>26</v>
      </c>
      <c r="B12" s="658" t="s">
        <v>686</v>
      </c>
      <c r="C12" s="578" t="s">
        <v>265</v>
      </c>
      <c r="D12" s="659">
        <v>18</v>
      </c>
      <c r="E12" s="660">
        <v>14</v>
      </c>
      <c r="F12" s="661">
        <v>2</v>
      </c>
      <c r="G12" s="661">
        <v>2</v>
      </c>
      <c r="H12" s="662"/>
      <c r="I12" s="664"/>
      <c r="J12" s="662"/>
      <c r="K12" s="665"/>
      <c r="L12" s="662"/>
    </row>
    <row r="13" spans="1:12" ht="16.5" customHeight="1" x14ac:dyDescent="0.25">
      <c r="A13" s="657" t="s">
        <v>27</v>
      </c>
      <c r="B13" s="658" t="s">
        <v>28</v>
      </c>
      <c r="C13" s="583" t="s">
        <v>265</v>
      </c>
      <c r="D13" s="659">
        <v>0</v>
      </c>
      <c r="E13" s="668">
        <v>0</v>
      </c>
      <c r="F13" s="667">
        <v>0</v>
      </c>
      <c r="G13" s="667">
        <v>0</v>
      </c>
      <c r="H13" s="662"/>
      <c r="I13" s="664"/>
      <c r="J13" s="662"/>
      <c r="K13" s="662"/>
      <c r="L13" s="662"/>
    </row>
    <row r="14" spans="1:12" ht="16.5" customHeight="1" x14ac:dyDescent="0.25">
      <c r="A14" s="657" t="s">
        <v>29</v>
      </c>
      <c r="B14" s="658" t="s">
        <v>307</v>
      </c>
      <c r="C14" s="583" t="s">
        <v>265</v>
      </c>
      <c r="D14" s="659">
        <v>4</v>
      </c>
      <c r="E14" s="660">
        <v>3</v>
      </c>
      <c r="F14" s="661">
        <v>1</v>
      </c>
      <c r="G14" s="661">
        <v>0</v>
      </c>
      <c r="H14" s="669"/>
      <c r="I14" s="664"/>
      <c r="J14" s="662"/>
      <c r="K14" s="662"/>
      <c r="L14" s="662"/>
    </row>
    <row r="15" spans="1:12" ht="16.5" customHeight="1" x14ac:dyDescent="0.25">
      <c r="A15" s="657" t="s">
        <v>30</v>
      </c>
      <c r="B15" s="658" t="s">
        <v>31</v>
      </c>
      <c r="C15" s="583" t="s">
        <v>268</v>
      </c>
      <c r="D15" s="659">
        <v>4</v>
      </c>
      <c r="E15" s="660">
        <v>4</v>
      </c>
      <c r="F15" s="661">
        <v>0</v>
      </c>
      <c r="G15" s="667">
        <v>0</v>
      </c>
      <c r="H15" s="665"/>
      <c r="I15" s="664"/>
      <c r="J15" s="662"/>
      <c r="K15" s="662"/>
      <c r="L15" s="662"/>
    </row>
    <row r="16" spans="1:12" ht="16.5" customHeight="1" x14ac:dyDescent="0.25">
      <c r="A16" s="657" t="s">
        <v>32</v>
      </c>
      <c r="B16" s="658" t="s">
        <v>33</v>
      </c>
      <c r="C16" s="583" t="s">
        <v>265</v>
      </c>
      <c r="D16" s="659">
        <v>0</v>
      </c>
      <c r="E16" s="660">
        <v>0</v>
      </c>
      <c r="F16" s="661">
        <v>0</v>
      </c>
      <c r="G16" s="661">
        <v>0</v>
      </c>
      <c r="H16" s="662"/>
      <c r="I16" s="665"/>
      <c r="J16" s="662"/>
      <c r="K16" s="662"/>
      <c r="L16" s="662"/>
    </row>
    <row r="17" spans="1:12" ht="16.5" customHeight="1" x14ac:dyDescent="0.25">
      <c r="A17" s="657" t="s">
        <v>36</v>
      </c>
      <c r="B17" s="658" t="s">
        <v>37</v>
      </c>
      <c r="C17" s="583" t="s">
        <v>264</v>
      </c>
      <c r="D17" s="659">
        <v>0</v>
      </c>
      <c r="E17" s="660">
        <v>0</v>
      </c>
      <c r="F17" s="661">
        <v>0</v>
      </c>
      <c r="G17" s="667">
        <v>0</v>
      </c>
      <c r="H17" s="662"/>
      <c r="I17" s="662"/>
      <c r="J17" s="662"/>
      <c r="K17" s="662"/>
      <c r="L17" s="662"/>
    </row>
    <row r="18" spans="1:12" ht="16.5" customHeight="1" x14ac:dyDescent="0.25">
      <c r="A18" s="657" t="s">
        <v>38</v>
      </c>
      <c r="B18" s="658" t="s">
        <v>39</v>
      </c>
      <c r="C18" s="583" t="s">
        <v>268</v>
      </c>
      <c r="D18" s="659">
        <v>9</v>
      </c>
      <c r="E18" s="660">
        <v>8</v>
      </c>
      <c r="F18" s="661">
        <v>0</v>
      </c>
      <c r="G18" s="661">
        <v>1</v>
      </c>
      <c r="H18" s="662"/>
      <c r="I18" s="664"/>
      <c r="J18" s="662"/>
      <c r="K18" s="662"/>
      <c r="L18" s="662"/>
    </row>
    <row r="19" spans="1:12" ht="16.5" customHeight="1" x14ac:dyDescent="0.25">
      <c r="A19" s="657" t="s">
        <v>40</v>
      </c>
      <c r="B19" s="658" t="s">
        <v>41</v>
      </c>
      <c r="C19" s="583" t="s">
        <v>266</v>
      </c>
      <c r="D19" s="659">
        <v>1</v>
      </c>
      <c r="E19" s="660">
        <v>0</v>
      </c>
      <c r="F19" s="661">
        <v>1</v>
      </c>
      <c r="G19" s="661">
        <v>0</v>
      </c>
      <c r="H19" s="662"/>
      <c r="I19" s="662"/>
      <c r="J19" s="662"/>
      <c r="K19" s="662"/>
      <c r="L19" s="662"/>
    </row>
    <row r="20" spans="1:12" ht="16.5" customHeight="1" x14ac:dyDescent="0.25">
      <c r="A20" s="657" t="s">
        <v>42</v>
      </c>
      <c r="B20" s="658" t="s">
        <v>43</v>
      </c>
      <c r="C20" s="583" t="s">
        <v>265</v>
      </c>
      <c r="D20" s="659">
        <v>5</v>
      </c>
      <c r="E20" s="660">
        <v>5</v>
      </c>
      <c r="F20" s="661">
        <v>0</v>
      </c>
      <c r="G20" s="661">
        <v>0</v>
      </c>
      <c r="H20" s="669"/>
      <c r="I20" s="664"/>
      <c r="J20" s="662"/>
      <c r="K20" s="662"/>
      <c r="L20" s="662"/>
    </row>
    <row r="21" spans="1:12" ht="16.5" customHeight="1" x14ac:dyDescent="0.25">
      <c r="A21" s="657" t="s">
        <v>44</v>
      </c>
      <c r="B21" s="658" t="s">
        <v>45</v>
      </c>
      <c r="C21" s="583" t="s">
        <v>266</v>
      </c>
      <c r="D21" s="659">
        <v>0</v>
      </c>
      <c r="E21" s="660">
        <v>0</v>
      </c>
      <c r="F21" s="661">
        <v>0</v>
      </c>
      <c r="G21" s="661">
        <v>0</v>
      </c>
      <c r="H21" s="662"/>
      <c r="I21" s="666"/>
      <c r="J21" s="662"/>
      <c r="K21" s="662"/>
      <c r="L21" s="662"/>
    </row>
    <row r="22" spans="1:12" ht="16.5" customHeight="1" x14ac:dyDescent="0.25">
      <c r="A22" s="657" t="s">
        <v>46</v>
      </c>
      <c r="B22" s="658" t="s">
        <v>47</v>
      </c>
      <c r="C22" s="583" t="s">
        <v>268</v>
      </c>
      <c r="D22" s="659">
        <v>5</v>
      </c>
      <c r="E22" s="660">
        <v>5</v>
      </c>
      <c r="F22" s="661">
        <v>0</v>
      </c>
      <c r="G22" s="667">
        <v>0</v>
      </c>
      <c r="H22" s="665"/>
      <c r="I22" s="664"/>
      <c r="J22" s="662"/>
      <c r="K22" s="662"/>
      <c r="L22" s="662"/>
    </row>
    <row r="23" spans="1:12" ht="16.5" customHeight="1" x14ac:dyDescent="0.25">
      <c r="A23" s="657" t="s">
        <v>48</v>
      </c>
      <c r="B23" s="658" t="s">
        <v>269</v>
      </c>
      <c r="C23" s="583" t="s">
        <v>266</v>
      </c>
      <c r="D23" s="659">
        <v>0</v>
      </c>
      <c r="E23" s="668">
        <v>0</v>
      </c>
      <c r="F23" s="667">
        <v>0</v>
      </c>
      <c r="G23" s="661">
        <v>0</v>
      </c>
      <c r="H23" s="662"/>
      <c r="I23" s="665"/>
      <c r="J23" s="662"/>
      <c r="K23" s="662"/>
      <c r="L23" s="662"/>
    </row>
    <row r="24" spans="1:12" ht="16.5" customHeight="1" x14ac:dyDescent="0.25">
      <c r="A24" s="657" t="s">
        <v>50</v>
      </c>
      <c r="B24" s="658" t="s">
        <v>51</v>
      </c>
      <c r="C24" s="583" t="s">
        <v>265</v>
      </c>
      <c r="D24" s="659">
        <v>2</v>
      </c>
      <c r="E24" s="660">
        <v>1</v>
      </c>
      <c r="F24" s="661">
        <v>0</v>
      </c>
      <c r="G24" s="661">
        <v>1</v>
      </c>
      <c r="H24" s="662"/>
      <c r="I24" s="664"/>
      <c r="J24" s="662"/>
      <c r="K24" s="662"/>
      <c r="L24" s="662"/>
    </row>
    <row r="25" spans="1:12" ht="16.5" customHeight="1" x14ac:dyDescent="0.25">
      <c r="A25" s="657" t="s">
        <v>56</v>
      </c>
      <c r="B25" s="658" t="s">
        <v>295</v>
      </c>
      <c r="C25" s="583" t="s">
        <v>266</v>
      </c>
      <c r="D25" s="659">
        <v>6</v>
      </c>
      <c r="E25" s="660">
        <v>2</v>
      </c>
      <c r="F25" s="661">
        <v>3</v>
      </c>
      <c r="G25" s="661">
        <v>1</v>
      </c>
      <c r="H25" s="662"/>
      <c r="I25" s="666"/>
      <c r="J25" s="662"/>
      <c r="K25" s="666"/>
      <c r="L25" s="662"/>
    </row>
    <row r="26" spans="1:12" ht="16.5" customHeight="1" x14ac:dyDescent="0.25">
      <c r="A26" s="657" t="s">
        <v>58</v>
      </c>
      <c r="B26" s="658" t="s">
        <v>59</v>
      </c>
      <c r="C26" s="583" t="s">
        <v>267</v>
      </c>
      <c r="D26" s="670">
        <v>3</v>
      </c>
      <c r="E26" s="671">
        <v>1</v>
      </c>
      <c r="F26" s="667">
        <v>0</v>
      </c>
      <c r="G26" s="667">
        <v>2</v>
      </c>
      <c r="H26" s="662"/>
      <c r="I26" s="665"/>
      <c r="J26" s="662"/>
      <c r="K26" s="662"/>
      <c r="L26" s="662"/>
    </row>
    <row r="27" spans="1:12" ht="16.5" customHeight="1" x14ac:dyDescent="0.25">
      <c r="A27" s="657" t="s">
        <v>60</v>
      </c>
      <c r="B27" s="658" t="s">
        <v>61</v>
      </c>
      <c r="C27" s="583" t="s">
        <v>265</v>
      </c>
      <c r="D27" s="670">
        <v>2</v>
      </c>
      <c r="E27" s="671">
        <v>2</v>
      </c>
      <c r="F27" s="667">
        <v>0</v>
      </c>
      <c r="G27" s="667">
        <v>0</v>
      </c>
      <c r="H27" s="662"/>
      <c r="I27" s="665"/>
      <c r="J27" s="662"/>
      <c r="K27" s="662"/>
      <c r="L27" s="662"/>
    </row>
    <row r="28" spans="1:12" ht="16.5" customHeight="1" x14ac:dyDescent="0.25">
      <c r="A28" s="657" t="s">
        <v>62</v>
      </c>
      <c r="B28" s="658" t="s">
        <v>63</v>
      </c>
      <c r="C28" s="583" t="s">
        <v>267</v>
      </c>
      <c r="D28" s="659">
        <v>5</v>
      </c>
      <c r="E28" s="660">
        <v>0</v>
      </c>
      <c r="F28" s="661">
        <v>0</v>
      </c>
      <c r="G28" s="661">
        <v>5</v>
      </c>
      <c r="H28" s="662"/>
      <c r="I28" s="664"/>
      <c r="J28" s="662"/>
      <c r="K28" s="662"/>
      <c r="L28" s="662"/>
    </row>
    <row r="29" spans="1:12" ht="16.5" customHeight="1" x14ac:dyDescent="0.25">
      <c r="A29" s="657" t="s">
        <v>64</v>
      </c>
      <c r="B29" s="658" t="s">
        <v>65</v>
      </c>
      <c r="C29" s="583" t="s">
        <v>266</v>
      </c>
      <c r="D29" s="659">
        <v>0</v>
      </c>
      <c r="E29" s="660">
        <v>0</v>
      </c>
      <c r="F29" s="661">
        <v>0</v>
      </c>
      <c r="G29" s="661">
        <v>0</v>
      </c>
      <c r="H29" s="662"/>
      <c r="I29" s="665"/>
      <c r="J29" s="662"/>
      <c r="K29" s="665"/>
      <c r="L29" s="662"/>
    </row>
    <row r="30" spans="1:12" ht="16.5" customHeight="1" x14ac:dyDescent="0.25">
      <c r="A30" s="657" t="s">
        <v>68</v>
      </c>
      <c r="B30" s="658" t="s">
        <v>69</v>
      </c>
      <c r="C30" s="583" t="s">
        <v>268</v>
      </c>
      <c r="D30" s="659">
        <v>12</v>
      </c>
      <c r="E30" s="660">
        <v>12</v>
      </c>
      <c r="F30" s="661">
        <v>0</v>
      </c>
      <c r="G30" s="661">
        <v>0</v>
      </c>
      <c r="H30" s="662"/>
      <c r="I30" s="662"/>
      <c r="J30" s="662"/>
      <c r="K30" s="662"/>
      <c r="L30" s="662"/>
    </row>
    <row r="31" spans="1:12" ht="16.5" customHeight="1" x14ac:dyDescent="0.25">
      <c r="A31" s="657" t="s">
        <v>70</v>
      </c>
      <c r="B31" s="658" t="s">
        <v>71</v>
      </c>
      <c r="C31" s="583" t="s">
        <v>264</v>
      </c>
      <c r="D31" s="659">
        <v>1</v>
      </c>
      <c r="E31" s="660">
        <v>0</v>
      </c>
      <c r="F31" s="661">
        <v>1</v>
      </c>
      <c r="G31" s="661">
        <v>0</v>
      </c>
      <c r="H31" s="662"/>
      <c r="I31" s="666"/>
      <c r="J31" s="662"/>
      <c r="K31" s="662"/>
      <c r="L31" s="662"/>
    </row>
    <row r="32" spans="1:12" ht="16.5" customHeight="1" x14ac:dyDescent="0.25">
      <c r="A32" s="657" t="s">
        <v>72</v>
      </c>
      <c r="B32" s="658" t="s">
        <v>73</v>
      </c>
      <c r="C32" s="583" t="s">
        <v>266</v>
      </c>
      <c r="D32" s="659">
        <v>0</v>
      </c>
      <c r="E32" s="668">
        <v>0</v>
      </c>
      <c r="F32" s="667">
        <v>0</v>
      </c>
      <c r="G32" s="661">
        <v>0</v>
      </c>
      <c r="H32" s="662"/>
      <c r="I32" s="665"/>
      <c r="J32" s="662"/>
      <c r="K32" s="666"/>
      <c r="L32" s="662"/>
    </row>
    <row r="33" spans="1:12" ht="16.5" customHeight="1" x14ac:dyDescent="0.25">
      <c r="A33" s="657" t="s">
        <v>74</v>
      </c>
      <c r="B33" s="658" t="s">
        <v>302</v>
      </c>
      <c r="C33" s="583" t="s">
        <v>267</v>
      </c>
      <c r="D33" s="659">
        <v>14</v>
      </c>
      <c r="E33" s="660">
        <v>5</v>
      </c>
      <c r="F33" s="661">
        <v>4</v>
      </c>
      <c r="G33" s="661">
        <v>5</v>
      </c>
      <c r="H33" s="669"/>
      <c r="I33" s="666"/>
      <c r="J33" s="666"/>
      <c r="K33" s="666"/>
      <c r="L33" s="662"/>
    </row>
    <row r="34" spans="1:12" ht="16.5" customHeight="1" x14ac:dyDescent="0.25">
      <c r="A34" s="657" t="s">
        <v>76</v>
      </c>
      <c r="B34" s="658" t="s">
        <v>77</v>
      </c>
      <c r="C34" s="583" t="s">
        <v>267</v>
      </c>
      <c r="D34" s="659">
        <v>2</v>
      </c>
      <c r="E34" s="660">
        <v>2</v>
      </c>
      <c r="F34" s="661">
        <v>0</v>
      </c>
      <c r="G34" s="661">
        <v>0</v>
      </c>
      <c r="H34" s="662"/>
      <c r="I34" s="664"/>
      <c r="J34" s="662"/>
      <c r="K34" s="662"/>
      <c r="L34" s="662"/>
    </row>
    <row r="35" spans="1:12" ht="16.5" customHeight="1" x14ac:dyDescent="0.25">
      <c r="A35" s="657" t="s">
        <v>78</v>
      </c>
      <c r="B35" s="658" t="s">
        <v>79</v>
      </c>
      <c r="C35" s="583" t="s">
        <v>268</v>
      </c>
      <c r="D35" s="659">
        <v>1</v>
      </c>
      <c r="E35" s="660">
        <v>1</v>
      </c>
      <c r="F35" s="661">
        <v>0</v>
      </c>
      <c r="G35" s="667">
        <v>0</v>
      </c>
      <c r="H35" s="662"/>
      <c r="I35" s="662"/>
      <c r="J35" s="662"/>
      <c r="K35" s="662"/>
      <c r="L35" s="662"/>
    </row>
    <row r="36" spans="1:12" ht="16.5" customHeight="1" x14ac:dyDescent="0.25">
      <c r="A36" s="657" t="s">
        <v>80</v>
      </c>
      <c r="B36" s="658" t="s">
        <v>81</v>
      </c>
      <c r="C36" s="583" t="s">
        <v>266</v>
      </c>
      <c r="D36" s="659">
        <v>0</v>
      </c>
      <c r="E36" s="660">
        <v>0</v>
      </c>
      <c r="F36" s="661">
        <v>0</v>
      </c>
      <c r="G36" s="661">
        <v>0</v>
      </c>
      <c r="H36" s="662"/>
      <c r="I36" s="665"/>
      <c r="J36" s="662"/>
      <c r="K36" s="662"/>
      <c r="L36" s="662"/>
    </row>
    <row r="37" spans="1:12" ht="16.5" customHeight="1" x14ac:dyDescent="0.25">
      <c r="A37" s="657" t="s">
        <v>84</v>
      </c>
      <c r="B37" s="658" t="s">
        <v>308</v>
      </c>
      <c r="C37" s="583" t="s">
        <v>265</v>
      </c>
      <c r="D37" s="659">
        <v>12</v>
      </c>
      <c r="E37" s="660">
        <v>8</v>
      </c>
      <c r="F37" s="661">
        <v>1</v>
      </c>
      <c r="G37" s="661">
        <v>3</v>
      </c>
      <c r="H37" s="662"/>
      <c r="I37" s="666"/>
      <c r="J37" s="662"/>
      <c r="K37" s="665"/>
      <c r="L37" s="662"/>
    </row>
    <row r="38" spans="1:12" ht="16.5" customHeight="1" x14ac:dyDescent="0.25">
      <c r="A38" s="657" t="s">
        <v>86</v>
      </c>
      <c r="B38" s="658" t="s">
        <v>87</v>
      </c>
      <c r="C38" s="583" t="s">
        <v>267</v>
      </c>
      <c r="D38" s="659">
        <v>8</v>
      </c>
      <c r="E38" s="660">
        <v>7</v>
      </c>
      <c r="F38" s="661">
        <v>0</v>
      </c>
      <c r="G38" s="661">
        <v>1</v>
      </c>
      <c r="H38" s="665"/>
      <c r="I38" s="664"/>
      <c r="J38" s="665"/>
      <c r="K38" s="664"/>
      <c r="L38" s="662"/>
    </row>
    <row r="39" spans="1:12" ht="16.5" customHeight="1" x14ac:dyDescent="0.25">
      <c r="A39" s="657" t="s">
        <v>92</v>
      </c>
      <c r="B39" s="658" t="s">
        <v>93</v>
      </c>
      <c r="C39" s="583" t="s">
        <v>268</v>
      </c>
      <c r="D39" s="659">
        <v>3</v>
      </c>
      <c r="E39" s="660">
        <v>3</v>
      </c>
      <c r="F39" s="661">
        <v>0</v>
      </c>
      <c r="G39" s="667">
        <v>0</v>
      </c>
      <c r="H39" s="662"/>
      <c r="I39" s="665"/>
      <c r="J39" s="662"/>
      <c r="K39" s="662"/>
      <c r="L39" s="662"/>
    </row>
    <row r="40" spans="1:12" ht="16.5" customHeight="1" x14ac:dyDescent="0.25">
      <c r="A40" s="657" t="s">
        <v>94</v>
      </c>
      <c r="B40" s="658" t="s">
        <v>95</v>
      </c>
      <c r="C40" s="583" t="s">
        <v>264</v>
      </c>
      <c r="D40" s="659">
        <v>1</v>
      </c>
      <c r="E40" s="660">
        <v>1</v>
      </c>
      <c r="F40" s="661">
        <v>0</v>
      </c>
      <c r="G40" s="661">
        <v>0</v>
      </c>
      <c r="H40" s="662"/>
      <c r="I40" s="666"/>
      <c r="J40" s="662"/>
      <c r="K40" s="662"/>
      <c r="L40" s="662"/>
    </row>
    <row r="41" spans="1:12" ht="16.5" customHeight="1" x14ac:dyDescent="0.25">
      <c r="A41" s="657" t="s">
        <v>96</v>
      </c>
      <c r="B41" s="658" t="s">
        <v>97</v>
      </c>
      <c r="C41" s="583" t="s">
        <v>266</v>
      </c>
      <c r="D41" s="659">
        <v>3</v>
      </c>
      <c r="E41" s="660">
        <v>1</v>
      </c>
      <c r="F41" s="661">
        <v>0</v>
      </c>
      <c r="G41" s="661">
        <v>2</v>
      </c>
      <c r="H41" s="662"/>
      <c r="I41" s="662"/>
      <c r="J41" s="662"/>
      <c r="K41" s="662"/>
      <c r="L41" s="662"/>
    </row>
    <row r="42" spans="1:12" ht="16.5" customHeight="1" x14ac:dyDescent="0.25">
      <c r="A42" s="657" t="s">
        <v>98</v>
      </c>
      <c r="B42" s="658" t="s">
        <v>99</v>
      </c>
      <c r="C42" s="583" t="s">
        <v>268</v>
      </c>
      <c r="D42" s="659">
        <v>0</v>
      </c>
      <c r="E42" s="660">
        <v>0</v>
      </c>
      <c r="F42" s="661">
        <v>0</v>
      </c>
      <c r="G42" s="667">
        <v>0</v>
      </c>
      <c r="H42" s="662"/>
      <c r="I42" s="666"/>
      <c r="J42" s="662"/>
      <c r="K42" s="666"/>
      <c r="L42" s="662"/>
    </row>
    <row r="43" spans="1:12" ht="16.5" customHeight="1" x14ac:dyDescent="0.25">
      <c r="A43" s="657" t="s">
        <v>100</v>
      </c>
      <c r="B43" s="658" t="s">
        <v>101</v>
      </c>
      <c r="C43" s="583" t="s">
        <v>267</v>
      </c>
      <c r="D43" s="659">
        <v>0</v>
      </c>
      <c r="E43" s="660">
        <v>0</v>
      </c>
      <c r="F43" s="661">
        <v>0</v>
      </c>
      <c r="G43" s="661">
        <v>0</v>
      </c>
      <c r="H43" s="662"/>
      <c r="I43" s="664"/>
      <c r="J43" s="662"/>
      <c r="K43" s="662"/>
      <c r="L43" s="662"/>
    </row>
    <row r="44" spans="1:12" ht="16.5" customHeight="1" x14ac:dyDescent="0.25">
      <c r="A44" s="657" t="s">
        <v>102</v>
      </c>
      <c r="B44" s="658" t="s">
        <v>103</v>
      </c>
      <c r="C44" s="583" t="s">
        <v>264</v>
      </c>
      <c r="D44" s="659">
        <v>0</v>
      </c>
      <c r="E44" s="668">
        <v>0</v>
      </c>
      <c r="F44" s="667">
        <v>0</v>
      </c>
      <c r="G44" s="661">
        <v>0</v>
      </c>
      <c r="H44" s="662"/>
      <c r="I44" s="665"/>
      <c r="J44" s="662"/>
      <c r="K44" s="665"/>
      <c r="L44" s="662"/>
    </row>
    <row r="45" spans="1:12" ht="16.5" customHeight="1" x14ac:dyDescent="0.25">
      <c r="A45" s="657" t="s">
        <v>104</v>
      </c>
      <c r="B45" s="658" t="s">
        <v>309</v>
      </c>
      <c r="C45" s="583" t="s">
        <v>265</v>
      </c>
      <c r="D45" s="659">
        <v>5</v>
      </c>
      <c r="E45" s="660">
        <v>0</v>
      </c>
      <c r="F45" s="661">
        <v>5</v>
      </c>
      <c r="G45" s="661">
        <v>0</v>
      </c>
      <c r="H45" s="662"/>
      <c r="I45" s="664"/>
      <c r="J45" s="662"/>
      <c r="K45" s="665"/>
      <c r="L45" s="662"/>
    </row>
    <row r="46" spans="1:12" ht="16.5" customHeight="1" x14ac:dyDescent="0.25">
      <c r="A46" s="657" t="s">
        <v>108</v>
      </c>
      <c r="B46" s="658" t="s">
        <v>109</v>
      </c>
      <c r="C46" s="583" t="s">
        <v>266</v>
      </c>
      <c r="D46" s="659">
        <v>3</v>
      </c>
      <c r="E46" s="660">
        <v>2</v>
      </c>
      <c r="F46" s="661">
        <v>0</v>
      </c>
      <c r="G46" s="661">
        <v>1</v>
      </c>
      <c r="H46" s="662"/>
      <c r="I46" s="666"/>
      <c r="J46" s="662"/>
      <c r="K46" s="662"/>
      <c r="L46" s="662"/>
    </row>
    <row r="47" spans="1:12" ht="16.5" customHeight="1" x14ac:dyDescent="0.25">
      <c r="A47" s="657" t="s">
        <v>110</v>
      </c>
      <c r="B47" s="658" t="s">
        <v>111</v>
      </c>
      <c r="C47" s="583" t="s">
        <v>266</v>
      </c>
      <c r="D47" s="659">
        <v>7</v>
      </c>
      <c r="E47" s="660">
        <v>1</v>
      </c>
      <c r="F47" s="661">
        <v>2</v>
      </c>
      <c r="G47" s="661">
        <v>4</v>
      </c>
      <c r="H47" s="662"/>
      <c r="I47" s="666"/>
      <c r="J47" s="662"/>
      <c r="K47" s="662"/>
      <c r="L47" s="662"/>
    </row>
    <row r="48" spans="1:12" ht="16.5" customHeight="1" x14ac:dyDescent="0.25">
      <c r="A48" s="657" t="s">
        <v>112</v>
      </c>
      <c r="B48" s="658" t="s">
        <v>300</v>
      </c>
      <c r="C48" s="583" t="s">
        <v>265</v>
      </c>
      <c r="D48" s="659">
        <v>3</v>
      </c>
      <c r="E48" s="660">
        <v>1</v>
      </c>
      <c r="F48" s="661">
        <v>2</v>
      </c>
      <c r="G48" s="661">
        <v>0</v>
      </c>
      <c r="H48" s="662"/>
      <c r="I48" s="664"/>
      <c r="J48" s="662"/>
      <c r="K48" s="662"/>
      <c r="L48" s="662"/>
    </row>
    <row r="49" spans="1:12" ht="16.5" customHeight="1" x14ac:dyDescent="0.25">
      <c r="A49" s="657" t="s">
        <v>114</v>
      </c>
      <c r="B49" s="658" t="s">
        <v>115</v>
      </c>
      <c r="C49" s="583" t="s">
        <v>265</v>
      </c>
      <c r="D49" s="670">
        <v>0</v>
      </c>
      <c r="E49" s="671">
        <v>0</v>
      </c>
      <c r="F49" s="667">
        <v>0</v>
      </c>
      <c r="G49" s="667">
        <v>0</v>
      </c>
      <c r="H49" s="662"/>
      <c r="I49" s="662"/>
      <c r="J49" s="662"/>
      <c r="K49" s="662"/>
      <c r="L49" s="662"/>
    </row>
    <row r="50" spans="1:12" ht="16.5" customHeight="1" x14ac:dyDescent="0.25">
      <c r="A50" s="657" t="s">
        <v>118</v>
      </c>
      <c r="B50" s="658" t="s">
        <v>119</v>
      </c>
      <c r="C50" s="583" t="s">
        <v>264</v>
      </c>
      <c r="D50" s="659">
        <v>0</v>
      </c>
      <c r="E50" s="660">
        <v>0</v>
      </c>
      <c r="F50" s="661">
        <v>0</v>
      </c>
      <c r="G50" s="661">
        <v>0</v>
      </c>
      <c r="H50" s="662"/>
      <c r="I50" s="665"/>
      <c r="J50" s="662"/>
      <c r="K50" s="665"/>
      <c r="L50" s="662"/>
    </row>
    <row r="51" spans="1:12" ht="16.5" customHeight="1" x14ac:dyDescent="0.25">
      <c r="A51" s="657" t="s">
        <v>120</v>
      </c>
      <c r="B51" s="658" t="s">
        <v>121</v>
      </c>
      <c r="C51" s="583" t="s">
        <v>264</v>
      </c>
      <c r="D51" s="659">
        <v>3</v>
      </c>
      <c r="E51" s="660">
        <v>3</v>
      </c>
      <c r="F51" s="661">
        <v>0</v>
      </c>
      <c r="G51" s="661">
        <v>0</v>
      </c>
      <c r="H51" s="662"/>
      <c r="I51" s="664"/>
      <c r="J51" s="662"/>
      <c r="K51" s="662"/>
      <c r="L51" s="662"/>
    </row>
    <row r="52" spans="1:12" ht="16.5" customHeight="1" x14ac:dyDescent="0.25">
      <c r="A52" s="657" t="s">
        <v>122</v>
      </c>
      <c r="B52" s="658" t="s">
        <v>271</v>
      </c>
      <c r="C52" s="583" t="s">
        <v>266</v>
      </c>
      <c r="D52" s="659">
        <v>2</v>
      </c>
      <c r="E52" s="660">
        <v>2</v>
      </c>
      <c r="F52" s="661">
        <v>0</v>
      </c>
      <c r="G52" s="661">
        <v>0</v>
      </c>
      <c r="H52" s="662"/>
      <c r="I52" s="662"/>
      <c r="J52" s="662"/>
      <c r="K52" s="662"/>
      <c r="L52" s="662"/>
    </row>
    <row r="53" spans="1:12" ht="16.5" customHeight="1" x14ac:dyDescent="0.25">
      <c r="A53" s="657" t="s">
        <v>124</v>
      </c>
      <c r="B53" s="658" t="s">
        <v>125</v>
      </c>
      <c r="C53" s="583" t="s">
        <v>267</v>
      </c>
      <c r="D53" s="659">
        <v>0</v>
      </c>
      <c r="E53" s="660">
        <v>0</v>
      </c>
      <c r="F53" s="661">
        <v>0</v>
      </c>
      <c r="G53" s="661">
        <v>0</v>
      </c>
      <c r="H53" s="662"/>
      <c r="I53" s="665"/>
      <c r="J53" s="662"/>
      <c r="K53" s="662"/>
      <c r="L53" s="662"/>
    </row>
    <row r="54" spans="1:12" ht="16.5" customHeight="1" x14ac:dyDescent="0.25">
      <c r="A54" s="657" t="s">
        <v>126</v>
      </c>
      <c r="B54" s="658" t="s">
        <v>127</v>
      </c>
      <c r="C54" s="583" t="s">
        <v>266</v>
      </c>
      <c r="D54" s="659">
        <v>0</v>
      </c>
      <c r="E54" s="660">
        <v>0</v>
      </c>
      <c r="F54" s="661">
        <v>0</v>
      </c>
      <c r="G54" s="661">
        <v>0</v>
      </c>
      <c r="H54" s="662"/>
      <c r="I54" s="665"/>
      <c r="J54" s="662"/>
      <c r="K54" s="662"/>
      <c r="L54" s="662"/>
    </row>
    <row r="55" spans="1:12" ht="16.5" customHeight="1" x14ac:dyDescent="0.25">
      <c r="A55" s="657" t="s">
        <v>128</v>
      </c>
      <c r="B55" s="658" t="s">
        <v>129</v>
      </c>
      <c r="C55" s="583" t="s">
        <v>266</v>
      </c>
      <c r="D55" s="659">
        <v>1</v>
      </c>
      <c r="E55" s="660">
        <v>1</v>
      </c>
      <c r="F55" s="661">
        <v>0</v>
      </c>
      <c r="G55" s="661">
        <v>0</v>
      </c>
      <c r="H55" s="662"/>
      <c r="I55" s="665"/>
      <c r="J55" s="662"/>
      <c r="K55" s="662"/>
      <c r="L55" s="662"/>
    </row>
    <row r="56" spans="1:12" ht="16.5" customHeight="1" x14ac:dyDescent="0.25">
      <c r="A56" s="657" t="s">
        <v>130</v>
      </c>
      <c r="B56" s="658" t="s">
        <v>131</v>
      </c>
      <c r="C56" s="583" t="s">
        <v>268</v>
      </c>
      <c r="D56" s="659">
        <v>8</v>
      </c>
      <c r="E56" s="660">
        <v>7</v>
      </c>
      <c r="F56" s="661">
        <v>0</v>
      </c>
      <c r="G56" s="661">
        <v>1</v>
      </c>
      <c r="H56" s="662"/>
      <c r="I56" s="664"/>
      <c r="J56" s="662"/>
      <c r="K56" s="662"/>
      <c r="L56" s="662"/>
    </row>
    <row r="57" spans="1:12" ht="16.5" customHeight="1" x14ac:dyDescent="0.25">
      <c r="A57" s="657" t="s">
        <v>132</v>
      </c>
      <c r="B57" s="658" t="s">
        <v>133</v>
      </c>
      <c r="C57" s="583" t="s">
        <v>267</v>
      </c>
      <c r="D57" s="659">
        <v>10</v>
      </c>
      <c r="E57" s="660">
        <v>2</v>
      </c>
      <c r="F57" s="661">
        <v>1</v>
      </c>
      <c r="G57" s="661">
        <v>7</v>
      </c>
      <c r="H57" s="669"/>
      <c r="I57" s="664"/>
      <c r="J57" s="662"/>
      <c r="K57" s="662"/>
      <c r="L57" s="662"/>
    </row>
    <row r="58" spans="1:12" ht="16.5" customHeight="1" x14ac:dyDescent="0.25">
      <c r="A58" s="657" t="s">
        <v>134</v>
      </c>
      <c r="B58" s="658" t="s">
        <v>135</v>
      </c>
      <c r="C58" s="583" t="s">
        <v>267</v>
      </c>
      <c r="D58" s="659">
        <v>14</v>
      </c>
      <c r="E58" s="660">
        <v>8</v>
      </c>
      <c r="F58" s="661">
        <v>3</v>
      </c>
      <c r="G58" s="661">
        <v>3</v>
      </c>
      <c r="H58" s="662"/>
      <c r="I58" s="666"/>
      <c r="J58" s="662"/>
      <c r="K58" s="662"/>
      <c r="L58" s="662"/>
    </row>
    <row r="59" spans="1:12" ht="16.5" customHeight="1" x14ac:dyDescent="0.25">
      <c r="A59" s="657" t="s">
        <v>136</v>
      </c>
      <c r="B59" s="658" t="s">
        <v>137</v>
      </c>
      <c r="C59" s="583" t="s">
        <v>266</v>
      </c>
      <c r="D59" s="659">
        <v>5</v>
      </c>
      <c r="E59" s="668">
        <v>0</v>
      </c>
      <c r="F59" s="667">
        <v>4</v>
      </c>
      <c r="G59" s="661">
        <v>1</v>
      </c>
      <c r="H59" s="662"/>
      <c r="I59" s="666"/>
      <c r="J59" s="662"/>
      <c r="K59" s="662"/>
      <c r="L59" s="662"/>
    </row>
    <row r="60" spans="1:12" ht="16.5" customHeight="1" x14ac:dyDescent="0.25">
      <c r="A60" s="657" t="s">
        <v>140</v>
      </c>
      <c r="B60" s="658" t="s">
        <v>141</v>
      </c>
      <c r="C60" s="583" t="s">
        <v>267</v>
      </c>
      <c r="D60" s="659">
        <v>0</v>
      </c>
      <c r="E60" s="660">
        <v>0</v>
      </c>
      <c r="F60" s="661">
        <v>0</v>
      </c>
      <c r="G60" s="661">
        <v>0</v>
      </c>
      <c r="H60" s="662"/>
      <c r="I60" s="662"/>
      <c r="J60" s="662"/>
      <c r="K60" s="662"/>
      <c r="L60" s="662"/>
    </row>
    <row r="61" spans="1:12" ht="16.5" customHeight="1" x14ac:dyDescent="0.25">
      <c r="A61" s="657" t="s">
        <v>146</v>
      </c>
      <c r="B61" s="658" t="s">
        <v>147</v>
      </c>
      <c r="C61" s="583" t="s">
        <v>264</v>
      </c>
      <c r="D61" s="659">
        <v>0</v>
      </c>
      <c r="E61" s="660">
        <v>0</v>
      </c>
      <c r="F61" s="661">
        <v>0</v>
      </c>
      <c r="G61" s="661">
        <v>0</v>
      </c>
      <c r="H61" s="662"/>
      <c r="I61" s="665"/>
      <c r="J61" s="662"/>
      <c r="K61" s="662"/>
      <c r="L61" s="662"/>
    </row>
    <row r="62" spans="1:12" ht="16.5" customHeight="1" x14ac:dyDescent="0.25">
      <c r="A62" s="657" t="s">
        <v>148</v>
      </c>
      <c r="B62" s="658" t="s">
        <v>149</v>
      </c>
      <c r="C62" s="583" t="s">
        <v>265</v>
      </c>
      <c r="D62" s="659">
        <v>3</v>
      </c>
      <c r="E62" s="660">
        <v>0</v>
      </c>
      <c r="F62" s="661">
        <v>3</v>
      </c>
      <c r="G62" s="661">
        <v>0</v>
      </c>
      <c r="H62" s="662"/>
      <c r="I62" s="666"/>
      <c r="J62" s="662"/>
      <c r="K62" s="662"/>
      <c r="L62" s="662"/>
    </row>
    <row r="63" spans="1:12" ht="16.5" customHeight="1" x14ac:dyDescent="0.25">
      <c r="A63" s="657" t="s">
        <v>150</v>
      </c>
      <c r="B63" s="658" t="s">
        <v>151</v>
      </c>
      <c r="C63" s="583" t="s">
        <v>266</v>
      </c>
      <c r="D63" s="659">
        <v>3</v>
      </c>
      <c r="E63" s="668">
        <v>1</v>
      </c>
      <c r="F63" s="667">
        <v>2</v>
      </c>
      <c r="G63" s="661">
        <v>0</v>
      </c>
      <c r="H63" s="662"/>
      <c r="I63" s="666"/>
      <c r="J63" s="662"/>
      <c r="K63" s="662"/>
      <c r="L63" s="662"/>
    </row>
    <row r="64" spans="1:12" ht="16.5" customHeight="1" x14ac:dyDescent="0.25">
      <c r="A64" s="657" t="s">
        <v>152</v>
      </c>
      <c r="B64" s="658" t="s">
        <v>153</v>
      </c>
      <c r="C64" s="583" t="s">
        <v>268</v>
      </c>
      <c r="D64" s="659">
        <v>15</v>
      </c>
      <c r="E64" s="660">
        <v>7</v>
      </c>
      <c r="F64" s="661">
        <v>3</v>
      </c>
      <c r="G64" s="661">
        <v>5</v>
      </c>
      <c r="H64" s="662"/>
      <c r="I64" s="662"/>
      <c r="J64" s="662"/>
      <c r="K64" s="666"/>
      <c r="L64" s="662"/>
    </row>
    <row r="65" spans="1:12" ht="16.5" customHeight="1" x14ac:dyDescent="0.25">
      <c r="A65" s="657" t="s">
        <v>154</v>
      </c>
      <c r="B65" s="658" t="s">
        <v>155</v>
      </c>
      <c r="C65" s="583" t="s">
        <v>265</v>
      </c>
      <c r="D65" s="670">
        <v>0</v>
      </c>
      <c r="E65" s="671">
        <v>0</v>
      </c>
      <c r="F65" s="667">
        <v>0</v>
      </c>
      <c r="G65" s="667">
        <v>0</v>
      </c>
      <c r="H65" s="662"/>
      <c r="I65" s="662"/>
      <c r="J65" s="662"/>
      <c r="K65" s="662"/>
      <c r="L65" s="662"/>
    </row>
    <row r="66" spans="1:12" ht="16.5" customHeight="1" x14ac:dyDescent="0.25">
      <c r="A66" s="657" t="s">
        <v>156</v>
      </c>
      <c r="B66" s="658" t="s">
        <v>157</v>
      </c>
      <c r="C66" s="583" t="s">
        <v>266</v>
      </c>
      <c r="D66" s="659">
        <v>1</v>
      </c>
      <c r="E66" s="660">
        <v>1</v>
      </c>
      <c r="F66" s="661">
        <v>0</v>
      </c>
      <c r="G66" s="667">
        <v>0</v>
      </c>
      <c r="H66" s="662"/>
      <c r="I66" s="665"/>
      <c r="J66" s="662"/>
      <c r="K66" s="662"/>
      <c r="L66" s="662"/>
    </row>
    <row r="67" spans="1:12" ht="16.5" customHeight="1" x14ac:dyDescent="0.25">
      <c r="A67" s="657" t="s">
        <v>162</v>
      </c>
      <c r="B67" s="658" t="s">
        <v>163</v>
      </c>
      <c r="C67" s="583" t="s">
        <v>264</v>
      </c>
      <c r="D67" s="659">
        <v>0</v>
      </c>
      <c r="E67" s="660">
        <v>0</v>
      </c>
      <c r="F67" s="661">
        <v>0</v>
      </c>
      <c r="G67" s="661">
        <v>0</v>
      </c>
      <c r="H67" s="665"/>
      <c r="I67" s="665"/>
      <c r="J67" s="662"/>
      <c r="K67" s="662"/>
      <c r="L67" s="662"/>
    </row>
    <row r="68" spans="1:12" ht="16.5" customHeight="1" x14ac:dyDescent="0.25">
      <c r="A68" s="657" t="s">
        <v>164</v>
      </c>
      <c r="B68" s="658" t="s">
        <v>165</v>
      </c>
      <c r="C68" s="583" t="s">
        <v>266</v>
      </c>
      <c r="D68" s="659">
        <v>0</v>
      </c>
      <c r="E68" s="660">
        <v>0</v>
      </c>
      <c r="F68" s="661">
        <v>0</v>
      </c>
      <c r="G68" s="661">
        <v>0</v>
      </c>
      <c r="H68" s="662"/>
      <c r="I68" s="665"/>
      <c r="J68" s="662"/>
      <c r="K68" s="662"/>
      <c r="L68" s="662"/>
    </row>
    <row r="69" spans="1:12" ht="16.5" customHeight="1" x14ac:dyDescent="0.25">
      <c r="A69" s="657" t="s">
        <v>168</v>
      </c>
      <c r="B69" s="658" t="s">
        <v>169</v>
      </c>
      <c r="C69" s="583" t="s">
        <v>266</v>
      </c>
      <c r="D69" s="659">
        <v>1</v>
      </c>
      <c r="E69" s="660">
        <v>0</v>
      </c>
      <c r="F69" s="661">
        <v>1</v>
      </c>
      <c r="G69" s="661">
        <v>0</v>
      </c>
      <c r="H69" s="662"/>
      <c r="I69" s="664"/>
      <c r="J69" s="662"/>
      <c r="K69" s="662"/>
      <c r="L69" s="662"/>
    </row>
    <row r="70" spans="1:12" ht="16.5" customHeight="1" x14ac:dyDescent="0.25">
      <c r="A70" s="657" t="s">
        <v>170</v>
      </c>
      <c r="B70" s="658" t="s">
        <v>171</v>
      </c>
      <c r="C70" s="583" t="s">
        <v>267</v>
      </c>
      <c r="D70" s="659">
        <v>3</v>
      </c>
      <c r="E70" s="660">
        <v>3</v>
      </c>
      <c r="F70" s="661">
        <v>0</v>
      </c>
      <c r="G70" s="661">
        <v>0</v>
      </c>
      <c r="H70" s="662"/>
      <c r="I70" s="664"/>
      <c r="J70" s="662"/>
      <c r="K70" s="665"/>
      <c r="L70" s="662"/>
    </row>
    <row r="71" spans="1:12" ht="16.5" customHeight="1" x14ac:dyDescent="0.25">
      <c r="A71" s="657" t="s">
        <v>172</v>
      </c>
      <c r="B71" s="658" t="s">
        <v>173</v>
      </c>
      <c r="C71" s="583" t="s">
        <v>267</v>
      </c>
      <c r="D71" s="659">
        <v>2</v>
      </c>
      <c r="E71" s="660">
        <v>2</v>
      </c>
      <c r="F71" s="661">
        <v>0</v>
      </c>
      <c r="G71" s="667">
        <v>0</v>
      </c>
      <c r="H71" s="662"/>
      <c r="I71" s="662"/>
      <c r="J71" s="662"/>
      <c r="K71" s="662"/>
      <c r="L71" s="662"/>
    </row>
    <row r="72" spans="1:12" ht="16.5" customHeight="1" x14ac:dyDescent="0.25">
      <c r="A72" s="657" t="s">
        <v>174</v>
      </c>
      <c r="B72" s="658" t="s">
        <v>175</v>
      </c>
      <c r="C72" s="583" t="s">
        <v>268</v>
      </c>
      <c r="D72" s="659">
        <v>0</v>
      </c>
      <c r="E72" s="660">
        <v>0</v>
      </c>
      <c r="F72" s="661">
        <v>0</v>
      </c>
      <c r="G72" s="667">
        <v>0</v>
      </c>
      <c r="H72" s="662"/>
      <c r="I72" s="662"/>
      <c r="J72" s="662"/>
      <c r="K72" s="662"/>
      <c r="L72" s="662"/>
    </row>
    <row r="73" spans="1:12" ht="16.5" customHeight="1" x14ac:dyDescent="0.25">
      <c r="A73" s="657" t="s">
        <v>178</v>
      </c>
      <c r="B73" s="658" t="s">
        <v>179</v>
      </c>
      <c r="C73" s="583" t="s">
        <v>265</v>
      </c>
      <c r="D73" s="659">
        <v>0</v>
      </c>
      <c r="E73" s="660">
        <v>0</v>
      </c>
      <c r="F73" s="661">
        <v>0</v>
      </c>
      <c r="G73" s="661">
        <v>0</v>
      </c>
      <c r="H73" s="662"/>
      <c r="I73" s="666"/>
      <c r="J73" s="662"/>
      <c r="K73" s="666"/>
      <c r="L73" s="662"/>
    </row>
    <row r="74" spans="1:12" ht="16.5" customHeight="1" x14ac:dyDescent="0.25">
      <c r="A74" s="657" t="s">
        <v>182</v>
      </c>
      <c r="B74" s="658" t="s">
        <v>183</v>
      </c>
      <c r="C74" s="583" t="s">
        <v>266</v>
      </c>
      <c r="D74" s="659">
        <v>0</v>
      </c>
      <c r="E74" s="660">
        <v>0</v>
      </c>
      <c r="F74" s="661">
        <v>0</v>
      </c>
      <c r="G74" s="667">
        <v>0</v>
      </c>
      <c r="H74" s="662"/>
      <c r="I74" s="666"/>
      <c r="J74" s="662"/>
      <c r="K74" s="662"/>
      <c r="L74" s="662"/>
    </row>
    <row r="75" spans="1:12" ht="16.5" customHeight="1" x14ac:dyDescent="0.25">
      <c r="A75" s="657" t="s">
        <v>184</v>
      </c>
      <c r="B75" s="658" t="s">
        <v>185</v>
      </c>
      <c r="C75" s="583" t="s">
        <v>266</v>
      </c>
      <c r="D75" s="659">
        <v>7</v>
      </c>
      <c r="E75" s="660">
        <v>3</v>
      </c>
      <c r="F75" s="661">
        <v>3</v>
      </c>
      <c r="G75" s="661">
        <v>1</v>
      </c>
      <c r="H75" s="662"/>
      <c r="I75" s="664"/>
      <c r="J75" s="662"/>
      <c r="K75" s="662"/>
      <c r="L75" s="662"/>
    </row>
    <row r="76" spans="1:12" ht="16.5" customHeight="1" x14ac:dyDescent="0.25">
      <c r="A76" s="657" t="s">
        <v>186</v>
      </c>
      <c r="B76" s="658" t="s">
        <v>187</v>
      </c>
      <c r="C76" s="583" t="s">
        <v>264</v>
      </c>
      <c r="D76" s="659">
        <v>2</v>
      </c>
      <c r="E76" s="660">
        <v>2</v>
      </c>
      <c r="F76" s="661">
        <v>0</v>
      </c>
      <c r="G76" s="661">
        <v>0</v>
      </c>
      <c r="H76" s="662"/>
      <c r="I76" s="665"/>
      <c r="J76" s="662"/>
      <c r="K76" s="662"/>
      <c r="L76" s="662"/>
    </row>
    <row r="77" spans="1:12" ht="16.5" customHeight="1" x14ac:dyDescent="0.25">
      <c r="A77" s="657" t="s">
        <v>188</v>
      </c>
      <c r="B77" s="658" t="s">
        <v>189</v>
      </c>
      <c r="C77" s="583" t="s">
        <v>267</v>
      </c>
      <c r="D77" s="659">
        <v>7</v>
      </c>
      <c r="E77" s="660">
        <v>1</v>
      </c>
      <c r="F77" s="661">
        <v>6</v>
      </c>
      <c r="G77" s="661">
        <v>0</v>
      </c>
      <c r="H77" s="662"/>
      <c r="I77" s="666"/>
      <c r="J77" s="662"/>
      <c r="K77" s="664"/>
      <c r="L77" s="662"/>
    </row>
    <row r="78" spans="1:12" ht="16.5" customHeight="1" x14ac:dyDescent="0.25">
      <c r="A78" s="657" t="s">
        <v>190</v>
      </c>
      <c r="B78" s="658" t="s">
        <v>191</v>
      </c>
      <c r="C78" s="583" t="s">
        <v>268</v>
      </c>
      <c r="D78" s="659">
        <v>12</v>
      </c>
      <c r="E78" s="660">
        <v>8</v>
      </c>
      <c r="F78" s="661">
        <v>0</v>
      </c>
      <c r="G78" s="661">
        <v>4</v>
      </c>
      <c r="H78" s="662"/>
      <c r="I78" s="666"/>
      <c r="J78" s="662"/>
      <c r="K78" s="662"/>
      <c r="L78" s="662"/>
    </row>
    <row r="79" spans="1:12" ht="16.5" customHeight="1" x14ac:dyDescent="0.25">
      <c r="A79" s="657" t="s">
        <v>194</v>
      </c>
      <c r="B79" s="658" t="s">
        <v>195</v>
      </c>
      <c r="C79" s="583" t="s">
        <v>267</v>
      </c>
      <c r="D79" s="659">
        <v>0</v>
      </c>
      <c r="E79" s="660">
        <v>0</v>
      </c>
      <c r="F79" s="661">
        <v>0</v>
      </c>
      <c r="G79" s="667">
        <v>0</v>
      </c>
      <c r="H79" s="662"/>
      <c r="I79" s="662"/>
      <c r="J79" s="662"/>
      <c r="K79" s="662"/>
      <c r="L79" s="662"/>
    </row>
    <row r="80" spans="1:12" ht="16.5" customHeight="1" x14ac:dyDescent="0.25">
      <c r="A80" s="657" t="s">
        <v>198</v>
      </c>
      <c r="B80" s="658" t="s">
        <v>199</v>
      </c>
      <c r="C80" s="583" t="s">
        <v>266</v>
      </c>
      <c r="D80" s="659">
        <v>0</v>
      </c>
      <c r="E80" s="660">
        <v>0</v>
      </c>
      <c r="F80" s="661">
        <v>0</v>
      </c>
      <c r="G80" s="661">
        <v>0</v>
      </c>
      <c r="H80" s="662"/>
      <c r="I80" s="665"/>
      <c r="J80" s="662"/>
      <c r="K80" s="662"/>
      <c r="L80" s="662"/>
    </row>
    <row r="81" spans="1:12" ht="16.5" customHeight="1" x14ac:dyDescent="0.25">
      <c r="A81" s="657" t="s">
        <v>202</v>
      </c>
      <c r="B81" s="658" t="s">
        <v>203</v>
      </c>
      <c r="C81" s="583" t="s">
        <v>265</v>
      </c>
      <c r="D81" s="659">
        <v>8</v>
      </c>
      <c r="E81" s="660">
        <v>8</v>
      </c>
      <c r="F81" s="661">
        <v>0</v>
      </c>
      <c r="G81" s="661">
        <v>0</v>
      </c>
      <c r="H81" s="662"/>
      <c r="I81" s="664"/>
      <c r="J81" s="665"/>
      <c r="K81" s="662"/>
      <c r="L81" s="662"/>
    </row>
    <row r="82" spans="1:12" ht="16.5" customHeight="1" x14ac:dyDescent="0.25">
      <c r="A82" s="657" t="s">
        <v>204</v>
      </c>
      <c r="B82" s="658" t="s">
        <v>205</v>
      </c>
      <c r="C82" s="583" t="s">
        <v>265</v>
      </c>
      <c r="D82" s="659">
        <v>1</v>
      </c>
      <c r="E82" s="660">
        <v>1</v>
      </c>
      <c r="F82" s="661">
        <v>0</v>
      </c>
      <c r="G82" s="667">
        <v>0</v>
      </c>
      <c r="H82" s="662"/>
      <c r="I82" s="666"/>
      <c r="J82" s="662"/>
      <c r="K82" s="662"/>
      <c r="L82" s="662"/>
    </row>
    <row r="83" spans="1:12" ht="16.5" customHeight="1" x14ac:dyDescent="0.25">
      <c r="A83" s="657" t="s">
        <v>206</v>
      </c>
      <c r="B83" s="658" t="s">
        <v>207</v>
      </c>
      <c r="C83" s="583" t="s">
        <v>267</v>
      </c>
      <c r="D83" s="659">
        <v>36</v>
      </c>
      <c r="E83" s="660">
        <v>18</v>
      </c>
      <c r="F83" s="661">
        <v>1</v>
      </c>
      <c r="G83" s="661">
        <v>17</v>
      </c>
      <c r="H83" s="662"/>
      <c r="I83" s="666"/>
      <c r="J83" s="662"/>
      <c r="K83" s="666"/>
      <c r="L83" s="662"/>
    </row>
    <row r="84" spans="1:12" ht="16.5" customHeight="1" x14ac:dyDescent="0.25">
      <c r="A84" s="657" t="s">
        <v>208</v>
      </c>
      <c r="B84" s="658" t="s">
        <v>209</v>
      </c>
      <c r="C84" s="583" t="s">
        <v>268</v>
      </c>
      <c r="D84" s="659">
        <v>14</v>
      </c>
      <c r="E84" s="660">
        <v>14</v>
      </c>
      <c r="F84" s="661">
        <v>0</v>
      </c>
      <c r="G84" s="667">
        <v>0</v>
      </c>
      <c r="H84" s="662"/>
      <c r="I84" s="665"/>
      <c r="J84" s="662"/>
      <c r="K84" s="662"/>
      <c r="L84" s="662"/>
    </row>
    <row r="85" spans="1:12" ht="16.5" customHeight="1" x14ac:dyDescent="0.25">
      <c r="A85" s="657" t="s">
        <v>210</v>
      </c>
      <c r="B85" s="658" t="s">
        <v>211</v>
      </c>
      <c r="C85" s="583" t="s">
        <v>268</v>
      </c>
      <c r="D85" s="659">
        <v>2</v>
      </c>
      <c r="E85" s="660">
        <v>2</v>
      </c>
      <c r="F85" s="661">
        <v>0</v>
      </c>
      <c r="G85" s="667">
        <v>0</v>
      </c>
      <c r="H85" s="662"/>
      <c r="I85" s="665"/>
      <c r="J85" s="662"/>
      <c r="K85" s="662"/>
      <c r="L85" s="662"/>
    </row>
    <row r="86" spans="1:12" ht="16.5" customHeight="1" x14ac:dyDescent="0.25">
      <c r="A86" s="657" t="s">
        <v>212</v>
      </c>
      <c r="B86" s="658" t="s">
        <v>213</v>
      </c>
      <c r="C86" s="583" t="s">
        <v>267</v>
      </c>
      <c r="D86" s="659">
        <v>5</v>
      </c>
      <c r="E86" s="660">
        <v>5</v>
      </c>
      <c r="F86" s="661">
        <v>0</v>
      </c>
      <c r="G86" s="661">
        <v>0</v>
      </c>
      <c r="H86" s="662"/>
      <c r="I86" s="664"/>
      <c r="J86" s="662"/>
      <c r="K86" s="662"/>
      <c r="L86" s="662"/>
    </row>
    <row r="87" spans="1:12" ht="16.5" customHeight="1" x14ac:dyDescent="0.25">
      <c r="A87" s="657" t="s">
        <v>214</v>
      </c>
      <c r="B87" s="658" t="s">
        <v>215</v>
      </c>
      <c r="C87" s="583" t="s">
        <v>268</v>
      </c>
      <c r="D87" s="659">
        <v>0</v>
      </c>
      <c r="E87" s="660">
        <v>0</v>
      </c>
      <c r="F87" s="661">
        <v>0</v>
      </c>
      <c r="G87" s="667">
        <v>0</v>
      </c>
      <c r="H87" s="662"/>
      <c r="I87" s="666"/>
      <c r="J87" s="662"/>
      <c r="K87" s="662"/>
      <c r="L87" s="662"/>
    </row>
    <row r="88" spans="1:12" ht="16.5" customHeight="1" x14ac:dyDescent="0.25">
      <c r="A88" s="657" t="s">
        <v>216</v>
      </c>
      <c r="B88" s="658" t="s">
        <v>217</v>
      </c>
      <c r="C88" s="583" t="s">
        <v>264</v>
      </c>
      <c r="D88" s="659">
        <v>0</v>
      </c>
      <c r="E88" s="660">
        <v>0</v>
      </c>
      <c r="F88" s="661">
        <v>0</v>
      </c>
      <c r="G88" s="661">
        <v>0</v>
      </c>
      <c r="H88" s="662"/>
      <c r="I88" s="662"/>
      <c r="J88" s="662"/>
      <c r="K88" s="666"/>
      <c r="L88" s="662"/>
    </row>
    <row r="89" spans="1:12" ht="16.5" customHeight="1" x14ac:dyDescent="0.25">
      <c r="A89" s="657" t="s">
        <v>218</v>
      </c>
      <c r="B89" s="658" t="s">
        <v>219</v>
      </c>
      <c r="C89" s="583" t="s">
        <v>267</v>
      </c>
      <c r="D89" s="659">
        <v>8</v>
      </c>
      <c r="E89" s="660">
        <v>6</v>
      </c>
      <c r="F89" s="661">
        <v>2</v>
      </c>
      <c r="G89" s="661">
        <v>0</v>
      </c>
      <c r="H89" s="662"/>
      <c r="I89" s="665"/>
      <c r="J89" s="662"/>
      <c r="K89" s="665"/>
      <c r="L89" s="662"/>
    </row>
    <row r="90" spans="1:12" ht="16.5" customHeight="1" x14ac:dyDescent="0.25">
      <c r="A90" s="657" t="s">
        <v>220</v>
      </c>
      <c r="B90" s="658" t="s">
        <v>221</v>
      </c>
      <c r="C90" s="583" t="s">
        <v>267</v>
      </c>
      <c r="D90" s="659">
        <v>12</v>
      </c>
      <c r="E90" s="660">
        <v>3</v>
      </c>
      <c r="F90" s="661">
        <v>3</v>
      </c>
      <c r="G90" s="661">
        <v>6</v>
      </c>
      <c r="H90" s="662"/>
      <c r="I90" s="664"/>
      <c r="J90" s="662"/>
      <c r="K90" s="664"/>
      <c r="L90" s="662"/>
    </row>
    <row r="91" spans="1:12" ht="16.5" customHeight="1" x14ac:dyDescent="0.25">
      <c r="A91" s="657" t="s">
        <v>224</v>
      </c>
      <c r="B91" s="658" t="s">
        <v>225</v>
      </c>
      <c r="C91" s="583" t="s">
        <v>264</v>
      </c>
      <c r="D91" s="659">
        <v>0</v>
      </c>
      <c r="E91" s="668">
        <v>0</v>
      </c>
      <c r="F91" s="667">
        <v>0</v>
      </c>
      <c r="G91" s="661">
        <v>0</v>
      </c>
      <c r="H91" s="662"/>
      <c r="I91" s="665"/>
      <c r="J91" s="662"/>
      <c r="K91" s="662"/>
      <c r="L91" s="662"/>
    </row>
    <row r="92" spans="1:12" ht="16.5" customHeight="1" x14ac:dyDescent="0.25">
      <c r="A92" s="657" t="s">
        <v>226</v>
      </c>
      <c r="B92" s="658" t="s">
        <v>227</v>
      </c>
      <c r="C92" s="583" t="s">
        <v>264</v>
      </c>
      <c r="D92" s="659">
        <v>2</v>
      </c>
      <c r="E92" s="660">
        <v>0</v>
      </c>
      <c r="F92" s="661">
        <v>2</v>
      </c>
      <c r="G92" s="661">
        <v>0</v>
      </c>
      <c r="H92" s="662"/>
      <c r="I92" s="665"/>
      <c r="J92" s="662"/>
      <c r="K92" s="662"/>
      <c r="L92" s="662"/>
    </row>
    <row r="93" spans="1:12" ht="16.5" customHeight="1" x14ac:dyDescent="0.25">
      <c r="A93" s="657" t="s">
        <v>228</v>
      </c>
      <c r="B93" s="658" t="s">
        <v>229</v>
      </c>
      <c r="C93" s="583" t="s">
        <v>268</v>
      </c>
      <c r="D93" s="659">
        <v>22</v>
      </c>
      <c r="E93" s="660">
        <v>22</v>
      </c>
      <c r="F93" s="661">
        <v>0</v>
      </c>
      <c r="G93" s="661">
        <v>0</v>
      </c>
      <c r="H93" s="662"/>
      <c r="I93" s="665"/>
      <c r="J93" s="662"/>
      <c r="K93" s="662"/>
      <c r="L93" s="662"/>
    </row>
    <row r="94" spans="1:12" ht="16.5" customHeight="1" x14ac:dyDescent="0.25">
      <c r="A94" s="657" t="s">
        <v>232</v>
      </c>
      <c r="B94" s="658" t="s">
        <v>233</v>
      </c>
      <c r="C94" s="583" t="s">
        <v>267</v>
      </c>
      <c r="D94" s="659">
        <v>3</v>
      </c>
      <c r="E94" s="660">
        <v>3</v>
      </c>
      <c r="F94" s="661">
        <v>0</v>
      </c>
      <c r="G94" s="661">
        <v>0</v>
      </c>
      <c r="H94" s="662"/>
      <c r="I94" s="666"/>
      <c r="J94" s="662"/>
      <c r="K94" s="662"/>
      <c r="L94" s="662"/>
    </row>
    <row r="95" spans="1:12" ht="16.5" customHeight="1" x14ac:dyDescent="0.25">
      <c r="A95" s="657" t="s">
        <v>234</v>
      </c>
      <c r="B95" s="658" t="s">
        <v>235</v>
      </c>
      <c r="C95" s="583" t="s">
        <v>268</v>
      </c>
      <c r="D95" s="659">
        <v>13</v>
      </c>
      <c r="E95" s="660">
        <v>13</v>
      </c>
      <c r="F95" s="661">
        <v>0</v>
      </c>
      <c r="G95" s="667">
        <v>0</v>
      </c>
      <c r="H95" s="662"/>
      <c r="I95" s="664"/>
      <c r="J95" s="662"/>
      <c r="K95" s="665"/>
      <c r="L95" s="662"/>
    </row>
    <row r="96" spans="1:12" ht="16.5" customHeight="1" x14ac:dyDescent="0.25">
      <c r="A96" s="657" t="s">
        <v>236</v>
      </c>
      <c r="B96" s="658" t="s">
        <v>237</v>
      </c>
      <c r="C96" s="583" t="s">
        <v>266</v>
      </c>
      <c r="D96" s="659">
        <v>0</v>
      </c>
      <c r="E96" s="660">
        <v>0</v>
      </c>
      <c r="F96" s="661">
        <v>0</v>
      </c>
      <c r="G96" s="661">
        <v>0</v>
      </c>
      <c r="H96" s="662"/>
      <c r="I96" s="664"/>
      <c r="J96" s="662"/>
      <c r="K96" s="662"/>
      <c r="L96" s="662"/>
    </row>
    <row r="97" spans="1:12" ht="16.5" customHeight="1" x14ac:dyDescent="0.25">
      <c r="A97" s="657" t="s">
        <v>242</v>
      </c>
      <c r="B97" s="658" t="s">
        <v>243</v>
      </c>
      <c r="C97" s="583" t="s">
        <v>268</v>
      </c>
      <c r="D97" s="659">
        <v>9</v>
      </c>
      <c r="E97" s="660">
        <v>9</v>
      </c>
      <c r="F97" s="661">
        <v>0</v>
      </c>
      <c r="G97" s="661">
        <v>0</v>
      </c>
      <c r="H97" s="662"/>
      <c r="I97" s="662"/>
      <c r="J97" s="662"/>
      <c r="K97" s="662"/>
      <c r="L97" s="662"/>
    </row>
    <row r="98" spans="1:12" ht="16.5" customHeight="1" x14ac:dyDescent="0.25">
      <c r="A98" s="657" t="s">
        <v>244</v>
      </c>
      <c r="B98" s="658" t="s">
        <v>245</v>
      </c>
      <c r="C98" s="583" t="s">
        <v>268</v>
      </c>
      <c r="D98" s="659">
        <v>3</v>
      </c>
      <c r="E98" s="660">
        <v>3</v>
      </c>
      <c r="F98" s="661">
        <v>0</v>
      </c>
      <c r="G98" s="667">
        <v>0</v>
      </c>
      <c r="H98" s="662"/>
      <c r="I98" s="662"/>
      <c r="J98" s="662"/>
      <c r="K98" s="662"/>
      <c r="L98" s="662"/>
    </row>
    <row r="99" spans="1:12" ht="16.5" customHeight="1" x14ac:dyDescent="0.25">
      <c r="A99" s="657" t="s">
        <v>246</v>
      </c>
      <c r="B99" s="658" t="s">
        <v>310</v>
      </c>
      <c r="C99" s="583" t="s">
        <v>264</v>
      </c>
      <c r="D99" s="659">
        <v>2</v>
      </c>
      <c r="E99" s="660">
        <v>1</v>
      </c>
      <c r="F99" s="661">
        <v>0</v>
      </c>
      <c r="G99" s="661">
        <v>1</v>
      </c>
      <c r="H99" s="662"/>
      <c r="I99" s="664"/>
      <c r="J99" s="662"/>
      <c r="K99" s="665"/>
      <c r="L99" s="662"/>
    </row>
    <row r="100" spans="1:12" ht="16.5" customHeight="1" x14ac:dyDescent="0.25">
      <c r="A100" s="657" t="s">
        <v>14</v>
      </c>
      <c r="B100" s="658" t="s">
        <v>15</v>
      </c>
      <c r="C100" s="583" t="s">
        <v>267</v>
      </c>
      <c r="D100" s="659">
        <v>10</v>
      </c>
      <c r="E100" s="660">
        <v>0</v>
      </c>
      <c r="F100" s="661">
        <v>9</v>
      </c>
      <c r="G100" s="661">
        <v>1</v>
      </c>
      <c r="H100" s="662"/>
      <c r="I100" s="666"/>
      <c r="J100" s="662"/>
      <c r="K100" s="666"/>
      <c r="L100" s="662"/>
    </row>
    <row r="101" spans="1:12" ht="16.5" customHeight="1" x14ac:dyDescent="0.25">
      <c r="A101" s="657" t="s">
        <v>34</v>
      </c>
      <c r="B101" s="658" t="s">
        <v>35</v>
      </c>
      <c r="C101" s="583" t="s">
        <v>268</v>
      </c>
      <c r="D101" s="659">
        <v>4</v>
      </c>
      <c r="E101" s="660">
        <v>4</v>
      </c>
      <c r="F101" s="661">
        <v>0</v>
      </c>
      <c r="G101" s="667">
        <v>0</v>
      </c>
      <c r="H101" s="662"/>
      <c r="I101" s="664"/>
      <c r="J101" s="662"/>
      <c r="K101" s="665"/>
      <c r="L101" s="662"/>
    </row>
    <row r="102" spans="1:12" ht="16.5" customHeight="1" x14ac:dyDescent="0.25">
      <c r="A102" s="657" t="s">
        <v>52</v>
      </c>
      <c r="B102" s="658" t="s">
        <v>53</v>
      </c>
      <c r="C102" s="583" t="s">
        <v>265</v>
      </c>
      <c r="D102" s="659">
        <v>11</v>
      </c>
      <c r="E102" s="660">
        <v>2</v>
      </c>
      <c r="F102" s="661">
        <v>1</v>
      </c>
      <c r="G102" s="661">
        <v>8</v>
      </c>
      <c r="H102" s="662"/>
      <c r="I102" s="664"/>
      <c r="J102" s="662"/>
      <c r="K102" s="662"/>
      <c r="L102" s="662"/>
    </row>
    <row r="103" spans="1:12" ht="16.5" customHeight="1" x14ac:dyDescent="0.25">
      <c r="A103" s="657" t="s">
        <v>54</v>
      </c>
      <c r="B103" s="658" t="s">
        <v>55</v>
      </c>
      <c r="C103" s="583" t="s">
        <v>264</v>
      </c>
      <c r="D103" s="659">
        <v>5</v>
      </c>
      <c r="E103" s="660">
        <v>2</v>
      </c>
      <c r="F103" s="661">
        <v>3</v>
      </c>
      <c r="G103" s="661">
        <v>0</v>
      </c>
      <c r="H103" s="662"/>
      <c r="I103" s="664"/>
      <c r="J103" s="662"/>
      <c r="K103" s="662"/>
      <c r="L103" s="662"/>
    </row>
    <row r="104" spans="1:12" ht="16.5" customHeight="1" x14ac:dyDescent="0.25">
      <c r="A104" s="657" t="s">
        <v>66</v>
      </c>
      <c r="B104" s="658" t="s">
        <v>67</v>
      </c>
      <c r="C104" s="583" t="s">
        <v>265</v>
      </c>
      <c r="D104" s="659">
        <v>3</v>
      </c>
      <c r="E104" s="660">
        <v>1</v>
      </c>
      <c r="F104" s="661">
        <v>2</v>
      </c>
      <c r="G104" s="661">
        <v>0</v>
      </c>
      <c r="H104" s="662"/>
      <c r="I104" s="664"/>
      <c r="J104" s="662"/>
      <c r="K104" s="665"/>
      <c r="L104" s="662"/>
    </row>
    <row r="105" spans="1:12" ht="16.5" customHeight="1" x14ac:dyDescent="0.25">
      <c r="A105" s="657" t="s">
        <v>82</v>
      </c>
      <c r="B105" s="658" t="s">
        <v>311</v>
      </c>
      <c r="C105" s="583" t="s">
        <v>264</v>
      </c>
      <c r="D105" s="659">
        <v>0</v>
      </c>
      <c r="E105" s="660">
        <v>0</v>
      </c>
      <c r="F105" s="661">
        <v>0</v>
      </c>
      <c r="G105" s="661">
        <v>0</v>
      </c>
      <c r="H105" s="662"/>
      <c r="I105" s="662"/>
      <c r="J105" s="662"/>
      <c r="K105" s="662"/>
      <c r="L105" s="662"/>
    </row>
    <row r="106" spans="1:12" ht="16.5" customHeight="1" x14ac:dyDescent="0.25">
      <c r="A106" s="657" t="s">
        <v>88</v>
      </c>
      <c r="B106" s="658" t="s">
        <v>89</v>
      </c>
      <c r="C106" s="583" t="s">
        <v>267</v>
      </c>
      <c r="D106" s="659">
        <v>6</v>
      </c>
      <c r="E106" s="660">
        <v>1</v>
      </c>
      <c r="F106" s="661">
        <v>3</v>
      </c>
      <c r="G106" s="661">
        <v>2</v>
      </c>
      <c r="H106" s="662"/>
      <c r="I106" s="666"/>
      <c r="J106" s="662"/>
      <c r="K106" s="666"/>
      <c r="L106" s="662"/>
    </row>
    <row r="107" spans="1:12" ht="16.5" customHeight="1" x14ac:dyDescent="0.25">
      <c r="A107" s="657" t="s">
        <v>90</v>
      </c>
      <c r="B107" s="658" t="s">
        <v>91</v>
      </c>
      <c r="C107" s="583" t="s">
        <v>268</v>
      </c>
      <c r="D107" s="659">
        <v>0</v>
      </c>
      <c r="E107" s="660">
        <v>0</v>
      </c>
      <c r="F107" s="661">
        <v>0</v>
      </c>
      <c r="G107" s="661">
        <v>0</v>
      </c>
      <c r="H107" s="662"/>
      <c r="I107" s="665"/>
      <c r="J107" s="662"/>
      <c r="K107" s="662"/>
      <c r="L107" s="662"/>
    </row>
    <row r="108" spans="1:12" ht="16.5" customHeight="1" x14ac:dyDescent="0.25">
      <c r="A108" s="657" t="s">
        <v>106</v>
      </c>
      <c r="B108" s="658" t="s">
        <v>107</v>
      </c>
      <c r="C108" s="583" t="s">
        <v>264</v>
      </c>
      <c r="D108" s="659">
        <v>0</v>
      </c>
      <c r="E108" s="660">
        <v>0</v>
      </c>
      <c r="F108" s="661">
        <v>0</v>
      </c>
      <c r="G108" s="661">
        <v>0</v>
      </c>
      <c r="H108" s="662"/>
      <c r="I108" s="664"/>
      <c r="J108" s="662"/>
      <c r="K108" s="662"/>
      <c r="L108" s="662"/>
    </row>
    <row r="109" spans="1:12" ht="16.5" customHeight="1" x14ac:dyDescent="0.25">
      <c r="A109" s="657" t="s">
        <v>116</v>
      </c>
      <c r="B109" s="658" t="s">
        <v>117</v>
      </c>
      <c r="C109" s="583" t="s">
        <v>266</v>
      </c>
      <c r="D109" s="659">
        <v>4</v>
      </c>
      <c r="E109" s="660">
        <v>1</v>
      </c>
      <c r="F109" s="661">
        <v>3</v>
      </c>
      <c r="G109" s="661">
        <v>0</v>
      </c>
      <c r="H109" s="662"/>
      <c r="I109" s="662"/>
      <c r="J109" s="662"/>
      <c r="K109" s="665"/>
      <c r="L109" s="662"/>
    </row>
    <row r="110" spans="1:12" ht="16.5" customHeight="1" x14ac:dyDescent="0.25">
      <c r="A110" s="657" t="s">
        <v>138</v>
      </c>
      <c r="B110" s="658" t="s">
        <v>139</v>
      </c>
      <c r="C110" s="583" t="s">
        <v>265</v>
      </c>
      <c r="D110" s="659">
        <v>24</v>
      </c>
      <c r="E110" s="660">
        <v>8</v>
      </c>
      <c r="F110" s="661">
        <v>15</v>
      </c>
      <c r="G110" s="661">
        <v>1</v>
      </c>
      <c r="H110" s="662"/>
      <c r="I110" s="666"/>
      <c r="J110" s="662"/>
      <c r="K110" s="666"/>
      <c r="L110" s="662"/>
    </row>
    <row r="111" spans="1:12" ht="16.5" customHeight="1" x14ac:dyDescent="0.25">
      <c r="A111" s="657" t="s">
        <v>142</v>
      </c>
      <c r="B111" s="658" t="s">
        <v>143</v>
      </c>
      <c r="C111" s="583" t="s">
        <v>267</v>
      </c>
      <c r="D111" s="659">
        <v>0</v>
      </c>
      <c r="E111" s="660">
        <v>0</v>
      </c>
      <c r="F111" s="661">
        <v>0</v>
      </c>
      <c r="G111" s="661">
        <v>0</v>
      </c>
      <c r="H111" s="662"/>
      <c r="I111" s="665"/>
      <c r="J111" s="662"/>
      <c r="K111" s="665"/>
      <c r="L111" s="662"/>
    </row>
    <row r="112" spans="1:12" ht="16.5" customHeight="1" x14ac:dyDescent="0.25">
      <c r="A112" s="657" t="s">
        <v>144</v>
      </c>
      <c r="B112" s="658" t="s">
        <v>145</v>
      </c>
      <c r="C112" s="583" t="s">
        <v>267</v>
      </c>
      <c r="D112" s="659">
        <v>0</v>
      </c>
      <c r="E112" s="660">
        <v>0</v>
      </c>
      <c r="F112" s="661">
        <v>0</v>
      </c>
      <c r="G112" s="667">
        <v>0</v>
      </c>
      <c r="H112" s="662"/>
      <c r="I112" s="662"/>
      <c r="J112" s="662"/>
      <c r="K112" s="662"/>
      <c r="L112" s="662"/>
    </row>
    <row r="113" spans="1:14" ht="16.5" customHeight="1" x14ac:dyDescent="0.25">
      <c r="A113" s="657" t="s">
        <v>158</v>
      </c>
      <c r="B113" s="658" t="s">
        <v>159</v>
      </c>
      <c r="C113" s="583" t="s">
        <v>264</v>
      </c>
      <c r="D113" s="659">
        <v>18</v>
      </c>
      <c r="E113" s="660">
        <v>3</v>
      </c>
      <c r="F113" s="661">
        <v>12</v>
      </c>
      <c r="G113" s="661">
        <v>3</v>
      </c>
      <c r="H113" s="662"/>
      <c r="I113" s="666"/>
      <c r="J113" s="662"/>
      <c r="K113" s="662"/>
      <c r="L113" s="662"/>
    </row>
    <row r="114" spans="1:14" ht="16.5" customHeight="1" x14ac:dyDescent="0.25">
      <c r="A114" s="657" t="s">
        <v>160</v>
      </c>
      <c r="B114" s="658" t="s">
        <v>161</v>
      </c>
      <c r="C114" s="583" t="s">
        <v>264</v>
      </c>
      <c r="D114" s="659">
        <v>34</v>
      </c>
      <c r="E114" s="660">
        <v>7</v>
      </c>
      <c r="F114" s="661">
        <v>27</v>
      </c>
      <c r="G114" s="661">
        <v>0</v>
      </c>
      <c r="H114" s="662"/>
      <c r="I114" s="666"/>
      <c r="J114" s="666"/>
      <c r="K114" s="662"/>
      <c r="L114" s="662"/>
    </row>
    <row r="115" spans="1:14" ht="16.5" customHeight="1" x14ac:dyDescent="0.25">
      <c r="A115" s="657" t="s">
        <v>166</v>
      </c>
      <c r="B115" s="658" t="s">
        <v>167</v>
      </c>
      <c r="C115" s="583" t="s">
        <v>268</v>
      </c>
      <c r="D115" s="659">
        <v>0</v>
      </c>
      <c r="E115" s="660">
        <v>0</v>
      </c>
      <c r="F115" s="661">
        <v>0</v>
      </c>
      <c r="G115" s="667">
        <v>0</v>
      </c>
      <c r="H115" s="662"/>
      <c r="I115" s="666"/>
      <c r="J115" s="662"/>
      <c r="K115" s="662"/>
      <c r="L115" s="662"/>
    </row>
    <row r="116" spans="1:14" ht="16.5" customHeight="1" x14ac:dyDescent="0.25">
      <c r="A116" s="657" t="s">
        <v>176</v>
      </c>
      <c r="B116" s="658" t="s">
        <v>177</v>
      </c>
      <c r="C116" s="583" t="s">
        <v>266</v>
      </c>
      <c r="D116" s="659">
        <v>16</v>
      </c>
      <c r="E116" s="660">
        <v>5</v>
      </c>
      <c r="F116" s="661">
        <v>3</v>
      </c>
      <c r="G116" s="661">
        <v>8</v>
      </c>
      <c r="H116" s="662"/>
      <c r="I116" s="664"/>
      <c r="J116" s="662"/>
      <c r="K116" s="664"/>
      <c r="L116" s="662"/>
    </row>
    <row r="117" spans="1:14" ht="16.5" customHeight="1" x14ac:dyDescent="0.25">
      <c r="A117" s="657" t="s">
        <v>180</v>
      </c>
      <c r="B117" s="658" t="s">
        <v>181</v>
      </c>
      <c r="C117" s="583" t="s">
        <v>264</v>
      </c>
      <c r="D117" s="659">
        <v>12</v>
      </c>
      <c r="E117" s="660">
        <v>1</v>
      </c>
      <c r="F117" s="661">
        <v>11</v>
      </c>
      <c r="G117" s="661">
        <v>0</v>
      </c>
      <c r="H117" s="662"/>
      <c r="I117" s="664"/>
      <c r="J117" s="662"/>
      <c r="K117" s="662"/>
      <c r="L117" s="662"/>
    </row>
    <row r="118" spans="1:14" ht="16.5" customHeight="1" x14ac:dyDescent="0.25">
      <c r="A118" s="657" t="s">
        <v>192</v>
      </c>
      <c r="B118" s="658" t="s">
        <v>193</v>
      </c>
      <c r="C118" s="583" t="s">
        <v>268</v>
      </c>
      <c r="D118" s="659">
        <v>1</v>
      </c>
      <c r="E118" s="660">
        <v>1</v>
      </c>
      <c r="F118" s="661">
        <v>0</v>
      </c>
      <c r="G118" s="661">
        <v>0</v>
      </c>
      <c r="H118" s="662"/>
      <c r="I118" s="665"/>
      <c r="J118" s="662"/>
      <c r="K118" s="662"/>
      <c r="L118" s="662"/>
    </row>
    <row r="119" spans="1:14" ht="16.5" customHeight="1" x14ac:dyDescent="0.25">
      <c r="A119" s="657" t="s">
        <v>196</v>
      </c>
      <c r="B119" s="658" t="s">
        <v>312</v>
      </c>
      <c r="C119" s="583" t="s">
        <v>266</v>
      </c>
      <c r="D119" s="659">
        <v>27</v>
      </c>
      <c r="E119" s="660">
        <v>1</v>
      </c>
      <c r="F119" s="661">
        <v>24</v>
      </c>
      <c r="G119" s="661">
        <v>2</v>
      </c>
      <c r="H119" s="662"/>
      <c r="I119" s="664"/>
      <c r="J119" s="662"/>
      <c r="K119" s="666"/>
      <c r="L119" s="662"/>
    </row>
    <row r="120" spans="1:14" ht="16.5" customHeight="1" x14ac:dyDescent="0.25">
      <c r="A120" s="657" t="s">
        <v>200</v>
      </c>
      <c r="B120" s="658" t="s">
        <v>313</v>
      </c>
      <c r="C120" s="583" t="s">
        <v>265</v>
      </c>
      <c r="D120" s="659">
        <v>34</v>
      </c>
      <c r="E120" s="660">
        <v>14</v>
      </c>
      <c r="F120" s="661">
        <v>11</v>
      </c>
      <c r="G120" s="661">
        <v>9</v>
      </c>
      <c r="H120" s="662"/>
      <c r="I120" s="666"/>
      <c r="J120" s="662"/>
      <c r="K120" s="666"/>
      <c r="L120" s="662"/>
    </row>
    <row r="121" spans="1:14" ht="16.5" customHeight="1" x14ac:dyDescent="0.25">
      <c r="A121" s="657" t="s">
        <v>222</v>
      </c>
      <c r="B121" s="658" t="s">
        <v>223</v>
      </c>
      <c r="C121" s="583" t="s">
        <v>264</v>
      </c>
      <c r="D121" s="659">
        <v>5</v>
      </c>
      <c r="E121" s="660">
        <v>3</v>
      </c>
      <c r="F121" s="661">
        <v>1</v>
      </c>
      <c r="G121" s="661">
        <v>1</v>
      </c>
      <c r="H121" s="662"/>
      <c r="I121" s="665"/>
      <c r="J121" s="662"/>
      <c r="K121" s="662"/>
      <c r="L121" s="662"/>
    </row>
    <row r="122" spans="1:14" ht="16.5" customHeight="1" x14ac:dyDescent="0.25">
      <c r="A122" s="657" t="s">
        <v>230</v>
      </c>
      <c r="B122" s="658" t="s">
        <v>231</v>
      </c>
      <c r="C122" s="583" t="s">
        <v>264</v>
      </c>
      <c r="D122" s="659">
        <v>16</v>
      </c>
      <c r="E122" s="660">
        <v>6</v>
      </c>
      <c r="F122" s="661">
        <v>4</v>
      </c>
      <c r="G122" s="661">
        <v>6</v>
      </c>
      <c r="H122" s="662"/>
      <c r="I122" s="666"/>
      <c r="J122" s="662"/>
      <c r="K122" s="666"/>
      <c r="L122" s="662"/>
    </row>
    <row r="123" spans="1:14" ht="16.5" customHeight="1" x14ac:dyDescent="0.25">
      <c r="A123" s="657" t="s">
        <v>238</v>
      </c>
      <c r="B123" s="658" t="s">
        <v>239</v>
      </c>
      <c r="C123" s="583" t="s">
        <v>264</v>
      </c>
      <c r="D123" s="659">
        <v>5</v>
      </c>
      <c r="E123" s="660">
        <v>1</v>
      </c>
      <c r="F123" s="661">
        <v>4</v>
      </c>
      <c r="G123" s="661">
        <v>0</v>
      </c>
      <c r="H123" s="662"/>
      <c r="I123" s="662"/>
      <c r="J123" s="662"/>
      <c r="K123" s="662"/>
      <c r="L123" s="662"/>
    </row>
    <row r="124" spans="1:14" ht="16.5" customHeight="1" x14ac:dyDescent="0.25">
      <c r="A124" s="657" t="s">
        <v>240</v>
      </c>
      <c r="B124" s="658" t="s">
        <v>241</v>
      </c>
      <c r="C124" s="583" t="s">
        <v>267</v>
      </c>
      <c r="D124" s="659">
        <v>6</v>
      </c>
      <c r="E124" s="660">
        <v>4</v>
      </c>
      <c r="F124" s="661">
        <v>0</v>
      </c>
      <c r="G124" s="661">
        <v>2</v>
      </c>
      <c r="H124" s="662"/>
      <c r="I124" s="664"/>
      <c r="J124" s="662"/>
      <c r="K124" s="662"/>
      <c r="L124" s="662"/>
    </row>
    <row r="125" spans="1:14" x14ac:dyDescent="0.25">
      <c r="D125" s="662"/>
      <c r="E125" s="662"/>
      <c r="F125" s="662"/>
      <c r="G125" s="672"/>
      <c r="H125" s="662"/>
      <c r="I125" s="662"/>
      <c r="J125" s="662"/>
      <c r="K125" s="662"/>
      <c r="L125" s="662"/>
    </row>
    <row r="126" spans="1:14" ht="32.25" customHeight="1" x14ac:dyDescent="0.25">
      <c r="A126" s="2288" t="s">
        <v>797</v>
      </c>
      <c r="B126" s="2288"/>
      <c r="C126" s="2288"/>
      <c r="D126" s="2288"/>
      <c r="E126" s="2288"/>
      <c r="F126" s="2288"/>
      <c r="G126" s="2288"/>
      <c r="H126" s="2288"/>
      <c r="I126" s="2288"/>
      <c r="J126" s="673"/>
      <c r="K126" s="673"/>
      <c r="L126" s="673"/>
      <c r="M126" s="673"/>
      <c r="N126" s="673"/>
    </row>
    <row r="127" spans="1:14" x14ac:dyDescent="0.25">
      <c r="A127" s="392" t="s">
        <v>776</v>
      </c>
    </row>
    <row r="129" spans="1:3" s="412" customFormat="1" x14ac:dyDescent="0.25">
      <c r="A129" s="412" t="s">
        <v>248</v>
      </c>
    </row>
    <row r="130" spans="1:3" s="412" customFormat="1" x14ac:dyDescent="0.25">
      <c r="A130" s="413" t="s">
        <v>249</v>
      </c>
      <c r="B130" s="414" t="s">
        <v>250</v>
      </c>
      <c r="C130" s="414"/>
    </row>
  </sheetData>
  <autoFilter ref="A3:C3"/>
  <mergeCells count="1">
    <mergeCell ref="A126:I126"/>
  </mergeCells>
  <hyperlinks>
    <hyperlink ref="B130" r:id="rId1"/>
  </hyperlinks>
  <pageMargins left="0.75" right="0.75" top="1" bottom="1" header="0.5" footer="0.5"/>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30"/>
  <sheetViews>
    <sheetView topLeftCell="M54" workbookViewId="0">
      <selection activeCell="A74" sqref="A74:XFD74"/>
    </sheetView>
  </sheetViews>
  <sheetFormatPr defaultRowHeight="15.75" x14ac:dyDescent="0.25"/>
  <cols>
    <col min="1" max="1" width="11" style="392" customWidth="1"/>
    <col min="2" max="2" width="32" style="392" customWidth="1"/>
    <col min="3" max="3" width="14.25" style="392" customWidth="1"/>
    <col min="4" max="9" width="7.5" style="392" customWidth="1"/>
    <col min="10" max="12" width="10.125" style="392" customWidth="1"/>
    <col min="13" max="13" width="12.25" style="392" customWidth="1"/>
    <col min="14" max="14" width="4.875" style="392" customWidth="1"/>
    <col min="15" max="17" width="12.25" style="392" customWidth="1"/>
    <col min="18" max="18" width="11.5" style="392" customWidth="1"/>
    <col min="19" max="19" width="11.125" style="392" customWidth="1"/>
    <col min="20" max="20" width="11.5" style="392" customWidth="1"/>
    <col min="21" max="23" width="9" style="392"/>
    <col min="24" max="25" width="10" style="392" customWidth="1"/>
    <col min="26" max="26" width="9.75" style="392" customWidth="1"/>
    <col min="27" max="16384" width="9" style="392"/>
  </cols>
  <sheetData>
    <row r="1" spans="1:27" x14ac:dyDescent="0.25">
      <c r="A1" s="193" t="s">
        <v>1341</v>
      </c>
    </row>
    <row r="3" spans="1:27" ht="32.25" customHeight="1" x14ac:dyDescent="0.25">
      <c r="A3" s="647" t="s">
        <v>4</v>
      </c>
      <c r="B3" s="648" t="s">
        <v>5</v>
      </c>
      <c r="C3" s="1955" t="s">
        <v>251</v>
      </c>
      <c r="D3" s="1957" t="s">
        <v>281</v>
      </c>
      <c r="E3" s="1958" t="s">
        <v>2</v>
      </c>
      <c r="F3" s="1958" t="s">
        <v>445</v>
      </c>
      <c r="G3" s="1958" t="s">
        <v>542</v>
      </c>
      <c r="H3" s="1958" t="s">
        <v>772</v>
      </c>
      <c r="I3" s="1958" t="s">
        <v>724</v>
      </c>
      <c r="J3" s="1958" t="s">
        <v>862</v>
      </c>
      <c r="K3" s="1958" t="s">
        <v>551</v>
      </c>
      <c r="L3" s="1959" t="s">
        <v>773</v>
      </c>
      <c r="M3" s="1471" t="s">
        <v>1131</v>
      </c>
      <c r="N3" s="653"/>
      <c r="O3" s="1471" t="s">
        <v>1329</v>
      </c>
      <c r="P3" s="1471" t="s">
        <v>1328</v>
      </c>
      <c r="Q3" s="1471" t="s">
        <v>1086</v>
      </c>
      <c r="R3" s="1472" t="s">
        <v>1087</v>
      </c>
      <c r="S3" s="1472" t="s">
        <v>1088</v>
      </c>
      <c r="T3" s="1472" t="s">
        <v>1089</v>
      </c>
      <c r="U3" s="193" t="s">
        <v>773</v>
      </c>
      <c r="W3" s="193" t="s">
        <v>1085</v>
      </c>
      <c r="X3" s="193" t="s">
        <v>1086</v>
      </c>
      <c r="Y3" s="193" t="s">
        <v>1087</v>
      </c>
      <c r="Z3" s="193" t="s">
        <v>1088</v>
      </c>
      <c r="AA3" s="193" t="s">
        <v>1089</v>
      </c>
    </row>
    <row r="4" spans="1:27" x14ac:dyDescent="0.25">
      <c r="A4" s="654">
        <v>999</v>
      </c>
      <c r="B4" s="655" t="s">
        <v>9</v>
      </c>
      <c r="C4" s="655"/>
      <c r="D4" s="1952">
        <f t="shared" ref="D4:M4" si="0">SUM(D5:D124)</f>
        <v>611</v>
      </c>
      <c r="E4" s="1960">
        <f t="shared" si="0"/>
        <v>316</v>
      </c>
      <c r="F4" s="1960">
        <f t="shared" si="0"/>
        <v>155</v>
      </c>
      <c r="G4" s="1960">
        <f t="shared" si="0"/>
        <v>1</v>
      </c>
      <c r="H4" s="1960">
        <f t="shared" si="0"/>
        <v>3</v>
      </c>
      <c r="I4" s="1960">
        <f t="shared" si="0"/>
        <v>0</v>
      </c>
      <c r="J4" s="1960">
        <f t="shared" si="0"/>
        <v>91</v>
      </c>
      <c r="K4" s="1960">
        <f t="shared" si="0"/>
        <v>44</v>
      </c>
      <c r="L4" s="1961">
        <f t="shared" si="0"/>
        <v>1</v>
      </c>
      <c r="M4" s="1956">
        <f t="shared" si="0"/>
        <v>139</v>
      </c>
      <c r="N4" s="653"/>
      <c r="O4" s="656">
        <f t="shared" ref="O4:AA4" si="1">SUM(O5:O124)</f>
        <v>8</v>
      </c>
      <c r="P4" s="656">
        <f t="shared" si="1"/>
        <v>293</v>
      </c>
      <c r="Q4" s="656">
        <f t="shared" si="1"/>
        <v>170</v>
      </c>
      <c r="R4" s="656">
        <f t="shared" si="1"/>
        <v>99</v>
      </c>
      <c r="S4" s="656">
        <f t="shared" si="1"/>
        <v>41</v>
      </c>
      <c r="T4" s="656">
        <f t="shared" si="1"/>
        <v>0</v>
      </c>
      <c r="U4" s="656">
        <f t="shared" si="1"/>
        <v>0</v>
      </c>
      <c r="W4" s="193">
        <f t="shared" si="1"/>
        <v>301</v>
      </c>
      <c r="X4" s="193">
        <f t="shared" si="1"/>
        <v>170</v>
      </c>
      <c r="Y4" s="193">
        <f t="shared" si="1"/>
        <v>99</v>
      </c>
      <c r="Z4" s="193">
        <f t="shared" si="1"/>
        <v>41</v>
      </c>
      <c r="AA4" s="193">
        <f t="shared" si="1"/>
        <v>0</v>
      </c>
    </row>
    <row r="5" spans="1:27" s="1756" customFormat="1" ht="16.5" customHeight="1" x14ac:dyDescent="0.25">
      <c r="A5" s="1953" t="s">
        <v>10</v>
      </c>
      <c r="B5" s="1954" t="s">
        <v>11</v>
      </c>
      <c r="C5" s="578" t="s">
        <v>264</v>
      </c>
      <c r="D5" s="1962">
        <f t="shared" ref="D5:D36" si="2">SUM(E5:L5)</f>
        <v>2</v>
      </c>
      <c r="E5" s="1963">
        <v>1</v>
      </c>
      <c r="F5" s="1963">
        <v>0</v>
      </c>
      <c r="G5" s="1963">
        <v>0</v>
      </c>
      <c r="H5" s="1963">
        <v>0</v>
      </c>
      <c r="I5" s="1963">
        <v>0</v>
      </c>
      <c r="J5" s="1963">
        <v>1</v>
      </c>
      <c r="K5" s="1963">
        <v>0</v>
      </c>
      <c r="L5" s="1964">
        <v>0</v>
      </c>
      <c r="M5" s="1143">
        <f t="shared" ref="M5:M36" si="3">G5+H5+I5+J5+K5</f>
        <v>1</v>
      </c>
      <c r="N5" s="672"/>
      <c r="O5" s="1143">
        <v>0</v>
      </c>
      <c r="P5" s="1143">
        <v>2</v>
      </c>
      <c r="Q5" s="1143">
        <v>0</v>
      </c>
      <c r="R5" s="1143">
        <v>0</v>
      </c>
      <c r="S5" s="1756">
        <v>0</v>
      </c>
      <c r="T5" s="1756">
        <v>0</v>
      </c>
      <c r="U5" s="1756">
        <v>0</v>
      </c>
      <c r="W5" s="1143">
        <f>O5+P5</f>
        <v>2</v>
      </c>
      <c r="X5" s="1143">
        <f>Q5</f>
        <v>0</v>
      </c>
      <c r="Y5" s="1143">
        <f>R5</f>
        <v>0</v>
      </c>
      <c r="Z5" s="1143">
        <f>S5</f>
        <v>0</v>
      </c>
      <c r="AA5" s="1756">
        <f>T5</f>
        <v>0</v>
      </c>
    </row>
    <row r="6" spans="1:27" s="1756" customFormat="1" ht="16.5" customHeight="1" x14ac:dyDescent="0.25">
      <c r="A6" s="1953" t="s">
        <v>12</v>
      </c>
      <c r="B6" s="1954" t="s">
        <v>13</v>
      </c>
      <c r="C6" s="578" t="s">
        <v>265</v>
      </c>
      <c r="D6" s="1962">
        <f t="shared" si="2"/>
        <v>17</v>
      </c>
      <c r="E6" s="1963">
        <v>8</v>
      </c>
      <c r="F6" s="1963">
        <v>4</v>
      </c>
      <c r="G6" s="1963">
        <v>0</v>
      </c>
      <c r="H6" s="1963">
        <v>0</v>
      </c>
      <c r="I6" s="1963">
        <v>0</v>
      </c>
      <c r="J6" s="1963">
        <v>2</v>
      </c>
      <c r="K6" s="1963">
        <v>3</v>
      </c>
      <c r="L6" s="1964">
        <v>0</v>
      </c>
      <c r="M6" s="1143">
        <f t="shared" si="3"/>
        <v>5</v>
      </c>
      <c r="N6" s="672"/>
      <c r="O6" s="1143">
        <v>0</v>
      </c>
      <c r="P6" s="1143">
        <v>3</v>
      </c>
      <c r="Q6" s="1143">
        <v>7</v>
      </c>
      <c r="R6" s="1143">
        <v>4</v>
      </c>
      <c r="S6" s="1756">
        <v>3</v>
      </c>
      <c r="T6" s="1756">
        <v>0</v>
      </c>
      <c r="U6" s="1756">
        <v>0</v>
      </c>
      <c r="W6" s="1143">
        <f t="shared" ref="W6:W69" si="4">O6+P6</f>
        <v>3</v>
      </c>
      <c r="X6" s="1143">
        <f t="shared" ref="X6:X69" si="5">Q6</f>
        <v>7</v>
      </c>
      <c r="Y6" s="1143">
        <f t="shared" ref="Y6:Y69" si="6">R6</f>
        <v>4</v>
      </c>
      <c r="Z6" s="1143">
        <f t="shared" ref="Z6:Z69" si="7">S6</f>
        <v>3</v>
      </c>
      <c r="AA6" s="1756">
        <f t="shared" ref="AA6:AA69" si="8">T6</f>
        <v>0</v>
      </c>
    </row>
    <row r="7" spans="1:27" s="1756" customFormat="1" ht="16.5" customHeight="1" x14ac:dyDescent="0.25">
      <c r="A7" s="1953" t="s">
        <v>14</v>
      </c>
      <c r="B7" s="1954" t="s">
        <v>15</v>
      </c>
      <c r="C7" s="583" t="s">
        <v>267</v>
      </c>
      <c r="D7" s="1962">
        <f t="shared" si="2"/>
        <v>11</v>
      </c>
      <c r="E7" s="1963">
        <v>0</v>
      </c>
      <c r="F7" s="1963">
        <v>8</v>
      </c>
      <c r="G7" s="1963">
        <v>0</v>
      </c>
      <c r="H7" s="1963">
        <v>0</v>
      </c>
      <c r="I7" s="1963">
        <v>0</v>
      </c>
      <c r="J7" s="1963">
        <v>2</v>
      </c>
      <c r="K7" s="1963">
        <v>1</v>
      </c>
      <c r="L7" s="1964">
        <v>0</v>
      </c>
      <c r="M7" s="1143">
        <f t="shared" si="3"/>
        <v>3</v>
      </c>
      <c r="N7" s="1143"/>
      <c r="O7" s="1143">
        <v>0</v>
      </c>
      <c r="P7" s="1143">
        <v>8</v>
      </c>
      <c r="Q7" s="1143">
        <v>2</v>
      </c>
      <c r="R7" s="1143">
        <v>0</v>
      </c>
      <c r="S7" s="1756">
        <v>1</v>
      </c>
      <c r="T7" s="1756">
        <v>0</v>
      </c>
      <c r="U7" s="1756">
        <v>0</v>
      </c>
      <c r="W7" s="1143">
        <f t="shared" si="4"/>
        <v>8</v>
      </c>
      <c r="X7" s="1143">
        <f t="shared" si="5"/>
        <v>2</v>
      </c>
      <c r="Y7" s="1143">
        <f t="shared" si="6"/>
        <v>0</v>
      </c>
      <c r="Z7" s="1143">
        <f t="shared" si="7"/>
        <v>1</v>
      </c>
      <c r="AA7" s="1756">
        <f t="shared" si="8"/>
        <v>0</v>
      </c>
    </row>
    <row r="8" spans="1:27" s="1756" customFormat="1" ht="16.5" customHeight="1" x14ac:dyDescent="0.25">
      <c r="A8" s="1953" t="s">
        <v>16</v>
      </c>
      <c r="B8" s="1954" t="s">
        <v>297</v>
      </c>
      <c r="C8" s="578" t="s">
        <v>265</v>
      </c>
      <c r="D8" s="1962">
        <f t="shared" si="2"/>
        <v>0</v>
      </c>
      <c r="E8" s="1963">
        <v>0</v>
      </c>
      <c r="F8" s="1963">
        <v>0</v>
      </c>
      <c r="G8" s="1963">
        <v>0</v>
      </c>
      <c r="H8" s="1963">
        <v>0</v>
      </c>
      <c r="I8" s="1963">
        <v>0</v>
      </c>
      <c r="J8" s="1963">
        <v>0</v>
      </c>
      <c r="K8" s="1963">
        <v>0</v>
      </c>
      <c r="L8" s="1964">
        <v>0</v>
      </c>
      <c r="M8" s="1143">
        <f t="shared" si="3"/>
        <v>0</v>
      </c>
      <c r="N8" s="672"/>
      <c r="O8" s="1143">
        <v>0</v>
      </c>
      <c r="P8" s="1143">
        <v>0</v>
      </c>
      <c r="Q8" s="672">
        <v>0</v>
      </c>
      <c r="R8" s="1143">
        <v>0</v>
      </c>
      <c r="S8" s="1756">
        <v>0</v>
      </c>
      <c r="T8" s="1756">
        <v>0</v>
      </c>
      <c r="U8" s="1756">
        <v>0</v>
      </c>
      <c r="W8" s="1143">
        <f t="shared" si="4"/>
        <v>0</v>
      </c>
      <c r="X8" s="1143">
        <f t="shared" si="5"/>
        <v>0</v>
      </c>
      <c r="Y8" s="1143">
        <f t="shared" si="6"/>
        <v>0</v>
      </c>
      <c r="Z8" s="1143">
        <f t="shared" si="7"/>
        <v>0</v>
      </c>
      <c r="AA8" s="1756">
        <f t="shared" si="8"/>
        <v>0</v>
      </c>
    </row>
    <row r="9" spans="1:27" s="1756" customFormat="1" ht="16.5" customHeight="1" x14ac:dyDescent="0.25">
      <c r="A9" s="1953" t="s">
        <v>18</v>
      </c>
      <c r="B9" s="1954" t="s">
        <v>19</v>
      </c>
      <c r="C9" s="578" t="s">
        <v>266</v>
      </c>
      <c r="D9" s="1962">
        <f t="shared" si="2"/>
        <v>0</v>
      </c>
      <c r="E9" s="1963">
        <v>0</v>
      </c>
      <c r="F9" s="1963">
        <v>0</v>
      </c>
      <c r="G9" s="1963">
        <v>0</v>
      </c>
      <c r="H9" s="1963">
        <v>0</v>
      </c>
      <c r="I9" s="1963">
        <v>0</v>
      </c>
      <c r="J9" s="1963">
        <v>0</v>
      </c>
      <c r="K9" s="1963">
        <v>0</v>
      </c>
      <c r="L9" s="1964">
        <v>0</v>
      </c>
      <c r="M9" s="1143">
        <f t="shared" si="3"/>
        <v>0</v>
      </c>
      <c r="N9" s="672"/>
      <c r="O9" s="1143">
        <v>0</v>
      </c>
      <c r="P9" s="1143">
        <v>0</v>
      </c>
      <c r="Q9" s="1143">
        <v>0</v>
      </c>
      <c r="R9" s="1143">
        <v>0</v>
      </c>
      <c r="S9" s="1756">
        <v>0</v>
      </c>
      <c r="T9" s="1756">
        <v>0</v>
      </c>
      <c r="U9" s="1756">
        <v>0</v>
      </c>
      <c r="W9" s="1143">
        <f t="shared" si="4"/>
        <v>0</v>
      </c>
      <c r="X9" s="1143">
        <f t="shared" si="5"/>
        <v>0</v>
      </c>
      <c r="Y9" s="1143">
        <f t="shared" si="6"/>
        <v>0</v>
      </c>
      <c r="Z9" s="1143">
        <f t="shared" si="7"/>
        <v>0</v>
      </c>
      <c r="AA9" s="1756">
        <f t="shared" si="8"/>
        <v>0</v>
      </c>
    </row>
    <row r="10" spans="1:27" s="1756" customFormat="1" ht="16.5" customHeight="1" x14ac:dyDescent="0.25">
      <c r="A10" s="1953" t="s">
        <v>20</v>
      </c>
      <c r="B10" s="1954" t="s">
        <v>21</v>
      </c>
      <c r="C10" s="578" t="s">
        <v>265</v>
      </c>
      <c r="D10" s="1962">
        <f t="shared" si="2"/>
        <v>2</v>
      </c>
      <c r="E10" s="1963">
        <v>2</v>
      </c>
      <c r="F10" s="1963">
        <v>0</v>
      </c>
      <c r="G10" s="1963">
        <v>0</v>
      </c>
      <c r="H10" s="1963">
        <v>0</v>
      </c>
      <c r="I10" s="1963">
        <v>0</v>
      </c>
      <c r="J10" s="1963">
        <v>0</v>
      </c>
      <c r="K10" s="1963">
        <v>0</v>
      </c>
      <c r="L10" s="1964">
        <v>0</v>
      </c>
      <c r="M10" s="1143">
        <f t="shared" si="3"/>
        <v>0</v>
      </c>
      <c r="N10" s="1143"/>
      <c r="O10" s="1143">
        <v>0</v>
      </c>
      <c r="P10" s="1143">
        <v>0</v>
      </c>
      <c r="Q10" s="1143">
        <v>2</v>
      </c>
      <c r="R10" s="1143">
        <v>0</v>
      </c>
      <c r="S10" s="1756">
        <v>0</v>
      </c>
      <c r="T10" s="1756">
        <v>0</v>
      </c>
      <c r="U10" s="1756">
        <v>0</v>
      </c>
      <c r="W10" s="1143">
        <f t="shared" si="4"/>
        <v>0</v>
      </c>
      <c r="X10" s="1143">
        <f t="shared" si="5"/>
        <v>2</v>
      </c>
      <c r="Y10" s="1143">
        <f t="shared" si="6"/>
        <v>0</v>
      </c>
      <c r="Z10" s="1143">
        <f t="shared" si="7"/>
        <v>0</v>
      </c>
      <c r="AA10" s="1756">
        <f t="shared" si="8"/>
        <v>0</v>
      </c>
    </row>
    <row r="11" spans="1:27" s="1756" customFormat="1" ht="16.5" customHeight="1" x14ac:dyDescent="0.25">
      <c r="A11" s="1953" t="s">
        <v>22</v>
      </c>
      <c r="B11" s="1954" t="s">
        <v>23</v>
      </c>
      <c r="C11" s="578" t="s">
        <v>265</v>
      </c>
      <c r="D11" s="1962">
        <f t="shared" si="2"/>
        <v>2</v>
      </c>
      <c r="E11" s="1963">
        <v>1</v>
      </c>
      <c r="F11" s="1963">
        <v>0</v>
      </c>
      <c r="G11" s="1963">
        <v>0</v>
      </c>
      <c r="H11" s="1963">
        <v>0</v>
      </c>
      <c r="I11" s="1963">
        <v>0</v>
      </c>
      <c r="J11" s="1963">
        <v>1</v>
      </c>
      <c r="K11" s="1963">
        <v>0</v>
      </c>
      <c r="L11" s="1964">
        <v>0</v>
      </c>
      <c r="M11" s="1143">
        <f t="shared" si="3"/>
        <v>1</v>
      </c>
      <c r="N11" s="672"/>
      <c r="O11" s="1143">
        <v>0</v>
      </c>
      <c r="P11" s="1143">
        <v>0</v>
      </c>
      <c r="Q11" s="1143">
        <v>1</v>
      </c>
      <c r="R11" s="1143">
        <v>0</v>
      </c>
      <c r="S11" s="1756">
        <v>1</v>
      </c>
      <c r="T11" s="1756">
        <v>0</v>
      </c>
      <c r="U11" s="1756">
        <v>0</v>
      </c>
      <c r="W11" s="1143">
        <f t="shared" si="4"/>
        <v>0</v>
      </c>
      <c r="X11" s="1143">
        <f t="shared" si="5"/>
        <v>1</v>
      </c>
      <c r="Y11" s="1143">
        <f t="shared" si="6"/>
        <v>0</v>
      </c>
      <c r="Z11" s="1143">
        <f t="shared" si="7"/>
        <v>1</v>
      </c>
      <c r="AA11" s="1756">
        <f t="shared" si="8"/>
        <v>0</v>
      </c>
    </row>
    <row r="12" spans="1:27" s="1756" customFormat="1" ht="16.5" customHeight="1" x14ac:dyDescent="0.25">
      <c r="A12" s="1953" t="s">
        <v>24</v>
      </c>
      <c r="B12" s="1954" t="s">
        <v>25</v>
      </c>
      <c r="C12" s="578" t="s">
        <v>267</v>
      </c>
      <c r="D12" s="1962">
        <f t="shared" si="2"/>
        <v>10</v>
      </c>
      <c r="E12" s="1963">
        <v>2</v>
      </c>
      <c r="F12" s="1963">
        <v>6</v>
      </c>
      <c r="G12" s="1963">
        <v>1</v>
      </c>
      <c r="H12" s="1963">
        <v>0</v>
      </c>
      <c r="I12" s="1963">
        <v>0</v>
      </c>
      <c r="J12" s="1963">
        <v>0</v>
      </c>
      <c r="K12" s="1963">
        <v>1</v>
      </c>
      <c r="L12" s="1964">
        <v>0</v>
      </c>
      <c r="M12" s="1143">
        <f t="shared" si="3"/>
        <v>2</v>
      </c>
      <c r="N12" s="1143"/>
      <c r="O12" s="1143">
        <v>0</v>
      </c>
      <c r="P12" s="1143">
        <v>6</v>
      </c>
      <c r="Q12" s="1143">
        <v>2</v>
      </c>
      <c r="R12" s="1143">
        <v>2</v>
      </c>
      <c r="S12" s="1756">
        <v>0</v>
      </c>
      <c r="T12" s="1756">
        <v>0</v>
      </c>
      <c r="U12" s="1756">
        <v>0</v>
      </c>
      <c r="W12" s="1143">
        <f t="shared" si="4"/>
        <v>6</v>
      </c>
      <c r="X12" s="1143">
        <f t="shared" si="5"/>
        <v>2</v>
      </c>
      <c r="Y12" s="1143">
        <f t="shared" si="6"/>
        <v>2</v>
      </c>
      <c r="Z12" s="1143">
        <f t="shared" si="7"/>
        <v>0</v>
      </c>
      <c r="AA12" s="1756">
        <f t="shared" si="8"/>
        <v>0</v>
      </c>
    </row>
    <row r="13" spans="1:27" s="1756" customFormat="1" ht="16.5" customHeight="1" x14ac:dyDescent="0.25">
      <c r="A13" s="1953" t="s">
        <v>26</v>
      </c>
      <c r="B13" s="1954" t="s">
        <v>686</v>
      </c>
      <c r="C13" s="578" t="s">
        <v>265</v>
      </c>
      <c r="D13" s="1962">
        <f t="shared" si="2"/>
        <v>21</v>
      </c>
      <c r="E13" s="1963">
        <v>12</v>
      </c>
      <c r="F13" s="1963">
        <v>3</v>
      </c>
      <c r="G13" s="1963">
        <v>0</v>
      </c>
      <c r="H13" s="1963">
        <v>0</v>
      </c>
      <c r="I13" s="1963">
        <v>0</v>
      </c>
      <c r="J13" s="1963">
        <v>4</v>
      </c>
      <c r="K13" s="1963">
        <v>2</v>
      </c>
      <c r="L13" s="1964">
        <v>0</v>
      </c>
      <c r="M13" s="1143">
        <f t="shared" si="3"/>
        <v>6</v>
      </c>
      <c r="N13" s="672"/>
      <c r="O13" s="1143">
        <v>0</v>
      </c>
      <c r="P13" s="1143">
        <v>11</v>
      </c>
      <c r="Q13" s="672">
        <v>6</v>
      </c>
      <c r="R13" s="1143">
        <v>1</v>
      </c>
      <c r="S13" s="1756">
        <v>3</v>
      </c>
      <c r="T13" s="1756">
        <v>0</v>
      </c>
      <c r="U13" s="1756">
        <v>0</v>
      </c>
      <c r="W13" s="1143">
        <f t="shared" si="4"/>
        <v>11</v>
      </c>
      <c r="X13" s="1143">
        <f t="shared" si="5"/>
        <v>6</v>
      </c>
      <c r="Y13" s="1143">
        <f t="shared" si="6"/>
        <v>1</v>
      </c>
      <c r="Z13" s="1143">
        <f t="shared" si="7"/>
        <v>3</v>
      </c>
      <c r="AA13" s="1756">
        <f t="shared" si="8"/>
        <v>0</v>
      </c>
    </row>
    <row r="14" spans="1:27" s="1756" customFormat="1" ht="16.5" customHeight="1" x14ac:dyDescent="0.25">
      <c r="A14" s="1953" t="s">
        <v>27</v>
      </c>
      <c r="B14" s="1954" t="s">
        <v>28</v>
      </c>
      <c r="C14" s="583" t="s">
        <v>265</v>
      </c>
      <c r="D14" s="1962">
        <f t="shared" si="2"/>
        <v>3</v>
      </c>
      <c r="E14" s="1963">
        <v>3</v>
      </c>
      <c r="F14" s="1965">
        <v>0</v>
      </c>
      <c r="G14" s="1965">
        <v>0</v>
      </c>
      <c r="H14" s="1965">
        <v>0</v>
      </c>
      <c r="I14" s="1965">
        <v>0</v>
      </c>
      <c r="J14" s="1966">
        <v>0</v>
      </c>
      <c r="K14" s="1966">
        <v>0</v>
      </c>
      <c r="L14" s="1967">
        <v>0</v>
      </c>
      <c r="M14" s="1143">
        <f t="shared" si="3"/>
        <v>0</v>
      </c>
      <c r="N14" s="672"/>
      <c r="O14" s="1143">
        <v>0</v>
      </c>
      <c r="P14" s="1143">
        <v>1</v>
      </c>
      <c r="Q14" s="1143">
        <v>2</v>
      </c>
      <c r="R14" s="1143">
        <v>0</v>
      </c>
      <c r="S14" s="1756">
        <v>0</v>
      </c>
      <c r="T14" s="1756">
        <v>0</v>
      </c>
      <c r="U14" s="1756">
        <v>0</v>
      </c>
      <c r="W14" s="1143">
        <f t="shared" si="4"/>
        <v>1</v>
      </c>
      <c r="X14" s="1143">
        <f t="shared" si="5"/>
        <v>2</v>
      </c>
      <c r="Y14" s="1143">
        <f t="shared" si="6"/>
        <v>0</v>
      </c>
      <c r="Z14" s="1143">
        <f t="shared" si="7"/>
        <v>0</v>
      </c>
      <c r="AA14" s="1756">
        <f t="shared" si="8"/>
        <v>0</v>
      </c>
    </row>
    <row r="15" spans="1:27" s="1756" customFormat="1" ht="16.5" customHeight="1" x14ac:dyDescent="0.25">
      <c r="A15" s="1953" t="s">
        <v>29</v>
      </c>
      <c r="B15" s="1954" t="s">
        <v>924</v>
      </c>
      <c r="C15" s="583" t="s">
        <v>265</v>
      </c>
      <c r="D15" s="1962">
        <f t="shared" si="2"/>
        <v>4</v>
      </c>
      <c r="E15" s="1963">
        <v>2</v>
      </c>
      <c r="F15" s="1963">
        <v>2</v>
      </c>
      <c r="G15" s="1963">
        <v>0</v>
      </c>
      <c r="H15" s="1963">
        <v>0</v>
      </c>
      <c r="I15" s="1963">
        <v>0</v>
      </c>
      <c r="J15" s="1963">
        <v>0</v>
      </c>
      <c r="K15" s="1963">
        <v>0</v>
      </c>
      <c r="L15" s="1964">
        <v>0</v>
      </c>
      <c r="M15" s="1143">
        <f t="shared" si="3"/>
        <v>0</v>
      </c>
      <c r="N15" s="672"/>
      <c r="O15" s="1143">
        <v>0</v>
      </c>
      <c r="P15" s="1143">
        <v>1</v>
      </c>
      <c r="Q15" s="1143">
        <v>1</v>
      </c>
      <c r="R15" s="1143">
        <v>1</v>
      </c>
      <c r="S15" s="1756">
        <v>1</v>
      </c>
      <c r="T15" s="1756">
        <v>0</v>
      </c>
      <c r="U15" s="1756">
        <v>0</v>
      </c>
      <c r="W15" s="1143">
        <f t="shared" si="4"/>
        <v>1</v>
      </c>
      <c r="X15" s="1143">
        <f t="shared" si="5"/>
        <v>1</v>
      </c>
      <c r="Y15" s="1143">
        <f t="shared" si="6"/>
        <v>1</v>
      </c>
      <c r="Z15" s="1143">
        <f t="shared" si="7"/>
        <v>1</v>
      </c>
      <c r="AA15" s="1756">
        <f t="shared" si="8"/>
        <v>0</v>
      </c>
    </row>
    <row r="16" spans="1:27" s="1756" customFormat="1" ht="16.5" customHeight="1" x14ac:dyDescent="0.25">
      <c r="A16" s="1953" t="s">
        <v>30</v>
      </c>
      <c r="B16" s="1954" t="s">
        <v>31</v>
      </c>
      <c r="C16" s="583" t="s">
        <v>268</v>
      </c>
      <c r="D16" s="1962">
        <f t="shared" si="2"/>
        <v>0</v>
      </c>
      <c r="E16" s="1963">
        <v>0</v>
      </c>
      <c r="F16" s="1963">
        <v>0</v>
      </c>
      <c r="G16" s="1963">
        <v>0</v>
      </c>
      <c r="H16" s="1963">
        <v>0</v>
      </c>
      <c r="I16" s="1963">
        <v>0</v>
      </c>
      <c r="J16" s="1963">
        <v>0</v>
      </c>
      <c r="K16" s="1963">
        <v>0</v>
      </c>
      <c r="L16" s="1964">
        <v>0</v>
      </c>
      <c r="M16" s="672">
        <f t="shared" si="3"/>
        <v>0</v>
      </c>
      <c r="N16" s="672"/>
      <c r="O16" s="1143">
        <v>0</v>
      </c>
      <c r="P16" s="1143">
        <v>0</v>
      </c>
      <c r="Q16" s="1143">
        <v>0</v>
      </c>
      <c r="R16" s="1143">
        <v>0</v>
      </c>
      <c r="S16" s="1756">
        <v>0</v>
      </c>
      <c r="T16" s="1756">
        <v>0</v>
      </c>
      <c r="U16" s="1756">
        <v>0</v>
      </c>
      <c r="W16" s="1143">
        <f t="shared" si="4"/>
        <v>0</v>
      </c>
      <c r="X16" s="1143">
        <f t="shared" si="5"/>
        <v>0</v>
      </c>
      <c r="Y16" s="1143">
        <f t="shared" si="6"/>
        <v>0</v>
      </c>
      <c r="Z16" s="1143">
        <f t="shared" si="7"/>
        <v>0</v>
      </c>
      <c r="AA16" s="1756">
        <f t="shared" si="8"/>
        <v>0</v>
      </c>
    </row>
    <row r="17" spans="1:27" s="1756" customFormat="1" ht="16.5" customHeight="1" x14ac:dyDescent="0.25">
      <c r="A17" s="1953" t="s">
        <v>32</v>
      </c>
      <c r="B17" s="1954" t="s">
        <v>33</v>
      </c>
      <c r="C17" s="583" t="s">
        <v>265</v>
      </c>
      <c r="D17" s="1962">
        <f t="shared" si="2"/>
        <v>0</v>
      </c>
      <c r="E17" s="1963">
        <v>0</v>
      </c>
      <c r="F17" s="1963">
        <v>0</v>
      </c>
      <c r="G17" s="1963">
        <v>0</v>
      </c>
      <c r="H17" s="1963">
        <v>0</v>
      </c>
      <c r="I17" s="1963">
        <v>0</v>
      </c>
      <c r="J17" s="1963">
        <v>0</v>
      </c>
      <c r="K17" s="1963">
        <v>0</v>
      </c>
      <c r="L17" s="1964">
        <v>0</v>
      </c>
      <c r="M17" s="1143">
        <f t="shared" si="3"/>
        <v>0</v>
      </c>
      <c r="N17" s="672"/>
      <c r="O17" s="1143">
        <v>0</v>
      </c>
      <c r="P17" s="1143">
        <v>0</v>
      </c>
      <c r="Q17" s="1143">
        <v>0</v>
      </c>
      <c r="R17" s="1143">
        <v>0</v>
      </c>
      <c r="S17" s="1756">
        <v>0</v>
      </c>
      <c r="T17" s="1756">
        <v>0</v>
      </c>
      <c r="U17" s="1756">
        <v>0</v>
      </c>
      <c r="W17" s="1143">
        <f t="shared" si="4"/>
        <v>0</v>
      </c>
      <c r="X17" s="1143">
        <f t="shared" si="5"/>
        <v>0</v>
      </c>
      <c r="Y17" s="1143">
        <f t="shared" si="6"/>
        <v>0</v>
      </c>
      <c r="Z17" s="1143">
        <f t="shared" si="7"/>
        <v>0</v>
      </c>
      <c r="AA17" s="1756">
        <f t="shared" si="8"/>
        <v>0</v>
      </c>
    </row>
    <row r="18" spans="1:27" s="1756" customFormat="1" ht="16.5" customHeight="1" x14ac:dyDescent="0.25">
      <c r="A18" s="1953" t="s">
        <v>34</v>
      </c>
      <c r="B18" s="1954" t="s">
        <v>35</v>
      </c>
      <c r="C18" s="583" t="s">
        <v>268</v>
      </c>
      <c r="D18" s="1962">
        <f t="shared" si="2"/>
        <v>7</v>
      </c>
      <c r="E18" s="1963">
        <v>6</v>
      </c>
      <c r="F18" s="1963">
        <v>1</v>
      </c>
      <c r="G18" s="1963">
        <v>0</v>
      </c>
      <c r="H18" s="1963">
        <v>0</v>
      </c>
      <c r="I18" s="1963">
        <v>0</v>
      </c>
      <c r="J18" s="1963">
        <v>0</v>
      </c>
      <c r="K18" s="1963">
        <v>0</v>
      </c>
      <c r="L18" s="1964">
        <v>0</v>
      </c>
      <c r="M18" s="1143">
        <f t="shared" si="3"/>
        <v>0</v>
      </c>
      <c r="N18" s="672"/>
      <c r="O18" s="1143">
        <v>0</v>
      </c>
      <c r="P18" s="1143">
        <v>3</v>
      </c>
      <c r="Q18" s="672">
        <v>1</v>
      </c>
      <c r="R18" s="1143">
        <v>3</v>
      </c>
      <c r="S18" s="1756">
        <v>0</v>
      </c>
      <c r="T18" s="1756">
        <v>0</v>
      </c>
      <c r="U18" s="1756">
        <v>0</v>
      </c>
      <c r="W18" s="1143">
        <f t="shared" si="4"/>
        <v>3</v>
      </c>
      <c r="X18" s="1143">
        <f t="shared" si="5"/>
        <v>1</v>
      </c>
      <c r="Y18" s="1143">
        <f t="shared" si="6"/>
        <v>3</v>
      </c>
      <c r="Z18" s="1143">
        <f t="shared" si="7"/>
        <v>0</v>
      </c>
      <c r="AA18" s="1756">
        <f t="shared" si="8"/>
        <v>0</v>
      </c>
    </row>
    <row r="19" spans="1:27" s="1756" customFormat="1" ht="16.5" customHeight="1" x14ac:dyDescent="0.25">
      <c r="A19" s="1953" t="s">
        <v>36</v>
      </c>
      <c r="B19" s="1954" t="s">
        <v>37</v>
      </c>
      <c r="C19" s="583" t="s">
        <v>264</v>
      </c>
      <c r="D19" s="1962">
        <f t="shared" si="2"/>
        <v>0</v>
      </c>
      <c r="E19" s="1963">
        <v>0</v>
      </c>
      <c r="F19" s="1963">
        <v>0</v>
      </c>
      <c r="G19" s="1963">
        <v>0</v>
      </c>
      <c r="H19" s="1963">
        <v>0</v>
      </c>
      <c r="I19" s="1963">
        <v>0</v>
      </c>
      <c r="J19" s="1963">
        <v>0</v>
      </c>
      <c r="K19" s="1963">
        <v>0</v>
      </c>
      <c r="L19" s="1964">
        <v>0</v>
      </c>
      <c r="M19" s="1143">
        <f t="shared" si="3"/>
        <v>0</v>
      </c>
      <c r="N19" s="1143"/>
      <c r="O19" s="1143">
        <v>0</v>
      </c>
      <c r="P19" s="1143">
        <v>0</v>
      </c>
      <c r="Q19" s="1143">
        <v>0</v>
      </c>
      <c r="R19" s="1143">
        <v>0</v>
      </c>
      <c r="S19" s="1756">
        <v>0</v>
      </c>
      <c r="T19" s="1756">
        <v>0</v>
      </c>
      <c r="U19" s="1756">
        <v>0</v>
      </c>
      <c r="W19" s="1143">
        <f t="shared" si="4"/>
        <v>0</v>
      </c>
      <c r="X19" s="1143">
        <f t="shared" si="5"/>
        <v>0</v>
      </c>
      <c r="Y19" s="1143">
        <f t="shared" si="6"/>
        <v>0</v>
      </c>
      <c r="Z19" s="1143">
        <f t="shared" si="7"/>
        <v>0</v>
      </c>
      <c r="AA19" s="1756">
        <f t="shared" si="8"/>
        <v>0</v>
      </c>
    </row>
    <row r="20" spans="1:27" s="1756" customFormat="1" ht="16.5" customHeight="1" x14ac:dyDescent="0.25">
      <c r="A20" s="1953" t="s">
        <v>38</v>
      </c>
      <c r="B20" s="1954" t="s">
        <v>39</v>
      </c>
      <c r="C20" s="583" t="s">
        <v>268</v>
      </c>
      <c r="D20" s="1962">
        <f t="shared" si="2"/>
        <v>14</v>
      </c>
      <c r="E20" s="1963">
        <v>13</v>
      </c>
      <c r="F20" s="1963">
        <v>0</v>
      </c>
      <c r="G20" s="1963">
        <v>0</v>
      </c>
      <c r="H20" s="1963">
        <v>0</v>
      </c>
      <c r="I20" s="1963">
        <v>0</v>
      </c>
      <c r="J20" s="1963">
        <v>1</v>
      </c>
      <c r="K20" s="1963">
        <v>0</v>
      </c>
      <c r="L20" s="1964">
        <v>0</v>
      </c>
      <c r="M20" s="1143">
        <f t="shared" si="3"/>
        <v>1</v>
      </c>
      <c r="N20" s="672"/>
      <c r="O20" s="1143">
        <v>0</v>
      </c>
      <c r="P20" s="1143">
        <v>10</v>
      </c>
      <c r="Q20" s="1143">
        <v>3</v>
      </c>
      <c r="R20" s="1143">
        <v>1</v>
      </c>
      <c r="S20" s="1756">
        <v>0</v>
      </c>
      <c r="T20" s="1756">
        <v>0</v>
      </c>
      <c r="U20" s="1756">
        <v>0</v>
      </c>
      <c r="W20" s="1143">
        <f t="shared" si="4"/>
        <v>10</v>
      </c>
      <c r="X20" s="1143">
        <f t="shared" si="5"/>
        <v>3</v>
      </c>
      <c r="Y20" s="1143">
        <f t="shared" si="6"/>
        <v>1</v>
      </c>
      <c r="Z20" s="1143">
        <f t="shared" si="7"/>
        <v>0</v>
      </c>
      <c r="AA20" s="1756">
        <f t="shared" si="8"/>
        <v>0</v>
      </c>
    </row>
    <row r="21" spans="1:27" s="1756" customFormat="1" ht="16.5" customHeight="1" x14ac:dyDescent="0.25">
      <c r="A21" s="1953" t="s">
        <v>40</v>
      </c>
      <c r="B21" s="1954" t="s">
        <v>41</v>
      </c>
      <c r="C21" s="583" t="s">
        <v>266</v>
      </c>
      <c r="D21" s="1962">
        <f t="shared" si="2"/>
        <v>1</v>
      </c>
      <c r="E21" s="1963">
        <v>1</v>
      </c>
      <c r="F21" s="1963">
        <v>0</v>
      </c>
      <c r="G21" s="1963">
        <v>0</v>
      </c>
      <c r="H21" s="1963">
        <v>0</v>
      </c>
      <c r="I21" s="1963">
        <v>0</v>
      </c>
      <c r="J21" s="1963">
        <v>0</v>
      </c>
      <c r="K21" s="1963">
        <v>0</v>
      </c>
      <c r="L21" s="1964">
        <v>0</v>
      </c>
      <c r="M21" s="1143">
        <f t="shared" si="3"/>
        <v>0</v>
      </c>
      <c r="N21" s="1143"/>
      <c r="O21" s="1143">
        <v>0</v>
      </c>
      <c r="P21" s="1143">
        <v>1</v>
      </c>
      <c r="Q21" s="1143">
        <v>0</v>
      </c>
      <c r="R21" s="1143">
        <v>0</v>
      </c>
      <c r="S21" s="1756">
        <v>0</v>
      </c>
      <c r="T21" s="1756">
        <v>0</v>
      </c>
      <c r="U21" s="1756">
        <v>0</v>
      </c>
      <c r="W21" s="1143">
        <f t="shared" si="4"/>
        <v>1</v>
      </c>
      <c r="X21" s="1143">
        <f t="shared" si="5"/>
        <v>0</v>
      </c>
      <c r="Y21" s="1143">
        <f t="shared" si="6"/>
        <v>0</v>
      </c>
      <c r="Z21" s="1143">
        <f t="shared" si="7"/>
        <v>0</v>
      </c>
      <c r="AA21" s="1756">
        <f t="shared" si="8"/>
        <v>0</v>
      </c>
    </row>
    <row r="22" spans="1:27" s="1756" customFormat="1" ht="16.5" customHeight="1" x14ac:dyDescent="0.25">
      <c r="A22" s="1953" t="s">
        <v>42</v>
      </c>
      <c r="B22" s="1954" t="s">
        <v>43</v>
      </c>
      <c r="C22" s="583" t="s">
        <v>265</v>
      </c>
      <c r="D22" s="1962">
        <f t="shared" si="2"/>
        <v>9</v>
      </c>
      <c r="E22" s="1963">
        <v>6</v>
      </c>
      <c r="F22" s="1963">
        <v>0</v>
      </c>
      <c r="G22" s="1963">
        <v>0</v>
      </c>
      <c r="H22" s="1963">
        <v>0</v>
      </c>
      <c r="I22" s="1963">
        <v>0</v>
      </c>
      <c r="J22" s="1963">
        <v>3</v>
      </c>
      <c r="K22" s="1963">
        <v>0</v>
      </c>
      <c r="L22" s="1964">
        <v>0</v>
      </c>
      <c r="M22" s="1143">
        <f t="shared" si="3"/>
        <v>3</v>
      </c>
      <c r="N22" s="672"/>
      <c r="O22" s="1143">
        <v>0</v>
      </c>
      <c r="P22" s="1143">
        <v>2</v>
      </c>
      <c r="Q22" s="1143">
        <v>5</v>
      </c>
      <c r="R22" s="1143">
        <v>2</v>
      </c>
      <c r="S22" s="1756">
        <v>0</v>
      </c>
      <c r="T22" s="1756">
        <v>0</v>
      </c>
      <c r="U22" s="1756">
        <v>0</v>
      </c>
      <c r="W22" s="1143">
        <f t="shared" si="4"/>
        <v>2</v>
      </c>
      <c r="X22" s="1143">
        <f t="shared" si="5"/>
        <v>5</v>
      </c>
      <c r="Y22" s="1143">
        <f t="shared" si="6"/>
        <v>2</v>
      </c>
      <c r="Z22" s="1143">
        <f t="shared" si="7"/>
        <v>0</v>
      </c>
      <c r="AA22" s="1756">
        <f t="shared" si="8"/>
        <v>0</v>
      </c>
    </row>
    <row r="23" spans="1:27" s="1756" customFormat="1" ht="16.5" customHeight="1" x14ac:dyDescent="0.25">
      <c r="A23" s="1953" t="s">
        <v>44</v>
      </c>
      <c r="B23" s="1954" t="s">
        <v>45</v>
      </c>
      <c r="C23" s="583" t="s">
        <v>266</v>
      </c>
      <c r="D23" s="1962">
        <f t="shared" si="2"/>
        <v>2</v>
      </c>
      <c r="E23" s="1963">
        <v>0</v>
      </c>
      <c r="F23" s="1963">
        <v>0</v>
      </c>
      <c r="G23" s="1963">
        <v>0</v>
      </c>
      <c r="H23" s="1963">
        <v>0</v>
      </c>
      <c r="I23" s="1963">
        <v>0</v>
      </c>
      <c r="J23" s="1963">
        <v>2</v>
      </c>
      <c r="K23" s="1963">
        <v>0</v>
      </c>
      <c r="L23" s="1964">
        <v>0</v>
      </c>
      <c r="M23" s="1143">
        <f t="shared" si="3"/>
        <v>2</v>
      </c>
      <c r="N23" s="1143"/>
      <c r="O23" s="1143">
        <v>1</v>
      </c>
      <c r="P23" s="1143">
        <v>1</v>
      </c>
      <c r="Q23" s="1143">
        <v>0</v>
      </c>
      <c r="R23" s="1143">
        <v>0</v>
      </c>
      <c r="S23" s="1756">
        <v>0</v>
      </c>
      <c r="T23" s="1756">
        <v>0</v>
      </c>
      <c r="U23" s="1756">
        <v>0</v>
      </c>
      <c r="W23" s="1143">
        <f t="shared" si="4"/>
        <v>2</v>
      </c>
      <c r="X23" s="1143">
        <f t="shared" si="5"/>
        <v>0</v>
      </c>
      <c r="Y23" s="1143">
        <f t="shared" si="6"/>
        <v>0</v>
      </c>
      <c r="Z23" s="1143">
        <f t="shared" si="7"/>
        <v>0</v>
      </c>
      <c r="AA23" s="1756">
        <f t="shared" si="8"/>
        <v>0</v>
      </c>
    </row>
    <row r="24" spans="1:27" s="1756" customFormat="1" ht="16.5" customHeight="1" x14ac:dyDescent="0.25">
      <c r="A24" s="1953" t="s">
        <v>46</v>
      </c>
      <c r="B24" s="1954" t="s">
        <v>47</v>
      </c>
      <c r="C24" s="583" t="s">
        <v>268</v>
      </c>
      <c r="D24" s="1962">
        <f t="shared" si="2"/>
        <v>1</v>
      </c>
      <c r="E24" s="1963">
        <v>1</v>
      </c>
      <c r="F24" s="1963">
        <v>0</v>
      </c>
      <c r="G24" s="1963">
        <v>0</v>
      </c>
      <c r="H24" s="1963">
        <v>0</v>
      </c>
      <c r="I24" s="1963">
        <v>0</v>
      </c>
      <c r="J24" s="1963">
        <v>0</v>
      </c>
      <c r="K24" s="1963">
        <v>0</v>
      </c>
      <c r="L24" s="1964">
        <v>0</v>
      </c>
      <c r="M24" s="672">
        <f t="shared" si="3"/>
        <v>0</v>
      </c>
      <c r="N24" s="672"/>
      <c r="O24" s="1143">
        <v>0</v>
      </c>
      <c r="P24" s="1143">
        <v>0</v>
      </c>
      <c r="Q24" s="1143">
        <v>0</v>
      </c>
      <c r="R24" s="1143">
        <v>0</v>
      </c>
      <c r="S24" s="1756">
        <v>1</v>
      </c>
      <c r="T24" s="1756">
        <v>0</v>
      </c>
      <c r="U24" s="1756">
        <v>0</v>
      </c>
      <c r="W24" s="1143">
        <f t="shared" si="4"/>
        <v>0</v>
      </c>
      <c r="X24" s="1143">
        <f t="shared" si="5"/>
        <v>0</v>
      </c>
      <c r="Y24" s="1143">
        <f t="shared" si="6"/>
        <v>0</v>
      </c>
      <c r="Z24" s="1143">
        <f t="shared" si="7"/>
        <v>1</v>
      </c>
      <c r="AA24" s="1756">
        <f t="shared" si="8"/>
        <v>0</v>
      </c>
    </row>
    <row r="25" spans="1:27" s="1756" customFormat="1" ht="16.5" customHeight="1" x14ac:dyDescent="0.25">
      <c r="A25" s="1953" t="s">
        <v>48</v>
      </c>
      <c r="B25" s="1954" t="s">
        <v>269</v>
      </c>
      <c r="C25" s="583" t="s">
        <v>266</v>
      </c>
      <c r="D25" s="1962">
        <f t="shared" si="2"/>
        <v>0</v>
      </c>
      <c r="E25" s="1963">
        <v>0</v>
      </c>
      <c r="F25" s="1965">
        <v>0</v>
      </c>
      <c r="G25" s="1965">
        <v>0</v>
      </c>
      <c r="H25" s="1965">
        <v>0</v>
      </c>
      <c r="I25" s="1965">
        <v>0</v>
      </c>
      <c r="J25" s="1966">
        <v>0</v>
      </c>
      <c r="K25" s="1966">
        <v>0</v>
      </c>
      <c r="L25" s="1967">
        <v>0</v>
      </c>
      <c r="M25" s="1143">
        <f t="shared" si="3"/>
        <v>0</v>
      </c>
      <c r="N25" s="672"/>
      <c r="O25" s="1143">
        <v>0</v>
      </c>
      <c r="P25" s="1143">
        <v>0</v>
      </c>
      <c r="Q25" s="1143">
        <v>0</v>
      </c>
      <c r="R25" s="1143">
        <v>0</v>
      </c>
      <c r="S25" s="1756">
        <v>0</v>
      </c>
      <c r="T25" s="1756">
        <v>0</v>
      </c>
      <c r="U25" s="1756">
        <v>0</v>
      </c>
      <c r="W25" s="1143">
        <f t="shared" si="4"/>
        <v>0</v>
      </c>
      <c r="X25" s="1143">
        <f t="shared" si="5"/>
        <v>0</v>
      </c>
      <c r="Y25" s="1143">
        <f t="shared" si="6"/>
        <v>0</v>
      </c>
      <c r="Z25" s="1143">
        <f t="shared" si="7"/>
        <v>0</v>
      </c>
      <c r="AA25" s="1756">
        <f t="shared" si="8"/>
        <v>0</v>
      </c>
    </row>
    <row r="26" spans="1:27" s="1756" customFormat="1" ht="16.5" customHeight="1" x14ac:dyDescent="0.25">
      <c r="A26" s="1953" t="s">
        <v>50</v>
      </c>
      <c r="B26" s="1954" t="s">
        <v>51</v>
      </c>
      <c r="C26" s="583" t="s">
        <v>265</v>
      </c>
      <c r="D26" s="1962">
        <f t="shared" si="2"/>
        <v>1</v>
      </c>
      <c r="E26" s="1963">
        <v>0</v>
      </c>
      <c r="F26" s="1963">
        <v>0</v>
      </c>
      <c r="G26" s="1963">
        <v>0</v>
      </c>
      <c r="H26" s="1963">
        <v>0</v>
      </c>
      <c r="I26" s="1963">
        <v>0</v>
      </c>
      <c r="J26" s="1963">
        <v>0</v>
      </c>
      <c r="K26" s="1963">
        <v>1</v>
      </c>
      <c r="L26" s="1964">
        <v>0</v>
      </c>
      <c r="M26" s="1143">
        <f t="shared" si="3"/>
        <v>1</v>
      </c>
      <c r="N26" s="672"/>
      <c r="O26" s="1143">
        <v>0</v>
      </c>
      <c r="P26" s="1143">
        <v>0</v>
      </c>
      <c r="Q26" s="1143">
        <v>0</v>
      </c>
      <c r="R26" s="1143">
        <v>0</v>
      </c>
      <c r="S26" s="1756">
        <v>1</v>
      </c>
      <c r="T26" s="1756">
        <v>0</v>
      </c>
      <c r="U26" s="1756">
        <v>0</v>
      </c>
      <c r="W26" s="1143">
        <f t="shared" si="4"/>
        <v>0</v>
      </c>
      <c r="X26" s="1143">
        <f t="shared" si="5"/>
        <v>0</v>
      </c>
      <c r="Y26" s="1143">
        <f t="shared" si="6"/>
        <v>0</v>
      </c>
      <c r="Z26" s="1143">
        <f t="shared" si="7"/>
        <v>1</v>
      </c>
      <c r="AA26" s="1756">
        <f t="shared" si="8"/>
        <v>0</v>
      </c>
    </row>
    <row r="27" spans="1:27" s="1756" customFormat="1" ht="16.5" customHeight="1" x14ac:dyDescent="0.25">
      <c r="A27" s="1953" t="s">
        <v>52</v>
      </c>
      <c r="B27" s="1954" t="s">
        <v>53</v>
      </c>
      <c r="C27" s="583" t="s">
        <v>265</v>
      </c>
      <c r="D27" s="1962">
        <f t="shared" si="2"/>
        <v>7</v>
      </c>
      <c r="E27" s="1963">
        <v>2</v>
      </c>
      <c r="F27" s="1963">
        <v>4</v>
      </c>
      <c r="G27" s="1963">
        <v>0</v>
      </c>
      <c r="H27" s="1963">
        <v>0</v>
      </c>
      <c r="I27" s="1963">
        <v>0</v>
      </c>
      <c r="J27" s="1963">
        <v>1</v>
      </c>
      <c r="K27" s="1963">
        <v>0</v>
      </c>
      <c r="L27" s="1964">
        <v>0</v>
      </c>
      <c r="M27" s="1143">
        <f t="shared" si="3"/>
        <v>1</v>
      </c>
      <c r="N27" s="672"/>
      <c r="O27" s="1143">
        <v>0</v>
      </c>
      <c r="P27" s="1143">
        <v>6</v>
      </c>
      <c r="Q27" s="1143">
        <v>0</v>
      </c>
      <c r="R27" s="1143">
        <v>1</v>
      </c>
      <c r="S27" s="1756">
        <v>0</v>
      </c>
      <c r="T27" s="1756">
        <v>0</v>
      </c>
      <c r="U27" s="1756">
        <v>0</v>
      </c>
      <c r="W27" s="1143">
        <f t="shared" si="4"/>
        <v>6</v>
      </c>
      <c r="X27" s="1143">
        <f t="shared" si="5"/>
        <v>0</v>
      </c>
      <c r="Y27" s="1143">
        <f t="shared" si="6"/>
        <v>1</v>
      </c>
      <c r="Z27" s="1143">
        <f t="shared" si="7"/>
        <v>0</v>
      </c>
      <c r="AA27" s="1756">
        <f t="shared" si="8"/>
        <v>0</v>
      </c>
    </row>
    <row r="28" spans="1:27" s="1756" customFormat="1" ht="16.5" customHeight="1" x14ac:dyDescent="0.25">
      <c r="A28" s="1953" t="s">
        <v>54</v>
      </c>
      <c r="B28" s="1954" t="s">
        <v>55</v>
      </c>
      <c r="C28" s="583" t="s">
        <v>264</v>
      </c>
      <c r="D28" s="1962">
        <f t="shared" si="2"/>
        <v>10</v>
      </c>
      <c r="E28" s="1963">
        <v>3</v>
      </c>
      <c r="F28" s="1963">
        <v>4</v>
      </c>
      <c r="G28" s="1963">
        <v>0</v>
      </c>
      <c r="H28" s="1963">
        <v>0</v>
      </c>
      <c r="I28" s="1963">
        <v>0</v>
      </c>
      <c r="J28" s="1963">
        <v>3</v>
      </c>
      <c r="K28" s="1963">
        <v>0</v>
      </c>
      <c r="L28" s="1964">
        <v>0</v>
      </c>
      <c r="M28" s="1143">
        <f t="shared" si="3"/>
        <v>3</v>
      </c>
      <c r="N28" s="672"/>
      <c r="O28" s="1143">
        <v>0</v>
      </c>
      <c r="P28" s="1143">
        <v>2</v>
      </c>
      <c r="Q28" s="1143">
        <v>6</v>
      </c>
      <c r="R28" s="1143">
        <v>2</v>
      </c>
      <c r="S28" s="1756">
        <v>0</v>
      </c>
      <c r="T28" s="1756">
        <v>0</v>
      </c>
      <c r="U28" s="1756">
        <v>0</v>
      </c>
      <c r="W28" s="1143">
        <f t="shared" si="4"/>
        <v>2</v>
      </c>
      <c r="X28" s="1143">
        <f t="shared" si="5"/>
        <v>6</v>
      </c>
      <c r="Y28" s="1143">
        <f t="shared" si="6"/>
        <v>2</v>
      </c>
      <c r="Z28" s="1143">
        <f t="shared" si="7"/>
        <v>0</v>
      </c>
      <c r="AA28" s="1756">
        <f t="shared" si="8"/>
        <v>0</v>
      </c>
    </row>
    <row r="29" spans="1:27" s="1756" customFormat="1" ht="16.5" customHeight="1" x14ac:dyDescent="0.25">
      <c r="A29" s="1953" t="s">
        <v>56</v>
      </c>
      <c r="B29" s="1954" t="s">
        <v>295</v>
      </c>
      <c r="C29" s="583" t="s">
        <v>266</v>
      </c>
      <c r="D29" s="1962">
        <f t="shared" si="2"/>
        <v>13</v>
      </c>
      <c r="E29" s="1963">
        <v>7</v>
      </c>
      <c r="F29" s="1963">
        <v>4</v>
      </c>
      <c r="G29" s="1963">
        <v>0</v>
      </c>
      <c r="H29" s="1963">
        <v>0</v>
      </c>
      <c r="I29" s="1963">
        <v>0</v>
      </c>
      <c r="J29" s="1963">
        <v>0</v>
      </c>
      <c r="K29" s="1963">
        <v>2</v>
      </c>
      <c r="L29" s="1964">
        <v>0</v>
      </c>
      <c r="M29" s="1143">
        <f t="shared" si="3"/>
        <v>2</v>
      </c>
      <c r="N29" s="1143"/>
      <c r="O29" s="1143">
        <v>0</v>
      </c>
      <c r="P29" s="1143">
        <v>3</v>
      </c>
      <c r="Q29" s="1143">
        <v>6</v>
      </c>
      <c r="R29" s="1143">
        <v>2</v>
      </c>
      <c r="S29" s="1756">
        <v>2</v>
      </c>
      <c r="T29" s="1756">
        <v>0</v>
      </c>
      <c r="U29" s="1756">
        <v>0</v>
      </c>
      <c r="W29" s="1143">
        <f t="shared" si="4"/>
        <v>3</v>
      </c>
      <c r="X29" s="1143">
        <f t="shared" si="5"/>
        <v>6</v>
      </c>
      <c r="Y29" s="1143">
        <f t="shared" si="6"/>
        <v>2</v>
      </c>
      <c r="Z29" s="1143">
        <f t="shared" si="7"/>
        <v>2</v>
      </c>
      <c r="AA29" s="1756">
        <f t="shared" si="8"/>
        <v>0</v>
      </c>
    </row>
    <row r="30" spans="1:27" s="1756" customFormat="1" ht="16.5" customHeight="1" x14ac:dyDescent="0.25">
      <c r="A30" s="1953" t="s">
        <v>58</v>
      </c>
      <c r="B30" s="1954" t="s">
        <v>59</v>
      </c>
      <c r="C30" s="583" t="s">
        <v>267</v>
      </c>
      <c r="D30" s="1968">
        <f t="shared" si="2"/>
        <v>0</v>
      </c>
      <c r="E30" s="1965">
        <v>0</v>
      </c>
      <c r="F30" s="1965">
        <v>0</v>
      </c>
      <c r="G30" s="1965">
        <v>0</v>
      </c>
      <c r="H30" s="1965">
        <v>0</v>
      </c>
      <c r="I30" s="1965">
        <v>0</v>
      </c>
      <c r="J30" s="1966">
        <v>0</v>
      </c>
      <c r="K30" s="1966">
        <v>0</v>
      </c>
      <c r="L30" s="1967">
        <v>0</v>
      </c>
      <c r="M30" s="1143">
        <f t="shared" si="3"/>
        <v>0</v>
      </c>
      <c r="N30" s="672"/>
      <c r="O30" s="1143">
        <v>0</v>
      </c>
      <c r="P30" s="1143">
        <v>0</v>
      </c>
      <c r="Q30" s="1143">
        <v>0</v>
      </c>
      <c r="R30" s="1143">
        <v>0</v>
      </c>
      <c r="S30" s="1756">
        <v>0</v>
      </c>
      <c r="T30" s="1756">
        <v>0</v>
      </c>
      <c r="U30" s="1756">
        <v>0</v>
      </c>
      <c r="W30" s="1143">
        <f t="shared" si="4"/>
        <v>0</v>
      </c>
      <c r="X30" s="1143">
        <f t="shared" si="5"/>
        <v>0</v>
      </c>
      <c r="Y30" s="1143">
        <f t="shared" si="6"/>
        <v>0</v>
      </c>
      <c r="Z30" s="1143">
        <f t="shared" si="7"/>
        <v>0</v>
      </c>
      <c r="AA30" s="1756">
        <f t="shared" si="8"/>
        <v>0</v>
      </c>
    </row>
    <row r="31" spans="1:27" s="1756" customFormat="1" ht="16.5" customHeight="1" x14ac:dyDescent="0.25">
      <c r="A31" s="1953" t="s">
        <v>60</v>
      </c>
      <c r="B31" s="1954" t="s">
        <v>61</v>
      </c>
      <c r="C31" s="583" t="s">
        <v>265</v>
      </c>
      <c r="D31" s="1968">
        <f t="shared" si="2"/>
        <v>2</v>
      </c>
      <c r="E31" s="1965">
        <v>2</v>
      </c>
      <c r="F31" s="1965">
        <v>0</v>
      </c>
      <c r="G31" s="1965">
        <v>0</v>
      </c>
      <c r="H31" s="1965">
        <v>0</v>
      </c>
      <c r="I31" s="1965">
        <v>0</v>
      </c>
      <c r="J31" s="1966">
        <v>0</v>
      </c>
      <c r="K31" s="1966">
        <v>0</v>
      </c>
      <c r="L31" s="1967">
        <v>0</v>
      </c>
      <c r="M31" s="1143">
        <f t="shared" si="3"/>
        <v>0</v>
      </c>
      <c r="N31" s="672"/>
      <c r="O31" s="1143">
        <v>0</v>
      </c>
      <c r="P31" s="1143">
        <v>1</v>
      </c>
      <c r="Q31" s="1143">
        <v>0</v>
      </c>
      <c r="R31" s="1143">
        <v>1</v>
      </c>
      <c r="S31" s="1756">
        <v>0</v>
      </c>
      <c r="T31" s="1756">
        <v>0</v>
      </c>
      <c r="U31" s="1756">
        <v>0</v>
      </c>
      <c r="W31" s="1143">
        <f t="shared" si="4"/>
        <v>1</v>
      </c>
      <c r="X31" s="1143">
        <f t="shared" si="5"/>
        <v>0</v>
      </c>
      <c r="Y31" s="1143">
        <f t="shared" si="6"/>
        <v>1</v>
      </c>
      <c r="Z31" s="1143">
        <f t="shared" si="7"/>
        <v>0</v>
      </c>
      <c r="AA31" s="1756">
        <f t="shared" si="8"/>
        <v>0</v>
      </c>
    </row>
    <row r="32" spans="1:27" s="1756" customFormat="1" ht="16.5" customHeight="1" x14ac:dyDescent="0.25">
      <c r="A32" s="1953" t="s">
        <v>62</v>
      </c>
      <c r="B32" s="1954" t="s">
        <v>63</v>
      </c>
      <c r="C32" s="583" t="s">
        <v>267</v>
      </c>
      <c r="D32" s="1962">
        <f t="shared" si="2"/>
        <v>11</v>
      </c>
      <c r="E32" s="1963">
        <v>3</v>
      </c>
      <c r="F32" s="1963">
        <v>1</v>
      </c>
      <c r="G32" s="1963">
        <v>0</v>
      </c>
      <c r="H32" s="1963">
        <v>0</v>
      </c>
      <c r="I32" s="1963">
        <v>0</v>
      </c>
      <c r="J32" s="1963">
        <v>1</v>
      </c>
      <c r="K32" s="1963">
        <v>6</v>
      </c>
      <c r="L32" s="1964">
        <v>0</v>
      </c>
      <c r="M32" s="1143">
        <f t="shared" si="3"/>
        <v>7</v>
      </c>
      <c r="N32" s="672"/>
      <c r="O32" s="1143">
        <v>0</v>
      </c>
      <c r="P32" s="1143">
        <v>6</v>
      </c>
      <c r="Q32" s="1143">
        <v>4</v>
      </c>
      <c r="R32" s="1143">
        <v>1</v>
      </c>
      <c r="S32" s="1756">
        <v>0</v>
      </c>
      <c r="T32" s="1756">
        <v>0</v>
      </c>
      <c r="U32" s="1756">
        <v>0</v>
      </c>
      <c r="W32" s="1143">
        <f t="shared" si="4"/>
        <v>6</v>
      </c>
      <c r="X32" s="1143">
        <f t="shared" si="5"/>
        <v>4</v>
      </c>
      <c r="Y32" s="1143">
        <f t="shared" si="6"/>
        <v>1</v>
      </c>
      <c r="Z32" s="1143">
        <f t="shared" si="7"/>
        <v>0</v>
      </c>
      <c r="AA32" s="1756">
        <f t="shared" si="8"/>
        <v>0</v>
      </c>
    </row>
    <row r="33" spans="1:27" s="1756" customFormat="1" ht="16.5" customHeight="1" x14ac:dyDescent="0.25">
      <c r="A33" s="1953" t="s">
        <v>64</v>
      </c>
      <c r="B33" s="1954" t="s">
        <v>65</v>
      </c>
      <c r="C33" s="583" t="s">
        <v>266</v>
      </c>
      <c r="D33" s="1962">
        <f t="shared" si="2"/>
        <v>0</v>
      </c>
      <c r="E33" s="1963">
        <v>0</v>
      </c>
      <c r="F33" s="1963">
        <v>0</v>
      </c>
      <c r="G33" s="1963">
        <v>0</v>
      </c>
      <c r="H33" s="1963">
        <v>0</v>
      </c>
      <c r="I33" s="1963">
        <v>0</v>
      </c>
      <c r="J33" s="1963">
        <v>0</v>
      </c>
      <c r="K33" s="1963">
        <v>0</v>
      </c>
      <c r="L33" s="1964">
        <v>0</v>
      </c>
      <c r="M33" s="1143">
        <f t="shared" si="3"/>
        <v>0</v>
      </c>
      <c r="N33" s="672"/>
      <c r="O33" s="1143">
        <v>0</v>
      </c>
      <c r="P33" s="1143">
        <v>0</v>
      </c>
      <c r="Q33" s="672">
        <v>0</v>
      </c>
      <c r="R33" s="1143">
        <v>0</v>
      </c>
      <c r="S33" s="1756">
        <v>0</v>
      </c>
      <c r="T33" s="1756">
        <v>0</v>
      </c>
      <c r="U33" s="1756">
        <v>0</v>
      </c>
      <c r="W33" s="1143">
        <f t="shared" si="4"/>
        <v>0</v>
      </c>
      <c r="X33" s="1143">
        <f t="shared" si="5"/>
        <v>0</v>
      </c>
      <c r="Y33" s="1143">
        <f t="shared" si="6"/>
        <v>0</v>
      </c>
      <c r="Z33" s="1143">
        <f t="shared" si="7"/>
        <v>0</v>
      </c>
      <c r="AA33" s="1756">
        <f t="shared" si="8"/>
        <v>0</v>
      </c>
    </row>
    <row r="34" spans="1:27" s="1756" customFormat="1" ht="16.5" customHeight="1" x14ac:dyDescent="0.25">
      <c r="A34" s="1953" t="s">
        <v>66</v>
      </c>
      <c r="B34" s="1954" t="s">
        <v>67</v>
      </c>
      <c r="C34" s="583" t="s">
        <v>265</v>
      </c>
      <c r="D34" s="1962">
        <f t="shared" si="2"/>
        <v>9</v>
      </c>
      <c r="E34" s="1963">
        <v>0</v>
      </c>
      <c r="F34" s="1963">
        <v>8</v>
      </c>
      <c r="G34" s="1963">
        <v>0</v>
      </c>
      <c r="H34" s="1963">
        <v>0</v>
      </c>
      <c r="I34" s="1963">
        <v>0</v>
      </c>
      <c r="J34" s="1963">
        <v>1</v>
      </c>
      <c r="K34" s="1963">
        <v>0</v>
      </c>
      <c r="L34" s="1964">
        <v>0</v>
      </c>
      <c r="M34" s="1143">
        <f t="shared" si="3"/>
        <v>1</v>
      </c>
      <c r="N34" s="672"/>
      <c r="O34" s="1143">
        <v>0</v>
      </c>
      <c r="P34" s="1143">
        <v>2</v>
      </c>
      <c r="Q34" s="672">
        <v>4</v>
      </c>
      <c r="R34" s="1143">
        <v>2</v>
      </c>
      <c r="S34" s="1756">
        <v>1</v>
      </c>
      <c r="T34" s="1756">
        <v>0</v>
      </c>
      <c r="U34" s="1756">
        <v>0</v>
      </c>
      <c r="W34" s="1143">
        <f t="shared" si="4"/>
        <v>2</v>
      </c>
      <c r="X34" s="1143">
        <f t="shared" si="5"/>
        <v>4</v>
      </c>
      <c r="Y34" s="1143">
        <f t="shared" si="6"/>
        <v>2</v>
      </c>
      <c r="Z34" s="1143">
        <f t="shared" si="7"/>
        <v>1</v>
      </c>
      <c r="AA34" s="1756">
        <f t="shared" si="8"/>
        <v>0</v>
      </c>
    </row>
    <row r="35" spans="1:27" s="1756" customFormat="1" ht="16.5" customHeight="1" x14ac:dyDescent="0.25">
      <c r="A35" s="1953" t="s">
        <v>68</v>
      </c>
      <c r="B35" s="1954" t="s">
        <v>69</v>
      </c>
      <c r="C35" s="583" t="s">
        <v>268</v>
      </c>
      <c r="D35" s="1962">
        <f t="shared" si="2"/>
        <v>14</v>
      </c>
      <c r="E35" s="1963">
        <v>14</v>
      </c>
      <c r="F35" s="1963">
        <v>0</v>
      </c>
      <c r="G35" s="1963">
        <v>0</v>
      </c>
      <c r="H35" s="1963">
        <v>0</v>
      </c>
      <c r="I35" s="1963">
        <v>0</v>
      </c>
      <c r="J35" s="1963">
        <v>0</v>
      </c>
      <c r="K35" s="1963">
        <v>0</v>
      </c>
      <c r="L35" s="1964">
        <v>0</v>
      </c>
      <c r="M35" s="1143">
        <f t="shared" si="3"/>
        <v>0</v>
      </c>
      <c r="N35" s="1143"/>
      <c r="O35" s="1143">
        <v>3</v>
      </c>
      <c r="P35" s="1143">
        <v>4</v>
      </c>
      <c r="Q35" s="1143">
        <v>6</v>
      </c>
      <c r="R35" s="1143">
        <v>0</v>
      </c>
      <c r="S35" s="1756">
        <v>1</v>
      </c>
      <c r="T35" s="1756">
        <v>0</v>
      </c>
      <c r="U35" s="1756">
        <v>0</v>
      </c>
      <c r="W35" s="1143">
        <f t="shared" si="4"/>
        <v>7</v>
      </c>
      <c r="X35" s="1143">
        <f t="shared" si="5"/>
        <v>6</v>
      </c>
      <c r="Y35" s="1143">
        <f t="shared" si="6"/>
        <v>0</v>
      </c>
      <c r="Z35" s="1143">
        <f t="shared" si="7"/>
        <v>1</v>
      </c>
      <c r="AA35" s="1756">
        <f t="shared" si="8"/>
        <v>0</v>
      </c>
    </row>
    <row r="36" spans="1:27" s="1756" customFormat="1" ht="16.5" customHeight="1" x14ac:dyDescent="0.25">
      <c r="A36" s="1953" t="s">
        <v>70</v>
      </c>
      <c r="B36" s="1954" t="s">
        <v>71</v>
      </c>
      <c r="C36" s="583" t="s">
        <v>264</v>
      </c>
      <c r="D36" s="1962">
        <f t="shared" si="2"/>
        <v>3</v>
      </c>
      <c r="E36" s="1963">
        <v>1</v>
      </c>
      <c r="F36" s="1963">
        <v>0</v>
      </c>
      <c r="G36" s="1963">
        <v>0</v>
      </c>
      <c r="H36" s="1963">
        <v>0</v>
      </c>
      <c r="I36" s="1963">
        <v>0</v>
      </c>
      <c r="J36" s="1963">
        <v>2</v>
      </c>
      <c r="K36" s="1963">
        <v>0</v>
      </c>
      <c r="L36" s="1964">
        <v>0</v>
      </c>
      <c r="M36" s="1143">
        <f t="shared" si="3"/>
        <v>2</v>
      </c>
      <c r="N36" s="1143"/>
      <c r="O36" s="1143">
        <v>0</v>
      </c>
      <c r="P36" s="1143">
        <v>1</v>
      </c>
      <c r="Q36" s="1143">
        <v>1</v>
      </c>
      <c r="R36" s="1143">
        <v>1</v>
      </c>
      <c r="S36" s="1756">
        <v>0</v>
      </c>
      <c r="T36" s="1756">
        <v>0</v>
      </c>
      <c r="U36" s="1756">
        <v>0</v>
      </c>
      <c r="W36" s="1143">
        <f t="shared" si="4"/>
        <v>1</v>
      </c>
      <c r="X36" s="1143">
        <f t="shared" si="5"/>
        <v>1</v>
      </c>
      <c r="Y36" s="1143">
        <f t="shared" si="6"/>
        <v>1</v>
      </c>
      <c r="Z36" s="1143">
        <f t="shared" si="7"/>
        <v>0</v>
      </c>
      <c r="AA36" s="1756">
        <f t="shared" si="8"/>
        <v>0</v>
      </c>
    </row>
    <row r="37" spans="1:27" s="1756" customFormat="1" ht="16.5" customHeight="1" x14ac:dyDescent="0.25">
      <c r="A37" s="1953" t="s">
        <v>72</v>
      </c>
      <c r="B37" s="1954" t="s">
        <v>73</v>
      </c>
      <c r="C37" s="583" t="s">
        <v>266</v>
      </c>
      <c r="D37" s="1962">
        <f t="shared" ref="D37:D68" si="9">SUM(E37:L37)</f>
        <v>0</v>
      </c>
      <c r="E37" s="1963">
        <v>0</v>
      </c>
      <c r="F37" s="1965">
        <v>0</v>
      </c>
      <c r="G37" s="1965">
        <v>0</v>
      </c>
      <c r="H37" s="1965">
        <v>0</v>
      </c>
      <c r="I37" s="1965">
        <v>0</v>
      </c>
      <c r="J37" s="1966">
        <v>0</v>
      </c>
      <c r="K37" s="1966">
        <v>0</v>
      </c>
      <c r="L37" s="1967">
        <v>0</v>
      </c>
      <c r="M37" s="1143">
        <f t="shared" ref="M37:M68" si="10">G37+H37+I37+J37+K37</f>
        <v>0</v>
      </c>
      <c r="N37" s="672"/>
      <c r="O37" s="1143">
        <v>0</v>
      </c>
      <c r="P37" s="1143">
        <v>0</v>
      </c>
      <c r="Q37" s="1143">
        <v>0</v>
      </c>
      <c r="R37" s="1143">
        <v>0</v>
      </c>
      <c r="S37" s="1756">
        <v>0</v>
      </c>
      <c r="T37" s="1756">
        <v>0</v>
      </c>
      <c r="U37" s="1756">
        <v>0</v>
      </c>
      <c r="W37" s="1143">
        <f t="shared" si="4"/>
        <v>0</v>
      </c>
      <c r="X37" s="1143">
        <f t="shared" si="5"/>
        <v>0</v>
      </c>
      <c r="Y37" s="1143">
        <f t="shared" si="6"/>
        <v>0</v>
      </c>
      <c r="Z37" s="1143">
        <f t="shared" si="7"/>
        <v>0</v>
      </c>
      <c r="AA37" s="1756">
        <f t="shared" si="8"/>
        <v>0</v>
      </c>
    </row>
    <row r="38" spans="1:27" s="1756" customFormat="1" ht="16.5" customHeight="1" x14ac:dyDescent="0.25">
      <c r="A38" s="1953" t="s">
        <v>74</v>
      </c>
      <c r="B38" s="1954" t="s">
        <v>302</v>
      </c>
      <c r="C38" s="583" t="s">
        <v>267</v>
      </c>
      <c r="D38" s="1962">
        <f t="shared" si="9"/>
        <v>12</v>
      </c>
      <c r="E38" s="1963">
        <v>1</v>
      </c>
      <c r="F38" s="1963">
        <v>4</v>
      </c>
      <c r="G38" s="1963">
        <v>0</v>
      </c>
      <c r="H38" s="1963">
        <v>0</v>
      </c>
      <c r="I38" s="1963">
        <v>0</v>
      </c>
      <c r="J38" s="1963">
        <v>1</v>
      </c>
      <c r="K38" s="1963">
        <v>6</v>
      </c>
      <c r="L38" s="1964">
        <v>0</v>
      </c>
      <c r="M38" s="1143">
        <f t="shared" si="10"/>
        <v>7</v>
      </c>
      <c r="N38" s="1143"/>
      <c r="O38" s="1143">
        <v>0</v>
      </c>
      <c r="P38" s="1143">
        <v>3</v>
      </c>
      <c r="Q38" s="1143">
        <v>3</v>
      </c>
      <c r="R38" s="1143">
        <v>3</v>
      </c>
      <c r="S38" s="1756">
        <v>3</v>
      </c>
      <c r="T38" s="1756">
        <v>0</v>
      </c>
      <c r="U38" s="1756">
        <v>0</v>
      </c>
      <c r="W38" s="1143">
        <f t="shared" si="4"/>
        <v>3</v>
      </c>
      <c r="X38" s="1143">
        <f t="shared" si="5"/>
        <v>3</v>
      </c>
      <c r="Y38" s="1143">
        <f t="shared" si="6"/>
        <v>3</v>
      </c>
      <c r="Z38" s="1143">
        <f t="shared" si="7"/>
        <v>3</v>
      </c>
      <c r="AA38" s="1756">
        <f t="shared" si="8"/>
        <v>0</v>
      </c>
    </row>
    <row r="39" spans="1:27" s="1756" customFormat="1" ht="16.5" customHeight="1" x14ac:dyDescent="0.25">
      <c r="A39" s="1953" t="s">
        <v>76</v>
      </c>
      <c r="B39" s="1954" t="s">
        <v>77</v>
      </c>
      <c r="C39" s="583" t="s">
        <v>267</v>
      </c>
      <c r="D39" s="1962">
        <f t="shared" si="9"/>
        <v>8</v>
      </c>
      <c r="E39" s="1963">
        <v>3</v>
      </c>
      <c r="F39" s="1963">
        <v>3</v>
      </c>
      <c r="G39" s="1963">
        <v>0</v>
      </c>
      <c r="H39" s="1963">
        <v>0</v>
      </c>
      <c r="I39" s="1963">
        <v>0</v>
      </c>
      <c r="J39" s="1963">
        <v>2</v>
      </c>
      <c r="K39" s="1963">
        <v>0</v>
      </c>
      <c r="L39" s="1964">
        <v>0</v>
      </c>
      <c r="M39" s="1143">
        <f t="shared" si="10"/>
        <v>2</v>
      </c>
      <c r="N39" s="672"/>
      <c r="O39" s="1143">
        <v>0</v>
      </c>
      <c r="P39" s="1143">
        <v>4</v>
      </c>
      <c r="Q39" s="1143">
        <v>1</v>
      </c>
      <c r="R39" s="1143">
        <v>2</v>
      </c>
      <c r="S39" s="1756">
        <v>1</v>
      </c>
      <c r="T39" s="1756">
        <v>0</v>
      </c>
      <c r="U39" s="1756">
        <v>0</v>
      </c>
      <c r="W39" s="1143">
        <f t="shared" si="4"/>
        <v>4</v>
      </c>
      <c r="X39" s="1143">
        <f t="shared" si="5"/>
        <v>1</v>
      </c>
      <c r="Y39" s="1143">
        <f t="shared" si="6"/>
        <v>2</v>
      </c>
      <c r="Z39" s="1143">
        <f t="shared" si="7"/>
        <v>1</v>
      </c>
      <c r="AA39" s="1756">
        <f t="shared" si="8"/>
        <v>0</v>
      </c>
    </row>
    <row r="40" spans="1:27" s="1756" customFormat="1" ht="16.5" customHeight="1" x14ac:dyDescent="0.25">
      <c r="A40" s="1953" t="s">
        <v>78</v>
      </c>
      <c r="B40" s="1954" t="s">
        <v>79</v>
      </c>
      <c r="C40" s="583" t="s">
        <v>268</v>
      </c>
      <c r="D40" s="1962">
        <f t="shared" si="9"/>
        <v>0</v>
      </c>
      <c r="E40" s="1963">
        <v>0</v>
      </c>
      <c r="F40" s="1963">
        <v>0</v>
      </c>
      <c r="G40" s="1963">
        <v>0</v>
      </c>
      <c r="H40" s="1963">
        <v>0</v>
      </c>
      <c r="I40" s="1963">
        <v>0</v>
      </c>
      <c r="J40" s="1963">
        <v>0</v>
      </c>
      <c r="K40" s="1963">
        <v>0</v>
      </c>
      <c r="L40" s="1964">
        <v>0</v>
      </c>
      <c r="M40" s="1143">
        <f t="shared" si="10"/>
        <v>0</v>
      </c>
      <c r="N40" s="1143"/>
      <c r="O40" s="1143">
        <v>0</v>
      </c>
      <c r="P40" s="1143">
        <v>0</v>
      </c>
      <c r="Q40" s="1143">
        <v>0</v>
      </c>
      <c r="R40" s="1143">
        <v>0</v>
      </c>
      <c r="S40" s="1756">
        <v>0</v>
      </c>
      <c r="T40" s="1756">
        <v>0</v>
      </c>
      <c r="U40" s="1756">
        <v>0</v>
      </c>
      <c r="W40" s="1143">
        <f t="shared" si="4"/>
        <v>0</v>
      </c>
      <c r="X40" s="1143">
        <f t="shared" si="5"/>
        <v>0</v>
      </c>
      <c r="Y40" s="1143">
        <f t="shared" si="6"/>
        <v>0</v>
      </c>
      <c r="Z40" s="1143">
        <f t="shared" si="7"/>
        <v>0</v>
      </c>
      <c r="AA40" s="1756">
        <f t="shared" si="8"/>
        <v>0</v>
      </c>
    </row>
    <row r="41" spans="1:27" s="1756" customFormat="1" ht="16.5" customHeight="1" x14ac:dyDescent="0.25">
      <c r="A41" s="1953" t="s">
        <v>80</v>
      </c>
      <c r="B41" s="1954" t="s">
        <v>81</v>
      </c>
      <c r="C41" s="583" t="s">
        <v>266</v>
      </c>
      <c r="D41" s="1962">
        <f t="shared" si="9"/>
        <v>0</v>
      </c>
      <c r="E41" s="1963">
        <v>0</v>
      </c>
      <c r="F41" s="1963">
        <v>0</v>
      </c>
      <c r="G41" s="1963">
        <v>0</v>
      </c>
      <c r="H41" s="1963">
        <v>0</v>
      </c>
      <c r="I41" s="1963">
        <v>0</v>
      </c>
      <c r="J41" s="1963">
        <v>0</v>
      </c>
      <c r="K41" s="1963">
        <v>0</v>
      </c>
      <c r="L41" s="1964">
        <v>0</v>
      </c>
      <c r="M41" s="1143">
        <f t="shared" si="10"/>
        <v>0</v>
      </c>
      <c r="N41" s="672"/>
      <c r="O41" s="1143">
        <v>0</v>
      </c>
      <c r="P41" s="1143">
        <v>0</v>
      </c>
      <c r="Q41" s="1143">
        <v>0</v>
      </c>
      <c r="R41" s="1143">
        <v>0</v>
      </c>
      <c r="S41" s="1756">
        <v>0</v>
      </c>
      <c r="T41" s="1756">
        <v>0</v>
      </c>
      <c r="U41" s="1756">
        <v>0</v>
      </c>
      <c r="W41" s="1143">
        <f t="shared" si="4"/>
        <v>0</v>
      </c>
      <c r="X41" s="1143">
        <f t="shared" si="5"/>
        <v>0</v>
      </c>
      <c r="Y41" s="1143">
        <f t="shared" si="6"/>
        <v>0</v>
      </c>
      <c r="Z41" s="1143">
        <f t="shared" si="7"/>
        <v>0</v>
      </c>
      <c r="AA41" s="1756">
        <f t="shared" si="8"/>
        <v>0</v>
      </c>
    </row>
    <row r="42" spans="1:27" s="1756" customFormat="1" ht="16.5" customHeight="1" x14ac:dyDescent="0.25">
      <c r="A42" s="1953" t="s">
        <v>82</v>
      </c>
      <c r="B42" s="1954" t="s">
        <v>311</v>
      </c>
      <c r="C42" s="583" t="s">
        <v>264</v>
      </c>
      <c r="D42" s="1962">
        <f t="shared" si="9"/>
        <v>0</v>
      </c>
      <c r="E42" s="1963">
        <v>0</v>
      </c>
      <c r="F42" s="1963">
        <v>0</v>
      </c>
      <c r="G42" s="1963">
        <v>0</v>
      </c>
      <c r="H42" s="1963">
        <v>0</v>
      </c>
      <c r="I42" s="1963">
        <v>0</v>
      </c>
      <c r="J42" s="1963">
        <v>0</v>
      </c>
      <c r="K42" s="1963">
        <v>0</v>
      </c>
      <c r="L42" s="1964">
        <v>0</v>
      </c>
      <c r="M42" s="1143">
        <f t="shared" si="10"/>
        <v>0</v>
      </c>
      <c r="N42" s="1143"/>
      <c r="O42" s="1143">
        <v>0</v>
      </c>
      <c r="P42" s="1143">
        <v>0</v>
      </c>
      <c r="Q42" s="1143">
        <v>0</v>
      </c>
      <c r="R42" s="1143">
        <v>0</v>
      </c>
      <c r="S42" s="1756">
        <v>0</v>
      </c>
      <c r="T42" s="1756">
        <v>0</v>
      </c>
      <c r="U42" s="1756">
        <v>0</v>
      </c>
      <c r="W42" s="1143">
        <f t="shared" si="4"/>
        <v>0</v>
      </c>
      <c r="X42" s="1143">
        <f t="shared" si="5"/>
        <v>0</v>
      </c>
      <c r="Y42" s="1143">
        <f t="shared" si="6"/>
        <v>0</v>
      </c>
      <c r="Z42" s="1143">
        <f t="shared" si="7"/>
        <v>0</v>
      </c>
      <c r="AA42" s="1756">
        <f t="shared" si="8"/>
        <v>0</v>
      </c>
    </row>
    <row r="43" spans="1:27" s="1756" customFormat="1" ht="16.5" customHeight="1" x14ac:dyDescent="0.25">
      <c r="A43" s="1953" t="s">
        <v>84</v>
      </c>
      <c r="B43" s="1954" t="s">
        <v>308</v>
      </c>
      <c r="C43" s="583" t="s">
        <v>265</v>
      </c>
      <c r="D43" s="1962">
        <f t="shared" si="9"/>
        <v>8</v>
      </c>
      <c r="E43" s="1963">
        <v>6</v>
      </c>
      <c r="F43" s="1963">
        <v>0</v>
      </c>
      <c r="G43" s="1963">
        <v>0</v>
      </c>
      <c r="H43" s="1963">
        <v>0</v>
      </c>
      <c r="I43" s="1963">
        <v>0</v>
      </c>
      <c r="J43" s="1963">
        <v>2</v>
      </c>
      <c r="K43" s="1963">
        <v>0</v>
      </c>
      <c r="L43" s="1964">
        <v>0</v>
      </c>
      <c r="M43" s="1143">
        <f t="shared" si="10"/>
        <v>2</v>
      </c>
      <c r="N43" s="1143"/>
      <c r="O43" s="1143">
        <v>0</v>
      </c>
      <c r="P43" s="1143">
        <v>1</v>
      </c>
      <c r="Q43" s="672">
        <v>2</v>
      </c>
      <c r="R43" s="1143">
        <v>4</v>
      </c>
      <c r="S43" s="1756">
        <v>1</v>
      </c>
      <c r="T43" s="1756">
        <v>0</v>
      </c>
      <c r="U43" s="1756">
        <v>0</v>
      </c>
      <c r="W43" s="1143">
        <f t="shared" si="4"/>
        <v>1</v>
      </c>
      <c r="X43" s="1143">
        <f t="shared" si="5"/>
        <v>2</v>
      </c>
      <c r="Y43" s="1143">
        <f t="shared" si="6"/>
        <v>4</v>
      </c>
      <c r="Z43" s="1143">
        <f t="shared" si="7"/>
        <v>1</v>
      </c>
      <c r="AA43" s="1756">
        <f t="shared" si="8"/>
        <v>0</v>
      </c>
    </row>
    <row r="44" spans="1:27" s="1756" customFormat="1" ht="16.5" customHeight="1" x14ac:dyDescent="0.25">
      <c r="A44" s="1953" t="s">
        <v>86</v>
      </c>
      <c r="B44" s="1954" t="s">
        <v>87</v>
      </c>
      <c r="C44" s="583" t="s">
        <v>267</v>
      </c>
      <c r="D44" s="1962">
        <f t="shared" si="9"/>
        <v>6</v>
      </c>
      <c r="E44" s="1963">
        <v>1</v>
      </c>
      <c r="F44" s="1963">
        <v>0</v>
      </c>
      <c r="G44" s="1963">
        <v>0</v>
      </c>
      <c r="H44" s="1963">
        <v>0</v>
      </c>
      <c r="I44" s="1963">
        <v>0</v>
      </c>
      <c r="J44" s="1963">
        <v>0</v>
      </c>
      <c r="K44" s="1963">
        <v>5</v>
      </c>
      <c r="L44" s="1964">
        <v>0</v>
      </c>
      <c r="M44" s="672">
        <f t="shared" si="10"/>
        <v>5</v>
      </c>
      <c r="N44" s="672"/>
      <c r="O44" s="672">
        <v>0</v>
      </c>
      <c r="P44" s="672">
        <v>6</v>
      </c>
      <c r="Q44" s="672">
        <v>0</v>
      </c>
      <c r="R44" s="1143">
        <v>0</v>
      </c>
      <c r="S44" s="1756">
        <v>0</v>
      </c>
      <c r="T44" s="1756">
        <v>0</v>
      </c>
      <c r="U44" s="1756">
        <v>0</v>
      </c>
      <c r="W44" s="1143">
        <f t="shared" si="4"/>
        <v>6</v>
      </c>
      <c r="X44" s="1143">
        <f t="shared" si="5"/>
        <v>0</v>
      </c>
      <c r="Y44" s="1143">
        <f t="shared" si="6"/>
        <v>0</v>
      </c>
      <c r="Z44" s="1143">
        <f t="shared" si="7"/>
        <v>0</v>
      </c>
      <c r="AA44" s="1756">
        <f t="shared" si="8"/>
        <v>0</v>
      </c>
    </row>
    <row r="45" spans="1:27" s="1756" customFormat="1" ht="16.5" customHeight="1" x14ac:dyDescent="0.25">
      <c r="A45" s="1953" t="s">
        <v>88</v>
      </c>
      <c r="B45" s="1954" t="s">
        <v>89</v>
      </c>
      <c r="C45" s="583" t="s">
        <v>267</v>
      </c>
      <c r="D45" s="1962">
        <f t="shared" si="9"/>
        <v>12</v>
      </c>
      <c r="E45" s="1963">
        <v>7</v>
      </c>
      <c r="F45" s="1963">
        <v>5</v>
      </c>
      <c r="G45" s="1963">
        <v>0</v>
      </c>
      <c r="H45" s="1963">
        <v>0</v>
      </c>
      <c r="I45" s="1963">
        <v>0</v>
      </c>
      <c r="J45" s="1963">
        <v>0</v>
      </c>
      <c r="K45" s="1963">
        <v>0</v>
      </c>
      <c r="L45" s="1964">
        <v>0</v>
      </c>
      <c r="M45" s="1143">
        <f t="shared" si="10"/>
        <v>0</v>
      </c>
      <c r="N45" s="1143"/>
      <c r="O45" s="1143">
        <v>0</v>
      </c>
      <c r="P45" s="1143">
        <v>11</v>
      </c>
      <c r="Q45" s="1143">
        <v>1</v>
      </c>
      <c r="R45" s="1143">
        <v>0</v>
      </c>
      <c r="S45" s="1756">
        <v>0</v>
      </c>
      <c r="T45" s="1756">
        <v>0</v>
      </c>
      <c r="U45" s="1756">
        <v>0</v>
      </c>
      <c r="W45" s="1143">
        <f t="shared" si="4"/>
        <v>11</v>
      </c>
      <c r="X45" s="1143">
        <f t="shared" si="5"/>
        <v>1</v>
      </c>
      <c r="Y45" s="1143">
        <f t="shared" si="6"/>
        <v>0</v>
      </c>
      <c r="Z45" s="1143">
        <f t="shared" si="7"/>
        <v>0</v>
      </c>
      <c r="AA45" s="1756">
        <f t="shared" si="8"/>
        <v>0</v>
      </c>
    </row>
    <row r="46" spans="1:27" s="1756" customFormat="1" ht="16.5" customHeight="1" x14ac:dyDescent="0.25">
      <c r="A46" s="1953" t="s">
        <v>90</v>
      </c>
      <c r="B46" s="1954" t="s">
        <v>91</v>
      </c>
      <c r="C46" s="583" t="s">
        <v>268</v>
      </c>
      <c r="D46" s="1962">
        <f t="shared" si="9"/>
        <v>0</v>
      </c>
      <c r="E46" s="1963">
        <v>0</v>
      </c>
      <c r="F46" s="1963">
        <v>0</v>
      </c>
      <c r="G46" s="1963">
        <v>0</v>
      </c>
      <c r="H46" s="1963">
        <v>0</v>
      </c>
      <c r="I46" s="1963">
        <v>0</v>
      </c>
      <c r="J46" s="1963">
        <v>0</v>
      </c>
      <c r="K46" s="1963">
        <v>0</v>
      </c>
      <c r="L46" s="1964">
        <v>0</v>
      </c>
      <c r="M46" s="1143">
        <f t="shared" si="10"/>
        <v>0</v>
      </c>
      <c r="N46" s="672"/>
      <c r="O46" s="1143">
        <v>0</v>
      </c>
      <c r="P46" s="1143">
        <v>0</v>
      </c>
      <c r="Q46" s="1143">
        <v>0</v>
      </c>
      <c r="R46" s="1143">
        <v>0</v>
      </c>
      <c r="S46" s="1756">
        <v>0</v>
      </c>
      <c r="T46" s="1756">
        <v>0</v>
      </c>
      <c r="U46" s="1756">
        <v>0</v>
      </c>
      <c r="W46" s="1143">
        <f t="shared" si="4"/>
        <v>0</v>
      </c>
      <c r="X46" s="1143">
        <f t="shared" si="5"/>
        <v>0</v>
      </c>
      <c r="Y46" s="1143">
        <f t="shared" si="6"/>
        <v>0</v>
      </c>
      <c r="Z46" s="1143">
        <f t="shared" si="7"/>
        <v>0</v>
      </c>
      <c r="AA46" s="1756">
        <f t="shared" si="8"/>
        <v>0</v>
      </c>
    </row>
    <row r="47" spans="1:27" s="1756" customFormat="1" ht="16.5" customHeight="1" x14ac:dyDescent="0.25">
      <c r="A47" s="1953" t="s">
        <v>92</v>
      </c>
      <c r="B47" s="1954" t="s">
        <v>93</v>
      </c>
      <c r="C47" s="583" t="s">
        <v>268</v>
      </c>
      <c r="D47" s="1962">
        <f t="shared" si="9"/>
        <v>8</v>
      </c>
      <c r="E47" s="1963">
        <v>8</v>
      </c>
      <c r="F47" s="1963">
        <v>0</v>
      </c>
      <c r="G47" s="1963">
        <v>0</v>
      </c>
      <c r="H47" s="1963">
        <v>0</v>
      </c>
      <c r="I47" s="1963">
        <v>0</v>
      </c>
      <c r="J47" s="1963">
        <v>0</v>
      </c>
      <c r="K47" s="1963">
        <v>0</v>
      </c>
      <c r="L47" s="1964">
        <v>0</v>
      </c>
      <c r="M47" s="1143">
        <f t="shared" si="10"/>
        <v>0</v>
      </c>
      <c r="N47" s="672"/>
      <c r="O47" s="1143">
        <v>0</v>
      </c>
      <c r="P47" s="1143">
        <v>4</v>
      </c>
      <c r="Q47" s="1143">
        <v>3</v>
      </c>
      <c r="R47" s="1143">
        <v>1</v>
      </c>
      <c r="S47" s="1756">
        <v>0</v>
      </c>
      <c r="T47" s="1756">
        <v>0</v>
      </c>
      <c r="U47" s="1756">
        <v>0</v>
      </c>
      <c r="W47" s="1143">
        <f t="shared" si="4"/>
        <v>4</v>
      </c>
      <c r="X47" s="1143">
        <f t="shared" si="5"/>
        <v>3</v>
      </c>
      <c r="Y47" s="1143">
        <f t="shared" si="6"/>
        <v>1</v>
      </c>
      <c r="Z47" s="1143">
        <f t="shared" si="7"/>
        <v>0</v>
      </c>
      <c r="AA47" s="1756">
        <f t="shared" si="8"/>
        <v>0</v>
      </c>
    </row>
    <row r="48" spans="1:27" s="1756" customFormat="1" ht="16.5" customHeight="1" x14ac:dyDescent="0.25">
      <c r="A48" s="1953" t="s">
        <v>94</v>
      </c>
      <c r="B48" s="1954" t="s">
        <v>95</v>
      </c>
      <c r="C48" s="583" t="s">
        <v>264</v>
      </c>
      <c r="D48" s="1962">
        <f t="shared" si="9"/>
        <v>2</v>
      </c>
      <c r="E48" s="1963">
        <v>2</v>
      </c>
      <c r="F48" s="1963">
        <v>0</v>
      </c>
      <c r="G48" s="1963">
        <v>0</v>
      </c>
      <c r="H48" s="1963">
        <v>0</v>
      </c>
      <c r="I48" s="1963">
        <v>0</v>
      </c>
      <c r="J48" s="1963">
        <v>0</v>
      </c>
      <c r="K48" s="1963">
        <v>0</v>
      </c>
      <c r="L48" s="1964">
        <v>0</v>
      </c>
      <c r="M48" s="1143">
        <f t="shared" si="10"/>
        <v>0</v>
      </c>
      <c r="N48" s="1143"/>
      <c r="O48" s="1143">
        <v>0</v>
      </c>
      <c r="P48" s="1143">
        <v>2</v>
      </c>
      <c r="Q48" s="1143">
        <v>0</v>
      </c>
      <c r="R48" s="1143">
        <v>0</v>
      </c>
      <c r="S48" s="1756">
        <v>0</v>
      </c>
      <c r="T48" s="1756">
        <v>0</v>
      </c>
      <c r="U48" s="1756">
        <v>0</v>
      </c>
      <c r="W48" s="1143">
        <f t="shared" si="4"/>
        <v>2</v>
      </c>
      <c r="X48" s="1143">
        <f t="shared" si="5"/>
        <v>0</v>
      </c>
      <c r="Y48" s="1143">
        <f t="shared" si="6"/>
        <v>0</v>
      </c>
      <c r="Z48" s="1143">
        <f t="shared" si="7"/>
        <v>0</v>
      </c>
      <c r="AA48" s="1756">
        <f t="shared" si="8"/>
        <v>0</v>
      </c>
    </row>
    <row r="49" spans="1:27" s="1756" customFormat="1" ht="16.5" customHeight="1" x14ac:dyDescent="0.25">
      <c r="A49" s="1953" t="s">
        <v>96</v>
      </c>
      <c r="B49" s="1954" t="s">
        <v>97</v>
      </c>
      <c r="C49" s="583" t="s">
        <v>266</v>
      </c>
      <c r="D49" s="1962">
        <f t="shared" si="9"/>
        <v>0</v>
      </c>
      <c r="E49" s="1963">
        <v>0</v>
      </c>
      <c r="F49" s="1963">
        <v>0</v>
      </c>
      <c r="G49" s="1963">
        <v>0</v>
      </c>
      <c r="H49" s="1963">
        <v>0</v>
      </c>
      <c r="I49" s="1963">
        <v>0</v>
      </c>
      <c r="J49" s="1963">
        <v>0</v>
      </c>
      <c r="K49" s="1963">
        <v>0</v>
      </c>
      <c r="L49" s="1964">
        <v>0</v>
      </c>
      <c r="M49" s="1143">
        <f t="shared" si="10"/>
        <v>0</v>
      </c>
      <c r="N49" s="1143"/>
      <c r="O49" s="1143">
        <v>0</v>
      </c>
      <c r="P49" s="1143">
        <v>0</v>
      </c>
      <c r="Q49" s="1143">
        <v>0</v>
      </c>
      <c r="R49" s="1143">
        <v>0</v>
      </c>
      <c r="S49" s="1756">
        <v>0</v>
      </c>
      <c r="T49" s="1756">
        <v>0</v>
      </c>
      <c r="U49" s="1756">
        <v>0</v>
      </c>
      <c r="W49" s="1143">
        <f t="shared" si="4"/>
        <v>0</v>
      </c>
      <c r="X49" s="1143">
        <f t="shared" si="5"/>
        <v>0</v>
      </c>
      <c r="Y49" s="1143">
        <f t="shared" si="6"/>
        <v>0</v>
      </c>
      <c r="Z49" s="1143">
        <f t="shared" si="7"/>
        <v>0</v>
      </c>
      <c r="AA49" s="1756">
        <f t="shared" si="8"/>
        <v>0</v>
      </c>
    </row>
    <row r="50" spans="1:27" s="1756" customFormat="1" ht="16.5" customHeight="1" x14ac:dyDescent="0.25">
      <c r="A50" s="1953" t="s">
        <v>98</v>
      </c>
      <c r="B50" s="1954" t="s">
        <v>99</v>
      </c>
      <c r="C50" s="583" t="s">
        <v>268</v>
      </c>
      <c r="D50" s="1962">
        <f t="shared" si="9"/>
        <v>4</v>
      </c>
      <c r="E50" s="1963">
        <v>1</v>
      </c>
      <c r="F50" s="1963">
        <v>0</v>
      </c>
      <c r="G50" s="1963">
        <v>0</v>
      </c>
      <c r="H50" s="1963">
        <v>0</v>
      </c>
      <c r="I50" s="1963">
        <v>0</v>
      </c>
      <c r="J50" s="1963">
        <v>2</v>
      </c>
      <c r="K50" s="1963">
        <v>1</v>
      </c>
      <c r="L50" s="1964">
        <v>0</v>
      </c>
      <c r="M50" s="1143">
        <f t="shared" si="10"/>
        <v>3</v>
      </c>
      <c r="N50" s="1143"/>
      <c r="O50" s="1143">
        <v>0</v>
      </c>
      <c r="P50" s="1143">
        <v>0</v>
      </c>
      <c r="Q50" s="1143">
        <v>2</v>
      </c>
      <c r="R50" s="1143">
        <v>1</v>
      </c>
      <c r="S50" s="1756">
        <v>1</v>
      </c>
      <c r="T50" s="1756">
        <v>0</v>
      </c>
      <c r="U50" s="1756">
        <v>0</v>
      </c>
      <c r="W50" s="1143">
        <f t="shared" si="4"/>
        <v>0</v>
      </c>
      <c r="X50" s="1143">
        <f t="shared" si="5"/>
        <v>2</v>
      </c>
      <c r="Y50" s="1143">
        <f t="shared" si="6"/>
        <v>1</v>
      </c>
      <c r="Z50" s="1143">
        <f t="shared" si="7"/>
        <v>1</v>
      </c>
      <c r="AA50" s="1756">
        <f t="shared" si="8"/>
        <v>0</v>
      </c>
    </row>
    <row r="51" spans="1:27" s="1756" customFormat="1" ht="16.5" customHeight="1" x14ac:dyDescent="0.25">
      <c r="A51" s="1953" t="s">
        <v>100</v>
      </c>
      <c r="B51" s="1954" t="s">
        <v>101</v>
      </c>
      <c r="C51" s="583" t="s">
        <v>267</v>
      </c>
      <c r="D51" s="1962">
        <f t="shared" si="9"/>
        <v>1</v>
      </c>
      <c r="E51" s="1963">
        <v>1</v>
      </c>
      <c r="F51" s="1963">
        <v>0</v>
      </c>
      <c r="G51" s="1963">
        <v>0</v>
      </c>
      <c r="H51" s="1963">
        <v>0</v>
      </c>
      <c r="I51" s="1963">
        <v>0</v>
      </c>
      <c r="J51" s="1963">
        <v>0</v>
      </c>
      <c r="K51" s="1963">
        <v>0</v>
      </c>
      <c r="L51" s="1964">
        <v>0</v>
      </c>
      <c r="M51" s="1143">
        <f t="shared" si="10"/>
        <v>0</v>
      </c>
      <c r="N51" s="672"/>
      <c r="O51" s="1143">
        <v>0</v>
      </c>
      <c r="P51" s="1143">
        <v>1</v>
      </c>
      <c r="Q51" s="1143">
        <v>0</v>
      </c>
      <c r="R51" s="1143">
        <v>0</v>
      </c>
      <c r="S51" s="1756">
        <v>0</v>
      </c>
      <c r="T51" s="1756">
        <v>0</v>
      </c>
      <c r="U51" s="1756">
        <v>0</v>
      </c>
      <c r="W51" s="1143">
        <f t="shared" si="4"/>
        <v>1</v>
      </c>
      <c r="X51" s="1143">
        <f t="shared" si="5"/>
        <v>0</v>
      </c>
      <c r="Y51" s="1143">
        <f t="shared" si="6"/>
        <v>0</v>
      </c>
      <c r="Z51" s="1143">
        <f t="shared" si="7"/>
        <v>0</v>
      </c>
      <c r="AA51" s="1756">
        <f t="shared" si="8"/>
        <v>0</v>
      </c>
    </row>
    <row r="52" spans="1:27" s="1756" customFormat="1" ht="16.5" customHeight="1" x14ac:dyDescent="0.25">
      <c r="A52" s="1953" t="s">
        <v>102</v>
      </c>
      <c r="B52" s="1954" t="s">
        <v>103</v>
      </c>
      <c r="C52" s="583" t="s">
        <v>264</v>
      </c>
      <c r="D52" s="1962">
        <f t="shared" si="9"/>
        <v>1</v>
      </c>
      <c r="E52" s="1963">
        <v>0</v>
      </c>
      <c r="F52" s="1965">
        <v>1</v>
      </c>
      <c r="G52" s="1965">
        <v>0</v>
      </c>
      <c r="H52" s="1965">
        <v>0</v>
      </c>
      <c r="I52" s="1965">
        <v>0</v>
      </c>
      <c r="J52" s="1966">
        <v>0</v>
      </c>
      <c r="K52" s="1966">
        <v>0</v>
      </c>
      <c r="L52" s="1967">
        <v>0</v>
      </c>
      <c r="M52" s="1143">
        <f t="shared" si="10"/>
        <v>0</v>
      </c>
      <c r="N52" s="672"/>
      <c r="O52" s="1143">
        <v>0</v>
      </c>
      <c r="P52" s="1143">
        <v>0</v>
      </c>
      <c r="Q52" s="672">
        <v>1</v>
      </c>
      <c r="R52" s="1143">
        <v>0</v>
      </c>
      <c r="S52" s="1756">
        <v>0</v>
      </c>
      <c r="T52" s="1756">
        <v>0</v>
      </c>
      <c r="U52" s="1756">
        <v>0</v>
      </c>
      <c r="W52" s="1143">
        <f t="shared" si="4"/>
        <v>0</v>
      </c>
      <c r="X52" s="1143">
        <f t="shared" si="5"/>
        <v>1</v>
      </c>
      <c r="Y52" s="1143">
        <f t="shared" si="6"/>
        <v>0</v>
      </c>
      <c r="Z52" s="1143">
        <f t="shared" si="7"/>
        <v>0</v>
      </c>
      <c r="AA52" s="1756">
        <f t="shared" si="8"/>
        <v>0</v>
      </c>
    </row>
    <row r="53" spans="1:27" s="1756" customFormat="1" ht="16.5" customHeight="1" x14ac:dyDescent="0.25">
      <c r="A53" s="1953" t="s">
        <v>104</v>
      </c>
      <c r="B53" s="1954" t="s">
        <v>309</v>
      </c>
      <c r="C53" s="583" t="s">
        <v>265</v>
      </c>
      <c r="D53" s="1962">
        <f t="shared" si="9"/>
        <v>3</v>
      </c>
      <c r="E53" s="1963">
        <v>2</v>
      </c>
      <c r="F53" s="1963">
        <v>1</v>
      </c>
      <c r="G53" s="1963">
        <v>0</v>
      </c>
      <c r="H53" s="1963">
        <v>0</v>
      </c>
      <c r="I53" s="1963">
        <v>0</v>
      </c>
      <c r="J53" s="1963">
        <v>0</v>
      </c>
      <c r="K53" s="1963">
        <v>0</v>
      </c>
      <c r="L53" s="1964">
        <v>0</v>
      </c>
      <c r="M53" s="1143">
        <f t="shared" si="10"/>
        <v>0</v>
      </c>
      <c r="N53" s="672"/>
      <c r="O53" s="1143">
        <v>0</v>
      </c>
      <c r="P53" s="1143">
        <v>2</v>
      </c>
      <c r="Q53" s="672">
        <v>1</v>
      </c>
      <c r="R53" s="1143">
        <v>0</v>
      </c>
      <c r="S53" s="1756">
        <v>0</v>
      </c>
      <c r="T53" s="1756">
        <v>0</v>
      </c>
      <c r="U53" s="1756">
        <v>0</v>
      </c>
      <c r="W53" s="1143">
        <f t="shared" si="4"/>
        <v>2</v>
      </c>
      <c r="X53" s="1143">
        <f t="shared" si="5"/>
        <v>1</v>
      </c>
      <c r="Y53" s="1143">
        <f t="shared" si="6"/>
        <v>0</v>
      </c>
      <c r="Z53" s="1143">
        <f t="shared" si="7"/>
        <v>0</v>
      </c>
      <c r="AA53" s="1756">
        <f t="shared" si="8"/>
        <v>0</v>
      </c>
    </row>
    <row r="54" spans="1:27" s="1756" customFormat="1" ht="16.5" customHeight="1" x14ac:dyDescent="0.25">
      <c r="A54" s="1953" t="s">
        <v>106</v>
      </c>
      <c r="B54" s="1954" t="s">
        <v>107</v>
      </c>
      <c r="C54" s="583" t="s">
        <v>264</v>
      </c>
      <c r="D54" s="1962">
        <f t="shared" si="9"/>
        <v>3</v>
      </c>
      <c r="E54" s="1963">
        <v>0</v>
      </c>
      <c r="F54" s="1963">
        <v>1</v>
      </c>
      <c r="G54" s="1963">
        <v>0</v>
      </c>
      <c r="H54" s="1963">
        <v>0</v>
      </c>
      <c r="I54" s="1963">
        <v>0</v>
      </c>
      <c r="J54" s="1963">
        <v>2</v>
      </c>
      <c r="K54" s="1963">
        <v>0</v>
      </c>
      <c r="L54" s="1964">
        <v>0</v>
      </c>
      <c r="M54" s="1143">
        <f t="shared" si="10"/>
        <v>2</v>
      </c>
      <c r="N54" s="672"/>
      <c r="O54" s="1143">
        <v>0</v>
      </c>
      <c r="P54" s="1143">
        <v>2</v>
      </c>
      <c r="Q54" s="1143">
        <v>0</v>
      </c>
      <c r="R54" s="1143">
        <v>1</v>
      </c>
      <c r="S54" s="1756">
        <v>0</v>
      </c>
      <c r="T54" s="1756">
        <v>0</v>
      </c>
      <c r="U54" s="1756">
        <v>0</v>
      </c>
      <c r="W54" s="1143">
        <f t="shared" si="4"/>
        <v>2</v>
      </c>
      <c r="X54" s="1143">
        <f t="shared" si="5"/>
        <v>0</v>
      </c>
      <c r="Y54" s="1143">
        <f t="shared" si="6"/>
        <v>1</v>
      </c>
      <c r="Z54" s="1143">
        <f t="shared" si="7"/>
        <v>0</v>
      </c>
      <c r="AA54" s="1756">
        <f t="shared" si="8"/>
        <v>0</v>
      </c>
    </row>
    <row r="55" spans="1:27" s="1756" customFormat="1" ht="16.5" customHeight="1" x14ac:dyDescent="0.25">
      <c r="A55" s="1953" t="s">
        <v>108</v>
      </c>
      <c r="B55" s="1954" t="s">
        <v>109</v>
      </c>
      <c r="C55" s="583" t="s">
        <v>266</v>
      </c>
      <c r="D55" s="1962">
        <f t="shared" si="9"/>
        <v>6</v>
      </c>
      <c r="E55" s="1963">
        <v>6</v>
      </c>
      <c r="F55" s="1963">
        <v>0</v>
      </c>
      <c r="G55" s="1963">
        <v>0</v>
      </c>
      <c r="H55" s="1963">
        <v>0</v>
      </c>
      <c r="I55" s="1963">
        <v>0</v>
      </c>
      <c r="J55" s="1963">
        <v>0</v>
      </c>
      <c r="K55" s="1963">
        <v>0</v>
      </c>
      <c r="L55" s="1964">
        <v>0</v>
      </c>
      <c r="M55" s="1143">
        <f t="shared" si="10"/>
        <v>0</v>
      </c>
      <c r="N55" s="1143"/>
      <c r="O55" s="1143">
        <v>0</v>
      </c>
      <c r="P55" s="1143">
        <v>3</v>
      </c>
      <c r="Q55" s="1143">
        <v>2</v>
      </c>
      <c r="R55" s="1143">
        <v>1</v>
      </c>
      <c r="S55" s="1756">
        <v>0</v>
      </c>
      <c r="T55" s="1756">
        <v>0</v>
      </c>
      <c r="U55" s="1756">
        <v>0</v>
      </c>
      <c r="W55" s="1143">
        <f t="shared" si="4"/>
        <v>3</v>
      </c>
      <c r="X55" s="1143">
        <f t="shared" si="5"/>
        <v>2</v>
      </c>
      <c r="Y55" s="1143">
        <f t="shared" si="6"/>
        <v>1</v>
      </c>
      <c r="Z55" s="1143">
        <f t="shared" si="7"/>
        <v>0</v>
      </c>
      <c r="AA55" s="1756">
        <f t="shared" si="8"/>
        <v>0</v>
      </c>
    </row>
    <row r="56" spans="1:27" s="1756" customFormat="1" ht="16.5" customHeight="1" x14ac:dyDescent="0.25">
      <c r="A56" s="1953" t="s">
        <v>110</v>
      </c>
      <c r="B56" s="1954" t="s">
        <v>111</v>
      </c>
      <c r="C56" s="583" t="s">
        <v>266</v>
      </c>
      <c r="D56" s="1962">
        <f t="shared" si="9"/>
        <v>16</v>
      </c>
      <c r="E56" s="1963">
        <v>8</v>
      </c>
      <c r="F56" s="1963">
        <v>2</v>
      </c>
      <c r="G56" s="1963">
        <v>0</v>
      </c>
      <c r="H56" s="1963">
        <v>0</v>
      </c>
      <c r="I56" s="1963">
        <v>0</v>
      </c>
      <c r="J56" s="1963">
        <v>6</v>
      </c>
      <c r="K56" s="1963">
        <v>0</v>
      </c>
      <c r="L56" s="1964">
        <v>0</v>
      </c>
      <c r="M56" s="1143">
        <f t="shared" si="10"/>
        <v>6</v>
      </c>
      <c r="N56" s="1143"/>
      <c r="O56" s="1143">
        <v>0</v>
      </c>
      <c r="P56" s="1143">
        <v>4</v>
      </c>
      <c r="Q56" s="1143">
        <v>4</v>
      </c>
      <c r="R56" s="1143">
        <v>6</v>
      </c>
      <c r="S56" s="1756">
        <v>2</v>
      </c>
      <c r="T56" s="1756">
        <v>0</v>
      </c>
      <c r="U56" s="1756">
        <v>0</v>
      </c>
      <c r="W56" s="1143">
        <f t="shared" si="4"/>
        <v>4</v>
      </c>
      <c r="X56" s="1143">
        <f t="shared" si="5"/>
        <v>4</v>
      </c>
      <c r="Y56" s="1143">
        <f t="shared" si="6"/>
        <v>6</v>
      </c>
      <c r="Z56" s="1143">
        <f t="shared" si="7"/>
        <v>2</v>
      </c>
      <c r="AA56" s="1756">
        <f t="shared" si="8"/>
        <v>0</v>
      </c>
    </row>
    <row r="57" spans="1:27" s="1756" customFormat="1" ht="16.5" customHeight="1" x14ac:dyDescent="0.25">
      <c r="A57" s="1953" t="s">
        <v>112</v>
      </c>
      <c r="B57" s="1954" t="s">
        <v>300</v>
      </c>
      <c r="C57" s="583" t="s">
        <v>265</v>
      </c>
      <c r="D57" s="1962">
        <f t="shared" si="9"/>
        <v>6</v>
      </c>
      <c r="E57" s="1963">
        <v>2</v>
      </c>
      <c r="F57" s="1963">
        <v>2</v>
      </c>
      <c r="G57" s="1963">
        <v>0</v>
      </c>
      <c r="H57" s="1963">
        <v>0</v>
      </c>
      <c r="I57" s="1963">
        <v>0</v>
      </c>
      <c r="J57" s="1963">
        <v>2</v>
      </c>
      <c r="K57" s="1963">
        <v>0</v>
      </c>
      <c r="L57" s="1964">
        <v>0</v>
      </c>
      <c r="M57" s="1143">
        <f t="shared" si="10"/>
        <v>2</v>
      </c>
      <c r="N57" s="672"/>
      <c r="O57" s="1143">
        <v>0</v>
      </c>
      <c r="P57" s="1143">
        <v>4</v>
      </c>
      <c r="Q57" s="1143">
        <v>0</v>
      </c>
      <c r="R57" s="1143">
        <v>1</v>
      </c>
      <c r="S57" s="1756">
        <v>1</v>
      </c>
      <c r="T57" s="1756">
        <v>0</v>
      </c>
      <c r="U57" s="1756">
        <v>0</v>
      </c>
      <c r="W57" s="1143">
        <f t="shared" si="4"/>
        <v>4</v>
      </c>
      <c r="X57" s="1143">
        <f t="shared" si="5"/>
        <v>0</v>
      </c>
      <c r="Y57" s="1143">
        <f t="shared" si="6"/>
        <v>1</v>
      </c>
      <c r="Z57" s="1143">
        <f t="shared" si="7"/>
        <v>1</v>
      </c>
      <c r="AA57" s="1756">
        <f t="shared" si="8"/>
        <v>0</v>
      </c>
    </row>
    <row r="58" spans="1:27" s="1756" customFormat="1" ht="16.5" customHeight="1" x14ac:dyDescent="0.25">
      <c r="A58" s="1953" t="s">
        <v>114</v>
      </c>
      <c r="B58" s="1954" t="s">
        <v>115</v>
      </c>
      <c r="C58" s="583" t="s">
        <v>265</v>
      </c>
      <c r="D58" s="1968">
        <f t="shared" si="9"/>
        <v>0</v>
      </c>
      <c r="E58" s="1965">
        <v>0</v>
      </c>
      <c r="F58" s="1965">
        <v>0</v>
      </c>
      <c r="G58" s="1965">
        <v>0</v>
      </c>
      <c r="H58" s="1965">
        <v>0</v>
      </c>
      <c r="I58" s="1965">
        <v>0</v>
      </c>
      <c r="J58" s="1966">
        <v>0</v>
      </c>
      <c r="K58" s="1966">
        <v>0</v>
      </c>
      <c r="L58" s="1967">
        <v>0</v>
      </c>
      <c r="M58" s="1143">
        <f t="shared" si="10"/>
        <v>0</v>
      </c>
      <c r="N58" s="1143"/>
      <c r="O58" s="1143">
        <v>0</v>
      </c>
      <c r="P58" s="1143">
        <v>0</v>
      </c>
      <c r="Q58" s="1143">
        <v>0</v>
      </c>
      <c r="R58" s="1143">
        <v>0</v>
      </c>
      <c r="S58" s="1756">
        <v>0</v>
      </c>
      <c r="T58" s="1756">
        <v>0</v>
      </c>
      <c r="U58" s="1756">
        <v>0</v>
      </c>
      <c r="W58" s="1143">
        <f t="shared" si="4"/>
        <v>0</v>
      </c>
      <c r="X58" s="1143">
        <f t="shared" si="5"/>
        <v>0</v>
      </c>
      <c r="Y58" s="1143">
        <f t="shared" si="6"/>
        <v>0</v>
      </c>
      <c r="Z58" s="1143">
        <f t="shared" si="7"/>
        <v>0</v>
      </c>
      <c r="AA58" s="1756">
        <f t="shared" si="8"/>
        <v>0</v>
      </c>
    </row>
    <row r="59" spans="1:27" s="1756" customFormat="1" ht="16.5" customHeight="1" x14ac:dyDescent="0.25">
      <c r="A59" s="1953" t="s">
        <v>116</v>
      </c>
      <c r="B59" s="1954" t="s">
        <v>117</v>
      </c>
      <c r="C59" s="583" t="s">
        <v>266</v>
      </c>
      <c r="D59" s="1962">
        <f t="shared" si="9"/>
        <v>3</v>
      </c>
      <c r="E59" s="1963">
        <v>2</v>
      </c>
      <c r="F59" s="1963">
        <v>1</v>
      </c>
      <c r="G59" s="1963">
        <v>0</v>
      </c>
      <c r="H59" s="1963">
        <v>0</v>
      </c>
      <c r="I59" s="1963">
        <v>0</v>
      </c>
      <c r="J59" s="1963">
        <v>0</v>
      </c>
      <c r="K59" s="1963">
        <v>0</v>
      </c>
      <c r="L59" s="1964">
        <v>0</v>
      </c>
      <c r="M59" s="1143">
        <f t="shared" si="10"/>
        <v>0</v>
      </c>
      <c r="N59" s="1143"/>
      <c r="O59" s="1143">
        <v>0</v>
      </c>
      <c r="P59" s="1143">
        <v>2</v>
      </c>
      <c r="Q59" s="672">
        <v>0</v>
      </c>
      <c r="R59" s="1143">
        <v>1</v>
      </c>
      <c r="S59" s="1756">
        <v>0</v>
      </c>
      <c r="T59" s="1756">
        <v>0</v>
      </c>
      <c r="U59" s="1756">
        <v>0</v>
      </c>
      <c r="W59" s="1143">
        <f t="shared" si="4"/>
        <v>2</v>
      </c>
      <c r="X59" s="1143">
        <f t="shared" si="5"/>
        <v>0</v>
      </c>
      <c r="Y59" s="1143">
        <f t="shared" si="6"/>
        <v>1</v>
      </c>
      <c r="Z59" s="1143">
        <f t="shared" si="7"/>
        <v>0</v>
      </c>
      <c r="AA59" s="1756">
        <f t="shared" si="8"/>
        <v>0</v>
      </c>
    </row>
    <row r="60" spans="1:27" s="1756" customFormat="1" ht="16.5" customHeight="1" x14ac:dyDescent="0.25">
      <c r="A60" s="1953" t="s">
        <v>118</v>
      </c>
      <c r="B60" s="1954" t="s">
        <v>119</v>
      </c>
      <c r="C60" s="583" t="s">
        <v>264</v>
      </c>
      <c r="D60" s="1962">
        <f t="shared" si="9"/>
        <v>3</v>
      </c>
      <c r="E60" s="1963">
        <v>2</v>
      </c>
      <c r="F60" s="1963">
        <v>0</v>
      </c>
      <c r="G60" s="1963">
        <v>0</v>
      </c>
      <c r="H60" s="1963">
        <v>0</v>
      </c>
      <c r="I60" s="1963">
        <v>0</v>
      </c>
      <c r="J60" s="1963">
        <v>1</v>
      </c>
      <c r="K60" s="1963">
        <v>0</v>
      </c>
      <c r="L60" s="1964">
        <v>0</v>
      </c>
      <c r="M60" s="1143">
        <f t="shared" si="10"/>
        <v>1</v>
      </c>
      <c r="N60" s="672"/>
      <c r="O60" s="1143">
        <v>0</v>
      </c>
      <c r="P60" s="1143">
        <v>2</v>
      </c>
      <c r="Q60" s="672">
        <v>0</v>
      </c>
      <c r="R60" s="1143">
        <v>1</v>
      </c>
      <c r="S60" s="1756">
        <v>0</v>
      </c>
      <c r="T60" s="1756">
        <v>0</v>
      </c>
      <c r="U60" s="1756">
        <v>0</v>
      </c>
      <c r="W60" s="1143">
        <f t="shared" si="4"/>
        <v>2</v>
      </c>
      <c r="X60" s="1143">
        <f t="shared" si="5"/>
        <v>0</v>
      </c>
      <c r="Y60" s="1143">
        <f t="shared" si="6"/>
        <v>1</v>
      </c>
      <c r="Z60" s="1143">
        <f t="shared" si="7"/>
        <v>0</v>
      </c>
      <c r="AA60" s="1756">
        <f t="shared" si="8"/>
        <v>0</v>
      </c>
    </row>
    <row r="61" spans="1:27" s="1756" customFormat="1" ht="16.5" customHeight="1" x14ac:dyDescent="0.25">
      <c r="A61" s="1953" t="s">
        <v>120</v>
      </c>
      <c r="B61" s="1954" t="s">
        <v>121</v>
      </c>
      <c r="C61" s="583" t="s">
        <v>264</v>
      </c>
      <c r="D61" s="1962">
        <f t="shared" si="9"/>
        <v>2</v>
      </c>
      <c r="E61" s="1963">
        <v>2</v>
      </c>
      <c r="F61" s="1963">
        <v>0</v>
      </c>
      <c r="G61" s="1963">
        <v>0</v>
      </c>
      <c r="H61" s="1963">
        <v>0</v>
      </c>
      <c r="I61" s="1963">
        <v>0</v>
      </c>
      <c r="J61" s="1963">
        <v>0</v>
      </c>
      <c r="K61" s="1963">
        <v>0</v>
      </c>
      <c r="L61" s="1964">
        <v>0</v>
      </c>
      <c r="M61" s="1143">
        <f t="shared" si="10"/>
        <v>0</v>
      </c>
      <c r="N61" s="672"/>
      <c r="O61" s="1143">
        <v>0</v>
      </c>
      <c r="P61" s="1143">
        <v>2</v>
      </c>
      <c r="Q61" s="1143">
        <v>0</v>
      </c>
      <c r="R61" s="1143">
        <v>0</v>
      </c>
      <c r="S61" s="1756">
        <v>0</v>
      </c>
      <c r="T61" s="1756">
        <v>0</v>
      </c>
      <c r="U61" s="1756">
        <v>0</v>
      </c>
      <c r="W61" s="1143">
        <f t="shared" si="4"/>
        <v>2</v>
      </c>
      <c r="X61" s="1143">
        <f t="shared" si="5"/>
        <v>0</v>
      </c>
      <c r="Y61" s="1143">
        <f t="shared" si="6"/>
        <v>0</v>
      </c>
      <c r="Z61" s="1143">
        <f t="shared" si="7"/>
        <v>0</v>
      </c>
      <c r="AA61" s="1756">
        <f t="shared" si="8"/>
        <v>0</v>
      </c>
    </row>
    <row r="62" spans="1:27" s="1756" customFormat="1" ht="16.5" customHeight="1" x14ac:dyDescent="0.25">
      <c r="A62" s="1953" t="s">
        <v>122</v>
      </c>
      <c r="B62" s="1954" t="s">
        <v>271</v>
      </c>
      <c r="C62" s="583" t="s">
        <v>266</v>
      </c>
      <c r="D62" s="1962">
        <f t="shared" si="9"/>
        <v>0</v>
      </c>
      <c r="E62" s="1963">
        <v>0</v>
      </c>
      <c r="F62" s="1963">
        <v>0</v>
      </c>
      <c r="G62" s="1963">
        <v>0</v>
      </c>
      <c r="H62" s="1963">
        <v>0</v>
      </c>
      <c r="I62" s="1963">
        <v>0</v>
      </c>
      <c r="J62" s="1963">
        <v>0</v>
      </c>
      <c r="K62" s="1963">
        <v>0</v>
      </c>
      <c r="L62" s="1964">
        <v>0</v>
      </c>
      <c r="M62" s="1143">
        <f t="shared" si="10"/>
        <v>0</v>
      </c>
      <c r="N62" s="1143"/>
      <c r="O62" s="1143">
        <v>0</v>
      </c>
      <c r="P62" s="1143">
        <v>0</v>
      </c>
      <c r="Q62" s="1143">
        <v>0</v>
      </c>
      <c r="R62" s="1143">
        <v>0</v>
      </c>
      <c r="S62" s="1756">
        <v>0</v>
      </c>
      <c r="T62" s="1756">
        <v>0</v>
      </c>
      <c r="U62" s="1756">
        <v>0</v>
      </c>
      <c r="W62" s="1143">
        <f t="shared" si="4"/>
        <v>0</v>
      </c>
      <c r="X62" s="1143">
        <f t="shared" si="5"/>
        <v>0</v>
      </c>
      <c r="Y62" s="1143">
        <f t="shared" si="6"/>
        <v>0</v>
      </c>
      <c r="Z62" s="1143">
        <f t="shared" si="7"/>
        <v>0</v>
      </c>
      <c r="AA62" s="1756">
        <f t="shared" si="8"/>
        <v>0</v>
      </c>
    </row>
    <row r="63" spans="1:27" s="1756" customFormat="1" ht="16.5" customHeight="1" x14ac:dyDescent="0.25">
      <c r="A63" s="1953" t="s">
        <v>124</v>
      </c>
      <c r="B63" s="1954" t="s">
        <v>125</v>
      </c>
      <c r="C63" s="583" t="s">
        <v>267</v>
      </c>
      <c r="D63" s="1962">
        <f t="shared" si="9"/>
        <v>0</v>
      </c>
      <c r="E63" s="1963">
        <v>0</v>
      </c>
      <c r="F63" s="1963">
        <v>0</v>
      </c>
      <c r="G63" s="1963">
        <v>0</v>
      </c>
      <c r="H63" s="1963">
        <v>0</v>
      </c>
      <c r="I63" s="1963">
        <v>0</v>
      </c>
      <c r="J63" s="1963">
        <v>0</v>
      </c>
      <c r="K63" s="1963">
        <v>0</v>
      </c>
      <c r="L63" s="1964">
        <v>0</v>
      </c>
      <c r="M63" s="1143">
        <f t="shared" si="10"/>
        <v>0</v>
      </c>
      <c r="N63" s="672"/>
      <c r="O63" s="1143">
        <v>0</v>
      </c>
      <c r="P63" s="1143">
        <v>0</v>
      </c>
      <c r="Q63" s="1143">
        <v>0</v>
      </c>
      <c r="R63" s="1143">
        <v>0</v>
      </c>
      <c r="S63" s="1756">
        <v>0</v>
      </c>
      <c r="T63" s="1756">
        <v>0</v>
      </c>
      <c r="U63" s="1756">
        <v>0</v>
      </c>
      <c r="W63" s="1143">
        <f t="shared" si="4"/>
        <v>0</v>
      </c>
      <c r="X63" s="1143">
        <f t="shared" si="5"/>
        <v>0</v>
      </c>
      <c r="Y63" s="1143">
        <f t="shared" si="6"/>
        <v>0</v>
      </c>
      <c r="Z63" s="1143">
        <f t="shared" si="7"/>
        <v>0</v>
      </c>
      <c r="AA63" s="1756">
        <f t="shared" si="8"/>
        <v>0</v>
      </c>
    </row>
    <row r="64" spans="1:27" s="1756" customFormat="1" ht="16.5" customHeight="1" x14ac:dyDescent="0.25">
      <c r="A64" s="1953" t="s">
        <v>126</v>
      </c>
      <c r="B64" s="1954" t="s">
        <v>127</v>
      </c>
      <c r="C64" s="583" t="s">
        <v>266</v>
      </c>
      <c r="D64" s="1962">
        <f t="shared" si="9"/>
        <v>2</v>
      </c>
      <c r="E64" s="1963">
        <v>2</v>
      </c>
      <c r="F64" s="1963">
        <v>0</v>
      </c>
      <c r="G64" s="1963">
        <v>0</v>
      </c>
      <c r="H64" s="1963">
        <v>0</v>
      </c>
      <c r="I64" s="1963">
        <v>0</v>
      </c>
      <c r="J64" s="1963">
        <v>0</v>
      </c>
      <c r="K64" s="1963">
        <v>0</v>
      </c>
      <c r="L64" s="1964">
        <v>0</v>
      </c>
      <c r="M64" s="1143">
        <f t="shared" si="10"/>
        <v>0</v>
      </c>
      <c r="N64" s="672"/>
      <c r="O64" s="1143">
        <v>0</v>
      </c>
      <c r="P64" s="1143">
        <v>0</v>
      </c>
      <c r="Q64" s="1143">
        <v>0</v>
      </c>
      <c r="R64" s="1143">
        <v>2</v>
      </c>
      <c r="S64" s="1756">
        <v>0</v>
      </c>
      <c r="T64" s="1756">
        <v>0</v>
      </c>
      <c r="U64" s="1756">
        <v>0</v>
      </c>
      <c r="W64" s="1143">
        <f t="shared" si="4"/>
        <v>0</v>
      </c>
      <c r="X64" s="1143">
        <f t="shared" si="5"/>
        <v>0</v>
      </c>
      <c r="Y64" s="1143">
        <f t="shared" si="6"/>
        <v>2</v>
      </c>
      <c r="Z64" s="1143">
        <f t="shared" si="7"/>
        <v>0</v>
      </c>
      <c r="AA64" s="1756">
        <f t="shared" si="8"/>
        <v>0</v>
      </c>
    </row>
    <row r="65" spans="1:27" s="1756" customFormat="1" ht="16.5" customHeight="1" x14ac:dyDescent="0.25">
      <c r="A65" s="1953" t="s">
        <v>128</v>
      </c>
      <c r="B65" s="1954" t="s">
        <v>129</v>
      </c>
      <c r="C65" s="583" t="s">
        <v>266</v>
      </c>
      <c r="D65" s="1962">
        <f t="shared" si="9"/>
        <v>1</v>
      </c>
      <c r="E65" s="1963">
        <v>1</v>
      </c>
      <c r="F65" s="1963">
        <v>0</v>
      </c>
      <c r="G65" s="1963">
        <v>0</v>
      </c>
      <c r="H65" s="1963">
        <v>0</v>
      </c>
      <c r="I65" s="1963">
        <v>0</v>
      </c>
      <c r="J65" s="1963">
        <v>0</v>
      </c>
      <c r="K65" s="1963">
        <v>0</v>
      </c>
      <c r="L65" s="1964">
        <v>0</v>
      </c>
      <c r="M65" s="1143">
        <f t="shared" si="10"/>
        <v>0</v>
      </c>
      <c r="N65" s="672"/>
      <c r="O65" s="1143">
        <v>0</v>
      </c>
      <c r="P65" s="1143">
        <v>0</v>
      </c>
      <c r="Q65" s="1143">
        <v>1</v>
      </c>
      <c r="R65" s="1143">
        <v>0</v>
      </c>
      <c r="S65" s="1756">
        <v>0</v>
      </c>
      <c r="T65" s="1756">
        <v>0</v>
      </c>
      <c r="U65" s="1756">
        <v>0</v>
      </c>
      <c r="W65" s="1143">
        <f t="shared" si="4"/>
        <v>0</v>
      </c>
      <c r="X65" s="1143">
        <f t="shared" si="5"/>
        <v>1</v>
      </c>
      <c r="Y65" s="1143">
        <f t="shared" si="6"/>
        <v>0</v>
      </c>
      <c r="Z65" s="1143">
        <f t="shared" si="7"/>
        <v>0</v>
      </c>
      <c r="AA65" s="1756">
        <f t="shared" si="8"/>
        <v>0</v>
      </c>
    </row>
    <row r="66" spans="1:27" s="1756" customFormat="1" ht="16.5" customHeight="1" x14ac:dyDescent="0.25">
      <c r="A66" s="1953" t="s">
        <v>130</v>
      </c>
      <c r="B66" s="1954" t="s">
        <v>131</v>
      </c>
      <c r="C66" s="583" t="s">
        <v>268</v>
      </c>
      <c r="D66" s="1962">
        <f t="shared" si="9"/>
        <v>6</v>
      </c>
      <c r="E66" s="1963">
        <v>6</v>
      </c>
      <c r="F66" s="1963">
        <v>0</v>
      </c>
      <c r="G66" s="1963">
        <v>0</v>
      </c>
      <c r="H66" s="1963">
        <v>0</v>
      </c>
      <c r="I66" s="1963">
        <v>0</v>
      </c>
      <c r="J66" s="1963">
        <v>0</v>
      </c>
      <c r="K66" s="1963">
        <v>0</v>
      </c>
      <c r="L66" s="1964">
        <v>0</v>
      </c>
      <c r="M66" s="1143">
        <f t="shared" si="10"/>
        <v>0</v>
      </c>
      <c r="N66" s="672"/>
      <c r="O66" s="1143">
        <v>0</v>
      </c>
      <c r="P66" s="1143">
        <v>3</v>
      </c>
      <c r="Q66" s="1143">
        <v>2</v>
      </c>
      <c r="R66" s="1143">
        <v>1</v>
      </c>
      <c r="S66" s="1756">
        <v>0</v>
      </c>
      <c r="T66" s="1756">
        <v>0</v>
      </c>
      <c r="U66" s="1756">
        <v>0</v>
      </c>
      <c r="W66" s="1143">
        <f t="shared" si="4"/>
        <v>3</v>
      </c>
      <c r="X66" s="1143">
        <f t="shared" si="5"/>
        <v>2</v>
      </c>
      <c r="Y66" s="1143">
        <f t="shared" si="6"/>
        <v>1</v>
      </c>
      <c r="Z66" s="1143">
        <f t="shared" si="7"/>
        <v>0</v>
      </c>
      <c r="AA66" s="1756">
        <f t="shared" si="8"/>
        <v>0</v>
      </c>
    </row>
    <row r="67" spans="1:27" s="1756" customFormat="1" ht="16.5" customHeight="1" x14ac:dyDescent="0.25">
      <c r="A67" s="1953" t="s">
        <v>132</v>
      </c>
      <c r="B67" s="1954" t="s">
        <v>133</v>
      </c>
      <c r="C67" s="583" t="s">
        <v>267</v>
      </c>
      <c r="D67" s="1962">
        <f t="shared" si="9"/>
        <v>6</v>
      </c>
      <c r="E67" s="1963">
        <v>3</v>
      </c>
      <c r="F67" s="1963">
        <v>0</v>
      </c>
      <c r="G67" s="1963">
        <v>0</v>
      </c>
      <c r="H67" s="1963">
        <v>1</v>
      </c>
      <c r="I67" s="1963">
        <v>0</v>
      </c>
      <c r="J67" s="1963">
        <v>1</v>
      </c>
      <c r="K67" s="1963">
        <v>1</v>
      </c>
      <c r="L67" s="1964">
        <v>0</v>
      </c>
      <c r="M67" s="1143">
        <f t="shared" si="10"/>
        <v>3</v>
      </c>
      <c r="N67" s="672"/>
      <c r="O67" s="1143">
        <v>1</v>
      </c>
      <c r="P67" s="1143">
        <v>3</v>
      </c>
      <c r="Q67" s="1143">
        <v>0</v>
      </c>
      <c r="R67" s="1143">
        <v>1</v>
      </c>
      <c r="S67" s="1756">
        <v>1</v>
      </c>
      <c r="T67" s="1756">
        <v>0</v>
      </c>
      <c r="U67" s="1756">
        <v>0</v>
      </c>
      <c r="W67" s="1143">
        <f t="shared" si="4"/>
        <v>4</v>
      </c>
      <c r="X67" s="1143">
        <f t="shared" si="5"/>
        <v>0</v>
      </c>
      <c r="Y67" s="1143">
        <f t="shared" si="6"/>
        <v>1</v>
      </c>
      <c r="Z67" s="1143">
        <f t="shared" si="7"/>
        <v>1</v>
      </c>
      <c r="AA67" s="1756">
        <f t="shared" si="8"/>
        <v>0</v>
      </c>
    </row>
    <row r="68" spans="1:27" s="1756" customFormat="1" ht="16.5" customHeight="1" x14ac:dyDescent="0.25">
      <c r="A68" s="1953" t="s">
        <v>134</v>
      </c>
      <c r="B68" s="1954" t="s">
        <v>135</v>
      </c>
      <c r="C68" s="583" t="s">
        <v>267</v>
      </c>
      <c r="D68" s="1962">
        <f t="shared" si="9"/>
        <v>3</v>
      </c>
      <c r="E68" s="1963">
        <v>1</v>
      </c>
      <c r="F68" s="1963">
        <v>0</v>
      </c>
      <c r="G68" s="1963">
        <v>0</v>
      </c>
      <c r="H68" s="1963">
        <v>0</v>
      </c>
      <c r="I68" s="1963">
        <v>0</v>
      </c>
      <c r="J68" s="1963">
        <v>2</v>
      </c>
      <c r="K68" s="1963">
        <v>0</v>
      </c>
      <c r="L68" s="1964">
        <v>0</v>
      </c>
      <c r="M68" s="1143">
        <f t="shared" si="10"/>
        <v>2</v>
      </c>
      <c r="N68" s="1143"/>
      <c r="O68" s="1143">
        <v>0</v>
      </c>
      <c r="P68" s="1143">
        <v>1</v>
      </c>
      <c r="Q68" s="1143">
        <v>0</v>
      </c>
      <c r="R68" s="1143">
        <v>2</v>
      </c>
      <c r="S68" s="1756">
        <v>0</v>
      </c>
      <c r="T68" s="1756">
        <v>0</v>
      </c>
      <c r="U68" s="1756">
        <v>0</v>
      </c>
      <c r="W68" s="1143">
        <f t="shared" si="4"/>
        <v>1</v>
      </c>
      <c r="X68" s="1143">
        <f t="shared" si="5"/>
        <v>0</v>
      </c>
      <c r="Y68" s="1143">
        <f t="shared" si="6"/>
        <v>2</v>
      </c>
      <c r="Z68" s="1143">
        <f t="shared" si="7"/>
        <v>0</v>
      </c>
      <c r="AA68" s="1756">
        <f t="shared" si="8"/>
        <v>0</v>
      </c>
    </row>
    <row r="69" spans="1:27" s="1756" customFormat="1" ht="16.5" customHeight="1" x14ac:dyDescent="0.25">
      <c r="A69" s="1953" t="s">
        <v>136</v>
      </c>
      <c r="B69" s="1954" t="s">
        <v>137</v>
      </c>
      <c r="C69" s="583" t="s">
        <v>266</v>
      </c>
      <c r="D69" s="1962">
        <f t="shared" ref="D69:D100" si="11">SUM(E69:L69)</f>
        <v>0</v>
      </c>
      <c r="E69" s="1963">
        <v>0</v>
      </c>
      <c r="F69" s="1965">
        <v>0</v>
      </c>
      <c r="G69" s="1965">
        <v>0</v>
      </c>
      <c r="H69" s="1965">
        <v>0</v>
      </c>
      <c r="I69" s="1965">
        <v>0</v>
      </c>
      <c r="J69" s="1966">
        <v>0</v>
      </c>
      <c r="K69" s="1966">
        <v>0</v>
      </c>
      <c r="L69" s="1967">
        <v>0</v>
      </c>
      <c r="M69" s="1143">
        <f t="shared" ref="M69:M100" si="12">G69+H69+I69+J69+K69</f>
        <v>0</v>
      </c>
      <c r="N69" s="1143"/>
      <c r="O69" s="1143">
        <v>0</v>
      </c>
      <c r="P69" s="1143">
        <v>0</v>
      </c>
      <c r="Q69" s="1143">
        <v>0</v>
      </c>
      <c r="R69" s="1143">
        <v>0</v>
      </c>
      <c r="S69" s="1756">
        <v>0</v>
      </c>
      <c r="T69" s="1756">
        <v>0</v>
      </c>
      <c r="U69" s="1756">
        <v>0</v>
      </c>
      <c r="W69" s="1143">
        <f t="shared" si="4"/>
        <v>0</v>
      </c>
      <c r="X69" s="1143">
        <f t="shared" si="5"/>
        <v>0</v>
      </c>
      <c r="Y69" s="1143">
        <f t="shared" si="6"/>
        <v>0</v>
      </c>
      <c r="Z69" s="1143">
        <f t="shared" si="7"/>
        <v>0</v>
      </c>
      <c r="AA69" s="1756">
        <f t="shared" si="8"/>
        <v>0</v>
      </c>
    </row>
    <row r="70" spans="1:27" s="1756" customFormat="1" ht="16.5" customHeight="1" x14ac:dyDescent="0.25">
      <c r="A70" s="1953" t="s">
        <v>138</v>
      </c>
      <c r="B70" s="1954" t="s">
        <v>139</v>
      </c>
      <c r="C70" s="583" t="s">
        <v>265</v>
      </c>
      <c r="D70" s="1962">
        <f t="shared" si="11"/>
        <v>7</v>
      </c>
      <c r="E70" s="1963">
        <v>2</v>
      </c>
      <c r="F70" s="1963">
        <v>4</v>
      </c>
      <c r="G70" s="1963">
        <v>0</v>
      </c>
      <c r="H70" s="1963">
        <v>0</v>
      </c>
      <c r="I70" s="1963">
        <v>0</v>
      </c>
      <c r="J70" s="1963">
        <v>1</v>
      </c>
      <c r="K70" s="1963">
        <v>0</v>
      </c>
      <c r="L70" s="1964">
        <v>0</v>
      </c>
      <c r="M70" s="1143">
        <f t="shared" si="12"/>
        <v>1</v>
      </c>
      <c r="N70" s="1143"/>
      <c r="O70" s="1143">
        <v>0</v>
      </c>
      <c r="P70" s="1143">
        <v>4</v>
      </c>
      <c r="Q70" s="1143">
        <v>2</v>
      </c>
      <c r="R70" s="1143">
        <v>1</v>
      </c>
      <c r="S70" s="1756">
        <v>0</v>
      </c>
      <c r="T70" s="1756">
        <v>0</v>
      </c>
      <c r="U70" s="1756">
        <v>0</v>
      </c>
      <c r="W70" s="1143">
        <f t="shared" ref="W70:W124" si="13">O70+P70</f>
        <v>4</v>
      </c>
      <c r="X70" s="1143">
        <f t="shared" ref="X70:X124" si="14">Q70</f>
        <v>2</v>
      </c>
      <c r="Y70" s="1143">
        <f t="shared" ref="Y70:Y124" si="15">R70</f>
        <v>1</v>
      </c>
      <c r="Z70" s="1143">
        <f t="shared" ref="Z70:Z124" si="16">S70</f>
        <v>0</v>
      </c>
      <c r="AA70" s="1756">
        <f t="shared" ref="AA70:AA124" si="17">T70</f>
        <v>0</v>
      </c>
    </row>
    <row r="71" spans="1:27" s="1756" customFormat="1" ht="16.5" customHeight="1" x14ac:dyDescent="0.25">
      <c r="A71" s="1953" t="s">
        <v>140</v>
      </c>
      <c r="B71" s="1954" t="s">
        <v>141</v>
      </c>
      <c r="C71" s="583" t="s">
        <v>267</v>
      </c>
      <c r="D71" s="1962">
        <f t="shared" si="11"/>
        <v>2</v>
      </c>
      <c r="E71" s="1963">
        <v>2</v>
      </c>
      <c r="F71" s="1963">
        <v>0</v>
      </c>
      <c r="G71" s="1963">
        <v>0</v>
      </c>
      <c r="H71" s="1963">
        <v>0</v>
      </c>
      <c r="I71" s="1963">
        <v>0</v>
      </c>
      <c r="J71" s="1963">
        <v>0</v>
      </c>
      <c r="K71" s="1963">
        <v>0</v>
      </c>
      <c r="L71" s="1964">
        <v>0</v>
      </c>
      <c r="M71" s="1143">
        <f t="shared" si="12"/>
        <v>0</v>
      </c>
      <c r="N71" s="1143"/>
      <c r="O71" s="1143">
        <v>0</v>
      </c>
      <c r="P71" s="1143">
        <v>1</v>
      </c>
      <c r="Q71" s="1143">
        <v>1</v>
      </c>
      <c r="R71" s="1143">
        <v>0</v>
      </c>
      <c r="S71" s="1756">
        <v>0</v>
      </c>
      <c r="T71" s="1756">
        <v>0</v>
      </c>
      <c r="U71" s="1756">
        <v>0</v>
      </c>
      <c r="W71" s="1143">
        <f t="shared" si="13"/>
        <v>1</v>
      </c>
      <c r="X71" s="1143">
        <f t="shared" si="14"/>
        <v>1</v>
      </c>
      <c r="Y71" s="1143">
        <f t="shared" si="15"/>
        <v>0</v>
      </c>
      <c r="Z71" s="1143">
        <f t="shared" si="16"/>
        <v>0</v>
      </c>
      <c r="AA71" s="1756">
        <f t="shared" si="17"/>
        <v>0</v>
      </c>
    </row>
    <row r="72" spans="1:27" s="1756" customFormat="1" ht="16.5" customHeight="1" x14ac:dyDescent="0.25">
      <c r="A72" s="1953" t="s">
        <v>142</v>
      </c>
      <c r="B72" s="1954" t="s">
        <v>143</v>
      </c>
      <c r="C72" s="583" t="s">
        <v>267</v>
      </c>
      <c r="D72" s="1962">
        <f t="shared" si="11"/>
        <v>4</v>
      </c>
      <c r="E72" s="1963">
        <v>0</v>
      </c>
      <c r="F72" s="1963">
        <v>2</v>
      </c>
      <c r="G72" s="1963">
        <v>0</v>
      </c>
      <c r="H72" s="1963">
        <v>0</v>
      </c>
      <c r="I72" s="1963">
        <v>0</v>
      </c>
      <c r="J72" s="1963">
        <v>1</v>
      </c>
      <c r="K72" s="1963">
        <v>1</v>
      </c>
      <c r="L72" s="1964">
        <v>0</v>
      </c>
      <c r="M72" s="1143">
        <f t="shared" si="12"/>
        <v>2</v>
      </c>
      <c r="N72" s="672"/>
      <c r="O72" s="1143">
        <v>0</v>
      </c>
      <c r="P72" s="1143">
        <v>0</v>
      </c>
      <c r="Q72" s="672">
        <v>3</v>
      </c>
      <c r="R72" s="1143">
        <v>0</v>
      </c>
      <c r="S72" s="1756">
        <v>1</v>
      </c>
      <c r="T72" s="1756">
        <v>0</v>
      </c>
      <c r="U72" s="1756">
        <v>0</v>
      </c>
      <c r="W72" s="1143">
        <f t="shared" si="13"/>
        <v>0</v>
      </c>
      <c r="X72" s="1143">
        <f t="shared" si="14"/>
        <v>3</v>
      </c>
      <c r="Y72" s="1143">
        <f t="shared" si="15"/>
        <v>0</v>
      </c>
      <c r="Z72" s="1143">
        <f t="shared" si="16"/>
        <v>1</v>
      </c>
      <c r="AA72" s="1756">
        <f t="shared" si="17"/>
        <v>0</v>
      </c>
    </row>
    <row r="73" spans="1:27" s="1756" customFormat="1" ht="16.5" customHeight="1" x14ac:dyDescent="0.25">
      <c r="A73" s="1953" t="s">
        <v>144</v>
      </c>
      <c r="B73" s="1954" t="s">
        <v>145</v>
      </c>
      <c r="C73" s="583" t="s">
        <v>267</v>
      </c>
      <c r="D73" s="1962">
        <f t="shared" si="11"/>
        <v>0</v>
      </c>
      <c r="E73" s="1963">
        <v>0</v>
      </c>
      <c r="F73" s="1963">
        <v>0</v>
      </c>
      <c r="G73" s="1963">
        <v>0</v>
      </c>
      <c r="H73" s="1963">
        <v>0</v>
      </c>
      <c r="I73" s="1963">
        <v>0</v>
      </c>
      <c r="J73" s="1963">
        <v>0</v>
      </c>
      <c r="K73" s="1963">
        <v>0</v>
      </c>
      <c r="L73" s="1964">
        <v>0</v>
      </c>
      <c r="M73" s="1143">
        <f t="shared" si="12"/>
        <v>0</v>
      </c>
      <c r="N73" s="1143"/>
      <c r="O73" s="1143">
        <v>0</v>
      </c>
      <c r="P73" s="1143">
        <v>0</v>
      </c>
      <c r="Q73" s="1143">
        <v>0</v>
      </c>
      <c r="R73" s="1143">
        <v>0</v>
      </c>
      <c r="S73" s="1756">
        <v>0</v>
      </c>
      <c r="T73" s="1756">
        <v>0</v>
      </c>
      <c r="U73" s="1756">
        <v>0</v>
      </c>
      <c r="W73" s="1143">
        <f t="shared" si="13"/>
        <v>0</v>
      </c>
      <c r="X73" s="1143">
        <f t="shared" si="14"/>
        <v>0</v>
      </c>
      <c r="Y73" s="1143">
        <f t="shared" si="15"/>
        <v>0</v>
      </c>
      <c r="Z73" s="1143">
        <f t="shared" si="16"/>
        <v>0</v>
      </c>
      <c r="AA73" s="1756">
        <f t="shared" si="17"/>
        <v>0</v>
      </c>
    </row>
    <row r="74" spans="1:27" s="1756" customFormat="1" ht="16.5" customHeight="1" x14ac:dyDescent="0.25">
      <c r="A74" s="1953" t="s">
        <v>146</v>
      </c>
      <c r="B74" s="1954" t="s">
        <v>147</v>
      </c>
      <c r="C74" s="583" t="s">
        <v>264</v>
      </c>
      <c r="D74" s="1962">
        <f t="shared" si="11"/>
        <v>4</v>
      </c>
      <c r="E74" s="1963">
        <v>4</v>
      </c>
      <c r="F74" s="1963">
        <v>0</v>
      </c>
      <c r="G74" s="1963">
        <v>0</v>
      </c>
      <c r="H74" s="1963">
        <v>0</v>
      </c>
      <c r="I74" s="1963">
        <v>0</v>
      </c>
      <c r="J74" s="1963">
        <v>0</v>
      </c>
      <c r="K74" s="1963">
        <v>0</v>
      </c>
      <c r="L74" s="1964">
        <v>0</v>
      </c>
      <c r="M74" s="1143">
        <f t="shared" si="12"/>
        <v>0</v>
      </c>
      <c r="N74" s="672"/>
      <c r="O74" s="1143">
        <v>0</v>
      </c>
      <c r="P74" s="1143">
        <v>3</v>
      </c>
      <c r="Q74" s="1143">
        <v>1</v>
      </c>
      <c r="R74" s="1143">
        <v>0</v>
      </c>
      <c r="S74" s="1756">
        <v>0</v>
      </c>
      <c r="T74" s="1756">
        <v>0</v>
      </c>
      <c r="U74" s="1756">
        <v>0</v>
      </c>
      <c r="W74" s="1143">
        <f t="shared" si="13"/>
        <v>3</v>
      </c>
      <c r="X74" s="1143">
        <f t="shared" si="14"/>
        <v>1</v>
      </c>
      <c r="Y74" s="1143">
        <f t="shared" si="15"/>
        <v>0</v>
      </c>
      <c r="Z74" s="1143">
        <f t="shared" si="16"/>
        <v>0</v>
      </c>
      <c r="AA74" s="1756">
        <f t="shared" si="17"/>
        <v>0</v>
      </c>
    </row>
    <row r="75" spans="1:27" s="1756" customFormat="1" ht="16.5" customHeight="1" x14ac:dyDescent="0.25">
      <c r="A75" s="1953" t="s">
        <v>148</v>
      </c>
      <c r="B75" s="1954" t="s">
        <v>149</v>
      </c>
      <c r="C75" s="583" t="s">
        <v>265</v>
      </c>
      <c r="D75" s="1962">
        <f t="shared" si="11"/>
        <v>4</v>
      </c>
      <c r="E75" s="1963">
        <v>4</v>
      </c>
      <c r="F75" s="1963">
        <v>0</v>
      </c>
      <c r="G75" s="1963">
        <v>0</v>
      </c>
      <c r="H75" s="1963">
        <v>0</v>
      </c>
      <c r="I75" s="1963">
        <v>0</v>
      </c>
      <c r="J75" s="1963">
        <v>0</v>
      </c>
      <c r="K75" s="1963">
        <v>0</v>
      </c>
      <c r="L75" s="1964">
        <v>0</v>
      </c>
      <c r="M75" s="1143">
        <f t="shared" si="12"/>
        <v>0</v>
      </c>
      <c r="N75" s="1143"/>
      <c r="O75" s="1143">
        <v>0</v>
      </c>
      <c r="P75" s="1143">
        <v>4</v>
      </c>
      <c r="Q75" s="1143">
        <v>0</v>
      </c>
      <c r="R75" s="1143">
        <v>0</v>
      </c>
      <c r="S75" s="1756">
        <v>0</v>
      </c>
      <c r="T75" s="1756">
        <v>0</v>
      </c>
      <c r="U75" s="1756">
        <v>0</v>
      </c>
      <c r="W75" s="1143">
        <f t="shared" si="13"/>
        <v>4</v>
      </c>
      <c r="X75" s="1143">
        <f t="shared" si="14"/>
        <v>0</v>
      </c>
      <c r="Y75" s="1143">
        <f t="shared" si="15"/>
        <v>0</v>
      </c>
      <c r="Z75" s="1143">
        <f t="shared" si="16"/>
        <v>0</v>
      </c>
      <c r="AA75" s="1756">
        <f t="shared" si="17"/>
        <v>0</v>
      </c>
    </row>
    <row r="76" spans="1:27" s="1756" customFormat="1" ht="16.5" customHeight="1" x14ac:dyDescent="0.25">
      <c r="A76" s="1953" t="s">
        <v>150</v>
      </c>
      <c r="B76" s="1954" t="s">
        <v>151</v>
      </c>
      <c r="C76" s="583" t="s">
        <v>266</v>
      </c>
      <c r="D76" s="1962">
        <f t="shared" si="11"/>
        <v>2</v>
      </c>
      <c r="E76" s="1963">
        <v>2</v>
      </c>
      <c r="F76" s="1965">
        <v>0</v>
      </c>
      <c r="G76" s="1965">
        <v>0</v>
      </c>
      <c r="H76" s="1965">
        <v>0</v>
      </c>
      <c r="I76" s="1965">
        <v>0</v>
      </c>
      <c r="J76" s="1966">
        <v>0</v>
      </c>
      <c r="K76" s="1966">
        <v>0</v>
      </c>
      <c r="L76" s="1967">
        <v>0</v>
      </c>
      <c r="M76" s="1143">
        <f t="shared" si="12"/>
        <v>0</v>
      </c>
      <c r="N76" s="1143"/>
      <c r="O76" s="1143">
        <v>0</v>
      </c>
      <c r="P76" s="1143">
        <v>2</v>
      </c>
      <c r="Q76" s="1143">
        <v>0</v>
      </c>
      <c r="R76" s="1143">
        <v>0</v>
      </c>
      <c r="S76" s="1756">
        <v>0</v>
      </c>
      <c r="T76" s="1756">
        <v>0</v>
      </c>
      <c r="U76" s="1756">
        <v>0</v>
      </c>
      <c r="W76" s="1143">
        <f t="shared" si="13"/>
        <v>2</v>
      </c>
      <c r="X76" s="1143">
        <f t="shared" si="14"/>
        <v>0</v>
      </c>
      <c r="Y76" s="1143">
        <f t="shared" si="15"/>
        <v>0</v>
      </c>
      <c r="Z76" s="1143">
        <f t="shared" si="16"/>
        <v>0</v>
      </c>
      <c r="AA76" s="1756">
        <f t="shared" si="17"/>
        <v>0</v>
      </c>
    </row>
    <row r="77" spans="1:27" s="1756" customFormat="1" ht="16.5" customHeight="1" x14ac:dyDescent="0.25">
      <c r="A77" s="1953" t="s">
        <v>152</v>
      </c>
      <c r="B77" s="1954" t="s">
        <v>153</v>
      </c>
      <c r="C77" s="583" t="s">
        <v>268</v>
      </c>
      <c r="D77" s="1962">
        <f t="shared" si="11"/>
        <v>6</v>
      </c>
      <c r="E77" s="1963">
        <v>2</v>
      </c>
      <c r="F77" s="1963">
        <v>0</v>
      </c>
      <c r="G77" s="1963">
        <v>0</v>
      </c>
      <c r="H77" s="1963">
        <v>0</v>
      </c>
      <c r="I77" s="1963">
        <v>0</v>
      </c>
      <c r="J77" s="1963">
        <v>4</v>
      </c>
      <c r="K77" s="1963">
        <v>0</v>
      </c>
      <c r="L77" s="1964">
        <v>0</v>
      </c>
      <c r="M77" s="1143">
        <f t="shared" si="12"/>
        <v>4</v>
      </c>
      <c r="N77" s="1143"/>
      <c r="O77" s="1143">
        <v>0</v>
      </c>
      <c r="P77" s="1143">
        <v>5</v>
      </c>
      <c r="Q77" s="1143">
        <v>1</v>
      </c>
      <c r="R77" s="1143">
        <v>0</v>
      </c>
      <c r="S77" s="1756">
        <v>0</v>
      </c>
      <c r="T77" s="1756">
        <v>0</v>
      </c>
      <c r="U77" s="1756">
        <v>0</v>
      </c>
      <c r="W77" s="1143">
        <f t="shared" si="13"/>
        <v>5</v>
      </c>
      <c r="X77" s="1143">
        <f t="shared" si="14"/>
        <v>1</v>
      </c>
      <c r="Y77" s="1143">
        <f t="shared" si="15"/>
        <v>0</v>
      </c>
      <c r="Z77" s="1143">
        <f t="shared" si="16"/>
        <v>0</v>
      </c>
      <c r="AA77" s="1756">
        <f t="shared" si="17"/>
        <v>0</v>
      </c>
    </row>
    <row r="78" spans="1:27" s="1756" customFormat="1" ht="16.5" customHeight="1" x14ac:dyDescent="0.25">
      <c r="A78" s="1953" t="s">
        <v>154</v>
      </c>
      <c r="B78" s="1954" t="s">
        <v>155</v>
      </c>
      <c r="C78" s="583" t="s">
        <v>265</v>
      </c>
      <c r="D78" s="1968">
        <f t="shared" si="11"/>
        <v>1</v>
      </c>
      <c r="E78" s="1965">
        <v>1</v>
      </c>
      <c r="F78" s="1965">
        <v>0</v>
      </c>
      <c r="G78" s="1965">
        <v>0</v>
      </c>
      <c r="H78" s="1965">
        <v>0</v>
      </c>
      <c r="I78" s="1965">
        <v>0</v>
      </c>
      <c r="J78" s="1966">
        <v>0</v>
      </c>
      <c r="K78" s="1966">
        <v>0</v>
      </c>
      <c r="L78" s="1967">
        <v>0</v>
      </c>
      <c r="M78" s="1143">
        <f t="shared" si="12"/>
        <v>0</v>
      </c>
      <c r="N78" s="1143"/>
      <c r="O78" s="1143">
        <v>0</v>
      </c>
      <c r="P78" s="1143">
        <v>1</v>
      </c>
      <c r="Q78" s="1143">
        <v>0</v>
      </c>
      <c r="R78" s="1143">
        <v>0</v>
      </c>
      <c r="S78" s="1756">
        <v>0</v>
      </c>
      <c r="T78" s="1756">
        <v>0</v>
      </c>
      <c r="U78" s="1756">
        <v>0</v>
      </c>
      <c r="W78" s="1143">
        <f t="shared" si="13"/>
        <v>1</v>
      </c>
      <c r="X78" s="1143">
        <f t="shared" si="14"/>
        <v>0</v>
      </c>
      <c r="Y78" s="1143">
        <f t="shared" si="15"/>
        <v>0</v>
      </c>
      <c r="Z78" s="1143">
        <f t="shared" si="16"/>
        <v>0</v>
      </c>
      <c r="AA78" s="1756">
        <f t="shared" si="17"/>
        <v>0</v>
      </c>
    </row>
    <row r="79" spans="1:27" s="1756" customFormat="1" ht="16.5" customHeight="1" x14ac:dyDescent="0.25">
      <c r="A79" s="1953" t="s">
        <v>156</v>
      </c>
      <c r="B79" s="1954" t="s">
        <v>157</v>
      </c>
      <c r="C79" s="583" t="s">
        <v>266</v>
      </c>
      <c r="D79" s="1962">
        <f t="shared" si="11"/>
        <v>0</v>
      </c>
      <c r="E79" s="1963">
        <v>0</v>
      </c>
      <c r="F79" s="1963">
        <v>0</v>
      </c>
      <c r="G79" s="1963">
        <v>0</v>
      </c>
      <c r="H79" s="1963">
        <v>0</v>
      </c>
      <c r="I79" s="1963">
        <v>0</v>
      </c>
      <c r="J79" s="1963">
        <v>0</v>
      </c>
      <c r="K79" s="1963">
        <v>0</v>
      </c>
      <c r="L79" s="1964">
        <v>0</v>
      </c>
      <c r="M79" s="1143">
        <f t="shared" si="12"/>
        <v>0</v>
      </c>
      <c r="N79" s="672"/>
      <c r="O79" s="1143">
        <v>0</v>
      </c>
      <c r="P79" s="1143">
        <v>0</v>
      </c>
      <c r="Q79" s="1143">
        <v>0</v>
      </c>
      <c r="R79" s="1143">
        <v>0</v>
      </c>
      <c r="S79" s="1756">
        <v>0</v>
      </c>
      <c r="T79" s="1756">
        <v>0</v>
      </c>
      <c r="U79" s="1756">
        <v>0</v>
      </c>
      <c r="W79" s="1143">
        <f t="shared" si="13"/>
        <v>0</v>
      </c>
      <c r="X79" s="1143">
        <f t="shared" si="14"/>
        <v>0</v>
      </c>
      <c r="Y79" s="1143">
        <f t="shared" si="15"/>
        <v>0</v>
      </c>
      <c r="Z79" s="1143">
        <f t="shared" si="16"/>
        <v>0</v>
      </c>
      <c r="AA79" s="1756">
        <f t="shared" si="17"/>
        <v>0</v>
      </c>
    </row>
    <row r="80" spans="1:27" s="1756" customFormat="1" ht="16.5" customHeight="1" x14ac:dyDescent="0.25">
      <c r="A80" s="1953" t="s">
        <v>158</v>
      </c>
      <c r="B80" s="1954" t="s">
        <v>159</v>
      </c>
      <c r="C80" s="583" t="s">
        <v>264</v>
      </c>
      <c r="D80" s="1962">
        <f t="shared" si="11"/>
        <v>10</v>
      </c>
      <c r="E80" s="1963">
        <v>1</v>
      </c>
      <c r="F80" s="1963">
        <v>5</v>
      </c>
      <c r="G80" s="1963">
        <v>0</v>
      </c>
      <c r="H80" s="1963">
        <v>0</v>
      </c>
      <c r="I80" s="1963">
        <v>0</v>
      </c>
      <c r="J80" s="1963">
        <v>1</v>
      </c>
      <c r="K80" s="1963">
        <v>3</v>
      </c>
      <c r="L80" s="1964">
        <v>0</v>
      </c>
      <c r="M80" s="1143">
        <f t="shared" si="12"/>
        <v>4</v>
      </c>
      <c r="N80" s="1143"/>
      <c r="O80" s="1143">
        <v>0</v>
      </c>
      <c r="P80" s="1143">
        <v>3</v>
      </c>
      <c r="Q80" s="1143">
        <v>2</v>
      </c>
      <c r="R80" s="1143">
        <v>2</v>
      </c>
      <c r="S80" s="1756">
        <v>3</v>
      </c>
      <c r="T80" s="1756">
        <v>0</v>
      </c>
      <c r="U80" s="1756">
        <v>0</v>
      </c>
      <c r="W80" s="1143">
        <f t="shared" si="13"/>
        <v>3</v>
      </c>
      <c r="X80" s="1143">
        <f t="shared" si="14"/>
        <v>2</v>
      </c>
      <c r="Y80" s="1143">
        <f t="shared" si="15"/>
        <v>2</v>
      </c>
      <c r="Z80" s="1143">
        <f t="shared" si="16"/>
        <v>3</v>
      </c>
      <c r="AA80" s="1756">
        <f t="shared" si="17"/>
        <v>0</v>
      </c>
    </row>
    <row r="81" spans="1:27" s="1756" customFormat="1" ht="16.5" customHeight="1" x14ac:dyDescent="0.25">
      <c r="A81" s="1953" t="s">
        <v>160</v>
      </c>
      <c r="B81" s="1954" t="s">
        <v>161</v>
      </c>
      <c r="C81" s="583" t="s">
        <v>264</v>
      </c>
      <c r="D81" s="1962">
        <f t="shared" si="11"/>
        <v>60</v>
      </c>
      <c r="E81" s="1963">
        <v>8</v>
      </c>
      <c r="F81" s="1963">
        <v>39</v>
      </c>
      <c r="G81" s="1963">
        <v>0</v>
      </c>
      <c r="H81" s="1963">
        <v>1</v>
      </c>
      <c r="I81" s="1963">
        <v>0</v>
      </c>
      <c r="J81" s="1963">
        <v>12</v>
      </c>
      <c r="K81" s="1963">
        <v>0</v>
      </c>
      <c r="L81" s="1964">
        <v>0</v>
      </c>
      <c r="M81" s="1143">
        <f t="shared" si="12"/>
        <v>13</v>
      </c>
      <c r="N81" s="1143"/>
      <c r="O81" s="1143">
        <v>0</v>
      </c>
      <c r="P81" s="1143">
        <v>24</v>
      </c>
      <c r="Q81" s="1143">
        <v>20</v>
      </c>
      <c r="R81" s="1143">
        <v>13</v>
      </c>
      <c r="S81" s="1756">
        <v>3</v>
      </c>
      <c r="T81" s="1756">
        <v>0</v>
      </c>
      <c r="U81" s="1756">
        <v>0</v>
      </c>
      <c r="W81" s="1143">
        <f t="shared" si="13"/>
        <v>24</v>
      </c>
      <c r="X81" s="1143">
        <f t="shared" si="14"/>
        <v>20</v>
      </c>
      <c r="Y81" s="1143">
        <f t="shared" si="15"/>
        <v>13</v>
      </c>
      <c r="Z81" s="1143">
        <f t="shared" si="16"/>
        <v>3</v>
      </c>
      <c r="AA81" s="1756">
        <f t="shared" si="17"/>
        <v>0</v>
      </c>
    </row>
    <row r="82" spans="1:27" s="1756" customFormat="1" ht="16.5" customHeight="1" x14ac:dyDescent="0.25">
      <c r="A82" s="1953" t="s">
        <v>162</v>
      </c>
      <c r="B82" s="1954" t="s">
        <v>163</v>
      </c>
      <c r="C82" s="583" t="s">
        <v>264</v>
      </c>
      <c r="D82" s="1962">
        <f t="shared" si="11"/>
        <v>0</v>
      </c>
      <c r="E82" s="1963">
        <v>0</v>
      </c>
      <c r="F82" s="1963">
        <v>0</v>
      </c>
      <c r="G82" s="1963">
        <v>0</v>
      </c>
      <c r="H82" s="1963">
        <v>0</v>
      </c>
      <c r="I82" s="1963">
        <v>0</v>
      </c>
      <c r="J82" s="1963">
        <v>0</v>
      </c>
      <c r="K82" s="1963">
        <v>0</v>
      </c>
      <c r="L82" s="1964">
        <v>0</v>
      </c>
      <c r="M82" s="672">
        <f t="shared" si="12"/>
        <v>0</v>
      </c>
      <c r="N82" s="672"/>
      <c r="O82" s="1143">
        <v>0</v>
      </c>
      <c r="P82" s="1143">
        <v>0</v>
      </c>
      <c r="Q82" s="1143">
        <v>0</v>
      </c>
      <c r="R82" s="1143">
        <v>0</v>
      </c>
      <c r="S82" s="1756">
        <v>0</v>
      </c>
      <c r="T82" s="1756">
        <v>0</v>
      </c>
      <c r="U82" s="1756">
        <v>0</v>
      </c>
      <c r="W82" s="1143">
        <f t="shared" si="13"/>
        <v>0</v>
      </c>
      <c r="X82" s="1143">
        <f t="shared" si="14"/>
        <v>0</v>
      </c>
      <c r="Y82" s="1143">
        <f t="shared" si="15"/>
        <v>0</v>
      </c>
      <c r="Z82" s="1143">
        <f t="shared" si="16"/>
        <v>0</v>
      </c>
      <c r="AA82" s="1756">
        <f t="shared" si="17"/>
        <v>0</v>
      </c>
    </row>
    <row r="83" spans="1:27" s="1756" customFormat="1" ht="16.5" customHeight="1" x14ac:dyDescent="0.25">
      <c r="A83" s="1953" t="s">
        <v>164</v>
      </c>
      <c r="B83" s="1954" t="s">
        <v>165</v>
      </c>
      <c r="C83" s="583" t="s">
        <v>266</v>
      </c>
      <c r="D83" s="1962">
        <f t="shared" si="11"/>
        <v>3</v>
      </c>
      <c r="E83" s="1963">
        <v>1</v>
      </c>
      <c r="F83" s="1963">
        <v>0</v>
      </c>
      <c r="G83" s="1963">
        <v>0</v>
      </c>
      <c r="H83" s="1963">
        <v>0</v>
      </c>
      <c r="I83" s="1963">
        <v>0</v>
      </c>
      <c r="J83" s="1963">
        <v>0</v>
      </c>
      <c r="K83" s="1963">
        <v>2</v>
      </c>
      <c r="L83" s="1964">
        <v>0</v>
      </c>
      <c r="M83" s="1143">
        <f t="shared" si="12"/>
        <v>2</v>
      </c>
      <c r="N83" s="672"/>
      <c r="O83" s="1143">
        <v>0</v>
      </c>
      <c r="P83" s="1143">
        <v>2</v>
      </c>
      <c r="Q83" s="1143">
        <v>1</v>
      </c>
      <c r="R83" s="1143">
        <v>0</v>
      </c>
      <c r="S83" s="1756">
        <v>0</v>
      </c>
      <c r="T83" s="1756">
        <v>0</v>
      </c>
      <c r="U83" s="1756">
        <v>0</v>
      </c>
      <c r="W83" s="1143">
        <f t="shared" si="13"/>
        <v>2</v>
      </c>
      <c r="X83" s="1143">
        <f t="shared" si="14"/>
        <v>1</v>
      </c>
      <c r="Y83" s="1143">
        <f t="shared" si="15"/>
        <v>0</v>
      </c>
      <c r="Z83" s="1143">
        <f t="shared" si="16"/>
        <v>0</v>
      </c>
      <c r="AA83" s="1756">
        <f t="shared" si="17"/>
        <v>0</v>
      </c>
    </row>
    <row r="84" spans="1:27" s="1756" customFormat="1" ht="16.5" customHeight="1" x14ac:dyDescent="0.25">
      <c r="A84" s="1953" t="s">
        <v>166</v>
      </c>
      <c r="B84" s="1954" t="s">
        <v>167</v>
      </c>
      <c r="C84" s="583" t="s">
        <v>268</v>
      </c>
      <c r="D84" s="1962">
        <f t="shared" si="11"/>
        <v>0</v>
      </c>
      <c r="E84" s="1963">
        <v>0</v>
      </c>
      <c r="F84" s="1963">
        <v>0</v>
      </c>
      <c r="G84" s="1963">
        <v>0</v>
      </c>
      <c r="H84" s="1963">
        <v>0</v>
      </c>
      <c r="I84" s="1963">
        <v>0</v>
      </c>
      <c r="J84" s="1963">
        <v>0</v>
      </c>
      <c r="K84" s="1963">
        <v>0</v>
      </c>
      <c r="L84" s="1964">
        <v>0</v>
      </c>
      <c r="M84" s="1143">
        <f t="shared" si="12"/>
        <v>0</v>
      </c>
      <c r="N84" s="1143"/>
      <c r="O84" s="1143">
        <v>0</v>
      </c>
      <c r="P84" s="1143">
        <v>0</v>
      </c>
      <c r="Q84" s="1143">
        <v>0</v>
      </c>
      <c r="R84" s="1143">
        <v>0</v>
      </c>
      <c r="S84" s="1756">
        <v>0</v>
      </c>
      <c r="T84" s="1756">
        <v>0</v>
      </c>
      <c r="U84" s="1756">
        <v>0</v>
      </c>
      <c r="W84" s="1143">
        <f t="shared" si="13"/>
        <v>0</v>
      </c>
      <c r="X84" s="1143">
        <f t="shared" si="14"/>
        <v>0</v>
      </c>
      <c r="Y84" s="1143">
        <f t="shared" si="15"/>
        <v>0</v>
      </c>
      <c r="Z84" s="1143">
        <f t="shared" si="16"/>
        <v>0</v>
      </c>
      <c r="AA84" s="1756">
        <f t="shared" si="17"/>
        <v>0</v>
      </c>
    </row>
    <row r="85" spans="1:27" s="1756" customFormat="1" ht="16.5" customHeight="1" x14ac:dyDescent="0.25">
      <c r="A85" s="1953" t="s">
        <v>168</v>
      </c>
      <c r="B85" s="1954" t="s">
        <v>169</v>
      </c>
      <c r="C85" s="583" t="s">
        <v>266</v>
      </c>
      <c r="D85" s="1962">
        <f t="shared" si="11"/>
        <v>0</v>
      </c>
      <c r="E85" s="1963">
        <v>0</v>
      </c>
      <c r="F85" s="1963">
        <v>0</v>
      </c>
      <c r="G85" s="1963">
        <v>0</v>
      </c>
      <c r="H85" s="1963">
        <v>0</v>
      </c>
      <c r="I85" s="1963">
        <v>0</v>
      </c>
      <c r="J85" s="1963">
        <v>0</v>
      </c>
      <c r="K85" s="1963">
        <v>0</v>
      </c>
      <c r="L85" s="1964">
        <v>0</v>
      </c>
      <c r="M85" s="1143">
        <f t="shared" si="12"/>
        <v>0</v>
      </c>
      <c r="N85" s="672"/>
      <c r="O85" s="1143">
        <v>0</v>
      </c>
      <c r="P85" s="1143">
        <v>0</v>
      </c>
      <c r="Q85" s="1143">
        <v>0</v>
      </c>
      <c r="R85" s="1143">
        <v>0</v>
      </c>
      <c r="S85" s="1756">
        <v>0</v>
      </c>
      <c r="T85" s="1756">
        <v>0</v>
      </c>
      <c r="U85" s="1756">
        <v>0</v>
      </c>
      <c r="W85" s="1143">
        <f t="shared" si="13"/>
        <v>0</v>
      </c>
      <c r="X85" s="1143">
        <f t="shared" si="14"/>
        <v>0</v>
      </c>
      <c r="Y85" s="1143">
        <f t="shared" si="15"/>
        <v>0</v>
      </c>
      <c r="Z85" s="1143">
        <f t="shared" si="16"/>
        <v>0</v>
      </c>
      <c r="AA85" s="1756">
        <f t="shared" si="17"/>
        <v>0</v>
      </c>
    </row>
    <row r="86" spans="1:27" s="1756" customFormat="1" ht="16.5" customHeight="1" x14ac:dyDescent="0.25">
      <c r="A86" s="1953" t="s">
        <v>170</v>
      </c>
      <c r="B86" s="1954" t="s">
        <v>171</v>
      </c>
      <c r="C86" s="583" t="s">
        <v>267</v>
      </c>
      <c r="D86" s="1962">
        <f t="shared" si="11"/>
        <v>0</v>
      </c>
      <c r="E86" s="1963">
        <v>0</v>
      </c>
      <c r="F86" s="1963">
        <v>0</v>
      </c>
      <c r="G86" s="1963">
        <v>0</v>
      </c>
      <c r="H86" s="1963">
        <v>0</v>
      </c>
      <c r="I86" s="1963">
        <v>0</v>
      </c>
      <c r="J86" s="1963">
        <v>0</v>
      </c>
      <c r="K86" s="1963">
        <v>0</v>
      </c>
      <c r="L86" s="1964">
        <v>0</v>
      </c>
      <c r="M86" s="1143">
        <f t="shared" si="12"/>
        <v>0</v>
      </c>
      <c r="N86" s="672"/>
      <c r="O86" s="1143">
        <v>0</v>
      </c>
      <c r="P86" s="1143">
        <v>0</v>
      </c>
      <c r="Q86" s="672">
        <v>0</v>
      </c>
      <c r="R86" s="1143">
        <v>0</v>
      </c>
      <c r="S86" s="1756">
        <v>0</v>
      </c>
      <c r="T86" s="1756">
        <v>0</v>
      </c>
      <c r="U86" s="1756">
        <v>0</v>
      </c>
      <c r="W86" s="1143">
        <f t="shared" si="13"/>
        <v>0</v>
      </c>
      <c r="X86" s="1143">
        <f t="shared" si="14"/>
        <v>0</v>
      </c>
      <c r="Y86" s="1143">
        <f t="shared" si="15"/>
        <v>0</v>
      </c>
      <c r="Z86" s="1143">
        <f t="shared" si="16"/>
        <v>0</v>
      </c>
      <c r="AA86" s="1756">
        <f t="shared" si="17"/>
        <v>0</v>
      </c>
    </row>
    <row r="87" spans="1:27" s="1756" customFormat="1" ht="16.5" customHeight="1" x14ac:dyDescent="0.25">
      <c r="A87" s="1953" t="s">
        <v>172</v>
      </c>
      <c r="B87" s="1954" t="s">
        <v>173</v>
      </c>
      <c r="C87" s="583" t="s">
        <v>267</v>
      </c>
      <c r="D87" s="1962">
        <f t="shared" si="11"/>
        <v>0</v>
      </c>
      <c r="E87" s="1963">
        <v>0</v>
      </c>
      <c r="F87" s="1963">
        <v>0</v>
      </c>
      <c r="G87" s="1963">
        <v>0</v>
      </c>
      <c r="H87" s="1963">
        <v>0</v>
      </c>
      <c r="I87" s="1963">
        <v>0</v>
      </c>
      <c r="J87" s="1963">
        <v>0</v>
      </c>
      <c r="K87" s="1963">
        <v>0</v>
      </c>
      <c r="L87" s="1964">
        <v>0</v>
      </c>
      <c r="M87" s="1143">
        <f t="shared" si="12"/>
        <v>0</v>
      </c>
      <c r="N87" s="1143"/>
      <c r="O87" s="1143">
        <v>0</v>
      </c>
      <c r="P87" s="1143">
        <v>0</v>
      </c>
      <c r="Q87" s="1143">
        <v>0</v>
      </c>
      <c r="R87" s="1143">
        <v>0</v>
      </c>
      <c r="S87" s="1756">
        <v>0</v>
      </c>
      <c r="T87" s="1756">
        <v>0</v>
      </c>
      <c r="U87" s="1756">
        <v>0</v>
      </c>
      <c r="W87" s="1143">
        <f t="shared" si="13"/>
        <v>0</v>
      </c>
      <c r="X87" s="1143">
        <f t="shared" si="14"/>
        <v>0</v>
      </c>
      <c r="Y87" s="1143">
        <f t="shared" si="15"/>
        <v>0</v>
      </c>
      <c r="Z87" s="1143">
        <f t="shared" si="16"/>
        <v>0</v>
      </c>
      <c r="AA87" s="1756">
        <f t="shared" si="17"/>
        <v>0</v>
      </c>
    </row>
    <row r="88" spans="1:27" s="1756" customFormat="1" ht="16.5" customHeight="1" x14ac:dyDescent="0.25">
      <c r="A88" s="1953" t="s">
        <v>174</v>
      </c>
      <c r="B88" s="1954" t="s">
        <v>175</v>
      </c>
      <c r="C88" s="583" t="s">
        <v>268</v>
      </c>
      <c r="D88" s="1962">
        <f t="shared" si="11"/>
        <v>1</v>
      </c>
      <c r="E88" s="1963">
        <v>0</v>
      </c>
      <c r="F88" s="1963">
        <v>0</v>
      </c>
      <c r="G88" s="1963">
        <v>0</v>
      </c>
      <c r="H88" s="1963">
        <v>0</v>
      </c>
      <c r="I88" s="1963">
        <v>0</v>
      </c>
      <c r="J88" s="1963">
        <v>1</v>
      </c>
      <c r="K88" s="1963">
        <v>0</v>
      </c>
      <c r="L88" s="1964">
        <v>0</v>
      </c>
      <c r="M88" s="1143">
        <f t="shared" si="12"/>
        <v>1</v>
      </c>
      <c r="N88" s="1143"/>
      <c r="O88" s="1143">
        <v>0</v>
      </c>
      <c r="P88" s="1143">
        <v>1</v>
      </c>
      <c r="Q88" s="1143">
        <v>0</v>
      </c>
      <c r="R88" s="1143">
        <v>0</v>
      </c>
      <c r="S88" s="1756">
        <v>0</v>
      </c>
      <c r="T88" s="1756">
        <v>0</v>
      </c>
      <c r="U88" s="1756">
        <v>0</v>
      </c>
      <c r="W88" s="1143">
        <f t="shared" si="13"/>
        <v>1</v>
      </c>
      <c r="X88" s="1143">
        <f t="shared" si="14"/>
        <v>0</v>
      </c>
      <c r="Y88" s="1143">
        <f t="shared" si="15"/>
        <v>0</v>
      </c>
      <c r="Z88" s="1143">
        <f t="shared" si="16"/>
        <v>0</v>
      </c>
      <c r="AA88" s="1756">
        <f t="shared" si="17"/>
        <v>0</v>
      </c>
    </row>
    <row r="89" spans="1:27" s="1756" customFormat="1" ht="16.5" customHeight="1" x14ac:dyDescent="0.25">
      <c r="A89" s="1953" t="s">
        <v>176</v>
      </c>
      <c r="B89" s="1954" t="s">
        <v>177</v>
      </c>
      <c r="C89" s="583" t="s">
        <v>266</v>
      </c>
      <c r="D89" s="1962">
        <f t="shared" si="11"/>
        <v>8</v>
      </c>
      <c r="E89" s="1963">
        <v>0</v>
      </c>
      <c r="F89" s="1963">
        <v>7</v>
      </c>
      <c r="G89" s="1963">
        <v>0</v>
      </c>
      <c r="H89" s="1963">
        <v>0</v>
      </c>
      <c r="I89" s="1963">
        <v>0</v>
      </c>
      <c r="J89" s="1963">
        <v>1</v>
      </c>
      <c r="K89" s="1963">
        <v>0</v>
      </c>
      <c r="L89" s="1964">
        <v>0</v>
      </c>
      <c r="M89" s="1143">
        <f t="shared" si="12"/>
        <v>1</v>
      </c>
      <c r="N89" s="672"/>
      <c r="O89" s="1143">
        <v>1</v>
      </c>
      <c r="P89" s="1143">
        <v>5</v>
      </c>
      <c r="Q89" s="672">
        <v>2</v>
      </c>
      <c r="R89" s="1143">
        <v>0</v>
      </c>
      <c r="S89" s="1756">
        <v>0</v>
      </c>
      <c r="T89" s="1756">
        <v>0</v>
      </c>
      <c r="U89" s="1756">
        <v>0</v>
      </c>
      <c r="W89" s="1143">
        <f t="shared" si="13"/>
        <v>6</v>
      </c>
      <c r="X89" s="1143">
        <f t="shared" si="14"/>
        <v>2</v>
      </c>
      <c r="Y89" s="1143">
        <f t="shared" si="15"/>
        <v>0</v>
      </c>
      <c r="Z89" s="1143">
        <f t="shared" si="16"/>
        <v>0</v>
      </c>
      <c r="AA89" s="1756">
        <f t="shared" si="17"/>
        <v>0</v>
      </c>
    </row>
    <row r="90" spans="1:27" s="1756" customFormat="1" ht="16.5" customHeight="1" x14ac:dyDescent="0.25">
      <c r="A90" s="1953" t="s">
        <v>178</v>
      </c>
      <c r="B90" s="1954" t="s">
        <v>179</v>
      </c>
      <c r="C90" s="583" t="s">
        <v>265</v>
      </c>
      <c r="D90" s="1962">
        <f t="shared" si="11"/>
        <v>2</v>
      </c>
      <c r="E90" s="1963">
        <v>2</v>
      </c>
      <c r="F90" s="1963">
        <v>0</v>
      </c>
      <c r="G90" s="1963">
        <v>0</v>
      </c>
      <c r="H90" s="1963">
        <v>0</v>
      </c>
      <c r="I90" s="1963">
        <v>0</v>
      </c>
      <c r="J90" s="1963">
        <v>0</v>
      </c>
      <c r="K90" s="1963">
        <v>0</v>
      </c>
      <c r="L90" s="1964">
        <v>0</v>
      </c>
      <c r="M90" s="1143">
        <f t="shared" si="12"/>
        <v>0</v>
      </c>
      <c r="N90" s="1143"/>
      <c r="O90" s="1143">
        <v>0</v>
      </c>
      <c r="P90" s="1143">
        <v>2</v>
      </c>
      <c r="Q90" s="1143">
        <v>0</v>
      </c>
      <c r="R90" s="1143">
        <v>0</v>
      </c>
      <c r="S90" s="1756">
        <v>0</v>
      </c>
      <c r="T90" s="1756">
        <v>0</v>
      </c>
      <c r="U90" s="1756">
        <v>0</v>
      </c>
      <c r="W90" s="1143">
        <f t="shared" si="13"/>
        <v>2</v>
      </c>
      <c r="X90" s="1143">
        <f t="shared" si="14"/>
        <v>0</v>
      </c>
      <c r="Y90" s="1143">
        <f t="shared" si="15"/>
        <v>0</v>
      </c>
      <c r="Z90" s="1143">
        <f t="shared" si="16"/>
        <v>0</v>
      </c>
      <c r="AA90" s="1756">
        <f t="shared" si="17"/>
        <v>0</v>
      </c>
    </row>
    <row r="91" spans="1:27" s="1756" customFormat="1" ht="16.5" customHeight="1" x14ac:dyDescent="0.25">
      <c r="A91" s="1953" t="s">
        <v>180</v>
      </c>
      <c r="B91" s="1954" t="s">
        <v>181</v>
      </c>
      <c r="C91" s="583" t="s">
        <v>264</v>
      </c>
      <c r="D91" s="1962">
        <f t="shared" si="11"/>
        <v>0</v>
      </c>
      <c r="E91" s="1963">
        <v>0</v>
      </c>
      <c r="F91" s="1963">
        <v>0</v>
      </c>
      <c r="G91" s="1963">
        <v>0</v>
      </c>
      <c r="H91" s="1963">
        <v>0</v>
      </c>
      <c r="I91" s="1963">
        <v>0</v>
      </c>
      <c r="J91" s="1963">
        <v>0</v>
      </c>
      <c r="K91" s="1963">
        <v>0</v>
      </c>
      <c r="L91" s="1964">
        <v>0</v>
      </c>
      <c r="M91" s="1143">
        <f t="shared" si="12"/>
        <v>0</v>
      </c>
      <c r="N91" s="672"/>
      <c r="O91" s="1143">
        <v>0</v>
      </c>
      <c r="P91" s="1143">
        <v>0</v>
      </c>
      <c r="Q91" s="1143">
        <v>0</v>
      </c>
      <c r="R91" s="1143">
        <v>0</v>
      </c>
      <c r="S91" s="1756">
        <v>0</v>
      </c>
      <c r="T91" s="1756">
        <v>0</v>
      </c>
      <c r="U91" s="1756">
        <v>0</v>
      </c>
      <c r="W91" s="1143">
        <f t="shared" si="13"/>
        <v>0</v>
      </c>
      <c r="X91" s="1143">
        <f t="shared" si="14"/>
        <v>0</v>
      </c>
      <c r="Y91" s="1143">
        <f t="shared" si="15"/>
        <v>0</v>
      </c>
      <c r="Z91" s="1143">
        <f t="shared" si="16"/>
        <v>0</v>
      </c>
      <c r="AA91" s="1756">
        <f t="shared" si="17"/>
        <v>0</v>
      </c>
    </row>
    <row r="92" spans="1:27" s="1756" customFormat="1" ht="16.5" customHeight="1" x14ac:dyDescent="0.25">
      <c r="A92" s="1953" t="s">
        <v>182</v>
      </c>
      <c r="B92" s="1954" t="s">
        <v>183</v>
      </c>
      <c r="C92" s="583" t="s">
        <v>266</v>
      </c>
      <c r="D92" s="1962">
        <f t="shared" si="11"/>
        <v>0</v>
      </c>
      <c r="E92" s="1963">
        <v>0</v>
      </c>
      <c r="F92" s="1963">
        <v>0</v>
      </c>
      <c r="G92" s="1963">
        <v>0</v>
      </c>
      <c r="H92" s="1963">
        <v>0</v>
      </c>
      <c r="I92" s="1963">
        <v>0</v>
      </c>
      <c r="J92" s="1963">
        <v>0</v>
      </c>
      <c r="K92" s="1963">
        <v>0</v>
      </c>
      <c r="L92" s="1964">
        <v>0</v>
      </c>
      <c r="M92" s="1143">
        <f t="shared" si="12"/>
        <v>0</v>
      </c>
      <c r="N92" s="1143"/>
      <c r="O92" s="1143">
        <v>0</v>
      </c>
      <c r="P92" s="1143">
        <v>0</v>
      </c>
      <c r="Q92" s="1143">
        <v>0</v>
      </c>
      <c r="R92" s="1143">
        <v>0</v>
      </c>
      <c r="S92" s="1756">
        <v>0</v>
      </c>
      <c r="T92" s="1756">
        <v>0</v>
      </c>
      <c r="U92" s="1756">
        <v>0</v>
      </c>
      <c r="W92" s="1143">
        <f t="shared" si="13"/>
        <v>0</v>
      </c>
      <c r="X92" s="1143">
        <f t="shared" si="14"/>
        <v>0</v>
      </c>
      <c r="Y92" s="1143">
        <f t="shared" si="15"/>
        <v>0</v>
      </c>
      <c r="Z92" s="1143">
        <f t="shared" si="16"/>
        <v>0</v>
      </c>
      <c r="AA92" s="1756">
        <f t="shared" si="17"/>
        <v>0</v>
      </c>
    </row>
    <row r="93" spans="1:27" s="1756" customFormat="1" ht="16.5" customHeight="1" x14ac:dyDescent="0.25">
      <c r="A93" s="1953" t="s">
        <v>184</v>
      </c>
      <c r="B93" s="1954" t="s">
        <v>185</v>
      </c>
      <c r="C93" s="583" t="s">
        <v>266</v>
      </c>
      <c r="D93" s="1962">
        <f t="shared" si="11"/>
        <v>1</v>
      </c>
      <c r="E93" s="1963">
        <v>1</v>
      </c>
      <c r="F93" s="1963">
        <v>0</v>
      </c>
      <c r="G93" s="1963">
        <v>0</v>
      </c>
      <c r="H93" s="1963">
        <v>0</v>
      </c>
      <c r="I93" s="1963">
        <v>0</v>
      </c>
      <c r="J93" s="1963">
        <v>0</v>
      </c>
      <c r="K93" s="1963">
        <v>0</v>
      </c>
      <c r="L93" s="1964">
        <v>0</v>
      </c>
      <c r="M93" s="1143">
        <f t="shared" si="12"/>
        <v>0</v>
      </c>
      <c r="N93" s="672"/>
      <c r="O93" s="1143">
        <v>0</v>
      </c>
      <c r="P93" s="1143">
        <v>0</v>
      </c>
      <c r="Q93" s="1143">
        <v>0</v>
      </c>
      <c r="R93" s="1143">
        <v>1</v>
      </c>
      <c r="S93" s="1756">
        <v>0</v>
      </c>
      <c r="T93" s="1756">
        <v>0</v>
      </c>
      <c r="U93" s="1756">
        <v>0</v>
      </c>
      <c r="W93" s="1143">
        <f t="shared" si="13"/>
        <v>0</v>
      </c>
      <c r="X93" s="1143">
        <f t="shared" si="14"/>
        <v>0</v>
      </c>
      <c r="Y93" s="1143">
        <f t="shared" si="15"/>
        <v>1</v>
      </c>
      <c r="Z93" s="1143">
        <f t="shared" si="16"/>
        <v>0</v>
      </c>
      <c r="AA93" s="1756">
        <f t="shared" si="17"/>
        <v>0</v>
      </c>
    </row>
    <row r="94" spans="1:27" s="1756" customFormat="1" ht="16.5" customHeight="1" x14ac:dyDescent="0.25">
      <c r="A94" s="1953" t="s">
        <v>186</v>
      </c>
      <c r="B94" s="1954" t="s">
        <v>187</v>
      </c>
      <c r="C94" s="583" t="s">
        <v>264</v>
      </c>
      <c r="D94" s="1962">
        <f t="shared" si="11"/>
        <v>4</v>
      </c>
      <c r="E94" s="1963">
        <v>4</v>
      </c>
      <c r="F94" s="1963">
        <v>0</v>
      </c>
      <c r="G94" s="1963">
        <v>0</v>
      </c>
      <c r="H94" s="1963">
        <v>0</v>
      </c>
      <c r="I94" s="1963">
        <v>0</v>
      </c>
      <c r="J94" s="1963">
        <v>0</v>
      </c>
      <c r="K94" s="1963">
        <v>0</v>
      </c>
      <c r="L94" s="1964">
        <v>0</v>
      </c>
      <c r="M94" s="1143">
        <f t="shared" si="12"/>
        <v>0</v>
      </c>
      <c r="N94" s="672"/>
      <c r="O94" s="1143">
        <v>0</v>
      </c>
      <c r="P94" s="1143">
        <v>3</v>
      </c>
      <c r="Q94" s="1143">
        <v>0</v>
      </c>
      <c r="R94" s="1143">
        <v>1</v>
      </c>
      <c r="S94" s="1756">
        <v>0</v>
      </c>
      <c r="T94" s="1756">
        <v>0</v>
      </c>
      <c r="U94" s="1756">
        <v>0</v>
      </c>
      <c r="W94" s="1143">
        <f t="shared" si="13"/>
        <v>3</v>
      </c>
      <c r="X94" s="1143">
        <f t="shared" si="14"/>
        <v>0</v>
      </c>
      <c r="Y94" s="1143">
        <f t="shared" si="15"/>
        <v>1</v>
      </c>
      <c r="Z94" s="1143">
        <f t="shared" si="16"/>
        <v>0</v>
      </c>
      <c r="AA94" s="1756">
        <f t="shared" si="17"/>
        <v>0</v>
      </c>
    </row>
    <row r="95" spans="1:27" s="1756" customFormat="1" ht="16.5" customHeight="1" x14ac:dyDescent="0.25">
      <c r="A95" s="1953" t="s">
        <v>188</v>
      </c>
      <c r="B95" s="1954" t="s">
        <v>189</v>
      </c>
      <c r="C95" s="583" t="s">
        <v>267</v>
      </c>
      <c r="D95" s="1962">
        <f t="shared" si="11"/>
        <v>6</v>
      </c>
      <c r="E95" s="1963">
        <v>1</v>
      </c>
      <c r="F95" s="1963">
        <v>1</v>
      </c>
      <c r="G95" s="1963">
        <v>0</v>
      </c>
      <c r="H95" s="1963">
        <v>0</v>
      </c>
      <c r="I95" s="1963">
        <v>0</v>
      </c>
      <c r="J95" s="1963">
        <v>0</v>
      </c>
      <c r="K95" s="1963">
        <v>3</v>
      </c>
      <c r="L95" s="1964">
        <v>1</v>
      </c>
      <c r="M95" s="1143">
        <f t="shared" si="12"/>
        <v>3</v>
      </c>
      <c r="N95" s="1143"/>
      <c r="O95" s="1143">
        <v>0</v>
      </c>
      <c r="P95" s="1143">
        <v>4</v>
      </c>
      <c r="Q95" s="672">
        <v>1</v>
      </c>
      <c r="R95" s="1143">
        <v>1</v>
      </c>
      <c r="S95" s="1756">
        <v>0</v>
      </c>
      <c r="T95" s="1756">
        <v>0</v>
      </c>
      <c r="U95" s="1756">
        <v>0</v>
      </c>
      <c r="W95" s="1143">
        <f t="shared" si="13"/>
        <v>4</v>
      </c>
      <c r="X95" s="1143">
        <f t="shared" si="14"/>
        <v>1</v>
      </c>
      <c r="Y95" s="1143">
        <f t="shared" si="15"/>
        <v>1</v>
      </c>
      <c r="Z95" s="1143">
        <f t="shared" si="16"/>
        <v>0</v>
      </c>
      <c r="AA95" s="1756">
        <f t="shared" si="17"/>
        <v>0</v>
      </c>
    </row>
    <row r="96" spans="1:27" s="1756" customFormat="1" ht="16.5" customHeight="1" x14ac:dyDescent="0.25">
      <c r="A96" s="1953" t="s">
        <v>190</v>
      </c>
      <c r="B96" s="1954" t="s">
        <v>191</v>
      </c>
      <c r="C96" s="583" t="s">
        <v>268</v>
      </c>
      <c r="D96" s="1962">
        <f t="shared" si="11"/>
        <v>4</v>
      </c>
      <c r="E96" s="1963">
        <v>3</v>
      </c>
      <c r="F96" s="1963">
        <v>0</v>
      </c>
      <c r="G96" s="1963">
        <v>0</v>
      </c>
      <c r="H96" s="1963">
        <v>0</v>
      </c>
      <c r="I96" s="1963">
        <v>0</v>
      </c>
      <c r="J96" s="1963">
        <v>0</v>
      </c>
      <c r="K96" s="1963">
        <v>1</v>
      </c>
      <c r="L96" s="1964">
        <v>0</v>
      </c>
      <c r="M96" s="1143">
        <f t="shared" si="12"/>
        <v>1</v>
      </c>
      <c r="N96" s="1143"/>
      <c r="O96" s="1143">
        <v>0</v>
      </c>
      <c r="P96" s="1143">
        <v>0</v>
      </c>
      <c r="Q96" s="1143">
        <v>0</v>
      </c>
      <c r="R96" s="1143">
        <v>3</v>
      </c>
      <c r="S96" s="1756">
        <v>1</v>
      </c>
      <c r="T96" s="1756">
        <v>0</v>
      </c>
      <c r="U96" s="1756">
        <v>0</v>
      </c>
      <c r="W96" s="1143">
        <f t="shared" si="13"/>
        <v>0</v>
      </c>
      <c r="X96" s="1143">
        <f t="shared" si="14"/>
        <v>0</v>
      </c>
      <c r="Y96" s="1143">
        <f t="shared" si="15"/>
        <v>3</v>
      </c>
      <c r="Z96" s="1143">
        <f t="shared" si="16"/>
        <v>1</v>
      </c>
      <c r="AA96" s="1756">
        <f t="shared" si="17"/>
        <v>0</v>
      </c>
    </row>
    <row r="97" spans="1:27" s="1756" customFormat="1" ht="16.5" customHeight="1" x14ac:dyDescent="0.25">
      <c r="A97" s="1953" t="s">
        <v>192</v>
      </c>
      <c r="B97" s="1954" t="s">
        <v>193</v>
      </c>
      <c r="C97" s="583" t="s">
        <v>268</v>
      </c>
      <c r="D97" s="1962">
        <f t="shared" si="11"/>
        <v>3</v>
      </c>
      <c r="E97" s="1963">
        <v>3</v>
      </c>
      <c r="F97" s="1963">
        <v>0</v>
      </c>
      <c r="G97" s="1963">
        <v>0</v>
      </c>
      <c r="H97" s="1963">
        <v>0</v>
      </c>
      <c r="I97" s="1963">
        <v>0</v>
      </c>
      <c r="J97" s="1963">
        <v>0</v>
      </c>
      <c r="K97" s="1963">
        <v>0</v>
      </c>
      <c r="L97" s="1964">
        <v>0</v>
      </c>
      <c r="M97" s="1143">
        <f t="shared" si="12"/>
        <v>0</v>
      </c>
      <c r="N97" s="672"/>
      <c r="O97" s="1143">
        <v>0</v>
      </c>
      <c r="P97" s="1143">
        <v>0</v>
      </c>
      <c r="Q97" s="1143">
        <v>2</v>
      </c>
      <c r="R97" s="1143">
        <v>0</v>
      </c>
      <c r="S97" s="1756">
        <v>1</v>
      </c>
      <c r="T97" s="1756">
        <v>0</v>
      </c>
      <c r="U97" s="1756">
        <v>0</v>
      </c>
      <c r="W97" s="1143">
        <f t="shared" si="13"/>
        <v>0</v>
      </c>
      <c r="X97" s="1143">
        <f t="shared" si="14"/>
        <v>2</v>
      </c>
      <c r="Y97" s="1143">
        <f t="shared" si="15"/>
        <v>0</v>
      </c>
      <c r="Z97" s="1143">
        <f t="shared" si="16"/>
        <v>1</v>
      </c>
      <c r="AA97" s="1756">
        <f t="shared" si="17"/>
        <v>0</v>
      </c>
    </row>
    <row r="98" spans="1:27" s="1756" customFormat="1" ht="16.5" customHeight="1" x14ac:dyDescent="0.25">
      <c r="A98" s="1953" t="s">
        <v>194</v>
      </c>
      <c r="B98" s="1954" t="s">
        <v>195</v>
      </c>
      <c r="C98" s="583" t="s">
        <v>267</v>
      </c>
      <c r="D98" s="1962">
        <f t="shared" si="11"/>
        <v>5</v>
      </c>
      <c r="E98" s="1963">
        <v>3</v>
      </c>
      <c r="F98" s="1963">
        <v>0</v>
      </c>
      <c r="G98" s="1963">
        <v>0</v>
      </c>
      <c r="H98" s="1963">
        <v>0</v>
      </c>
      <c r="I98" s="1963">
        <v>0</v>
      </c>
      <c r="J98" s="1963">
        <v>2</v>
      </c>
      <c r="K98" s="1963">
        <v>0</v>
      </c>
      <c r="L98" s="1964">
        <v>0</v>
      </c>
      <c r="M98" s="1143">
        <f t="shared" si="12"/>
        <v>2</v>
      </c>
      <c r="N98" s="1143"/>
      <c r="O98" s="1143">
        <v>0</v>
      </c>
      <c r="P98" s="1143">
        <v>1</v>
      </c>
      <c r="Q98" s="1143">
        <v>0</v>
      </c>
      <c r="R98" s="1143">
        <v>4</v>
      </c>
      <c r="S98" s="1756">
        <v>0</v>
      </c>
      <c r="T98" s="1756">
        <v>0</v>
      </c>
      <c r="U98" s="1756">
        <v>0</v>
      </c>
      <c r="W98" s="1143">
        <f t="shared" si="13"/>
        <v>1</v>
      </c>
      <c r="X98" s="1143">
        <f t="shared" si="14"/>
        <v>0</v>
      </c>
      <c r="Y98" s="1143">
        <f t="shared" si="15"/>
        <v>4</v>
      </c>
      <c r="Z98" s="1143">
        <f t="shared" si="16"/>
        <v>0</v>
      </c>
      <c r="AA98" s="1756">
        <f t="shared" si="17"/>
        <v>0</v>
      </c>
    </row>
    <row r="99" spans="1:27" s="1756" customFormat="1" ht="16.5" customHeight="1" x14ac:dyDescent="0.25">
      <c r="A99" s="1953" t="s">
        <v>196</v>
      </c>
      <c r="B99" s="1954" t="s">
        <v>312</v>
      </c>
      <c r="C99" s="583" t="s">
        <v>266</v>
      </c>
      <c r="D99" s="1962">
        <f t="shared" si="11"/>
        <v>21</v>
      </c>
      <c r="E99" s="1963">
        <v>2</v>
      </c>
      <c r="F99" s="1963">
        <v>19</v>
      </c>
      <c r="G99" s="1963">
        <v>0</v>
      </c>
      <c r="H99" s="1963">
        <v>0</v>
      </c>
      <c r="I99" s="1963">
        <v>0</v>
      </c>
      <c r="J99" s="1963">
        <v>0</v>
      </c>
      <c r="K99" s="1963">
        <v>0</v>
      </c>
      <c r="L99" s="1964">
        <v>0</v>
      </c>
      <c r="M99" s="1143">
        <f t="shared" si="12"/>
        <v>0</v>
      </c>
      <c r="N99" s="672"/>
      <c r="O99" s="1143">
        <v>0</v>
      </c>
      <c r="P99" s="1143">
        <v>10</v>
      </c>
      <c r="Q99" s="1143">
        <v>8</v>
      </c>
      <c r="R99" s="1143">
        <v>3</v>
      </c>
      <c r="S99" s="1756">
        <v>0</v>
      </c>
      <c r="T99" s="1756">
        <v>0</v>
      </c>
      <c r="U99" s="1756">
        <v>0</v>
      </c>
      <c r="W99" s="1143">
        <f t="shared" si="13"/>
        <v>10</v>
      </c>
      <c r="X99" s="1143">
        <f t="shared" si="14"/>
        <v>8</v>
      </c>
      <c r="Y99" s="1143">
        <f t="shared" si="15"/>
        <v>3</v>
      </c>
      <c r="Z99" s="1143">
        <f t="shared" si="16"/>
        <v>0</v>
      </c>
      <c r="AA99" s="1756">
        <f t="shared" si="17"/>
        <v>0</v>
      </c>
    </row>
    <row r="100" spans="1:27" s="1756" customFormat="1" ht="16.5" customHeight="1" x14ac:dyDescent="0.25">
      <c r="A100" s="1953" t="s">
        <v>198</v>
      </c>
      <c r="B100" s="1954" t="s">
        <v>199</v>
      </c>
      <c r="C100" s="583" t="s">
        <v>266</v>
      </c>
      <c r="D100" s="1962">
        <f t="shared" si="11"/>
        <v>0</v>
      </c>
      <c r="E100" s="1963">
        <v>0</v>
      </c>
      <c r="F100" s="1963">
        <v>0</v>
      </c>
      <c r="G100" s="1963">
        <v>0</v>
      </c>
      <c r="H100" s="1963">
        <v>0</v>
      </c>
      <c r="I100" s="1963">
        <v>0</v>
      </c>
      <c r="J100" s="1963">
        <v>0</v>
      </c>
      <c r="K100" s="1963">
        <v>0</v>
      </c>
      <c r="L100" s="1964">
        <v>0</v>
      </c>
      <c r="M100" s="1143">
        <f t="shared" si="12"/>
        <v>0</v>
      </c>
      <c r="N100" s="672"/>
      <c r="O100" s="1143">
        <v>0</v>
      </c>
      <c r="P100" s="1143">
        <v>0</v>
      </c>
      <c r="Q100" s="1143">
        <v>0</v>
      </c>
      <c r="R100" s="1143">
        <v>0</v>
      </c>
      <c r="S100" s="1756">
        <v>0</v>
      </c>
      <c r="T100" s="1756">
        <v>0</v>
      </c>
      <c r="U100" s="1756">
        <v>0</v>
      </c>
      <c r="W100" s="1143">
        <f t="shared" si="13"/>
        <v>0</v>
      </c>
      <c r="X100" s="1143">
        <f t="shared" si="14"/>
        <v>0</v>
      </c>
      <c r="Y100" s="1143">
        <f t="shared" si="15"/>
        <v>0</v>
      </c>
      <c r="Z100" s="1143">
        <f t="shared" si="16"/>
        <v>0</v>
      </c>
      <c r="AA100" s="1756">
        <f t="shared" si="17"/>
        <v>0</v>
      </c>
    </row>
    <row r="101" spans="1:27" s="1756" customFormat="1" ht="16.5" customHeight="1" x14ac:dyDescent="0.25">
      <c r="A101" s="1953" t="s">
        <v>200</v>
      </c>
      <c r="B101" s="1954" t="s">
        <v>313</v>
      </c>
      <c r="C101" s="583" t="s">
        <v>265</v>
      </c>
      <c r="D101" s="1962">
        <f t="shared" ref="D101:D124" si="18">SUM(E101:L101)</f>
        <v>17</v>
      </c>
      <c r="E101" s="1963">
        <v>8</v>
      </c>
      <c r="F101" s="1963">
        <v>2</v>
      </c>
      <c r="G101" s="1963">
        <v>0</v>
      </c>
      <c r="H101" s="1963">
        <v>0</v>
      </c>
      <c r="I101" s="1963">
        <v>0</v>
      </c>
      <c r="J101" s="1963">
        <v>7</v>
      </c>
      <c r="K101" s="1963">
        <v>0</v>
      </c>
      <c r="L101" s="1964">
        <v>0</v>
      </c>
      <c r="M101" s="1143">
        <f t="shared" ref="M101:M124" si="19">G101+H101+I101+J101+K101</f>
        <v>7</v>
      </c>
      <c r="N101" s="1143"/>
      <c r="O101" s="1143">
        <v>0</v>
      </c>
      <c r="P101" s="1143">
        <v>12</v>
      </c>
      <c r="Q101" s="1143">
        <v>3</v>
      </c>
      <c r="R101" s="1143">
        <v>2</v>
      </c>
      <c r="S101" s="1756">
        <v>0</v>
      </c>
      <c r="T101" s="1756">
        <v>0</v>
      </c>
      <c r="U101" s="1756">
        <v>0</v>
      </c>
      <c r="W101" s="1143">
        <f t="shared" si="13"/>
        <v>12</v>
      </c>
      <c r="X101" s="1143">
        <f t="shared" si="14"/>
        <v>3</v>
      </c>
      <c r="Y101" s="1143">
        <f t="shared" si="15"/>
        <v>2</v>
      </c>
      <c r="Z101" s="1143">
        <f t="shared" si="16"/>
        <v>0</v>
      </c>
      <c r="AA101" s="1756">
        <f t="shared" si="17"/>
        <v>0</v>
      </c>
    </row>
    <row r="102" spans="1:27" s="1756" customFormat="1" ht="16.5" customHeight="1" x14ac:dyDescent="0.25">
      <c r="A102" s="1953" t="s">
        <v>202</v>
      </c>
      <c r="B102" s="1954" t="s">
        <v>203</v>
      </c>
      <c r="C102" s="583" t="s">
        <v>265</v>
      </c>
      <c r="D102" s="1962">
        <f t="shared" si="18"/>
        <v>15</v>
      </c>
      <c r="E102" s="1963">
        <v>10</v>
      </c>
      <c r="F102" s="1963">
        <v>1</v>
      </c>
      <c r="G102" s="1963">
        <v>0</v>
      </c>
      <c r="H102" s="1963">
        <v>0</v>
      </c>
      <c r="I102" s="1963">
        <v>0</v>
      </c>
      <c r="J102" s="1963">
        <v>3</v>
      </c>
      <c r="K102" s="1963">
        <v>1</v>
      </c>
      <c r="L102" s="1964">
        <v>0</v>
      </c>
      <c r="M102" s="1143">
        <f t="shared" si="19"/>
        <v>4</v>
      </c>
      <c r="N102" s="672"/>
      <c r="O102" s="672">
        <v>0</v>
      </c>
      <c r="P102" s="672">
        <v>7</v>
      </c>
      <c r="Q102" s="1143">
        <v>6</v>
      </c>
      <c r="R102" s="1143">
        <v>1</v>
      </c>
      <c r="S102" s="1756">
        <v>1</v>
      </c>
      <c r="T102" s="1756">
        <v>0</v>
      </c>
      <c r="U102" s="1756">
        <v>0</v>
      </c>
      <c r="W102" s="1143">
        <f t="shared" si="13"/>
        <v>7</v>
      </c>
      <c r="X102" s="1143">
        <f t="shared" si="14"/>
        <v>6</v>
      </c>
      <c r="Y102" s="1143">
        <f t="shared" si="15"/>
        <v>1</v>
      </c>
      <c r="Z102" s="1143">
        <f t="shared" si="16"/>
        <v>1</v>
      </c>
      <c r="AA102" s="1756">
        <f t="shared" si="17"/>
        <v>0</v>
      </c>
    </row>
    <row r="103" spans="1:27" s="1756" customFormat="1" ht="16.5" customHeight="1" x14ac:dyDescent="0.25">
      <c r="A103" s="1953" t="s">
        <v>204</v>
      </c>
      <c r="B103" s="1954" t="s">
        <v>205</v>
      </c>
      <c r="C103" s="583" t="s">
        <v>265</v>
      </c>
      <c r="D103" s="1962">
        <f t="shared" si="18"/>
        <v>3</v>
      </c>
      <c r="E103" s="1963">
        <v>0</v>
      </c>
      <c r="F103" s="1963">
        <v>0</v>
      </c>
      <c r="G103" s="1963">
        <v>0</v>
      </c>
      <c r="H103" s="1963">
        <v>0</v>
      </c>
      <c r="I103" s="1963">
        <v>0</v>
      </c>
      <c r="J103" s="1963">
        <v>2</v>
      </c>
      <c r="K103" s="1963">
        <v>1</v>
      </c>
      <c r="L103" s="1964">
        <v>0</v>
      </c>
      <c r="M103" s="1143">
        <f t="shared" si="19"/>
        <v>3</v>
      </c>
      <c r="N103" s="1143"/>
      <c r="O103" s="1143">
        <v>0</v>
      </c>
      <c r="P103" s="1143">
        <v>3</v>
      </c>
      <c r="Q103" s="1143">
        <v>0</v>
      </c>
      <c r="R103" s="1143">
        <v>0</v>
      </c>
      <c r="S103" s="1756">
        <v>0</v>
      </c>
      <c r="T103" s="1756">
        <v>0</v>
      </c>
      <c r="U103" s="1756">
        <v>0</v>
      </c>
      <c r="W103" s="1143">
        <f t="shared" si="13"/>
        <v>3</v>
      </c>
      <c r="X103" s="1143">
        <f t="shared" si="14"/>
        <v>0</v>
      </c>
      <c r="Y103" s="1143">
        <f t="shared" si="15"/>
        <v>0</v>
      </c>
      <c r="Z103" s="1143">
        <f t="shared" si="16"/>
        <v>0</v>
      </c>
      <c r="AA103" s="1756">
        <f t="shared" si="17"/>
        <v>0</v>
      </c>
    </row>
    <row r="104" spans="1:27" s="1756" customFormat="1" ht="16.5" customHeight="1" x14ac:dyDescent="0.25">
      <c r="A104" s="1953" t="s">
        <v>206</v>
      </c>
      <c r="B104" s="1954" t="s">
        <v>207</v>
      </c>
      <c r="C104" s="583" t="s">
        <v>267</v>
      </c>
      <c r="D104" s="1962">
        <f t="shared" si="18"/>
        <v>15</v>
      </c>
      <c r="E104" s="1963">
        <v>11</v>
      </c>
      <c r="F104" s="1963">
        <v>0</v>
      </c>
      <c r="G104" s="1963">
        <v>0</v>
      </c>
      <c r="H104" s="1963">
        <v>0</v>
      </c>
      <c r="I104" s="1963">
        <v>0</v>
      </c>
      <c r="J104" s="1963">
        <v>1</v>
      </c>
      <c r="K104" s="1963">
        <v>3</v>
      </c>
      <c r="L104" s="1964">
        <v>0</v>
      </c>
      <c r="M104" s="1143">
        <f t="shared" si="19"/>
        <v>4</v>
      </c>
      <c r="N104" s="1143"/>
      <c r="O104" s="1143">
        <v>2</v>
      </c>
      <c r="P104" s="1143">
        <v>8</v>
      </c>
      <c r="Q104" s="1143">
        <v>3</v>
      </c>
      <c r="R104" s="1143">
        <v>2</v>
      </c>
      <c r="S104" s="1756">
        <v>0</v>
      </c>
      <c r="T104" s="1756">
        <v>0</v>
      </c>
      <c r="U104" s="1756">
        <v>0</v>
      </c>
      <c r="W104" s="1143">
        <f t="shared" si="13"/>
        <v>10</v>
      </c>
      <c r="X104" s="1143">
        <f t="shared" si="14"/>
        <v>3</v>
      </c>
      <c r="Y104" s="1143">
        <f t="shared" si="15"/>
        <v>2</v>
      </c>
      <c r="Z104" s="1143">
        <f t="shared" si="16"/>
        <v>0</v>
      </c>
      <c r="AA104" s="1756">
        <f t="shared" si="17"/>
        <v>0</v>
      </c>
    </row>
    <row r="105" spans="1:27" s="1756" customFormat="1" ht="16.5" customHeight="1" x14ac:dyDescent="0.25">
      <c r="A105" s="1953" t="s">
        <v>208</v>
      </c>
      <c r="B105" s="1954" t="s">
        <v>209</v>
      </c>
      <c r="C105" s="583" t="s">
        <v>268</v>
      </c>
      <c r="D105" s="1962">
        <f t="shared" si="18"/>
        <v>9</v>
      </c>
      <c r="E105" s="1963">
        <v>8</v>
      </c>
      <c r="F105" s="1963">
        <v>0</v>
      </c>
      <c r="G105" s="1963">
        <v>0</v>
      </c>
      <c r="H105" s="1963">
        <v>1</v>
      </c>
      <c r="I105" s="1963">
        <v>0</v>
      </c>
      <c r="J105" s="1963">
        <v>0</v>
      </c>
      <c r="K105" s="1963">
        <v>0</v>
      </c>
      <c r="L105" s="1964">
        <v>0</v>
      </c>
      <c r="M105" s="1143">
        <f t="shared" si="19"/>
        <v>1</v>
      </c>
      <c r="N105" s="672"/>
      <c r="O105" s="1143">
        <v>0</v>
      </c>
      <c r="P105" s="1143">
        <v>3</v>
      </c>
      <c r="Q105" s="1143">
        <v>3</v>
      </c>
      <c r="R105" s="1143">
        <v>3</v>
      </c>
      <c r="S105" s="1756">
        <v>0</v>
      </c>
      <c r="T105" s="1756">
        <v>0</v>
      </c>
      <c r="U105" s="1756">
        <v>0</v>
      </c>
      <c r="W105" s="1143">
        <f t="shared" si="13"/>
        <v>3</v>
      </c>
      <c r="X105" s="1143">
        <f t="shared" si="14"/>
        <v>3</v>
      </c>
      <c r="Y105" s="1143">
        <f t="shared" si="15"/>
        <v>3</v>
      </c>
      <c r="Z105" s="1143">
        <f t="shared" si="16"/>
        <v>0</v>
      </c>
      <c r="AA105" s="1756">
        <f t="shared" si="17"/>
        <v>0</v>
      </c>
    </row>
    <row r="106" spans="1:27" s="1756" customFormat="1" ht="16.5" customHeight="1" x14ac:dyDescent="0.25">
      <c r="A106" s="1953" t="s">
        <v>210</v>
      </c>
      <c r="B106" s="1954" t="s">
        <v>211</v>
      </c>
      <c r="C106" s="583" t="s">
        <v>268</v>
      </c>
      <c r="D106" s="1962">
        <f t="shared" si="18"/>
        <v>2</v>
      </c>
      <c r="E106" s="1963">
        <v>2</v>
      </c>
      <c r="F106" s="1963">
        <v>0</v>
      </c>
      <c r="G106" s="1963">
        <v>0</v>
      </c>
      <c r="H106" s="1963">
        <v>0</v>
      </c>
      <c r="I106" s="1963">
        <v>0</v>
      </c>
      <c r="J106" s="1963">
        <v>0</v>
      </c>
      <c r="K106" s="1963">
        <v>0</v>
      </c>
      <c r="L106" s="1964">
        <v>0</v>
      </c>
      <c r="M106" s="1143">
        <f t="shared" si="19"/>
        <v>0</v>
      </c>
      <c r="N106" s="672"/>
      <c r="O106" s="1143">
        <v>0</v>
      </c>
      <c r="P106" s="1143">
        <v>1</v>
      </c>
      <c r="Q106" s="1143">
        <v>0</v>
      </c>
      <c r="R106" s="1143">
        <v>1</v>
      </c>
      <c r="S106" s="1756">
        <v>0</v>
      </c>
      <c r="T106" s="1756">
        <v>0</v>
      </c>
      <c r="U106" s="1756">
        <v>0</v>
      </c>
      <c r="W106" s="1143">
        <f t="shared" si="13"/>
        <v>1</v>
      </c>
      <c r="X106" s="1143">
        <f t="shared" si="14"/>
        <v>0</v>
      </c>
      <c r="Y106" s="1143">
        <f t="shared" si="15"/>
        <v>1</v>
      </c>
      <c r="Z106" s="1143">
        <f t="shared" si="16"/>
        <v>0</v>
      </c>
      <c r="AA106" s="1756">
        <f t="shared" si="17"/>
        <v>0</v>
      </c>
    </row>
    <row r="107" spans="1:27" s="1756" customFormat="1" ht="16.5" customHeight="1" x14ac:dyDescent="0.25">
      <c r="A107" s="1953" t="s">
        <v>212</v>
      </c>
      <c r="B107" s="1954" t="s">
        <v>213</v>
      </c>
      <c r="C107" s="583" t="s">
        <v>267</v>
      </c>
      <c r="D107" s="1962">
        <f t="shared" si="18"/>
        <v>2</v>
      </c>
      <c r="E107" s="1963">
        <v>2</v>
      </c>
      <c r="F107" s="1963">
        <v>0</v>
      </c>
      <c r="G107" s="1963">
        <v>0</v>
      </c>
      <c r="H107" s="1963">
        <v>0</v>
      </c>
      <c r="I107" s="1963">
        <v>0</v>
      </c>
      <c r="J107" s="1963">
        <v>0</v>
      </c>
      <c r="K107" s="1963">
        <v>0</v>
      </c>
      <c r="L107" s="1964">
        <v>0</v>
      </c>
      <c r="M107" s="1143">
        <f t="shared" si="19"/>
        <v>0</v>
      </c>
      <c r="N107" s="672"/>
      <c r="O107" s="1143">
        <v>0</v>
      </c>
      <c r="P107" s="1143">
        <v>0</v>
      </c>
      <c r="Q107" s="1143">
        <v>2</v>
      </c>
      <c r="R107" s="1143">
        <v>0</v>
      </c>
      <c r="S107" s="1756">
        <v>0</v>
      </c>
      <c r="T107" s="1756">
        <v>0</v>
      </c>
      <c r="U107" s="1756">
        <v>0</v>
      </c>
      <c r="W107" s="1143">
        <f t="shared" si="13"/>
        <v>0</v>
      </c>
      <c r="X107" s="1143">
        <f t="shared" si="14"/>
        <v>2</v>
      </c>
      <c r="Y107" s="1143">
        <f t="shared" si="15"/>
        <v>0</v>
      </c>
      <c r="Z107" s="1143">
        <f t="shared" si="16"/>
        <v>0</v>
      </c>
      <c r="AA107" s="1756">
        <f t="shared" si="17"/>
        <v>0</v>
      </c>
    </row>
    <row r="108" spans="1:27" s="1756" customFormat="1" ht="16.5" customHeight="1" x14ac:dyDescent="0.25">
      <c r="A108" s="1953" t="s">
        <v>214</v>
      </c>
      <c r="B108" s="1954" t="s">
        <v>215</v>
      </c>
      <c r="C108" s="583" t="s">
        <v>268</v>
      </c>
      <c r="D108" s="1962">
        <f t="shared" si="18"/>
        <v>1</v>
      </c>
      <c r="E108" s="1963">
        <v>1</v>
      </c>
      <c r="F108" s="1963">
        <v>0</v>
      </c>
      <c r="G108" s="1963">
        <v>0</v>
      </c>
      <c r="H108" s="1963">
        <v>0</v>
      </c>
      <c r="I108" s="1963">
        <v>0</v>
      </c>
      <c r="J108" s="1963">
        <v>0</v>
      </c>
      <c r="K108" s="1963">
        <v>0</v>
      </c>
      <c r="L108" s="1964">
        <v>0</v>
      </c>
      <c r="M108" s="1143">
        <f t="shared" si="19"/>
        <v>0</v>
      </c>
      <c r="N108" s="1143"/>
      <c r="O108" s="1143">
        <v>0</v>
      </c>
      <c r="P108" s="1143">
        <v>1</v>
      </c>
      <c r="Q108" s="1143">
        <v>0</v>
      </c>
      <c r="R108" s="1143">
        <v>0</v>
      </c>
      <c r="S108" s="1756">
        <v>0</v>
      </c>
      <c r="T108" s="1756">
        <v>0</v>
      </c>
      <c r="U108" s="1756">
        <v>0</v>
      </c>
      <c r="W108" s="1143">
        <f t="shared" si="13"/>
        <v>1</v>
      </c>
      <c r="X108" s="1143">
        <f t="shared" si="14"/>
        <v>0</v>
      </c>
      <c r="Y108" s="1143">
        <f t="shared" si="15"/>
        <v>0</v>
      </c>
      <c r="Z108" s="1143">
        <f t="shared" si="16"/>
        <v>0</v>
      </c>
      <c r="AA108" s="1756">
        <f t="shared" si="17"/>
        <v>0</v>
      </c>
    </row>
    <row r="109" spans="1:27" s="1756" customFormat="1" ht="16.5" customHeight="1" x14ac:dyDescent="0.25">
      <c r="A109" s="1953" t="s">
        <v>216</v>
      </c>
      <c r="B109" s="1954" t="s">
        <v>217</v>
      </c>
      <c r="C109" s="583" t="s">
        <v>264</v>
      </c>
      <c r="D109" s="1962">
        <f t="shared" si="18"/>
        <v>1</v>
      </c>
      <c r="E109" s="1963">
        <v>0</v>
      </c>
      <c r="F109" s="1963">
        <v>1</v>
      </c>
      <c r="G109" s="1963">
        <v>0</v>
      </c>
      <c r="H109" s="1963">
        <v>0</v>
      </c>
      <c r="I109" s="1963">
        <v>0</v>
      </c>
      <c r="J109" s="1963">
        <v>0</v>
      </c>
      <c r="K109" s="1963">
        <v>0</v>
      </c>
      <c r="L109" s="1964">
        <v>0</v>
      </c>
      <c r="M109" s="1143">
        <f t="shared" si="19"/>
        <v>0</v>
      </c>
      <c r="N109" s="1143"/>
      <c r="O109" s="1143">
        <v>0</v>
      </c>
      <c r="P109" s="1143">
        <v>0</v>
      </c>
      <c r="Q109" s="1143">
        <v>0</v>
      </c>
      <c r="R109" s="1143">
        <v>0</v>
      </c>
      <c r="S109" s="1756">
        <v>1</v>
      </c>
      <c r="T109" s="1756">
        <v>0</v>
      </c>
      <c r="U109" s="1756">
        <v>0</v>
      </c>
      <c r="W109" s="1143">
        <f t="shared" si="13"/>
        <v>0</v>
      </c>
      <c r="X109" s="1143">
        <f t="shared" si="14"/>
        <v>0</v>
      </c>
      <c r="Y109" s="1143">
        <f t="shared" si="15"/>
        <v>0</v>
      </c>
      <c r="Z109" s="1143">
        <f t="shared" si="16"/>
        <v>1</v>
      </c>
      <c r="AA109" s="1756">
        <f t="shared" si="17"/>
        <v>0</v>
      </c>
    </row>
    <row r="110" spans="1:27" s="1756" customFormat="1" ht="16.5" customHeight="1" x14ac:dyDescent="0.25">
      <c r="A110" s="1953" t="s">
        <v>218</v>
      </c>
      <c r="B110" s="1954" t="s">
        <v>219</v>
      </c>
      <c r="C110" s="583" t="s">
        <v>267</v>
      </c>
      <c r="D110" s="1962">
        <f t="shared" si="18"/>
        <v>11</v>
      </c>
      <c r="E110" s="1963">
        <v>8</v>
      </c>
      <c r="F110" s="1963">
        <v>2</v>
      </c>
      <c r="G110" s="1963">
        <v>0</v>
      </c>
      <c r="H110" s="1963">
        <v>0</v>
      </c>
      <c r="I110" s="1963">
        <v>0</v>
      </c>
      <c r="J110" s="1963">
        <v>1</v>
      </c>
      <c r="K110" s="1963">
        <v>0</v>
      </c>
      <c r="L110" s="1964">
        <v>0</v>
      </c>
      <c r="M110" s="1143">
        <f t="shared" si="19"/>
        <v>1</v>
      </c>
      <c r="N110" s="672"/>
      <c r="O110" s="1143">
        <v>0</v>
      </c>
      <c r="P110" s="1143">
        <v>8</v>
      </c>
      <c r="Q110" s="672">
        <v>2</v>
      </c>
      <c r="R110" s="1143">
        <v>0</v>
      </c>
      <c r="S110" s="1756">
        <v>1</v>
      </c>
      <c r="T110" s="1756">
        <v>0</v>
      </c>
      <c r="U110" s="1756">
        <v>0</v>
      </c>
      <c r="W110" s="1143">
        <f t="shared" si="13"/>
        <v>8</v>
      </c>
      <c r="X110" s="1143">
        <f t="shared" si="14"/>
        <v>2</v>
      </c>
      <c r="Y110" s="1143">
        <f t="shared" si="15"/>
        <v>0</v>
      </c>
      <c r="Z110" s="1143">
        <f t="shared" si="16"/>
        <v>1</v>
      </c>
      <c r="AA110" s="1756">
        <f t="shared" si="17"/>
        <v>0</v>
      </c>
    </row>
    <row r="111" spans="1:27" s="1756" customFormat="1" ht="16.5" customHeight="1" x14ac:dyDescent="0.25">
      <c r="A111" s="1953" t="s">
        <v>220</v>
      </c>
      <c r="B111" s="1954" t="s">
        <v>221</v>
      </c>
      <c r="C111" s="583" t="s">
        <v>267</v>
      </c>
      <c r="D111" s="1962">
        <f t="shared" si="18"/>
        <v>3</v>
      </c>
      <c r="E111" s="1963">
        <v>1</v>
      </c>
      <c r="F111" s="1963">
        <v>1</v>
      </c>
      <c r="G111" s="1963">
        <v>0</v>
      </c>
      <c r="H111" s="1963">
        <v>0</v>
      </c>
      <c r="I111" s="1963">
        <v>0</v>
      </c>
      <c r="J111" s="1963">
        <v>1</v>
      </c>
      <c r="K111" s="1963">
        <v>0</v>
      </c>
      <c r="L111" s="1964">
        <v>0</v>
      </c>
      <c r="M111" s="1143">
        <f t="shared" si="19"/>
        <v>1</v>
      </c>
      <c r="N111" s="672"/>
      <c r="O111" s="1143">
        <v>0</v>
      </c>
      <c r="P111" s="1143">
        <v>3</v>
      </c>
      <c r="Q111" s="672">
        <v>0</v>
      </c>
      <c r="R111" s="1143">
        <v>0</v>
      </c>
      <c r="S111" s="1756">
        <v>0</v>
      </c>
      <c r="T111" s="1756">
        <v>0</v>
      </c>
      <c r="U111" s="1756">
        <v>0</v>
      </c>
      <c r="W111" s="1143">
        <f t="shared" si="13"/>
        <v>3</v>
      </c>
      <c r="X111" s="1143">
        <f t="shared" si="14"/>
        <v>0</v>
      </c>
      <c r="Y111" s="1143">
        <f t="shared" si="15"/>
        <v>0</v>
      </c>
      <c r="Z111" s="1143">
        <f t="shared" si="16"/>
        <v>0</v>
      </c>
      <c r="AA111" s="1756">
        <f t="shared" si="17"/>
        <v>0</v>
      </c>
    </row>
    <row r="112" spans="1:27" s="1756" customFormat="1" ht="16.5" customHeight="1" x14ac:dyDescent="0.25">
      <c r="A112" s="1953" t="s">
        <v>222</v>
      </c>
      <c r="B112" s="1954" t="s">
        <v>223</v>
      </c>
      <c r="C112" s="583" t="s">
        <v>264</v>
      </c>
      <c r="D112" s="1962">
        <f t="shared" si="18"/>
        <v>1</v>
      </c>
      <c r="E112" s="1963">
        <v>0</v>
      </c>
      <c r="F112" s="1963">
        <v>1</v>
      </c>
      <c r="G112" s="1963">
        <v>0</v>
      </c>
      <c r="H112" s="1963">
        <v>0</v>
      </c>
      <c r="I112" s="1963">
        <v>0</v>
      </c>
      <c r="J112" s="1963">
        <v>0</v>
      </c>
      <c r="K112" s="1963">
        <v>0</v>
      </c>
      <c r="L112" s="1964">
        <v>0</v>
      </c>
      <c r="M112" s="1143">
        <f t="shared" si="19"/>
        <v>0</v>
      </c>
      <c r="N112" s="672"/>
      <c r="O112" s="1143">
        <v>0</v>
      </c>
      <c r="P112" s="1143">
        <v>0</v>
      </c>
      <c r="Q112" s="1143">
        <v>0</v>
      </c>
      <c r="R112" s="1143">
        <v>1</v>
      </c>
      <c r="S112" s="1756">
        <v>0</v>
      </c>
      <c r="T112" s="1756">
        <v>0</v>
      </c>
      <c r="U112" s="1756">
        <v>0</v>
      </c>
      <c r="W112" s="1143">
        <f t="shared" si="13"/>
        <v>0</v>
      </c>
      <c r="X112" s="1143">
        <f t="shared" si="14"/>
        <v>0</v>
      </c>
      <c r="Y112" s="1143">
        <f t="shared" si="15"/>
        <v>1</v>
      </c>
      <c r="Z112" s="1143">
        <f t="shared" si="16"/>
        <v>0</v>
      </c>
      <c r="AA112" s="1756">
        <f t="shared" si="17"/>
        <v>0</v>
      </c>
    </row>
    <row r="113" spans="1:27" s="1756" customFormat="1" ht="16.5" customHeight="1" x14ac:dyDescent="0.25">
      <c r="A113" s="1953" t="s">
        <v>224</v>
      </c>
      <c r="B113" s="1954" t="s">
        <v>225</v>
      </c>
      <c r="C113" s="583" t="s">
        <v>264</v>
      </c>
      <c r="D113" s="1962">
        <f t="shared" si="18"/>
        <v>0</v>
      </c>
      <c r="E113" s="1963">
        <v>0</v>
      </c>
      <c r="F113" s="1965">
        <v>0</v>
      </c>
      <c r="G113" s="1965">
        <v>0</v>
      </c>
      <c r="H113" s="1965">
        <v>0</v>
      </c>
      <c r="I113" s="1965">
        <v>0</v>
      </c>
      <c r="J113" s="1966">
        <v>0</v>
      </c>
      <c r="K113" s="1966">
        <v>0</v>
      </c>
      <c r="L113" s="1967">
        <v>0</v>
      </c>
      <c r="M113" s="1143">
        <f t="shared" si="19"/>
        <v>0</v>
      </c>
      <c r="N113" s="672"/>
      <c r="O113" s="1143">
        <v>0</v>
      </c>
      <c r="P113" s="1143">
        <v>0</v>
      </c>
      <c r="Q113" s="1143">
        <v>0</v>
      </c>
      <c r="R113" s="1143">
        <v>0</v>
      </c>
      <c r="S113" s="1756">
        <v>0</v>
      </c>
      <c r="T113" s="1756">
        <v>0</v>
      </c>
      <c r="U113" s="1756">
        <v>0</v>
      </c>
      <c r="W113" s="1143">
        <f t="shared" si="13"/>
        <v>0</v>
      </c>
      <c r="X113" s="1143">
        <f t="shared" si="14"/>
        <v>0</v>
      </c>
      <c r="Y113" s="1143">
        <f t="shared" si="15"/>
        <v>0</v>
      </c>
      <c r="Z113" s="1143">
        <f t="shared" si="16"/>
        <v>0</v>
      </c>
      <c r="AA113" s="1756">
        <f t="shared" si="17"/>
        <v>0</v>
      </c>
    </row>
    <row r="114" spans="1:27" s="1756" customFormat="1" ht="16.5" customHeight="1" x14ac:dyDescent="0.25">
      <c r="A114" s="1953" t="s">
        <v>226</v>
      </c>
      <c r="B114" s="1954" t="s">
        <v>227</v>
      </c>
      <c r="C114" s="583" t="s">
        <v>264</v>
      </c>
      <c r="D114" s="1962">
        <f t="shared" si="18"/>
        <v>0</v>
      </c>
      <c r="E114" s="1963">
        <v>0</v>
      </c>
      <c r="F114" s="1963">
        <v>0</v>
      </c>
      <c r="G114" s="1963">
        <v>0</v>
      </c>
      <c r="H114" s="1963">
        <v>0</v>
      </c>
      <c r="I114" s="1963">
        <v>0</v>
      </c>
      <c r="J114" s="1963">
        <v>0</v>
      </c>
      <c r="K114" s="1963">
        <v>0</v>
      </c>
      <c r="L114" s="1964">
        <v>0</v>
      </c>
      <c r="M114" s="1143">
        <f t="shared" si="19"/>
        <v>0</v>
      </c>
      <c r="N114" s="672"/>
      <c r="O114" s="1143">
        <v>0</v>
      </c>
      <c r="P114" s="1143">
        <v>0</v>
      </c>
      <c r="Q114" s="1143">
        <v>0</v>
      </c>
      <c r="R114" s="1143">
        <v>0</v>
      </c>
      <c r="S114" s="1756">
        <v>0</v>
      </c>
      <c r="T114" s="1756">
        <v>0</v>
      </c>
      <c r="U114" s="1756">
        <v>0</v>
      </c>
      <c r="W114" s="1143">
        <f t="shared" si="13"/>
        <v>0</v>
      </c>
      <c r="X114" s="1143">
        <f t="shared" si="14"/>
        <v>0</v>
      </c>
      <c r="Y114" s="1143">
        <f t="shared" si="15"/>
        <v>0</v>
      </c>
      <c r="Z114" s="1143">
        <f t="shared" si="16"/>
        <v>0</v>
      </c>
      <c r="AA114" s="1756">
        <f t="shared" si="17"/>
        <v>0</v>
      </c>
    </row>
    <row r="115" spans="1:27" s="1756" customFormat="1" ht="16.5" customHeight="1" x14ac:dyDescent="0.25">
      <c r="A115" s="1953" t="s">
        <v>228</v>
      </c>
      <c r="B115" s="1954" t="s">
        <v>229</v>
      </c>
      <c r="C115" s="583" t="s">
        <v>268</v>
      </c>
      <c r="D115" s="1962">
        <f t="shared" si="18"/>
        <v>14</v>
      </c>
      <c r="E115" s="1963">
        <v>14</v>
      </c>
      <c r="F115" s="1963">
        <v>0</v>
      </c>
      <c r="G115" s="1963">
        <v>0</v>
      </c>
      <c r="H115" s="1963">
        <v>0</v>
      </c>
      <c r="I115" s="1963">
        <v>0</v>
      </c>
      <c r="J115" s="1963">
        <v>0</v>
      </c>
      <c r="K115" s="1963">
        <v>0</v>
      </c>
      <c r="L115" s="1964">
        <v>0</v>
      </c>
      <c r="M115" s="1143">
        <f t="shared" si="19"/>
        <v>0</v>
      </c>
      <c r="N115" s="672"/>
      <c r="O115" s="1143">
        <v>0</v>
      </c>
      <c r="P115" s="1143">
        <v>8</v>
      </c>
      <c r="Q115" s="1143">
        <v>5</v>
      </c>
      <c r="R115" s="1143">
        <v>1</v>
      </c>
      <c r="S115" s="1756">
        <v>0</v>
      </c>
      <c r="T115" s="1756">
        <v>0</v>
      </c>
      <c r="U115" s="1756">
        <v>0</v>
      </c>
      <c r="W115" s="1143">
        <f t="shared" si="13"/>
        <v>8</v>
      </c>
      <c r="X115" s="1143">
        <f t="shared" si="14"/>
        <v>5</v>
      </c>
      <c r="Y115" s="1143">
        <f t="shared" si="15"/>
        <v>1</v>
      </c>
      <c r="Z115" s="1143">
        <f t="shared" si="16"/>
        <v>0</v>
      </c>
      <c r="AA115" s="1756">
        <f t="shared" si="17"/>
        <v>0</v>
      </c>
    </row>
    <row r="116" spans="1:27" s="1756" customFormat="1" ht="16.5" customHeight="1" x14ac:dyDescent="0.25">
      <c r="A116" s="1953" t="s">
        <v>230</v>
      </c>
      <c r="B116" s="1954" t="s">
        <v>231</v>
      </c>
      <c r="C116" s="583" t="s">
        <v>264</v>
      </c>
      <c r="D116" s="1962">
        <f t="shared" si="18"/>
        <v>24</v>
      </c>
      <c r="E116" s="1963">
        <v>17</v>
      </c>
      <c r="F116" s="1963">
        <v>5</v>
      </c>
      <c r="G116" s="1963">
        <v>0</v>
      </c>
      <c r="H116" s="1963">
        <v>0</v>
      </c>
      <c r="I116" s="1963">
        <v>0</v>
      </c>
      <c r="J116" s="1963">
        <v>2</v>
      </c>
      <c r="K116" s="1963">
        <v>0</v>
      </c>
      <c r="L116" s="1964">
        <v>0</v>
      </c>
      <c r="M116" s="1143">
        <f t="shared" si="19"/>
        <v>2</v>
      </c>
      <c r="N116" s="1143"/>
      <c r="O116" s="1143">
        <v>0</v>
      </c>
      <c r="P116" s="1143">
        <v>10</v>
      </c>
      <c r="Q116" s="1143">
        <v>10</v>
      </c>
      <c r="R116" s="1143">
        <v>2</v>
      </c>
      <c r="S116" s="1756">
        <v>2</v>
      </c>
      <c r="T116" s="1756">
        <v>0</v>
      </c>
      <c r="U116" s="1756">
        <v>0</v>
      </c>
      <c r="W116" s="1143">
        <f t="shared" si="13"/>
        <v>10</v>
      </c>
      <c r="X116" s="1143">
        <f t="shared" si="14"/>
        <v>10</v>
      </c>
      <c r="Y116" s="1143">
        <f t="shared" si="15"/>
        <v>2</v>
      </c>
      <c r="Z116" s="1143">
        <f t="shared" si="16"/>
        <v>2</v>
      </c>
      <c r="AA116" s="1756">
        <f t="shared" si="17"/>
        <v>0</v>
      </c>
    </row>
    <row r="117" spans="1:27" s="1756" customFormat="1" ht="16.5" customHeight="1" x14ac:dyDescent="0.25">
      <c r="A117" s="1953" t="s">
        <v>232</v>
      </c>
      <c r="B117" s="1954" t="s">
        <v>233</v>
      </c>
      <c r="C117" s="583" t="s">
        <v>267</v>
      </c>
      <c r="D117" s="1962">
        <f t="shared" si="18"/>
        <v>0</v>
      </c>
      <c r="E117" s="1963">
        <v>0</v>
      </c>
      <c r="F117" s="1963">
        <v>0</v>
      </c>
      <c r="G117" s="1963">
        <v>0</v>
      </c>
      <c r="H117" s="1963">
        <v>0</v>
      </c>
      <c r="I117" s="1963">
        <v>0</v>
      </c>
      <c r="J117" s="1963">
        <v>0</v>
      </c>
      <c r="K117" s="1963">
        <v>0</v>
      </c>
      <c r="L117" s="1964">
        <v>0</v>
      </c>
      <c r="M117" s="1143">
        <f t="shared" si="19"/>
        <v>0</v>
      </c>
      <c r="N117" s="1143"/>
      <c r="O117" s="1143">
        <v>0</v>
      </c>
      <c r="P117" s="1143">
        <v>0</v>
      </c>
      <c r="Q117" s="1143">
        <v>0</v>
      </c>
      <c r="R117" s="1143">
        <v>0</v>
      </c>
      <c r="S117" s="1756">
        <v>0</v>
      </c>
      <c r="T117" s="1756">
        <v>0</v>
      </c>
      <c r="U117" s="1756">
        <v>0</v>
      </c>
      <c r="W117" s="1143">
        <f t="shared" si="13"/>
        <v>0</v>
      </c>
      <c r="X117" s="1143">
        <f t="shared" si="14"/>
        <v>0</v>
      </c>
      <c r="Y117" s="1143">
        <f t="shared" si="15"/>
        <v>0</v>
      </c>
      <c r="Z117" s="1143">
        <f t="shared" si="16"/>
        <v>0</v>
      </c>
      <c r="AA117" s="1756">
        <f t="shared" si="17"/>
        <v>0</v>
      </c>
    </row>
    <row r="118" spans="1:27" s="1756" customFormat="1" ht="16.5" customHeight="1" x14ac:dyDescent="0.25">
      <c r="A118" s="1953" t="s">
        <v>234</v>
      </c>
      <c r="B118" s="1954" t="s">
        <v>235</v>
      </c>
      <c r="C118" s="583" t="s">
        <v>268</v>
      </c>
      <c r="D118" s="1962">
        <f t="shared" si="18"/>
        <v>9</v>
      </c>
      <c r="E118" s="1963">
        <v>9</v>
      </c>
      <c r="F118" s="1963">
        <v>0</v>
      </c>
      <c r="G118" s="1963">
        <v>0</v>
      </c>
      <c r="H118" s="1963">
        <v>0</v>
      </c>
      <c r="I118" s="1963">
        <v>0</v>
      </c>
      <c r="J118" s="1963">
        <v>0</v>
      </c>
      <c r="K118" s="1963">
        <v>0</v>
      </c>
      <c r="L118" s="1964">
        <v>0</v>
      </c>
      <c r="M118" s="1143">
        <f t="shared" si="19"/>
        <v>0</v>
      </c>
      <c r="N118" s="672"/>
      <c r="O118" s="1143">
        <v>0</v>
      </c>
      <c r="P118" s="1143">
        <v>5</v>
      </c>
      <c r="Q118" s="672">
        <v>3</v>
      </c>
      <c r="R118" s="1143">
        <v>1</v>
      </c>
      <c r="S118" s="1756">
        <v>0</v>
      </c>
      <c r="T118" s="1756">
        <v>0</v>
      </c>
      <c r="U118" s="1756">
        <v>0</v>
      </c>
      <c r="W118" s="1143">
        <f t="shared" si="13"/>
        <v>5</v>
      </c>
      <c r="X118" s="1143">
        <f t="shared" si="14"/>
        <v>3</v>
      </c>
      <c r="Y118" s="1143">
        <f t="shared" si="15"/>
        <v>1</v>
      </c>
      <c r="Z118" s="1143">
        <f t="shared" si="16"/>
        <v>0</v>
      </c>
      <c r="AA118" s="1756">
        <f t="shared" si="17"/>
        <v>0</v>
      </c>
    </row>
    <row r="119" spans="1:27" s="1756" customFormat="1" ht="16.5" customHeight="1" x14ac:dyDescent="0.25">
      <c r="A119" s="1953" t="s">
        <v>236</v>
      </c>
      <c r="B119" s="1954" t="s">
        <v>237</v>
      </c>
      <c r="C119" s="583" t="s">
        <v>266</v>
      </c>
      <c r="D119" s="1962">
        <f t="shared" si="18"/>
        <v>0</v>
      </c>
      <c r="E119" s="1963">
        <v>0</v>
      </c>
      <c r="F119" s="1963">
        <v>0</v>
      </c>
      <c r="G119" s="1963">
        <v>0</v>
      </c>
      <c r="H119" s="1963">
        <v>0</v>
      </c>
      <c r="I119" s="1963">
        <v>0</v>
      </c>
      <c r="J119" s="1963">
        <v>0</v>
      </c>
      <c r="K119" s="1963">
        <v>0</v>
      </c>
      <c r="L119" s="1964">
        <v>0</v>
      </c>
      <c r="M119" s="1143">
        <f t="shared" si="19"/>
        <v>0</v>
      </c>
      <c r="N119" s="672"/>
      <c r="O119" s="1143">
        <v>0</v>
      </c>
      <c r="P119" s="1143">
        <v>0</v>
      </c>
      <c r="Q119" s="1143">
        <v>0</v>
      </c>
      <c r="R119" s="1143">
        <v>0</v>
      </c>
      <c r="S119" s="1756">
        <v>0</v>
      </c>
      <c r="T119" s="1756">
        <v>0</v>
      </c>
      <c r="U119" s="1756">
        <v>0</v>
      </c>
      <c r="W119" s="1143">
        <f t="shared" si="13"/>
        <v>0</v>
      </c>
      <c r="X119" s="1143">
        <f t="shared" si="14"/>
        <v>0</v>
      </c>
      <c r="Y119" s="1143">
        <f t="shared" si="15"/>
        <v>0</v>
      </c>
      <c r="Z119" s="1143">
        <f t="shared" si="16"/>
        <v>0</v>
      </c>
      <c r="AA119" s="1756">
        <f t="shared" si="17"/>
        <v>0</v>
      </c>
    </row>
    <row r="120" spans="1:27" s="1756" customFormat="1" ht="16.5" customHeight="1" x14ac:dyDescent="0.25">
      <c r="A120" s="1953" t="s">
        <v>238</v>
      </c>
      <c r="B120" s="1954" t="s">
        <v>239</v>
      </c>
      <c r="C120" s="583" t="s">
        <v>264</v>
      </c>
      <c r="D120" s="1962">
        <f t="shared" si="18"/>
        <v>2</v>
      </c>
      <c r="E120" s="1963">
        <v>2</v>
      </c>
      <c r="F120" s="1963">
        <v>0</v>
      </c>
      <c r="G120" s="1963">
        <v>0</v>
      </c>
      <c r="H120" s="1963">
        <v>0</v>
      </c>
      <c r="I120" s="1963">
        <v>0</v>
      </c>
      <c r="J120" s="1963">
        <v>0</v>
      </c>
      <c r="K120" s="1963">
        <v>0</v>
      </c>
      <c r="L120" s="1964">
        <v>0</v>
      </c>
      <c r="M120" s="1143">
        <f t="shared" si="19"/>
        <v>0</v>
      </c>
      <c r="N120" s="1143"/>
      <c r="O120" s="1143">
        <v>0</v>
      </c>
      <c r="P120" s="1143">
        <v>0</v>
      </c>
      <c r="Q120" s="1143">
        <v>1</v>
      </c>
      <c r="R120" s="1143">
        <v>1</v>
      </c>
      <c r="S120" s="1756">
        <v>0</v>
      </c>
      <c r="T120" s="1756">
        <v>0</v>
      </c>
      <c r="U120" s="1756">
        <v>0</v>
      </c>
      <c r="W120" s="1143">
        <f t="shared" si="13"/>
        <v>0</v>
      </c>
      <c r="X120" s="1143">
        <f t="shared" si="14"/>
        <v>1</v>
      </c>
      <c r="Y120" s="1143">
        <f t="shared" si="15"/>
        <v>1</v>
      </c>
      <c r="Z120" s="1143">
        <f t="shared" si="16"/>
        <v>0</v>
      </c>
      <c r="AA120" s="1756">
        <f t="shared" si="17"/>
        <v>0</v>
      </c>
    </row>
    <row r="121" spans="1:27" s="1756" customFormat="1" ht="16.5" customHeight="1" x14ac:dyDescent="0.25">
      <c r="A121" s="1953" t="s">
        <v>240</v>
      </c>
      <c r="B121" s="1954" t="s">
        <v>241</v>
      </c>
      <c r="C121" s="583" t="s">
        <v>267</v>
      </c>
      <c r="D121" s="1962">
        <f t="shared" si="18"/>
        <v>7</v>
      </c>
      <c r="E121" s="1963">
        <v>5</v>
      </c>
      <c r="F121" s="1963">
        <v>0</v>
      </c>
      <c r="G121" s="1963">
        <v>0</v>
      </c>
      <c r="H121" s="1963">
        <v>0</v>
      </c>
      <c r="I121" s="1963">
        <v>0</v>
      </c>
      <c r="J121" s="1963">
        <v>2</v>
      </c>
      <c r="K121" s="1963">
        <v>0</v>
      </c>
      <c r="L121" s="1964">
        <v>0</v>
      </c>
      <c r="M121" s="1143">
        <f t="shared" si="19"/>
        <v>2</v>
      </c>
      <c r="N121" s="672"/>
      <c r="O121" s="1143">
        <v>0</v>
      </c>
      <c r="P121" s="1143">
        <v>4</v>
      </c>
      <c r="Q121" s="1143">
        <v>1</v>
      </c>
      <c r="R121" s="1143">
        <v>1</v>
      </c>
      <c r="S121" s="1756">
        <v>1</v>
      </c>
      <c r="T121" s="1756">
        <v>0</v>
      </c>
      <c r="U121" s="1756">
        <v>0</v>
      </c>
      <c r="W121" s="1143">
        <f t="shared" si="13"/>
        <v>4</v>
      </c>
      <c r="X121" s="1143">
        <f t="shared" si="14"/>
        <v>1</v>
      </c>
      <c r="Y121" s="1143">
        <f t="shared" si="15"/>
        <v>1</v>
      </c>
      <c r="Z121" s="1143">
        <f t="shared" si="16"/>
        <v>1</v>
      </c>
      <c r="AA121" s="1756">
        <f t="shared" si="17"/>
        <v>0</v>
      </c>
    </row>
    <row r="122" spans="1:27" s="1756" customFormat="1" ht="16.5" customHeight="1" x14ac:dyDescent="0.25">
      <c r="A122" s="1953" t="s">
        <v>242</v>
      </c>
      <c r="B122" s="1954" t="s">
        <v>243</v>
      </c>
      <c r="C122" s="583" t="s">
        <v>268</v>
      </c>
      <c r="D122" s="1962">
        <f t="shared" si="18"/>
        <v>12</v>
      </c>
      <c r="E122" s="1963">
        <v>8</v>
      </c>
      <c r="F122" s="1963">
        <v>0</v>
      </c>
      <c r="G122" s="1963">
        <v>0</v>
      </c>
      <c r="H122" s="1963">
        <v>0</v>
      </c>
      <c r="I122" s="1963">
        <v>0</v>
      </c>
      <c r="J122" s="1963">
        <v>4</v>
      </c>
      <c r="K122" s="1963">
        <v>0</v>
      </c>
      <c r="L122" s="1964">
        <v>0</v>
      </c>
      <c r="M122" s="1143">
        <f t="shared" si="19"/>
        <v>4</v>
      </c>
      <c r="N122" s="1143"/>
      <c r="O122" s="1143">
        <v>0</v>
      </c>
      <c r="P122" s="1143">
        <v>8</v>
      </c>
      <c r="Q122" s="1143">
        <v>3</v>
      </c>
      <c r="R122" s="1143">
        <v>1</v>
      </c>
      <c r="S122" s="1756">
        <v>0</v>
      </c>
      <c r="T122" s="1756">
        <v>0</v>
      </c>
      <c r="U122" s="1756">
        <v>0</v>
      </c>
      <c r="W122" s="1143">
        <f t="shared" si="13"/>
        <v>8</v>
      </c>
      <c r="X122" s="1143">
        <f t="shared" si="14"/>
        <v>3</v>
      </c>
      <c r="Y122" s="1143">
        <f t="shared" si="15"/>
        <v>1</v>
      </c>
      <c r="Z122" s="1143">
        <f t="shared" si="16"/>
        <v>0</v>
      </c>
      <c r="AA122" s="1756">
        <f t="shared" si="17"/>
        <v>0</v>
      </c>
    </row>
    <row r="123" spans="1:27" s="1756" customFormat="1" ht="16.5" customHeight="1" x14ac:dyDescent="0.25">
      <c r="A123" s="1953" t="s">
        <v>244</v>
      </c>
      <c r="B123" s="1954" t="s">
        <v>245</v>
      </c>
      <c r="C123" s="583" t="s">
        <v>268</v>
      </c>
      <c r="D123" s="1962">
        <f t="shared" si="18"/>
        <v>7</v>
      </c>
      <c r="E123" s="1963">
        <v>7</v>
      </c>
      <c r="F123" s="1963">
        <v>0</v>
      </c>
      <c r="G123" s="1963">
        <v>0</v>
      </c>
      <c r="H123" s="1963">
        <v>0</v>
      </c>
      <c r="I123" s="1963">
        <v>0</v>
      </c>
      <c r="J123" s="1963">
        <v>0</v>
      </c>
      <c r="K123" s="1963">
        <v>0</v>
      </c>
      <c r="L123" s="1964">
        <v>0</v>
      </c>
      <c r="M123" s="1143">
        <f t="shared" si="19"/>
        <v>0</v>
      </c>
      <c r="N123" s="1143"/>
      <c r="O123" s="1143">
        <v>0</v>
      </c>
      <c r="P123" s="1143">
        <v>3</v>
      </c>
      <c r="Q123" s="1143">
        <v>2</v>
      </c>
      <c r="R123" s="1143">
        <v>1</v>
      </c>
      <c r="S123" s="1756">
        <v>1</v>
      </c>
      <c r="T123" s="1756">
        <v>0</v>
      </c>
      <c r="U123" s="1756">
        <v>0</v>
      </c>
      <c r="W123" s="1143">
        <f t="shared" si="13"/>
        <v>3</v>
      </c>
      <c r="X123" s="1143">
        <f t="shared" si="14"/>
        <v>2</v>
      </c>
      <c r="Y123" s="1143">
        <f t="shared" si="15"/>
        <v>1</v>
      </c>
      <c r="Z123" s="1143">
        <f t="shared" si="16"/>
        <v>1</v>
      </c>
      <c r="AA123" s="1756">
        <f t="shared" si="17"/>
        <v>0</v>
      </c>
    </row>
    <row r="124" spans="1:27" s="1756" customFormat="1" ht="16.5" customHeight="1" x14ac:dyDescent="0.25">
      <c r="A124" s="1953" t="s">
        <v>246</v>
      </c>
      <c r="B124" s="1954" t="s">
        <v>310</v>
      </c>
      <c r="C124" s="583" t="s">
        <v>264</v>
      </c>
      <c r="D124" s="1962">
        <f t="shared" si="18"/>
        <v>0</v>
      </c>
      <c r="E124" s="1963">
        <v>0</v>
      </c>
      <c r="F124" s="1963">
        <v>0</v>
      </c>
      <c r="G124" s="1963">
        <v>0</v>
      </c>
      <c r="H124" s="1963">
        <v>0</v>
      </c>
      <c r="I124" s="1963">
        <v>0</v>
      </c>
      <c r="J124" s="1963">
        <v>0</v>
      </c>
      <c r="K124" s="1963">
        <v>0</v>
      </c>
      <c r="L124" s="1964">
        <v>0</v>
      </c>
      <c r="M124" s="1143">
        <f t="shared" si="19"/>
        <v>0</v>
      </c>
      <c r="N124" s="672"/>
      <c r="O124" s="1143">
        <v>0</v>
      </c>
      <c r="P124" s="1143">
        <v>0</v>
      </c>
      <c r="Q124" s="672">
        <v>0</v>
      </c>
      <c r="R124" s="1143">
        <v>0</v>
      </c>
      <c r="S124" s="1756">
        <v>0</v>
      </c>
      <c r="T124" s="1756">
        <v>0</v>
      </c>
      <c r="U124" s="1756">
        <v>0</v>
      </c>
      <c r="W124" s="1143">
        <f t="shared" si="13"/>
        <v>0</v>
      </c>
      <c r="X124" s="1143">
        <f t="shared" si="14"/>
        <v>0</v>
      </c>
      <c r="Y124" s="1143">
        <f t="shared" si="15"/>
        <v>0</v>
      </c>
      <c r="Z124" s="1143">
        <f t="shared" si="16"/>
        <v>0</v>
      </c>
      <c r="AA124" s="1756">
        <f t="shared" si="17"/>
        <v>0</v>
      </c>
    </row>
    <row r="125" spans="1:27" x14ac:dyDescent="0.25">
      <c r="D125" s="662"/>
      <c r="E125" s="662"/>
      <c r="F125" s="662"/>
      <c r="G125" s="662"/>
      <c r="H125" s="662"/>
      <c r="I125" s="662"/>
      <c r="J125" s="662"/>
      <c r="K125" s="662"/>
      <c r="L125" s="662"/>
      <c r="M125" s="662"/>
      <c r="N125" s="662"/>
      <c r="O125" s="662"/>
      <c r="P125" s="662"/>
      <c r="Q125" s="662"/>
      <c r="R125" s="662"/>
    </row>
    <row r="126" spans="1:27" ht="32.25" customHeight="1" x14ac:dyDescent="0.25">
      <c r="A126" s="2289" t="s">
        <v>1330</v>
      </c>
      <c r="B126" s="2288"/>
      <c r="C126" s="2288"/>
      <c r="D126" s="2288"/>
      <c r="E126" s="2288"/>
      <c r="F126" s="2288"/>
      <c r="G126" s="2288"/>
      <c r="H126" s="2288"/>
      <c r="I126" s="2288"/>
      <c r="J126" s="2288"/>
      <c r="K126" s="2288"/>
      <c r="L126" s="2288"/>
      <c r="M126" s="2288"/>
      <c r="N126" s="2288"/>
      <c r="O126" s="673"/>
      <c r="P126" s="673"/>
      <c r="Q126" s="673"/>
      <c r="R126" s="673"/>
      <c r="S126" s="673"/>
      <c r="T126" s="673"/>
    </row>
    <row r="127" spans="1:27" x14ac:dyDescent="0.25">
      <c r="A127" s="392" t="s">
        <v>1331</v>
      </c>
    </row>
    <row r="129" spans="1:3" s="412" customFormat="1" x14ac:dyDescent="0.25">
      <c r="A129" s="412" t="s">
        <v>248</v>
      </c>
    </row>
    <row r="130" spans="1:3" s="412" customFormat="1" x14ac:dyDescent="0.25">
      <c r="A130" s="413" t="s">
        <v>249</v>
      </c>
      <c r="B130" s="414" t="s">
        <v>250</v>
      </c>
      <c r="C130" s="414"/>
    </row>
  </sheetData>
  <sortState ref="A5:U124">
    <sortCondition ref="B5:B124"/>
  </sortState>
  <mergeCells count="1">
    <mergeCell ref="A126:N126"/>
  </mergeCells>
  <hyperlinks>
    <hyperlink ref="B130"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0"/>
  <sheetViews>
    <sheetView topLeftCell="I1" workbookViewId="0">
      <pane ySplit="4" topLeftCell="A5" activePane="bottomLeft" state="frozen"/>
      <selection pane="bottomLeft" activeCell="A3" sqref="A3:R124"/>
    </sheetView>
  </sheetViews>
  <sheetFormatPr defaultRowHeight="15.75" x14ac:dyDescent="0.25"/>
  <cols>
    <col min="1" max="1" width="11" style="392" customWidth="1"/>
    <col min="2" max="2" width="32" style="392" customWidth="1"/>
    <col min="3" max="3" width="14.25" style="392" customWidth="1"/>
    <col min="4" max="9" width="7.5" style="392" customWidth="1"/>
    <col min="10" max="11" width="10.125" style="392" customWidth="1"/>
    <col min="12" max="12" width="12.25" style="392" customWidth="1"/>
    <col min="13" max="13" width="4.875" style="392" customWidth="1"/>
    <col min="14" max="15" width="12.25" style="392" customWidth="1"/>
    <col min="16" max="16" width="11.5" style="392" customWidth="1"/>
    <col min="17" max="17" width="11.125" style="392" customWidth="1"/>
    <col min="18" max="18" width="11.5" style="392" customWidth="1"/>
    <col min="19" max="16384" width="9" style="392"/>
  </cols>
  <sheetData>
    <row r="1" spans="1:18" x14ac:dyDescent="0.25">
      <c r="A1" s="193" t="s">
        <v>1342</v>
      </c>
    </row>
    <row r="3" spans="1:18" ht="32.25" customHeight="1" x14ac:dyDescent="0.25">
      <c r="A3" s="647" t="s">
        <v>4</v>
      </c>
      <c r="B3" s="648" t="s">
        <v>5</v>
      </c>
      <c r="C3" s="649" t="s">
        <v>251</v>
      </c>
      <c r="D3" s="650" t="s">
        <v>281</v>
      </c>
      <c r="E3" s="651" t="s">
        <v>2</v>
      </c>
      <c r="F3" s="652" t="s">
        <v>445</v>
      </c>
      <c r="G3" s="1144" t="s">
        <v>542</v>
      </c>
      <c r="H3" s="1144" t="s">
        <v>772</v>
      </c>
      <c r="I3" s="1144" t="s">
        <v>724</v>
      </c>
      <c r="J3" s="1144" t="s">
        <v>862</v>
      </c>
      <c r="K3" s="1144" t="s">
        <v>773</v>
      </c>
      <c r="L3" s="1771" t="s">
        <v>1130</v>
      </c>
      <c r="M3" s="653"/>
      <c r="N3" s="1773" t="s">
        <v>1085</v>
      </c>
      <c r="O3" s="1774" t="s">
        <v>1086</v>
      </c>
      <c r="P3" s="1775" t="s">
        <v>1087</v>
      </c>
      <c r="Q3" s="1775" t="s">
        <v>1088</v>
      </c>
      <c r="R3" s="1776" t="s">
        <v>1089</v>
      </c>
    </row>
    <row r="4" spans="1:18" x14ac:dyDescent="0.25">
      <c r="A4" s="654">
        <v>999</v>
      </c>
      <c r="B4" s="655" t="s">
        <v>9</v>
      </c>
      <c r="C4" s="655"/>
      <c r="D4" s="656">
        <f t="shared" ref="D4:K4" si="0">SUM(D5:D124)</f>
        <v>7871</v>
      </c>
      <c r="E4" s="656">
        <f t="shared" si="0"/>
        <v>4198</v>
      </c>
      <c r="F4" s="656">
        <f t="shared" si="0"/>
        <v>2693</v>
      </c>
      <c r="G4" s="656">
        <f t="shared" si="0"/>
        <v>34</v>
      </c>
      <c r="H4" s="656">
        <f t="shared" si="0"/>
        <v>17</v>
      </c>
      <c r="I4" s="656">
        <f t="shared" si="0"/>
        <v>10</v>
      </c>
      <c r="J4" s="656">
        <f t="shared" si="0"/>
        <v>862</v>
      </c>
      <c r="K4" s="656">
        <f t="shared" si="0"/>
        <v>57</v>
      </c>
      <c r="L4" s="1772">
        <f t="shared" ref="L4" si="1">G4+H4+I4+J4</f>
        <v>923</v>
      </c>
      <c r="M4" s="653"/>
      <c r="N4" s="656">
        <f t="shared" ref="N4:R4" si="2">SUM(N5:N124)</f>
        <v>834</v>
      </c>
      <c r="O4" s="656">
        <f t="shared" si="2"/>
        <v>2069</v>
      </c>
      <c r="P4" s="656">
        <f t="shared" si="2"/>
        <v>2811</v>
      </c>
      <c r="Q4" s="656">
        <f t="shared" si="2"/>
        <v>1563</v>
      </c>
      <c r="R4" s="656">
        <f t="shared" si="2"/>
        <v>594</v>
      </c>
    </row>
    <row r="5" spans="1:18" ht="16.5" customHeight="1" x14ac:dyDescent="0.25">
      <c r="A5" s="657" t="s">
        <v>10</v>
      </c>
      <c r="B5" s="658" t="s">
        <v>11</v>
      </c>
      <c r="C5" s="578" t="s">
        <v>264</v>
      </c>
      <c r="D5" s="659">
        <f t="shared" ref="D5:D36" si="3">SUM(E5:K5)</f>
        <v>13</v>
      </c>
      <c r="E5" s="660">
        <v>8</v>
      </c>
      <c r="F5" s="661">
        <v>2</v>
      </c>
      <c r="G5" s="661">
        <v>0</v>
      </c>
      <c r="H5" s="661">
        <v>0</v>
      </c>
      <c r="I5" s="661">
        <v>0</v>
      </c>
      <c r="J5" s="661">
        <v>3</v>
      </c>
      <c r="K5" s="661">
        <v>0</v>
      </c>
      <c r="L5" s="662">
        <f t="shared" ref="L5:L36" si="4">G5+H5+I5+J5</f>
        <v>3</v>
      </c>
      <c r="M5" s="1753"/>
      <c r="N5" s="1143">
        <v>2</v>
      </c>
      <c r="O5" s="1143">
        <v>3</v>
      </c>
      <c r="P5" s="1143">
        <v>5</v>
      </c>
      <c r="Q5" s="1756">
        <v>3</v>
      </c>
      <c r="R5" s="1756">
        <v>0</v>
      </c>
    </row>
    <row r="6" spans="1:18" ht="16.5" customHeight="1" x14ac:dyDescent="0.25">
      <c r="A6" s="657" t="s">
        <v>12</v>
      </c>
      <c r="B6" s="658" t="s">
        <v>13</v>
      </c>
      <c r="C6" s="578" t="s">
        <v>265</v>
      </c>
      <c r="D6" s="659">
        <f t="shared" si="3"/>
        <v>91</v>
      </c>
      <c r="E6" s="660">
        <v>53</v>
      </c>
      <c r="F6" s="661">
        <v>24</v>
      </c>
      <c r="G6" s="661">
        <v>1</v>
      </c>
      <c r="H6" s="661">
        <v>0</v>
      </c>
      <c r="I6" s="661">
        <v>0</v>
      </c>
      <c r="J6" s="661">
        <v>11</v>
      </c>
      <c r="K6" s="661">
        <v>2</v>
      </c>
      <c r="L6" s="662">
        <f t="shared" si="4"/>
        <v>12</v>
      </c>
      <c r="M6" s="1754"/>
      <c r="N6" s="1143">
        <v>10</v>
      </c>
      <c r="O6" s="1143">
        <v>25</v>
      </c>
      <c r="P6" s="1143">
        <v>34</v>
      </c>
      <c r="Q6" s="1756">
        <v>14</v>
      </c>
      <c r="R6" s="1756">
        <v>8</v>
      </c>
    </row>
    <row r="7" spans="1:18" ht="16.5" customHeight="1" x14ac:dyDescent="0.25">
      <c r="A7" s="657" t="s">
        <v>14</v>
      </c>
      <c r="B7" s="658" t="s">
        <v>15</v>
      </c>
      <c r="C7" s="583" t="s">
        <v>267</v>
      </c>
      <c r="D7" s="659">
        <f t="shared" si="3"/>
        <v>208</v>
      </c>
      <c r="E7" s="660">
        <v>46</v>
      </c>
      <c r="F7" s="661">
        <v>148</v>
      </c>
      <c r="G7" s="661">
        <v>0</v>
      </c>
      <c r="H7" s="661">
        <v>0</v>
      </c>
      <c r="I7" s="661">
        <v>0</v>
      </c>
      <c r="J7" s="661">
        <v>14</v>
      </c>
      <c r="K7" s="661">
        <v>0</v>
      </c>
      <c r="L7" s="662">
        <f t="shared" si="4"/>
        <v>14</v>
      </c>
      <c r="M7" s="1755"/>
      <c r="N7" s="1143">
        <v>20</v>
      </c>
      <c r="O7" s="1143">
        <v>48</v>
      </c>
      <c r="P7" s="1143">
        <v>68</v>
      </c>
      <c r="Q7" s="1756">
        <v>43</v>
      </c>
      <c r="R7" s="1756">
        <v>29</v>
      </c>
    </row>
    <row r="8" spans="1:18" ht="16.5" customHeight="1" x14ac:dyDescent="0.25">
      <c r="A8" s="657" t="s">
        <v>16</v>
      </c>
      <c r="B8" s="658" t="s">
        <v>297</v>
      </c>
      <c r="C8" s="578" t="s">
        <v>265</v>
      </c>
      <c r="D8" s="659">
        <f t="shared" si="3"/>
        <v>10</v>
      </c>
      <c r="E8" s="660">
        <v>8</v>
      </c>
      <c r="F8" s="661">
        <v>1</v>
      </c>
      <c r="G8" s="661">
        <v>0</v>
      </c>
      <c r="H8" s="661">
        <v>0</v>
      </c>
      <c r="I8" s="661">
        <v>0</v>
      </c>
      <c r="J8" s="661">
        <v>1</v>
      </c>
      <c r="K8" s="661">
        <v>0</v>
      </c>
      <c r="L8" s="662">
        <f t="shared" si="4"/>
        <v>1</v>
      </c>
      <c r="M8" s="672"/>
      <c r="N8" s="1143">
        <v>1</v>
      </c>
      <c r="O8" s="672">
        <v>2</v>
      </c>
      <c r="P8" s="1143">
        <v>4</v>
      </c>
      <c r="Q8" s="1756">
        <v>2</v>
      </c>
      <c r="R8" s="1756">
        <v>1</v>
      </c>
    </row>
    <row r="9" spans="1:18" ht="16.5" customHeight="1" x14ac:dyDescent="0.25">
      <c r="A9" s="657" t="s">
        <v>18</v>
      </c>
      <c r="B9" s="658" t="s">
        <v>19</v>
      </c>
      <c r="C9" s="578" t="s">
        <v>266</v>
      </c>
      <c r="D9" s="659">
        <f t="shared" si="3"/>
        <v>8</v>
      </c>
      <c r="E9" s="660">
        <v>5</v>
      </c>
      <c r="F9" s="661">
        <v>2</v>
      </c>
      <c r="G9" s="661">
        <v>0</v>
      </c>
      <c r="H9" s="661">
        <v>0</v>
      </c>
      <c r="I9" s="661">
        <v>0</v>
      </c>
      <c r="J9" s="661">
        <v>1</v>
      </c>
      <c r="K9" s="661">
        <v>0</v>
      </c>
      <c r="L9" s="662">
        <f t="shared" si="4"/>
        <v>1</v>
      </c>
      <c r="M9" s="1754"/>
      <c r="N9" s="1143">
        <v>1</v>
      </c>
      <c r="O9" s="1143">
        <v>0</v>
      </c>
      <c r="P9" s="1143">
        <v>7</v>
      </c>
      <c r="Q9" s="1756">
        <v>0</v>
      </c>
      <c r="R9" s="1756">
        <v>0</v>
      </c>
    </row>
    <row r="10" spans="1:18" ht="16.5" customHeight="1" x14ac:dyDescent="0.25">
      <c r="A10" s="657" t="s">
        <v>20</v>
      </c>
      <c r="B10" s="658" t="s">
        <v>21</v>
      </c>
      <c r="C10" s="578" t="s">
        <v>265</v>
      </c>
      <c r="D10" s="659">
        <f t="shared" si="3"/>
        <v>9</v>
      </c>
      <c r="E10" s="660">
        <v>8</v>
      </c>
      <c r="F10" s="661">
        <v>0</v>
      </c>
      <c r="G10" s="1142">
        <v>0</v>
      </c>
      <c r="H10" s="1142">
        <v>0</v>
      </c>
      <c r="I10" s="1142">
        <v>0</v>
      </c>
      <c r="J10" s="1142">
        <v>1</v>
      </c>
      <c r="K10" s="1142">
        <v>0</v>
      </c>
      <c r="L10" s="662">
        <f t="shared" si="4"/>
        <v>1</v>
      </c>
      <c r="M10" s="1143"/>
      <c r="N10" s="1143">
        <v>1</v>
      </c>
      <c r="O10" s="1143">
        <v>3</v>
      </c>
      <c r="P10" s="1143">
        <v>1</v>
      </c>
      <c r="Q10" s="1756">
        <v>4</v>
      </c>
      <c r="R10" s="1756">
        <v>0</v>
      </c>
    </row>
    <row r="11" spans="1:18" ht="16.5" customHeight="1" x14ac:dyDescent="0.25">
      <c r="A11" s="657" t="s">
        <v>22</v>
      </c>
      <c r="B11" s="658" t="s">
        <v>23</v>
      </c>
      <c r="C11" s="578" t="s">
        <v>265</v>
      </c>
      <c r="D11" s="659">
        <f t="shared" si="3"/>
        <v>7</v>
      </c>
      <c r="E11" s="660">
        <v>5</v>
      </c>
      <c r="F11" s="661">
        <v>0</v>
      </c>
      <c r="G11" s="661">
        <v>0</v>
      </c>
      <c r="H11" s="661">
        <v>0</v>
      </c>
      <c r="I11" s="661">
        <v>0</v>
      </c>
      <c r="J11" s="661">
        <v>2</v>
      </c>
      <c r="K11" s="661">
        <v>0</v>
      </c>
      <c r="L11" s="662">
        <f t="shared" si="4"/>
        <v>2</v>
      </c>
      <c r="M11" s="1754"/>
      <c r="N11" s="1143">
        <v>1</v>
      </c>
      <c r="O11" s="1143">
        <v>3</v>
      </c>
      <c r="P11" s="1143">
        <v>1</v>
      </c>
      <c r="Q11" s="1756">
        <v>2</v>
      </c>
      <c r="R11" s="1756">
        <v>0</v>
      </c>
    </row>
    <row r="12" spans="1:18" ht="16.5" customHeight="1" x14ac:dyDescent="0.25">
      <c r="A12" s="657" t="s">
        <v>24</v>
      </c>
      <c r="B12" s="658" t="s">
        <v>25</v>
      </c>
      <c r="C12" s="578" t="s">
        <v>267</v>
      </c>
      <c r="D12" s="659">
        <f t="shared" si="3"/>
        <v>113</v>
      </c>
      <c r="E12" s="660">
        <v>33</v>
      </c>
      <c r="F12" s="661">
        <v>65</v>
      </c>
      <c r="G12" s="661">
        <v>2</v>
      </c>
      <c r="H12" s="661">
        <v>0</v>
      </c>
      <c r="I12" s="661">
        <v>0</v>
      </c>
      <c r="J12" s="661">
        <v>11</v>
      </c>
      <c r="K12" s="661">
        <v>2</v>
      </c>
      <c r="L12" s="662">
        <f t="shared" si="4"/>
        <v>13</v>
      </c>
      <c r="M12" s="1755"/>
      <c r="N12" s="1143">
        <v>18</v>
      </c>
      <c r="O12" s="1143">
        <v>21</v>
      </c>
      <c r="P12" s="1143">
        <v>48</v>
      </c>
      <c r="Q12" s="1756">
        <v>23</v>
      </c>
      <c r="R12" s="1756">
        <v>3</v>
      </c>
    </row>
    <row r="13" spans="1:18" ht="16.5" customHeight="1" x14ac:dyDescent="0.25">
      <c r="A13" s="657" t="s">
        <v>26</v>
      </c>
      <c r="B13" s="658" t="s">
        <v>686</v>
      </c>
      <c r="C13" s="578" t="s">
        <v>265</v>
      </c>
      <c r="D13" s="659">
        <f t="shared" si="3"/>
        <v>254</v>
      </c>
      <c r="E13" s="668">
        <v>190</v>
      </c>
      <c r="F13" s="1142">
        <v>17</v>
      </c>
      <c r="G13" s="1142">
        <v>0</v>
      </c>
      <c r="H13" s="1142">
        <v>0</v>
      </c>
      <c r="I13" s="1142">
        <v>1</v>
      </c>
      <c r="J13" s="1142">
        <v>46</v>
      </c>
      <c r="K13" s="1142">
        <v>0</v>
      </c>
      <c r="L13" s="662">
        <f t="shared" si="4"/>
        <v>47</v>
      </c>
      <c r="M13" s="1754"/>
      <c r="N13" s="1143">
        <v>29</v>
      </c>
      <c r="O13" s="672">
        <v>52</v>
      </c>
      <c r="P13" s="1143">
        <v>89</v>
      </c>
      <c r="Q13" s="1756">
        <v>62</v>
      </c>
      <c r="R13" s="1756">
        <v>22</v>
      </c>
    </row>
    <row r="14" spans="1:18" ht="16.5" customHeight="1" x14ac:dyDescent="0.25">
      <c r="A14" s="657" t="s">
        <v>27</v>
      </c>
      <c r="B14" s="658" t="s">
        <v>28</v>
      </c>
      <c r="C14" s="583" t="s">
        <v>265</v>
      </c>
      <c r="D14" s="659">
        <f t="shared" si="3"/>
        <v>3</v>
      </c>
      <c r="E14" s="660">
        <v>3</v>
      </c>
      <c r="F14" s="1985">
        <v>0</v>
      </c>
      <c r="G14" s="1985">
        <v>0</v>
      </c>
      <c r="H14" s="1985">
        <v>0</v>
      </c>
      <c r="I14" s="1985">
        <v>0</v>
      </c>
      <c r="J14" s="1986">
        <v>0</v>
      </c>
      <c r="K14" s="1985">
        <v>0</v>
      </c>
      <c r="L14" s="662">
        <f t="shared" si="4"/>
        <v>0</v>
      </c>
      <c r="M14" s="1754"/>
      <c r="N14" s="1143">
        <v>1</v>
      </c>
      <c r="O14" s="1143">
        <v>2</v>
      </c>
      <c r="P14" s="1143">
        <v>0</v>
      </c>
      <c r="Q14" s="1756">
        <v>0</v>
      </c>
      <c r="R14" s="1756">
        <v>0</v>
      </c>
    </row>
    <row r="15" spans="1:18" ht="16.5" customHeight="1" x14ac:dyDescent="0.25">
      <c r="A15" s="657" t="s">
        <v>29</v>
      </c>
      <c r="B15" s="658" t="s">
        <v>924</v>
      </c>
      <c r="C15" s="583" t="s">
        <v>265</v>
      </c>
      <c r="D15" s="659">
        <f t="shared" si="3"/>
        <v>62</v>
      </c>
      <c r="E15" s="660">
        <v>49</v>
      </c>
      <c r="F15" s="661">
        <v>4</v>
      </c>
      <c r="G15" s="1142">
        <v>0</v>
      </c>
      <c r="H15" s="1142">
        <v>0</v>
      </c>
      <c r="I15" s="1142">
        <v>1</v>
      </c>
      <c r="J15" s="1142">
        <v>8</v>
      </c>
      <c r="K15" s="1142">
        <v>0</v>
      </c>
      <c r="L15" s="662">
        <f t="shared" si="4"/>
        <v>9</v>
      </c>
      <c r="M15" s="1754"/>
      <c r="N15" s="1143">
        <v>3</v>
      </c>
      <c r="O15" s="1143">
        <v>17</v>
      </c>
      <c r="P15" s="1143">
        <v>17</v>
      </c>
      <c r="Q15" s="1756">
        <v>17</v>
      </c>
      <c r="R15" s="1756">
        <v>8</v>
      </c>
    </row>
    <row r="16" spans="1:18" ht="16.5" customHeight="1" x14ac:dyDescent="0.25">
      <c r="A16" s="657" t="s">
        <v>30</v>
      </c>
      <c r="B16" s="658" t="s">
        <v>31</v>
      </c>
      <c r="C16" s="583" t="s">
        <v>268</v>
      </c>
      <c r="D16" s="659">
        <f t="shared" si="3"/>
        <v>15</v>
      </c>
      <c r="E16" s="660">
        <v>14</v>
      </c>
      <c r="F16" s="661">
        <v>0</v>
      </c>
      <c r="G16" s="661">
        <v>0</v>
      </c>
      <c r="H16" s="661">
        <v>0</v>
      </c>
      <c r="I16" s="661">
        <v>0</v>
      </c>
      <c r="J16" s="661">
        <v>1</v>
      </c>
      <c r="K16" s="661">
        <v>0</v>
      </c>
      <c r="L16" s="662">
        <f t="shared" si="4"/>
        <v>1</v>
      </c>
      <c r="M16" s="672"/>
      <c r="N16" s="1143">
        <v>2</v>
      </c>
      <c r="O16" s="1143">
        <v>5</v>
      </c>
      <c r="P16" s="1143">
        <v>7</v>
      </c>
      <c r="Q16" s="1756">
        <v>0</v>
      </c>
      <c r="R16" s="1756">
        <v>1</v>
      </c>
    </row>
    <row r="17" spans="1:18" ht="16.5" customHeight="1" x14ac:dyDescent="0.25">
      <c r="A17" s="657" t="s">
        <v>32</v>
      </c>
      <c r="B17" s="658" t="s">
        <v>33</v>
      </c>
      <c r="C17" s="583" t="s">
        <v>265</v>
      </c>
      <c r="D17" s="659">
        <f t="shared" si="3"/>
        <v>9</v>
      </c>
      <c r="E17" s="660">
        <v>8</v>
      </c>
      <c r="F17" s="661">
        <v>0</v>
      </c>
      <c r="G17" s="1142">
        <v>0</v>
      </c>
      <c r="H17" s="1142">
        <v>0</v>
      </c>
      <c r="I17" s="1142">
        <v>0</v>
      </c>
      <c r="J17" s="1142">
        <v>1</v>
      </c>
      <c r="K17" s="1142">
        <v>0</v>
      </c>
      <c r="L17" s="662">
        <f t="shared" si="4"/>
        <v>1</v>
      </c>
      <c r="M17" s="665"/>
      <c r="N17" s="1143">
        <v>0</v>
      </c>
      <c r="O17" s="1143">
        <v>2</v>
      </c>
      <c r="P17" s="1143">
        <v>5</v>
      </c>
      <c r="Q17" s="1756">
        <v>2</v>
      </c>
      <c r="R17" s="1756">
        <v>0</v>
      </c>
    </row>
    <row r="18" spans="1:18" ht="16.5" customHeight="1" x14ac:dyDescent="0.25">
      <c r="A18" s="657" t="s">
        <v>34</v>
      </c>
      <c r="B18" s="658" t="s">
        <v>35</v>
      </c>
      <c r="C18" s="583" t="s">
        <v>268</v>
      </c>
      <c r="D18" s="659">
        <f t="shared" si="3"/>
        <v>51</v>
      </c>
      <c r="E18" s="660">
        <v>43</v>
      </c>
      <c r="F18" s="661">
        <v>1</v>
      </c>
      <c r="G18" s="661">
        <v>0</v>
      </c>
      <c r="H18" s="661">
        <v>0</v>
      </c>
      <c r="I18" s="661">
        <v>0</v>
      </c>
      <c r="J18" s="661">
        <v>7</v>
      </c>
      <c r="K18" s="661">
        <v>0</v>
      </c>
      <c r="L18" s="662">
        <f t="shared" si="4"/>
        <v>7</v>
      </c>
      <c r="M18" s="1754"/>
      <c r="N18" s="1143">
        <v>4</v>
      </c>
      <c r="O18" s="672">
        <v>23</v>
      </c>
      <c r="P18" s="1143">
        <v>18</v>
      </c>
      <c r="Q18" s="1756">
        <v>5</v>
      </c>
      <c r="R18" s="1756">
        <v>1</v>
      </c>
    </row>
    <row r="19" spans="1:18" ht="16.5" customHeight="1" x14ac:dyDescent="0.25">
      <c r="A19" s="657" t="s">
        <v>36</v>
      </c>
      <c r="B19" s="658" t="s">
        <v>37</v>
      </c>
      <c r="C19" s="583" t="s">
        <v>264</v>
      </c>
      <c r="D19" s="659">
        <f t="shared" si="3"/>
        <v>5</v>
      </c>
      <c r="E19" s="660">
        <v>2</v>
      </c>
      <c r="F19" s="661">
        <v>1</v>
      </c>
      <c r="G19" s="661">
        <v>0</v>
      </c>
      <c r="H19" s="661">
        <v>0</v>
      </c>
      <c r="I19" s="661">
        <v>0</v>
      </c>
      <c r="J19" s="661">
        <v>2</v>
      </c>
      <c r="K19" s="661">
        <v>0</v>
      </c>
      <c r="L19" s="662">
        <f t="shared" si="4"/>
        <v>2</v>
      </c>
      <c r="M19" s="662"/>
      <c r="N19" s="1143">
        <v>0</v>
      </c>
      <c r="O19" s="1143">
        <v>3</v>
      </c>
      <c r="P19" s="1143">
        <v>2</v>
      </c>
      <c r="Q19" s="1756">
        <v>0</v>
      </c>
      <c r="R19" s="1756">
        <v>0</v>
      </c>
    </row>
    <row r="20" spans="1:18" ht="16.5" customHeight="1" x14ac:dyDescent="0.25">
      <c r="A20" s="657" t="s">
        <v>38</v>
      </c>
      <c r="B20" s="658" t="s">
        <v>39</v>
      </c>
      <c r="C20" s="583" t="s">
        <v>268</v>
      </c>
      <c r="D20" s="659">
        <f t="shared" si="3"/>
        <v>89</v>
      </c>
      <c r="E20" s="660">
        <v>83</v>
      </c>
      <c r="F20" s="661">
        <v>1</v>
      </c>
      <c r="G20" s="661">
        <v>0</v>
      </c>
      <c r="H20" s="661">
        <v>0</v>
      </c>
      <c r="I20" s="661">
        <v>0</v>
      </c>
      <c r="J20" s="661">
        <v>5</v>
      </c>
      <c r="K20" s="661">
        <v>0</v>
      </c>
      <c r="L20" s="662">
        <f t="shared" si="4"/>
        <v>5</v>
      </c>
      <c r="M20" s="1754"/>
      <c r="N20" s="1143">
        <v>16</v>
      </c>
      <c r="O20" s="1143">
        <v>26</v>
      </c>
      <c r="P20" s="1143">
        <v>24</v>
      </c>
      <c r="Q20" s="1756">
        <v>16</v>
      </c>
      <c r="R20" s="1756">
        <v>7</v>
      </c>
    </row>
    <row r="21" spans="1:18" ht="16.5" customHeight="1" x14ac:dyDescent="0.25">
      <c r="A21" s="657" t="s">
        <v>40</v>
      </c>
      <c r="B21" s="658" t="s">
        <v>41</v>
      </c>
      <c r="C21" s="583" t="s">
        <v>266</v>
      </c>
      <c r="D21" s="659">
        <f t="shared" si="3"/>
        <v>13</v>
      </c>
      <c r="E21" s="660">
        <v>7</v>
      </c>
      <c r="F21" s="661">
        <v>5</v>
      </c>
      <c r="G21" s="661">
        <v>0</v>
      </c>
      <c r="H21" s="661">
        <v>0</v>
      </c>
      <c r="I21" s="661">
        <v>0</v>
      </c>
      <c r="J21" s="661">
        <v>1</v>
      </c>
      <c r="K21" s="661">
        <v>0</v>
      </c>
      <c r="L21" s="662">
        <f t="shared" si="4"/>
        <v>1</v>
      </c>
      <c r="M21" s="1755"/>
      <c r="N21" s="1143">
        <v>0</v>
      </c>
      <c r="O21" s="1143">
        <v>6</v>
      </c>
      <c r="P21" s="1143">
        <v>5</v>
      </c>
      <c r="Q21" s="1756">
        <v>2</v>
      </c>
      <c r="R21" s="1756">
        <v>0</v>
      </c>
    </row>
    <row r="22" spans="1:18" ht="16.5" customHeight="1" x14ac:dyDescent="0.25">
      <c r="A22" s="657" t="s">
        <v>42</v>
      </c>
      <c r="B22" s="658" t="s">
        <v>43</v>
      </c>
      <c r="C22" s="583" t="s">
        <v>265</v>
      </c>
      <c r="D22" s="659">
        <f t="shared" si="3"/>
        <v>116</v>
      </c>
      <c r="E22" s="660">
        <v>91</v>
      </c>
      <c r="F22" s="661">
        <v>8</v>
      </c>
      <c r="G22" s="1142">
        <v>0</v>
      </c>
      <c r="H22" s="1142">
        <v>0</v>
      </c>
      <c r="I22" s="1142">
        <v>2</v>
      </c>
      <c r="J22" s="1142">
        <v>15</v>
      </c>
      <c r="K22" s="1142">
        <v>0</v>
      </c>
      <c r="L22" s="662">
        <f t="shared" si="4"/>
        <v>17</v>
      </c>
      <c r="M22" s="1754"/>
      <c r="N22" s="1143">
        <v>19</v>
      </c>
      <c r="O22" s="1143">
        <v>30</v>
      </c>
      <c r="P22" s="1143">
        <v>37</v>
      </c>
      <c r="Q22" s="1756">
        <v>25</v>
      </c>
      <c r="R22" s="1756">
        <v>5</v>
      </c>
    </row>
    <row r="23" spans="1:18" ht="16.5" customHeight="1" x14ac:dyDescent="0.25">
      <c r="A23" s="657" t="s">
        <v>44</v>
      </c>
      <c r="B23" s="658" t="s">
        <v>45</v>
      </c>
      <c r="C23" s="583" t="s">
        <v>266</v>
      </c>
      <c r="D23" s="659">
        <f t="shared" si="3"/>
        <v>7</v>
      </c>
      <c r="E23" s="668">
        <v>4</v>
      </c>
      <c r="F23" s="1142">
        <v>0</v>
      </c>
      <c r="G23" s="1142">
        <v>0</v>
      </c>
      <c r="H23" s="1142">
        <v>0</v>
      </c>
      <c r="I23" s="1142">
        <v>0</v>
      </c>
      <c r="J23" s="1142">
        <v>3</v>
      </c>
      <c r="K23" s="1142">
        <v>0</v>
      </c>
      <c r="L23" s="662">
        <f t="shared" si="4"/>
        <v>3</v>
      </c>
      <c r="M23" s="1143"/>
      <c r="N23" s="1143">
        <v>3</v>
      </c>
      <c r="O23" s="1143">
        <v>2</v>
      </c>
      <c r="P23" s="1143">
        <v>2</v>
      </c>
      <c r="Q23" s="1756">
        <v>0</v>
      </c>
      <c r="R23" s="1756">
        <v>0</v>
      </c>
    </row>
    <row r="24" spans="1:18" ht="16.5" customHeight="1" x14ac:dyDescent="0.25">
      <c r="A24" s="657" t="s">
        <v>46</v>
      </c>
      <c r="B24" s="658" t="s">
        <v>47</v>
      </c>
      <c r="C24" s="583" t="s">
        <v>268</v>
      </c>
      <c r="D24" s="659">
        <f t="shared" si="3"/>
        <v>26</v>
      </c>
      <c r="E24" s="660">
        <v>23</v>
      </c>
      <c r="F24" s="661">
        <v>0</v>
      </c>
      <c r="G24" s="661">
        <v>0</v>
      </c>
      <c r="H24" s="661">
        <v>0</v>
      </c>
      <c r="I24" s="661">
        <v>0</v>
      </c>
      <c r="J24" s="661">
        <v>3</v>
      </c>
      <c r="K24" s="661">
        <v>0</v>
      </c>
      <c r="L24" s="662">
        <f t="shared" si="4"/>
        <v>3</v>
      </c>
      <c r="M24" s="1754"/>
      <c r="N24" s="1143">
        <v>4</v>
      </c>
      <c r="O24" s="1143">
        <v>8</v>
      </c>
      <c r="P24" s="1143">
        <v>7</v>
      </c>
      <c r="Q24" s="1756">
        <v>5</v>
      </c>
      <c r="R24" s="1756">
        <v>2</v>
      </c>
    </row>
    <row r="25" spans="1:18" ht="16.5" customHeight="1" x14ac:dyDescent="0.25">
      <c r="A25" s="657" t="s">
        <v>48</v>
      </c>
      <c r="B25" s="658" t="s">
        <v>269</v>
      </c>
      <c r="C25" s="583" t="s">
        <v>266</v>
      </c>
      <c r="D25" s="659">
        <f t="shared" si="3"/>
        <v>2</v>
      </c>
      <c r="E25" s="660">
        <v>0</v>
      </c>
      <c r="F25" s="1985">
        <v>1</v>
      </c>
      <c r="G25" s="1985">
        <v>0</v>
      </c>
      <c r="H25" s="1985">
        <v>0</v>
      </c>
      <c r="I25" s="1985">
        <v>0</v>
      </c>
      <c r="J25" s="1986">
        <v>1</v>
      </c>
      <c r="K25" s="1985">
        <v>0</v>
      </c>
      <c r="L25" s="662">
        <f t="shared" si="4"/>
        <v>1</v>
      </c>
      <c r="M25" s="1754"/>
      <c r="N25" s="1143">
        <v>0</v>
      </c>
      <c r="O25" s="1143">
        <v>1</v>
      </c>
      <c r="P25" s="1143">
        <v>1</v>
      </c>
      <c r="Q25" s="1756">
        <v>0</v>
      </c>
      <c r="R25" s="1756">
        <v>0</v>
      </c>
    </row>
    <row r="26" spans="1:18" ht="16.5" customHeight="1" x14ac:dyDescent="0.25">
      <c r="A26" s="657" t="s">
        <v>50</v>
      </c>
      <c r="B26" s="658" t="s">
        <v>51</v>
      </c>
      <c r="C26" s="583" t="s">
        <v>265</v>
      </c>
      <c r="D26" s="659">
        <f t="shared" si="3"/>
        <v>15</v>
      </c>
      <c r="E26" s="668">
        <v>6</v>
      </c>
      <c r="F26" s="1142">
        <v>4</v>
      </c>
      <c r="G26" s="1142">
        <v>0</v>
      </c>
      <c r="H26" s="1142">
        <v>0</v>
      </c>
      <c r="I26" s="1142">
        <v>0</v>
      </c>
      <c r="J26" s="1142">
        <v>5</v>
      </c>
      <c r="K26" s="1142">
        <v>0</v>
      </c>
      <c r="L26" s="662">
        <f t="shared" si="4"/>
        <v>5</v>
      </c>
      <c r="M26" s="672"/>
      <c r="N26" s="1143">
        <v>0</v>
      </c>
      <c r="O26" s="1143">
        <v>6</v>
      </c>
      <c r="P26" s="1143">
        <v>5</v>
      </c>
      <c r="Q26" s="1756">
        <v>3</v>
      </c>
      <c r="R26" s="1756">
        <v>1</v>
      </c>
    </row>
    <row r="27" spans="1:18" ht="16.5" customHeight="1" x14ac:dyDescent="0.25">
      <c r="A27" s="657" t="s">
        <v>52</v>
      </c>
      <c r="B27" s="658" t="s">
        <v>53</v>
      </c>
      <c r="C27" s="583" t="s">
        <v>265</v>
      </c>
      <c r="D27" s="659">
        <f t="shared" si="3"/>
        <v>102</v>
      </c>
      <c r="E27" s="668">
        <v>38</v>
      </c>
      <c r="F27" s="1142">
        <v>48</v>
      </c>
      <c r="G27" s="1142">
        <v>2</v>
      </c>
      <c r="H27" s="1142">
        <v>0</v>
      </c>
      <c r="I27" s="1142">
        <v>0</v>
      </c>
      <c r="J27" s="1142">
        <v>14</v>
      </c>
      <c r="K27" s="1142">
        <v>0</v>
      </c>
      <c r="L27" s="662">
        <f t="shared" si="4"/>
        <v>16</v>
      </c>
      <c r="M27" s="672"/>
      <c r="N27" s="1143">
        <v>10</v>
      </c>
      <c r="O27" s="1143">
        <v>29</v>
      </c>
      <c r="P27" s="1143">
        <v>28</v>
      </c>
      <c r="Q27" s="1756">
        <v>26</v>
      </c>
      <c r="R27" s="1756">
        <v>9</v>
      </c>
    </row>
    <row r="28" spans="1:18" ht="16.5" customHeight="1" x14ac:dyDescent="0.25">
      <c r="A28" s="657" t="s">
        <v>54</v>
      </c>
      <c r="B28" s="658" t="s">
        <v>55</v>
      </c>
      <c r="C28" s="583" t="s">
        <v>264</v>
      </c>
      <c r="D28" s="659">
        <f t="shared" si="3"/>
        <v>136</v>
      </c>
      <c r="E28" s="660">
        <v>53</v>
      </c>
      <c r="F28" s="661">
        <v>68</v>
      </c>
      <c r="G28" s="661">
        <v>0</v>
      </c>
      <c r="H28" s="661">
        <v>0</v>
      </c>
      <c r="I28" s="661">
        <v>0</v>
      </c>
      <c r="J28" s="661">
        <v>15</v>
      </c>
      <c r="K28" s="661">
        <v>0</v>
      </c>
      <c r="L28" s="662">
        <f t="shared" si="4"/>
        <v>15</v>
      </c>
      <c r="M28" s="1754"/>
      <c r="N28" s="1143">
        <v>5</v>
      </c>
      <c r="O28" s="1143">
        <v>37</v>
      </c>
      <c r="P28" s="1143">
        <v>58</v>
      </c>
      <c r="Q28" s="1756">
        <v>26</v>
      </c>
      <c r="R28" s="1756">
        <v>10</v>
      </c>
    </row>
    <row r="29" spans="1:18" ht="16.5" customHeight="1" x14ac:dyDescent="0.25">
      <c r="A29" s="657" t="s">
        <v>56</v>
      </c>
      <c r="B29" s="658" t="s">
        <v>295</v>
      </c>
      <c r="C29" s="583" t="s">
        <v>266</v>
      </c>
      <c r="D29" s="659">
        <f t="shared" si="3"/>
        <v>201</v>
      </c>
      <c r="E29" s="660">
        <v>122</v>
      </c>
      <c r="F29" s="661">
        <v>44</v>
      </c>
      <c r="G29" s="661">
        <v>1</v>
      </c>
      <c r="H29" s="661">
        <v>0</v>
      </c>
      <c r="I29" s="661">
        <v>0</v>
      </c>
      <c r="J29" s="661">
        <v>24</v>
      </c>
      <c r="K29" s="661">
        <v>10</v>
      </c>
      <c r="L29" s="662">
        <f t="shared" si="4"/>
        <v>25</v>
      </c>
      <c r="M29" s="1143"/>
      <c r="N29" s="1143">
        <v>7</v>
      </c>
      <c r="O29" s="1143">
        <v>48</v>
      </c>
      <c r="P29" s="1143">
        <v>85</v>
      </c>
      <c r="Q29" s="1756">
        <v>48</v>
      </c>
      <c r="R29" s="1756">
        <v>13</v>
      </c>
    </row>
    <row r="30" spans="1:18" ht="16.5" customHeight="1" x14ac:dyDescent="0.25">
      <c r="A30" s="657" t="s">
        <v>58</v>
      </c>
      <c r="B30" s="658" t="s">
        <v>59</v>
      </c>
      <c r="C30" s="583" t="s">
        <v>267</v>
      </c>
      <c r="D30" s="659">
        <f t="shared" si="3"/>
        <v>6</v>
      </c>
      <c r="E30" s="1984">
        <v>2</v>
      </c>
      <c r="F30" s="1985">
        <v>2</v>
      </c>
      <c r="G30" s="1985">
        <v>0</v>
      </c>
      <c r="H30" s="1985">
        <v>0</v>
      </c>
      <c r="I30" s="1985">
        <v>0</v>
      </c>
      <c r="J30" s="1986">
        <v>2</v>
      </c>
      <c r="K30" s="1985">
        <v>0</v>
      </c>
      <c r="L30" s="662">
        <f t="shared" si="4"/>
        <v>2</v>
      </c>
      <c r="M30" s="665"/>
      <c r="N30" s="1143">
        <v>0</v>
      </c>
      <c r="O30" s="1143">
        <v>3</v>
      </c>
      <c r="P30" s="1143">
        <v>1</v>
      </c>
      <c r="Q30" s="1756">
        <v>1</v>
      </c>
      <c r="R30" s="1756">
        <v>1</v>
      </c>
    </row>
    <row r="31" spans="1:18" ht="16.5" customHeight="1" x14ac:dyDescent="0.25">
      <c r="A31" s="657" t="s">
        <v>60</v>
      </c>
      <c r="B31" s="658" t="s">
        <v>61</v>
      </c>
      <c r="C31" s="583" t="s">
        <v>265</v>
      </c>
      <c r="D31" s="659">
        <f t="shared" si="3"/>
        <v>9</v>
      </c>
      <c r="E31" s="1984">
        <v>9</v>
      </c>
      <c r="F31" s="1985">
        <v>0</v>
      </c>
      <c r="G31" s="1985">
        <v>0</v>
      </c>
      <c r="H31" s="1985">
        <v>0</v>
      </c>
      <c r="I31" s="1985">
        <v>0</v>
      </c>
      <c r="J31" s="1986">
        <v>0</v>
      </c>
      <c r="K31" s="1985">
        <v>0</v>
      </c>
      <c r="L31" s="662">
        <f t="shared" si="4"/>
        <v>0</v>
      </c>
      <c r="M31" s="1754"/>
      <c r="N31" s="1143">
        <v>1</v>
      </c>
      <c r="O31" s="1143">
        <v>1</v>
      </c>
      <c r="P31" s="1143">
        <v>5</v>
      </c>
      <c r="Q31" s="1756">
        <v>1</v>
      </c>
      <c r="R31" s="1756">
        <v>1</v>
      </c>
    </row>
    <row r="32" spans="1:18" ht="16.5" customHeight="1" x14ac:dyDescent="0.25">
      <c r="A32" s="657" t="s">
        <v>62</v>
      </c>
      <c r="B32" s="658" t="s">
        <v>63</v>
      </c>
      <c r="C32" s="583" t="s">
        <v>267</v>
      </c>
      <c r="D32" s="659">
        <f t="shared" si="3"/>
        <v>68</v>
      </c>
      <c r="E32" s="668">
        <v>37</v>
      </c>
      <c r="F32" s="1142">
        <v>8</v>
      </c>
      <c r="G32" s="1142">
        <v>0</v>
      </c>
      <c r="H32" s="1142">
        <v>0</v>
      </c>
      <c r="I32" s="1142">
        <v>0</v>
      </c>
      <c r="J32" s="1142">
        <v>23</v>
      </c>
      <c r="K32" s="1142">
        <v>0</v>
      </c>
      <c r="L32" s="662">
        <f t="shared" si="4"/>
        <v>23</v>
      </c>
      <c r="M32" s="672"/>
      <c r="N32" s="1143">
        <v>7</v>
      </c>
      <c r="O32" s="1143">
        <v>22</v>
      </c>
      <c r="P32" s="1143">
        <v>20</v>
      </c>
      <c r="Q32" s="1756">
        <v>16</v>
      </c>
      <c r="R32" s="1756">
        <v>3</v>
      </c>
    </row>
    <row r="33" spans="1:18" ht="16.5" customHeight="1" x14ac:dyDescent="0.25">
      <c r="A33" s="657" t="s">
        <v>64</v>
      </c>
      <c r="B33" s="658" t="s">
        <v>65</v>
      </c>
      <c r="C33" s="583" t="s">
        <v>266</v>
      </c>
      <c r="D33" s="659">
        <f t="shared" si="3"/>
        <v>9</v>
      </c>
      <c r="E33" s="660">
        <v>5</v>
      </c>
      <c r="F33" s="661">
        <v>4</v>
      </c>
      <c r="G33" s="661">
        <v>0</v>
      </c>
      <c r="H33" s="661">
        <v>0</v>
      </c>
      <c r="I33" s="661">
        <v>0</v>
      </c>
      <c r="J33" s="661">
        <v>0</v>
      </c>
      <c r="K33" s="661">
        <v>0</v>
      </c>
      <c r="L33" s="662">
        <f t="shared" si="4"/>
        <v>0</v>
      </c>
      <c r="M33" s="1754"/>
      <c r="N33" s="1143">
        <v>1</v>
      </c>
      <c r="O33" s="672">
        <v>1</v>
      </c>
      <c r="P33" s="1143">
        <v>6</v>
      </c>
      <c r="Q33" s="1756">
        <v>1</v>
      </c>
      <c r="R33" s="1756">
        <v>0</v>
      </c>
    </row>
    <row r="34" spans="1:18" ht="16.5" customHeight="1" x14ac:dyDescent="0.25">
      <c r="A34" s="657" t="s">
        <v>66</v>
      </c>
      <c r="B34" s="658" t="s">
        <v>67</v>
      </c>
      <c r="C34" s="583" t="s">
        <v>265</v>
      </c>
      <c r="D34" s="659">
        <f t="shared" si="3"/>
        <v>50</v>
      </c>
      <c r="E34" s="660">
        <v>17</v>
      </c>
      <c r="F34" s="661">
        <v>31</v>
      </c>
      <c r="G34" s="661">
        <v>0</v>
      </c>
      <c r="H34" s="661">
        <v>0</v>
      </c>
      <c r="I34" s="661">
        <v>0</v>
      </c>
      <c r="J34" s="661">
        <v>2</v>
      </c>
      <c r="K34" s="661">
        <v>0</v>
      </c>
      <c r="L34" s="662">
        <f t="shared" si="4"/>
        <v>2</v>
      </c>
      <c r="M34" s="1754"/>
      <c r="N34" s="1143">
        <v>4</v>
      </c>
      <c r="O34" s="672">
        <v>10</v>
      </c>
      <c r="P34" s="1143">
        <v>16</v>
      </c>
      <c r="Q34" s="1756">
        <v>10</v>
      </c>
      <c r="R34" s="1756">
        <v>10</v>
      </c>
    </row>
    <row r="35" spans="1:18" ht="16.5" customHeight="1" x14ac:dyDescent="0.25">
      <c r="A35" s="657" t="s">
        <v>68</v>
      </c>
      <c r="B35" s="658" t="s">
        <v>69</v>
      </c>
      <c r="C35" s="583" t="s">
        <v>268</v>
      </c>
      <c r="D35" s="659">
        <f t="shared" si="3"/>
        <v>93</v>
      </c>
      <c r="E35" s="660">
        <v>93</v>
      </c>
      <c r="F35" s="661">
        <v>0</v>
      </c>
      <c r="G35" s="1142">
        <v>0</v>
      </c>
      <c r="H35" s="1142">
        <v>0</v>
      </c>
      <c r="I35" s="1142">
        <v>0</v>
      </c>
      <c r="J35" s="1142">
        <v>0</v>
      </c>
      <c r="K35" s="1142">
        <v>0</v>
      </c>
      <c r="L35" s="662">
        <f t="shared" si="4"/>
        <v>0</v>
      </c>
      <c r="M35" s="662"/>
      <c r="N35" s="1143">
        <v>16</v>
      </c>
      <c r="O35" s="1143">
        <v>32</v>
      </c>
      <c r="P35" s="1143">
        <v>27</v>
      </c>
      <c r="Q35" s="1756">
        <v>14</v>
      </c>
      <c r="R35" s="1756">
        <v>4</v>
      </c>
    </row>
    <row r="36" spans="1:18" ht="16.5" customHeight="1" x14ac:dyDescent="0.25">
      <c r="A36" s="657" t="s">
        <v>70</v>
      </c>
      <c r="B36" s="658" t="s">
        <v>71</v>
      </c>
      <c r="C36" s="583" t="s">
        <v>264</v>
      </c>
      <c r="D36" s="659">
        <f t="shared" si="3"/>
        <v>21</v>
      </c>
      <c r="E36" s="660">
        <v>10</v>
      </c>
      <c r="F36" s="661">
        <v>5</v>
      </c>
      <c r="G36" s="661">
        <v>0</v>
      </c>
      <c r="H36" s="661">
        <v>0</v>
      </c>
      <c r="I36" s="661">
        <v>0</v>
      </c>
      <c r="J36" s="661">
        <v>6</v>
      </c>
      <c r="K36" s="661">
        <v>0</v>
      </c>
      <c r="L36" s="662">
        <f t="shared" si="4"/>
        <v>6</v>
      </c>
      <c r="M36" s="1143"/>
      <c r="N36" s="1143">
        <v>4</v>
      </c>
      <c r="O36" s="1143">
        <v>7</v>
      </c>
      <c r="P36" s="1143">
        <v>5</v>
      </c>
      <c r="Q36" s="1756">
        <v>3</v>
      </c>
      <c r="R36" s="1756">
        <v>2</v>
      </c>
    </row>
    <row r="37" spans="1:18" ht="16.5" customHeight="1" x14ac:dyDescent="0.25">
      <c r="A37" s="657" t="s">
        <v>72</v>
      </c>
      <c r="B37" s="658" t="s">
        <v>73</v>
      </c>
      <c r="C37" s="583" t="s">
        <v>266</v>
      </c>
      <c r="D37" s="659">
        <f t="shared" ref="D37:D68" si="5">SUM(E37:K37)</f>
        <v>7</v>
      </c>
      <c r="E37" s="660">
        <v>1</v>
      </c>
      <c r="F37" s="1985">
        <v>3</v>
      </c>
      <c r="G37" s="1985">
        <v>0</v>
      </c>
      <c r="H37" s="1985">
        <v>0</v>
      </c>
      <c r="I37" s="1985">
        <v>0</v>
      </c>
      <c r="J37" s="1986">
        <v>1</v>
      </c>
      <c r="K37" s="1985">
        <v>2</v>
      </c>
      <c r="L37" s="662">
        <f t="shared" ref="L37:L68" si="6">G37+H37+I37+J37</f>
        <v>1</v>
      </c>
      <c r="M37" s="1754"/>
      <c r="N37" s="1143">
        <v>0</v>
      </c>
      <c r="O37" s="1143">
        <v>0</v>
      </c>
      <c r="P37" s="1143">
        <v>6</v>
      </c>
      <c r="Q37" s="1756">
        <v>1</v>
      </c>
      <c r="R37" s="1756">
        <v>0</v>
      </c>
    </row>
    <row r="38" spans="1:18" ht="16.5" customHeight="1" x14ac:dyDescent="0.25">
      <c r="A38" s="657" t="s">
        <v>74</v>
      </c>
      <c r="B38" s="658" t="s">
        <v>302</v>
      </c>
      <c r="C38" s="583" t="s">
        <v>267</v>
      </c>
      <c r="D38" s="659">
        <f t="shared" si="5"/>
        <v>472</v>
      </c>
      <c r="E38" s="660">
        <v>216</v>
      </c>
      <c r="F38" s="661">
        <v>180</v>
      </c>
      <c r="G38" s="661">
        <v>10</v>
      </c>
      <c r="H38" s="661">
        <v>4</v>
      </c>
      <c r="I38" s="661">
        <v>1</v>
      </c>
      <c r="J38" s="661">
        <v>54</v>
      </c>
      <c r="K38" s="661">
        <v>7</v>
      </c>
      <c r="L38" s="662">
        <f t="shared" si="6"/>
        <v>69</v>
      </c>
      <c r="M38" s="1755"/>
      <c r="N38" s="1143">
        <v>36</v>
      </c>
      <c r="O38" s="1143">
        <v>98</v>
      </c>
      <c r="P38" s="1143">
        <v>138</v>
      </c>
      <c r="Q38" s="1756">
        <v>119</v>
      </c>
      <c r="R38" s="1756">
        <v>81</v>
      </c>
    </row>
    <row r="39" spans="1:18" ht="16.5" customHeight="1" x14ac:dyDescent="0.25">
      <c r="A39" s="657" t="s">
        <v>76</v>
      </c>
      <c r="B39" s="658" t="s">
        <v>77</v>
      </c>
      <c r="C39" s="583" t="s">
        <v>267</v>
      </c>
      <c r="D39" s="659">
        <f t="shared" si="5"/>
        <v>74</v>
      </c>
      <c r="E39" s="660">
        <v>36</v>
      </c>
      <c r="F39" s="661">
        <v>25</v>
      </c>
      <c r="G39" s="1142">
        <v>0</v>
      </c>
      <c r="H39" s="1142">
        <v>0</v>
      </c>
      <c r="I39" s="1142">
        <v>0</v>
      </c>
      <c r="J39" s="1142">
        <v>13</v>
      </c>
      <c r="K39" s="1142">
        <v>0</v>
      </c>
      <c r="L39" s="662">
        <f t="shared" si="6"/>
        <v>13</v>
      </c>
      <c r="M39" s="672"/>
      <c r="N39" s="1143">
        <v>15</v>
      </c>
      <c r="O39" s="1143">
        <v>21</v>
      </c>
      <c r="P39" s="1143">
        <v>25</v>
      </c>
      <c r="Q39" s="1756">
        <v>10</v>
      </c>
      <c r="R39" s="1756">
        <v>3</v>
      </c>
    </row>
    <row r="40" spans="1:18" ht="16.5" customHeight="1" x14ac:dyDescent="0.25">
      <c r="A40" s="657" t="s">
        <v>78</v>
      </c>
      <c r="B40" s="658" t="s">
        <v>79</v>
      </c>
      <c r="C40" s="583" t="s">
        <v>268</v>
      </c>
      <c r="D40" s="659">
        <f t="shared" si="5"/>
        <v>6</v>
      </c>
      <c r="E40" s="660">
        <v>6</v>
      </c>
      <c r="F40" s="661">
        <v>0</v>
      </c>
      <c r="G40" s="661">
        <v>0</v>
      </c>
      <c r="H40" s="661">
        <v>0</v>
      </c>
      <c r="I40" s="661">
        <v>0</v>
      </c>
      <c r="J40" s="661">
        <v>0</v>
      </c>
      <c r="K40" s="661">
        <v>0</v>
      </c>
      <c r="L40" s="662">
        <f t="shared" si="6"/>
        <v>0</v>
      </c>
      <c r="M40" s="1755"/>
      <c r="N40" s="1143">
        <v>2</v>
      </c>
      <c r="O40" s="1143">
        <v>2</v>
      </c>
      <c r="P40" s="1143">
        <v>2</v>
      </c>
      <c r="Q40" s="1756">
        <v>0</v>
      </c>
      <c r="R40" s="1756">
        <v>0</v>
      </c>
    </row>
    <row r="41" spans="1:18" ht="16.5" customHeight="1" x14ac:dyDescent="0.25">
      <c r="A41" s="657" t="s">
        <v>80</v>
      </c>
      <c r="B41" s="658" t="s">
        <v>81</v>
      </c>
      <c r="C41" s="583" t="s">
        <v>266</v>
      </c>
      <c r="D41" s="659">
        <f t="shared" si="5"/>
        <v>20</v>
      </c>
      <c r="E41" s="660">
        <v>17</v>
      </c>
      <c r="F41" s="661">
        <v>3</v>
      </c>
      <c r="G41" s="661">
        <v>0</v>
      </c>
      <c r="H41" s="661">
        <v>0</v>
      </c>
      <c r="I41" s="661">
        <v>0</v>
      </c>
      <c r="J41" s="661">
        <v>0</v>
      </c>
      <c r="K41" s="661">
        <v>0</v>
      </c>
      <c r="L41" s="662">
        <f t="shared" si="6"/>
        <v>0</v>
      </c>
      <c r="M41" s="665"/>
      <c r="N41" s="1143">
        <v>1</v>
      </c>
      <c r="O41" s="1143">
        <v>2</v>
      </c>
      <c r="P41" s="1143">
        <v>8</v>
      </c>
      <c r="Q41" s="1756">
        <v>7</v>
      </c>
      <c r="R41" s="1756">
        <v>2</v>
      </c>
    </row>
    <row r="42" spans="1:18" ht="16.5" customHeight="1" x14ac:dyDescent="0.25">
      <c r="A42" s="657" t="s">
        <v>82</v>
      </c>
      <c r="B42" s="658" t="s">
        <v>311</v>
      </c>
      <c r="C42" s="583" t="s">
        <v>264</v>
      </c>
      <c r="D42" s="659">
        <f t="shared" si="5"/>
        <v>1</v>
      </c>
      <c r="E42" s="660">
        <v>0</v>
      </c>
      <c r="F42" s="661">
        <v>1</v>
      </c>
      <c r="G42" s="1142">
        <v>0</v>
      </c>
      <c r="H42" s="1142">
        <v>0</v>
      </c>
      <c r="I42" s="1142">
        <v>0</v>
      </c>
      <c r="J42" s="1142">
        <v>0</v>
      </c>
      <c r="K42" s="1142">
        <v>0</v>
      </c>
      <c r="L42" s="662">
        <f t="shared" si="6"/>
        <v>0</v>
      </c>
      <c r="M42" s="1755"/>
      <c r="N42" s="1143">
        <v>0</v>
      </c>
      <c r="O42" s="1143">
        <v>0</v>
      </c>
      <c r="P42" s="1143">
        <v>1</v>
      </c>
      <c r="Q42" s="1756">
        <v>0</v>
      </c>
      <c r="R42" s="1756">
        <v>0</v>
      </c>
    </row>
    <row r="43" spans="1:18" ht="16.5" customHeight="1" x14ac:dyDescent="0.25">
      <c r="A43" s="657" t="s">
        <v>84</v>
      </c>
      <c r="B43" s="658" t="s">
        <v>308</v>
      </c>
      <c r="C43" s="583" t="s">
        <v>265</v>
      </c>
      <c r="D43" s="659">
        <f t="shared" si="5"/>
        <v>87</v>
      </c>
      <c r="E43" s="660">
        <v>74</v>
      </c>
      <c r="F43" s="661">
        <v>8</v>
      </c>
      <c r="G43" s="661">
        <v>0</v>
      </c>
      <c r="H43" s="661">
        <v>0</v>
      </c>
      <c r="I43" s="661">
        <v>0</v>
      </c>
      <c r="J43" s="661">
        <v>5</v>
      </c>
      <c r="K43" s="661">
        <v>0</v>
      </c>
      <c r="L43" s="662">
        <f t="shared" si="6"/>
        <v>5</v>
      </c>
      <c r="M43" s="1755"/>
      <c r="N43" s="1143">
        <v>7</v>
      </c>
      <c r="O43" s="672">
        <v>29</v>
      </c>
      <c r="P43" s="1143">
        <v>33</v>
      </c>
      <c r="Q43" s="1756">
        <v>15</v>
      </c>
      <c r="R43" s="1756">
        <v>3</v>
      </c>
    </row>
    <row r="44" spans="1:18" ht="16.5" customHeight="1" x14ac:dyDescent="0.25">
      <c r="A44" s="657" t="s">
        <v>86</v>
      </c>
      <c r="B44" s="658" t="s">
        <v>87</v>
      </c>
      <c r="C44" s="583" t="s">
        <v>267</v>
      </c>
      <c r="D44" s="659">
        <f t="shared" si="5"/>
        <v>51</v>
      </c>
      <c r="E44" s="668">
        <v>42</v>
      </c>
      <c r="F44" s="1142">
        <v>2</v>
      </c>
      <c r="G44" s="1142">
        <v>0</v>
      </c>
      <c r="H44" s="1142">
        <v>0</v>
      </c>
      <c r="I44" s="1142">
        <v>0</v>
      </c>
      <c r="J44" s="1142">
        <v>6</v>
      </c>
      <c r="K44" s="1142">
        <v>1</v>
      </c>
      <c r="L44" s="662">
        <f t="shared" si="6"/>
        <v>6</v>
      </c>
      <c r="M44" s="672"/>
      <c r="N44" s="672">
        <v>12</v>
      </c>
      <c r="O44" s="672">
        <v>13</v>
      </c>
      <c r="P44" s="1143">
        <v>10</v>
      </c>
      <c r="Q44" s="1756">
        <v>14</v>
      </c>
      <c r="R44" s="1756">
        <v>2</v>
      </c>
    </row>
    <row r="45" spans="1:18" ht="16.5" customHeight="1" x14ac:dyDescent="0.25">
      <c r="A45" s="657" t="s">
        <v>88</v>
      </c>
      <c r="B45" s="658" t="s">
        <v>89</v>
      </c>
      <c r="C45" s="583" t="s">
        <v>267</v>
      </c>
      <c r="D45" s="659">
        <f t="shared" si="5"/>
        <v>106</v>
      </c>
      <c r="E45" s="660">
        <v>45</v>
      </c>
      <c r="F45" s="661">
        <v>44</v>
      </c>
      <c r="G45" s="661">
        <v>0</v>
      </c>
      <c r="H45" s="661">
        <v>0</v>
      </c>
      <c r="I45" s="661">
        <v>0</v>
      </c>
      <c r="J45" s="661">
        <v>17</v>
      </c>
      <c r="K45" s="661">
        <v>0</v>
      </c>
      <c r="L45" s="662">
        <f t="shared" si="6"/>
        <v>17</v>
      </c>
      <c r="M45" s="1755"/>
      <c r="N45" s="1143">
        <v>20</v>
      </c>
      <c r="O45" s="1143">
        <v>38</v>
      </c>
      <c r="P45" s="1143">
        <v>25</v>
      </c>
      <c r="Q45" s="1756">
        <v>18</v>
      </c>
      <c r="R45" s="1756">
        <v>5</v>
      </c>
    </row>
    <row r="46" spans="1:18" ht="16.5" customHeight="1" x14ac:dyDescent="0.25">
      <c r="A46" s="657" t="s">
        <v>90</v>
      </c>
      <c r="B46" s="658" t="s">
        <v>91</v>
      </c>
      <c r="C46" s="583" t="s">
        <v>268</v>
      </c>
      <c r="D46" s="659">
        <f t="shared" si="5"/>
        <v>13</v>
      </c>
      <c r="E46" s="660">
        <v>10</v>
      </c>
      <c r="F46" s="661">
        <v>2</v>
      </c>
      <c r="G46" s="661">
        <v>0</v>
      </c>
      <c r="H46" s="661">
        <v>0</v>
      </c>
      <c r="I46" s="661">
        <v>0</v>
      </c>
      <c r="J46" s="661">
        <v>0</v>
      </c>
      <c r="K46" s="661">
        <v>1</v>
      </c>
      <c r="L46" s="662">
        <f t="shared" si="6"/>
        <v>0</v>
      </c>
      <c r="M46" s="1754"/>
      <c r="N46" s="1143">
        <v>1</v>
      </c>
      <c r="O46" s="1143">
        <v>5</v>
      </c>
      <c r="P46" s="1143">
        <v>2</v>
      </c>
      <c r="Q46" s="1756">
        <v>5</v>
      </c>
      <c r="R46" s="1756">
        <v>0</v>
      </c>
    </row>
    <row r="47" spans="1:18" ht="16.5" customHeight="1" x14ac:dyDescent="0.25">
      <c r="A47" s="657" t="s">
        <v>92</v>
      </c>
      <c r="B47" s="658" t="s">
        <v>93</v>
      </c>
      <c r="C47" s="583" t="s">
        <v>268</v>
      </c>
      <c r="D47" s="659">
        <f t="shared" si="5"/>
        <v>58</v>
      </c>
      <c r="E47" s="660">
        <v>55</v>
      </c>
      <c r="F47" s="661">
        <v>0</v>
      </c>
      <c r="G47" s="661">
        <v>0</v>
      </c>
      <c r="H47" s="661">
        <v>0</v>
      </c>
      <c r="I47" s="661">
        <v>0</v>
      </c>
      <c r="J47" s="661">
        <v>3</v>
      </c>
      <c r="K47" s="661">
        <v>0</v>
      </c>
      <c r="L47" s="662">
        <f t="shared" si="6"/>
        <v>3</v>
      </c>
      <c r="M47" s="1754"/>
      <c r="N47" s="1143">
        <v>12</v>
      </c>
      <c r="O47" s="1143">
        <v>23</v>
      </c>
      <c r="P47" s="1143">
        <v>17</v>
      </c>
      <c r="Q47" s="1756">
        <v>6</v>
      </c>
      <c r="R47" s="1756">
        <v>0</v>
      </c>
    </row>
    <row r="48" spans="1:18" ht="16.5" customHeight="1" x14ac:dyDescent="0.25">
      <c r="A48" s="657" t="s">
        <v>94</v>
      </c>
      <c r="B48" s="658" t="s">
        <v>95</v>
      </c>
      <c r="C48" s="583" t="s">
        <v>264</v>
      </c>
      <c r="D48" s="659">
        <f t="shared" si="5"/>
        <v>42</v>
      </c>
      <c r="E48" s="660">
        <v>35</v>
      </c>
      <c r="F48" s="661">
        <v>5</v>
      </c>
      <c r="G48" s="661">
        <v>0</v>
      </c>
      <c r="H48" s="661">
        <v>0</v>
      </c>
      <c r="I48" s="661">
        <v>0</v>
      </c>
      <c r="J48" s="661">
        <v>2</v>
      </c>
      <c r="K48" s="661">
        <v>0</v>
      </c>
      <c r="L48" s="662">
        <f t="shared" si="6"/>
        <v>2</v>
      </c>
      <c r="M48" s="1755"/>
      <c r="N48" s="1143">
        <v>10</v>
      </c>
      <c r="O48" s="1143">
        <v>6</v>
      </c>
      <c r="P48" s="1143">
        <v>18</v>
      </c>
      <c r="Q48" s="1756">
        <v>8</v>
      </c>
      <c r="R48" s="1756">
        <v>0</v>
      </c>
    </row>
    <row r="49" spans="1:18" ht="16.5" customHeight="1" x14ac:dyDescent="0.25">
      <c r="A49" s="657" t="s">
        <v>96</v>
      </c>
      <c r="B49" s="658" t="s">
        <v>97</v>
      </c>
      <c r="C49" s="583" t="s">
        <v>266</v>
      </c>
      <c r="D49" s="659">
        <f t="shared" si="5"/>
        <v>19</v>
      </c>
      <c r="E49" s="668">
        <v>11</v>
      </c>
      <c r="F49" s="1142">
        <v>4</v>
      </c>
      <c r="G49" s="1142">
        <v>0</v>
      </c>
      <c r="H49" s="1142">
        <v>0</v>
      </c>
      <c r="I49" s="1142">
        <v>0</v>
      </c>
      <c r="J49" s="1142">
        <v>4</v>
      </c>
      <c r="K49" s="1142">
        <v>0</v>
      </c>
      <c r="L49" s="662">
        <f t="shared" si="6"/>
        <v>4</v>
      </c>
      <c r="M49" s="662"/>
      <c r="N49" s="1143">
        <v>4</v>
      </c>
      <c r="O49" s="1143">
        <v>5</v>
      </c>
      <c r="P49" s="1143">
        <v>6</v>
      </c>
      <c r="Q49" s="1756">
        <v>4</v>
      </c>
      <c r="R49" s="1756">
        <v>0</v>
      </c>
    </row>
    <row r="50" spans="1:18" ht="16.5" customHeight="1" x14ac:dyDescent="0.25">
      <c r="A50" s="657" t="s">
        <v>98</v>
      </c>
      <c r="B50" s="658" t="s">
        <v>99</v>
      </c>
      <c r="C50" s="583" t="s">
        <v>268</v>
      </c>
      <c r="D50" s="659">
        <f t="shared" si="5"/>
        <v>23</v>
      </c>
      <c r="E50" s="660">
        <v>16</v>
      </c>
      <c r="F50" s="661">
        <v>1</v>
      </c>
      <c r="G50" s="661">
        <v>0</v>
      </c>
      <c r="H50" s="661">
        <v>0</v>
      </c>
      <c r="I50" s="661">
        <v>0</v>
      </c>
      <c r="J50" s="661">
        <v>5</v>
      </c>
      <c r="K50" s="661">
        <v>1</v>
      </c>
      <c r="L50" s="662">
        <f t="shared" si="6"/>
        <v>5</v>
      </c>
      <c r="M50" s="1143"/>
      <c r="N50" s="1143">
        <v>1</v>
      </c>
      <c r="O50" s="1143">
        <v>5</v>
      </c>
      <c r="P50" s="1143">
        <v>10</v>
      </c>
      <c r="Q50" s="1756">
        <v>5</v>
      </c>
      <c r="R50" s="1756">
        <v>2</v>
      </c>
    </row>
    <row r="51" spans="1:18" ht="16.5" customHeight="1" x14ac:dyDescent="0.25">
      <c r="A51" s="657" t="s">
        <v>100</v>
      </c>
      <c r="B51" s="658" t="s">
        <v>101</v>
      </c>
      <c r="C51" s="583" t="s">
        <v>267</v>
      </c>
      <c r="D51" s="659">
        <f t="shared" si="5"/>
        <v>13</v>
      </c>
      <c r="E51" s="660">
        <v>5</v>
      </c>
      <c r="F51" s="661">
        <v>1</v>
      </c>
      <c r="G51" s="661">
        <v>0</v>
      </c>
      <c r="H51" s="661">
        <v>0</v>
      </c>
      <c r="I51" s="661">
        <v>0</v>
      </c>
      <c r="J51" s="661">
        <v>7</v>
      </c>
      <c r="K51" s="661">
        <v>0</v>
      </c>
      <c r="L51" s="662">
        <f t="shared" si="6"/>
        <v>7</v>
      </c>
      <c r="M51" s="1754"/>
      <c r="N51" s="1143">
        <v>6</v>
      </c>
      <c r="O51" s="1143">
        <v>2</v>
      </c>
      <c r="P51" s="1143">
        <v>1</v>
      </c>
      <c r="Q51" s="1756">
        <v>3</v>
      </c>
      <c r="R51" s="1756">
        <v>1</v>
      </c>
    </row>
    <row r="52" spans="1:18" ht="16.5" customHeight="1" x14ac:dyDescent="0.25">
      <c r="A52" s="657" t="s">
        <v>102</v>
      </c>
      <c r="B52" s="658" t="s">
        <v>103</v>
      </c>
      <c r="C52" s="583" t="s">
        <v>264</v>
      </c>
      <c r="D52" s="659">
        <f t="shared" si="5"/>
        <v>7</v>
      </c>
      <c r="E52" s="660">
        <v>0</v>
      </c>
      <c r="F52" s="1985">
        <v>6</v>
      </c>
      <c r="G52" s="1985">
        <v>0</v>
      </c>
      <c r="H52" s="1985">
        <v>0</v>
      </c>
      <c r="I52" s="1985">
        <v>0</v>
      </c>
      <c r="J52" s="1986">
        <v>1</v>
      </c>
      <c r="K52" s="1985">
        <v>0</v>
      </c>
      <c r="L52" s="662">
        <f t="shared" si="6"/>
        <v>1</v>
      </c>
      <c r="M52" s="665"/>
      <c r="N52" s="1143">
        <v>3</v>
      </c>
      <c r="O52" s="672">
        <v>1</v>
      </c>
      <c r="P52" s="1143">
        <v>2</v>
      </c>
      <c r="Q52" s="1756">
        <v>1</v>
      </c>
      <c r="R52" s="1756">
        <v>0</v>
      </c>
    </row>
    <row r="53" spans="1:18" ht="16.5" customHeight="1" x14ac:dyDescent="0.25">
      <c r="A53" s="657" t="s">
        <v>104</v>
      </c>
      <c r="B53" s="658" t="s">
        <v>309</v>
      </c>
      <c r="C53" s="583" t="s">
        <v>265</v>
      </c>
      <c r="D53" s="659">
        <f t="shared" si="5"/>
        <v>28</v>
      </c>
      <c r="E53" s="660">
        <v>13</v>
      </c>
      <c r="F53" s="661">
        <v>14</v>
      </c>
      <c r="G53" s="661">
        <v>0</v>
      </c>
      <c r="H53" s="661">
        <v>0</v>
      </c>
      <c r="I53" s="661">
        <v>0</v>
      </c>
      <c r="J53" s="661">
        <v>1</v>
      </c>
      <c r="K53" s="661">
        <v>0</v>
      </c>
      <c r="L53" s="662">
        <f t="shared" si="6"/>
        <v>1</v>
      </c>
      <c r="M53" s="672"/>
      <c r="N53" s="1143">
        <v>1</v>
      </c>
      <c r="O53" s="672">
        <v>9</v>
      </c>
      <c r="P53" s="1143">
        <v>5</v>
      </c>
      <c r="Q53" s="1756">
        <v>8</v>
      </c>
      <c r="R53" s="1756">
        <v>5</v>
      </c>
    </row>
    <row r="54" spans="1:18" ht="16.5" customHeight="1" x14ac:dyDescent="0.25">
      <c r="A54" s="657" t="s">
        <v>106</v>
      </c>
      <c r="B54" s="658" t="s">
        <v>107</v>
      </c>
      <c r="C54" s="583" t="s">
        <v>264</v>
      </c>
      <c r="D54" s="659">
        <f t="shared" si="5"/>
        <v>136</v>
      </c>
      <c r="E54" s="660">
        <v>38</v>
      </c>
      <c r="F54" s="661">
        <v>81</v>
      </c>
      <c r="G54" s="661">
        <v>0</v>
      </c>
      <c r="H54" s="661">
        <v>0</v>
      </c>
      <c r="I54" s="661">
        <v>0</v>
      </c>
      <c r="J54" s="661">
        <v>17</v>
      </c>
      <c r="K54" s="661">
        <v>0</v>
      </c>
      <c r="L54" s="662">
        <f t="shared" si="6"/>
        <v>17</v>
      </c>
      <c r="M54" s="672"/>
      <c r="N54" s="1143">
        <v>3</v>
      </c>
      <c r="O54" s="1143">
        <v>17</v>
      </c>
      <c r="P54" s="1143">
        <v>67</v>
      </c>
      <c r="Q54" s="1756">
        <v>34</v>
      </c>
      <c r="R54" s="1756">
        <v>15</v>
      </c>
    </row>
    <row r="55" spans="1:18" ht="16.5" customHeight="1" x14ac:dyDescent="0.25">
      <c r="A55" s="657" t="s">
        <v>108</v>
      </c>
      <c r="B55" s="658" t="s">
        <v>109</v>
      </c>
      <c r="C55" s="583" t="s">
        <v>266</v>
      </c>
      <c r="D55" s="659">
        <f t="shared" si="5"/>
        <v>39</v>
      </c>
      <c r="E55" s="660">
        <v>26</v>
      </c>
      <c r="F55" s="661">
        <v>6</v>
      </c>
      <c r="G55" s="661">
        <v>0</v>
      </c>
      <c r="H55" s="661">
        <v>0</v>
      </c>
      <c r="I55" s="661">
        <v>0</v>
      </c>
      <c r="J55" s="661">
        <v>7</v>
      </c>
      <c r="K55" s="661">
        <v>0</v>
      </c>
      <c r="L55" s="662">
        <f t="shared" si="6"/>
        <v>7</v>
      </c>
      <c r="M55" s="1143"/>
      <c r="N55" s="1143">
        <v>7</v>
      </c>
      <c r="O55" s="1143">
        <v>7</v>
      </c>
      <c r="P55" s="1143">
        <v>16</v>
      </c>
      <c r="Q55" s="1756">
        <v>6</v>
      </c>
      <c r="R55" s="1756">
        <v>3</v>
      </c>
    </row>
    <row r="56" spans="1:18" ht="16.5" customHeight="1" x14ac:dyDescent="0.25">
      <c r="A56" s="657" t="s">
        <v>110</v>
      </c>
      <c r="B56" s="658" t="s">
        <v>111</v>
      </c>
      <c r="C56" s="583" t="s">
        <v>266</v>
      </c>
      <c r="D56" s="659">
        <f t="shared" si="5"/>
        <v>114</v>
      </c>
      <c r="E56" s="660">
        <v>57</v>
      </c>
      <c r="F56" s="661">
        <v>39</v>
      </c>
      <c r="G56" s="661">
        <v>2</v>
      </c>
      <c r="H56" s="661">
        <v>0</v>
      </c>
      <c r="I56" s="661">
        <v>0</v>
      </c>
      <c r="J56" s="661">
        <v>16</v>
      </c>
      <c r="K56" s="661">
        <v>0</v>
      </c>
      <c r="L56" s="662">
        <f t="shared" si="6"/>
        <v>18</v>
      </c>
      <c r="M56" s="1755"/>
      <c r="N56" s="1143">
        <v>11</v>
      </c>
      <c r="O56" s="1143">
        <v>21</v>
      </c>
      <c r="P56" s="1143">
        <v>55</v>
      </c>
      <c r="Q56" s="1756">
        <v>21</v>
      </c>
      <c r="R56" s="1756">
        <v>6</v>
      </c>
    </row>
    <row r="57" spans="1:18" ht="16.5" customHeight="1" x14ac:dyDescent="0.25">
      <c r="A57" s="657" t="s">
        <v>112</v>
      </c>
      <c r="B57" s="658" t="s">
        <v>300</v>
      </c>
      <c r="C57" s="583" t="s">
        <v>265</v>
      </c>
      <c r="D57" s="659">
        <f t="shared" si="5"/>
        <v>60</v>
      </c>
      <c r="E57" s="660">
        <v>40</v>
      </c>
      <c r="F57" s="661">
        <v>12</v>
      </c>
      <c r="G57" s="661">
        <v>0</v>
      </c>
      <c r="H57" s="661">
        <v>0</v>
      </c>
      <c r="I57" s="661">
        <v>0</v>
      </c>
      <c r="J57" s="661">
        <v>8</v>
      </c>
      <c r="K57" s="661">
        <v>0</v>
      </c>
      <c r="L57" s="662">
        <f t="shared" si="6"/>
        <v>8</v>
      </c>
      <c r="M57" s="1754"/>
      <c r="N57" s="1143">
        <v>10</v>
      </c>
      <c r="O57" s="1143">
        <v>12</v>
      </c>
      <c r="P57" s="1143">
        <v>19</v>
      </c>
      <c r="Q57" s="1756">
        <v>14</v>
      </c>
      <c r="R57" s="1756">
        <v>5</v>
      </c>
    </row>
    <row r="58" spans="1:18" ht="16.5" customHeight="1" x14ac:dyDescent="0.25">
      <c r="A58" s="657" t="s">
        <v>114</v>
      </c>
      <c r="B58" s="658" t="s">
        <v>115</v>
      </c>
      <c r="C58" s="583" t="s">
        <v>265</v>
      </c>
      <c r="D58" s="659">
        <f t="shared" si="5"/>
        <v>3</v>
      </c>
      <c r="E58" s="1984">
        <v>3</v>
      </c>
      <c r="F58" s="1985">
        <v>0</v>
      </c>
      <c r="G58" s="1985">
        <v>0</v>
      </c>
      <c r="H58" s="1985">
        <v>0</v>
      </c>
      <c r="I58" s="1985">
        <v>0</v>
      </c>
      <c r="J58" s="1986">
        <v>0</v>
      </c>
      <c r="K58" s="1985">
        <v>0</v>
      </c>
      <c r="L58" s="662">
        <f t="shared" si="6"/>
        <v>0</v>
      </c>
      <c r="M58" s="1755"/>
      <c r="N58" s="1143">
        <v>0</v>
      </c>
      <c r="O58" s="1143">
        <v>2</v>
      </c>
      <c r="P58" s="1143">
        <v>1</v>
      </c>
      <c r="Q58" s="1756">
        <v>0</v>
      </c>
      <c r="R58" s="1756">
        <v>0</v>
      </c>
    </row>
    <row r="59" spans="1:18" ht="16.5" customHeight="1" x14ac:dyDescent="0.25">
      <c r="A59" s="657" t="s">
        <v>116</v>
      </c>
      <c r="B59" s="658" t="s">
        <v>117</v>
      </c>
      <c r="C59" s="583" t="s">
        <v>266</v>
      </c>
      <c r="D59" s="659">
        <f t="shared" si="5"/>
        <v>37</v>
      </c>
      <c r="E59" s="668">
        <v>15</v>
      </c>
      <c r="F59" s="1142">
        <v>20</v>
      </c>
      <c r="G59" s="1142">
        <v>0</v>
      </c>
      <c r="H59" s="1142">
        <v>0</v>
      </c>
      <c r="I59" s="1142">
        <v>0</v>
      </c>
      <c r="J59" s="1142">
        <v>2</v>
      </c>
      <c r="K59" s="1142">
        <v>0</v>
      </c>
      <c r="L59" s="662">
        <f t="shared" si="6"/>
        <v>2</v>
      </c>
      <c r="M59" s="1755"/>
      <c r="N59" s="1143">
        <v>6</v>
      </c>
      <c r="O59" s="672">
        <v>17</v>
      </c>
      <c r="P59" s="1143">
        <v>12</v>
      </c>
      <c r="Q59" s="1756">
        <v>2</v>
      </c>
      <c r="R59" s="1756">
        <v>0</v>
      </c>
    </row>
    <row r="60" spans="1:18" ht="16.5" customHeight="1" x14ac:dyDescent="0.25">
      <c r="A60" s="657" t="s">
        <v>118</v>
      </c>
      <c r="B60" s="658" t="s">
        <v>119</v>
      </c>
      <c r="C60" s="583" t="s">
        <v>264</v>
      </c>
      <c r="D60" s="659">
        <f t="shared" si="5"/>
        <v>13</v>
      </c>
      <c r="E60" s="660">
        <v>7</v>
      </c>
      <c r="F60" s="661">
        <v>5</v>
      </c>
      <c r="G60" s="661">
        <v>0</v>
      </c>
      <c r="H60" s="661">
        <v>0</v>
      </c>
      <c r="I60" s="661">
        <v>0</v>
      </c>
      <c r="J60" s="661">
        <v>1</v>
      </c>
      <c r="K60" s="661">
        <v>0</v>
      </c>
      <c r="L60" s="662">
        <f t="shared" si="6"/>
        <v>1</v>
      </c>
      <c r="M60" s="665"/>
      <c r="N60" s="1143">
        <v>3</v>
      </c>
      <c r="O60" s="672">
        <v>3</v>
      </c>
      <c r="P60" s="1143">
        <v>3</v>
      </c>
      <c r="Q60" s="1756">
        <v>4</v>
      </c>
      <c r="R60" s="1756">
        <v>0</v>
      </c>
    </row>
    <row r="61" spans="1:18" ht="16.5" customHeight="1" x14ac:dyDescent="0.25">
      <c r="A61" s="657" t="s">
        <v>120</v>
      </c>
      <c r="B61" s="658" t="s">
        <v>121</v>
      </c>
      <c r="C61" s="583" t="s">
        <v>264</v>
      </c>
      <c r="D61" s="659">
        <f t="shared" si="5"/>
        <v>46</v>
      </c>
      <c r="E61" s="660">
        <v>23</v>
      </c>
      <c r="F61" s="661">
        <v>15</v>
      </c>
      <c r="G61" s="661">
        <v>1</v>
      </c>
      <c r="H61" s="661">
        <v>0</v>
      </c>
      <c r="I61" s="661">
        <v>0</v>
      </c>
      <c r="J61" s="661">
        <v>7</v>
      </c>
      <c r="K61" s="661">
        <v>0</v>
      </c>
      <c r="L61" s="662">
        <f t="shared" si="6"/>
        <v>8</v>
      </c>
      <c r="M61" s="672"/>
      <c r="N61" s="1143">
        <v>6</v>
      </c>
      <c r="O61" s="1143">
        <v>10</v>
      </c>
      <c r="P61" s="1143">
        <v>16</v>
      </c>
      <c r="Q61" s="1756">
        <v>11</v>
      </c>
      <c r="R61" s="1756">
        <v>3</v>
      </c>
    </row>
    <row r="62" spans="1:18" ht="16.5" customHeight="1" x14ac:dyDescent="0.25">
      <c r="A62" s="657" t="s">
        <v>122</v>
      </c>
      <c r="B62" s="658" t="s">
        <v>271</v>
      </c>
      <c r="C62" s="583" t="s">
        <v>266</v>
      </c>
      <c r="D62" s="659">
        <f t="shared" si="5"/>
        <v>12</v>
      </c>
      <c r="E62" s="660">
        <v>4</v>
      </c>
      <c r="F62" s="661">
        <v>7</v>
      </c>
      <c r="G62" s="661">
        <v>0</v>
      </c>
      <c r="H62" s="661">
        <v>0</v>
      </c>
      <c r="I62" s="661">
        <v>0</v>
      </c>
      <c r="J62" s="661">
        <v>1</v>
      </c>
      <c r="K62" s="661">
        <v>0</v>
      </c>
      <c r="L62" s="662">
        <f t="shared" si="6"/>
        <v>1</v>
      </c>
      <c r="M62" s="1755"/>
      <c r="N62" s="1143">
        <v>1</v>
      </c>
      <c r="O62" s="1143">
        <v>1</v>
      </c>
      <c r="P62" s="1143">
        <v>7</v>
      </c>
      <c r="Q62" s="1756">
        <v>2</v>
      </c>
      <c r="R62" s="1756">
        <v>1</v>
      </c>
    </row>
    <row r="63" spans="1:18" ht="16.5" customHeight="1" x14ac:dyDescent="0.25">
      <c r="A63" s="657" t="s">
        <v>124</v>
      </c>
      <c r="B63" s="658" t="s">
        <v>125</v>
      </c>
      <c r="C63" s="583" t="s">
        <v>267</v>
      </c>
      <c r="D63" s="659">
        <f t="shared" si="5"/>
        <v>16</v>
      </c>
      <c r="E63" s="668">
        <v>11</v>
      </c>
      <c r="F63" s="1142">
        <v>3</v>
      </c>
      <c r="G63" s="1142">
        <v>0</v>
      </c>
      <c r="H63" s="1142">
        <v>0</v>
      </c>
      <c r="I63" s="1142">
        <v>0</v>
      </c>
      <c r="J63" s="1142">
        <v>2</v>
      </c>
      <c r="K63" s="1142">
        <v>0</v>
      </c>
      <c r="L63" s="662">
        <f t="shared" si="6"/>
        <v>2</v>
      </c>
      <c r="M63" s="1754"/>
      <c r="N63" s="1143">
        <v>2</v>
      </c>
      <c r="O63" s="1143">
        <v>6</v>
      </c>
      <c r="P63" s="1143">
        <v>6</v>
      </c>
      <c r="Q63" s="1756">
        <v>1</v>
      </c>
      <c r="R63" s="1756">
        <v>1</v>
      </c>
    </row>
    <row r="64" spans="1:18" ht="16.5" customHeight="1" x14ac:dyDescent="0.25">
      <c r="A64" s="657" t="s">
        <v>126</v>
      </c>
      <c r="B64" s="658" t="s">
        <v>127</v>
      </c>
      <c r="C64" s="583" t="s">
        <v>266</v>
      </c>
      <c r="D64" s="659">
        <f t="shared" si="5"/>
        <v>7</v>
      </c>
      <c r="E64" s="660">
        <v>3</v>
      </c>
      <c r="F64" s="661">
        <v>4</v>
      </c>
      <c r="G64" s="661">
        <v>0</v>
      </c>
      <c r="H64" s="661">
        <v>0</v>
      </c>
      <c r="I64" s="661">
        <v>0</v>
      </c>
      <c r="J64" s="661">
        <v>0</v>
      </c>
      <c r="K64" s="661">
        <v>0</v>
      </c>
      <c r="L64" s="662">
        <f t="shared" si="6"/>
        <v>0</v>
      </c>
      <c r="M64" s="665"/>
      <c r="N64" s="1143">
        <v>0</v>
      </c>
      <c r="O64" s="1143">
        <v>1</v>
      </c>
      <c r="P64" s="1143">
        <v>4</v>
      </c>
      <c r="Q64" s="1756">
        <v>2</v>
      </c>
      <c r="R64" s="1756">
        <v>0</v>
      </c>
    </row>
    <row r="65" spans="1:18" ht="16.5" customHeight="1" x14ac:dyDescent="0.25">
      <c r="A65" s="657" t="s">
        <v>128</v>
      </c>
      <c r="B65" s="658" t="s">
        <v>129</v>
      </c>
      <c r="C65" s="583" t="s">
        <v>266</v>
      </c>
      <c r="D65" s="659">
        <f t="shared" si="5"/>
        <v>8</v>
      </c>
      <c r="E65" s="668">
        <v>3</v>
      </c>
      <c r="F65" s="1142">
        <v>5</v>
      </c>
      <c r="G65" s="1142">
        <v>0</v>
      </c>
      <c r="H65" s="1142">
        <v>0</v>
      </c>
      <c r="I65" s="1142">
        <v>0</v>
      </c>
      <c r="J65" s="1142">
        <v>0</v>
      </c>
      <c r="K65" s="1142">
        <v>0</v>
      </c>
      <c r="L65" s="662">
        <f t="shared" si="6"/>
        <v>0</v>
      </c>
      <c r="M65" s="665"/>
      <c r="N65" s="1143">
        <v>0</v>
      </c>
      <c r="O65" s="1143">
        <v>1</v>
      </c>
      <c r="P65" s="1143">
        <v>4</v>
      </c>
      <c r="Q65" s="1756">
        <v>2</v>
      </c>
      <c r="R65" s="1756">
        <v>1</v>
      </c>
    </row>
    <row r="66" spans="1:18" ht="16.5" customHeight="1" x14ac:dyDescent="0.25">
      <c r="A66" s="657" t="s">
        <v>130</v>
      </c>
      <c r="B66" s="658" t="s">
        <v>131</v>
      </c>
      <c r="C66" s="583" t="s">
        <v>268</v>
      </c>
      <c r="D66" s="659">
        <f t="shared" si="5"/>
        <v>93</v>
      </c>
      <c r="E66" s="660">
        <v>90</v>
      </c>
      <c r="F66" s="661">
        <v>0</v>
      </c>
      <c r="G66" s="1142">
        <v>0</v>
      </c>
      <c r="H66" s="1142">
        <v>0</v>
      </c>
      <c r="I66" s="1142">
        <v>0</v>
      </c>
      <c r="J66" s="1142">
        <v>3</v>
      </c>
      <c r="K66" s="1142">
        <v>0</v>
      </c>
      <c r="L66" s="662">
        <f t="shared" si="6"/>
        <v>3</v>
      </c>
      <c r="M66" s="672"/>
      <c r="N66" s="1143">
        <v>7</v>
      </c>
      <c r="O66" s="1143">
        <v>20</v>
      </c>
      <c r="P66" s="1143">
        <v>37</v>
      </c>
      <c r="Q66" s="1756">
        <v>22</v>
      </c>
      <c r="R66" s="1756">
        <v>7</v>
      </c>
    </row>
    <row r="67" spans="1:18" ht="16.5" customHeight="1" x14ac:dyDescent="0.25">
      <c r="A67" s="657" t="s">
        <v>132</v>
      </c>
      <c r="B67" s="658" t="s">
        <v>133</v>
      </c>
      <c r="C67" s="583" t="s">
        <v>267</v>
      </c>
      <c r="D67" s="659">
        <f t="shared" si="5"/>
        <v>72</v>
      </c>
      <c r="E67" s="660">
        <v>43</v>
      </c>
      <c r="F67" s="661">
        <v>21</v>
      </c>
      <c r="G67" s="661">
        <v>1</v>
      </c>
      <c r="H67" s="661">
        <v>1</v>
      </c>
      <c r="I67" s="661">
        <v>1</v>
      </c>
      <c r="J67" s="661">
        <v>5</v>
      </c>
      <c r="K67" s="661">
        <v>0</v>
      </c>
      <c r="L67" s="662">
        <f t="shared" si="6"/>
        <v>8</v>
      </c>
      <c r="M67" s="672"/>
      <c r="N67" s="1143">
        <v>8</v>
      </c>
      <c r="O67" s="1143">
        <v>15</v>
      </c>
      <c r="P67" s="1143">
        <v>30</v>
      </c>
      <c r="Q67" s="1756">
        <v>12</v>
      </c>
      <c r="R67" s="1756">
        <v>7</v>
      </c>
    </row>
    <row r="68" spans="1:18" ht="16.5" customHeight="1" x14ac:dyDescent="0.25">
      <c r="A68" s="657" t="s">
        <v>134</v>
      </c>
      <c r="B68" s="658" t="s">
        <v>135</v>
      </c>
      <c r="C68" s="583" t="s">
        <v>267</v>
      </c>
      <c r="D68" s="659">
        <f t="shared" si="5"/>
        <v>64</v>
      </c>
      <c r="E68" s="660">
        <v>37</v>
      </c>
      <c r="F68" s="661">
        <v>19</v>
      </c>
      <c r="G68" s="661">
        <v>0</v>
      </c>
      <c r="H68" s="661">
        <v>0</v>
      </c>
      <c r="I68" s="661">
        <v>0</v>
      </c>
      <c r="J68" s="661">
        <v>8</v>
      </c>
      <c r="K68" s="661">
        <v>0</v>
      </c>
      <c r="L68" s="662">
        <f t="shared" si="6"/>
        <v>8</v>
      </c>
      <c r="M68" s="1143"/>
      <c r="N68" s="1143">
        <v>3</v>
      </c>
      <c r="O68" s="1143">
        <v>22</v>
      </c>
      <c r="P68" s="1143">
        <v>28</v>
      </c>
      <c r="Q68" s="1756">
        <v>9</v>
      </c>
      <c r="R68" s="1756">
        <v>2</v>
      </c>
    </row>
    <row r="69" spans="1:18" ht="16.5" customHeight="1" x14ac:dyDescent="0.25">
      <c r="A69" s="657" t="s">
        <v>136</v>
      </c>
      <c r="B69" s="658" t="s">
        <v>137</v>
      </c>
      <c r="C69" s="583" t="s">
        <v>266</v>
      </c>
      <c r="D69" s="659">
        <f t="shared" ref="D69:D100" si="7">SUM(E69:K69)</f>
        <v>19</v>
      </c>
      <c r="E69" s="660">
        <v>2</v>
      </c>
      <c r="F69" s="1985">
        <v>14</v>
      </c>
      <c r="G69" s="1985">
        <v>0</v>
      </c>
      <c r="H69" s="1985">
        <v>1</v>
      </c>
      <c r="I69" s="1985">
        <v>0</v>
      </c>
      <c r="J69" s="1986">
        <v>2</v>
      </c>
      <c r="K69" s="1985">
        <v>0</v>
      </c>
      <c r="L69" s="662">
        <f t="shared" ref="L69:L100" si="8">G69+H69+I69+J69</f>
        <v>3</v>
      </c>
      <c r="M69" s="1755"/>
      <c r="N69" s="1143">
        <v>2</v>
      </c>
      <c r="O69" s="1143">
        <v>8</v>
      </c>
      <c r="P69" s="1143">
        <v>5</v>
      </c>
      <c r="Q69" s="1756">
        <v>3</v>
      </c>
      <c r="R69" s="1756">
        <v>1</v>
      </c>
    </row>
    <row r="70" spans="1:18" ht="16.5" customHeight="1" x14ac:dyDescent="0.25">
      <c r="A70" s="657" t="s">
        <v>138</v>
      </c>
      <c r="B70" s="658" t="s">
        <v>139</v>
      </c>
      <c r="C70" s="583" t="s">
        <v>265</v>
      </c>
      <c r="D70" s="659">
        <f t="shared" si="7"/>
        <v>305</v>
      </c>
      <c r="E70" s="660">
        <v>88</v>
      </c>
      <c r="F70" s="661">
        <v>170</v>
      </c>
      <c r="G70" s="661">
        <v>0</v>
      </c>
      <c r="H70" s="661">
        <v>0</v>
      </c>
      <c r="I70" s="661">
        <v>1</v>
      </c>
      <c r="J70" s="661">
        <v>45</v>
      </c>
      <c r="K70" s="661">
        <v>1</v>
      </c>
      <c r="L70" s="662">
        <f t="shared" si="8"/>
        <v>46</v>
      </c>
      <c r="M70" s="1755"/>
      <c r="N70" s="1143">
        <v>19</v>
      </c>
      <c r="O70" s="1143">
        <v>80</v>
      </c>
      <c r="P70" s="1143">
        <v>132</v>
      </c>
      <c r="Q70" s="1756">
        <v>47</v>
      </c>
      <c r="R70" s="1756">
        <v>27</v>
      </c>
    </row>
    <row r="71" spans="1:18" ht="16.5" customHeight="1" x14ac:dyDescent="0.25">
      <c r="A71" s="657" t="s">
        <v>140</v>
      </c>
      <c r="B71" s="658" t="s">
        <v>141</v>
      </c>
      <c r="C71" s="583" t="s">
        <v>267</v>
      </c>
      <c r="D71" s="659">
        <f t="shared" si="7"/>
        <v>23</v>
      </c>
      <c r="E71" s="660">
        <v>19</v>
      </c>
      <c r="F71" s="661">
        <v>1</v>
      </c>
      <c r="G71" s="1142">
        <v>1</v>
      </c>
      <c r="H71" s="1142">
        <v>0</v>
      </c>
      <c r="I71" s="1142">
        <v>0</v>
      </c>
      <c r="J71" s="1142">
        <v>2</v>
      </c>
      <c r="K71" s="1142">
        <v>0</v>
      </c>
      <c r="L71" s="662">
        <f t="shared" si="8"/>
        <v>3</v>
      </c>
      <c r="M71" s="662"/>
      <c r="N71" s="1143">
        <v>7</v>
      </c>
      <c r="O71" s="1143">
        <v>10</v>
      </c>
      <c r="P71" s="1143">
        <v>4</v>
      </c>
      <c r="Q71" s="1756">
        <v>2</v>
      </c>
      <c r="R71" s="1756">
        <v>0</v>
      </c>
    </row>
    <row r="72" spans="1:18" ht="16.5" customHeight="1" x14ac:dyDescent="0.25">
      <c r="A72" s="657" t="s">
        <v>142</v>
      </c>
      <c r="B72" s="658" t="s">
        <v>143</v>
      </c>
      <c r="C72" s="583" t="s">
        <v>267</v>
      </c>
      <c r="D72" s="659">
        <f t="shared" si="7"/>
        <v>14</v>
      </c>
      <c r="E72" s="660">
        <v>4</v>
      </c>
      <c r="F72" s="661">
        <v>5</v>
      </c>
      <c r="G72" s="1142">
        <v>0</v>
      </c>
      <c r="H72" s="1142">
        <v>0</v>
      </c>
      <c r="I72" s="1142">
        <v>0</v>
      </c>
      <c r="J72" s="1142">
        <v>5</v>
      </c>
      <c r="K72" s="1142">
        <v>0</v>
      </c>
      <c r="L72" s="662">
        <f t="shared" si="8"/>
        <v>5</v>
      </c>
      <c r="M72" s="665"/>
      <c r="N72" s="1143">
        <v>1</v>
      </c>
      <c r="O72" s="672">
        <v>1</v>
      </c>
      <c r="P72" s="1143">
        <v>4</v>
      </c>
      <c r="Q72" s="1756">
        <v>5</v>
      </c>
      <c r="R72" s="1756">
        <v>3</v>
      </c>
    </row>
    <row r="73" spans="1:18" ht="16.5" customHeight="1" x14ac:dyDescent="0.25">
      <c r="A73" s="657" t="s">
        <v>144</v>
      </c>
      <c r="B73" s="658" t="s">
        <v>145</v>
      </c>
      <c r="C73" s="583" t="s">
        <v>267</v>
      </c>
      <c r="D73" s="659">
        <f t="shared" si="7"/>
        <v>0</v>
      </c>
      <c r="E73" s="660">
        <v>0</v>
      </c>
      <c r="F73" s="661">
        <v>0</v>
      </c>
      <c r="G73" s="661">
        <v>0</v>
      </c>
      <c r="H73" s="661">
        <v>0</v>
      </c>
      <c r="I73" s="661">
        <v>0</v>
      </c>
      <c r="J73" s="661">
        <v>0</v>
      </c>
      <c r="K73" s="661">
        <v>0</v>
      </c>
      <c r="L73" s="662">
        <f t="shared" si="8"/>
        <v>0</v>
      </c>
      <c r="M73" s="1755"/>
      <c r="N73" s="1143">
        <v>0</v>
      </c>
      <c r="O73" s="1143">
        <v>0</v>
      </c>
      <c r="P73" s="1143">
        <v>0</v>
      </c>
      <c r="Q73" s="1756">
        <v>0</v>
      </c>
      <c r="R73" s="1756">
        <v>0</v>
      </c>
    </row>
    <row r="74" spans="1:18" ht="16.5" customHeight="1" x14ac:dyDescent="0.25">
      <c r="A74" s="657" t="s">
        <v>146</v>
      </c>
      <c r="B74" s="658" t="s">
        <v>147</v>
      </c>
      <c r="C74" s="583" t="s">
        <v>264</v>
      </c>
      <c r="D74" s="659">
        <f t="shared" si="7"/>
        <v>19</v>
      </c>
      <c r="E74" s="660">
        <v>18</v>
      </c>
      <c r="F74" s="661">
        <v>1</v>
      </c>
      <c r="G74" s="1142">
        <v>0</v>
      </c>
      <c r="H74" s="1142">
        <v>0</v>
      </c>
      <c r="I74" s="1142">
        <v>0</v>
      </c>
      <c r="J74" s="1142">
        <v>0</v>
      </c>
      <c r="K74" s="1142">
        <v>0</v>
      </c>
      <c r="L74" s="662">
        <f t="shared" si="8"/>
        <v>0</v>
      </c>
      <c r="M74" s="1754"/>
      <c r="N74" s="1143">
        <v>5</v>
      </c>
      <c r="O74" s="1143">
        <v>8</v>
      </c>
      <c r="P74" s="1143">
        <v>4</v>
      </c>
      <c r="Q74" s="1756">
        <v>1</v>
      </c>
      <c r="R74" s="1756">
        <v>1</v>
      </c>
    </row>
    <row r="75" spans="1:18" ht="16.5" customHeight="1" x14ac:dyDescent="0.25">
      <c r="A75" s="657" t="s">
        <v>148</v>
      </c>
      <c r="B75" s="658" t="s">
        <v>149</v>
      </c>
      <c r="C75" s="583" t="s">
        <v>265</v>
      </c>
      <c r="D75" s="659">
        <f t="shared" si="7"/>
        <v>26</v>
      </c>
      <c r="E75" s="660">
        <v>13</v>
      </c>
      <c r="F75" s="661">
        <v>11</v>
      </c>
      <c r="G75" s="661">
        <v>0</v>
      </c>
      <c r="H75" s="661">
        <v>0</v>
      </c>
      <c r="I75" s="661">
        <v>0</v>
      </c>
      <c r="J75" s="661">
        <v>2</v>
      </c>
      <c r="K75" s="661">
        <v>0</v>
      </c>
      <c r="L75" s="662">
        <f t="shared" si="8"/>
        <v>2</v>
      </c>
      <c r="M75" s="1755"/>
      <c r="N75" s="1143">
        <v>4</v>
      </c>
      <c r="O75" s="1143">
        <v>7</v>
      </c>
      <c r="P75" s="1143">
        <v>9</v>
      </c>
      <c r="Q75" s="1756">
        <v>4</v>
      </c>
      <c r="R75" s="1756">
        <v>2</v>
      </c>
    </row>
    <row r="76" spans="1:18" ht="16.5" customHeight="1" x14ac:dyDescent="0.25">
      <c r="A76" s="657" t="s">
        <v>150</v>
      </c>
      <c r="B76" s="658" t="s">
        <v>151</v>
      </c>
      <c r="C76" s="583" t="s">
        <v>266</v>
      </c>
      <c r="D76" s="659">
        <f t="shared" si="7"/>
        <v>19</v>
      </c>
      <c r="E76" s="660">
        <v>5</v>
      </c>
      <c r="F76" s="1985">
        <v>6</v>
      </c>
      <c r="G76" s="1985">
        <v>0</v>
      </c>
      <c r="H76" s="1985">
        <v>0</v>
      </c>
      <c r="I76" s="1985">
        <v>0</v>
      </c>
      <c r="J76" s="1986">
        <v>8</v>
      </c>
      <c r="K76" s="1985">
        <v>0</v>
      </c>
      <c r="L76" s="662">
        <f t="shared" si="8"/>
        <v>8</v>
      </c>
      <c r="M76" s="1143"/>
      <c r="N76" s="1143">
        <v>2</v>
      </c>
      <c r="O76" s="1143">
        <v>5</v>
      </c>
      <c r="P76" s="1143">
        <v>9</v>
      </c>
      <c r="Q76" s="1756">
        <v>3</v>
      </c>
      <c r="R76" s="1756">
        <v>0</v>
      </c>
    </row>
    <row r="77" spans="1:18" ht="16.5" customHeight="1" x14ac:dyDescent="0.25">
      <c r="A77" s="657" t="s">
        <v>152</v>
      </c>
      <c r="B77" s="658" t="s">
        <v>153</v>
      </c>
      <c r="C77" s="583" t="s">
        <v>268</v>
      </c>
      <c r="D77" s="659">
        <f t="shared" si="7"/>
        <v>82</v>
      </c>
      <c r="E77" s="660">
        <v>62</v>
      </c>
      <c r="F77" s="661">
        <v>5</v>
      </c>
      <c r="G77" s="661">
        <v>0</v>
      </c>
      <c r="H77" s="661">
        <v>0</v>
      </c>
      <c r="I77" s="661">
        <v>0</v>
      </c>
      <c r="J77" s="661">
        <v>13</v>
      </c>
      <c r="K77" s="661">
        <v>2</v>
      </c>
      <c r="L77" s="662">
        <f t="shared" si="8"/>
        <v>13</v>
      </c>
      <c r="M77" s="1755"/>
      <c r="N77" s="1143">
        <v>9</v>
      </c>
      <c r="O77" s="1143">
        <v>23</v>
      </c>
      <c r="P77" s="1143">
        <v>33</v>
      </c>
      <c r="Q77" s="1756">
        <v>16</v>
      </c>
      <c r="R77" s="1756">
        <v>1</v>
      </c>
    </row>
    <row r="78" spans="1:18" ht="16.5" customHeight="1" x14ac:dyDescent="0.25">
      <c r="A78" s="657" t="s">
        <v>154</v>
      </c>
      <c r="B78" s="658" t="s">
        <v>155</v>
      </c>
      <c r="C78" s="583" t="s">
        <v>265</v>
      </c>
      <c r="D78" s="659">
        <f t="shared" si="7"/>
        <v>9</v>
      </c>
      <c r="E78" s="1984">
        <v>9</v>
      </c>
      <c r="F78" s="1985">
        <v>0</v>
      </c>
      <c r="G78" s="1985">
        <v>0</v>
      </c>
      <c r="H78" s="1985">
        <v>0</v>
      </c>
      <c r="I78" s="1985">
        <v>0</v>
      </c>
      <c r="J78" s="1986">
        <v>0</v>
      </c>
      <c r="K78" s="1985">
        <v>0</v>
      </c>
      <c r="L78" s="662">
        <f t="shared" si="8"/>
        <v>0</v>
      </c>
      <c r="M78" s="1755"/>
      <c r="N78" s="1143">
        <v>4</v>
      </c>
      <c r="O78" s="1143">
        <v>3</v>
      </c>
      <c r="P78" s="1143">
        <v>2</v>
      </c>
      <c r="Q78" s="1756">
        <v>0</v>
      </c>
      <c r="R78" s="1756">
        <v>0</v>
      </c>
    </row>
    <row r="79" spans="1:18" ht="16.5" customHeight="1" x14ac:dyDescent="0.25">
      <c r="A79" s="657" t="s">
        <v>156</v>
      </c>
      <c r="B79" s="658" t="s">
        <v>157</v>
      </c>
      <c r="C79" s="583" t="s">
        <v>266</v>
      </c>
      <c r="D79" s="659">
        <f t="shared" si="7"/>
        <v>8</v>
      </c>
      <c r="E79" s="660">
        <v>7</v>
      </c>
      <c r="F79" s="661">
        <v>1</v>
      </c>
      <c r="G79" s="1142">
        <v>0</v>
      </c>
      <c r="H79" s="1142">
        <v>0</v>
      </c>
      <c r="I79" s="1142">
        <v>0</v>
      </c>
      <c r="J79" s="1142">
        <v>0</v>
      </c>
      <c r="K79" s="1142">
        <v>0</v>
      </c>
      <c r="L79" s="662">
        <f t="shared" si="8"/>
        <v>0</v>
      </c>
      <c r="M79" s="665"/>
      <c r="N79" s="1143">
        <v>1</v>
      </c>
      <c r="O79" s="1143">
        <v>4</v>
      </c>
      <c r="P79" s="1143">
        <v>2</v>
      </c>
      <c r="Q79" s="1756">
        <v>1</v>
      </c>
      <c r="R79" s="1756">
        <v>0</v>
      </c>
    </row>
    <row r="80" spans="1:18" ht="16.5" customHeight="1" x14ac:dyDescent="0.25">
      <c r="A80" s="657" t="s">
        <v>158</v>
      </c>
      <c r="B80" s="658" t="s">
        <v>159</v>
      </c>
      <c r="C80" s="583" t="s">
        <v>264</v>
      </c>
      <c r="D80" s="659">
        <f t="shared" si="7"/>
        <v>303</v>
      </c>
      <c r="E80" s="660">
        <v>52</v>
      </c>
      <c r="F80" s="661">
        <v>222</v>
      </c>
      <c r="G80" s="661">
        <v>0</v>
      </c>
      <c r="H80" s="661">
        <v>0</v>
      </c>
      <c r="I80" s="661">
        <v>0</v>
      </c>
      <c r="J80" s="661">
        <v>29</v>
      </c>
      <c r="K80" s="661">
        <v>0</v>
      </c>
      <c r="L80" s="662">
        <f t="shared" si="8"/>
        <v>29</v>
      </c>
      <c r="M80" s="1143"/>
      <c r="N80" s="1143">
        <v>18</v>
      </c>
      <c r="O80" s="1143">
        <v>72</v>
      </c>
      <c r="P80" s="1143">
        <v>107</v>
      </c>
      <c r="Q80" s="1756">
        <v>55</v>
      </c>
      <c r="R80" s="1756">
        <v>51</v>
      </c>
    </row>
    <row r="81" spans="1:18" ht="16.5" customHeight="1" x14ac:dyDescent="0.25">
      <c r="A81" s="657" t="s">
        <v>160</v>
      </c>
      <c r="B81" s="658" t="s">
        <v>161</v>
      </c>
      <c r="C81" s="583" t="s">
        <v>264</v>
      </c>
      <c r="D81" s="659">
        <f t="shared" si="7"/>
        <v>266</v>
      </c>
      <c r="E81" s="660">
        <v>36</v>
      </c>
      <c r="F81" s="661">
        <v>195</v>
      </c>
      <c r="G81" s="661">
        <v>4</v>
      </c>
      <c r="H81" s="661">
        <v>3</v>
      </c>
      <c r="I81" s="661">
        <v>2</v>
      </c>
      <c r="J81" s="661">
        <v>26</v>
      </c>
      <c r="K81" s="661">
        <v>0</v>
      </c>
      <c r="L81" s="662">
        <f t="shared" si="8"/>
        <v>35</v>
      </c>
      <c r="M81" s="1755"/>
      <c r="N81" s="1143">
        <v>33</v>
      </c>
      <c r="O81" s="1143">
        <v>99</v>
      </c>
      <c r="P81" s="1143">
        <v>75</v>
      </c>
      <c r="Q81" s="1756">
        <v>47</v>
      </c>
      <c r="R81" s="1756">
        <v>12</v>
      </c>
    </row>
    <row r="82" spans="1:18" ht="16.5" customHeight="1" x14ac:dyDescent="0.25">
      <c r="A82" s="657" t="s">
        <v>162</v>
      </c>
      <c r="B82" s="658" t="s">
        <v>163</v>
      </c>
      <c r="C82" s="583" t="s">
        <v>264</v>
      </c>
      <c r="D82" s="659">
        <f t="shared" si="7"/>
        <v>0</v>
      </c>
      <c r="E82" s="660">
        <v>0</v>
      </c>
      <c r="F82" s="661">
        <v>0</v>
      </c>
      <c r="G82" s="1142">
        <v>0</v>
      </c>
      <c r="H82" s="1142">
        <v>0</v>
      </c>
      <c r="I82" s="1142">
        <v>0</v>
      </c>
      <c r="J82" s="1142">
        <v>0</v>
      </c>
      <c r="K82" s="1142">
        <v>0</v>
      </c>
      <c r="L82" s="662">
        <f t="shared" si="8"/>
        <v>0</v>
      </c>
      <c r="M82" s="1754"/>
      <c r="N82" s="1143">
        <v>0</v>
      </c>
      <c r="O82" s="1143">
        <v>0</v>
      </c>
      <c r="P82" s="1143">
        <v>0</v>
      </c>
      <c r="Q82" s="1756">
        <v>0</v>
      </c>
      <c r="R82" s="1756">
        <v>0</v>
      </c>
    </row>
    <row r="83" spans="1:18" ht="16.5" customHeight="1" x14ac:dyDescent="0.25">
      <c r="A83" s="657" t="s">
        <v>164</v>
      </c>
      <c r="B83" s="658" t="s">
        <v>165</v>
      </c>
      <c r="C83" s="583" t="s">
        <v>266</v>
      </c>
      <c r="D83" s="659">
        <f t="shared" si="7"/>
        <v>18</v>
      </c>
      <c r="E83" s="660">
        <v>14</v>
      </c>
      <c r="F83" s="661">
        <v>4</v>
      </c>
      <c r="G83" s="661">
        <v>0</v>
      </c>
      <c r="H83" s="661">
        <v>0</v>
      </c>
      <c r="I83" s="661">
        <v>0</v>
      </c>
      <c r="J83" s="661">
        <v>0</v>
      </c>
      <c r="K83" s="661">
        <v>0</v>
      </c>
      <c r="L83" s="662">
        <f t="shared" si="8"/>
        <v>0</v>
      </c>
      <c r="M83" s="1754"/>
      <c r="N83" s="1143">
        <v>2</v>
      </c>
      <c r="O83" s="1143">
        <v>2</v>
      </c>
      <c r="P83" s="1143">
        <v>6</v>
      </c>
      <c r="Q83" s="1756">
        <v>7</v>
      </c>
      <c r="R83" s="1756">
        <v>1</v>
      </c>
    </row>
    <row r="84" spans="1:18" ht="16.5" customHeight="1" x14ac:dyDescent="0.25">
      <c r="A84" s="657" t="s">
        <v>166</v>
      </c>
      <c r="B84" s="658" t="s">
        <v>167</v>
      </c>
      <c r="C84" s="583" t="s">
        <v>268</v>
      </c>
      <c r="D84" s="659">
        <f t="shared" si="7"/>
        <v>10</v>
      </c>
      <c r="E84" s="660">
        <v>8</v>
      </c>
      <c r="F84" s="661">
        <v>0</v>
      </c>
      <c r="G84" s="1142">
        <v>0</v>
      </c>
      <c r="H84" s="1142">
        <v>0</v>
      </c>
      <c r="I84" s="1142">
        <v>0</v>
      </c>
      <c r="J84" s="1142">
        <v>2</v>
      </c>
      <c r="K84" s="1142">
        <v>0</v>
      </c>
      <c r="L84" s="662">
        <f t="shared" si="8"/>
        <v>2</v>
      </c>
      <c r="M84" s="1143"/>
      <c r="N84" s="1143">
        <v>1</v>
      </c>
      <c r="O84" s="1143">
        <v>1</v>
      </c>
      <c r="P84" s="1143">
        <v>2</v>
      </c>
      <c r="Q84" s="1756">
        <v>5</v>
      </c>
      <c r="R84" s="1756">
        <v>1</v>
      </c>
    </row>
    <row r="85" spans="1:18" ht="16.5" customHeight="1" x14ac:dyDescent="0.25">
      <c r="A85" s="657" t="s">
        <v>168</v>
      </c>
      <c r="B85" s="658" t="s">
        <v>169</v>
      </c>
      <c r="C85" s="583" t="s">
        <v>266</v>
      </c>
      <c r="D85" s="659">
        <f t="shared" si="7"/>
        <v>7</v>
      </c>
      <c r="E85" s="660">
        <v>5</v>
      </c>
      <c r="F85" s="661">
        <v>2</v>
      </c>
      <c r="G85" s="1142">
        <v>0</v>
      </c>
      <c r="H85" s="1142">
        <v>0</v>
      </c>
      <c r="I85" s="1142">
        <v>0</v>
      </c>
      <c r="J85" s="1142">
        <v>0</v>
      </c>
      <c r="K85" s="1142">
        <v>0</v>
      </c>
      <c r="L85" s="662">
        <f t="shared" si="8"/>
        <v>0</v>
      </c>
      <c r="M85" s="672"/>
      <c r="N85" s="1143">
        <v>0</v>
      </c>
      <c r="O85" s="1143">
        <v>1</v>
      </c>
      <c r="P85" s="1143">
        <v>5</v>
      </c>
      <c r="Q85" s="1756">
        <v>1</v>
      </c>
      <c r="R85" s="1756">
        <v>0</v>
      </c>
    </row>
    <row r="86" spans="1:18" ht="16.5" customHeight="1" x14ac:dyDescent="0.25">
      <c r="A86" s="657" t="s">
        <v>170</v>
      </c>
      <c r="B86" s="658" t="s">
        <v>171</v>
      </c>
      <c r="C86" s="583" t="s">
        <v>267</v>
      </c>
      <c r="D86" s="659">
        <f t="shared" si="7"/>
        <v>26</v>
      </c>
      <c r="E86" s="660">
        <v>19</v>
      </c>
      <c r="F86" s="661">
        <v>0</v>
      </c>
      <c r="G86" s="661">
        <v>0</v>
      </c>
      <c r="H86" s="661">
        <v>0</v>
      </c>
      <c r="I86" s="661">
        <v>0</v>
      </c>
      <c r="J86" s="661">
        <v>7</v>
      </c>
      <c r="K86" s="661">
        <v>0</v>
      </c>
      <c r="L86" s="662">
        <f t="shared" si="8"/>
        <v>7</v>
      </c>
      <c r="M86" s="1754"/>
      <c r="N86" s="1143">
        <v>1</v>
      </c>
      <c r="O86" s="672">
        <v>7</v>
      </c>
      <c r="P86" s="1143">
        <v>10</v>
      </c>
      <c r="Q86" s="1756">
        <v>5</v>
      </c>
      <c r="R86" s="1756">
        <v>3</v>
      </c>
    </row>
    <row r="87" spans="1:18" ht="16.5" customHeight="1" x14ac:dyDescent="0.25">
      <c r="A87" s="657" t="s">
        <v>172</v>
      </c>
      <c r="B87" s="658" t="s">
        <v>173</v>
      </c>
      <c r="C87" s="583" t="s">
        <v>267</v>
      </c>
      <c r="D87" s="659">
        <f t="shared" si="7"/>
        <v>11</v>
      </c>
      <c r="E87" s="660">
        <v>11</v>
      </c>
      <c r="F87" s="661">
        <v>0</v>
      </c>
      <c r="G87" s="1142">
        <v>0</v>
      </c>
      <c r="H87" s="1142">
        <v>0</v>
      </c>
      <c r="I87" s="1142">
        <v>0</v>
      </c>
      <c r="J87" s="1142">
        <v>0</v>
      </c>
      <c r="K87" s="1142">
        <v>0</v>
      </c>
      <c r="L87" s="662">
        <f t="shared" si="8"/>
        <v>0</v>
      </c>
      <c r="M87" s="1755"/>
      <c r="N87" s="1143">
        <v>3</v>
      </c>
      <c r="O87" s="1143">
        <v>3</v>
      </c>
      <c r="P87" s="1143">
        <v>4</v>
      </c>
      <c r="Q87" s="1756">
        <v>1</v>
      </c>
      <c r="R87" s="1756">
        <v>0</v>
      </c>
    </row>
    <row r="88" spans="1:18" ht="16.5" customHeight="1" x14ac:dyDescent="0.25">
      <c r="A88" s="657" t="s">
        <v>174</v>
      </c>
      <c r="B88" s="658" t="s">
        <v>175</v>
      </c>
      <c r="C88" s="583" t="s">
        <v>268</v>
      </c>
      <c r="D88" s="659">
        <f t="shared" si="7"/>
        <v>3</v>
      </c>
      <c r="E88" s="660">
        <v>2</v>
      </c>
      <c r="F88" s="661">
        <v>0</v>
      </c>
      <c r="G88" s="661">
        <v>0</v>
      </c>
      <c r="H88" s="661">
        <v>0</v>
      </c>
      <c r="I88" s="661">
        <v>0</v>
      </c>
      <c r="J88" s="661">
        <v>1</v>
      </c>
      <c r="K88" s="661">
        <v>0</v>
      </c>
      <c r="L88" s="662">
        <f t="shared" si="8"/>
        <v>1</v>
      </c>
      <c r="M88" s="662"/>
      <c r="N88" s="1143">
        <v>2</v>
      </c>
      <c r="O88" s="1143">
        <v>1</v>
      </c>
      <c r="P88" s="1143">
        <v>0</v>
      </c>
      <c r="Q88" s="1756">
        <v>0</v>
      </c>
      <c r="R88" s="1756">
        <v>0</v>
      </c>
    </row>
    <row r="89" spans="1:18" ht="16.5" customHeight="1" x14ac:dyDescent="0.25">
      <c r="A89" s="657" t="s">
        <v>176</v>
      </c>
      <c r="B89" s="658" t="s">
        <v>177</v>
      </c>
      <c r="C89" s="583" t="s">
        <v>266</v>
      </c>
      <c r="D89" s="659">
        <f t="shared" si="7"/>
        <v>140</v>
      </c>
      <c r="E89" s="660">
        <v>25</v>
      </c>
      <c r="F89" s="661">
        <v>91</v>
      </c>
      <c r="G89" s="661">
        <v>0</v>
      </c>
      <c r="H89" s="661">
        <v>0</v>
      </c>
      <c r="I89" s="661">
        <v>0</v>
      </c>
      <c r="J89" s="661">
        <v>21</v>
      </c>
      <c r="K89" s="661">
        <v>3</v>
      </c>
      <c r="L89" s="662">
        <f t="shared" si="8"/>
        <v>21</v>
      </c>
      <c r="M89" s="672"/>
      <c r="N89" s="1143">
        <v>22</v>
      </c>
      <c r="O89" s="672">
        <v>45</v>
      </c>
      <c r="P89" s="1143">
        <v>40</v>
      </c>
      <c r="Q89" s="1756">
        <v>26</v>
      </c>
      <c r="R89" s="1756">
        <v>7</v>
      </c>
    </row>
    <row r="90" spans="1:18" ht="16.5" customHeight="1" x14ac:dyDescent="0.25">
      <c r="A90" s="657" t="s">
        <v>178</v>
      </c>
      <c r="B90" s="658" t="s">
        <v>179</v>
      </c>
      <c r="C90" s="583" t="s">
        <v>265</v>
      </c>
      <c r="D90" s="659">
        <f t="shared" si="7"/>
        <v>16</v>
      </c>
      <c r="E90" s="660">
        <v>12</v>
      </c>
      <c r="F90" s="661">
        <v>1</v>
      </c>
      <c r="G90" s="661">
        <v>0</v>
      </c>
      <c r="H90" s="661">
        <v>0</v>
      </c>
      <c r="I90" s="661">
        <v>0</v>
      </c>
      <c r="J90" s="661">
        <v>2</v>
      </c>
      <c r="K90" s="661">
        <v>1</v>
      </c>
      <c r="L90" s="662">
        <f t="shared" si="8"/>
        <v>2</v>
      </c>
      <c r="M90" s="1755"/>
      <c r="N90" s="1143">
        <v>4</v>
      </c>
      <c r="O90" s="1143">
        <v>6</v>
      </c>
      <c r="P90" s="1143">
        <v>6</v>
      </c>
      <c r="Q90" s="1756">
        <v>0</v>
      </c>
      <c r="R90" s="1756">
        <v>0</v>
      </c>
    </row>
    <row r="91" spans="1:18" ht="16.5" customHeight="1" x14ac:dyDescent="0.25">
      <c r="A91" s="657" t="s">
        <v>180</v>
      </c>
      <c r="B91" s="658" t="s">
        <v>181</v>
      </c>
      <c r="C91" s="583" t="s">
        <v>264</v>
      </c>
      <c r="D91" s="659">
        <f t="shared" si="7"/>
        <v>125</v>
      </c>
      <c r="E91" s="668">
        <v>30</v>
      </c>
      <c r="F91" s="1142">
        <v>88</v>
      </c>
      <c r="G91" s="1142">
        <v>0</v>
      </c>
      <c r="H91" s="1142">
        <v>0</v>
      </c>
      <c r="I91" s="1142">
        <v>0</v>
      </c>
      <c r="J91" s="1142">
        <v>7</v>
      </c>
      <c r="K91" s="1142">
        <v>0</v>
      </c>
      <c r="L91" s="662">
        <f t="shared" si="8"/>
        <v>7</v>
      </c>
      <c r="M91" s="672"/>
      <c r="N91" s="1143">
        <v>8</v>
      </c>
      <c r="O91" s="1143">
        <v>24</v>
      </c>
      <c r="P91" s="1143">
        <v>57</v>
      </c>
      <c r="Q91" s="1756">
        <v>26</v>
      </c>
      <c r="R91" s="1756">
        <v>10</v>
      </c>
    </row>
    <row r="92" spans="1:18" ht="16.5" customHeight="1" x14ac:dyDescent="0.25">
      <c r="A92" s="657" t="s">
        <v>182</v>
      </c>
      <c r="B92" s="658" t="s">
        <v>183</v>
      </c>
      <c r="C92" s="583" t="s">
        <v>266</v>
      </c>
      <c r="D92" s="659">
        <f t="shared" si="7"/>
        <v>4</v>
      </c>
      <c r="E92" s="660">
        <v>4</v>
      </c>
      <c r="F92" s="661">
        <v>0</v>
      </c>
      <c r="G92" s="661">
        <v>0</v>
      </c>
      <c r="H92" s="661">
        <v>0</v>
      </c>
      <c r="I92" s="661">
        <v>0</v>
      </c>
      <c r="J92" s="661">
        <v>0</v>
      </c>
      <c r="K92" s="661">
        <v>0</v>
      </c>
      <c r="L92" s="662">
        <f t="shared" si="8"/>
        <v>0</v>
      </c>
      <c r="M92" s="1143"/>
      <c r="N92" s="1143">
        <v>0</v>
      </c>
      <c r="O92" s="1143">
        <v>1</v>
      </c>
      <c r="P92" s="1143">
        <v>1</v>
      </c>
      <c r="Q92" s="1756">
        <v>2</v>
      </c>
      <c r="R92" s="1756">
        <v>0</v>
      </c>
    </row>
    <row r="93" spans="1:18" ht="16.5" customHeight="1" x14ac:dyDescent="0.25">
      <c r="A93" s="657" t="s">
        <v>184</v>
      </c>
      <c r="B93" s="658" t="s">
        <v>185</v>
      </c>
      <c r="C93" s="583" t="s">
        <v>266</v>
      </c>
      <c r="D93" s="659">
        <f t="shared" si="7"/>
        <v>39</v>
      </c>
      <c r="E93" s="660">
        <v>18</v>
      </c>
      <c r="F93" s="661">
        <v>15</v>
      </c>
      <c r="G93" s="661">
        <v>0</v>
      </c>
      <c r="H93" s="661">
        <v>0</v>
      </c>
      <c r="I93" s="661">
        <v>0</v>
      </c>
      <c r="J93" s="661">
        <v>6</v>
      </c>
      <c r="K93" s="661">
        <v>0</v>
      </c>
      <c r="L93" s="662">
        <f t="shared" si="8"/>
        <v>6</v>
      </c>
      <c r="M93" s="672"/>
      <c r="N93" s="1143">
        <v>1</v>
      </c>
      <c r="O93" s="1143">
        <v>8</v>
      </c>
      <c r="P93" s="1143">
        <v>19</v>
      </c>
      <c r="Q93" s="1756">
        <v>10</v>
      </c>
      <c r="R93" s="1756">
        <v>1</v>
      </c>
    </row>
    <row r="94" spans="1:18" ht="16.5" customHeight="1" x14ac:dyDescent="0.25">
      <c r="A94" s="657" t="s">
        <v>186</v>
      </c>
      <c r="B94" s="658" t="s">
        <v>187</v>
      </c>
      <c r="C94" s="583" t="s">
        <v>264</v>
      </c>
      <c r="D94" s="659">
        <f t="shared" si="7"/>
        <v>24</v>
      </c>
      <c r="E94" s="660">
        <v>20</v>
      </c>
      <c r="F94" s="661">
        <v>4</v>
      </c>
      <c r="G94" s="661">
        <v>0</v>
      </c>
      <c r="H94" s="661">
        <v>0</v>
      </c>
      <c r="I94" s="661">
        <v>0</v>
      </c>
      <c r="J94" s="661">
        <v>0</v>
      </c>
      <c r="K94" s="661">
        <v>0</v>
      </c>
      <c r="L94" s="662">
        <f t="shared" si="8"/>
        <v>0</v>
      </c>
      <c r="M94" s="1754"/>
      <c r="N94" s="1143">
        <v>6</v>
      </c>
      <c r="O94" s="1143">
        <v>9</v>
      </c>
      <c r="P94" s="1143">
        <v>6</v>
      </c>
      <c r="Q94" s="1756">
        <v>3</v>
      </c>
      <c r="R94" s="1756">
        <v>0</v>
      </c>
    </row>
    <row r="95" spans="1:18" ht="16.5" customHeight="1" x14ac:dyDescent="0.25">
      <c r="A95" s="657" t="s">
        <v>188</v>
      </c>
      <c r="B95" s="658" t="s">
        <v>189</v>
      </c>
      <c r="C95" s="583" t="s">
        <v>267</v>
      </c>
      <c r="D95" s="659">
        <f t="shared" si="7"/>
        <v>123</v>
      </c>
      <c r="E95" s="660">
        <v>56</v>
      </c>
      <c r="F95" s="661">
        <v>54</v>
      </c>
      <c r="G95" s="1142">
        <v>2</v>
      </c>
      <c r="H95" s="1142">
        <v>0</v>
      </c>
      <c r="I95" s="1142">
        <v>0</v>
      </c>
      <c r="J95" s="1142">
        <v>9</v>
      </c>
      <c r="K95" s="1142">
        <v>2</v>
      </c>
      <c r="L95" s="662">
        <f t="shared" si="8"/>
        <v>11</v>
      </c>
      <c r="M95" s="1755"/>
      <c r="N95" s="1143">
        <v>12</v>
      </c>
      <c r="O95" s="672">
        <v>34</v>
      </c>
      <c r="P95" s="1143">
        <v>41</v>
      </c>
      <c r="Q95" s="1756">
        <v>21</v>
      </c>
      <c r="R95" s="1756">
        <v>15</v>
      </c>
    </row>
    <row r="96" spans="1:18" ht="16.5" customHeight="1" x14ac:dyDescent="0.25">
      <c r="A96" s="657" t="s">
        <v>190</v>
      </c>
      <c r="B96" s="658" t="s">
        <v>191</v>
      </c>
      <c r="C96" s="583" t="s">
        <v>268</v>
      </c>
      <c r="D96" s="659">
        <f t="shared" si="7"/>
        <v>77</v>
      </c>
      <c r="E96" s="660">
        <v>51</v>
      </c>
      <c r="F96" s="661">
        <v>9</v>
      </c>
      <c r="G96" s="661">
        <v>0</v>
      </c>
      <c r="H96" s="661">
        <v>0</v>
      </c>
      <c r="I96" s="661">
        <v>0</v>
      </c>
      <c r="J96" s="661">
        <v>16</v>
      </c>
      <c r="K96" s="661">
        <v>1</v>
      </c>
      <c r="L96" s="662">
        <f t="shared" si="8"/>
        <v>16</v>
      </c>
      <c r="M96" s="1755"/>
      <c r="N96" s="1143">
        <v>8</v>
      </c>
      <c r="O96" s="1143">
        <v>26</v>
      </c>
      <c r="P96" s="1143">
        <v>26</v>
      </c>
      <c r="Q96" s="1756">
        <v>16</v>
      </c>
      <c r="R96" s="1756">
        <v>1</v>
      </c>
    </row>
    <row r="97" spans="1:18" ht="16.5" customHeight="1" x14ac:dyDescent="0.25">
      <c r="A97" s="657" t="s">
        <v>192</v>
      </c>
      <c r="B97" s="658" t="s">
        <v>193</v>
      </c>
      <c r="C97" s="583" t="s">
        <v>268</v>
      </c>
      <c r="D97" s="659">
        <f t="shared" si="7"/>
        <v>30</v>
      </c>
      <c r="E97" s="660">
        <v>27</v>
      </c>
      <c r="F97" s="661">
        <v>2</v>
      </c>
      <c r="G97" s="661">
        <v>0</v>
      </c>
      <c r="H97" s="661">
        <v>0</v>
      </c>
      <c r="I97" s="661">
        <v>0</v>
      </c>
      <c r="J97" s="661">
        <v>1</v>
      </c>
      <c r="K97" s="661">
        <v>0</v>
      </c>
      <c r="L97" s="662">
        <f t="shared" si="8"/>
        <v>1</v>
      </c>
      <c r="M97" s="665"/>
      <c r="N97" s="1143">
        <v>2</v>
      </c>
      <c r="O97" s="1143">
        <v>9</v>
      </c>
      <c r="P97" s="1143">
        <v>11</v>
      </c>
      <c r="Q97" s="1756">
        <v>8</v>
      </c>
      <c r="R97" s="1756">
        <v>0</v>
      </c>
    </row>
    <row r="98" spans="1:18" ht="16.5" customHeight="1" x14ac:dyDescent="0.25">
      <c r="A98" s="657" t="s">
        <v>194</v>
      </c>
      <c r="B98" s="658" t="s">
        <v>195</v>
      </c>
      <c r="C98" s="583" t="s">
        <v>267</v>
      </c>
      <c r="D98" s="659">
        <f t="shared" si="7"/>
        <v>14</v>
      </c>
      <c r="E98" s="660">
        <v>8</v>
      </c>
      <c r="F98" s="661">
        <v>1</v>
      </c>
      <c r="G98" s="1142">
        <v>0</v>
      </c>
      <c r="H98" s="1142">
        <v>0</v>
      </c>
      <c r="I98" s="1142">
        <v>0</v>
      </c>
      <c r="J98" s="1142">
        <v>5</v>
      </c>
      <c r="K98" s="1142">
        <v>0</v>
      </c>
      <c r="L98" s="662">
        <f t="shared" si="8"/>
        <v>5</v>
      </c>
      <c r="M98" s="662"/>
      <c r="N98" s="1143">
        <v>2</v>
      </c>
      <c r="O98" s="1143">
        <v>3</v>
      </c>
      <c r="P98" s="1143">
        <v>7</v>
      </c>
      <c r="Q98" s="1756">
        <v>2</v>
      </c>
      <c r="R98" s="1756">
        <v>0</v>
      </c>
    </row>
    <row r="99" spans="1:18" ht="16.5" customHeight="1" x14ac:dyDescent="0.25">
      <c r="A99" s="657" t="s">
        <v>196</v>
      </c>
      <c r="B99" s="658" t="s">
        <v>312</v>
      </c>
      <c r="C99" s="583" t="s">
        <v>266</v>
      </c>
      <c r="D99" s="659">
        <f t="shared" si="7"/>
        <v>407</v>
      </c>
      <c r="E99" s="660">
        <v>41</v>
      </c>
      <c r="F99" s="661">
        <v>343</v>
      </c>
      <c r="G99" s="661">
        <v>0</v>
      </c>
      <c r="H99" s="661">
        <v>2</v>
      </c>
      <c r="I99" s="661">
        <v>0</v>
      </c>
      <c r="J99" s="661">
        <v>18</v>
      </c>
      <c r="K99" s="661">
        <v>3</v>
      </c>
      <c r="L99" s="662">
        <f t="shared" si="8"/>
        <v>20</v>
      </c>
      <c r="M99" s="1754"/>
      <c r="N99" s="1143">
        <v>31</v>
      </c>
      <c r="O99" s="1143">
        <v>87</v>
      </c>
      <c r="P99" s="1143">
        <v>156</v>
      </c>
      <c r="Q99" s="1756">
        <v>102</v>
      </c>
      <c r="R99" s="1756">
        <v>31</v>
      </c>
    </row>
    <row r="100" spans="1:18" ht="16.5" customHeight="1" x14ac:dyDescent="0.25">
      <c r="A100" s="657" t="s">
        <v>198</v>
      </c>
      <c r="B100" s="658" t="s">
        <v>199</v>
      </c>
      <c r="C100" s="583" t="s">
        <v>266</v>
      </c>
      <c r="D100" s="659">
        <f t="shared" si="7"/>
        <v>6</v>
      </c>
      <c r="E100" s="660">
        <v>3</v>
      </c>
      <c r="F100" s="661">
        <v>1</v>
      </c>
      <c r="G100" s="661">
        <v>0</v>
      </c>
      <c r="H100" s="661">
        <v>0</v>
      </c>
      <c r="I100" s="661">
        <v>0</v>
      </c>
      <c r="J100" s="661">
        <v>2</v>
      </c>
      <c r="K100" s="661">
        <v>0</v>
      </c>
      <c r="L100" s="662">
        <f t="shared" si="8"/>
        <v>2</v>
      </c>
      <c r="M100" s="1754"/>
      <c r="N100" s="1143">
        <v>0</v>
      </c>
      <c r="O100" s="1143">
        <v>3</v>
      </c>
      <c r="P100" s="1143">
        <v>1</v>
      </c>
      <c r="Q100" s="1756">
        <v>2</v>
      </c>
      <c r="R100" s="1756">
        <v>0</v>
      </c>
    </row>
    <row r="101" spans="1:18" ht="16.5" customHeight="1" x14ac:dyDescent="0.25">
      <c r="A101" s="657" t="s">
        <v>200</v>
      </c>
      <c r="B101" s="658" t="s">
        <v>313</v>
      </c>
      <c r="C101" s="583" t="s">
        <v>265</v>
      </c>
      <c r="D101" s="659">
        <f t="shared" ref="D101:D124" si="9">SUM(E101:K101)</f>
        <v>386</v>
      </c>
      <c r="E101" s="660">
        <v>201</v>
      </c>
      <c r="F101" s="661">
        <v>121</v>
      </c>
      <c r="G101" s="1142">
        <v>0</v>
      </c>
      <c r="H101" s="1142">
        <v>1</v>
      </c>
      <c r="I101" s="1142">
        <v>1</v>
      </c>
      <c r="J101" s="1142">
        <v>61</v>
      </c>
      <c r="K101" s="1142">
        <v>1</v>
      </c>
      <c r="L101" s="662">
        <f t="shared" ref="L101:L124" si="10">G101+H101+I101+J101</f>
        <v>63</v>
      </c>
      <c r="M101" s="1755"/>
      <c r="N101" s="1143">
        <v>46</v>
      </c>
      <c r="O101" s="1143">
        <v>105</v>
      </c>
      <c r="P101" s="1143">
        <v>137</v>
      </c>
      <c r="Q101" s="1756">
        <v>63</v>
      </c>
      <c r="R101" s="1756">
        <v>35</v>
      </c>
    </row>
    <row r="102" spans="1:18" ht="16.5" customHeight="1" x14ac:dyDescent="0.25">
      <c r="A102" s="657" t="s">
        <v>202</v>
      </c>
      <c r="B102" s="658" t="s">
        <v>203</v>
      </c>
      <c r="C102" s="583" t="s">
        <v>265</v>
      </c>
      <c r="D102" s="659">
        <f t="shared" si="9"/>
        <v>146</v>
      </c>
      <c r="E102" s="660">
        <v>121</v>
      </c>
      <c r="F102" s="661">
        <v>10</v>
      </c>
      <c r="G102" s="661">
        <v>1</v>
      </c>
      <c r="H102" s="661">
        <v>0</v>
      </c>
      <c r="I102" s="661">
        <v>0</v>
      </c>
      <c r="J102" s="661">
        <v>14</v>
      </c>
      <c r="K102" s="661">
        <v>0</v>
      </c>
      <c r="L102" s="662">
        <f t="shared" si="10"/>
        <v>15</v>
      </c>
      <c r="M102" s="1754"/>
      <c r="N102" s="672">
        <v>17</v>
      </c>
      <c r="O102" s="1143">
        <v>50</v>
      </c>
      <c r="P102" s="1143">
        <v>42</v>
      </c>
      <c r="Q102" s="1756">
        <v>30</v>
      </c>
      <c r="R102" s="1756">
        <v>7</v>
      </c>
    </row>
    <row r="103" spans="1:18" ht="16.5" customHeight="1" x14ac:dyDescent="0.25">
      <c r="A103" s="657" t="s">
        <v>204</v>
      </c>
      <c r="B103" s="658" t="s">
        <v>205</v>
      </c>
      <c r="C103" s="583" t="s">
        <v>265</v>
      </c>
      <c r="D103" s="659">
        <f t="shared" si="9"/>
        <v>12</v>
      </c>
      <c r="E103" s="660">
        <v>8</v>
      </c>
      <c r="F103" s="661">
        <v>0</v>
      </c>
      <c r="G103" s="661">
        <v>0</v>
      </c>
      <c r="H103" s="661">
        <v>0</v>
      </c>
      <c r="I103" s="661">
        <v>0</v>
      </c>
      <c r="J103" s="661">
        <v>4</v>
      </c>
      <c r="K103" s="661">
        <v>0</v>
      </c>
      <c r="L103" s="662">
        <f t="shared" si="10"/>
        <v>4</v>
      </c>
      <c r="M103" s="1755"/>
      <c r="N103" s="1143">
        <v>4</v>
      </c>
      <c r="O103" s="1143">
        <v>3</v>
      </c>
      <c r="P103" s="1143">
        <v>2</v>
      </c>
      <c r="Q103" s="1756">
        <v>3</v>
      </c>
      <c r="R103" s="1756">
        <v>0</v>
      </c>
    </row>
    <row r="104" spans="1:18" ht="16.5" customHeight="1" x14ac:dyDescent="0.25">
      <c r="A104" s="657" t="s">
        <v>206</v>
      </c>
      <c r="B104" s="658" t="s">
        <v>207</v>
      </c>
      <c r="C104" s="583" t="s">
        <v>267</v>
      </c>
      <c r="D104" s="659">
        <f t="shared" si="9"/>
        <v>310</v>
      </c>
      <c r="E104" s="660">
        <v>236</v>
      </c>
      <c r="F104" s="661">
        <v>38</v>
      </c>
      <c r="G104" s="661">
        <v>0</v>
      </c>
      <c r="H104" s="661">
        <v>2</v>
      </c>
      <c r="I104" s="661">
        <v>0</v>
      </c>
      <c r="J104" s="661">
        <v>33</v>
      </c>
      <c r="K104" s="661">
        <v>1</v>
      </c>
      <c r="L104" s="662">
        <f t="shared" si="10"/>
        <v>35</v>
      </c>
      <c r="M104" s="1755"/>
      <c r="N104" s="1143">
        <v>45</v>
      </c>
      <c r="O104" s="1143">
        <v>95</v>
      </c>
      <c r="P104" s="1143">
        <v>95</v>
      </c>
      <c r="Q104" s="1756">
        <v>49</v>
      </c>
      <c r="R104" s="1756">
        <v>26</v>
      </c>
    </row>
    <row r="105" spans="1:18" ht="16.5" customHeight="1" x14ac:dyDescent="0.25">
      <c r="A105" s="657" t="s">
        <v>208</v>
      </c>
      <c r="B105" s="658" t="s">
        <v>209</v>
      </c>
      <c r="C105" s="583" t="s">
        <v>268</v>
      </c>
      <c r="D105" s="659">
        <f t="shared" si="9"/>
        <v>59</v>
      </c>
      <c r="E105" s="660">
        <v>56</v>
      </c>
      <c r="F105" s="661">
        <v>2</v>
      </c>
      <c r="G105" s="661">
        <v>0</v>
      </c>
      <c r="H105" s="661">
        <v>1</v>
      </c>
      <c r="I105" s="661">
        <v>0</v>
      </c>
      <c r="J105" s="661">
        <v>0</v>
      </c>
      <c r="K105" s="661">
        <v>0</v>
      </c>
      <c r="L105" s="662">
        <f t="shared" si="10"/>
        <v>1</v>
      </c>
      <c r="M105" s="665"/>
      <c r="N105" s="1143">
        <v>6</v>
      </c>
      <c r="O105" s="1143">
        <v>26</v>
      </c>
      <c r="P105" s="1143">
        <v>19</v>
      </c>
      <c r="Q105" s="1756">
        <v>7</v>
      </c>
      <c r="R105" s="1756">
        <v>1</v>
      </c>
    </row>
    <row r="106" spans="1:18" ht="16.5" customHeight="1" x14ac:dyDescent="0.25">
      <c r="A106" s="657" t="s">
        <v>210</v>
      </c>
      <c r="B106" s="658" t="s">
        <v>211</v>
      </c>
      <c r="C106" s="583" t="s">
        <v>268</v>
      </c>
      <c r="D106" s="659">
        <f t="shared" si="9"/>
        <v>33</v>
      </c>
      <c r="E106" s="660">
        <v>33</v>
      </c>
      <c r="F106" s="661">
        <v>0</v>
      </c>
      <c r="G106" s="661">
        <v>0</v>
      </c>
      <c r="H106" s="661">
        <v>0</v>
      </c>
      <c r="I106" s="661">
        <v>0</v>
      </c>
      <c r="J106" s="661">
        <v>0</v>
      </c>
      <c r="K106" s="661">
        <v>0</v>
      </c>
      <c r="L106" s="662">
        <f t="shared" si="10"/>
        <v>0</v>
      </c>
      <c r="M106" s="1754"/>
      <c r="N106" s="1143">
        <v>4</v>
      </c>
      <c r="O106" s="1143">
        <v>8</v>
      </c>
      <c r="P106" s="1143">
        <v>10</v>
      </c>
      <c r="Q106" s="1756">
        <v>10</v>
      </c>
      <c r="R106" s="1756">
        <v>1</v>
      </c>
    </row>
    <row r="107" spans="1:18" ht="16.5" customHeight="1" x14ac:dyDescent="0.25">
      <c r="A107" s="657" t="s">
        <v>212</v>
      </c>
      <c r="B107" s="658" t="s">
        <v>213</v>
      </c>
      <c r="C107" s="583" t="s">
        <v>267</v>
      </c>
      <c r="D107" s="659">
        <f t="shared" si="9"/>
        <v>34</v>
      </c>
      <c r="E107" s="660">
        <v>25</v>
      </c>
      <c r="F107" s="661">
        <v>1</v>
      </c>
      <c r="G107" s="661">
        <v>0</v>
      </c>
      <c r="H107" s="661">
        <v>0</v>
      </c>
      <c r="I107" s="661">
        <v>0</v>
      </c>
      <c r="J107" s="661">
        <v>7</v>
      </c>
      <c r="K107" s="661">
        <v>1</v>
      </c>
      <c r="L107" s="662">
        <f t="shared" si="10"/>
        <v>7</v>
      </c>
      <c r="M107" s="672"/>
      <c r="N107" s="1143">
        <v>1</v>
      </c>
      <c r="O107" s="1143">
        <v>10</v>
      </c>
      <c r="P107" s="1143">
        <v>15</v>
      </c>
      <c r="Q107" s="1756">
        <v>6</v>
      </c>
      <c r="R107" s="1756">
        <v>2</v>
      </c>
    </row>
    <row r="108" spans="1:18" ht="16.5" customHeight="1" x14ac:dyDescent="0.25">
      <c r="A108" s="657" t="s">
        <v>214</v>
      </c>
      <c r="B108" s="658" t="s">
        <v>215</v>
      </c>
      <c r="C108" s="583" t="s">
        <v>268</v>
      </c>
      <c r="D108" s="659">
        <f t="shared" si="9"/>
        <v>28</v>
      </c>
      <c r="E108" s="660">
        <v>24</v>
      </c>
      <c r="F108" s="661">
        <v>4</v>
      </c>
      <c r="G108" s="661">
        <v>0</v>
      </c>
      <c r="H108" s="661">
        <v>0</v>
      </c>
      <c r="I108" s="661">
        <v>0</v>
      </c>
      <c r="J108" s="661">
        <v>0</v>
      </c>
      <c r="K108" s="661">
        <v>0</v>
      </c>
      <c r="L108" s="662">
        <f t="shared" si="10"/>
        <v>0</v>
      </c>
      <c r="M108" s="1755"/>
      <c r="N108" s="1143">
        <v>4</v>
      </c>
      <c r="O108" s="1143">
        <v>6</v>
      </c>
      <c r="P108" s="1143">
        <v>13</v>
      </c>
      <c r="Q108" s="1756">
        <v>5</v>
      </c>
      <c r="R108" s="1756">
        <v>0</v>
      </c>
    </row>
    <row r="109" spans="1:18" ht="16.5" customHeight="1" x14ac:dyDescent="0.25">
      <c r="A109" s="657" t="s">
        <v>216</v>
      </c>
      <c r="B109" s="658" t="s">
        <v>217</v>
      </c>
      <c r="C109" s="583" t="s">
        <v>264</v>
      </c>
      <c r="D109" s="659">
        <f t="shared" si="9"/>
        <v>10</v>
      </c>
      <c r="E109" s="660">
        <v>5</v>
      </c>
      <c r="F109" s="661">
        <v>4</v>
      </c>
      <c r="G109" s="661">
        <v>0</v>
      </c>
      <c r="H109" s="661">
        <v>0</v>
      </c>
      <c r="I109" s="661">
        <v>0</v>
      </c>
      <c r="J109" s="661">
        <v>0</v>
      </c>
      <c r="K109" s="661">
        <v>1</v>
      </c>
      <c r="L109" s="662">
        <f t="shared" si="10"/>
        <v>0</v>
      </c>
      <c r="M109" s="662"/>
      <c r="N109" s="1143">
        <v>0</v>
      </c>
      <c r="O109" s="1143">
        <v>1</v>
      </c>
      <c r="P109" s="1143">
        <v>5</v>
      </c>
      <c r="Q109" s="1756">
        <v>3</v>
      </c>
      <c r="R109" s="1756">
        <v>1</v>
      </c>
    </row>
    <row r="110" spans="1:18" ht="16.5" customHeight="1" x14ac:dyDescent="0.25">
      <c r="A110" s="657" t="s">
        <v>218</v>
      </c>
      <c r="B110" s="658" t="s">
        <v>219</v>
      </c>
      <c r="C110" s="583" t="s">
        <v>267</v>
      </c>
      <c r="D110" s="659">
        <f t="shared" si="9"/>
        <v>100</v>
      </c>
      <c r="E110" s="660">
        <v>71</v>
      </c>
      <c r="F110" s="661">
        <v>19</v>
      </c>
      <c r="G110" s="661">
        <v>2</v>
      </c>
      <c r="H110" s="661">
        <v>0</v>
      </c>
      <c r="I110" s="661">
        <v>0</v>
      </c>
      <c r="J110" s="661">
        <v>8</v>
      </c>
      <c r="K110" s="661">
        <v>0</v>
      </c>
      <c r="L110" s="662">
        <f t="shared" si="10"/>
        <v>10</v>
      </c>
      <c r="M110" s="1754"/>
      <c r="N110" s="1143">
        <v>17</v>
      </c>
      <c r="O110" s="672">
        <v>21</v>
      </c>
      <c r="P110" s="1143">
        <v>38</v>
      </c>
      <c r="Q110" s="1756">
        <v>22</v>
      </c>
      <c r="R110" s="1756">
        <v>2</v>
      </c>
    </row>
    <row r="111" spans="1:18" ht="16.5" customHeight="1" x14ac:dyDescent="0.25">
      <c r="A111" s="657" t="s">
        <v>220</v>
      </c>
      <c r="B111" s="658" t="s">
        <v>221</v>
      </c>
      <c r="C111" s="583" t="s">
        <v>267</v>
      </c>
      <c r="D111" s="659">
        <f t="shared" si="9"/>
        <v>125</v>
      </c>
      <c r="E111" s="660">
        <v>62</v>
      </c>
      <c r="F111" s="661">
        <v>46</v>
      </c>
      <c r="G111" s="661">
        <v>1</v>
      </c>
      <c r="H111" s="661">
        <v>0</v>
      </c>
      <c r="I111" s="661">
        <v>0</v>
      </c>
      <c r="J111" s="661">
        <v>7</v>
      </c>
      <c r="K111" s="661">
        <v>9</v>
      </c>
      <c r="L111" s="662">
        <f t="shared" si="10"/>
        <v>8</v>
      </c>
      <c r="M111" s="672"/>
      <c r="N111" s="1143">
        <v>9</v>
      </c>
      <c r="O111" s="672">
        <v>28</v>
      </c>
      <c r="P111" s="1143">
        <v>45</v>
      </c>
      <c r="Q111" s="1756">
        <v>30</v>
      </c>
      <c r="R111" s="1756">
        <v>13</v>
      </c>
    </row>
    <row r="112" spans="1:18" ht="16.5" customHeight="1" x14ac:dyDescent="0.25">
      <c r="A112" s="657" t="s">
        <v>222</v>
      </c>
      <c r="B112" s="658" t="s">
        <v>223</v>
      </c>
      <c r="C112" s="583" t="s">
        <v>264</v>
      </c>
      <c r="D112" s="659">
        <f t="shared" si="9"/>
        <v>33</v>
      </c>
      <c r="E112" s="660">
        <v>6</v>
      </c>
      <c r="F112" s="661">
        <v>25</v>
      </c>
      <c r="G112" s="1142">
        <v>1</v>
      </c>
      <c r="H112" s="1142">
        <v>0</v>
      </c>
      <c r="I112" s="1142">
        <v>0</v>
      </c>
      <c r="J112" s="1142">
        <v>1</v>
      </c>
      <c r="K112" s="1142">
        <v>0</v>
      </c>
      <c r="L112" s="662">
        <f t="shared" si="10"/>
        <v>2</v>
      </c>
      <c r="M112" s="665"/>
      <c r="N112" s="1143">
        <v>0</v>
      </c>
      <c r="O112" s="1143">
        <v>0</v>
      </c>
      <c r="P112" s="1143">
        <v>22</v>
      </c>
      <c r="Q112" s="1756">
        <v>10</v>
      </c>
      <c r="R112" s="1756">
        <v>1</v>
      </c>
    </row>
    <row r="113" spans="1:18" ht="16.5" customHeight="1" x14ac:dyDescent="0.25">
      <c r="A113" s="657" t="s">
        <v>224</v>
      </c>
      <c r="B113" s="658" t="s">
        <v>225</v>
      </c>
      <c r="C113" s="583" t="s">
        <v>264</v>
      </c>
      <c r="D113" s="659">
        <f t="shared" si="9"/>
        <v>1</v>
      </c>
      <c r="E113" s="660">
        <v>0</v>
      </c>
      <c r="F113" s="1985">
        <v>1</v>
      </c>
      <c r="G113" s="1985">
        <v>0</v>
      </c>
      <c r="H113" s="1985">
        <v>0</v>
      </c>
      <c r="I113" s="1985">
        <v>0</v>
      </c>
      <c r="J113" s="1986">
        <v>0</v>
      </c>
      <c r="K113" s="1985">
        <v>0</v>
      </c>
      <c r="L113" s="662">
        <f t="shared" si="10"/>
        <v>0</v>
      </c>
      <c r="M113" s="1754"/>
      <c r="N113" s="1143">
        <v>0</v>
      </c>
      <c r="O113" s="1143">
        <v>0</v>
      </c>
      <c r="P113" s="1143">
        <v>1</v>
      </c>
      <c r="Q113" s="1756">
        <v>0</v>
      </c>
      <c r="R113" s="1756">
        <v>0</v>
      </c>
    </row>
    <row r="114" spans="1:18" ht="16.5" customHeight="1" x14ac:dyDescent="0.25">
      <c r="A114" s="657" t="s">
        <v>226</v>
      </c>
      <c r="B114" s="658" t="s">
        <v>227</v>
      </c>
      <c r="C114" s="583" t="s">
        <v>264</v>
      </c>
      <c r="D114" s="659">
        <f t="shared" si="9"/>
        <v>11</v>
      </c>
      <c r="E114" s="660">
        <v>6</v>
      </c>
      <c r="F114" s="661">
        <v>5</v>
      </c>
      <c r="G114" s="661">
        <v>0</v>
      </c>
      <c r="H114" s="661">
        <v>0</v>
      </c>
      <c r="I114" s="661">
        <v>0</v>
      </c>
      <c r="J114" s="661">
        <v>0</v>
      </c>
      <c r="K114" s="661">
        <v>0</v>
      </c>
      <c r="L114" s="662">
        <f t="shared" si="10"/>
        <v>0</v>
      </c>
      <c r="M114" s="1754"/>
      <c r="N114" s="1143">
        <v>0</v>
      </c>
      <c r="O114" s="1143">
        <v>2</v>
      </c>
      <c r="P114" s="1143">
        <v>3</v>
      </c>
      <c r="Q114" s="1756">
        <v>3</v>
      </c>
      <c r="R114" s="1756">
        <v>3</v>
      </c>
    </row>
    <row r="115" spans="1:18" ht="16.5" customHeight="1" x14ac:dyDescent="0.25">
      <c r="A115" s="657" t="s">
        <v>228</v>
      </c>
      <c r="B115" s="658" t="s">
        <v>229</v>
      </c>
      <c r="C115" s="583" t="s">
        <v>268</v>
      </c>
      <c r="D115" s="659">
        <f t="shared" si="9"/>
        <v>129</v>
      </c>
      <c r="E115" s="660">
        <v>124</v>
      </c>
      <c r="F115" s="661">
        <v>4</v>
      </c>
      <c r="G115" s="1142">
        <v>0</v>
      </c>
      <c r="H115" s="1142">
        <v>0</v>
      </c>
      <c r="I115" s="1142">
        <v>0</v>
      </c>
      <c r="J115" s="1142">
        <v>1</v>
      </c>
      <c r="K115" s="1142">
        <v>0</v>
      </c>
      <c r="L115" s="662">
        <f t="shared" si="10"/>
        <v>1</v>
      </c>
      <c r="M115" s="1754"/>
      <c r="N115" s="1143">
        <v>13</v>
      </c>
      <c r="O115" s="1143">
        <v>42</v>
      </c>
      <c r="P115" s="1143">
        <v>48</v>
      </c>
      <c r="Q115" s="1756">
        <v>21</v>
      </c>
      <c r="R115" s="1756">
        <v>5</v>
      </c>
    </row>
    <row r="116" spans="1:18" ht="16.5" customHeight="1" x14ac:dyDescent="0.25">
      <c r="A116" s="657" t="s">
        <v>230</v>
      </c>
      <c r="B116" s="658" t="s">
        <v>231</v>
      </c>
      <c r="C116" s="583" t="s">
        <v>264</v>
      </c>
      <c r="D116" s="659">
        <f t="shared" si="9"/>
        <v>287</v>
      </c>
      <c r="E116" s="660">
        <v>137</v>
      </c>
      <c r="F116" s="661">
        <v>100</v>
      </c>
      <c r="G116" s="661">
        <v>1</v>
      </c>
      <c r="H116" s="661">
        <v>2</v>
      </c>
      <c r="I116" s="661">
        <v>0</v>
      </c>
      <c r="J116" s="661">
        <v>45</v>
      </c>
      <c r="K116" s="661">
        <v>2</v>
      </c>
      <c r="L116" s="662">
        <f t="shared" si="10"/>
        <v>48</v>
      </c>
      <c r="M116" s="1755"/>
      <c r="N116" s="1143">
        <v>23</v>
      </c>
      <c r="O116" s="1143">
        <v>65</v>
      </c>
      <c r="P116" s="1143">
        <v>123</v>
      </c>
      <c r="Q116" s="1756">
        <v>65</v>
      </c>
      <c r="R116" s="1756">
        <v>11</v>
      </c>
    </row>
    <row r="117" spans="1:18" ht="16.5" customHeight="1" x14ac:dyDescent="0.25">
      <c r="A117" s="657" t="s">
        <v>232</v>
      </c>
      <c r="B117" s="658" t="s">
        <v>233</v>
      </c>
      <c r="C117" s="583" t="s">
        <v>267</v>
      </c>
      <c r="D117" s="659">
        <f t="shared" si="9"/>
        <v>52</v>
      </c>
      <c r="E117" s="660">
        <v>44</v>
      </c>
      <c r="F117" s="661">
        <v>2</v>
      </c>
      <c r="G117" s="661">
        <v>0</v>
      </c>
      <c r="H117" s="661">
        <v>0</v>
      </c>
      <c r="I117" s="661">
        <v>0</v>
      </c>
      <c r="J117" s="661">
        <v>6</v>
      </c>
      <c r="K117" s="661">
        <v>0</v>
      </c>
      <c r="L117" s="662">
        <f t="shared" si="10"/>
        <v>6</v>
      </c>
      <c r="M117" s="1755"/>
      <c r="N117" s="1143">
        <v>2</v>
      </c>
      <c r="O117" s="1143">
        <v>17</v>
      </c>
      <c r="P117" s="1143">
        <v>17</v>
      </c>
      <c r="Q117" s="1756">
        <v>13</v>
      </c>
      <c r="R117" s="1756">
        <v>3</v>
      </c>
    </row>
    <row r="118" spans="1:18" ht="16.5" customHeight="1" x14ac:dyDescent="0.25">
      <c r="A118" s="657" t="s">
        <v>234</v>
      </c>
      <c r="B118" s="658" t="s">
        <v>235</v>
      </c>
      <c r="C118" s="583" t="s">
        <v>268</v>
      </c>
      <c r="D118" s="659">
        <f t="shared" si="9"/>
        <v>70</v>
      </c>
      <c r="E118" s="660">
        <v>68</v>
      </c>
      <c r="F118" s="661">
        <v>0</v>
      </c>
      <c r="G118" s="661">
        <v>0</v>
      </c>
      <c r="H118" s="661">
        <v>0</v>
      </c>
      <c r="I118" s="661">
        <v>0</v>
      </c>
      <c r="J118" s="661">
        <v>1</v>
      </c>
      <c r="K118" s="661">
        <v>1</v>
      </c>
      <c r="L118" s="662">
        <f t="shared" si="10"/>
        <v>1</v>
      </c>
      <c r="M118" s="672"/>
      <c r="N118" s="1143">
        <v>10</v>
      </c>
      <c r="O118" s="672">
        <v>21</v>
      </c>
      <c r="P118" s="1143">
        <v>28</v>
      </c>
      <c r="Q118" s="1756">
        <v>9</v>
      </c>
      <c r="R118" s="1756">
        <v>2</v>
      </c>
    </row>
    <row r="119" spans="1:18" ht="16.5" customHeight="1" x14ac:dyDescent="0.25">
      <c r="A119" s="657" t="s">
        <v>236</v>
      </c>
      <c r="B119" s="658" t="s">
        <v>237</v>
      </c>
      <c r="C119" s="583" t="s">
        <v>266</v>
      </c>
      <c r="D119" s="659">
        <f t="shared" si="9"/>
        <v>6</v>
      </c>
      <c r="E119" s="660">
        <v>5</v>
      </c>
      <c r="F119" s="661">
        <v>0</v>
      </c>
      <c r="G119" s="661">
        <v>0</v>
      </c>
      <c r="H119" s="661">
        <v>0</v>
      </c>
      <c r="I119" s="661">
        <v>0</v>
      </c>
      <c r="J119" s="661">
        <v>1</v>
      </c>
      <c r="K119" s="661">
        <v>0</v>
      </c>
      <c r="L119" s="662">
        <f t="shared" si="10"/>
        <v>1</v>
      </c>
      <c r="M119" s="1754"/>
      <c r="N119" s="1143">
        <v>0</v>
      </c>
      <c r="O119" s="1143">
        <v>0</v>
      </c>
      <c r="P119" s="1143">
        <v>4</v>
      </c>
      <c r="Q119" s="1756">
        <v>2</v>
      </c>
      <c r="R119" s="1756">
        <v>0</v>
      </c>
    </row>
    <row r="120" spans="1:18" ht="16.5" customHeight="1" x14ac:dyDescent="0.25">
      <c r="A120" s="657" t="s">
        <v>238</v>
      </c>
      <c r="B120" s="658" t="s">
        <v>239</v>
      </c>
      <c r="C120" s="583" t="s">
        <v>264</v>
      </c>
      <c r="D120" s="659">
        <f t="shared" si="9"/>
        <v>15</v>
      </c>
      <c r="E120" s="660">
        <v>5</v>
      </c>
      <c r="F120" s="661">
        <v>10</v>
      </c>
      <c r="G120" s="661">
        <v>0</v>
      </c>
      <c r="H120" s="661">
        <v>0</v>
      </c>
      <c r="I120" s="661">
        <v>0</v>
      </c>
      <c r="J120" s="661">
        <v>0</v>
      </c>
      <c r="K120" s="661">
        <v>0</v>
      </c>
      <c r="L120" s="662">
        <f t="shared" si="10"/>
        <v>0</v>
      </c>
      <c r="M120" s="1755"/>
      <c r="N120" s="1143">
        <v>3</v>
      </c>
      <c r="O120" s="1143">
        <v>3</v>
      </c>
      <c r="P120" s="1143">
        <v>5</v>
      </c>
      <c r="Q120" s="1756">
        <v>3</v>
      </c>
      <c r="R120" s="1756">
        <v>1</v>
      </c>
    </row>
    <row r="121" spans="1:18" ht="16.5" customHeight="1" x14ac:dyDescent="0.25">
      <c r="A121" s="657" t="s">
        <v>240</v>
      </c>
      <c r="B121" s="658" t="s">
        <v>241</v>
      </c>
      <c r="C121" s="583" t="s">
        <v>267</v>
      </c>
      <c r="D121" s="659">
        <f t="shared" si="9"/>
        <v>51</v>
      </c>
      <c r="E121" s="660">
        <v>37</v>
      </c>
      <c r="F121" s="661">
        <v>6</v>
      </c>
      <c r="G121" s="661">
        <v>1</v>
      </c>
      <c r="H121" s="661">
        <v>0</v>
      </c>
      <c r="I121" s="661">
        <v>0</v>
      </c>
      <c r="J121" s="661">
        <v>6</v>
      </c>
      <c r="K121" s="661">
        <v>1</v>
      </c>
      <c r="L121" s="662">
        <f t="shared" si="10"/>
        <v>7</v>
      </c>
      <c r="M121" s="672"/>
      <c r="N121" s="1143">
        <v>10</v>
      </c>
      <c r="O121" s="1143">
        <v>17</v>
      </c>
      <c r="P121" s="1143">
        <v>11</v>
      </c>
      <c r="Q121" s="1756">
        <v>8</v>
      </c>
      <c r="R121" s="1756">
        <v>5</v>
      </c>
    </row>
    <row r="122" spans="1:18" ht="16.5" customHeight="1" x14ac:dyDescent="0.25">
      <c r="A122" s="657" t="s">
        <v>242</v>
      </c>
      <c r="B122" s="658" t="s">
        <v>243</v>
      </c>
      <c r="C122" s="583" t="s">
        <v>268</v>
      </c>
      <c r="D122" s="659">
        <f t="shared" si="9"/>
        <v>155</v>
      </c>
      <c r="E122" s="660">
        <v>142</v>
      </c>
      <c r="F122" s="661">
        <v>9</v>
      </c>
      <c r="G122" s="661">
        <v>0</v>
      </c>
      <c r="H122" s="661">
        <v>0</v>
      </c>
      <c r="I122" s="661">
        <v>0</v>
      </c>
      <c r="J122" s="661">
        <v>4</v>
      </c>
      <c r="K122" s="661">
        <v>0</v>
      </c>
      <c r="L122" s="662">
        <f t="shared" si="10"/>
        <v>4</v>
      </c>
      <c r="M122" s="1755"/>
      <c r="N122" s="1143">
        <v>10</v>
      </c>
      <c r="O122" s="1143">
        <v>44</v>
      </c>
      <c r="P122" s="1143">
        <v>69</v>
      </c>
      <c r="Q122" s="1756">
        <v>25</v>
      </c>
      <c r="R122" s="1756">
        <v>7</v>
      </c>
    </row>
    <row r="123" spans="1:18" ht="16.5" customHeight="1" x14ac:dyDescent="0.25">
      <c r="A123" s="657" t="s">
        <v>244</v>
      </c>
      <c r="B123" s="658" t="s">
        <v>245</v>
      </c>
      <c r="C123" s="583" t="s">
        <v>268</v>
      </c>
      <c r="D123" s="659">
        <f t="shared" si="9"/>
        <v>54</v>
      </c>
      <c r="E123" s="660">
        <v>48</v>
      </c>
      <c r="F123" s="661">
        <v>0</v>
      </c>
      <c r="G123" s="661">
        <v>0</v>
      </c>
      <c r="H123" s="661">
        <v>0</v>
      </c>
      <c r="I123" s="661">
        <v>0</v>
      </c>
      <c r="J123" s="661">
        <v>6</v>
      </c>
      <c r="K123" s="661">
        <v>0</v>
      </c>
      <c r="L123" s="662">
        <f t="shared" si="10"/>
        <v>6</v>
      </c>
      <c r="M123" s="662"/>
      <c r="N123" s="1143">
        <v>12</v>
      </c>
      <c r="O123" s="1143">
        <v>15</v>
      </c>
      <c r="P123" s="1143">
        <v>18</v>
      </c>
      <c r="Q123" s="1756">
        <v>8</v>
      </c>
      <c r="R123" s="1756">
        <v>1</v>
      </c>
    </row>
    <row r="124" spans="1:18" ht="16.5" customHeight="1" x14ac:dyDescent="0.25">
      <c r="A124" s="657" t="s">
        <v>246</v>
      </c>
      <c r="B124" s="658" t="s">
        <v>310</v>
      </c>
      <c r="C124" s="583" t="s">
        <v>264</v>
      </c>
      <c r="D124" s="659">
        <f t="shared" si="9"/>
        <v>23</v>
      </c>
      <c r="E124" s="660">
        <v>8</v>
      </c>
      <c r="F124" s="661">
        <v>10</v>
      </c>
      <c r="G124" s="661">
        <v>0</v>
      </c>
      <c r="H124" s="661">
        <v>0</v>
      </c>
      <c r="I124" s="661">
        <v>0</v>
      </c>
      <c r="J124" s="661">
        <v>4</v>
      </c>
      <c r="K124" s="661">
        <v>1</v>
      </c>
      <c r="L124" s="662">
        <f t="shared" si="10"/>
        <v>4</v>
      </c>
      <c r="M124" s="1754"/>
      <c r="N124" s="1143">
        <v>0</v>
      </c>
      <c r="O124" s="672">
        <v>8</v>
      </c>
      <c r="P124" s="1143">
        <v>5</v>
      </c>
      <c r="Q124" s="1756">
        <v>7</v>
      </c>
      <c r="R124" s="1756">
        <v>3</v>
      </c>
    </row>
    <row r="125" spans="1:18" x14ac:dyDescent="0.25">
      <c r="D125" s="662"/>
      <c r="E125" s="662"/>
      <c r="F125" s="662"/>
      <c r="G125" s="662"/>
      <c r="H125" s="662"/>
      <c r="I125" s="662"/>
      <c r="J125" s="662"/>
      <c r="K125" s="662"/>
      <c r="L125" s="662"/>
      <c r="M125" s="662"/>
      <c r="N125" s="662"/>
      <c r="O125" s="662"/>
      <c r="P125" s="662"/>
    </row>
    <row r="126" spans="1:18" ht="32.25" customHeight="1" x14ac:dyDescent="0.25">
      <c r="A126" s="2289" t="s">
        <v>1343</v>
      </c>
      <c r="B126" s="2288"/>
      <c r="C126" s="2288"/>
      <c r="D126" s="2288"/>
      <c r="E126" s="2288"/>
      <c r="F126" s="2288"/>
      <c r="G126" s="2288"/>
      <c r="H126" s="2288"/>
      <c r="I126" s="2288"/>
      <c r="J126" s="2288"/>
      <c r="K126" s="2288"/>
      <c r="L126" s="2288"/>
      <c r="M126" s="2288"/>
      <c r="N126" s="673"/>
      <c r="O126" s="673"/>
      <c r="P126" s="673"/>
      <c r="Q126" s="673"/>
      <c r="R126" s="673"/>
    </row>
    <row r="127" spans="1:18" x14ac:dyDescent="0.25">
      <c r="A127" s="392" t="s">
        <v>1129</v>
      </c>
    </row>
    <row r="129" spans="1:3" s="412" customFormat="1" x14ac:dyDescent="0.25">
      <c r="A129" s="412" t="s">
        <v>248</v>
      </c>
    </row>
    <row r="130" spans="1:3" s="412" customFormat="1" x14ac:dyDescent="0.25">
      <c r="A130" s="413" t="s">
        <v>249</v>
      </c>
      <c r="B130" s="414" t="s">
        <v>250</v>
      </c>
      <c r="C130" s="414"/>
    </row>
  </sheetData>
  <autoFilter ref="A3:C3"/>
  <sortState ref="A5:R124">
    <sortCondition ref="B5:B124"/>
  </sortState>
  <mergeCells count="1">
    <mergeCell ref="A126:M126"/>
  </mergeCells>
  <hyperlinks>
    <hyperlink ref="B13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135"/>
  <sheetViews>
    <sheetView workbookViewId="0">
      <pane xSplit="2" ySplit="3" topLeftCell="C4" activePane="bottomRight" state="frozen"/>
      <selection pane="topRight" activeCell="C1" sqref="C1"/>
      <selection pane="bottomLeft" activeCell="A4" sqref="A4"/>
      <selection pane="bottomRight" activeCell="A123" sqref="A4:XFD123"/>
    </sheetView>
  </sheetViews>
  <sheetFormatPr defaultRowHeight="15.75" x14ac:dyDescent="0.25"/>
  <cols>
    <col min="1" max="1" width="8.75" style="515" customWidth="1"/>
    <col min="2" max="2" width="33.875" style="270" customWidth="1"/>
    <col min="3" max="3" width="11.625" style="270" customWidth="1"/>
    <col min="4" max="4" width="12.125" style="270" customWidth="1"/>
    <col min="5" max="5" width="16.75" style="515" customWidth="1"/>
    <col min="6" max="6" width="24.5" style="270" customWidth="1"/>
    <col min="7" max="7" width="26" style="270" customWidth="1"/>
    <col min="8" max="8" width="9" style="270"/>
    <col min="9" max="9" width="29.875" style="270" customWidth="1"/>
    <col min="10" max="10" width="25.625" style="270" customWidth="1"/>
    <col min="11" max="16384" width="9" style="270"/>
  </cols>
  <sheetData>
    <row r="1" spans="1:10" x14ac:dyDescent="0.25">
      <c r="A1" s="63" t="s">
        <v>1221</v>
      </c>
    </row>
    <row r="2" spans="1:10" x14ac:dyDescent="0.25">
      <c r="A2" s="63"/>
    </row>
    <row r="3" spans="1:10" ht="63" x14ac:dyDescent="0.25">
      <c r="A3" s="518" t="s">
        <v>4</v>
      </c>
      <c r="B3" s="519" t="s">
        <v>5</v>
      </c>
      <c r="C3" s="512" t="s">
        <v>251</v>
      </c>
      <c r="D3" s="520" t="s">
        <v>305</v>
      </c>
      <c r="E3" s="1770" t="s">
        <v>1192</v>
      </c>
      <c r="F3" s="1765" t="s">
        <v>1151</v>
      </c>
      <c r="G3" s="1765" t="s">
        <v>1223</v>
      </c>
      <c r="H3" s="516" t="s">
        <v>1219</v>
      </c>
      <c r="I3" s="514" t="s">
        <v>1220</v>
      </c>
      <c r="J3" s="1765" t="s">
        <v>1152</v>
      </c>
    </row>
    <row r="4" spans="1:10" x14ac:dyDescent="0.25">
      <c r="A4" s="521" t="s">
        <v>10</v>
      </c>
      <c r="B4" s="481" t="s">
        <v>11</v>
      </c>
      <c r="C4" s="481" t="s">
        <v>264</v>
      </c>
      <c r="D4" s="522" t="s">
        <v>10</v>
      </c>
      <c r="E4" s="515" t="s">
        <v>713</v>
      </c>
      <c r="F4" s="270" t="s">
        <v>648</v>
      </c>
      <c r="H4" s="517" t="s">
        <v>607</v>
      </c>
      <c r="I4" s="511" t="s">
        <v>710</v>
      </c>
      <c r="J4" s="270" t="s">
        <v>1153</v>
      </c>
    </row>
    <row r="5" spans="1:10" x14ac:dyDescent="0.25">
      <c r="A5" s="521" t="s">
        <v>12</v>
      </c>
      <c r="B5" s="481" t="s">
        <v>13</v>
      </c>
      <c r="C5" s="481" t="s">
        <v>265</v>
      </c>
      <c r="D5" s="522" t="s">
        <v>12</v>
      </c>
      <c r="E5" s="515" t="s">
        <v>715</v>
      </c>
      <c r="F5" s="270" t="s">
        <v>639</v>
      </c>
      <c r="G5" s="270" t="s">
        <v>657</v>
      </c>
      <c r="H5" s="517" t="s">
        <v>913</v>
      </c>
      <c r="I5" s="511" t="s">
        <v>711</v>
      </c>
      <c r="J5" s="270" t="s">
        <v>1154</v>
      </c>
    </row>
    <row r="6" spans="1:10" x14ac:dyDescent="0.25">
      <c r="A6" s="521" t="s">
        <v>16</v>
      </c>
      <c r="B6" s="481" t="s">
        <v>600</v>
      </c>
      <c r="C6" s="481" t="s">
        <v>265</v>
      </c>
      <c r="D6" s="522" t="s">
        <v>16</v>
      </c>
      <c r="E6" s="515" t="s">
        <v>713</v>
      </c>
      <c r="F6" s="270" t="s">
        <v>648</v>
      </c>
      <c r="H6" s="517" t="s">
        <v>913</v>
      </c>
      <c r="I6" s="511" t="s">
        <v>711</v>
      </c>
      <c r="J6" s="270" t="s">
        <v>1156</v>
      </c>
    </row>
    <row r="7" spans="1:10" x14ac:dyDescent="0.25">
      <c r="A7" s="521" t="s">
        <v>18</v>
      </c>
      <c r="B7" s="481" t="s">
        <v>19</v>
      </c>
      <c r="C7" s="481" t="s">
        <v>266</v>
      </c>
      <c r="D7" s="522" t="s">
        <v>18</v>
      </c>
      <c r="E7" s="515" t="s">
        <v>714</v>
      </c>
      <c r="F7" s="270" t="s">
        <v>639</v>
      </c>
      <c r="G7" s="270" t="s">
        <v>658</v>
      </c>
      <c r="H7" s="517" t="s">
        <v>913</v>
      </c>
      <c r="I7" s="511" t="s">
        <v>711</v>
      </c>
      <c r="J7" s="270" t="s">
        <v>1157</v>
      </c>
    </row>
    <row r="8" spans="1:10" x14ac:dyDescent="0.25">
      <c r="A8" s="521" t="s">
        <v>20</v>
      </c>
      <c r="B8" s="481" t="s">
        <v>21</v>
      </c>
      <c r="C8" s="481" t="s">
        <v>265</v>
      </c>
      <c r="D8" s="522" t="s">
        <v>20</v>
      </c>
      <c r="E8" s="515" t="s">
        <v>713</v>
      </c>
      <c r="F8" s="270" t="s">
        <v>648</v>
      </c>
      <c r="H8" s="517" t="s">
        <v>607</v>
      </c>
      <c r="I8" s="511" t="s">
        <v>710</v>
      </c>
      <c r="J8" s="270" t="s">
        <v>1153</v>
      </c>
    </row>
    <row r="9" spans="1:10" x14ac:dyDescent="0.25">
      <c r="A9" s="521" t="s">
        <v>22</v>
      </c>
      <c r="B9" s="481" t="s">
        <v>23</v>
      </c>
      <c r="C9" s="481" t="s">
        <v>265</v>
      </c>
      <c r="D9" s="522" t="s">
        <v>22</v>
      </c>
      <c r="E9" s="515" t="s">
        <v>714</v>
      </c>
      <c r="F9" s="270" t="s">
        <v>648</v>
      </c>
      <c r="H9" s="517" t="s">
        <v>913</v>
      </c>
      <c r="I9" s="511" t="s">
        <v>711</v>
      </c>
      <c r="J9" s="270" t="s">
        <v>1156</v>
      </c>
    </row>
    <row r="10" spans="1:10" x14ac:dyDescent="0.25">
      <c r="A10" s="521" t="s">
        <v>24</v>
      </c>
      <c r="B10" s="481" t="s">
        <v>25</v>
      </c>
      <c r="C10" s="481" t="s">
        <v>267</v>
      </c>
      <c r="D10" s="522" t="s">
        <v>24</v>
      </c>
      <c r="E10" s="523" t="s">
        <v>715</v>
      </c>
      <c r="F10" s="270" t="s">
        <v>639</v>
      </c>
      <c r="G10" s="270" t="s">
        <v>1158</v>
      </c>
      <c r="H10" s="517" t="s">
        <v>608</v>
      </c>
      <c r="I10" s="511" t="s">
        <v>712</v>
      </c>
      <c r="J10" s="270" t="s">
        <v>1155</v>
      </c>
    </row>
    <row r="11" spans="1:10" x14ac:dyDescent="0.25">
      <c r="A11" s="521" t="s">
        <v>26</v>
      </c>
      <c r="B11" s="481" t="s">
        <v>298</v>
      </c>
      <c r="C11" s="481" t="s">
        <v>265</v>
      </c>
      <c r="D11" s="522" t="s">
        <v>26</v>
      </c>
      <c r="E11" s="515" t="s">
        <v>715</v>
      </c>
      <c r="F11" s="270" t="s">
        <v>648</v>
      </c>
      <c r="H11" s="517" t="s">
        <v>913</v>
      </c>
      <c r="I11" s="511" t="s">
        <v>711</v>
      </c>
      <c r="J11" s="270" t="s">
        <v>1155</v>
      </c>
    </row>
    <row r="12" spans="1:10" x14ac:dyDescent="0.25">
      <c r="A12" s="521" t="s">
        <v>27</v>
      </c>
      <c r="B12" s="481" t="s">
        <v>28</v>
      </c>
      <c r="C12" s="481" t="s">
        <v>265</v>
      </c>
      <c r="D12" s="522" t="s">
        <v>27</v>
      </c>
      <c r="E12" s="515" t="s">
        <v>714</v>
      </c>
      <c r="F12" s="270" t="s">
        <v>648</v>
      </c>
      <c r="H12" s="517" t="s">
        <v>607</v>
      </c>
      <c r="I12" s="511" t="s">
        <v>710</v>
      </c>
      <c r="J12" s="270" t="s">
        <v>1153</v>
      </c>
    </row>
    <row r="13" spans="1:10" x14ac:dyDescent="0.25">
      <c r="A13" s="521" t="s">
        <v>29</v>
      </c>
      <c r="B13" s="481" t="s">
        <v>924</v>
      </c>
      <c r="C13" s="481" t="s">
        <v>265</v>
      </c>
      <c r="D13" s="522" t="s">
        <v>29</v>
      </c>
      <c r="E13" s="515" t="s">
        <v>715</v>
      </c>
      <c r="F13" s="270" t="s">
        <v>648</v>
      </c>
      <c r="H13" s="517" t="s">
        <v>913</v>
      </c>
      <c r="I13" s="511" t="s">
        <v>711</v>
      </c>
      <c r="J13" s="270" t="s">
        <v>1156</v>
      </c>
    </row>
    <row r="14" spans="1:10" x14ac:dyDescent="0.25">
      <c r="A14" s="521" t="s">
        <v>30</v>
      </c>
      <c r="B14" s="481" t="s">
        <v>31</v>
      </c>
      <c r="C14" s="481" t="s">
        <v>268</v>
      </c>
      <c r="D14" s="522" t="s">
        <v>30</v>
      </c>
      <c r="E14" s="515" t="s">
        <v>714</v>
      </c>
      <c r="F14" s="270" t="s">
        <v>648</v>
      </c>
      <c r="H14" s="517" t="s">
        <v>913</v>
      </c>
      <c r="I14" s="511" t="s">
        <v>711</v>
      </c>
      <c r="J14" s="270" t="s">
        <v>1157</v>
      </c>
    </row>
    <row r="15" spans="1:10" x14ac:dyDescent="0.25">
      <c r="A15" s="521" t="s">
        <v>32</v>
      </c>
      <c r="B15" s="481" t="s">
        <v>33</v>
      </c>
      <c r="C15" s="481" t="s">
        <v>265</v>
      </c>
      <c r="D15" s="522" t="s">
        <v>32</v>
      </c>
      <c r="E15" s="515" t="s">
        <v>714</v>
      </c>
      <c r="F15" s="270" t="s">
        <v>648</v>
      </c>
      <c r="H15" s="517" t="s">
        <v>607</v>
      </c>
      <c r="I15" s="511" t="s">
        <v>710</v>
      </c>
      <c r="J15" s="270" t="s">
        <v>1153</v>
      </c>
    </row>
    <row r="16" spans="1:10" x14ac:dyDescent="0.25">
      <c r="A16" s="521" t="s">
        <v>36</v>
      </c>
      <c r="B16" s="481" t="s">
        <v>37</v>
      </c>
      <c r="C16" s="481" t="s">
        <v>264</v>
      </c>
      <c r="D16" s="522" t="s">
        <v>36</v>
      </c>
      <c r="E16" s="515" t="s">
        <v>713</v>
      </c>
      <c r="F16" s="270" t="s">
        <v>648</v>
      </c>
      <c r="H16" s="517" t="s">
        <v>607</v>
      </c>
      <c r="I16" s="511" t="s">
        <v>710</v>
      </c>
      <c r="J16" s="270" t="s">
        <v>1153</v>
      </c>
    </row>
    <row r="17" spans="1:10" x14ac:dyDescent="0.25">
      <c r="A17" s="521" t="s">
        <v>38</v>
      </c>
      <c r="B17" s="481" t="s">
        <v>39</v>
      </c>
      <c r="C17" s="481" t="s">
        <v>268</v>
      </c>
      <c r="D17" s="522" t="s">
        <v>38</v>
      </c>
      <c r="E17" s="515" t="s">
        <v>713</v>
      </c>
      <c r="F17" s="270" t="s">
        <v>648</v>
      </c>
      <c r="H17" s="517" t="s">
        <v>913</v>
      </c>
      <c r="I17" s="511" t="s">
        <v>711</v>
      </c>
      <c r="J17" s="270" t="s">
        <v>1157</v>
      </c>
    </row>
    <row r="18" spans="1:10" x14ac:dyDescent="0.25">
      <c r="A18" s="521" t="s">
        <v>40</v>
      </c>
      <c r="B18" s="481" t="s">
        <v>41</v>
      </c>
      <c r="C18" s="481" t="s">
        <v>266</v>
      </c>
      <c r="D18" s="522" t="s">
        <v>40</v>
      </c>
      <c r="E18" s="515" t="s">
        <v>713</v>
      </c>
      <c r="F18" s="270" t="s">
        <v>648</v>
      </c>
      <c r="H18" s="517" t="s">
        <v>913</v>
      </c>
      <c r="I18" s="511" t="s">
        <v>711</v>
      </c>
      <c r="J18" s="270" t="s">
        <v>1157</v>
      </c>
    </row>
    <row r="19" spans="1:10" x14ac:dyDescent="0.25">
      <c r="A19" s="521" t="s">
        <v>42</v>
      </c>
      <c r="B19" s="481" t="s">
        <v>43</v>
      </c>
      <c r="C19" s="481" t="s">
        <v>265</v>
      </c>
      <c r="D19" s="522" t="s">
        <v>42</v>
      </c>
      <c r="E19" s="515" t="s">
        <v>713</v>
      </c>
      <c r="F19" s="270" t="s">
        <v>648</v>
      </c>
      <c r="H19" s="517" t="s">
        <v>913</v>
      </c>
      <c r="I19" s="511" t="s">
        <v>711</v>
      </c>
      <c r="J19" s="270" t="s">
        <v>1159</v>
      </c>
    </row>
    <row r="20" spans="1:10" x14ac:dyDescent="0.25">
      <c r="A20" s="521" t="s">
        <v>44</v>
      </c>
      <c r="B20" s="481" t="s">
        <v>45</v>
      </c>
      <c r="C20" s="481" t="s">
        <v>266</v>
      </c>
      <c r="D20" s="522" t="s">
        <v>44</v>
      </c>
      <c r="E20" s="515" t="s">
        <v>713</v>
      </c>
      <c r="F20" s="270" t="s">
        <v>648</v>
      </c>
      <c r="H20" s="517" t="s">
        <v>913</v>
      </c>
      <c r="I20" s="511" t="s">
        <v>711</v>
      </c>
      <c r="J20" s="270" t="s">
        <v>1156</v>
      </c>
    </row>
    <row r="21" spans="1:10" x14ac:dyDescent="0.25">
      <c r="A21" s="521" t="s">
        <v>46</v>
      </c>
      <c r="B21" s="481" t="s">
        <v>47</v>
      </c>
      <c r="C21" s="481" t="s">
        <v>268</v>
      </c>
      <c r="D21" s="522" t="s">
        <v>46</v>
      </c>
      <c r="E21" s="515" t="s">
        <v>713</v>
      </c>
      <c r="F21" s="270" t="s">
        <v>648</v>
      </c>
      <c r="H21" s="517" t="s">
        <v>913</v>
      </c>
      <c r="I21" s="511" t="s">
        <v>711</v>
      </c>
      <c r="J21" s="270" t="s">
        <v>1157</v>
      </c>
    </row>
    <row r="22" spans="1:10" x14ac:dyDescent="0.25">
      <c r="A22" s="521" t="s">
        <v>48</v>
      </c>
      <c r="B22" s="481" t="s">
        <v>269</v>
      </c>
      <c r="C22" s="481" t="s">
        <v>266</v>
      </c>
      <c r="D22" s="522" t="s">
        <v>48</v>
      </c>
      <c r="E22" s="515" t="s">
        <v>714</v>
      </c>
      <c r="F22" s="270" t="s">
        <v>648</v>
      </c>
      <c r="H22" s="517" t="s">
        <v>913</v>
      </c>
      <c r="I22" s="511" t="s">
        <v>711</v>
      </c>
      <c r="J22" s="270" t="s">
        <v>1160</v>
      </c>
    </row>
    <row r="23" spans="1:10" x14ac:dyDescent="0.25">
      <c r="A23" s="521" t="s">
        <v>50</v>
      </c>
      <c r="B23" s="481" t="s">
        <v>51</v>
      </c>
      <c r="C23" s="481" t="s">
        <v>265</v>
      </c>
      <c r="D23" s="522" t="s">
        <v>50</v>
      </c>
      <c r="E23" s="515" t="s">
        <v>713</v>
      </c>
      <c r="F23" s="270" t="s">
        <v>648</v>
      </c>
      <c r="H23" s="517" t="s">
        <v>913</v>
      </c>
      <c r="I23" s="511" t="s">
        <v>711</v>
      </c>
      <c r="J23" s="270" t="s">
        <v>1157</v>
      </c>
    </row>
    <row r="24" spans="1:10" x14ac:dyDescent="0.25">
      <c r="A24" s="521" t="s">
        <v>56</v>
      </c>
      <c r="B24" s="481" t="s">
        <v>295</v>
      </c>
      <c r="C24" s="481" t="s">
        <v>266</v>
      </c>
      <c r="D24" s="522" t="s">
        <v>56</v>
      </c>
      <c r="E24" s="515" t="s">
        <v>715</v>
      </c>
      <c r="F24" s="270" t="s">
        <v>648</v>
      </c>
      <c r="H24" s="517" t="s">
        <v>608</v>
      </c>
      <c r="I24" s="511" t="s">
        <v>712</v>
      </c>
      <c r="J24" s="270" t="s">
        <v>1155</v>
      </c>
    </row>
    <row r="25" spans="1:10" x14ac:dyDescent="0.25">
      <c r="A25" s="521" t="s">
        <v>58</v>
      </c>
      <c r="B25" s="481" t="s">
        <v>59</v>
      </c>
      <c r="C25" s="481" t="s">
        <v>267</v>
      </c>
      <c r="D25" s="522" t="s">
        <v>58</v>
      </c>
      <c r="E25" s="515" t="s">
        <v>714</v>
      </c>
      <c r="F25" s="270" t="s">
        <v>648</v>
      </c>
      <c r="H25" s="517" t="s">
        <v>1161</v>
      </c>
      <c r="I25" s="511" t="s">
        <v>710</v>
      </c>
      <c r="J25" s="270" t="s">
        <v>1153</v>
      </c>
    </row>
    <row r="26" spans="1:10" x14ac:dyDescent="0.25">
      <c r="A26" s="521" t="s">
        <v>60</v>
      </c>
      <c r="B26" s="481" t="s">
        <v>61</v>
      </c>
      <c r="C26" s="481" t="s">
        <v>265</v>
      </c>
      <c r="D26" s="522" t="s">
        <v>60</v>
      </c>
      <c r="E26" s="515" t="s">
        <v>714</v>
      </c>
      <c r="F26" s="270" t="s">
        <v>648</v>
      </c>
      <c r="H26" s="517" t="s">
        <v>607</v>
      </c>
      <c r="I26" s="511" t="s">
        <v>710</v>
      </c>
      <c r="J26" s="270" t="s">
        <v>1153</v>
      </c>
    </row>
    <row r="27" spans="1:10" x14ac:dyDescent="0.25">
      <c r="A27" s="521" t="s">
        <v>62</v>
      </c>
      <c r="B27" s="481" t="s">
        <v>63</v>
      </c>
      <c r="C27" s="481" t="s">
        <v>267</v>
      </c>
      <c r="D27" s="522" t="s">
        <v>62</v>
      </c>
      <c r="E27" s="515" t="s">
        <v>713</v>
      </c>
      <c r="F27" s="270" t="s">
        <v>648</v>
      </c>
      <c r="H27" s="517" t="s">
        <v>913</v>
      </c>
      <c r="I27" s="511" t="s">
        <v>711</v>
      </c>
      <c r="J27" s="270" t="s">
        <v>1156</v>
      </c>
    </row>
    <row r="28" spans="1:10" x14ac:dyDescent="0.25">
      <c r="A28" s="521" t="s">
        <v>64</v>
      </c>
      <c r="B28" s="481" t="s">
        <v>65</v>
      </c>
      <c r="C28" s="481" t="s">
        <v>266</v>
      </c>
      <c r="D28" s="522" t="s">
        <v>64</v>
      </c>
      <c r="E28" s="515" t="s">
        <v>714</v>
      </c>
      <c r="F28" s="270" t="s">
        <v>648</v>
      </c>
      <c r="H28" s="517" t="s">
        <v>913</v>
      </c>
      <c r="I28" s="511" t="s">
        <v>711</v>
      </c>
      <c r="J28" s="270" t="s">
        <v>1160</v>
      </c>
    </row>
    <row r="29" spans="1:10" x14ac:dyDescent="0.25">
      <c r="A29" s="521" t="s">
        <v>68</v>
      </c>
      <c r="B29" s="481" t="s">
        <v>69</v>
      </c>
      <c r="C29" s="481" t="s">
        <v>268</v>
      </c>
      <c r="D29" s="522" t="s">
        <v>68</v>
      </c>
      <c r="E29" s="515" t="s">
        <v>713</v>
      </c>
      <c r="F29" s="270" t="s">
        <v>648</v>
      </c>
      <c r="H29" s="517" t="s">
        <v>607</v>
      </c>
      <c r="I29" s="511" t="s">
        <v>710</v>
      </c>
      <c r="J29" s="270" t="s">
        <v>1153</v>
      </c>
    </row>
    <row r="30" spans="1:10" x14ac:dyDescent="0.25">
      <c r="A30" s="521" t="s">
        <v>70</v>
      </c>
      <c r="B30" s="481" t="s">
        <v>71</v>
      </c>
      <c r="C30" s="481" t="s">
        <v>264</v>
      </c>
      <c r="D30" s="522" t="s">
        <v>70</v>
      </c>
      <c r="E30" s="515" t="s">
        <v>713</v>
      </c>
      <c r="F30" s="270" t="s">
        <v>639</v>
      </c>
      <c r="G30" s="270" t="s">
        <v>658</v>
      </c>
      <c r="H30" s="517" t="s">
        <v>913</v>
      </c>
      <c r="I30" s="511" t="s">
        <v>711</v>
      </c>
      <c r="J30" s="270" t="s">
        <v>1156</v>
      </c>
    </row>
    <row r="31" spans="1:10" x14ac:dyDescent="0.25">
      <c r="A31" s="521" t="s">
        <v>72</v>
      </c>
      <c r="B31" s="481" t="s">
        <v>73</v>
      </c>
      <c r="C31" s="481" t="s">
        <v>266</v>
      </c>
      <c r="D31" s="522" t="s">
        <v>72</v>
      </c>
      <c r="E31" s="515" t="s">
        <v>714</v>
      </c>
      <c r="F31" s="270" t="s">
        <v>648</v>
      </c>
      <c r="H31" s="517" t="s">
        <v>913</v>
      </c>
      <c r="I31" s="511" t="s">
        <v>711</v>
      </c>
      <c r="J31" s="270" t="s">
        <v>1160</v>
      </c>
    </row>
    <row r="32" spans="1:10" x14ac:dyDescent="0.25">
      <c r="A32" s="521" t="s">
        <v>74</v>
      </c>
      <c r="B32" s="481" t="s">
        <v>774</v>
      </c>
      <c r="C32" s="481" t="s">
        <v>267</v>
      </c>
      <c r="D32" s="522" t="s">
        <v>74</v>
      </c>
      <c r="E32" s="515" t="s">
        <v>715</v>
      </c>
      <c r="F32" s="270" t="s">
        <v>639</v>
      </c>
      <c r="G32" s="270" t="s">
        <v>1090</v>
      </c>
      <c r="H32" s="517" t="s">
        <v>608</v>
      </c>
      <c r="I32" s="511" t="s">
        <v>712</v>
      </c>
      <c r="J32" s="270" t="s">
        <v>1155</v>
      </c>
    </row>
    <row r="33" spans="1:10" x14ac:dyDescent="0.25">
      <c r="A33" s="521" t="s">
        <v>76</v>
      </c>
      <c r="B33" s="481" t="s">
        <v>77</v>
      </c>
      <c r="C33" s="481" t="s">
        <v>267</v>
      </c>
      <c r="D33" s="522" t="s">
        <v>76</v>
      </c>
      <c r="E33" s="515" t="s">
        <v>713</v>
      </c>
      <c r="F33" s="270" t="s">
        <v>639</v>
      </c>
      <c r="G33" s="270" t="s">
        <v>658</v>
      </c>
      <c r="H33" s="517" t="s">
        <v>608</v>
      </c>
      <c r="I33" s="511" t="s">
        <v>712</v>
      </c>
      <c r="J33" s="270" t="s">
        <v>1155</v>
      </c>
    </row>
    <row r="34" spans="1:10" x14ac:dyDescent="0.25">
      <c r="A34" s="521" t="s">
        <v>78</v>
      </c>
      <c r="B34" s="481" t="s">
        <v>79</v>
      </c>
      <c r="C34" s="481" t="s">
        <v>268</v>
      </c>
      <c r="D34" s="522" t="s">
        <v>78</v>
      </c>
      <c r="E34" s="515" t="s">
        <v>714</v>
      </c>
      <c r="F34" s="270" t="s">
        <v>648</v>
      </c>
      <c r="H34" s="517" t="s">
        <v>607</v>
      </c>
      <c r="I34" s="511" t="s">
        <v>710</v>
      </c>
      <c r="J34" s="270" t="s">
        <v>1153</v>
      </c>
    </row>
    <row r="35" spans="1:10" x14ac:dyDescent="0.25">
      <c r="A35" s="521" t="s">
        <v>80</v>
      </c>
      <c r="B35" s="481" t="s">
        <v>81</v>
      </c>
      <c r="C35" s="481" t="s">
        <v>266</v>
      </c>
      <c r="D35" s="522" t="s">
        <v>80</v>
      </c>
      <c r="E35" s="515" t="s">
        <v>713</v>
      </c>
      <c r="F35" s="270" t="s">
        <v>648</v>
      </c>
      <c r="H35" s="517" t="s">
        <v>913</v>
      </c>
      <c r="I35" s="511" t="s">
        <v>711</v>
      </c>
      <c r="J35" s="270" t="s">
        <v>1162</v>
      </c>
    </row>
    <row r="36" spans="1:10" x14ac:dyDescent="0.25">
      <c r="A36" s="521" t="s">
        <v>84</v>
      </c>
      <c r="B36" s="481" t="s">
        <v>308</v>
      </c>
      <c r="C36" s="481" t="s">
        <v>265</v>
      </c>
      <c r="D36" s="522" t="s">
        <v>84</v>
      </c>
      <c r="E36" s="515" t="s">
        <v>713</v>
      </c>
      <c r="F36" s="270" t="s">
        <v>648</v>
      </c>
      <c r="H36" s="517" t="s">
        <v>607</v>
      </c>
      <c r="I36" s="511" t="s">
        <v>710</v>
      </c>
      <c r="J36" s="270" t="s">
        <v>1153</v>
      </c>
    </row>
    <row r="37" spans="1:10" x14ac:dyDescent="0.25">
      <c r="A37" s="521" t="s">
        <v>86</v>
      </c>
      <c r="B37" s="481" t="s">
        <v>87</v>
      </c>
      <c r="C37" s="481" t="s">
        <v>267</v>
      </c>
      <c r="D37" s="522" t="s">
        <v>86</v>
      </c>
      <c r="E37" s="515" t="s">
        <v>713</v>
      </c>
      <c r="F37" s="270" t="s">
        <v>648</v>
      </c>
      <c r="H37" s="517" t="s">
        <v>913</v>
      </c>
      <c r="I37" s="511" t="s">
        <v>711</v>
      </c>
      <c r="J37" s="270" t="s">
        <v>1160</v>
      </c>
    </row>
    <row r="38" spans="1:10" x14ac:dyDescent="0.25">
      <c r="A38" s="521" t="s">
        <v>92</v>
      </c>
      <c r="B38" s="481" t="s">
        <v>93</v>
      </c>
      <c r="C38" s="481" t="s">
        <v>268</v>
      </c>
      <c r="D38" s="522" t="s">
        <v>92</v>
      </c>
      <c r="E38" s="515" t="s">
        <v>713</v>
      </c>
      <c r="F38" s="270" t="s">
        <v>648</v>
      </c>
      <c r="H38" s="517" t="s">
        <v>913</v>
      </c>
      <c r="I38" s="511" t="s">
        <v>711</v>
      </c>
      <c r="J38" s="270" t="s">
        <v>1157</v>
      </c>
    </row>
    <row r="39" spans="1:10" x14ac:dyDescent="0.25">
      <c r="A39" s="521" t="s">
        <v>94</v>
      </c>
      <c r="B39" s="481" t="s">
        <v>95</v>
      </c>
      <c r="C39" s="481" t="s">
        <v>264</v>
      </c>
      <c r="D39" s="522" t="s">
        <v>94</v>
      </c>
      <c r="E39" s="515" t="s">
        <v>713</v>
      </c>
      <c r="F39" s="270" t="s">
        <v>648</v>
      </c>
      <c r="H39" s="517" t="s">
        <v>913</v>
      </c>
      <c r="I39" s="511" t="s">
        <v>711</v>
      </c>
      <c r="J39" s="270" t="s">
        <v>1165</v>
      </c>
    </row>
    <row r="40" spans="1:10" x14ac:dyDescent="0.25">
      <c r="A40" s="521" t="s">
        <v>96</v>
      </c>
      <c r="B40" s="481" t="s">
        <v>97</v>
      </c>
      <c r="C40" s="481" t="s">
        <v>266</v>
      </c>
      <c r="D40" s="522" t="s">
        <v>96</v>
      </c>
      <c r="E40" s="515" t="s">
        <v>714</v>
      </c>
      <c r="F40" s="270" t="s">
        <v>648</v>
      </c>
      <c r="H40" s="517" t="s">
        <v>913</v>
      </c>
      <c r="I40" s="511" t="s">
        <v>711</v>
      </c>
      <c r="J40" s="270" t="s">
        <v>1156</v>
      </c>
    </row>
    <row r="41" spans="1:10" x14ac:dyDescent="0.25">
      <c r="A41" s="521" t="s">
        <v>98</v>
      </c>
      <c r="B41" s="481" t="s">
        <v>99</v>
      </c>
      <c r="C41" s="481" t="s">
        <v>268</v>
      </c>
      <c r="D41" s="522" t="s">
        <v>98</v>
      </c>
      <c r="E41" s="515" t="s">
        <v>713</v>
      </c>
      <c r="F41" s="270" t="s">
        <v>648</v>
      </c>
      <c r="H41" s="517" t="s">
        <v>913</v>
      </c>
      <c r="I41" s="511" t="s">
        <v>711</v>
      </c>
      <c r="J41" s="270" t="s">
        <v>1166</v>
      </c>
    </row>
    <row r="42" spans="1:10" x14ac:dyDescent="0.25">
      <c r="A42" s="521" t="s">
        <v>100</v>
      </c>
      <c r="B42" s="481" t="s">
        <v>101</v>
      </c>
      <c r="C42" s="481" t="s">
        <v>267</v>
      </c>
      <c r="D42" s="522" t="s">
        <v>100</v>
      </c>
      <c r="E42" s="515" t="s">
        <v>714</v>
      </c>
      <c r="F42" s="270" t="s">
        <v>648</v>
      </c>
      <c r="H42" s="517" t="s">
        <v>913</v>
      </c>
      <c r="I42" s="511" t="s">
        <v>711</v>
      </c>
      <c r="J42" s="270" t="s">
        <v>1167</v>
      </c>
    </row>
    <row r="43" spans="1:10" x14ac:dyDescent="0.25">
      <c r="A43" s="521" t="s">
        <v>102</v>
      </c>
      <c r="B43" s="481" t="s">
        <v>282</v>
      </c>
      <c r="C43" s="481" t="s">
        <v>264</v>
      </c>
      <c r="D43" s="522" t="s">
        <v>102</v>
      </c>
      <c r="E43" s="515" t="s">
        <v>713</v>
      </c>
      <c r="F43" s="270" t="s">
        <v>648</v>
      </c>
      <c r="H43" s="517" t="s">
        <v>913</v>
      </c>
      <c r="I43" s="511" t="s">
        <v>711</v>
      </c>
      <c r="J43" s="270" t="s">
        <v>1157</v>
      </c>
    </row>
    <row r="44" spans="1:10" x14ac:dyDescent="0.25">
      <c r="A44" s="521" t="s">
        <v>104</v>
      </c>
      <c r="B44" s="481" t="s">
        <v>602</v>
      </c>
      <c r="C44" s="481" t="s">
        <v>265</v>
      </c>
      <c r="D44" s="522" t="s">
        <v>104</v>
      </c>
      <c r="E44" s="515" t="s">
        <v>713</v>
      </c>
      <c r="F44" s="270" t="s">
        <v>648</v>
      </c>
      <c r="H44" s="517" t="s">
        <v>607</v>
      </c>
      <c r="I44" s="511" t="s">
        <v>710</v>
      </c>
      <c r="J44" s="270" t="s">
        <v>1153</v>
      </c>
    </row>
    <row r="45" spans="1:10" x14ac:dyDescent="0.25">
      <c r="A45" s="521" t="s">
        <v>108</v>
      </c>
      <c r="B45" s="481" t="s">
        <v>109</v>
      </c>
      <c r="C45" s="481" t="s">
        <v>266</v>
      </c>
      <c r="D45" s="522" t="s">
        <v>108</v>
      </c>
      <c r="E45" s="515" t="s">
        <v>713</v>
      </c>
      <c r="F45" s="270" t="s">
        <v>639</v>
      </c>
      <c r="G45" s="270" t="s">
        <v>1091</v>
      </c>
      <c r="H45" s="517" t="s">
        <v>608</v>
      </c>
      <c r="I45" s="511" t="s">
        <v>712</v>
      </c>
      <c r="J45" s="270" t="s">
        <v>1155</v>
      </c>
    </row>
    <row r="46" spans="1:10" x14ac:dyDescent="0.25">
      <c r="A46" s="521" t="s">
        <v>110</v>
      </c>
      <c r="B46" s="481" t="s">
        <v>111</v>
      </c>
      <c r="C46" s="481" t="s">
        <v>266</v>
      </c>
      <c r="D46" s="522" t="s">
        <v>110</v>
      </c>
      <c r="E46" s="515" t="s">
        <v>715</v>
      </c>
      <c r="F46" s="270" t="s">
        <v>648</v>
      </c>
      <c r="H46" s="517" t="s">
        <v>608</v>
      </c>
      <c r="I46" s="511" t="s">
        <v>712</v>
      </c>
      <c r="J46" s="270" t="s">
        <v>1155</v>
      </c>
    </row>
    <row r="47" spans="1:10" x14ac:dyDescent="0.25">
      <c r="A47" s="521" t="s">
        <v>112</v>
      </c>
      <c r="B47" s="481" t="s">
        <v>300</v>
      </c>
      <c r="C47" s="481" t="s">
        <v>265</v>
      </c>
      <c r="D47" s="522" t="s">
        <v>112</v>
      </c>
      <c r="E47" s="515" t="s">
        <v>715</v>
      </c>
      <c r="F47" s="270" t="s">
        <v>648</v>
      </c>
      <c r="H47" s="517" t="s">
        <v>607</v>
      </c>
      <c r="I47" s="511" t="s">
        <v>710</v>
      </c>
      <c r="J47" s="270" t="s">
        <v>1153</v>
      </c>
    </row>
    <row r="48" spans="1:10" x14ac:dyDescent="0.25">
      <c r="A48" s="521" t="s">
        <v>114</v>
      </c>
      <c r="B48" s="481" t="s">
        <v>115</v>
      </c>
      <c r="C48" s="481" t="s">
        <v>265</v>
      </c>
      <c r="D48" s="522" t="s">
        <v>114</v>
      </c>
      <c r="E48" s="515" t="s">
        <v>714</v>
      </c>
      <c r="F48" s="270" t="s">
        <v>648</v>
      </c>
      <c r="H48" s="517" t="s">
        <v>607</v>
      </c>
      <c r="I48" s="511" t="s">
        <v>710</v>
      </c>
      <c r="J48" s="270" t="s">
        <v>1153</v>
      </c>
    </row>
    <row r="49" spans="1:10" x14ac:dyDescent="0.25">
      <c r="A49" s="521" t="s">
        <v>118</v>
      </c>
      <c r="B49" s="481" t="s">
        <v>119</v>
      </c>
      <c r="C49" s="481" t="s">
        <v>264</v>
      </c>
      <c r="D49" s="522" t="s">
        <v>118</v>
      </c>
      <c r="E49" s="515" t="s">
        <v>713</v>
      </c>
      <c r="F49" s="270" t="s">
        <v>648</v>
      </c>
      <c r="H49" s="517" t="s">
        <v>913</v>
      </c>
      <c r="I49" s="511" t="s">
        <v>711</v>
      </c>
      <c r="J49" s="270" t="s">
        <v>1157</v>
      </c>
    </row>
    <row r="50" spans="1:10" x14ac:dyDescent="0.25">
      <c r="A50" s="521" t="s">
        <v>120</v>
      </c>
      <c r="B50" s="481" t="s">
        <v>121</v>
      </c>
      <c r="C50" s="481" t="s">
        <v>264</v>
      </c>
      <c r="D50" s="522" t="s">
        <v>120</v>
      </c>
      <c r="E50" s="515" t="s">
        <v>713</v>
      </c>
      <c r="F50" s="270" t="s">
        <v>639</v>
      </c>
      <c r="G50" s="270" t="s">
        <v>657</v>
      </c>
      <c r="H50" s="517" t="s">
        <v>608</v>
      </c>
      <c r="I50" s="511" t="s">
        <v>712</v>
      </c>
      <c r="J50" s="270" t="s">
        <v>1155</v>
      </c>
    </row>
    <row r="51" spans="1:10" x14ac:dyDescent="0.25">
      <c r="A51" s="521" t="s">
        <v>122</v>
      </c>
      <c r="B51" s="481" t="s">
        <v>271</v>
      </c>
      <c r="C51" s="481" t="s">
        <v>266</v>
      </c>
      <c r="D51" s="522" t="s">
        <v>122</v>
      </c>
      <c r="E51" s="515" t="s">
        <v>714</v>
      </c>
      <c r="F51" s="270" t="s">
        <v>639</v>
      </c>
      <c r="G51" s="270" t="s">
        <v>658</v>
      </c>
      <c r="H51" s="517" t="s">
        <v>913</v>
      </c>
      <c r="I51" s="511" t="s">
        <v>711</v>
      </c>
      <c r="J51" s="270" t="s">
        <v>1156</v>
      </c>
    </row>
    <row r="52" spans="1:10" x14ac:dyDescent="0.25">
      <c r="A52" s="521" t="s">
        <v>124</v>
      </c>
      <c r="B52" s="481" t="s">
        <v>125</v>
      </c>
      <c r="C52" s="481" t="s">
        <v>267</v>
      </c>
      <c r="D52" s="522" t="s">
        <v>124</v>
      </c>
      <c r="E52" s="515" t="s">
        <v>714</v>
      </c>
      <c r="F52" s="270" t="s">
        <v>648</v>
      </c>
      <c r="H52" s="517" t="s">
        <v>913</v>
      </c>
      <c r="I52" s="511" t="s">
        <v>711</v>
      </c>
      <c r="J52" s="270" t="s">
        <v>1160</v>
      </c>
    </row>
    <row r="53" spans="1:10" x14ac:dyDescent="0.25">
      <c r="A53" s="521" t="s">
        <v>126</v>
      </c>
      <c r="B53" s="481" t="s">
        <v>127</v>
      </c>
      <c r="C53" s="481" t="s">
        <v>266</v>
      </c>
      <c r="D53" s="522" t="s">
        <v>126</v>
      </c>
      <c r="E53" s="515" t="s">
        <v>714</v>
      </c>
      <c r="F53" s="270" t="s">
        <v>648</v>
      </c>
      <c r="H53" s="517" t="s">
        <v>913</v>
      </c>
      <c r="I53" s="511" t="s">
        <v>711</v>
      </c>
      <c r="J53" s="270" t="s">
        <v>1180</v>
      </c>
    </row>
    <row r="54" spans="1:10" x14ac:dyDescent="0.25">
      <c r="A54" s="521" t="s">
        <v>128</v>
      </c>
      <c r="B54" s="481" t="s">
        <v>129</v>
      </c>
      <c r="C54" s="481" t="s">
        <v>266</v>
      </c>
      <c r="D54" s="522" t="s">
        <v>128</v>
      </c>
      <c r="E54" s="515" t="s">
        <v>714</v>
      </c>
      <c r="F54" s="270" t="s">
        <v>648</v>
      </c>
      <c r="H54" s="517" t="s">
        <v>913</v>
      </c>
      <c r="I54" s="511" t="s">
        <v>711</v>
      </c>
      <c r="J54" s="270" t="s">
        <v>1160</v>
      </c>
    </row>
    <row r="55" spans="1:10" x14ac:dyDescent="0.25">
      <c r="A55" s="521" t="s">
        <v>130</v>
      </c>
      <c r="B55" s="481" t="s">
        <v>131</v>
      </c>
      <c r="C55" s="481" t="s">
        <v>268</v>
      </c>
      <c r="D55" s="522" t="s">
        <v>130</v>
      </c>
      <c r="E55" s="515" t="s">
        <v>713</v>
      </c>
      <c r="F55" s="270" t="s">
        <v>648</v>
      </c>
      <c r="H55" s="517" t="s">
        <v>607</v>
      </c>
      <c r="I55" s="511" t="s">
        <v>710</v>
      </c>
      <c r="J55" s="270" t="s">
        <v>1153</v>
      </c>
    </row>
    <row r="56" spans="1:10" x14ac:dyDescent="0.25">
      <c r="A56" s="521" t="s">
        <v>132</v>
      </c>
      <c r="B56" s="481" t="s">
        <v>133</v>
      </c>
      <c r="C56" s="481" t="s">
        <v>267</v>
      </c>
      <c r="D56" s="522" t="s">
        <v>132</v>
      </c>
      <c r="E56" s="515" t="s">
        <v>715</v>
      </c>
      <c r="F56" s="270" t="s">
        <v>639</v>
      </c>
      <c r="G56" s="270" t="s">
        <v>658</v>
      </c>
      <c r="H56" s="517" t="s">
        <v>608</v>
      </c>
      <c r="I56" s="511" t="s">
        <v>712</v>
      </c>
      <c r="J56" s="270" t="s">
        <v>1155</v>
      </c>
    </row>
    <row r="57" spans="1:10" x14ac:dyDescent="0.25">
      <c r="A57" s="521" t="s">
        <v>134</v>
      </c>
      <c r="B57" s="481" t="s">
        <v>135</v>
      </c>
      <c r="C57" s="481" t="s">
        <v>267</v>
      </c>
      <c r="D57" s="522" t="s">
        <v>134</v>
      </c>
      <c r="E57" s="515" t="s">
        <v>713</v>
      </c>
      <c r="F57" s="270" t="s">
        <v>639</v>
      </c>
      <c r="G57" s="270" t="s">
        <v>658</v>
      </c>
      <c r="H57" s="517" t="s">
        <v>608</v>
      </c>
      <c r="I57" s="511" t="s">
        <v>712</v>
      </c>
      <c r="J57" s="270" t="s">
        <v>1155</v>
      </c>
    </row>
    <row r="58" spans="1:10" x14ac:dyDescent="0.25">
      <c r="A58" s="521" t="s">
        <v>136</v>
      </c>
      <c r="B58" s="481" t="s">
        <v>137</v>
      </c>
      <c r="C58" s="481" t="s">
        <v>266</v>
      </c>
      <c r="D58" s="522" t="s">
        <v>136</v>
      </c>
      <c r="E58" s="515" t="s">
        <v>714</v>
      </c>
      <c r="F58" s="270" t="s">
        <v>639</v>
      </c>
      <c r="G58" s="270" t="s">
        <v>658</v>
      </c>
      <c r="H58" s="517" t="s">
        <v>913</v>
      </c>
      <c r="I58" s="511" t="s">
        <v>711</v>
      </c>
      <c r="J58" s="270" t="s">
        <v>1157</v>
      </c>
    </row>
    <row r="59" spans="1:10" x14ac:dyDescent="0.25">
      <c r="A59" s="521" t="s">
        <v>140</v>
      </c>
      <c r="B59" s="481" t="s">
        <v>141</v>
      </c>
      <c r="C59" s="481" t="s">
        <v>267</v>
      </c>
      <c r="D59" s="522" t="s">
        <v>140</v>
      </c>
      <c r="E59" s="515" t="s">
        <v>714</v>
      </c>
      <c r="F59" s="270" t="s">
        <v>648</v>
      </c>
      <c r="H59" s="517" t="s">
        <v>607</v>
      </c>
      <c r="I59" s="511" t="s">
        <v>710</v>
      </c>
      <c r="J59" s="270" t="s">
        <v>1153</v>
      </c>
    </row>
    <row r="60" spans="1:10" x14ac:dyDescent="0.25">
      <c r="A60" s="521" t="s">
        <v>146</v>
      </c>
      <c r="B60" s="481" t="s">
        <v>147</v>
      </c>
      <c r="C60" s="481" t="s">
        <v>264</v>
      </c>
      <c r="D60" s="522" t="s">
        <v>146</v>
      </c>
      <c r="E60" s="515" t="s">
        <v>714</v>
      </c>
      <c r="F60" s="270" t="s">
        <v>648</v>
      </c>
      <c r="H60" s="517" t="s">
        <v>913</v>
      </c>
      <c r="I60" s="511" t="s">
        <v>711</v>
      </c>
      <c r="J60" s="270" t="s">
        <v>1160</v>
      </c>
    </row>
    <row r="61" spans="1:10" x14ac:dyDescent="0.25">
      <c r="A61" s="521" t="s">
        <v>148</v>
      </c>
      <c r="B61" s="481" t="s">
        <v>149</v>
      </c>
      <c r="C61" s="481" t="s">
        <v>265</v>
      </c>
      <c r="D61" s="522" t="s">
        <v>148</v>
      </c>
      <c r="E61" s="515" t="s">
        <v>713</v>
      </c>
      <c r="F61" s="270" t="s">
        <v>648</v>
      </c>
      <c r="H61" s="517" t="s">
        <v>913</v>
      </c>
      <c r="I61" s="511" t="s">
        <v>711</v>
      </c>
      <c r="J61" s="270" t="s">
        <v>1162</v>
      </c>
    </row>
    <row r="62" spans="1:10" x14ac:dyDescent="0.25">
      <c r="A62" s="521" t="s">
        <v>150</v>
      </c>
      <c r="B62" s="481" t="s">
        <v>151</v>
      </c>
      <c r="C62" s="481" t="s">
        <v>266</v>
      </c>
      <c r="D62" s="522" t="s">
        <v>150</v>
      </c>
      <c r="E62" s="515" t="s">
        <v>714</v>
      </c>
      <c r="F62" s="270" t="s">
        <v>639</v>
      </c>
      <c r="G62" s="270" t="s">
        <v>658</v>
      </c>
      <c r="H62" s="517" t="s">
        <v>913</v>
      </c>
      <c r="I62" s="511" t="s">
        <v>711</v>
      </c>
      <c r="J62" s="270" t="s">
        <v>1160</v>
      </c>
    </row>
    <row r="63" spans="1:10" x14ac:dyDescent="0.25">
      <c r="A63" s="521" t="s">
        <v>152</v>
      </c>
      <c r="B63" s="481" t="s">
        <v>153</v>
      </c>
      <c r="C63" s="481" t="s">
        <v>268</v>
      </c>
      <c r="D63" s="522" t="s">
        <v>152</v>
      </c>
      <c r="E63" s="515" t="s">
        <v>713</v>
      </c>
      <c r="F63" s="270" t="s">
        <v>648</v>
      </c>
      <c r="H63" s="517" t="s">
        <v>608</v>
      </c>
      <c r="I63" s="511" t="s">
        <v>712</v>
      </c>
      <c r="J63" s="270" t="s">
        <v>1155</v>
      </c>
    </row>
    <row r="64" spans="1:10" x14ac:dyDescent="0.25">
      <c r="A64" s="521" t="s">
        <v>154</v>
      </c>
      <c r="B64" s="481" t="s">
        <v>155</v>
      </c>
      <c r="C64" s="481" t="s">
        <v>265</v>
      </c>
      <c r="D64" s="522" t="s">
        <v>154</v>
      </c>
      <c r="E64" s="515" t="s">
        <v>714</v>
      </c>
      <c r="F64" s="270" t="s">
        <v>648</v>
      </c>
      <c r="H64" s="517" t="s">
        <v>607</v>
      </c>
      <c r="I64" s="511" t="s">
        <v>710</v>
      </c>
      <c r="J64" s="270" t="s">
        <v>1153</v>
      </c>
    </row>
    <row r="65" spans="1:10" x14ac:dyDescent="0.25">
      <c r="A65" s="521" t="s">
        <v>156</v>
      </c>
      <c r="B65" s="481" t="s">
        <v>157</v>
      </c>
      <c r="C65" s="481" t="s">
        <v>266</v>
      </c>
      <c r="D65" s="522" t="s">
        <v>156</v>
      </c>
      <c r="E65" s="515" t="s">
        <v>714</v>
      </c>
      <c r="F65" s="270" t="s">
        <v>639</v>
      </c>
      <c r="G65" s="270" t="s">
        <v>658</v>
      </c>
      <c r="H65" s="517" t="s">
        <v>913</v>
      </c>
      <c r="I65" s="511" t="s">
        <v>711</v>
      </c>
      <c r="J65" s="270" t="s">
        <v>1156</v>
      </c>
    </row>
    <row r="66" spans="1:10" x14ac:dyDescent="0.25">
      <c r="A66" s="521" t="s">
        <v>162</v>
      </c>
      <c r="B66" s="481" t="s">
        <v>163</v>
      </c>
      <c r="C66" s="481" t="s">
        <v>264</v>
      </c>
      <c r="D66" s="522" t="s">
        <v>162</v>
      </c>
      <c r="E66" s="515" t="s">
        <v>713</v>
      </c>
      <c r="F66" s="270" t="s">
        <v>648</v>
      </c>
      <c r="H66" s="517" t="s">
        <v>913</v>
      </c>
      <c r="I66" s="511" t="s">
        <v>711</v>
      </c>
      <c r="J66" s="270" t="s">
        <v>1162</v>
      </c>
    </row>
    <row r="67" spans="1:10" x14ac:dyDescent="0.25">
      <c r="A67" s="521" t="s">
        <v>164</v>
      </c>
      <c r="B67" s="481" t="s">
        <v>165</v>
      </c>
      <c r="C67" s="481" t="s">
        <v>266</v>
      </c>
      <c r="D67" s="522" t="s">
        <v>164</v>
      </c>
      <c r="E67" s="515" t="s">
        <v>714</v>
      </c>
      <c r="F67" s="270" t="s">
        <v>648</v>
      </c>
      <c r="H67" s="517" t="s">
        <v>607</v>
      </c>
      <c r="I67" s="511" t="s">
        <v>710</v>
      </c>
      <c r="J67" s="270" t="s">
        <v>1153</v>
      </c>
    </row>
    <row r="68" spans="1:10" x14ac:dyDescent="0.25">
      <c r="A68" s="521" t="s">
        <v>168</v>
      </c>
      <c r="B68" s="481" t="s">
        <v>169</v>
      </c>
      <c r="C68" s="481" t="s">
        <v>266</v>
      </c>
      <c r="D68" s="522" t="s">
        <v>168</v>
      </c>
      <c r="E68" s="515" t="s">
        <v>714</v>
      </c>
      <c r="F68" s="270" t="s">
        <v>648</v>
      </c>
      <c r="H68" s="517" t="s">
        <v>913</v>
      </c>
      <c r="I68" s="511" t="s">
        <v>711</v>
      </c>
    </row>
    <row r="69" spans="1:10" x14ac:dyDescent="0.25">
      <c r="A69" s="521" t="s">
        <v>170</v>
      </c>
      <c r="B69" s="481" t="s">
        <v>171</v>
      </c>
      <c r="C69" s="481" t="s">
        <v>267</v>
      </c>
      <c r="D69" s="522" t="s">
        <v>170</v>
      </c>
      <c r="E69" s="515" t="s">
        <v>713</v>
      </c>
      <c r="F69" s="270" t="s">
        <v>648</v>
      </c>
      <c r="H69" s="517" t="s">
        <v>607</v>
      </c>
      <c r="I69" s="511" t="s">
        <v>710</v>
      </c>
      <c r="J69" s="270" t="s">
        <v>1153</v>
      </c>
    </row>
    <row r="70" spans="1:10" x14ac:dyDescent="0.25">
      <c r="A70" s="521" t="s">
        <v>172</v>
      </c>
      <c r="B70" s="481" t="s">
        <v>173</v>
      </c>
      <c r="C70" s="481" t="s">
        <v>267</v>
      </c>
      <c r="D70" s="522" t="s">
        <v>172</v>
      </c>
      <c r="E70" s="515" t="s">
        <v>713</v>
      </c>
      <c r="F70" s="270" t="s">
        <v>648</v>
      </c>
      <c r="H70" s="517" t="s">
        <v>607</v>
      </c>
      <c r="I70" s="511" t="s">
        <v>710</v>
      </c>
      <c r="J70" s="270" t="s">
        <v>1153</v>
      </c>
    </row>
    <row r="71" spans="1:10" x14ac:dyDescent="0.25">
      <c r="A71" s="521" t="s">
        <v>174</v>
      </c>
      <c r="B71" s="481" t="s">
        <v>175</v>
      </c>
      <c r="C71" s="481" t="s">
        <v>268</v>
      </c>
      <c r="D71" s="522" t="s">
        <v>174</v>
      </c>
      <c r="E71" s="515" t="s">
        <v>713</v>
      </c>
      <c r="F71" s="270" t="s">
        <v>648</v>
      </c>
      <c r="H71" s="517" t="s">
        <v>607</v>
      </c>
      <c r="I71" s="511" t="s">
        <v>710</v>
      </c>
      <c r="J71" s="270" t="s">
        <v>1153</v>
      </c>
    </row>
    <row r="72" spans="1:10" x14ac:dyDescent="0.25">
      <c r="A72" s="521" t="s">
        <v>178</v>
      </c>
      <c r="B72" s="481" t="s">
        <v>179</v>
      </c>
      <c r="C72" s="481" t="s">
        <v>265</v>
      </c>
      <c r="D72" s="522" t="s">
        <v>178</v>
      </c>
      <c r="E72" s="515" t="s">
        <v>713</v>
      </c>
      <c r="F72" s="270" t="s">
        <v>648</v>
      </c>
      <c r="H72" s="517" t="s">
        <v>913</v>
      </c>
      <c r="I72" s="511" t="s">
        <v>711</v>
      </c>
      <c r="J72" s="270" t="s">
        <v>1172</v>
      </c>
    </row>
    <row r="73" spans="1:10" x14ac:dyDescent="0.25">
      <c r="A73" s="521" t="s">
        <v>182</v>
      </c>
      <c r="B73" s="481" t="s">
        <v>183</v>
      </c>
      <c r="C73" s="481" t="s">
        <v>266</v>
      </c>
      <c r="D73" s="522" t="s">
        <v>182</v>
      </c>
      <c r="E73" s="515" t="s">
        <v>713</v>
      </c>
      <c r="F73" s="270" t="s">
        <v>648</v>
      </c>
      <c r="H73" s="517" t="s">
        <v>913</v>
      </c>
      <c r="I73" s="511" t="s">
        <v>711</v>
      </c>
      <c r="J73" s="270" t="s">
        <v>1173</v>
      </c>
    </row>
    <row r="74" spans="1:10" x14ac:dyDescent="0.25">
      <c r="A74" s="521" t="s">
        <v>184</v>
      </c>
      <c r="B74" s="481" t="s">
        <v>185</v>
      </c>
      <c r="C74" s="481" t="s">
        <v>266</v>
      </c>
      <c r="D74" s="522" t="s">
        <v>184</v>
      </c>
      <c r="E74" s="515" t="s">
        <v>713</v>
      </c>
      <c r="F74" s="270" t="s">
        <v>648</v>
      </c>
      <c r="H74" s="517" t="s">
        <v>913</v>
      </c>
      <c r="I74" s="511" t="s">
        <v>711</v>
      </c>
      <c r="J74" s="270" t="s">
        <v>1174</v>
      </c>
    </row>
    <row r="75" spans="1:10" x14ac:dyDescent="0.25">
      <c r="A75" s="521" t="s">
        <v>186</v>
      </c>
      <c r="B75" s="481" t="s">
        <v>187</v>
      </c>
      <c r="C75" s="481" t="s">
        <v>264</v>
      </c>
      <c r="D75" s="522" t="s">
        <v>186</v>
      </c>
      <c r="E75" s="515" t="s">
        <v>713</v>
      </c>
      <c r="F75" s="270" t="s">
        <v>639</v>
      </c>
      <c r="G75" s="270" t="s">
        <v>658</v>
      </c>
      <c r="H75" s="517" t="s">
        <v>608</v>
      </c>
      <c r="I75" s="511" t="s">
        <v>712</v>
      </c>
      <c r="J75" s="270" t="s">
        <v>1155</v>
      </c>
    </row>
    <row r="76" spans="1:10" x14ac:dyDescent="0.25">
      <c r="A76" s="521" t="s">
        <v>188</v>
      </c>
      <c r="B76" s="481" t="s">
        <v>189</v>
      </c>
      <c r="C76" s="481" t="s">
        <v>267</v>
      </c>
      <c r="D76" s="522" t="s">
        <v>188</v>
      </c>
      <c r="E76" s="515" t="s">
        <v>715</v>
      </c>
      <c r="F76" s="270" t="s">
        <v>639</v>
      </c>
      <c r="G76" s="270" t="s">
        <v>1175</v>
      </c>
      <c r="H76" s="517" t="s">
        <v>608</v>
      </c>
      <c r="I76" s="511" t="s">
        <v>712</v>
      </c>
      <c r="J76" s="270" t="s">
        <v>1155</v>
      </c>
    </row>
    <row r="77" spans="1:10" x14ac:dyDescent="0.25">
      <c r="A77" s="521" t="s">
        <v>190</v>
      </c>
      <c r="B77" s="481" t="s">
        <v>191</v>
      </c>
      <c r="C77" s="481" t="s">
        <v>268</v>
      </c>
      <c r="D77" s="522" t="s">
        <v>190</v>
      </c>
      <c r="E77" s="515" t="s">
        <v>713</v>
      </c>
      <c r="F77" s="270" t="s">
        <v>648</v>
      </c>
      <c r="H77" s="517" t="s">
        <v>913</v>
      </c>
      <c r="I77" s="511" t="s">
        <v>711</v>
      </c>
      <c r="J77" s="270" t="s">
        <v>1157</v>
      </c>
    </row>
    <row r="78" spans="1:10" x14ac:dyDescent="0.25">
      <c r="A78" s="521" t="s">
        <v>194</v>
      </c>
      <c r="B78" s="481" t="s">
        <v>195</v>
      </c>
      <c r="C78" s="481" t="s">
        <v>267</v>
      </c>
      <c r="D78" s="522" t="s">
        <v>194</v>
      </c>
      <c r="E78" s="515" t="s">
        <v>714</v>
      </c>
      <c r="F78" s="270" t="s">
        <v>648</v>
      </c>
      <c r="H78" s="517" t="s">
        <v>607</v>
      </c>
      <c r="I78" s="511" t="s">
        <v>710</v>
      </c>
      <c r="J78" s="270" t="s">
        <v>1153</v>
      </c>
    </row>
    <row r="79" spans="1:10" x14ac:dyDescent="0.25">
      <c r="A79" s="521" t="s">
        <v>198</v>
      </c>
      <c r="B79" s="481" t="s">
        <v>199</v>
      </c>
      <c r="C79" s="481" t="s">
        <v>266</v>
      </c>
      <c r="D79" s="522" t="s">
        <v>198</v>
      </c>
      <c r="E79" s="515" t="s">
        <v>714</v>
      </c>
      <c r="F79" s="270" t="s">
        <v>648</v>
      </c>
      <c r="H79" s="517" t="s">
        <v>913</v>
      </c>
      <c r="I79" s="511" t="s">
        <v>711</v>
      </c>
      <c r="J79" s="270" t="s">
        <v>1156</v>
      </c>
    </row>
    <row r="80" spans="1:10" x14ac:dyDescent="0.25">
      <c r="A80" s="521" t="s">
        <v>202</v>
      </c>
      <c r="B80" s="481" t="s">
        <v>611</v>
      </c>
      <c r="C80" s="481" t="s">
        <v>265</v>
      </c>
      <c r="D80" s="522" t="s">
        <v>202</v>
      </c>
      <c r="E80" s="515" t="s">
        <v>715</v>
      </c>
      <c r="F80" s="270" t="s">
        <v>639</v>
      </c>
      <c r="G80" s="270" t="s">
        <v>657</v>
      </c>
      <c r="H80" s="517" t="s">
        <v>608</v>
      </c>
      <c r="I80" s="511" t="s">
        <v>712</v>
      </c>
      <c r="J80" s="270" t="s">
        <v>1155</v>
      </c>
    </row>
    <row r="81" spans="1:13" x14ac:dyDescent="0.25">
      <c r="A81" s="521" t="s">
        <v>204</v>
      </c>
      <c r="B81" s="481" t="s">
        <v>293</v>
      </c>
      <c r="C81" s="481" t="s">
        <v>265</v>
      </c>
      <c r="D81" s="522" t="s">
        <v>204</v>
      </c>
      <c r="E81" s="515" t="s">
        <v>713</v>
      </c>
      <c r="F81" s="270" t="s">
        <v>648</v>
      </c>
      <c r="H81" s="517" t="s">
        <v>607</v>
      </c>
      <c r="I81" s="511" t="s">
        <v>710</v>
      </c>
      <c r="J81" s="270" t="s">
        <v>1153</v>
      </c>
    </row>
    <row r="82" spans="1:13" x14ac:dyDescent="0.25">
      <c r="A82" s="521" t="s">
        <v>206</v>
      </c>
      <c r="B82" s="481" t="s">
        <v>294</v>
      </c>
      <c r="C82" s="481" t="s">
        <v>267</v>
      </c>
      <c r="D82" s="522" t="s">
        <v>206</v>
      </c>
      <c r="E82" s="515" t="s">
        <v>715</v>
      </c>
      <c r="F82" s="270" t="s">
        <v>639</v>
      </c>
      <c r="G82" s="270" t="s">
        <v>694</v>
      </c>
      <c r="H82" s="517" t="s">
        <v>913</v>
      </c>
      <c r="I82" s="511" t="s">
        <v>711</v>
      </c>
      <c r="J82" s="270" t="s">
        <v>1177</v>
      </c>
      <c r="L82" s="64" t="s">
        <v>1193</v>
      </c>
      <c r="M82" s="64" t="s">
        <v>1194</v>
      </c>
    </row>
    <row r="83" spans="1:13" x14ac:dyDescent="0.25">
      <c r="A83" s="521" t="s">
        <v>208</v>
      </c>
      <c r="B83" s="481" t="s">
        <v>209</v>
      </c>
      <c r="C83" s="481" t="s">
        <v>268</v>
      </c>
      <c r="D83" s="522" t="s">
        <v>208</v>
      </c>
      <c r="E83" s="515" t="s">
        <v>713</v>
      </c>
      <c r="F83" s="270" t="s">
        <v>648</v>
      </c>
      <c r="H83" s="517" t="s">
        <v>913</v>
      </c>
      <c r="I83" s="511" t="s">
        <v>711</v>
      </c>
      <c r="J83" s="270" t="s">
        <v>1157</v>
      </c>
      <c r="L83" s="270" t="s">
        <v>1195</v>
      </c>
      <c r="M83" s="270" t="s">
        <v>1196</v>
      </c>
    </row>
    <row r="84" spans="1:13" x14ac:dyDescent="0.25">
      <c r="A84" s="521" t="s">
        <v>210</v>
      </c>
      <c r="B84" s="481" t="s">
        <v>211</v>
      </c>
      <c r="C84" s="481" t="s">
        <v>268</v>
      </c>
      <c r="D84" s="522" t="s">
        <v>210</v>
      </c>
      <c r="E84" s="515" t="s">
        <v>713</v>
      </c>
      <c r="F84" s="270" t="s">
        <v>648</v>
      </c>
      <c r="H84" s="517" t="s">
        <v>913</v>
      </c>
      <c r="I84" s="511" t="s">
        <v>711</v>
      </c>
      <c r="J84" s="270" t="s">
        <v>1160</v>
      </c>
      <c r="L84" s="270" t="s">
        <v>1197</v>
      </c>
      <c r="M84" s="270" t="s">
        <v>1198</v>
      </c>
    </row>
    <row r="85" spans="1:13" x14ac:dyDescent="0.25">
      <c r="A85" s="521" t="s">
        <v>212</v>
      </c>
      <c r="B85" s="481" t="s">
        <v>213</v>
      </c>
      <c r="C85" s="481" t="s">
        <v>267</v>
      </c>
      <c r="D85" s="522" t="s">
        <v>212</v>
      </c>
      <c r="E85" s="515" t="s">
        <v>713</v>
      </c>
      <c r="F85" s="270" t="s">
        <v>648</v>
      </c>
      <c r="H85" s="517" t="s">
        <v>607</v>
      </c>
      <c r="I85" s="511" t="s">
        <v>710</v>
      </c>
      <c r="J85" s="270" t="s">
        <v>1153</v>
      </c>
      <c r="L85" s="270" t="s">
        <v>1199</v>
      </c>
      <c r="M85" s="270" t="s">
        <v>1200</v>
      </c>
    </row>
    <row r="86" spans="1:13" x14ac:dyDescent="0.25">
      <c r="A86" s="521" t="s">
        <v>214</v>
      </c>
      <c r="B86" s="481" t="s">
        <v>215</v>
      </c>
      <c r="C86" s="481" t="s">
        <v>268</v>
      </c>
      <c r="D86" s="522" t="s">
        <v>214</v>
      </c>
      <c r="E86" s="515" t="s">
        <v>713</v>
      </c>
      <c r="F86" s="270" t="s">
        <v>648</v>
      </c>
      <c r="H86" s="517" t="s">
        <v>607</v>
      </c>
      <c r="I86" s="511" t="s">
        <v>710</v>
      </c>
      <c r="J86" s="270" t="s">
        <v>1153</v>
      </c>
      <c r="L86" s="270" t="s">
        <v>1201</v>
      </c>
      <c r="M86" s="270" t="s">
        <v>1202</v>
      </c>
    </row>
    <row r="87" spans="1:13" x14ac:dyDescent="0.25">
      <c r="A87" s="521" t="s">
        <v>216</v>
      </c>
      <c r="B87" s="481" t="s">
        <v>217</v>
      </c>
      <c r="C87" s="481" t="s">
        <v>264</v>
      </c>
      <c r="D87" s="522" t="s">
        <v>216</v>
      </c>
      <c r="E87" s="515" t="s">
        <v>713</v>
      </c>
      <c r="F87" s="270" t="s">
        <v>648</v>
      </c>
      <c r="H87" s="517" t="s">
        <v>607</v>
      </c>
      <c r="I87" s="511" t="s">
        <v>710</v>
      </c>
      <c r="J87" s="270" t="s">
        <v>1153</v>
      </c>
      <c r="L87" s="270" t="s">
        <v>1203</v>
      </c>
      <c r="M87" s="270" t="s">
        <v>1204</v>
      </c>
    </row>
    <row r="88" spans="1:13" x14ac:dyDescent="0.25">
      <c r="A88" s="521" t="s">
        <v>218</v>
      </c>
      <c r="B88" s="481" t="s">
        <v>219</v>
      </c>
      <c r="C88" s="481" t="s">
        <v>267</v>
      </c>
      <c r="D88" s="522" t="s">
        <v>218</v>
      </c>
      <c r="E88" s="515" t="s">
        <v>715</v>
      </c>
      <c r="F88" s="270" t="s">
        <v>639</v>
      </c>
      <c r="G88" s="270" t="s">
        <v>658</v>
      </c>
      <c r="H88" s="517" t="s">
        <v>608</v>
      </c>
      <c r="I88" s="511" t="s">
        <v>712</v>
      </c>
      <c r="J88" s="270" t="s">
        <v>1155</v>
      </c>
      <c r="L88" s="270" t="s">
        <v>1205</v>
      </c>
      <c r="M88" s="270" t="s">
        <v>1206</v>
      </c>
    </row>
    <row r="89" spans="1:13" x14ac:dyDescent="0.25">
      <c r="A89" s="521" t="s">
        <v>220</v>
      </c>
      <c r="B89" s="481" t="s">
        <v>221</v>
      </c>
      <c r="C89" s="481" t="s">
        <v>267</v>
      </c>
      <c r="D89" s="522" t="s">
        <v>220</v>
      </c>
      <c r="E89" s="515" t="s">
        <v>713</v>
      </c>
      <c r="F89" s="270" t="s">
        <v>648</v>
      </c>
      <c r="H89" s="517" t="s">
        <v>913</v>
      </c>
      <c r="I89" s="511" t="s">
        <v>711</v>
      </c>
      <c r="J89" s="270" t="s">
        <v>1165</v>
      </c>
      <c r="L89" s="270" t="s">
        <v>1207</v>
      </c>
      <c r="M89" s="270" t="s">
        <v>1208</v>
      </c>
    </row>
    <row r="90" spans="1:13" x14ac:dyDescent="0.25">
      <c r="A90" s="521" t="s">
        <v>224</v>
      </c>
      <c r="B90" s="481" t="s">
        <v>225</v>
      </c>
      <c r="C90" s="481" t="s">
        <v>264</v>
      </c>
      <c r="D90" s="522" t="s">
        <v>224</v>
      </c>
      <c r="E90" s="515" t="s">
        <v>713</v>
      </c>
      <c r="F90" s="270" t="s">
        <v>648</v>
      </c>
      <c r="H90" s="517" t="s">
        <v>607</v>
      </c>
      <c r="I90" s="511" t="s">
        <v>710</v>
      </c>
      <c r="J90" s="270" t="s">
        <v>1153</v>
      </c>
      <c r="L90" s="270" t="s">
        <v>1211</v>
      </c>
      <c r="M90" s="270" t="s">
        <v>1212</v>
      </c>
    </row>
    <row r="91" spans="1:13" x14ac:dyDescent="0.25">
      <c r="A91" s="521" t="s">
        <v>226</v>
      </c>
      <c r="B91" s="481" t="s">
        <v>227</v>
      </c>
      <c r="C91" s="481" t="s">
        <v>264</v>
      </c>
      <c r="D91" s="522" t="s">
        <v>226</v>
      </c>
      <c r="E91" s="515" t="s">
        <v>713</v>
      </c>
      <c r="F91" s="270" t="s">
        <v>648</v>
      </c>
      <c r="H91" s="517" t="s">
        <v>607</v>
      </c>
      <c r="I91" s="511" t="s">
        <v>710</v>
      </c>
      <c r="J91" s="270" t="s">
        <v>1153</v>
      </c>
      <c r="L91" s="270" t="s">
        <v>1213</v>
      </c>
      <c r="M91" s="270" t="s">
        <v>1214</v>
      </c>
    </row>
    <row r="92" spans="1:13" x14ac:dyDescent="0.25">
      <c r="A92" s="521" t="s">
        <v>228</v>
      </c>
      <c r="B92" s="481" t="s">
        <v>229</v>
      </c>
      <c r="C92" s="481" t="s">
        <v>268</v>
      </c>
      <c r="D92" s="522" t="s">
        <v>228</v>
      </c>
      <c r="E92" s="515" t="s">
        <v>713</v>
      </c>
      <c r="F92" s="270" t="s">
        <v>648</v>
      </c>
      <c r="H92" s="517" t="s">
        <v>607</v>
      </c>
      <c r="I92" s="511" t="s">
        <v>710</v>
      </c>
      <c r="J92" s="270" t="s">
        <v>1153</v>
      </c>
      <c r="L92" s="270" t="s">
        <v>1215</v>
      </c>
      <c r="M92" s="270" t="s">
        <v>1216</v>
      </c>
    </row>
    <row r="93" spans="1:13" x14ac:dyDescent="0.25">
      <c r="A93" s="521" t="s">
        <v>232</v>
      </c>
      <c r="B93" s="481" t="s">
        <v>233</v>
      </c>
      <c r="C93" s="481" t="s">
        <v>267</v>
      </c>
      <c r="D93" s="522" t="s">
        <v>232</v>
      </c>
      <c r="E93" s="515" t="s">
        <v>713</v>
      </c>
      <c r="F93" s="270" t="s">
        <v>639</v>
      </c>
      <c r="G93" s="270" t="s">
        <v>658</v>
      </c>
      <c r="H93" s="517" t="s">
        <v>913</v>
      </c>
      <c r="I93" s="511" t="s">
        <v>711</v>
      </c>
      <c r="J93" s="270" t="s">
        <v>1180</v>
      </c>
    </row>
    <row r="94" spans="1:13" x14ac:dyDescent="0.25">
      <c r="A94" s="521" t="s">
        <v>234</v>
      </c>
      <c r="B94" s="481" t="s">
        <v>235</v>
      </c>
      <c r="C94" s="481" t="s">
        <v>268</v>
      </c>
      <c r="D94" s="522" t="s">
        <v>234</v>
      </c>
      <c r="E94" s="515" t="s">
        <v>713</v>
      </c>
      <c r="F94" s="270" t="s">
        <v>648</v>
      </c>
      <c r="H94" s="517" t="s">
        <v>607</v>
      </c>
      <c r="I94" s="511" t="s">
        <v>710</v>
      </c>
      <c r="J94" s="270" t="s">
        <v>1153</v>
      </c>
    </row>
    <row r="95" spans="1:13" x14ac:dyDescent="0.25">
      <c r="A95" s="521" t="s">
        <v>236</v>
      </c>
      <c r="B95" s="481" t="s">
        <v>237</v>
      </c>
      <c r="C95" s="481" t="s">
        <v>266</v>
      </c>
      <c r="D95" s="522" t="s">
        <v>236</v>
      </c>
      <c r="E95" s="515" t="s">
        <v>713</v>
      </c>
      <c r="F95" s="270" t="s">
        <v>648</v>
      </c>
      <c r="H95" s="517" t="s">
        <v>607</v>
      </c>
      <c r="I95" s="511" t="s">
        <v>710</v>
      </c>
      <c r="J95" s="270" t="s">
        <v>1153</v>
      </c>
    </row>
    <row r="96" spans="1:13" x14ac:dyDescent="0.25">
      <c r="A96" s="521" t="s">
        <v>242</v>
      </c>
      <c r="B96" s="481" t="s">
        <v>243</v>
      </c>
      <c r="C96" s="481" t="s">
        <v>268</v>
      </c>
      <c r="D96" s="522" t="s">
        <v>242</v>
      </c>
      <c r="E96" s="515" t="s">
        <v>715</v>
      </c>
      <c r="F96" s="270" t="s">
        <v>648</v>
      </c>
      <c r="H96" s="517" t="s">
        <v>607</v>
      </c>
      <c r="I96" s="511" t="s">
        <v>710</v>
      </c>
      <c r="J96" s="270" t="s">
        <v>1153</v>
      </c>
    </row>
    <row r="97" spans="1:10" x14ac:dyDescent="0.25">
      <c r="A97" s="521" t="s">
        <v>244</v>
      </c>
      <c r="B97" s="481" t="s">
        <v>245</v>
      </c>
      <c r="C97" s="481" t="s">
        <v>268</v>
      </c>
      <c r="D97" s="522" t="s">
        <v>244</v>
      </c>
      <c r="E97" s="515" t="s">
        <v>713</v>
      </c>
      <c r="F97" s="270" t="s">
        <v>648</v>
      </c>
      <c r="H97" s="517" t="s">
        <v>913</v>
      </c>
      <c r="I97" s="511" t="s">
        <v>711</v>
      </c>
      <c r="J97" s="270" t="s">
        <v>1157</v>
      </c>
    </row>
    <row r="98" spans="1:10" x14ac:dyDescent="0.25">
      <c r="A98" s="521" t="s">
        <v>246</v>
      </c>
      <c r="B98" s="481" t="s">
        <v>247</v>
      </c>
      <c r="C98" s="481" t="s">
        <v>264</v>
      </c>
      <c r="D98" s="522" t="s">
        <v>246</v>
      </c>
      <c r="E98" s="515" t="s">
        <v>713</v>
      </c>
      <c r="F98" s="270" t="s">
        <v>648</v>
      </c>
      <c r="H98" s="517" t="s">
        <v>913</v>
      </c>
      <c r="I98" s="511" t="s">
        <v>711</v>
      </c>
      <c r="J98" s="270" t="s">
        <v>1159</v>
      </c>
    </row>
    <row r="99" spans="1:10" x14ac:dyDescent="0.25">
      <c r="A99" s="521" t="s">
        <v>14</v>
      </c>
      <c r="B99" s="481" t="s">
        <v>15</v>
      </c>
      <c r="C99" s="481" t="s">
        <v>267</v>
      </c>
      <c r="D99" s="522" t="s">
        <v>14</v>
      </c>
      <c r="E99" s="523" t="s">
        <v>715</v>
      </c>
      <c r="F99" s="270" t="s">
        <v>639</v>
      </c>
      <c r="G99" s="270" t="s">
        <v>1092</v>
      </c>
      <c r="H99" s="517" t="s">
        <v>913</v>
      </c>
      <c r="I99" s="511" t="s">
        <v>711</v>
      </c>
      <c r="J99" s="270" t="s">
        <v>1155</v>
      </c>
    </row>
    <row r="100" spans="1:10" x14ac:dyDescent="0.25">
      <c r="A100" s="521" t="s">
        <v>34</v>
      </c>
      <c r="B100" s="481" t="s">
        <v>35</v>
      </c>
      <c r="C100" s="481" t="s">
        <v>268</v>
      </c>
      <c r="D100" s="522" t="s">
        <v>34</v>
      </c>
      <c r="E100" s="515" t="s">
        <v>713</v>
      </c>
      <c r="F100" s="270" t="s">
        <v>648</v>
      </c>
      <c r="H100" s="517" t="s">
        <v>607</v>
      </c>
      <c r="I100" s="511" t="s">
        <v>710</v>
      </c>
      <c r="J100" s="270" t="s">
        <v>1153</v>
      </c>
    </row>
    <row r="101" spans="1:10" x14ac:dyDescent="0.25">
      <c r="A101" s="521" t="s">
        <v>52</v>
      </c>
      <c r="B101" s="481" t="s">
        <v>53</v>
      </c>
      <c r="C101" s="481" t="s">
        <v>265</v>
      </c>
      <c r="D101" s="522" t="s">
        <v>52</v>
      </c>
      <c r="E101" s="515" t="s">
        <v>715</v>
      </c>
      <c r="F101" s="270" t="s">
        <v>639</v>
      </c>
      <c r="G101" s="270" t="s">
        <v>657</v>
      </c>
      <c r="H101" s="517" t="s">
        <v>608</v>
      </c>
      <c r="I101" s="511" t="s">
        <v>712</v>
      </c>
      <c r="J101" s="270" t="s">
        <v>1155</v>
      </c>
    </row>
    <row r="102" spans="1:10" x14ac:dyDescent="0.25">
      <c r="A102" s="521" t="s">
        <v>54</v>
      </c>
      <c r="B102" s="481" t="s">
        <v>55</v>
      </c>
      <c r="C102" s="481" t="s">
        <v>264</v>
      </c>
      <c r="D102" s="522" t="s">
        <v>54</v>
      </c>
      <c r="E102" s="515" t="s">
        <v>715</v>
      </c>
      <c r="F102" s="270" t="s">
        <v>639</v>
      </c>
      <c r="G102" s="270" t="s">
        <v>1092</v>
      </c>
      <c r="H102" s="517" t="s">
        <v>608</v>
      </c>
      <c r="I102" s="511" t="s">
        <v>712</v>
      </c>
      <c r="J102" s="270" t="s">
        <v>1155</v>
      </c>
    </row>
    <row r="103" spans="1:10" x14ac:dyDescent="0.25">
      <c r="A103" s="521" t="s">
        <v>66</v>
      </c>
      <c r="B103" s="481" t="s">
        <v>67</v>
      </c>
      <c r="C103" s="481" t="s">
        <v>265</v>
      </c>
      <c r="D103" s="522" t="s">
        <v>66</v>
      </c>
      <c r="E103" s="515" t="s">
        <v>715</v>
      </c>
      <c r="F103" s="270" t="s">
        <v>639</v>
      </c>
      <c r="G103" s="270" t="s">
        <v>657</v>
      </c>
      <c r="H103" s="517" t="s">
        <v>608</v>
      </c>
      <c r="I103" s="511" t="s">
        <v>712</v>
      </c>
      <c r="J103" s="270" t="s">
        <v>1155</v>
      </c>
    </row>
    <row r="104" spans="1:10" x14ac:dyDescent="0.25">
      <c r="A104" s="521" t="s">
        <v>82</v>
      </c>
      <c r="B104" s="481" t="s">
        <v>311</v>
      </c>
      <c r="C104" s="481" t="s">
        <v>264</v>
      </c>
      <c r="D104" s="522" t="s">
        <v>82</v>
      </c>
      <c r="E104" s="515" t="s">
        <v>713</v>
      </c>
      <c r="F104" s="270" t="s">
        <v>639</v>
      </c>
      <c r="G104" s="270" t="s">
        <v>1092</v>
      </c>
      <c r="H104" s="517" t="s">
        <v>607</v>
      </c>
      <c r="I104" s="511" t="s">
        <v>710</v>
      </c>
      <c r="J104" s="270" t="s">
        <v>1153</v>
      </c>
    </row>
    <row r="105" spans="1:10" x14ac:dyDescent="0.25">
      <c r="A105" s="521" t="s">
        <v>88</v>
      </c>
      <c r="B105" s="481" t="s">
        <v>89</v>
      </c>
      <c r="C105" s="481" t="s">
        <v>267</v>
      </c>
      <c r="D105" s="522" t="s">
        <v>88</v>
      </c>
      <c r="E105" s="515" t="s">
        <v>713</v>
      </c>
      <c r="F105" s="270" t="s">
        <v>648</v>
      </c>
      <c r="H105" s="517" t="s">
        <v>913</v>
      </c>
      <c r="I105" s="511" t="s">
        <v>711</v>
      </c>
      <c r="J105" s="270" t="s">
        <v>1163</v>
      </c>
    </row>
    <row r="106" spans="1:10" x14ac:dyDescent="0.25">
      <c r="A106" s="521" t="s">
        <v>90</v>
      </c>
      <c r="B106" s="481" t="s">
        <v>91</v>
      </c>
      <c r="C106" s="481" t="s">
        <v>268</v>
      </c>
      <c r="D106" s="522" t="s">
        <v>90</v>
      </c>
      <c r="E106" s="515" t="s">
        <v>714</v>
      </c>
      <c r="F106" s="270" t="s">
        <v>639</v>
      </c>
      <c r="G106" s="270" t="s">
        <v>1092</v>
      </c>
      <c r="H106" s="517" t="s">
        <v>913</v>
      </c>
      <c r="I106" s="511" t="s">
        <v>711</v>
      </c>
      <c r="J106" s="270" t="s">
        <v>1164</v>
      </c>
    </row>
    <row r="107" spans="1:10" x14ac:dyDescent="0.25">
      <c r="A107" s="521" t="s">
        <v>106</v>
      </c>
      <c r="B107" s="481" t="s">
        <v>107</v>
      </c>
      <c r="C107" s="481" t="s">
        <v>264</v>
      </c>
      <c r="D107" s="522" t="s">
        <v>106</v>
      </c>
      <c r="E107" s="515" t="s">
        <v>715</v>
      </c>
      <c r="F107" s="270" t="s">
        <v>639</v>
      </c>
      <c r="G107" s="270" t="s">
        <v>657</v>
      </c>
      <c r="H107" s="517" t="s">
        <v>608</v>
      </c>
      <c r="I107" s="511" t="s">
        <v>712</v>
      </c>
      <c r="J107" s="270" t="s">
        <v>1155</v>
      </c>
    </row>
    <row r="108" spans="1:10" x14ac:dyDescent="0.25">
      <c r="A108" s="521" t="s">
        <v>116</v>
      </c>
      <c r="B108" s="481" t="s">
        <v>117</v>
      </c>
      <c r="C108" s="481" t="s">
        <v>266</v>
      </c>
      <c r="D108" s="522" t="s">
        <v>116</v>
      </c>
      <c r="E108" s="515" t="s">
        <v>713</v>
      </c>
      <c r="F108" s="270" t="s">
        <v>639</v>
      </c>
      <c r="G108" s="270" t="s">
        <v>1092</v>
      </c>
      <c r="H108" s="517" t="s">
        <v>913</v>
      </c>
      <c r="I108" s="511" t="s">
        <v>711</v>
      </c>
      <c r="J108" s="270" t="s">
        <v>1168</v>
      </c>
    </row>
    <row r="109" spans="1:10" x14ac:dyDescent="0.25">
      <c r="A109" s="521" t="s">
        <v>138</v>
      </c>
      <c r="B109" s="481" t="s">
        <v>139</v>
      </c>
      <c r="C109" s="481" t="s">
        <v>265</v>
      </c>
      <c r="D109" s="522" t="s">
        <v>138</v>
      </c>
      <c r="E109" s="515" t="s">
        <v>715</v>
      </c>
      <c r="F109" s="270" t="s">
        <v>639</v>
      </c>
      <c r="G109" s="270" t="s">
        <v>657</v>
      </c>
      <c r="H109" s="517" t="s">
        <v>608</v>
      </c>
      <c r="I109" s="511" t="s">
        <v>712</v>
      </c>
      <c r="J109" s="270" t="s">
        <v>1155</v>
      </c>
    </row>
    <row r="110" spans="1:10" x14ac:dyDescent="0.25">
      <c r="A110" s="521" t="s">
        <v>142</v>
      </c>
      <c r="B110" s="481" t="s">
        <v>143</v>
      </c>
      <c r="C110" s="481" t="s">
        <v>267</v>
      </c>
      <c r="D110" s="522" t="s">
        <v>142</v>
      </c>
      <c r="E110" s="515" t="s">
        <v>713</v>
      </c>
      <c r="F110" s="270" t="s">
        <v>639</v>
      </c>
      <c r="G110" s="270" t="s">
        <v>1169</v>
      </c>
      <c r="H110" s="517" t="s">
        <v>913</v>
      </c>
      <c r="I110" s="511" t="s">
        <v>711</v>
      </c>
      <c r="J110" s="270" t="s">
        <v>1155</v>
      </c>
    </row>
    <row r="111" spans="1:10" x14ac:dyDescent="0.25">
      <c r="A111" s="521" t="s">
        <v>144</v>
      </c>
      <c r="B111" s="481" t="s">
        <v>145</v>
      </c>
      <c r="C111" s="481" t="s">
        <v>267</v>
      </c>
      <c r="D111" s="522" t="s">
        <v>144</v>
      </c>
      <c r="E111" s="515" t="s">
        <v>714</v>
      </c>
      <c r="F111" s="270" t="s">
        <v>639</v>
      </c>
      <c r="G111" s="270" t="s">
        <v>1169</v>
      </c>
      <c r="H111" s="517" t="s">
        <v>913</v>
      </c>
      <c r="I111" s="511" t="s">
        <v>711</v>
      </c>
      <c r="J111" s="270" t="s">
        <v>1170</v>
      </c>
    </row>
    <row r="112" spans="1:10" x14ac:dyDescent="0.25">
      <c r="A112" s="521" t="s">
        <v>158</v>
      </c>
      <c r="B112" s="481" t="s">
        <v>159</v>
      </c>
      <c r="C112" s="481" t="s">
        <v>264</v>
      </c>
      <c r="D112" s="522" t="s">
        <v>158</v>
      </c>
      <c r="E112" s="515" t="s">
        <v>715</v>
      </c>
      <c r="F112" s="270" t="s">
        <v>639</v>
      </c>
      <c r="G112" s="270" t="s">
        <v>657</v>
      </c>
      <c r="H112" s="517" t="s">
        <v>608</v>
      </c>
      <c r="I112" s="511" t="s">
        <v>712</v>
      </c>
      <c r="J112" s="270" t="s">
        <v>1155</v>
      </c>
    </row>
    <row r="113" spans="1:13" x14ac:dyDescent="0.25">
      <c r="A113" s="521" t="s">
        <v>160</v>
      </c>
      <c r="B113" s="481" t="s">
        <v>161</v>
      </c>
      <c r="C113" s="481" t="s">
        <v>264</v>
      </c>
      <c r="D113" s="522" t="s">
        <v>160</v>
      </c>
      <c r="E113" s="515" t="s">
        <v>715</v>
      </c>
      <c r="F113" s="270" t="s">
        <v>639</v>
      </c>
      <c r="G113" s="270" t="s">
        <v>657</v>
      </c>
      <c r="H113" s="517" t="s">
        <v>608</v>
      </c>
      <c r="I113" s="511" t="s">
        <v>712</v>
      </c>
      <c r="J113" s="270" t="s">
        <v>1155</v>
      </c>
    </row>
    <row r="114" spans="1:13" x14ac:dyDescent="0.25">
      <c r="A114" s="521" t="s">
        <v>166</v>
      </c>
      <c r="B114" s="481" t="s">
        <v>167</v>
      </c>
      <c r="C114" s="481" t="s">
        <v>268</v>
      </c>
      <c r="D114" s="522" t="s">
        <v>166</v>
      </c>
      <c r="E114" s="515" t="s">
        <v>714</v>
      </c>
      <c r="F114" s="270" t="s">
        <v>639</v>
      </c>
      <c r="G114" s="270" t="s">
        <v>1092</v>
      </c>
      <c r="H114" s="517" t="s">
        <v>913</v>
      </c>
      <c r="I114" s="511" t="s">
        <v>711</v>
      </c>
      <c r="J114" s="270" t="s">
        <v>1160</v>
      </c>
    </row>
    <row r="115" spans="1:13" x14ac:dyDescent="0.25">
      <c r="A115" s="521" t="s">
        <v>176</v>
      </c>
      <c r="B115" s="481" t="s">
        <v>177</v>
      </c>
      <c r="C115" s="481" t="s">
        <v>266</v>
      </c>
      <c r="D115" s="522" t="s">
        <v>176</v>
      </c>
      <c r="E115" s="515" t="s">
        <v>715</v>
      </c>
      <c r="F115" s="270" t="s">
        <v>639</v>
      </c>
      <c r="G115" s="270" t="s">
        <v>1092</v>
      </c>
      <c r="H115" s="517" t="s">
        <v>913</v>
      </c>
      <c r="I115" s="511" t="s">
        <v>711</v>
      </c>
      <c r="J115" s="270" t="s">
        <v>1171</v>
      </c>
    </row>
    <row r="116" spans="1:13" x14ac:dyDescent="0.25">
      <c r="A116" s="521" t="s">
        <v>180</v>
      </c>
      <c r="B116" s="481" t="s">
        <v>181</v>
      </c>
      <c r="C116" s="481" t="s">
        <v>264</v>
      </c>
      <c r="D116" s="522" t="s">
        <v>180</v>
      </c>
      <c r="E116" s="515" t="s">
        <v>715</v>
      </c>
      <c r="F116" s="270" t="s">
        <v>639</v>
      </c>
      <c r="G116" s="270" t="s">
        <v>657</v>
      </c>
      <c r="H116" s="517" t="s">
        <v>608</v>
      </c>
      <c r="I116" s="511" t="s">
        <v>712</v>
      </c>
      <c r="J116" s="270" t="s">
        <v>1155</v>
      </c>
    </row>
    <row r="117" spans="1:13" x14ac:dyDescent="0.25">
      <c r="A117" s="521" t="s">
        <v>192</v>
      </c>
      <c r="B117" s="481" t="s">
        <v>193</v>
      </c>
      <c r="C117" s="481" t="s">
        <v>268</v>
      </c>
      <c r="D117" s="522" t="s">
        <v>192</v>
      </c>
      <c r="E117" s="515" t="s">
        <v>714</v>
      </c>
      <c r="F117" s="270" t="s">
        <v>648</v>
      </c>
      <c r="H117" s="517" t="s">
        <v>607</v>
      </c>
      <c r="I117" s="511" t="s">
        <v>710</v>
      </c>
      <c r="J117" s="270" t="s">
        <v>1153</v>
      </c>
    </row>
    <row r="118" spans="1:13" x14ac:dyDescent="0.25">
      <c r="A118" s="521" t="s">
        <v>196</v>
      </c>
      <c r="B118" s="481" t="s">
        <v>312</v>
      </c>
      <c r="C118" s="481" t="s">
        <v>266</v>
      </c>
      <c r="D118" s="522" t="s">
        <v>196</v>
      </c>
      <c r="E118" s="515" t="s">
        <v>715</v>
      </c>
      <c r="F118" s="270" t="s">
        <v>639</v>
      </c>
      <c r="G118" s="270" t="s">
        <v>1176</v>
      </c>
      <c r="H118" s="517" t="s">
        <v>608</v>
      </c>
      <c r="I118" s="511" t="s">
        <v>712</v>
      </c>
      <c r="J118" s="270" t="s">
        <v>1155</v>
      </c>
    </row>
    <row r="119" spans="1:13" x14ac:dyDescent="0.25">
      <c r="A119" s="521" t="s">
        <v>200</v>
      </c>
      <c r="B119" s="481" t="s">
        <v>313</v>
      </c>
      <c r="C119" s="481" t="s">
        <v>265</v>
      </c>
      <c r="D119" s="522" t="s">
        <v>200</v>
      </c>
      <c r="E119" s="515" t="s">
        <v>715</v>
      </c>
      <c r="F119" s="270" t="s">
        <v>639</v>
      </c>
      <c r="G119" s="270" t="s">
        <v>657</v>
      </c>
      <c r="H119" s="517" t="s">
        <v>608</v>
      </c>
      <c r="I119" s="511" t="s">
        <v>712</v>
      </c>
      <c r="J119" s="270" t="s">
        <v>1155</v>
      </c>
    </row>
    <row r="120" spans="1:13" x14ac:dyDescent="0.25">
      <c r="A120" s="521" t="s">
        <v>222</v>
      </c>
      <c r="B120" s="481" t="s">
        <v>223</v>
      </c>
      <c r="C120" s="481" t="s">
        <v>264</v>
      </c>
      <c r="D120" s="522" t="s">
        <v>222</v>
      </c>
      <c r="E120" s="515" t="s">
        <v>715</v>
      </c>
      <c r="F120" s="270" t="s">
        <v>639</v>
      </c>
      <c r="G120" s="270" t="s">
        <v>657</v>
      </c>
      <c r="H120" s="517" t="s">
        <v>913</v>
      </c>
      <c r="I120" s="511" t="s">
        <v>711</v>
      </c>
      <c r="J120" s="270" t="s">
        <v>1178</v>
      </c>
      <c r="L120" s="270" t="s">
        <v>1209</v>
      </c>
      <c r="M120" s="270" t="s">
        <v>1210</v>
      </c>
    </row>
    <row r="121" spans="1:13" x14ac:dyDescent="0.25">
      <c r="A121" s="521" t="s">
        <v>230</v>
      </c>
      <c r="B121" s="481" t="s">
        <v>231</v>
      </c>
      <c r="C121" s="481" t="s">
        <v>264</v>
      </c>
      <c r="D121" s="522" t="s">
        <v>230</v>
      </c>
      <c r="E121" s="515" t="s">
        <v>715</v>
      </c>
      <c r="F121" s="270" t="s">
        <v>639</v>
      </c>
      <c r="G121" s="270" t="s">
        <v>1179</v>
      </c>
      <c r="H121" s="517" t="s">
        <v>608</v>
      </c>
      <c r="I121" s="511" t="s">
        <v>712</v>
      </c>
      <c r="J121" s="270" t="s">
        <v>1155</v>
      </c>
      <c r="L121" s="270" t="s">
        <v>1217</v>
      </c>
      <c r="M121" s="270" t="s">
        <v>1218</v>
      </c>
    </row>
    <row r="122" spans="1:13" x14ac:dyDescent="0.25">
      <c r="A122" s="521" t="s">
        <v>238</v>
      </c>
      <c r="B122" s="481" t="s">
        <v>239</v>
      </c>
      <c r="C122" s="481" t="s">
        <v>264</v>
      </c>
      <c r="D122" s="522" t="s">
        <v>238</v>
      </c>
      <c r="E122" s="515" t="s">
        <v>714</v>
      </c>
      <c r="F122" s="270" t="s">
        <v>639</v>
      </c>
      <c r="G122" s="270" t="s">
        <v>657</v>
      </c>
      <c r="H122" s="517" t="s">
        <v>913</v>
      </c>
      <c r="I122" s="511" t="s">
        <v>711</v>
      </c>
      <c r="J122" s="270" t="s">
        <v>1155</v>
      </c>
    </row>
    <row r="123" spans="1:13" x14ac:dyDescent="0.25">
      <c r="A123" s="521" t="s">
        <v>240</v>
      </c>
      <c r="B123" s="481" t="s">
        <v>241</v>
      </c>
      <c r="C123" s="481" t="s">
        <v>267</v>
      </c>
      <c r="D123" s="522" t="s">
        <v>240</v>
      </c>
      <c r="E123" s="515" t="s">
        <v>713</v>
      </c>
      <c r="F123" s="270" t="s">
        <v>639</v>
      </c>
      <c r="G123" s="270" t="s">
        <v>1092</v>
      </c>
      <c r="H123" s="517" t="s">
        <v>608</v>
      </c>
      <c r="I123" s="511" t="s">
        <v>712</v>
      </c>
      <c r="J123" s="270" t="s">
        <v>1155</v>
      </c>
    </row>
    <row r="124" spans="1:13" x14ac:dyDescent="0.25">
      <c r="A124" s="521"/>
      <c r="B124" s="481"/>
      <c r="C124" s="481"/>
      <c r="D124" s="522"/>
    </row>
    <row r="125" spans="1:13" x14ac:dyDescent="0.25">
      <c r="A125" s="521"/>
      <c r="B125" s="481"/>
      <c r="C125" s="481"/>
      <c r="D125" s="316"/>
      <c r="E125" s="515" t="s">
        <v>1181</v>
      </c>
      <c r="F125" s="270" t="s">
        <v>1185</v>
      </c>
      <c r="I125" s="270" t="s">
        <v>1188</v>
      </c>
    </row>
    <row r="126" spans="1:13" x14ac:dyDescent="0.25">
      <c r="A126" s="521"/>
      <c r="B126" s="481"/>
      <c r="C126" s="481"/>
      <c r="D126" s="316"/>
      <c r="E126" s="515" t="s">
        <v>1182</v>
      </c>
      <c r="F126" s="270" t="s">
        <v>1186</v>
      </c>
      <c r="I126" s="270" t="s">
        <v>1189</v>
      </c>
    </row>
    <row r="127" spans="1:13" x14ac:dyDescent="0.25">
      <c r="A127" s="521"/>
      <c r="B127" s="481"/>
      <c r="C127" s="481"/>
      <c r="D127" s="316"/>
      <c r="E127" s="515" t="s">
        <v>1183</v>
      </c>
      <c r="F127" s="270" t="s">
        <v>1187</v>
      </c>
      <c r="I127" s="270" t="s">
        <v>1190</v>
      </c>
    </row>
    <row r="128" spans="1:13" x14ac:dyDescent="0.25">
      <c r="E128" s="515" t="s">
        <v>1184</v>
      </c>
      <c r="I128" s="270" t="s">
        <v>1191</v>
      </c>
    </row>
    <row r="130" spans="1:2" x14ac:dyDescent="0.25">
      <c r="A130" s="524" t="s">
        <v>1222</v>
      </c>
    </row>
    <row r="131" spans="1:2" x14ac:dyDescent="0.25">
      <c r="A131" s="513" t="s">
        <v>661</v>
      </c>
    </row>
    <row r="132" spans="1:2" x14ac:dyDescent="0.25">
      <c r="A132" s="513" t="s">
        <v>1147</v>
      </c>
    </row>
    <row r="133" spans="1:2" x14ac:dyDescent="0.25">
      <c r="A133" s="513"/>
    </row>
    <row r="134" spans="1:2" s="412" customFormat="1" x14ac:dyDescent="0.25">
      <c r="A134" s="412" t="s">
        <v>248</v>
      </c>
    </row>
    <row r="135" spans="1:2" s="412" customFormat="1" x14ac:dyDescent="0.25">
      <c r="A135" s="413" t="s">
        <v>249</v>
      </c>
      <c r="B135" s="414" t="s">
        <v>250</v>
      </c>
    </row>
  </sheetData>
  <autoFilter ref="A3:I123"/>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6"/>
  <sheetViews>
    <sheetView topLeftCell="C1" workbookViewId="0">
      <pane ySplit="5" topLeftCell="A6" activePane="bottomLeft" state="frozen"/>
      <selection pane="bottomLeft" activeCell="H1" sqref="H1:H1048576"/>
    </sheetView>
  </sheetViews>
  <sheetFormatPr defaultRowHeight="15.75" x14ac:dyDescent="0.25"/>
  <cols>
    <col min="1" max="1" width="9.125" style="684" customWidth="1"/>
    <col min="2" max="2" width="34.375" style="684" customWidth="1"/>
    <col min="3" max="3" width="11.25" style="684" customWidth="1"/>
    <col min="4" max="7" width="8.875" style="728" customWidth="1"/>
    <col min="8" max="8" width="9.125" style="728" customWidth="1"/>
    <col min="9" max="9" width="6.625" style="728" customWidth="1"/>
    <col min="10" max="10" width="15.125" style="728" customWidth="1"/>
    <col min="11" max="11" width="9.125" style="728" bestFit="1" customWidth="1"/>
    <col min="12" max="12" width="12.75" style="728" customWidth="1"/>
    <col min="13" max="13" width="7.75" style="728" customWidth="1"/>
    <col min="14" max="16" width="9" style="728" customWidth="1"/>
    <col min="17" max="17" width="4.875" style="728" customWidth="1"/>
    <col min="18" max="16384" width="9" style="728"/>
  </cols>
  <sheetData>
    <row r="1" spans="1:16" x14ac:dyDescent="0.25">
      <c r="A1" s="64" t="s">
        <v>1333</v>
      </c>
      <c r="B1" s="728"/>
      <c r="C1" s="728"/>
    </row>
    <row r="2" spans="1:16" x14ac:dyDescent="0.25">
      <c r="A2" s="728"/>
      <c r="B2" s="728"/>
      <c r="C2" s="728"/>
    </row>
    <row r="3" spans="1:16" x14ac:dyDescent="0.25">
      <c r="A3" s="728"/>
      <c r="B3" s="728"/>
      <c r="C3" s="728"/>
      <c r="D3" s="64"/>
      <c r="E3" s="2246" t="s">
        <v>778</v>
      </c>
      <c r="F3" s="2246"/>
      <c r="G3" s="2246"/>
      <c r="H3" s="2246"/>
      <c r="I3" s="2246"/>
      <c r="J3" s="2246"/>
      <c r="K3" s="2246" t="s">
        <v>779</v>
      </c>
      <c r="L3" s="2246"/>
      <c r="M3" s="2246"/>
      <c r="N3" s="2246" t="s">
        <v>876</v>
      </c>
      <c r="O3" s="2246"/>
      <c r="P3" s="2246"/>
    </row>
    <row r="4" spans="1:16" ht="31.5" x14ac:dyDescent="0.25">
      <c r="A4" s="685" t="s">
        <v>4</v>
      </c>
      <c r="B4" s="697" t="s">
        <v>5</v>
      </c>
      <c r="C4" s="685" t="s">
        <v>251</v>
      </c>
      <c r="D4" s="1974" t="s">
        <v>1150</v>
      </c>
      <c r="E4" s="848" t="s">
        <v>2</v>
      </c>
      <c r="F4" s="848" t="s">
        <v>445</v>
      </c>
      <c r="G4" s="848" t="s">
        <v>446</v>
      </c>
      <c r="H4" s="1763" t="s">
        <v>773</v>
      </c>
      <c r="I4" s="1976" t="s">
        <v>1332</v>
      </c>
      <c r="J4" s="1977" t="s">
        <v>1335</v>
      </c>
      <c r="K4" s="1972" t="s">
        <v>1144</v>
      </c>
      <c r="L4" s="1972" t="s">
        <v>781</v>
      </c>
      <c r="M4" s="1978" t="s">
        <v>1336</v>
      </c>
      <c r="N4" s="1971" t="s">
        <v>549</v>
      </c>
      <c r="O4" s="1971" t="s">
        <v>548</v>
      </c>
      <c r="P4" s="1971" t="s">
        <v>773</v>
      </c>
    </row>
    <row r="5" spans="1:16" x14ac:dyDescent="0.25">
      <c r="A5" s="853">
        <v>999</v>
      </c>
      <c r="B5" s="854" t="s">
        <v>9</v>
      </c>
      <c r="C5" s="853"/>
      <c r="D5" s="1466">
        <f>SUM(D6:D125)</f>
        <v>23436</v>
      </c>
      <c r="E5" s="1466">
        <f t="shared" ref="E5:P5" si="0">SUM(E6:E125)</f>
        <v>15620</v>
      </c>
      <c r="F5" s="1466">
        <f t="shared" si="0"/>
        <v>5423</v>
      </c>
      <c r="G5" s="1466">
        <f t="shared" si="0"/>
        <v>312</v>
      </c>
      <c r="H5" s="1466">
        <f t="shared" si="0"/>
        <v>1898</v>
      </c>
      <c r="I5" s="1975">
        <f t="shared" si="0"/>
        <v>183</v>
      </c>
      <c r="J5" s="1975">
        <f t="shared" si="0"/>
        <v>1382</v>
      </c>
      <c r="K5" s="1466">
        <f t="shared" si="0"/>
        <v>6407</v>
      </c>
      <c r="L5" s="1466">
        <f t="shared" si="0"/>
        <v>16927</v>
      </c>
      <c r="M5" s="1975">
        <f t="shared" si="0"/>
        <v>100</v>
      </c>
      <c r="N5" s="1975">
        <f t="shared" si="0"/>
        <v>14127</v>
      </c>
      <c r="O5" s="1975">
        <f t="shared" si="0"/>
        <v>9249</v>
      </c>
      <c r="P5" s="1975">
        <f t="shared" si="0"/>
        <v>60</v>
      </c>
    </row>
    <row r="6" spans="1:16" x14ac:dyDescent="0.25">
      <c r="A6" s="676" t="s">
        <v>10</v>
      </c>
      <c r="B6" s="677" t="s">
        <v>11</v>
      </c>
      <c r="C6" s="678" t="s">
        <v>264</v>
      </c>
      <c r="D6" s="270">
        <v>76</v>
      </c>
      <c r="E6" s="270">
        <v>49</v>
      </c>
      <c r="F6" s="270">
        <v>27</v>
      </c>
      <c r="G6" s="270">
        <v>0</v>
      </c>
      <c r="H6" s="270">
        <v>0</v>
      </c>
      <c r="I6" s="270"/>
      <c r="J6" s="270">
        <f>H6+I6</f>
        <v>0</v>
      </c>
      <c r="K6" s="270">
        <v>30</v>
      </c>
      <c r="L6" s="270">
        <v>46</v>
      </c>
      <c r="M6" s="270"/>
      <c r="N6" s="270">
        <v>44</v>
      </c>
      <c r="O6" s="270">
        <v>32</v>
      </c>
      <c r="P6" s="270">
        <v>0</v>
      </c>
    </row>
    <row r="7" spans="1:16" x14ac:dyDescent="0.25">
      <c r="A7" s="676" t="s">
        <v>12</v>
      </c>
      <c r="B7" s="677" t="s">
        <v>13</v>
      </c>
      <c r="C7" s="678" t="s">
        <v>265</v>
      </c>
      <c r="D7" s="270">
        <v>317</v>
      </c>
      <c r="E7" s="270">
        <v>239</v>
      </c>
      <c r="F7" s="270">
        <v>56</v>
      </c>
      <c r="G7" s="270">
        <v>3</v>
      </c>
      <c r="H7" s="1318">
        <v>18</v>
      </c>
      <c r="I7" s="1318">
        <v>1</v>
      </c>
      <c r="J7" s="270">
        <f t="shared" ref="J7:J70" si="1">H7+I7</f>
        <v>19</v>
      </c>
      <c r="K7" s="270">
        <v>73</v>
      </c>
      <c r="L7" s="270">
        <v>244</v>
      </c>
      <c r="M7" s="270"/>
      <c r="N7" s="270">
        <v>176</v>
      </c>
      <c r="O7" s="270">
        <v>141</v>
      </c>
      <c r="P7" s="270">
        <v>0</v>
      </c>
    </row>
    <row r="8" spans="1:16" x14ac:dyDescent="0.25">
      <c r="A8" s="676" t="s">
        <v>16</v>
      </c>
      <c r="B8" s="677" t="s">
        <v>297</v>
      </c>
      <c r="C8" s="678" t="s">
        <v>265</v>
      </c>
      <c r="D8" s="270">
        <v>50</v>
      </c>
      <c r="E8" s="270">
        <v>41</v>
      </c>
      <c r="F8" s="270">
        <v>8</v>
      </c>
      <c r="G8" s="270">
        <v>0</v>
      </c>
      <c r="H8" s="270">
        <v>0</v>
      </c>
      <c r="I8" s="270">
        <v>1</v>
      </c>
      <c r="J8" s="270">
        <f t="shared" si="1"/>
        <v>1</v>
      </c>
      <c r="K8" s="270">
        <v>30</v>
      </c>
      <c r="L8" s="270">
        <v>20</v>
      </c>
      <c r="M8" s="270"/>
      <c r="N8" s="728">
        <v>35</v>
      </c>
      <c r="O8" s="728">
        <v>15</v>
      </c>
      <c r="P8" s="728">
        <v>0</v>
      </c>
    </row>
    <row r="9" spans="1:16" x14ac:dyDescent="0.25">
      <c r="A9" s="676" t="s">
        <v>18</v>
      </c>
      <c r="B9" s="677" t="s">
        <v>19</v>
      </c>
      <c r="C9" s="678" t="s">
        <v>266</v>
      </c>
      <c r="D9" s="270">
        <v>38</v>
      </c>
      <c r="E9" s="270">
        <v>22</v>
      </c>
      <c r="F9" s="270">
        <v>15</v>
      </c>
      <c r="G9" s="270">
        <v>0</v>
      </c>
      <c r="H9" s="270">
        <v>1</v>
      </c>
      <c r="I9" s="270"/>
      <c r="J9" s="270">
        <f t="shared" si="1"/>
        <v>1</v>
      </c>
      <c r="K9" s="270">
        <v>10</v>
      </c>
      <c r="L9" s="270">
        <v>28</v>
      </c>
      <c r="M9" s="270"/>
      <c r="N9" s="270">
        <v>19</v>
      </c>
      <c r="O9" s="270">
        <v>19</v>
      </c>
      <c r="P9" s="270">
        <v>0</v>
      </c>
    </row>
    <row r="10" spans="1:16" x14ac:dyDescent="0.25">
      <c r="A10" s="676" t="s">
        <v>20</v>
      </c>
      <c r="B10" s="677" t="s">
        <v>21</v>
      </c>
      <c r="C10" s="678" t="s">
        <v>265</v>
      </c>
      <c r="D10" s="270">
        <v>86</v>
      </c>
      <c r="E10" s="270">
        <v>71</v>
      </c>
      <c r="F10" s="270">
        <v>10</v>
      </c>
      <c r="G10" s="270">
        <v>1</v>
      </c>
      <c r="H10" s="1318">
        <v>3</v>
      </c>
      <c r="I10" s="1318">
        <v>1</v>
      </c>
      <c r="J10" s="270">
        <f t="shared" si="1"/>
        <v>4</v>
      </c>
      <c r="K10" s="270">
        <v>26</v>
      </c>
      <c r="L10" s="270">
        <v>60</v>
      </c>
      <c r="M10" s="270"/>
      <c r="N10" s="270">
        <v>46</v>
      </c>
      <c r="O10" s="270">
        <v>39</v>
      </c>
      <c r="P10" s="270">
        <v>1</v>
      </c>
    </row>
    <row r="11" spans="1:16" x14ac:dyDescent="0.25">
      <c r="A11" s="676" t="s">
        <v>22</v>
      </c>
      <c r="B11" s="677" t="s">
        <v>23</v>
      </c>
      <c r="C11" s="678" t="s">
        <v>265</v>
      </c>
      <c r="D11" s="270">
        <v>11</v>
      </c>
      <c r="E11" s="270">
        <v>9</v>
      </c>
      <c r="F11" s="270">
        <v>2</v>
      </c>
      <c r="G11" s="270">
        <v>0</v>
      </c>
      <c r="H11" s="270">
        <v>0</v>
      </c>
      <c r="I11" s="270"/>
      <c r="J11" s="270">
        <f t="shared" si="1"/>
        <v>0</v>
      </c>
      <c r="K11" s="270">
        <v>3</v>
      </c>
      <c r="L11" s="270">
        <v>8</v>
      </c>
      <c r="M11" s="270"/>
      <c r="N11" s="270">
        <v>7</v>
      </c>
      <c r="O11" s="270">
        <v>4</v>
      </c>
      <c r="P11" s="270">
        <v>0</v>
      </c>
    </row>
    <row r="12" spans="1:16" x14ac:dyDescent="0.25">
      <c r="A12" s="676" t="s">
        <v>24</v>
      </c>
      <c r="B12" s="677" t="s">
        <v>25</v>
      </c>
      <c r="C12" s="678" t="s">
        <v>267</v>
      </c>
      <c r="D12" s="270">
        <v>228</v>
      </c>
      <c r="E12" s="270">
        <v>138</v>
      </c>
      <c r="F12" s="270">
        <v>53</v>
      </c>
      <c r="G12" s="270">
        <v>10</v>
      </c>
      <c r="H12" s="270">
        <v>14</v>
      </c>
      <c r="I12" s="270">
        <v>13</v>
      </c>
      <c r="J12" s="270">
        <f t="shared" si="1"/>
        <v>27</v>
      </c>
      <c r="K12" s="270">
        <v>36</v>
      </c>
      <c r="L12" s="270">
        <v>189</v>
      </c>
      <c r="M12" s="270">
        <v>3</v>
      </c>
      <c r="N12" s="270">
        <v>139</v>
      </c>
      <c r="O12" s="270">
        <v>88</v>
      </c>
      <c r="P12" s="270">
        <v>1</v>
      </c>
    </row>
    <row r="13" spans="1:16" x14ac:dyDescent="0.25">
      <c r="A13" s="676" t="s">
        <v>26</v>
      </c>
      <c r="B13" s="677" t="s">
        <v>298</v>
      </c>
      <c r="C13" s="678" t="s">
        <v>265</v>
      </c>
      <c r="D13" s="270">
        <v>1369</v>
      </c>
      <c r="E13" s="270">
        <v>1173</v>
      </c>
      <c r="F13" s="270">
        <v>104</v>
      </c>
      <c r="G13" s="270">
        <v>12</v>
      </c>
      <c r="H13" s="270">
        <v>75</v>
      </c>
      <c r="I13" s="270">
        <v>5</v>
      </c>
      <c r="J13" s="270">
        <f t="shared" si="1"/>
        <v>80</v>
      </c>
      <c r="K13" s="270">
        <v>462</v>
      </c>
      <c r="L13" s="270">
        <v>906</v>
      </c>
      <c r="M13" s="270">
        <v>1</v>
      </c>
      <c r="N13" s="270">
        <v>790</v>
      </c>
      <c r="O13" s="270">
        <v>579</v>
      </c>
      <c r="P13" s="270">
        <v>0</v>
      </c>
    </row>
    <row r="14" spans="1:16" x14ac:dyDescent="0.25">
      <c r="A14" s="676" t="s">
        <v>27</v>
      </c>
      <c r="B14" s="677" t="s">
        <v>28</v>
      </c>
      <c r="C14" s="678" t="s">
        <v>265</v>
      </c>
      <c r="D14" s="270">
        <v>19</v>
      </c>
      <c r="E14" s="270">
        <v>17</v>
      </c>
      <c r="F14" s="270">
        <v>2</v>
      </c>
      <c r="G14" s="270">
        <v>0</v>
      </c>
      <c r="H14" s="270">
        <v>0</v>
      </c>
      <c r="I14" s="270"/>
      <c r="J14" s="270">
        <f t="shared" si="1"/>
        <v>0</v>
      </c>
      <c r="K14" s="270">
        <v>2</v>
      </c>
      <c r="L14" s="270">
        <v>17</v>
      </c>
      <c r="M14" s="270"/>
      <c r="N14" s="270">
        <v>12</v>
      </c>
      <c r="O14" s="270">
        <v>7</v>
      </c>
      <c r="P14" s="270">
        <v>0</v>
      </c>
    </row>
    <row r="15" spans="1:16" x14ac:dyDescent="0.25">
      <c r="A15" s="676" t="s">
        <v>29</v>
      </c>
      <c r="B15" s="677" t="s">
        <v>924</v>
      </c>
      <c r="C15" s="678" t="s">
        <v>265</v>
      </c>
      <c r="D15" s="270">
        <v>515</v>
      </c>
      <c r="E15" s="270">
        <v>386</v>
      </c>
      <c r="F15" s="270">
        <v>76</v>
      </c>
      <c r="G15" s="270">
        <v>3</v>
      </c>
      <c r="H15" s="1318">
        <v>48</v>
      </c>
      <c r="I15" s="1318">
        <v>2</v>
      </c>
      <c r="J15" s="270">
        <f t="shared" si="1"/>
        <v>50</v>
      </c>
      <c r="K15" s="270">
        <v>181</v>
      </c>
      <c r="L15" s="270">
        <v>334</v>
      </c>
      <c r="M15" s="270"/>
      <c r="N15" s="270">
        <v>278</v>
      </c>
      <c r="O15" s="270">
        <v>236</v>
      </c>
      <c r="P15" s="270">
        <v>1</v>
      </c>
    </row>
    <row r="16" spans="1:16" x14ac:dyDescent="0.25">
      <c r="A16" s="676" t="s">
        <v>30</v>
      </c>
      <c r="B16" s="677" t="s">
        <v>31</v>
      </c>
      <c r="C16" s="678" t="s">
        <v>268</v>
      </c>
      <c r="D16" s="270">
        <v>8</v>
      </c>
      <c r="E16" s="270">
        <v>8</v>
      </c>
      <c r="F16" s="270">
        <v>0</v>
      </c>
      <c r="G16" s="270">
        <v>0</v>
      </c>
      <c r="H16" s="270">
        <v>0</v>
      </c>
      <c r="I16" s="270"/>
      <c r="J16" s="270">
        <f t="shared" si="1"/>
        <v>0</v>
      </c>
      <c r="K16" s="270">
        <v>1</v>
      </c>
      <c r="L16" s="270">
        <v>7</v>
      </c>
      <c r="M16" s="270"/>
      <c r="N16" s="270">
        <v>5</v>
      </c>
      <c r="O16" s="270">
        <v>3</v>
      </c>
      <c r="P16" s="270">
        <v>0</v>
      </c>
    </row>
    <row r="17" spans="1:16" x14ac:dyDescent="0.25">
      <c r="A17" s="676" t="s">
        <v>32</v>
      </c>
      <c r="B17" s="677" t="s">
        <v>33</v>
      </c>
      <c r="C17" s="678" t="s">
        <v>265</v>
      </c>
      <c r="D17" s="270">
        <v>146</v>
      </c>
      <c r="E17" s="270">
        <v>129</v>
      </c>
      <c r="F17" s="270">
        <v>8</v>
      </c>
      <c r="G17" s="270">
        <v>0</v>
      </c>
      <c r="H17" s="270">
        <v>9</v>
      </c>
      <c r="I17" s="270"/>
      <c r="J17" s="270">
        <f t="shared" si="1"/>
        <v>9</v>
      </c>
      <c r="K17" s="270">
        <v>48</v>
      </c>
      <c r="L17" s="270">
        <v>98</v>
      </c>
      <c r="M17" s="270"/>
      <c r="N17" s="270">
        <v>87</v>
      </c>
      <c r="O17" s="270">
        <v>59</v>
      </c>
      <c r="P17" s="270">
        <v>0</v>
      </c>
    </row>
    <row r="18" spans="1:16" x14ac:dyDescent="0.25">
      <c r="A18" s="676" t="s">
        <v>36</v>
      </c>
      <c r="B18" s="677" t="s">
        <v>37</v>
      </c>
      <c r="C18" s="678" t="s">
        <v>264</v>
      </c>
      <c r="D18" s="270">
        <v>33</v>
      </c>
      <c r="E18" s="270">
        <v>11</v>
      </c>
      <c r="F18" s="270">
        <v>22</v>
      </c>
      <c r="G18" s="270">
        <v>0</v>
      </c>
      <c r="H18" s="270">
        <v>0</v>
      </c>
      <c r="I18" s="270"/>
      <c r="J18" s="270">
        <f t="shared" si="1"/>
        <v>0</v>
      </c>
      <c r="K18" s="270">
        <v>5</v>
      </c>
      <c r="L18" s="270">
        <v>26</v>
      </c>
      <c r="M18" s="270"/>
      <c r="N18" s="270">
        <v>16</v>
      </c>
      <c r="O18" s="270">
        <v>17</v>
      </c>
      <c r="P18" s="270">
        <v>0</v>
      </c>
    </row>
    <row r="19" spans="1:16" x14ac:dyDescent="0.25">
      <c r="A19" s="676" t="s">
        <v>38</v>
      </c>
      <c r="B19" s="677" t="s">
        <v>39</v>
      </c>
      <c r="C19" s="678" t="s">
        <v>268</v>
      </c>
      <c r="D19" s="270">
        <v>33</v>
      </c>
      <c r="E19" s="270">
        <v>32</v>
      </c>
      <c r="F19" s="270">
        <v>0</v>
      </c>
      <c r="G19" s="270">
        <v>0</v>
      </c>
      <c r="H19" s="270">
        <v>1</v>
      </c>
      <c r="I19" s="270"/>
      <c r="J19" s="270">
        <f t="shared" si="1"/>
        <v>1</v>
      </c>
      <c r="K19" s="270">
        <v>9</v>
      </c>
      <c r="L19" s="270">
        <v>24</v>
      </c>
      <c r="M19" s="270"/>
      <c r="N19" s="270">
        <v>21</v>
      </c>
      <c r="O19" s="270">
        <v>12</v>
      </c>
      <c r="P19" s="270">
        <v>0</v>
      </c>
    </row>
    <row r="20" spans="1:16" x14ac:dyDescent="0.25">
      <c r="A20" s="676" t="s">
        <v>40</v>
      </c>
      <c r="B20" s="677" t="s">
        <v>41</v>
      </c>
      <c r="C20" s="678" t="s">
        <v>266</v>
      </c>
      <c r="D20" s="270">
        <v>60</v>
      </c>
      <c r="E20" s="270">
        <v>35</v>
      </c>
      <c r="F20" s="270">
        <v>22</v>
      </c>
      <c r="G20" s="270">
        <v>0</v>
      </c>
      <c r="H20" s="270">
        <v>3</v>
      </c>
      <c r="I20" s="270"/>
      <c r="J20" s="270">
        <f t="shared" si="1"/>
        <v>3</v>
      </c>
      <c r="K20" s="270">
        <v>17</v>
      </c>
      <c r="L20" s="270">
        <v>42</v>
      </c>
      <c r="M20" s="270">
        <v>1</v>
      </c>
      <c r="N20" s="270">
        <v>39</v>
      </c>
      <c r="O20" s="270">
        <v>21</v>
      </c>
      <c r="P20" s="270">
        <v>0</v>
      </c>
    </row>
    <row r="21" spans="1:16" x14ac:dyDescent="0.25">
      <c r="A21" s="676" t="s">
        <v>42</v>
      </c>
      <c r="B21" s="677" t="s">
        <v>43</v>
      </c>
      <c r="C21" s="678" t="s">
        <v>265</v>
      </c>
      <c r="D21" s="270">
        <v>152</v>
      </c>
      <c r="E21" s="270">
        <v>125</v>
      </c>
      <c r="F21" s="270">
        <v>25</v>
      </c>
      <c r="G21" s="270">
        <v>0</v>
      </c>
      <c r="H21" s="270">
        <v>2</v>
      </c>
      <c r="I21" s="270"/>
      <c r="J21" s="270">
        <f t="shared" si="1"/>
        <v>2</v>
      </c>
      <c r="K21" s="270">
        <v>28</v>
      </c>
      <c r="L21" s="270">
        <v>123</v>
      </c>
      <c r="M21" s="270">
        <v>1</v>
      </c>
      <c r="N21" s="270">
        <v>109</v>
      </c>
      <c r="O21" s="270">
        <v>43</v>
      </c>
      <c r="P21" s="270">
        <v>0</v>
      </c>
    </row>
    <row r="22" spans="1:16" x14ac:dyDescent="0.25">
      <c r="A22" s="676" t="s">
        <v>44</v>
      </c>
      <c r="B22" s="677" t="s">
        <v>45</v>
      </c>
      <c r="C22" s="678" t="s">
        <v>266</v>
      </c>
      <c r="D22" s="270">
        <v>93</v>
      </c>
      <c r="E22" s="270">
        <v>49</v>
      </c>
      <c r="F22" s="270">
        <v>32</v>
      </c>
      <c r="G22" s="270">
        <v>1</v>
      </c>
      <c r="H22" s="270">
        <v>9</v>
      </c>
      <c r="I22" s="270">
        <v>2</v>
      </c>
      <c r="J22" s="270">
        <f t="shared" si="1"/>
        <v>11</v>
      </c>
      <c r="K22" s="270">
        <v>26</v>
      </c>
      <c r="L22" s="270">
        <v>67</v>
      </c>
      <c r="M22" s="270"/>
      <c r="N22" s="270">
        <v>56</v>
      </c>
      <c r="O22" s="270">
        <v>37</v>
      </c>
      <c r="P22" s="270">
        <v>0</v>
      </c>
    </row>
    <row r="23" spans="1:16" x14ac:dyDescent="0.25">
      <c r="A23" s="676" t="s">
        <v>46</v>
      </c>
      <c r="B23" s="677" t="s">
        <v>47</v>
      </c>
      <c r="C23" s="678" t="s">
        <v>268</v>
      </c>
      <c r="D23" s="270">
        <v>196</v>
      </c>
      <c r="E23" s="270">
        <v>190</v>
      </c>
      <c r="F23" s="270">
        <v>3</v>
      </c>
      <c r="G23" s="270">
        <v>0</v>
      </c>
      <c r="H23" s="270">
        <v>3</v>
      </c>
      <c r="I23" s="270"/>
      <c r="J23" s="270">
        <f t="shared" si="1"/>
        <v>3</v>
      </c>
      <c r="K23" s="270">
        <v>73</v>
      </c>
      <c r="L23" s="270">
        <v>123</v>
      </c>
      <c r="M23" s="270"/>
      <c r="N23" s="270">
        <v>105</v>
      </c>
      <c r="O23" s="270">
        <v>91</v>
      </c>
      <c r="P23" s="270">
        <v>0</v>
      </c>
    </row>
    <row r="24" spans="1:16" x14ac:dyDescent="0.25">
      <c r="A24" s="676" t="s">
        <v>48</v>
      </c>
      <c r="B24" s="677" t="s">
        <v>269</v>
      </c>
      <c r="C24" s="678" t="s">
        <v>266</v>
      </c>
      <c r="D24" s="270">
        <v>19</v>
      </c>
      <c r="E24" s="270">
        <v>0</v>
      </c>
      <c r="F24" s="270">
        <v>18</v>
      </c>
      <c r="G24" s="270">
        <v>0</v>
      </c>
      <c r="H24" s="270">
        <v>1</v>
      </c>
      <c r="I24" s="270"/>
      <c r="J24" s="270">
        <f t="shared" si="1"/>
        <v>1</v>
      </c>
      <c r="K24" s="270">
        <v>7</v>
      </c>
      <c r="L24" s="270">
        <v>12</v>
      </c>
      <c r="M24" s="270"/>
      <c r="N24" s="270">
        <v>8</v>
      </c>
      <c r="O24" s="270">
        <v>10</v>
      </c>
      <c r="P24" s="270">
        <v>1</v>
      </c>
    </row>
    <row r="25" spans="1:16" x14ac:dyDescent="0.25">
      <c r="A25" s="676" t="s">
        <v>50</v>
      </c>
      <c r="B25" s="677" t="s">
        <v>51</v>
      </c>
      <c r="C25" s="678" t="s">
        <v>265</v>
      </c>
      <c r="D25" s="270">
        <v>28</v>
      </c>
      <c r="E25" s="270">
        <v>15</v>
      </c>
      <c r="F25" s="270">
        <v>13</v>
      </c>
      <c r="G25" s="270">
        <v>0</v>
      </c>
      <c r="H25" s="270">
        <v>0</v>
      </c>
      <c r="I25" s="270"/>
      <c r="J25" s="270">
        <f t="shared" si="1"/>
        <v>0</v>
      </c>
      <c r="K25" s="270">
        <v>5</v>
      </c>
      <c r="L25" s="270">
        <v>23</v>
      </c>
      <c r="M25" s="270"/>
      <c r="N25" s="270">
        <v>15</v>
      </c>
      <c r="O25" s="270">
        <v>13</v>
      </c>
      <c r="P25" s="270">
        <v>0</v>
      </c>
    </row>
    <row r="26" spans="1:16" x14ac:dyDescent="0.25">
      <c r="A26" s="676" t="s">
        <v>56</v>
      </c>
      <c r="B26" s="677" t="s">
        <v>295</v>
      </c>
      <c r="C26" s="678" t="s">
        <v>266</v>
      </c>
      <c r="D26" s="270">
        <v>653</v>
      </c>
      <c r="E26" s="270">
        <v>412</v>
      </c>
      <c r="F26" s="270">
        <v>150</v>
      </c>
      <c r="G26" s="270">
        <v>10</v>
      </c>
      <c r="H26" s="270">
        <v>80</v>
      </c>
      <c r="I26" s="270">
        <v>1</v>
      </c>
      <c r="J26" s="270">
        <f t="shared" si="1"/>
        <v>81</v>
      </c>
      <c r="K26" s="270">
        <v>168</v>
      </c>
      <c r="L26" s="270">
        <v>481</v>
      </c>
      <c r="M26" s="270">
        <v>4</v>
      </c>
      <c r="N26" s="270">
        <v>390</v>
      </c>
      <c r="O26" s="270">
        <v>262</v>
      </c>
      <c r="P26" s="270">
        <v>1</v>
      </c>
    </row>
    <row r="27" spans="1:16" x14ac:dyDescent="0.25">
      <c r="A27" s="676" t="s">
        <v>58</v>
      </c>
      <c r="B27" s="677" t="s">
        <v>59</v>
      </c>
      <c r="C27" s="678" t="s">
        <v>267</v>
      </c>
      <c r="D27" s="270">
        <v>57</v>
      </c>
      <c r="E27" s="270">
        <v>37</v>
      </c>
      <c r="F27" s="270">
        <v>4</v>
      </c>
      <c r="G27" s="270">
        <v>1</v>
      </c>
      <c r="H27" s="270">
        <v>14</v>
      </c>
      <c r="I27" s="270">
        <v>1</v>
      </c>
      <c r="J27" s="270">
        <f t="shared" si="1"/>
        <v>15</v>
      </c>
      <c r="K27" s="270">
        <v>11</v>
      </c>
      <c r="L27" s="270">
        <v>46</v>
      </c>
      <c r="M27" s="270"/>
      <c r="N27" s="270">
        <v>34</v>
      </c>
      <c r="O27" s="270">
        <v>23</v>
      </c>
      <c r="P27" s="270">
        <v>0</v>
      </c>
    </row>
    <row r="28" spans="1:16" x14ac:dyDescent="0.25">
      <c r="A28" s="676" t="s">
        <v>60</v>
      </c>
      <c r="B28" s="677" t="s">
        <v>61</v>
      </c>
      <c r="C28" s="678" t="s">
        <v>265</v>
      </c>
      <c r="D28" s="270">
        <v>20</v>
      </c>
      <c r="E28" s="270">
        <v>20</v>
      </c>
      <c r="F28" s="270">
        <v>0</v>
      </c>
      <c r="G28" s="270">
        <v>0</v>
      </c>
      <c r="H28" s="270">
        <v>0</v>
      </c>
      <c r="I28" s="270"/>
      <c r="J28" s="270">
        <f t="shared" si="1"/>
        <v>0</v>
      </c>
      <c r="K28" s="270">
        <v>8</v>
      </c>
      <c r="L28" s="270">
        <v>12</v>
      </c>
      <c r="M28" s="270"/>
      <c r="N28" s="270">
        <v>11</v>
      </c>
      <c r="O28" s="270">
        <v>9</v>
      </c>
      <c r="P28" s="270">
        <v>0</v>
      </c>
    </row>
    <row r="29" spans="1:16" x14ac:dyDescent="0.25">
      <c r="A29" s="676" t="s">
        <v>62</v>
      </c>
      <c r="B29" s="677" t="s">
        <v>63</v>
      </c>
      <c r="C29" s="678" t="s">
        <v>267</v>
      </c>
      <c r="D29" s="270">
        <v>48</v>
      </c>
      <c r="E29" s="270">
        <v>27</v>
      </c>
      <c r="F29" s="270">
        <v>5</v>
      </c>
      <c r="G29" s="270">
        <v>0</v>
      </c>
      <c r="H29" s="270">
        <v>15</v>
      </c>
      <c r="I29" s="270">
        <v>1</v>
      </c>
      <c r="J29" s="270">
        <f t="shared" si="1"/>
        <v>16</v>
      </c>
      <c r="K29" s="270">
        <v>10</v>
      </c>
      <c r="L29" s="270">
        <v>38</v>
      </c>
      <c r="M29" s="270"/>
      <c r="N29" s="270">
        <v>32</v>
      </c>
      <c r="O29" s="270">
        <v>16</v>
      </c>
      <c r="P29" s="270">
        <v>0</v>
      </c>
    </row>
    <row r="30" spans="1:16" x14ac:dyDescent="0.25">
      <c r="A30" s="676" t="s">
        <v>64</v>
      </c>
      <c r="B30" s="677" t="s">
        <v>65</v>
      </c>
      <c r="C30" s="678" t="s">
        <v>266</v>
      </c>
      <c r="D30" s="270">
        <v>57</v>
      </c>
      <c r="E30" s="270">
        <v>37</v>
      </c>
      <c r="F30" s="270">
        <v>20</v>
      </c>
      <c r="G30" s="270">
        <v>0</v>
      </c>
      <c r="H30" s="270">
        <v>0</v>
      </c>
      <c r="I30" s="270"/>
      <c r="J30" s="270">
        <f t="shared" si="1"/>
        <v>0</v>
      </c>
      <c r="K30" s="270">
        <v>24</v>
      </c>
      <c r="L30" s="270">
        <v>33</v>
      </c>
      <c r="M30" s="270"/>
      <c r="N30" s="270">
        <v>32</v>
      </c>
      <c r="O30" s="270">
        <v>25</v>
      </c>
      <c r="P30" s="270">
        <v>0</v>
      </c>
    </row>
    <row r="31" spans="1:16" x14ac:dyDescent="0.25">
      <c r="A31" s="676" t="s">
        <v>68</v>
      </c>
      <c r="B31" s="677" t="s">
        <v>69</v>
      </c>
      <c r="C31" s="678" t="s">
        <v>268</v>
      </c>
      <c r="D31" s="270">
        <v>63</v>
      </c>
      <c r="E31" s="270">
        <v>63</v>
      </c>
      <c r="F31" s="270">
        <v>0</v>
      </c>
      <c r="G31" s="270">
        <v>0</v>
      </c>
      <c r="H31" s="270">
        <v>0</v>
      </c>
      <c r="I31" s="270"/>
      <c r="J31" s="270">
        <f t="shared" si="1"/>
        <v>0</v>
      </c>
      <c r="K31" s="270">
        <v>9</v>
      </c>
      <c r="L31" s="270">
        <v>54</v>
      </c>
      <c r="M31" s="270"/>
      <c r="N31" s="270">
        <v>36</v>
      </c>
      <c r="O31" s="270">
        <v>27</v>
      </c>
      <c r="P31" s="270">
        <v>0</v>
      </c>
    </row>
    <row r="32" spans="1:16" x14ac:dyDescent="0.25">
      <c r="A32" s="676" t="s">
        <v>70</v>
      </c>
      <c r="B32" s="677" t="s">
        <v>71</v>
      </c>
      <c r="C32" s="678" t="s">
        <v>264</v>
      </c>
      <c r="D32" s="270">
        <v>35</v>
      </c>
      <c r="E32" s="270">
        <v>25</v>
      </c>
      <c r="F32" s="270">
        <v>9</v>
      </c>
      <c r="G32" s="270">
        <v>0</v>
      </c>
      <c r="H32" s="270">
        <v>1</v>
      </c>
      <c r="I32" s="270"/>
      <c r="J32" s="270">
        <f t="shared" si="1"/>
        <v>1</v>
      </c>
      <c r="K32" s="270">
        <v>17</v>
      </c>
      <c r="L32" s="270">
        <v>18</v>
      </c>
      <c r="M32" s="270"/>
      <c r="N32" s="270">
        <v>16</v>
      </c>
      <c r="O32" s="270">
        <v>19</v>
      </c>
      <c r="P32" s="270">
        <v>0</v>
      </c>
    </row>
    <row r="33" spans="1:16" x14ac:dyDescent="0.25">
      <c r="A33" s="676" t="s">
        <v>72</v>
      </c>
      <c r="B33" s="677" t="s">
        <v>73</v>
      </c>
      <c r="C33" s="678" t="s">
        <v>266</v>
      </c>
      <c r="D33" s="270">
        <v>11</v>
      </c>
      <c r="E33" s="270">
        <v>8</v>
      </c>
      <c r="F33" s="270">
        <v>3</v>
      </c>
      <c r="G33" s="270">
        <v>0</v>
      </c>
      <c r="H33" s="270">
        <v>0</v>
      </c>
      <c r="I33" s="270"/>
      <c r="J33" s="270">
        <f t="shared" si="1"/>
        <v>0</v>
      </c>
      <c r="K33" s="270">
        <v>6</v>
      </c>
      <c r="L33" s="270">
        <v>5</v>
      </c>
      <c r="M33" s="270"/>
      <c r="N33" s="270">
        <v>7</v>
      </c>
      <c r="O33" s="270">
        <v>4</v>
      </c>
      <c r="P33" s="270">
        <v>0</v>
      </c>
    </row>
    <row r="34" spans="1:16" x14ac:dyDescent="0.25">
      <c r="A34" s="676" t="s">
        <v>74</v>
      </c>
      <c r="B34" s="677" t="s">
        <v>640</v>
      </c>
      <c r="C34" s="678" t="s">
        <v>267</v>
      </c>
      <c r="D34" s="270">
        <v>1062</v>
      </c>
      <c r="E34" s="270">
        <v>715</v>
      </c>
      <c r="F34" s="270">
        <v>108</v>
      </c>
      <c r="G34" s="270">
        <v>86</v>
      </c>
      <c r="H34" s="270">
        <v>150</v>
      </c>
      <c r="I34" s="270">
        <v>3</v>
      </c>
      <c r="J34" s="270">
        <f t="shared" si="1"/>
        <v>153</v>
      </c>
      <c r="K34" s="270">
        <v>212</v>
      </c>
      <c r="L34" s="270">
        <v>850</v>
      </c>
      <c r="M34" s="270"/>
      <c r="N34" s="270">
        <v>624</v>
      </c>
      <c r="O34" s="270">
        <v>421</v>
      </c>
      <c r="P34" s="270">
        <v>17</v>
      </c>
    </row>
    <row r="35" spans="1:16" x14ac:dyDescent="0.25">
      <c r="A35" s="676" t="s">
        <v>76</v>
      </c>
      <c r="B35" s="677" t="s">
        <v>77</v>
      </c>
      <c r="C35" s="678" t="s">
        <v>267</v>
      </c>
      <c r="D35" s="270">
        <v>348</v>
      </c>
      <c r="E35" s="270">
        <v>227</v>
      </c>
      <c r="F35" s="270">
        <v>69</v>
      </c>
      <c r="G35" s="270">
        <v>3</v>
      </c>
      <c r="H35" s="270">
        <v>45</v>
      </c>
      <c r="I35" s="270">
        <v>4</v>
      </c>
      <c r="J35" s="270">
        <f t="shared" si="1"/>
        <v>49</v>
      </c>
      <c r="K35" s="270">
        <v>99</v>
      </c>
      <c r="L35" s="270">
        <v>249</v>
      </c>
      <c r="M35" s="270"/>
      <c r="N35" s="270">
        <v>206</v>
      </c>
      <c r="O35" s="270">
        <v>142</v>
      </c>
      <c r="P35" s="270">
        <v>0</v>
      </c>
    </row>
    <row r="36" spans="1:16" x14ac:dyDescent="0.25">
      <c r="A36" s="676" t="s">
        <v>78</v>
      </c>
      <c r="B36" s="677" t="s">
        <v>79</v>
      </c>
      <c r="C36" s="678" t="s">
        <v>268</v>
      </c>
      <c r="D36" s="270">
        <v>85</v>
      </c>
      <c r="E36" s="270">
        <v>76</v>
      </c>
      <c r="F36" s="270">
        <v>6</v>
      </c>
      <c r="G36" s="270">
        <v>0</v>
      </c>
      <c r="H36" s="1318">
        <v>2</v>
      </c>
      <c r="I36" s="1318">
        <v>1</v>
      </c>
      <c r="J36" s="270">
        <f t="shared" si="1"/>
        <v>3</v>
      </c>
      <c r="K36" s="270">
        <v>27</v>
      </c>
      <c r="L36" s="270">
        <v>59</v>
      </c>
      <c r="M36" s="270">
        <v>-1</v>
      </c>
      <c r="N36" s="270">
        <v>43</v>
      </c>
      <c r="O36" s="270">
        <v>41</v>
      </c>
      <c r="P36" s="270">
        <v>1</v>
      </c>
    </row>
    <row r="37" spans="1:16" x14ac:dyDescent="0.25">
      <c r="A37" s="676" t="s">
        <v>80</v>
      </c>
      <c r="B37" s="677" t="s">
        <v>81</v>
      </c>
      <c r="C37" s="678" t="s">
        <v>266</v>
      </c>
      <c r="D37" s="270">
        <v>90</v>
      </c>
      <c r="E37" s="270">
        <v>67</v>
      </c>
      <c r="F37" s="270">
        <v>19</v>
      </c>
      <c r="G37" s="270">
        <v>0</v>
      </c>
      <c r="H37" s="270">
        <v>4</v>
      </c>
      <c r="I37" s="270"/>
      <c r="J37" s="270">
        <f t="shared" si="1"/>
        <v>4</v>
      </c>
      <c r="K37" s="270">
        <v>13</v>
      </c>
      <c r="L37" s="270">
        <v>76</v>
      </c>
      <c r="M37" s="270">
        <v>1</v>
      </c>
      <c r="N37" s="270">
        <v>58</v>
      </c>
      <c r="O37" s="270">
        <v>32</v>
      </c>
      <c r="P37" s="270">
        <v>0</v>
      </c>
    </row>
    <row r="38" spans="1:16" x14ac:dyDescent="0.25">
      <c r="A38" s="676" t="s">
        <v>84</v>
      </c>
      <c r="B38" s="677" t="s">
        <v>85</v>
      </c>
      <c r="C38" s="678" t="s">
        <v>265</v>
      </c>
      <c r="D38" s="270">
        <v>165</v>
      </c>
      <c r="E38" s="270">
        <v>142</v>
      </c>
      <c r="F38" s="270">
        <v>16</v>
      </c>
      <c r="G38" s="270">
        <v>0</v>
      </c>
      <c r="H38" s="270">
        <v>7</v>
      </c>
      <c r="I38" s="270"/>
      <c r="J38" s="270">
        <f t="shared" si="1"/>
        <v>7</v>
      </c>
      <c r="K38" s="270">
        <v>52</v>
      </c>
      <c r="L38" s="270">
        <v>113</v>
      </c>
      <c r="M38" s="270"/>
      <c r="N38" s="270">
        <v>101</v>
      </c>
      <c r="O38" s="270">
        <v>64</v>
      </c>
      <c r="P38" s="270">
        <v>0</v>
      </c>
    </row>
    <row r="39" spans="1:16" x14ac:dyDescent="0.25">
      <c r="A39" s="676" t="s">
        <v>86</v>
      </c>
      <c r="B39" s="677" t="s">
        <v>87</v>
      </c>
      <c r="C39" s="678" t="s">
        <v>267</v>
      </c>
      <c r="D39" s="270">
        <v>355</v>
      </c>
      <c r="E39" s="270">
        <v>320</v>
      </c>
      <c r="F39" s="270">
        <v>11</v>
      </c>
      <c r="G39" s="270">
        <v>3</v>
      </c>
      <c r="H39" s="270">
        <v>19</v>
      </c>
      <c r="I39" s="270">
        <v>2</v>
      </c>
      <c r="J39" s="270">
        <f t="shared" si="1"/>
        <v>21</v>
      </c>
      <c r="K39" s="270">
        <v>60</v>
      </c>
      <c r="L39" s="270">
        <v>294</v>
      </c>
      <c r="M39" s="270">
        <v>1</v>
      </c>
      <c r="N39" s="270">
        <v>225</v>
      </c>
      <c r="O39" s="270">
        <v>130</v>
      </c>
      <c r="P39" s="270">
        <v>0</v>
      </c>
    </row>
    <row r="40" spans="1:16" x14ac:dyDescent="0.25">
      <c r="A40" s="676" t="s">
        <v>92</v>
      </c>
      <c r="B40" s="677" t="s">
        <v>93</v>
      </c>
      <c r="C40" s="678" t="s">
        <v>268</v>
      </c>
      <c r="D40" s="728">
        <v>52</v>
      </c>
      <c r="E40" s="728">
        <v>35</v>
      </c>
      <c r="F40" s="728">
        <v>4</v>
      </c>
      <c r="G40" s="728">
        <v>0</v>
      </c>
      <c r="H40" s="728">
        <v>13</v>
      </c>
      <c r="J40" s="270">
        <f t="shared" si="1"/>
        <v>13</v>
      </c>
      <c r="K40" s="728">
        <v>16</v>
      </c>
      <c r="L40" s="728">
        <v>36</v>
      </c>
      <c r="N40" s="728">
        <v>27</v>
      </c>
      <c r="O40" s="728">
        <v>25</v>
      </c>
      <c r="P40" s="728">
        <v>0</v>
      </c>
    </row>
    <row r="41" spans="1:16" x14ac:dyDescent="0.25">
      <c r="A41" s="676" t="s">
        <v>94</v>
      </c>
      <c r="B41" s="677" t="s">
        <v>95</v>
      </c>
      <c r="C41" s="678" t="s">
        <v>264</v>
      </c>
      <c r="D41" s="270">
        <v>139</v>
      </c>
      <c r="E41" s="270">
        <v>100</v>
      </c>
      <c r="F41" s="270">
        <v>21</v>
      </c>
      <c r="G41" s="270">
        <v>1</v>
      </c>
      <c r="H41" s="270">
        <v>17</v>
      </c>
      <c r="I41" s="270"/>
      <c r="J41" s="270">
        <f t="shared" si="1"/>
        <v>17</v>
      </c>
      <c r="K41" s="270">
        <v>26</v>
      </c>
      <c r="L41" s="270">
        <v>112</v>
      </c>
      <c r="M41" s="270">
        <v>1</v>
      </c>
      <c r="N41" s="270">
        <v>91</v>
      </c>
      <c r="O41" s="270">
        <v>48</v>
      </c>
      <c r="P41" s="270">
        <v>0</v>
      </c>
    </row>
    <row r="42" spans="1:16" x14ac:dyDescent="0.25">
      <c r="A42" s="676" t="s">
        <v>96</v>
      </c>
      <c r="B42" s="677" t="s">
        <v>97</v>
      </c>
      <c r="C42" s="678" t="s">
        <v>266</v>
      </c>
      <c r="D42" s="270">
        <v>36</v>
      </c>
      <c r="E42" s="270">
        <v>22</v>
      </c>
      <c r="F42" s="270">
        <v>8</v>
      </c>
      <c r="G42" s="270">
        <v>1</v>
      </c>
      <c r="H42" s="270">
        <v>4</v>
      </c>
      <c r="I42" s="270">
        <v>1</v>
      </c>
      <c r="J42" s="270">
        <f t="shared" si="1"/>
        <v>5</v>
      </c>
      <c r="K42" s="270">
        <v>8</v>
      </c>
      <c r="L42" s="270">
        <v>28</v>
      </c>
      <c r="M42" s="270"/>
      <c r="N42" s="270">
        <v>25</v>
      </c>
      <c r="O42" s="270">
        <v>11</v>
      </c>
      <c r="P42" s="270">
        <v>0</v>
      </c>
    </row>
    <row r="43" spans="1:16" x14ac:dyDescent="0.25">
      <c r="A43" s="676" t="s">
        <v>98</v>
      </c>
      <c r="B43" s="677" t="s">
        <v>99</v>
      </c>
      <c r="C43" s="678" t="s">
        <v>268</v>
      </c>
      <c r="D43" s="270">
        <v>142</v>
      </c>
      <c r="E43" s="270">
        <v>137</v>
      </c>
      <c r="F43" s="270">
        <v>2</v>
      </c>
      <c r="G43" s="270">
        <v>0</v>
      </c>
      <c r="H43" s="270">
        <v>3</v>
      </c>
      <c r="I43" s="270"/>
      <c r="J43" s="270">
        <f t="shared" si="1"/>
        <v>3</v>
      </c>
      <c r="K43" s="270">
        <v>36</v>
      </c>
      <c r="L43" s="270">
        <v>106</v>
      </c>
      <c r="M43" s="270"/>
      <c r="N43" s="270">
        <v>82</v>
      </c>
      <c r="O43" s="270">
        <v>60</v>
      </c>
      <c r="P43" s="270">
        <v>0</v>
      </c>
    </row>
    <row r="44" spans="1:16" x14ac:dyDescent="0.25">
      <c r="A44" s="676" t="s">
        <v>100</v>
      </c>
      <c r="B44" s="677" t="s">
        <v>101</v>
      </c>
      <c r="C44" s="678" t="s">
        <v>267</v>
      </c>
      <c r="D44" s="270">
        <v>20</v>
      </c>
      <c r="E44" s="270">
        <v>18</v>
      </c>
      <c r="F44" s="270">
        <v>1</v>
      </c>
      <c r="G44" s="270">
        <v>1</v>
      </c>
      <c r="H44" s="270">
        <v>0</v>
      </c>
      <c r="I44" s="270"/>
      <c r="J44" s="270">
        <f t="shared" si="1"/>
        <v>0</v>
      </c>
      <c r="K44" s="270">
        <v>3</v>
      </c>
      <c r="L44" s="270">
        <v>17</v>
      </c>
      <c r="M44" s="270"/>
      <c r="N44" s="270">
        <v>17</v>
      </c>
      <c r="O44" s="270">
        <v>3</v>
      </c>
      <c r="P44" s="270">
        <v>0</v>
      </c>
    </row>
    <row r="45" spans="1:16" x14ac:dyDescent="0.25">
      <c r="A45" s="676" t="s">
        <v>102</v>
      </c>
      <c r="B45" s="677" t="s">
        <v>282</v>
      </c>
      <c r="C45" s="678" t="s">
        <v>264</v>
      </c>
      <c r="D45" s="270">
        <v>6</v>
      </c>
      <c r="E45" s="270">
        <v>1</v>
      </c>
      <c r="F45" s="270">
        <v>5</v>
      </c>
      <c r="G45" s="270">
        <v>0</v>
      </c>
      <c r="H45" s="270">
        <v>0</v>
      </c>
      <c r="I45" s="270"/>
      <c r="J45" s="270">
        <f t="shared" si="1"/>
        <v>0</v>
      </c>
      <c r="K45" s="270">
        <v>0</v>
      </c>
      <c r="L45" s="270">
        <v>6</v>
      </c>
      <c r="M45" s="270"/>
      <c r="N45" s="270">
        <v>1</v>
      </c>
      <c r="O45" s="270">
        <v>5</v>
      </c>
      <c r="P45" s="270">
        <v>0</v>
      </c>
    </row>
    <row r="46" spans="1:16" x14ac:dyDescent="0.25">
      <c r="A46" s="676" t="s">
        <v>104</v>
      </c>
      <c r="B46" s="677" t="s">
        <v>105</v>
      </c>
      <c r="C46" s="678" t="s">
        <v>265</v>
      </c>
      <c r="D46" s="270">
        <v>67</v>
      </c>
      <c r="E46" s="270">
        <v>30</v>
      </c>
      <c r="F46" s="270">
        <v>37</v>
      </c>
      <c r="G46" s="270">
        <v>0</v>
      </c>
      <c r="H46" s="270">
        <v>0</v>
      </c>
      <c r="I46" s="270"/>
      <c r="J46" s="270">
        <f t="shared" si="1"/>
        <v>0</v>
      </c>
      <c r="K46" s="270">
        <v>21</v>
      </c>
      <c r="L46" s="270">
        <v>46</v>
      </c>
      <c r="M46" s="270"/>
      <c r="N46" s="270">
        <v>47</v>
      </c>
      <c r="O46" s="270">
        <v>20</v>
      </c>
      <c r="P46" s="270">
        <v>0</v>
      </c>
    </row>
    <row r="47" spans="1:16" x14ac:dyDescent="0.25">
      <c r="A47" s="676" t="s">
        <v>108</v>
      </c>
      <c r="B47" s="677" t="s">
        <v>109</v>
      </c>
      <c r="C47" s="678" t="s">
        <v>266</v>
      </c>
      <c r="D47" s="270">
        <v>254</v>
      </c>
      <c r="E47" s="270">
        <v>191</v>
      </c>
      <c r="F47" s="270">
        <v>36</v>
      </c>
      <c r="G47" s="270">
        <v>2</v>
      </c>
      <c r="H47" s="270">
        <v>25</v>
      </c>
      <c r="I47" s="270"/>
      <c r="J47" s="270">
        <f t="shared" si="1"/>
        <v>25</v>
      </c>
      <c r="K47" s="270">
        <v>79</v>
      </c>
      <c r="L47" s="270">
        <v>175</v>
      </c>
      <c r="M47" s="270"/>
      <c r="N47" s="270">
        <v>164</v>
      </c>
      <c r="O47" s="270">
        <v>90</v>
      </c>
      <c r="P47" s="270">
        <v>0</v>
      </c>
    </row>
    <row r="48" spans="1:16" x14ac:dyDescent="0.25">
      <c r="A48" s="676" t="s">
        <v>110</v>
      </c>
      <c r="B48" s="677" t="s">
        <v>111</v>
      </c>
      <c r="C48" s="678" t="s">
        <v>266</v>
      </c>
      <c r="D48" s="270">
        <v>1123</v>
      </c>
      <c r="E48" s="270">
        <v>580</v>
      </c>
      <c r="F48" s="270">
        <v>339</v>
      </c>
      <c r="G48" s="270">
        <v>14</v>
      </c>
      <c r="H48" s="270">
        <v>185</v>
      </c>
      <c r="I48" s="270">
        <v>5</v>
      </c>
      <c r="J48" s="270">
        <f t="shared" si="1"/>
        <v>190</v>
      </c>
      <c r="K48" s="270">
        <v>290</v>
      </c>
      <c r="L48" s="270">
        <v>822</v>
      </c>
      <c r="M48" s="270">
        <v>11</v>
      </c>
      <c r="N48" s="270">
        <v>675</v>
      </c>
      <c r="O48" s="270">
        <v>447</v>
      </c>
      <c r="P48" s="270">
        <v>1</v>
      </c>
    </row>
    <row r="49" spans="1:18" x14ac:dyDescent="0.25">
      <c r="A49" s="676" t="s">
        <v>112</v>
      </c>
      <c r="B49" s="677" t="s">
        <v>300</v>
      </c>
      <c r="C49" s="678" t="s">
        <v>265</v>
      </c>
      <c r="D49" s="270">
        <v>337</v>
      </c>
      <c r="E49" s="270">
        <v>190</v>
      </c>
      <c r="F49" s="270">
        <v>72</v>
      </c>
      <c r="G49" s="270">
        <v>0</v>
      </c>
      <c r="H49" s="270">
        <v>73</v>
      </c>
      <c r="I49" s="270">
        <v>2</v>
      </c>
      <c r="J49" s="270">
        <f t="shared" si="1"/>
        <v>75</v>
      </c>
      <c r="K49" s="270">
        <v>74</v>
      </c>
      <c r="L49" s="270">
        <v>248</v>
      </c>
      <c r="M49" s="270">
        <v>15</v>
      </c>
      <c r="N49" s="270">
        <v>213</v>
      </c>
      <c r="O49" s="270">
        <v>123</v>
      </c>
      <c r="P49" s="270">
        <v>1</v>
      </c>
    </row>
    <row r="50" spans="1:18" x14ac:dyDescent="0.25">
      <c r="A50" s="676" t="s">
        <v>114</v>
      </c>
      <c r="B50" s="677" t="s">
        <v>115</v>
      </c>
      <c r="C50" s="678" t="s">
        <v>265</v>
      </c>
      <c r="D50" s="270">
        <v>23</v>
      </c>
      <c r="E50" s="270">
        <v>23</v>
      </c>
      <c r="F50" s="270">
        <v>0</v>
      </c>
      <c r="G50" s="270">
        <v>0</v>
      </c>
      <c r="H50" s="270">
        <v>0</v>
      </c>
      <c r="I50" s="270"/>
      <c r="J50" s="270">
        <f t="shared" si="1"/>
        <v>0</v>
      </c>
      <c r="K50" s="270">
        <v>4</v>
      </c>
      <c r="L50" s="270">
        <v>19</v>
      </c>
      <c r="M50" s="270"/>
      <c r="N50" s="270">
        <v>15</v>
      </c>
      <c r="O50" s="270">
        <v>8</v>
      </c>
      <c r="P50" s="270">
        <v>0</v>
      </c>
    </row>
    <row r="51" spans="1:18" x14ac:dyDescent="0.25">
      <c r="A51" s="676" t="s">
        <v>118</v>
      </c>
      <c r="B51" s="677" t="s">
        <v>270</v>
      </c>
      <c r="C51" s="678" t="s">
        <v>264</v>
      </c>
      <c r="D51" s="270">
        <v>85</v>
      </c>
      <c r="E51" s="270">
        <v>44</v>
      </c>
      <c r="F51" s="270">
        <v>36</v>
      </c>
      <c r="G51" s="270">
        <v>1</v>
      </c>
      <c r="H51" s="270">
        <v>4</v>
      </c>
      <c r="I51" s="270"/>
      <c r="J51" s="270">
        <f t="shared" si="1"/>
        <v>4</v>
      </c>
      <c r="K51" s="270">
        <v>18</v>
      </c>
      <c r="L51" s="270">
        <v>66</v>
      </c>
      <c r="M51" s="270">
        <v>1</v>
      </c>
      <c r="N51" s="270">
        <v>52</v>
      </c>
      <c r="O51" s="270">
        <v>32</v>
      </c>
      <c r="P51" s="270">
        <v>1</v>
      </c>
    </row>
    <row r="52" spans="1:18" x14ac:dyDescent="0.25">
      <c r="A52" s="676" t="s">
        <v>120</v>
      </c>
      <c r="B52" s="677" t="s">
        <v>121</v>
      </c>
      <c r="C52" s="678" t="s">
        <v>264</v>
      </c>
      <c r="D52" s="270">
        <v>179</v>
      </c>
      <c r="E52" s="270">
        <v>99</v>
      </c>
      <c r="F52" s="270">
        <v>41</v>
      </c>
      <c r="G52" s="270">
        <v>2</v>
      </c>
      <c r="H52" s="270">
        <v>36</v>
      </c>
      <c r="I52" s="270">
        <v>1</v>
      </c>
      <c r="J52" s="270">
        <f t="shared" si="1"/>
        <v>37</v>
      </c>
      <c r="K52" s="270">
        <v>58</v>
      </c>
      <c r="L52" s="270">
        <v>121</v>
      </c>
      <c r="M52" s="270"/>
      <c r="N52" s="270">
        <v>119</v>
      </c>
      <c r="O52" s="270">
        <v>59</v>
      </c>
      <c r="P52" s="270">
        <v>1</v>
      </c>
    </row>
    <row r="53" spans="1:18" x14ac:dyDescent="0.25">
      <c r="A53" s="676" t="s">
        <v>122</v>
      </c>
      <c r="B53" s="677" t="s">
        <v>287</v>
      </c>
      <c r="C53" s="678" t="s">
        <v>266</v>
      </c>
      <c r="D53" s="270">
        <v>26</v>
      </c>
      <c r="E53" s="270">
        <v>14</v>
      </c>
      <c r="F53" s="270">
        <v>10</v>
      </c>
      <c r="G53" s="270">
        <v>0</v>
      </c>
      <c r="H53" s="270">
        <v>2</v>
      </c>
      <c r="I53" s="270"/>
      <c r="J53" s="270">
        <f t="shared" si="1"/>
        <v>2</v>
      </c>
      <c r="K53" s="270">
        <v>7</v>
      </c>
      <c r="L53" s="270">
        <v>19</v>
      </c>
      <c r="M53" s="270"/>
      <c r="N53" s="270">
        <v>18</v>
      </c>
      <c r="O53" s="270">
        <v>8</v>
      </c>
      <c r="P53" s="270">
        <v>0</v>
      </c>
    </row>
    <row r="54" spans="1:18" x14ac:dyDescent="0.25">
      <c r="A54" s="676" t="s">
        <v>124</v>
      </c>
      <c r="B54" s="677" t="s">
        <v>125</v>
      </c>
      <c r="C54" s="678" t="s">
        <v>267</v>
      </c>
      <c r="D54" s="270">
        <v>12</v>
      </c>
      <c r="E54" s="270">
        <v>10</v>
      </c>
      <c r="F54" s="270">
        <v>2</v>
      </c>
      <c r="G54" s="270">
        <v>0</v>
      </c>
      <c r="H54" s="270">
        <v>0</v>
      </c>
      <c r="I54" s="270"/>
      <c r="J54" s="270">
        <f t="shared" si="1"/>
        <v>0</v>
      </c>
      <c r="K54" s="270">
        <v>3</v>
      </c>
      <c r="L54" s="270">
        <v>9</v>
      </c>
      <c r="M54" s="270"/>
      <c r="N54" s="270">
        <v>10</v>
      </c>
      <c r="O54" s="270">
        <v>2</v>
      </c>
      <c r="P54" s="270">
        <v>0</v>
      </c>
    </row>
    <row r="55" spans="1:18" x14ac:dyDescent="0.25">
      <c r="A55" s="676" t="s">
        <v>126</v>
      </c>
      <c r="B55" s="677" t="s">
        <v>127</v>
      </c>
      <c r="C55" s="678" t="s">
        <v>266</v>
      </c>
      <c r="D55" s="270">
        <v>35</v>
      </c>
      <c r="E55" s="270">
        <v>22</v>
      </c>
      <c r="F55" s="270">
        <v>10</v>
      </c>
      <c r="G55" s="270">
        <v>0</v>
      </c>
      <c r="H55" s="270">
        <v>3</v>
      </c>
      <c r="I55" s="270"/>
      <c r="J55" s="270">
        <f t="shared" si="1"/>
        <v>3</v>
      </c>
      <c r="K55" s="270">
        <v>6</v>
      </c>
      <c r="L55" s="270">
        <v>29</v>
      </c>
      <c r="M55" s="270"/>
      <c r="N55" s="270">
        <v>20</v>
      </c>
      <c r="O55" s="270">
        <v>15</v>
      </c>
      <c r="P55" s="270">
        <v>0</v>
      </c>
    </row>
    <row r="56" spans="1:18" x14ac:dyDescent="0.25">
      <c r="A56" s="676" t="s">
        <v>128</v>
      </c>
      <c r="B56" s="677" t="s">
        <v>129</v>
      </c>
      <c r="C56" s="678" t="s">
        <v>266</v>
      </c>
      <c r="D56" s="270">
        <v>44</v>
      </c>
      <c r="E56" s="270">
        <v>29</v>
      </c>
      <c r="F56" s="270">
        <v>9</v>
      </c>
      <c r="G56" s="270">
        <v>0</v>
      </c>
      <c r="H56" s="270">
        <v>5</v>
      </c>
      <c r="I56" s="270">
        <v>1</v>
      </c>
      <c r="J56" s="270">
        <f t="shared" si="1"/>
        <v>6</v>
      </c>
      <c r="K56" s="270">
        <v>7</v>
      </c>
      <c r="L56" s="270">
        <v>37</v>
      </c>
      <c r="M56" s="270"/>
      <c r="N56" s="270">
        <v>27</v>
      </c>
      <c r="O56" s="270">
        <v>17</v>
      </c>
      <c r="P56" s="270">
        <v>0</v>
      </c>
    </row>
    <row r="57" spans="1:18" x14ac:dyDescent="0.25">
      <c r="A57" s="676" t="s">
        <v>130</v>
      </c>
      <c r="B57" s="677" t="s">
        <v>131</v>
      </c>
      <c r="C57" s="678" t="s">
        <v>268</v>
      </c>
      <c r="D57" s="270">
        <v>37</v>
      </c>
      <c r="E57" s="270">
        <v>37</v>
      </c>
      <c r="F57" s="270">
        <v>0</v>
      </c>
      <c r="G57" s="270">
        <v>0</v>
      </c>
      <c r="H57" s="270">
        <v>0</v>
      </c>
      <c r="I57" s="270"/>
      <c r="J57" s="270">
        <f t="shared" si="1"/>
        <v>0</v>
      </c>
      <c r="K57" s="270">
        <v>9</v>
      </c>
      <c r="L57" s="270">
        <v>28</v>
      </c>
      <c r="M57" s="270"/>
      <c r="N57" s="270">
        <v>22</v>
      </c>
      <c r="O57" s="270">
        <v>15</v>
      </c>
      <c r="P57" s="270">
        <v>0</v>
      </c>
    </row>
    <row r="58" spans="1:18" x14ac:dyDescent="0.25">
      <c r="A58" s="676" t="s">
        <v>132</v>
      </c>
      <c r="B58" s="677" t="s">
        <v>133</v>
      </c>
      <c r="C58" s="678" t="s">
        <v>267</v>
      </c>
      <c r="D58" s="270">
        <v>551</v>
      </c>
      <c r="E58" s="270">
        <v>410</v>
      </c>
      <c r="F58" s="270">
        <v>67</v>
      </c>
      <c r="G58" s="270">
        <v>15</v>
      </c>
      <c r="H58" s="270">
        <v>43</v>
      </c>
      <c r="I58" s="270">
        <v>16</v>
      </c>
      <c r="J58" s="270">
        <f t="shared" si="1"/>
        <v>59</v>
      </c>
      <c r="K58" s="270">
        <v>134</v>
      </c>
      <c r="L58" s="270">
        <v>417</v>
      </c>
      <c r="M58" s="270"/>
      <c r="N58" s="270">
        <v>355</v>
      </c>
      <c r="O58" s="270">
        <v>195</v>
      </c>
      <c r="P58" s="270">
        <v>1</v>
      </c>
    </row>
    <row r="59" spans="1:18" x14ac:dyDescent="0.25">
      <c r="A59" s="676" t="s">
        <v>134</v>
      </c>
      <c r="B59" s="677" t="s">
        <v>135</v>
      </c>
      <c r="C59" s="678" t="s">
        <v>267</v>
      </c>
      <c r="D59" s="270">
        <v>163</v>
      </c>
      <c r="E59" s="270">
        <v>109</v>
      </c>
      <c r="F59" s="270">
        <v>48</v>
      </c>
      <c r="G59" s="270">
        <v>0</v>
      </c>
      <c r="H59" s="270">
        <v>6</v>
      </c>
      <c r="I59" s="270"/>
      <c r="J59" s="270">
        <f t="shared" si="1"/>
        <v>6</v>
      </c>
      <c r="K59" s="270">
        <v>40</v>
      </c>
      <c r="L59" s="270">
        <v>123</v>
      </c>
      <c r="M59" s="270"/>
      <c r="N59" s="270">
        <v>103</v>
      </c>
      <c r="O59" s="270">
        <v>60</v>
      </c>
      <c r="P59" s="270">
        <v>0</v>
      </c>
    </row>
    <row r="60" spans="1:18" x14ac:dyDescent="0.25">
      <c r="A60" s="676" t="s">
        <v>136</v>
      </c>
      <c r="B60" s="677" t="s">
        <v>137</v>
      </c>
      <c r="C60" s="678" t="s">
        <v>266</v>
      </c>
      <c r="D60" s="1973">
        <v>34</v>
      </c>
      <c r="E60" s="270">
        <v>17</v>
      </c>
      <c r="F60" s="270">
        <v>16</v>
      </c>
      <c r="G60" s="270">
        <v>0</v>
      </c>
      <c r="H60" s="270">
        <v>1</v>
      </c>
      <c r="I60" s="270"/>
      <c r="J60" s="270">
        <f t="shared" si="1"/>
        <v>1</v>
      </c>
      <c r="K60" s="270">
        <v>8</v>
      </c>
      <c r="L60" s="270">
        <v>26</v>
      </c>
      <c r="M60" s="270"/>
      <c r="N60" s="270">
        <v>25</v>
      </c>
      <c r="O60" s="270">
        <v>9</v>
      </c>
      <c r="P60" s="270">
        <v>0</v>
      </c>
      <c r="R60" s="728">
        <v>33</v>
      </c>
    </row>
    <row r="61" spans="1:18" x14ac:dyDescent="0.25">
      <c r="A61" s="676" t="s">
        <v>140</v>
      </c>
      <c r="B61" s="677" t="s">
        <v>141</v>
      </c>
      <c r="C61" s="678" t="s">
        <v>267</v>
      </c>
      <c r="D61" s="270">
        <v>3</v>
      </c>
      <c r="E61" s="270">
        <v>3</v>
      </c>
      <c r="F61" s="270">
        <v>0</v>
      </c>
      <c r="G61" s="270">
        <v>0</v>
      </c>
      <c r="H61" s="270">
        <v>0</v>
      </c>
      <c r="I61" s="270"/>
      <c r="J61" s="270">
        <f t="shared" si="1"/>
        <v>0</v>
      </c>
      <c r="K61" s="270">
        <v>0</v>
      </c>
      <c r="L61" s="270">
        <v>3</v>
      </c>
      <c r="M61" s="270"/>
      <c r="N61" s="270">
        <v>2</v>
      </c>
      <c r="O61" s="270">
        <v>1</v>
      </c>
      <c r="P61" s="270">
        <v>0</v>
      </c>
    </row>
    <row r="62" spans="1:18" x14ac:dyDescent="0.25">
      <c r="A62" s="676" t="s">
        <v>146</v>
      </c>
      <c r="B62" s="677" t="s">
        <v>147</v>
      </c>
      <c r="C62" s="678" t="s">
        <v>264</v>
      </c>
      <c r="D62" s="270">
        <v>34</v>
      </c>
      <c r="E62" s="270">
        <v>25</v>
      </c>
      <c r="F62" s="270">
        <v>6</v>
      </c>
      <c r="G62" s="270">
        <v>0</v>
      </c>
      <c r="H62" s="270">
        <v>3</v>
      </c>
      <c r="I62" s="270"/>
      <c r="J62" s="270">
        <f t="shared" si="1"/>
        <v>3</v>
      </c>
      <c r="K62" s="270">
        <v>13</v>
      </c>
      <c r="L62" s="270">
        <v>21</v>
      </c>
      <c r="M62" s="270"/>
      <c r="N62" s="270">
        <v>17</v>
      </c>
      <c r="O62" s="270">
        <v>16</v>
      </c>
      <c r="P62" s="270">
        <v>1</v>
      </c>
    </row>
    <row r="63" spans="1:18" x14ac:dyDescent="0.25">
      <c r="A63" s="676" t="s">
        <v>148</v>
      </c>
      <c r="B63" s="677" t="s">
        <v>149</v>
      </c>
      <c r="C63" s="678" t="s">
        <v>265</v>
      </c>
      <c r="D63" s="270">
        <v>147</v>
      </c>
      <c r="E63" s="270">
        <v>64</v>
      </c>
      <c r="F63" s="270">
        <v>74</v>
      </c>
      <c r="G63" s="270">
        <v>0</v>
      </c>
      <c r="H63" s="270">
        <v>9</v>
      </c>
      <c r="I63" s="270"/>
      <c r="J63" s="270">
        <f t="shared" si="1"/>
        <v>9</v>
      </c>
      <c r="K63" s="270">
        <v>39</v>
      </c>
      <c r="L63" s="270">
        <v>109</v>
      </c>
      <c r="M63" s="270">
        <v>-1</v>
      </c>
      <c r="N63" s="270">
        <v>97</v>
      </c>
      <c r="O63" s="270">
        <v>50</v>
      </c>
      <c r="P63" s="270">
        <v>0</v>
      </c>
    </row>
    <row r="64" spans="1:18" x14ac:dyDescent="0.25">
      <c r="A64" s="676" t="s">
        <v>150</v>
      </c>
      <c r="B64" s="677" t="s">
        <v>151</v>
      </c>
      <c r="C64" s="678" t="s">
        <v>266</v>
      </c>
      <c r="D64" s="270">
        <v>67</v>
      </c>
      <c r="E64" s="270">
        <v>46</v>
      </c>
      <c r="F64" s="270">
        <v>12</v>
      </c>
      <c r="G64" s="270">
        <v>0</v>
      </c>
      <c r="H64" s="270">
        <v>9</v>
      </c>
      <c r="I64" s="270"/>
      <c r="J64" s="270">
        <f t="shared" si="1"/>
        <v>9</v>
      </c>
      <c r="K64" s="270">
        <v>6</v>
      </c>
      <c r="L64" s="270">
        <v>61</v>
      </c>
      <c r="M64" s="270"/>
      <c r="N64" s="270">
        <v>42</v>
      </c>
      <c r="O64" s="270">
        <v>25</v>
      </c>
      <c r="P64" s="270">
        <v>0</v>
      </c>
    </row>
    <row r="65" spans="1:18" x14ac:dyDescent="0.25">
      <c r="A65" s="676" t="s">
        <v>152</v>
      </c>
      <c r="B65" s="677" t="s">
        <v>153</v>
      </c>
      <c r="C65" s="678" t="s">
        <v>268</v>
      </c>
      <c r="D65" s="270">
        <v>239</v>
      </c>
      <c r="E65" s="270">
        <v>217</v>
      </c>
      <c r="F65" s="270">
        <v>6</v>
      </c>
      <c r="G65" s="270">
        <v>1</v>
      </c>
      <c r="H65" s="270">
        <v>15</v>
      </c>
      <c r="I65" s="270"/>
      <c r="J65" s="270">
        <f t="shared" si="1"/>
        <v>15</v>
      </c>
      <c r="K65" s="270">
        <v>42</v>
      </c>
      <c r="L65" s="270">
        <v>196</v>
      </c>
      <c r="M65" s="1318">
        <v>1</v>
      </c>
      <c r="N65" s="270">
        <v>142</v>
      </c>
      <c r="O65" s="270">
        <v>94</v>
      </c>
      <c r="P65" s="270">
        <v>3</v>
      </c>
    </row>
    <row r="66" spans="1:18" x14ac:dyDescent="0.25">
      <c r="A66" s="676" t="s">
        <v>154</v>
      </c>
      <c r="B66" s="677" t="s">
        <v>155</v>
      </c>
      <c r="C66" s="678" t="s">
        <v>265</v>
      </c>
      <c r="D66" s="270">
        <v>58</v>
      </c>
      <c r="E66" s="270">
        <v>47</v>
      </c>
      <c r="F66" s="270">
        <v>10</v>
      </c>
      <c r="G66" s="270">
        <v>0</v>
      </c>
      <c r="H66" s="270">
        <v>1</v>
      </c>
      <c r="I66" s="270"/>
      <c r="J66" s="270">
        <f t="shared" si="1"/>
        <v>1</v>
      </c>
      <c r="K66" s="270">
        <v>14</v>
      </c>
      <c r="L66" s="270">
        <v>44</v>
      </c>
      <c r="M66" s="270"/>
      <c r="N66" s="270">
        <v>33</v>
      </c>
      <c r="O66" s="270">
        <v>25</v>
      </c>
      <c r="P66" s="270">
        <v>0</v>
      </c>
    </row>
    <row r="67" spans="1:18" x14ac:dyDescent="0.25">
      <c r="A67" s="676" t="s">
        <v>156</v>
      </c>
      <c r="B67" s="677" t="s">
        <v>157</v>
      </c>
      <c r="C67" s="678" t="s">
        <v>266</v>
      </c>
      <c r="D67" s="270">
        <v>24</v>
      </c>
      <c r="E67" s="270">
        <v>17</v>
      </c>
      <c r="F67" s="270">
        <v>5</v>
      </c>
      <c r="G67" s="270">
        <v>0</v>
      </c>
      <c r="H67" s="270">
        <v>2</v>
      </c>
      <c r="I67" s="270"/>
      <c r="J67" s="270">
        <f t="shared" si="1"/>
        <v>2</v>
      </c>
      <c r="K67" s="270">
        <v>6</v>
      </c>
      <c r="L67" s="270">
        <v>18</v>
      </c>
      <c r="M67" s="270"/>
      <c r="N67" s="270">
        <v>16</v>
      </c>
      <c r="O67" s="270">
        <v>8</v>
      </c>
      <c r="P67" s="270">
        <v>0</v>
      </c>
    </row>
    <row r="68" spans="1:18" x14ac:dyDescent="0.25">
      <c r="A68" s="676" t="s">
        <v>162</v>
      </c>
      <c r="B68" s="677" t="s">
        <v>163</v>
      </c>
      <c r="C68" s="678" t="s">
        <v>264</v>
      </c>
      <c r="D68" s="270">
        <v>27</v>
      </c>
      <c r="E68" s="270">
        <v>12</v>
      </c>
      <c r="F68" s="270">
        <v>15</v>
      </c>
      <c r="G68" s="270">
        <v>0</v>
      </c>
      <c r="H68" s="270">
        <v>0</v>
      </c>
      <c r="I68" s="270"/>
      <c r="J68" s="270">
        <f t="shared" si="1"/>
        <v>0</v>
      </c>
      <c r="K68" s="270">
        <v>9</v>
      </c>
      <c r="L68" s="270">
        <v>18</v>
      </c>
      <c r="M68" s="270"/>
      <c r="N68" s="270">
        <v>12</v>
      </c>
      <c r="O68" s="270">
        <v>15</v>
      </c>
      <c r="P68" s="270">
        <v>0</v>
      </c>
    </row>
    <row r="69" spans="1:18" x14ac:dyDescent="0.25">
      <c r="A69" s="676" t="s">
        <v>164</v>
      </c>
      <c r="B69" s="677" t="s">
        <v>165</v>
      </c>
      <c r="C69" s="678" t="s">
        <v>266</v>
      </c>
      <c r="D69" s="270">
        <v>3</v>
      </c>
      <c r="E69" s="270">
        <v>1</v>
      </c>
      <c r="F69" s="270">
        <v>2</v>
      </c>
      <c r="G69" s="270">
        <v>0</v>
      </c>
      <c r="H69" s="270">
        <v>0</v>
      </c>
      <c r="I69" s="270"/>
      <c r="J69" s="270">
        <f t="shared" si="1"/>
        <v>0</v>
      </c>
      <c r="K69" s="270">
        <v>1</v>
      </c>
      <c r="L69" s="270">
        <v>2</v>
      </c>
      <c r="M69" s="270"/>
      <c r="N69" s="270">
        <v>2</v>
      </c>
      <c r="O69" s="270">
        <v>1</v>
      </c>
      <c r="P69" s="270">
        <v>0</v>
      </c>
    </row>
    <row r="70" spans="1:18" x14ac:dyDescent="0.25">
      <c r="A70" s="676" t="s">
        <v>168</v>
      </c>
      <c r="B70" s="677" t="s">
        <v>169</v>
      </c>
      <c r="C70" s="678" t="s">
        <v>266</v>
      </c>
      <c r="D70" s="270">
        <v>10</v>
      </c>
      <c r="E70" s="270">
        <v>7</v>
      </c>
      <c r="F70" s="270">
        <v>2</v>
      </c>
      <c r="G70" s="270">
        <v>0</v>
      </c>
      <c r="H70" s="270">
        <v>1</v>
      </c>
      <c r="I70" s="270"/>
      <c r="J70" s="270">
        <f t="shared" si="1"/>
        <v>1</v>
      </c>
      <c r="K70" s="270">
        <v>3</v>
      </c>
      <c r="L70" s="270">
        <v>7</v>
      </c>
      <c r="M70" s="270"/>
      <c r="N70" s="270">
        <v>6</v>
      </c>
      <c r="O70" s="270">
        <v>4</v>
      </c>
      <c r="P70" s="270">
        <v>0</v>
      </c>
    </row>
    <row r="71" spans="1:18" x14ac:dyDescent="0.25">
      <c r="A71" s="676" t="s">
        <v>170</v>
      </c>
      <c r="B71" s="677" t="s">
        <v>171</v>
      </c>
      <c r="C71" s="678" t="s">
        <v>267</v>
      </c>
      <c r="D71" s="1973">
        <v>114</v>
      </c>
      <c r="E71" s="270">
        <v>90</v>
      </c>
      <c r="F71" s="270">
        <v>17</v>
      </c>
      <c r="G71" s="270">
        <v>0</v>
      </c>
      <c r="H71" s="270">
        <v>7</v>
      </c>
      <c r="I71" s="270"/>
      <c r="J71" s="270">
        <f t="shared" ref="J71:J91" si="2">H71+I71</f>
        <v>7</v>
      </c>
      <c r="K71" s="270">
        <v>22</v>
      </c>
      <c r="L71" s="270">
        <v>92</v>
      </c>
      <c r="M71" s="270"/>
      <c r="N71" s="270">
        <v>65</v>
      </c>
      <c r="O71" s="270">
        <v>49</v>
      </c>
      <c r="P71" s="270">
        <v>0</v>
      </c>
      <c r="R71" s="270">
        <v>113</v>
      </c>
    </row>
    <row r="72" spans="1:18" x14ac:dyDescent="0.25">
      <c r="A72" s="676" t="s">
        <v>172</v>
      </c>
      <c r="B72" s="677" t="s">
        <v>173</v>
      </c>
      <c r="C72" s="678" t="s">
        <v>267</v>
      </c>
      <c r="D72" s="270">
        <v>50</v>
      </c>
      <c r="E72" s="270">
        <v>48</v>
      </c>
      <c r="F72" s="270">
        <v>0</v>
      </c>
      <c r="G72" s="270">
        <v>1</v>
      </c>
      <c r="H72" s="270">
        <v>1</v>
      </c>
      <c r="I72" s="270"/>
      <c r="J72" s="270">
        <f t="shared" si="2"/>
        <v>1</v>
      </c>
      <c r="K72" s="270">
        <v>9</v>
      </c>
      <c r="L72" s="270">
        <v>41</v>
      </c>
      <c r="M72" s="270"/>
      <c r="N72" s="270">
        <v>28</v>
      </c>
      <c r="O72" s="270">
        <v>22</v>
      </c>
      <c r="P72" s="270">
        <v>0</v>
      </c>
    </row>
    <row r="73" spans="1:18" x14ac:dyDescent="0.25">
      <c r="A73" s="676" t="s">
        <v>174</v>
      </c>
      <c r="B73" s="677" t="s">
        <v>175</v>
      </c>
      <c r="C73" s="678" t="s">
        <v>268</v>
      </c>
      <c r="D73" s="270">
        <v>179</v>
      </c>
      <c r="E73" s="270">
        <v>161</v>
      </c>
      <c r="F73" s="270">
        <v>18</v>
      </c>
      <c r="G73" s="270">
        <v>0</v>
      </c>
      <c r="H73" s="270">
        <v>0</v>
      </c>
      <c r="I73" s="270"/>
      <c r="J73" s="270">
        <f t="shared" si="2"/>
        <v>0</v>
      </c>
      <c r="K73" s="270">
        <v>70</v>
      </c>
      <c r="L73" s="270">
        <v>109</v>
      </c>
      <c r="M73" s="270"/>
      <c r="N73" s="270">
        <v>106</v>
      </c>
      <c r="O73" s="270">
        <v>73</v>
      </c>
      <c r="P73" s="270">
        <v>0</v>
      </c>
    </row>
    <row r="74" spans="1:18" x14ac:dyDescent="0.25">
      <c r="A74" s="676" t="s">
        <v>178</v>
      </c>
      <c r="B74" s="677" t="s">
        <v>179</v>
      </c>
      <c r="C74" s="678" t="s">
        <v>265</v>
      </c>
      <c r="D74" s="270">
        <v>188</v>
      </c>
      <c r="E74" s="270">
        <v>122</v>
      </c>
      <c r="F74" s="270">
        <v>61</v>
      </c>
      <c r="G74" s="270">
        <v>0</v>
      </c>
      <c r="H74" s="270">
        <v>5</v>
      </c>
      <c r="I74" s="270"/>
      <c r="J74" s="270">
        <f t="shared" si="2"/>
        <v>5</v>
      </c>
      <c r="K74" s="270">
        <v>36</v>
      </c>
      <c r="L74" s="270">
        <v>152</v>
      </c>
      <c r="M74" s="270"/>
      <c r="N74" s="270">
        <v>130</v>
      </c>
      <c r="O74" s="270">
        <v>57</v>
      </c>
      <c r="P74" s="270">
        <v>1</v>
      </c>
    </row>
    <row r="75" spans="1:18" x14ac:dyDescent="0.25">
      <c r="A75" s="676" t="s">
        <v>182</v>
      </c>
      <c r="B75" s="677" t="s">
        <v>183</v>
      </c>
      <c r="C75" s="678" t="s">
        <v>266</v>
      </c>
      <c r="D75" s="270">
        <v>3</v>
      </c>
      <c r="E75" s="270">
        <v>0</v>
      </c>
      <c r="F75" s="270">
        <v>0</v>
      </c>
      <c r="G75" s="270">
        <v>0</v>
      </c>
      <c r="H75" s="270">
        <v>3</v>
      </c>
      <c r="I75" s="270"/>
      <c r="J75" s="270">
        <f t="shared" si="2"/>
        <v>3</v>
      </c>
      <c r="K75" s="270">
        <v>0</v>
      </c>
      <c r="L75" s="270">
        <v>3</v>
      </c>
      <c r="M75" s="270"/>
      <c r="N75" s="270">
        <v>1</v>
      </c>
      <c r="O75" s="270">
        <v>2</v>
      </c>
      <c r="P75" s="270">
        <v>0</v>
      </c>
    </row>
    <row r="76" spans="1:18" x14ac:dyDescent="0.25">
      <c r="A76" s="676" t="s">
        <v>184</v>
      </c>
      <c r="B76" s="677" t="s">
        <v>185</v>
      </c>
      <c r="C76" s="678" t="s">
        <v>266</v>
      </c>
      <c r="D76" s="270">
        <v>41</v>
      </c>
      <c r="E76" s="270">
        <v>16</v>
      </c>
      <c r="F76" s="270">
        <v>20</v>
      </c>
      <c r="G76" s="270">
        <v>0</v>
      </c>
      <c r="H76" s="270">
        <v>4</v>
      </c>
      <c r="I76" s="270">
        <v>1</v>
      </c>
      <c r="J76" s="270">
        <f t="shared" si="2"/>
        <v>5</v>
      </c>
      <c r="K76" s="270">
        <v>11</v>
      </c>
      <c r="L76" s="270">
        <v>30</v>
      </c>
      <c r="M76" s="270"/>
      <c r="N76" s="270">
        <v>25</v>
      </c>
      <c r="O76" s="270">
        <v>15</v>
      </c>
      <c r="P76" s="270">
        <v>1</v>
      </c>
    </row>
    <row r="77" spans="1:18" x14ac:dyDescent="0.25">
      <c r="A77" s="676" t="s">
        <v>186</v>
      </c>
      <c r="B77" s="677" t="s">
        <v>187</v>
      </c>
      <c r="C77" s="678" t="s">
        <v>264</v>
      </c>
      <c r="D77" s="270">
        <v>88</v>
      </c>
      <c r="E77" s="270">
        <v>63</v>
      </c>
      <c r="F77" s="270">
        <v>20</v>
      </c>
      <c r="G77" s="270">
        <v>0</v>
      </c>
      <c r="H77" s="270">
        <v>4</v>
      </c>
      <c r="I77" s="270">
        <v>1</v>
      </c>
      <c r="J77" s="270">
        <f t="shared" si="2"/>
        <v>5</v>
      </c>
      <c r="K77" s="270">
        <v>36</v>
      </c>
      <c r="L77" s="270">
        <v>52</v>
      </c>
      <c r="M77" s="270"/>
      <c r="N77" s="270">
        <v>46</v>
      </c>
      <c r="O77" s="270">
        <v>42</v>
      </c>
      <c r="P77" s="270">
        <v>0</v>
      </c>
    </row>
    <row r="78" spans="1:18" x14ac:dyDescent="0.25">
      <c r="A78" s="676" t="s">
        <v>188</v>
      </c>
      <c r="B78" s="677" t="s">
        <v>189</v>
      </c>
      <c r="C78" s="678" t="s">
        <v>267</v>
      </c>
      <c r="D78" s="270">
        <v>757</v>
      </c>
      <c r="E78" s="270">
        <v>383</v>
      </c>
      <c r="F78" s="270">
        <v>194</v>
      </c>
      <c r="G78" s="270">
        <v>23</v>
      </c>
      <c r="H78" s="270">
        <v>126</v>
      </c>
      <c r="I78" s="270">
        <v>31</v>
      </c>
      <c r="J78" s="270">
        <f t="shared" si="2"/>
        <v>157</v>
      </c>
      <c r="K78" s="270">
        <v>263</v>
      </c>
      <c r="L78" s="270">
        <v>471</v>
      </c>
      <c r="M78" s="270">
        <v>23</v>
      </c>
      <c r="N78" s="270">
        <v>461</v>
      </c>
      <c r="O78" s="270">
        <v>290</v>
      </c>
      <c r="P78" s="270">
        <v>6</v>
      </c>
    </row>
    <row r="79" spans="1:18" x14ac:dyDescent="0.25">
      <c r="A79" s="676" t="s">
        <v>190</v>
      </c>
      <c r="B79" s="677" t="s">
        <v>191</v>
      </c>
      <c r="C79" s="678" t="s">
        <v>268</v>
      </c>
      <c r="D79" s="270">
        <v>165</v>
      </c>
      <c r="E79" s="270">
        <v>146</v>
      </c>
      <c r="F79" s="270">
        <v>8</v>
      </c>
      <c r="G79" s="270">
        <v>0</v>
      </c>
      <c r="H79" s="270">
        <v>11</v>
      </c>
      <c r="I79" s="270"/>
      <c r="J79" s="270">
        <f t="shared" si="2"/>
        <v>11</v>
      </c>
      <c r="K79" s="270">
        <v>36</v>
      </c>
      <c r="L79" s="270">
        <v>128</v>
      </c>
      <c r="M79" s="1318">
        <v>1</v>
      </c>
      <c r="N79" s="270">
        <v>103</v>
      </c>
      <c r="O79" s="270">
        <v>62</v>
      </c>
      <c r="P79" s="270">
        <v>0</v>
      </c>
    </row>
    <row r="80" spans="1:18" x14ac:dyDescent="0.25">
      <c r="A80" s="676" t="s">
        <v>194</v>
      </c>
      <c r="B80" s="677" t="s">
        <v>195</v>
      </c>
      <c r="C80" s="678" t="s">
        <v>267</v>
      </c>
      <c r="D80" s="270">
        <v>31</v>
      </c>
      <c r="E80" s="270">
        <v>30</v>
      </c>
      <c r="F80" s="270">
        <v>1</v>
      </c>
      <c r="G80" s="270">
        <v>0</v>
      </c>
      <c r="H80" s="270">
        <v>0</v>
      </c>
      <c r="I80" s="270"/>
      <c r="J80" s="270">
        <f t="shared" si="2"/>
        <v>0</v>
      </c>
      <c r="K80" s="270">
        <v>5</v>
      </c>
      <c r="L80" s="270">
        <v>26</v>
      </c>
      <c r="M80" s="270"/>
      <c r="N80" s="270">
        <v>15</v>
      </c>
      <c r="O80" s="270">
        <v>16</v>
      </c>
      <c r="P80" s="270">
        <v>0</v>
      </c>
    </row>
    <row r="81" spans="1:16" x14ac:dyDescent="0.25">
      <c r="A81" s="676" t="s">
        <v>198</v>
      </c>
      <c r="B81" s="677" t="s">
        <v>272</v>
      </c>
      <c r="C81" s="678" t="s">
        <v>266</v>
      </c>
      <c r="D81" s="270">
        <v>3</v>
      </c>
      <c r="E81" s="270">
        <v>3</v>
      </c>
      <c r="F81" s="270">
        <v>0</v>
      </c>
      <c r="G81" s="270">
        <v>0</v>
      </c>
      <c r="H81" s="270">
        <v>0</v>
      </c>
      <c r="I81" s="270"/>
      <c r="J81" s="270">
        <f t="shared" si="2"/>
        <v>0</v>
      </c>
      <c r="K81" s="270">
        <v>1</v>
      </c>
      <c r="L81" s="270">
        <v>2</v>
      </c>
      <c r="M81" s="270"/>
      <c r="N81" s="270">
        <v>1</v>
      </c>
      <c r="O81" s="270">
        <v>2</v>
      </c>
      <c r="P81" s="270">
        <v>0</v>
      </c>
    </row>
    <row r="82" spans="1:16" x14ac:dyDescent="0.25">
      <c r="A82" s="676" t="s">
        <v>202</v>
      </c>
      <c r="B82" s="677" t="s">
        <v>301</v>
      </c>
      <c r="C82" s="678" t="s">
        <v>265</v>
      </c>
      <c r="D82" s="270">
        <v>727</v>
      </c>
      <c r="E82" s="270">
        <v>638</v>
      </c>
      <c r="F82" s="270">
        <v>46</v>
      </c>
      <c r="G82" s="270">
        <v>7</v>
      </c>
      <c r="H82" s="270">
        <v>35</v>
      </c>
      <c r="I82" s="270">
        <v>1</v>
      </c>
      <c r="J82" s="270">
        <f t="shared" si="2"/>
        <v>36</v>
      </c>
      <c r="K82" s="270">
        <v>168</v>
      </c>
      <c r="L82" s="270">
        <v>559</v>
      </c>
      <c r="M82" s="270">
        <v>0</v>
      </c>
      <c r="N82" s="270">
        <v>475</v>
      </c>
      <c r="O82" s="270">
        <v>251</v>
      </c>
      <c r="P82" s="270">
        <v>1</v>
      </c>
    </row>
    <row r="83" spans="1:16" x14ac:dyDescent="0.25">
      <c r="A83" s="676" t="s">
        <v>204</v>
      </c>
      <c r="B83" s="677" t="s">
        <v>293</v>
      </c>
      <c r="C83" s="678" t="s">
        <v>265</v>
      </c>
      <c r="D83" s="270">
        <v>77</v>
      </c>
      <c r="E83" s="270">
        <v>68</v>
      </c>
      <c r="F83" s="270">
        <v>8</v>
      </c>
      <c r="G83" s="270">
        <v>0</v>
      </c>
      <c r="H83" s="270">
        <v>1</v>
      </c>
      <c r="I83" s="270"/>
      <c r="J83" s="270">
        <f t="shared" si="2"/>
        <v>1</v>
      </c>
      <c r="K83" s="270">
        <v>16</v>
      </c>
      <c r="L83" s="270">
        <v>60</v>
      </c>
      <c r="M83" s="270">
        <v>1</v>
      </c>
      <c r="N83" s="270">
        <v>47</v>
      </c>
      <c r="O83" s="270">
        <v>30</v>
      </c>
      <c r="P83" s="270">
        <v>0</v>
      </c>
    </row>
    <row r="84" spans="1:16" x14ac:dyDescent="0.25">
      <c r="A84" s="676" t="s">
        <v>206</v>
      </c>
      <c r="B84" s="677" t="s">
        <v>294</v>
      </c>
      <c r="C84" s="678" t="s">
        <v>267</v>
      </c>
      <c r="D84" s="270">
        <v>251</v>
      </c>
      <c r="E84" s="270">
        <v>178</v>
      </c>
      <c r="F84" s="270">
        <v>9</v>
      </c>
      <c r="G84" s="270">
        <v>0</v>
      </c>
      <c r="H84" s="270">
        <v>63</v>
      </c>
      <c r="I84" s="270">
        <v>1</v>
      </c>
      <c r="J84" s="270">
        <f t="shared" si="2"/>
        <v>64</v>
      </c>
      <c r="K84" s="270">
        <v>51</v>
      </c>
      <c r="L84" s="270">
        <v>199</v>
      </c>
      <c r="M84" s="270">
        <v>1</v>
      </c>
      <c r="N84" s="270">
        <v>149</v>
      </c>
      <c r="O84" s="270">
        <v>101</v>
      </c>
      <c r="P84" s="270">
        <v>1</v>
      </c>
    </row>
    <row r="85" spans="1:16" x14ac:dyDescent="0.25">
      <c r="A85" s="676" t="s">
        <v>208</v>
      </c>
      <c r="B85" s="677" t="s">
        <v>209</v>
      </c>
      <c r="C85" s="678" t="s">
        <v>268</v>
      </c>
      <c r="D85" s="270">
        <v>141</v>
      </c>
      <c r="E85" s="270">
        <v>140</v>
      </c>
      <c r="F85" s="270">
        <v>0</v>
      </c>
      <c r="G85" s="270">
        <v>0</v>
      </c>
      <c r="H85" s="270">
        <v>1</v>
      </c>
      <c r="I85" s="270"/>
      <c r="J85" s="270">
        <f t="shared" si="2"/>
        <v>1</v>
      </c>
      <c r="K85" s="270">
        <v>37</v>
      </c>
      <c r="L85" s="270">
        <v>104</v>
      </c>
      <c r="M85" s="270"/>
      <c r="N85" s="270">
        <v>89</v>
      </c>
      <c r="O85" s="270">
        <v>52</v>
      </c>
      <c r="P85" s="270">
        <v>0</v>
      </c>
    </row>
    <row r="86" spans="1:16" x14ac:dyDescent="0.25">
      <c r="A86" s="676" t="s">
        <v>210</v>
      </c>
      <c r="B86" s="677" t="s">
        <v>211</v>
      </c>
      <c r="C86" s="678" t="s">
        <v>268</v>
      </c>
      <c r="D86" s="270">
        <v>177</v>
      </c>
      <c r="E86" s="270">
        <v>174</v>
      </c>
      <c r="F86" s="270">
        <v>1</v>
      </c>
      <c r="G86" s="270">
        <v>0</v>
      </c>
      <c r="H86" s="270">
        <v>2</v>
      </c>
      <c r="I86" s="270"/>
      <c r="J86" s="270">
        <f t="shared" si="2"/>
        <v>2</v>
      </c>
      <c r="K86" s="270">
        <v>54</v>
      </c>
      <c r="L86" s="270">
        <v>123</v>
      </c>
      <c r="M86" s="270"/>
      <c r="N86" s="270">
        <v>95</v>
      </c>
      <c r="O86" s="270">
        <v>82</v>
      </c>
      <c r="P86" s="270">
        <v>0</v>
      </c>
    </row>
    <row r="87" spans="1:16" x14ac:dyDescent="0.25">
      <c r="A87" s="676" t="s">
        <v>212</v>
      </c>
      <c r="B87" s="677" t="s">
        <v>213</v>
      </c>
      <c r="C87" s="678" t="s">
        <v>267</v>
      </c>
      <c r="D87" s="270">
        <v>135</v>
      </c>
      <c r="E87" s="270">
        <v>126</v>
      </c>
      <c r="F87" s="270">
        <v>4</v>
      </c>
      <c r="G87" s="270">
        <v>0</v>
      </c>
      <c r="H87" s="270">
        <v>3</v>
      </c>
      <c r="I87" s="270">
        <v>2</v>
      </c>
      <c r="J87" s="270">
        <f t="shared" si="2"/>
        <v>5</v>
      </c>
      <c r="K87" s="270">
        <v>32</v>
      </c>
      <c r="L87" s="270">
        <v>102</v>
      </c>
      <c r="M87" s="270">
        <v>1</v>
      </c>
      <c r="N87" s="270">
        <v>86</v>
      </c>
      <c r="O87" s="270">
        <v>49</v>
      </c>
      <c r="P87" s="270">
        <v>0</v>
      </c>
    </row>
    <row r="88" spans="1:16" x14ac:dyDescent="0.25">
      <c r="A88" s="676" t="s">
        <v>214</v>
      </c>
      <c r="B88" s="677" t="s">
        <v>215</v>
      </c>
      <c r="C88" s="678" t="s">
        <v>268</v>
      </c>
      <c r="D88" s="270">
        <v>233</v>
      </c>
      <c r="E88" s="270">
        <v>228</v>
      </c>
      <c r="F88" s="270">
        <v>3</v>
      </c>
      <c r="G88" s="270">
        <v>0</v>
      </c>
      <c r="H88" s="270">
        <v>2</v>
      </c>
      <c r="I88" s="270"/>
      <c r="J88" s="270">
        <f t="shared" si="2"/>
        <v>2</v>
      </c>
      <c r="K88" s="270">
        <v>70</v>
      </c>
      <c r="L88" s="270">
        <v>163</v>
      </c>
      <c r="M88" s="270"/>
      <c r="N88" s="270">
        <v>133</v>
      </c>
      <c r="O88" s="270">
        <v>100</v>
      </c>
      <c r="P88" s="270">
        <v>0</v>
      </c>
    </row>
    <row r="89" spans="1:16" x14ac:dyDescent="0.25">
      <c r="A89" s="676" t="s">
        <v>216</v>
      </c>
      <c r="B89" s="677" t="s">
        <v>217</v>
      </c>
      <c r="C89" s="678" t="s">
        <v>264</v>
      </c>
      <c r="D89" s="270">
        <v>56</v>
      </c>
      <c r="E89" s="270">
        <v>23</v>
      </c>
      <c r="F89" s="270">
        <v>33</v>
      </c>
      <c r="G89" s="270">
        <v>0</v>
      </c>
      <c r="H89" s="270">
        <v>0</v>
      </c>
      <c r="I89" s="270"/>
      <c r="J89" s="270">
        <f t="shared" si="2"/>
        <v>0</v>
      </c>
      <c r="K89" s="270">
        <v>13</v>
      </c>
      <c r="L89" s="270">
        <v>43</v>
      </c>
      <c r="M89" s="270"/>
      <c r="N89" s="270">
        <v>40</v>
      </c>
      <c r="O89" s="270">
        <v>16</v>
      </c>
      <c r="P89" s="270">
        <v>0</v>
      </c>
    </row>
    <row r="90" spans="1:16" x14ac:dyDescent="0.25">
      <c r="A90" s="676" t="s">
        <v>218</v>
      </c>
      <c r="B90" s="677" t="s">
        <v>219</v>
      </c>
      <c r="C90" s="678" t="s">
        <v>267</v>
      </c>
      <c r="D90" s="270">
        <v>156</v>
      </c>
      <c r="E90" s="270">
        <v>103</v>
      </c>
      <c r="F90" s="270">
        <v>35</v>
      </c>
      <c r="G90" s="270">
        <v>0</v>
      </c>
      <c r="H90" s="270">
        <v>15</v>
      </c>
      <c r="I90" s="270">
        <v>3</v>
      </c>
      <c r="J90" s="270">
        <f t="shared" si="2"/>
        <v>18</v>
      </c>
      <c r="K90" s="270">
        <v>37</v>
      </c>
      <c r="L90" s="270">
        <v>119</v>
      </c>
      <c r="M90" s="270"/>
      <c r="N90" s="270">
        <v>100</v>
      </c>
      <c r="O90" s="270">
        <v>56</v>
      </c>
      <c r="P90" s="270">
        <v>0</v>
      </c>
    </row>
    <row r="91" spans="1:16" x14ac:dyDescent="0.25">
      <c r="A91" s="676" t="s">
        <v>220</v>
      </c>
      <c r="B91" s="677" t="s">
        <v>221</v>
      </c>
      <c r="C91" s="678" t="s">
        <v>267</v>
      </c>
      <c r="D91" s="270">
        <v>91</v>
      </c>
      <c r="E91" s="270">
        <v>63</v>
      </c>
      <c r="F91" s="270">
        <v>18</v>
      </c>
      <c r="G91" s="270">
        <v>0</v>
      </c>
      <c r="H91" s="270">
        <v>8</v>
      </c>
      <c r="I91" s="270">
        <v>2</v>
      </c>
      <c r="J91" s="270">
        <f t="shared" si="2"/>
        <v>10</v>
      </c>
      <c r="K91" s="270">
        <v>18</v>
      </c>
      <c r="L91" s="270">
        <v>73</v>
      </c>
      <c r="M91" s="270"/>
      <c r="N91" s="270">
        <v>59</v>
      </c>
      <c r="O91" s="270">
        <v>32</v>
      </c>
      <c r="P91" s="270">
        <v>0</v>
      </c>
    </row>
    <row r="92" spans="1:16" x14ac:dyDescent="0.25">
      <c r="A92" s="676" t="s">
        <v>224</v>
      </c>
      <c r="B92" s="677" t="s">
        <v>225</v>
      </c>
      <c r="C92" s="678" t="s">
        <v>264</v>
      </c>
      <c r="D92" s="270">
        <v>21</v>
      </c>
      <c r="E92" s="270">
        <v>13</v>
      </c>
      <c r="F92" s="270">
        <v>7</v>
      </c>
      <c r="G92" s="270">
        <v>0</v>
      </c>
      <c r="H92" s="270">
        <v>1</v>
      </c>
      <c r="I92" s="270"/>
      <c r="J92" s="270">
        <f>H92+I92</f>
        <v>1</v>
      </c>
      <c r="K92" s="270">
        <v>4</v>
      </c>
      <c r="L92" s="270">
        <v>17</v>
      </c>
      <c r="M92" s="270"/>
      <c r="N92" s="270">
        <v>12</v>
      </c>
      <c r="O92" s="270">
        <v>9</v>
      </c>
      <c r="P92" s="270">
        <v>0</v>
      </c>
    </row>
    <row r="93" spans="1:16" x14ac:dyDescent="0.25">
      <c r="A93" s="676" t="s">
        <v>226</v>
      </c>
      <c r="B93" s="677" t="s">
        <v>227</v>
      </c>
      <c r="C93" s="678" t="s">
        <v>264</v>
      </c>
      <c r="D93" s="270">
        <v>47</v>
      </c>
      <c r="E93" s="270">
        <v>22</v>
      </c>
      <c r="F93" s="270">
        <v>25</v>
      </c>
      <c r="G93" s="270">
        <v>0</v>
      </c>
      <c r="H93" s="270">
        <v>0</v>
      </c>
      <c r="I93" s="270"/>
      <c r="J93" s="270"/>
      <c r="K93" s="270">
        <v>12</v>
      </c>
      <c r="L93" s="270">
        <v>35</v>
      </c>
      <c r="M93" s="270"/>
      <c r="N93" s="270">
        <v>28</v>
      </c>
      <c r="O93" s="270">
        <v>19</v>
      </c>
      <c r="P93" s="270">
        <v>0</v>
      </c>
    </row>
    <row r="94" spans="1:16" x14ac:dyDescent="0.25">
      <c r="A94" s="676" t="s">
        <v>228</v>
      </c>
      <c r="B94" s="677" t="s">
        <v>229</v>
      </c>
      <c r="C94" s="678" t="s">
        <v>268</v>
      </c>
      <c r="D94" s="270">
        <v>308</v>
      </c>
      <c r="E94" s="270">
        <v>290</v>
      </c>
      <c r="F94" s="270">
        <v>7</v>
      </c>
      <c r="G94" s="270">
        <v>0</v>
      </c>
      <c r="H94" s="270">
        <v>11</v>
      </c>
      <c r="I94" s="270"/>
      <c r="J94" s="270"/>
      <c r="K94" s="270">
        <v>66</v>
      </c>
      <c r="L94" s="270">
        <v>239</v>
      </c>
      <c r="M94" s="1318">
        <v>3</v>
      </c>
      <c r="N94" s="270">
        <v>197</v>
      </c>
      <c r="O94" s="270">
        <v>111</v>
      </c>
      <c r="P94" s="270">
        <v>0</v>
      </c>
    </row>
    <row r="95" spans="1:16" x14ac:dyDescent="0.25">
      <c r="A95" s="676" t="s">
        <v>232</v>
      </c>
      <c r="B95" s="677" t="s">
        <v>233</v>
      </c>
      <c r="C95" s="678" t="s">
        <v>267</v>
      </c>
      <c r="D95" s="270">
        <v>168</v>
      </c>
      <c r="E95" s="270">
        <v>118</v>
      </c>
      <c r="F95" s="270">
        <v>15</v>
      </c>
      <c r="G95" s="270">
        <v>0</v>
      </c>
      <c r="H95" s="270">
        <v>35</v>
      </c>
      <c r="I95" s="270"/>
      <c r="J95" s="270"/>
      <c r="K95" s="270">
        <v>41</v>
      </c>
      <c r="L95" s="270">
        <v>126</v>
      </c>
      <c r="M95" s="270">
        <v>1</v>
      </c>
      <c r="N95" s="270">
        <v>113</v>
      </c>
      <c r="O95" s="270">
        <v>53</v>
      </c>
      <c r="P95" s="270">
        <v>2</v>
      </c>
    </row>
    <row r="96" spans="1:16" x14ac:dyDescent="0.25">
      <c r="A96" s="676" t="s">
        <v>234</v>
      </c>
      <c r="B96" s="677" t="s">
        <v>235</v>
      </c>
      <c r="C96" s="678" t="s">
        <v>268</v>
      </c>
      <c r="D96" s="270">
        <v>156</v>
      </c>
      <c r="E96" s="270">
        <v>154</v>
      </c>
      <c r="F96" s="270">
        <v>2</v>
      </c>
      <c r="G96" s="270">
        <v>0</v>
      </c>
      <c r="H96" s="270">
        <v>0</v>
      </c>
      <c r="I96" s="270"/>
      <c r="J96" s="270"/>
      <c r="K96" s="270">
        <v>45</v>
      </c>
      <c r="L96" s="270">
        <v>110</v>
      </c>
      <c r="M96" s="1318">
        <v>1</v>
      </c>
      <c r="N96" s="270">
        <v>93</v>
      </c>
      <c r="O96" s="270">
        <v>63</v>
      </c>
      <c r="P96" s="270">
        <v>0</v>
      </c>
    </row>
    <row r="97" spans="1:18" x14ac:dyDescent="0.25">
      <c r="A97" s="676" t="s">
        <v>236</v>
      </c>
      <c r="B97" s="677" t="s">
        <v>237</v>
      </c>
      <c r="C97" s="678" t="s">
        <v>266</v>
      </c>
      <c r="D97" s="270">
        <v>37</v>
      </c>
      <c r="E97" s="270">
        <v>26</v>
      </c>
      <c r="F97" s="270">
        <v>5</v>
      </c>
      <c r="G97" s="270">
        <v>0</v>
      </c>
      <c r="H97" s="270">
        <v>6</v>
      </c>
      <c r="I97" s="270"/>
      <c r="J97" s="270"/>
      <c r="K97" s="270">
        <v>6</v>
      </c>
      <c r="L97" s="270">
        <v>31</v>
      </c>
      <c r="M97" s="270"/>
      <c r="N97" s="270">
        <v>22</v>
      </c>
      <c r="O97" s="270">
        <v>15</v>
      </c>
      <c r="P97" s="270">
        <v>0</v>
      </c>
    </row>
    <row r="98" spans="1:18" x14ac:dyDescent="0.25">
      <c r="A98" s="676" t="s">
        <v>242</v>
      </c>
      <c r="B98" s="677" t="s">
        <v>243</v>
      </c>
      <c r="C98" s="678" t="s">
        <v>268</v>
      </c>
      <c r="D98" s="270">
        <v>230</v>
      </c>
      <c r="E98" s="270">
        <v>226</v>
      </c>
      <c r="F98" s="270">
        <v>4</v>
      </c>
      <c r="G98" s="270">
        <v>0</v>
      </c>
      <c r="H98" s="270">
        <v>0</v>
      </c>
      <c r="I98" s="270"/>
      <c r="J98" s="270"/>
      <c r="K98" s="270">
        <v>54</v>
      </c>
      <c r="L98" s="270">
        <v>176</v>
      </c>
      <c r="M98" s="270"/>
      <c r="N98" s="270">
        <v>138</v>
      </c>
      <c r="O98" s="270">
        <v>92</v>
      </c>
      <c r="P98" s="270">
        <v>0</v>
      </c>
    </row>
    <row r="99" spans="1:18" x14ac:dyDescent="0.25">
      <c r="A99" s="676" t="s">
        <v>244</v>
      </c>
      <c r="B99" s="677" t="s">
        <v>245</v>
      </c>
      <c r="C99" s="678" t="s">
        <v>268</v>
      </c>
      <c r="D99" s="481">
        <v>100</v>
      </c>
      <c r="E99" s="481">
        <v>96</v>
      </c>
      <c r="F99" s="481">
        <v>3</v>
      </c>
      <c r="G99" s="481">
        <v>0</v>
      </c>
      <c r="H99" s="481">
        <v>1</v>
      </c>
      <c r="I99" s="481"/>
      <c r="J99" s="481"/>
      <c r="K99" s="481">
        <v>24</v>
      </c>
      <c r="L99" s="481">
        <v>76</v>
      </c>
      <c r="M99" s="481"/>
      <c r="N99" s="481">
        <v>56</v>
      </c>
      <c r="O99" s="481">
        <v>43</v>
      </c>
      <c r="P99" s="481">
        <v>1</v>
      </c>
    </row>
    <row r="100" spans="1:18" x14ac:dyDescent="0.25">
      <c r="A100" s="676" t="s">
        <v>246</v>
      </c>
      <c r="B100" s="677" t="s">
        <v>247</v>
      </c>
      <c r="C100" s="678" t="s">
        <v>264</v>
      </c>
      <c r="D100" s="270">
        <v>241</v>
      </c>
      <c r="E100" s="270">
        <v>173</v>
      </c>
      <c r="F100" s="270">
        <v>42</v>
      </c>
      <c r="G100" s="270">
        <v>8</v>
      </c>
      <c r="H100" s="270">
        <v>17</v>
      </c>
      <c r="I100" s="270">
        <v>1</v>
      </c>
      <c r="J100" s="270"/>
      <c r="K100" s="270">
        <v>35</v>
      </c>
      <c r="L100" s="270">
        <v>205</v>
      </c>
      <c r="M100" s="270">
        <v>1</v>
      </c>
      <c r="N100" s="270">
        <v>151</v>
      </c>
      <c r="O100" s="270">
        <v>90</v>
      </c>
      <c r="P100" s="270">
        <v>0</v>
      </c>
    </row>
    <row r="101" spans="1:18" x14ac:dyDescent="0.25">
      <c r="A101" s="676" t="s">
        <v>14</v>
      </c>
      <c r="B101" s="677" t="s">
        <v>15</v>
      </c>
      <c r="C101" s="678" t="s">
        <v>267</v>
      </c>
      <c r="D101" s="1973">
        <v>233</v>
      </c>
      <c r="E101" s="270">
        <v>139</v>
      </c>
      <c r="F101" s="270">
        <v>73</v>
      </c>
      <c r="G101" s="270">
        <v>8</v>
      </c>
      <c r="H101" s="270">
        <v>8</v>
      </c>
      <c r="I101" s="270">
        <v>5</v>
      </c>
      <c r="J101" s="270"/>
      <c r="K101" s="270">
        <v>46</v>
      </c>
      <c r="L101" s="270">
        <v>187</v>
      </c>
      <c r="M101" s="270"/>
      <c r="N101" s="270">
        <v>153</v>
      </c>
      <c r="O101" s="270">
        <v>80</v>
      </c>
      <c r="P101" s="270">
        <v>0</v>
      </c>
      <c r="R101" s="270">
        <v>231</v>
      </c>
    </row>
    <row r="102" spans="1:18" x14ac:dyDescent="0.25">
      <c r="A102" s="676" t="s">
        <v>34</v>
      </c>
      <c r="B102" s="677" t="s">
        <v>35</v>
      </c>
      <c r="C102" s="678" t="s">
        <v>268</v>
      </c>
      <c r="D102" s="270">
        <v>36</v>
      </c>
      <c r="E102" s="270">
        <v>31</v>
      </c>
      <c r="F102" s="270">
        <v>5</v>
      </c>
      <c r="G102" s="270">
        <v>0</v>
      </c>
      <c r="H102" s="270">
        <v>0</v>
      </c>
      <c r="I102" s="270"/>
      <c r="J102" s="270"/>
      <c r="K102" s="270">
        <v>8</v>
      </c>
      <c r="L102" s="270">
        <v>28</v>
      </c>
      <c r="M102" s="270"/>
      <c r="N102" s="270">
        <v>21</v>
      </c>
      <c r="O102" s="270">
        <v>15</v>
      </c>
      <c r="P102" s="270">
        <v>0</v>
      </c>
    </row>
    <row r="103" spans="1:18" x14ac:dyDescent="0.25">
      <c r="A103" s="676" t="s">
        <v>52</v>
      </c>
      <c r="B103" s="677" t="s">
        <v>53</v>
      </c>
      <c r="C103" s="678" t="s">
        <v>265</v>
      </c>
      <c r="D103" s="270">
        <v>287</v>
      </c>
      <c r="E103" s="270">
        <v>167</v>
      </c>
      <c r="F103" s="270">
        <v>108</v>
      </c>
      <c r="G103" s="270">
        <v>0</v>
      </c>
      <c r="H103" s="1318">
        <v>9</v>
      </c>
      <c r="I103" s="1318">
        <v>3</v>
      </c>
      <c r="J103" s="1318"/>
      <c r="K103" s="270">
        <v>118</v>
      </c>
      <c r="L103" s="270">
        <v>169</v>
      </c>
      <c r="M103" s="270"/>
      <c r="N103" s="270">
        <v>173</v>
      </c>
      <c r="O103" s="270">
        <v>114</v>
      </c>
      <c r="P103" s="270">
        <v>0</v>
      </c>
    </row>
    <row r="104" spans="1:18" x14ac:dyDescent="0.25">
      <c r="A104" s="676" t="s">
        <v>54</v>
      </c>
      <c r="B104" s="677" t="s">
        <v>55</v>
      </c>
      <c r="C104" s="678" t="s">
        <v>264</v>
      </c>
      <c r="D104" s="270">
        <v>1050</v>
      </c>
      <c r="E104" s="270">
        <v>589</v>
      </c>
      <c r="F104" s="270">
        <v>359</v>
      </c>
      <c r="G104" s="270">
        <v>5</v>
      </c>
      <c r="H104" s="270">
        <v>87</v>
      </c>
      <c r="I104" s="270">
        <v>10</v>
      </c>
      <c r="J104" s="270"/>
      <c r="K104" s="270">
        <v>358</v>
      </c>
      <c r="L104" s="270">
        <v>677</v>
      </c>
      <c r="M104" s="270">
        <v>15</v>
      </c>
      <c r="N104" s="270">
        <v>587</v>
      </c>
      <c r="O104" s="270">
        <v>459</v>
      </c>
      <c r="P104" s="270">
        <v>4</v>
      </c>
    </row>
    <row r="105" spans="1:18" x14ac:dyDescent="0.25">
      <c r="A105" s="676" t="s">
        <v>66</v>
      </c>
      <c r="B105" s="677" t="s">
        <v>67</v>
      </c>
      <c r="C105" s="678" t="s">
        <v>265</v>
      </c>
      <c r="D105" s="270">
        <v>189</v>
      </c>
      <c r="E105" s="270">
        <v>103</v>
      </c>
      <c r="F105" s="270">
        <v>83</v>
      </c>
      <c r="G105" s="270">
        <v>1</v>
      </c>
      <c r="H105" s="270">
        <v>2</v>
      </c>
      <c r="I105" s="270"/>
      <c r="J105" s="270"/>
      <c r="K105" s="270">
        <v>52</v>
      </c>
      <c r="L105" s="270">
        <v>137</v>
      </c>
      <c r="M105" s="270"/>
      <c r="N105" s="270">
        <v>104</v>
      </c>
      <c r="O105" s="270">
        <v>85</v>
      </c>
      <c r="P105" s="270">
        <v>0</v>
      </c>
    </row>
    <row r="106" spans="1:18" x14ac:dyDescent="0.25">
      <c r="A106" s="676" t="s">
        <v>82</v>
      </c>
      <c r="B106" s="677" t="s">
        <v>83</v>
      </c>
      <c r="C106" s="678" t="s">
        <v>264</v>
      </c>
      <c r="D106" s="270">
        <v>7</v>
      </c>
      <c r="E106" s="270">
        <v>3</v>
      </c>
      <c r="F106" s="270">
        <v>4</v>
      </c>
      <c r="G106" s="270">
        <v>0</v>
      </c>
      <c r="H106" s="270">
        <v>0</v>
      </c>
      <c r="I106" s="270"/>
      <c r="J106" s="270"/>
      <c r="K106" s="270">
        <v>2</v>
      </c>
      <c r="L106" s="270">
        <v>5</v>
      </c>
      <c r="M106" s="270"/>
      <c r="N106" s="270">
        <v>5</v>
      </c>
      <c r="O106" s="270">
        <v>2</v>
      </c>
      <c r="P106" s="270">
        <v>0</v>
      </c>
    </row>
    <row r="107" spans="1:18" x14ac:dyDescent="0.25">
      <c r="A107" s="676" t="s">
        <v>88</v>
      </c>
      <c r="B107" s="677" t="s">
        <v>89</v>
      </c>
      <c r="C107" s="678" t="s">
        <v>267</v>
      </c>
      <c r="D107" s="270">
        <v>64</v>
      </c>
      <c r="E107" s="270">
        <v>43</v>
      </c>
      <c r="F107" s="270">
        <v>16</v>
      </c>
      <c r="G107" s="270">
        <v>1</v>
      </c>
      <c r="H107" s="270">
        <v>4</v>
      </c>
      <c r="I107" s="270"/>
      <c r="J107" s="270"/>
      <c r="K107" s="270">
        <v>18</v>
      </c>
      <c r="L107" s="270">
        <v>46</v>
      </c>
      <c r="M107" s="270"/>
      <c r="N107" s="270">
        <v>34</v>
      </c>
      <c r="O107" s="270">
        <v>30</v>
      </c>
      <c r="P107" s="270">
        <v>0</v>
      </c>
    </row>
    <row r="108" spans="1:18" x14ac:dyDescent="0.25">
      <c r="A108" s="676" t="s">
        <v>90</v>
      </c>
      <c r="B108" s="677" t="s">
        <v>91</v>
      </c>
      <c r="C108" s="678" t="s">
        <v>268</v>
      </c>
      <c r="D108" s="270">
        <v>32</v>
      </c>
      <c r="E108" s="270">
        <v>32</v>
      </c>
      <c r="F108" s="270">
        <v>0</v>
      </c>
      <c r="G108" s="270">
        <v>0</v>
      </c>
      <c r="H108" s="270">
        <v>0</v>
      </c>
      <c r="I108" s="270"/>
      <c r="J108" s="270"/>
      <c r="K108" s="270">
        <v>11</v>
      </c>
      <c r="L108" s="270">
        <v>21</v>
      </c>
      <c r="M108" s="270"/>
      <c r="N108" s="270">
        <v>21</v>
      </c>
      <c r="O108" s="270">
        <v>11</v>
      </c>
      <c r="P108" s="270">
        <v>0</v>
      </c>
    </row>
    <row r="109" spans="1:18" x14ac:dyDescent="0.25">
      <c r="A109" s="676" t="s">
        <v>106</v>
      </c>
      <c r="B109" s="677" t="s">
        <v>107</v>
      </c>
      <c r="C109" s="678" t="s">
        <v>264</v>
      </c>
      <c r="D109" s="1973">
        <v>264</v>
      </c>
      <c r="E109" s="270">
        <v>93</v>
      </c>
      <c r="F109" s="270">
        <v>134</v>
      </c>
      <c r="G109" s="270">
        <v>7</v>
      </c>
      <c r="H109" s="270">
        <v>26</v>
      </c>
      <c r="I109" s="270">
        <v>4</v>
      </c>
      <c r="J109" s="270"/>
      <c r="K109" s="270">
        <v>65</v>
      </c>
      <c r="L109" s="270">
        <v>199</v>
      </c>
      <c r="M109" s="270"/>
      <c r="N109" s="270">
        <v>163</v>
      </c>
      <c r="O109" s="270">
        <v>101</v>
      </c>
      <c r="P109" s="270">
        <v>0</v>
      </c>
      <c r="R109" s="270">
        <v>263</v>
      </c>
    </row>
    <row r="110" spans="1:18" x14ac:dyDescent="0.25">
      <c r="A110" s="676" t="s">
        <v>116</v>
      </c>
      <c r="B110" s="677" t="s">
        <v>117</v>
      </c>
      <c r="C110" s="678" t="s">
        <v>266</v>
      </c>
      <c r="D110" s="270">
        <v>137</v>
      </c>
      <c r="E110" s="270">
        <v>81</v>
      </c>
      <c r="F110" s="270">
        <v>50</v>
      </c>
      <c r="G110" s="270">
        <v>2</v>
      </c>
      <c r="H110" s="270">
        <v>4</v>
      </c>
      <c r="I110" s="270"/>
      <c r="J110" s="270"/>
      <c r="K110" s="270">
        <v>46</v>
      </c>
      <c r="L110" s="270">
        <v>91</v>
      </c>
      <c r="M110" s="270"/>
      <c r="N110" s="270">
        <v>83</v>
      </c>
      <c r="O110" s="270">
        <v>54</v>
      </c>
      <c r="P110" s="270">
        <v>0</v>
      </c>
    </row>
    <row r="111" spans="1:18" x14ac:dyDescent="0.25">
      <c r="A111" s="676" t="s">
        <v>138</v>
      </c>
      <c r="B111" s="677" t="s">
        <v>139</v>
      </c>
      <c r="C111" s="678" t="s">
        <v>265</v>
      </c>
      <c r="D111" s="270">
        <v>592</v>
      </c>
      <c r="E111" s="270">
        <v>304</v>
      </c>
      <c r="F111" s="270">
        <v>212</v>
      </c>
      <c r="G111" s="270">
        <v>8</v>
      </c>
      <c r="H111" s="1318">
        <v>67</v>
      </c>
      <c r="I111" s="1318">
        <v>1</v>
      </c>
      <c r="J111" s="1318"/>
      <c r="K111" s="270">
        <v>153</v>
      </c>
      <c r="L111" s="270">
        <v>439</v>
      </c>
      <c r="M111" s="270"/>
      <c r="N111" s="270">
        <v>344</v>
      </c>
      <c r="O111" s="270">
        <v>247</v>
      </c>
      <c r="P111" s="270">
        <v>1</v>
      </c>
    </row>
    <row r="112" spans="1:18" x14ac:dyDescent="0.25">
      <c r="A112" s="676" t="s">
        <v>142</v>
      </c>
      <c r="B112" s="677" t="s">
        <v>143</v>
      </c>
      <c r="C112" s="678" t="s">
        <v>267</v>
      </c>
      <c r="D112" s="270">
        <v>31</v>
      </c>
      <c r="E112" s="270">
        <v>19</v>
      </c>
      <c r="F112" s="270">
        <v>8</v>
      </c>
      <c r="G112" s="270">
        <v>1</v>
      </c>
      <c r="H112" s="270">
        <v>3</v>
      </c>
      <c r="I112" s="270"/>
      <c r="J112" s="270"/>
      <c r="K112" s="270">
        <v>13</v>
      </c>
      <c r="L112" s="270">
        <v>18</v>
      </c>
      <c r="M112" s="270"/>
      <c r="N112" s="270">
        <v>20</v>
      </c>
      <c r="O112" s="270">
        <v>11</v>
      </c>
      <c r="P112" s="270">
        <v>0</v>
      </c>
    </row>
    <row r="113" spans="1:16" x14ac:dyDescent="0.25">
      <c r="A113" s="676" t="s">
        <v>144</v>
      </c>
      <c r="B113" s="677" t="s">
        <v>145</v>
      </c>
      <c r="C113" s="678" t="s">
        <v>267</v>
      </c>
      <c r="D113" s="270">
        <v>14</v>
      </c>
      <c r="E113" s="270">
        <v>7</v>
      </c>
      <c r="F113" s="270">
        <v>5</v>
      </c>
      <c r="G113" s="270">
        <v>0</v>
      </c>
      <c r="H113" s="270">
        <v>2</v>
      </c>
      <c r="I113" s="270"/>
      <c r="J113" s="270"/>
      <c r="K113" s="270">
        <v>2</v>
      </c>
      <c r="L113" s="270">
        <v>10</v>
      </c>
      <c r="M113" s="270">
        <v>2</v>
      </c>
      <c r="N113" s="270">
        <v>8</v>
      </c>
      <c r="O113" s="270">
        <v>6</v>
      </c>
      <c r="P113" s="270">
        <v>0</v>
      </c>
    </row>
    <row r="114" spans="1:16" x14ac:dyDescent="0.25">
      <c r="A114" s="676" t="s">
        <v>158</v>
      </c>
      <c r="B114" s="677" t="s">
        <v>159</v>
      </c>
      <c r="C114" s="678" t="s">
        <v>264</v>
      </c>
      <c r="D114" s="270">
        <v>670</v>
      </c>
      <c r="E114" s="270">
        <v>318</v>
      </c>
      <c r="F114" s="270">
        <v>272</v>
      </c>
      <c r="G114" s="270">
        <v>5</v>
      </c>
      <c r="H114" s="270">
        <v>60</v>
      </c>
      <c r="I114" s="270">
        <v>15</v>
      </c>
      <c r="J114" s="270"/>
      <c r="K114" s="270">
        <v>170</v>
      </c>
      <c r="L114" s="270">
        <v>498</v>
      </c>
      <c r="M114" s="270">
        <v>2</v>
      </c>
      <c r="N114" s="270">
        <v>418</v>
      </c>
      <c r="O114" s="270">
        <v>250</v>
      </c>
      <c r="P114" s="270">
        <v>2</v>
      </c>
    </row>
    <row r="115" spans="1:16" x14ac:dyDescent="0.25">
      <c r="A115" s="676" t="s">
        <v>160</v>
      </c>
      <c r="B115" s="677" t="s">
        <v>161</v>
      </c>
      <c r="C115" s="678" t="s">
        <v>264</v>
      </c>
      <c r="D115" s="270">
        <v>784</v>
      </c>
      <c r="E115" s="270">
        <v>333</v>
      </c>
      <c r="F115" s="270">
        <v>356</v>
      </c>
      <c r="G115" s="270">
        <v>16</v>
      </c>
      <c r="H115" s="270">
        <v>70</v>
      </c>
      <c r="I115" s="270">
        <v>9</v>
      </c>
      <c r="J115" s="270"/>
      <c r="K115" s="270">
        <v>232</v>
      </c>
      <c r="L115" s="270">
        <v>547</v>
      </c>
      <c r="M115" s="270">
        <v>5</v>
      </c>
      <c r="N115" s="270">
        <v>480</v>
      </c>
      <c r="O115" s="270">
        <v>303</v>
      </c>
      <c r="P115" s="270">
        <v>1</v>
      </c>
    </row>
    <row r="116" spans="1:16" x14ac:dyDescent="0.25">
      <c r="A116" s="676" t="s">
        <v>166</v>
      </c>
      <c r="B116" s="677" t="s">
        <v>167</v>
      </c>
      <c r="C116" s="678" t="s">
        <v>268</v>
      </c>
      <c r="D116" s="851">
        <v>13</v>
      </c>
      <c r="E116" s="851">
        <v>12</v>
      </c>
      <c r="F116" s="851">
        <v>1</v>
      </c>
      <c r="G116" s="851">
        <v>0</v>
      </c>
      <c r="H116" s="851">
        <v>0</v>
      </c>
      <c r="I116" s="851"/>
      <c r="J116" s="851"/>
      <c r="K116" s="851">
        <v>5</v>
      </c>
      <c r="L116" s="851">
        <v>8</v>
      </c>
      <c r="M116" s="851"/>
      <c r="N116" s="851">
        <v>5</v>
      </c>
      <c r="O116" s="851">
        <v>8</v>
      </c>
      <c r="P116" s="851">
        <v>0</v>
      </c>
    </row>
    <row r="117" spans="1:16" x14ac:dyDescent="0.25">
      <c r="A117" s="676" t="s">
        <v>176</v>
      </c>
      <c r="B117" s="677" t="s">
        <v>177</v>
      </c>
      <c r="C117" s="678" t="s">
        <v>266</v>
      </c>
      <c r="D117" s="270">
        <v>109</v>
      </c>
      <c r="E117" s="270">
        <v>19</v>
      </c>
      <c r="F117" s="270">
        <v>76</v>
      </c>
      <c r="G117" s="270">
        <v>3</v>
      </c>
      <c r="H117" s="270">
        <v>11</v>
      </c>
      <c r="I117" s="270"/>
      <c r="J117" s="270"/>
      <c r="K117" s="270">
        <v>42</v>
      </c>
      <c r="L117" s="270">
        <v>67</v>
      </c>
      <c r="M117" s="270"/>
      <c r="N117" s="270">
        <v>61</v>
      </c>
      <c r="O117" s="270">
        <v>47</v>
      </c>
      <c r="P117" s="270">
        <v>1</v>
      </c>
    </row>
    <row r="118" spans="1:16" x14ac:dyDescent="0.25">
      <c r="A118" s="676" t="s">
        <v>180</v>
      </c>
      <c r="B118" s="677" t="s">
        <v>181</v>
      </c>
      <c r="C118" s="678" t="s">
        <v>264</v>
      </c>
      <c r="D118" s="270">
        <v>222</v>
      </c>
      <c r="E118" s="270">
        <v>91</v>
      </c>
      <c r="F118" s="270">
        <v>119</v>
      </c>
      <c r="G118" s="270">
        <v>1</v>
      </c>
      <c r="H118" s="270">
        <v>10</v>
      </c>
      <c r="I118" s="270">
        <v>1</v>
      </c>
      <c r="J118" s="270"/>
      <c r="K118" s="270">
        <v>79</v>
      </c>
      <c r="L118" s="270">
        <v>143</v>
      </c>
      <c r="M118" s="270"/>
      <c r="N118" s="270">
        <v>112</v>
      </c>
      <c r="O118" s="270">
        <v>108</v>
      </c>
      <c r="P118" s="270">
        <v>2</v>
      </c>
    </row>
    <row r="119" spans="1:16" x14ac:dyDescent="0.25">
      <c r="A119" s="676" t="s">
        <v>192</v>
      </c>
      <c r="B119" s="677" t="s">
        <v>193</v>
      </c>
      <c r="C119" s="678" t="s">
        <v>268</v>
      </c>
      <c r="D119" s="481">
        <v>22</v>
      </c>
      <c r="E119" s="481">
        <v>17</v>
      </c>
      <c r="F119" s="481">
        <v>5</v>
      </c>
      <c r="G119" s="481">
        <v>0</v>
      </c>
      <c r="H119" s="481">
        <v>0</v>
      </c>
      <c r="I119" s="481"/>
      <c r="J119" s="481"/>
      <c r="K119" s="481">
        <v>9</v>
      </c>
      <c r="L119" s="481">
        <v>13</v>
      </c>
      <c r="M119" s="481"/>
      <c r="N119" s="481">
        <v>13</v>
      </c>
      <c r="O119" s="481">
        <v>9</v>
      </c>
      <c r="P119" s="481">
        <v>0</v>
      </c>
    </row>
    <row r="120" spans="1:16" x14ac:dyDescent="0.25">
      <c r="A120" s="676" t="s">
        <v>196</v>
      </c>
      <c r="B120" s="677" t="s">
        <v>197</v>
      </c>
      <c r="C120" s="678" t="s">
        <v>266</v>
      </c>
      <c r="D120" s="270">
        <v>840</v>
      </c>
      <c r="E120" s="270">
        <v>294</v>
      </c>
      <c r="F120" s="270">
        <v>499</v>
      </c>
      <c r="G120" s="270">
        <v>5</v>
      </c>
      <c r="H120" s="270">
        <v>39</v>
      </c>
      <c r="I120" s="270">
        <v>3</v>
      </c>
      <c r="J120" s="270"/>
      <c r="K120" s="270">
        <v>262</v>
      </c>
      <c r="L120" s="270">
        <v>578</v>
      </c>
      <c r="M120" s="270"/>
      <c r="N120" s="270">
        <v>492</v>
      </c>
      <c r="O120" s="270">
        <v>348</v>
      </c>
      <c r="P120" s="270">
        <v>0</v>
      </c>
    </row>
    <row r="121" spans="1:16" x14ac:dyDescent="0.25">
      <c r="A121" s="676" t="s">
        <v>200</v>
      </c>
      <c r="B121" s="677" t="s">
        <v>201</v>
      </c>
      <c r="C121" s="678" t="s">
        <v>265</v>
      </c>
      <c r="D121" s="270">
        <v>633</v>
      </c>
      <c r="E121" s="270">
        <v>416</v>
      </c>
      <c r="F121" s="270">
        <v>161</v>
      </c>
      <c r="G121" s="270">
        <v>4</v>
      </c>
      <c r="H121" s="1318">
        <v>50</v>
      </c>
      <c r="I121" s="1318">
        <v>2</v>
      </c>
      <c r="J121" s="1318"/>
      <c r="K121" s="270">
        <v>238</v>
      </c>
      <c r="L121" s="270">
        <v>394</v>
      </c>
      <c r="M121" s="270">
        <v>1</v>
      </c>
      <c r="N121" s="270">
        <v>384</v>
      </c>
      <c r="O121" s="270">
        <v>248</v>
      </c>
      <c r="P121" s="270">
        <v>1</v>
      </c>
    </row>
    <row r="122" spans="1:16" x14ac:dyDescent="0.25">
      <c r="A122" s="676" t="s">
        <v>222</v>
      </c>
      <c r="B122" s="677" t="s">
        <v>223</v>
      </c>
      <c r="C122" s="678" t="s">
        <v>264</v>
      </c>
      <c r="D122" s="270">
        <v>286</v>
      </c>
      <c r="E122" s="270">
        <v>108</v>
      </c>
      <c r="F122" s="270">
        <v>168</v>
      </c>
      <c r="G122" s="270">
        <v>2</v>
      </c>
      <c r="H122" s="270">
        <v>8</v>
      </c>
      <c r="I122" s="270"/>
      <c r="J122" s="270"/>
      <c r="K122" s="270">
        <v>99</v>
      </c>
      <c r="L122" s="270">
        <v>186</v>
      </c>
      <c r="M122" s="270">
        <v>1</v>
      </c>
      <c r="N122" s="270">
        <v>173</v>
      </c>
      <c r="O122" s="270">
        <v>113</v>
      </c>
      <c r="P122" s="270">
        <v>0</v>
      </c>
    </row>
    <row r="123" spans="1:16" x14ac:dyDescent="0.25">
      <c r="A123" s="676" t="s">
        <v>230</v>
      </c>
      <c r="B123" s="677" t="s">
        <v>231</v>
      </c>
      <c r="C123" s="678" t="s">
        <v>264</v>
      </c>
      <c r="D123" s="270">
        <v>1199</v>
      </c>
      <c r="E123" s="270">
        <v>818</v>
      </c>
      <c r="F123" s="270">
        <v>258</v>
      </c>
      <c r="G123" s="270">
        <v>29</v>
      </c>
      <c r="H123" s="270">
        <v>71</v>
      </c>
      <c r="I123" s="270">
        <v>23</v>
      </c>
      <c r="J123" s="270"/>
      <c r="K123" s="270">
        <v>272</v>
      </c>
      <c r="L123" s="270">
        <v>926</v>
      </c>
      <c r="M123" s="270">
        <v>1</v>
      </c>
      <c r="N123" s="270">
        <v>765</v>
      </c>
      <c r="O123" s="270">
        <v>432</v>
      </c>
      <c r="P123" s="270">
        <v>2</v>
      </c>
    </row>
    <row r="124" spans="1:16" x14ac:dyDescent="0.25">
      <c r="A124" s="676" t="s">
        <v>238</v>
      </c>
      <c r="B124" s="677" t="s">
        <v>239</v>
      </c>
      <c r="C124" s="678" t="s">
        <v>264</v>
      </c>
      <c r="D124" s="270">
        <v>77</v>
      </c>
      <c r="E124" s="270">
        <v>50</v>
      </c>
      <c r="F124" s="270">
        <v>18</v>
      </c>
      <c r="G124" s="270">
        <v>1</v>
      </c>
      <c r="H124" s="270">
        <v>8</v>
      </c>
      <c r="I124" s="270"/>
      <c r="J124" s="270"/>
      <c r="K124" s="270">
        <v>15</v>
      </c>
      <c r="L124" s="270">
        <v>61</v>
      </c>
      <c r="M124" s="270">
        <v>1</v>
      </c>
      <c r="N124" s="270">
        <v>50</v>
      </c>
      <c r="O124" s="270">
        <v>27</v>
      </c>
      <c r="P124" s="270">
        <v>0</v>
      </c>
    </row>
    <row r="125" spans="1:16" x14ac:dyDescent="0.25">
      <c r="A125" s="679" t="s">
        <v>240</v>
      </c>
      <c r="B125" s="680" t="s">
        <v>241</v>
      </c>
      <c r="C125" s="681" t="s">
        <v>267</v>
      </c>
      <c r="D125" s="852">
        <v>171</v>
      </c>
      <c r="E125" s="852">
        <v>140</v>
      </c>
      <c r="F125" s="852">
        <v>15</v>
      </c>
      <c r="G125" s="852">
        <v>3</v>
      </c>
      <c r="H125" s="1764">
        <v>13</v>
      </c>
      <c r="I125" s="1764"/>
      <c r="J125" s="1764"/>
      <c r="K125" s="852">
        <v>52</v>
      </c>
      <c r="L125" s="852">
        <v>119</v>
      </c>
      <c r="M125" s="481"/>
      <c r="N125" s="481">
        <v>95</v>
      </c>
      <c r="O125" s="481">
        <v>75</v>
      </c>
      <c r="P125" s="481">
        <v>1</v>
      </c>
    </row>
    <row r="126" spans="1:16" x14ac:dyDescent="0.25">
      <c r="A126" s="676"/>
      <c r="B126" s="677"/>
      <c r="C126" s="678"/>
    </row>
    <row r="127" spans="1:16" ht="45" customHeight="1" x14ac:dyDescent="0.25">
      <c r="A127" s="2292" t="s">
        <v>1334</v>
      </c>
      <c r="B127" s="2292"/>
      <c r="C127" s="2292"/>
      <c r="D127" s="2292"/>
      <c r="E127" s="2292"/>
      <c r="F127" s="2292"/>
      <c r="G127" s="2292"/>
      <c r="H127" s="2292"/>
      <c r="I127" s="2292"/>
      <c r="J127" s="2292"/>
      <c r="K127" s="2292"/>
      <c r="L127" s="2292"/>
      <c r="M127" s="1970"/>
      <c r="N127" s="1951"/>
      <c r="O127" s="1951"/>
      <c r="P127" s="1951"/>
    </row>
    <row r="128" spans="1:16" x14ac:dyDescent="0.25">
      <c r="A128" s="843"/>
      <c r="B128" s="843"/>
      <c r="C128" s="843"/>
      <c r="D128" s="843"/>
      <c r="E128" s="843"/>
      <c r="F128" s="843"/>
      <c r="G128" s="838"/>
      <c r="H128" s="838"/>
      <c r="I128" s="838"/>
      <c r="J128" s="838"/>
      <c r="K128" s="838"/>
      <c r="L128" s="838"/>
      <c r="M128" s="838"/>
      <c r="N128" s="838"/>
      <c r="O128" s="838"/>
      <c r="P128" s="838"/>
    </row>
    <row r="129" spans="1:16" s="412" customFormat="1" x14ac:dyDescent="0.25">
      <c r="A129" s="2291" t="s">
        <v>248</v>
      </c>
      <c r="B129" s="2291"/>
      <c r="C129" s="2291"/>
      <c r="D129" s="2291"/>
      <c r="E129" s="2291"/>
      <c r="F129" s="2291"/>
      <c r="G129" s="2291"/>
      <c r="H129" s="2291"/>
      <c r="I129" s="2291"/>
      <c r="J129" s="2291"/>
      <c r="K129" s="2291"/>
      <c r="L129" s="2291"/>
      <c r="M129" s="1969"/>
      <c r="N129" s="1950"/>
      <c r="O129" s="1950"/>
      <c r="P129" s="1950"/>
    </row>
    <row r="130" spans="1:16" s="270" customFormat="1" x14ac:dyDescent="0.25">
      <c r="A130" s="413" t="s">
        <v>249</v>
      </c>
      <c r="B130" s="414" t="s">
        <v>250</v>
      </c>
      <c r="C130" s="847"/>
    </row>
    <row r="136" spans="1:16" ht="15.75" customHeight="1" x14ac:dyDescent="0.25">
      <c r="A136" s="2290" t="s">
        <v>777</v>
      </c>
      <c r="B136" s="2290"/>
      <c r="C136" s="2290"/>
      <c r="D136" s="2290"/>
      <c r="E136" s="2290"/>
      <c r="F136" s="2290"/>
    </row>
  </sheetData>
  <autoFilter ref="A4:C125"/>
  <sortState ref="A6:I125">
    <sortCondition ref="A6:A125"/>
  </sortState>
  <mergeCells count="6">
    <mergeCell ref="N3:P3"/>
    <mergeCell ref="A136:F136"/>
    <mergeCell ref="A129:L129"/>
    <mergeCell ref="A127:L127"/>
    <mergeCell ref="E3:J3"/>
    <mergeCell ref="K3:M3"/>
  </mergeCells>
  <hyperlinks>
    <hyperlink ref="B130" r:id="rId1"/>
  </hyperlinks>
  <pageMargins left="0.7" right="0.7" top="0.75" bottom="0.75" header="0.3" footer="0.3"/>
  <pageSetup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29"/>
  <sheetViews>
    <sheetView workbookViewId="0">
      <pane ySplit="4" topLeftCell="A5" activePane="bottomLeft" state="frozen"/>
      <selection pane="bottomLeft" activeCell="A5" sqref="A5:XFD124"/>
    </sheetView>
  </sheetViews>
  <sheetFormatPr defaultRowHeight="15.75" x14ac:dyDescent="0.25"/>
  <cols>
    <col min="1" max="1" width="9.125" style="684" customWidth="1"/>
    <col min="2" max="2" width="30.625" style="684" customWidth="1"/>
    <col min="3" max="3" width="11.25" style="702" customWidth="1"/>
    <col min="4" max="4" width="9" style="674"/>
    <col min="5" max="6" width="9" style="728"/>
    <col min="7" max="10" width="9" style="674"/>
    <col min="11" max="11" width="9" style="728"/>
    <col min="12" max="12" width="4.25" style="674" customWidth="1"/>
    <col min="13" max="16384" width="9" style="674"/>
  </cols>
  <sheetData>
    <row r="1" spans="1:27" ht="15.75" customHeight="1" x14ac:dyDescent="0.25">
      <c r="A1" s="2293" t="s">
        <v>1319</v>
      </c>
      <c r="B1" s="2293"/>
      <c r="C1" s="2293"/>
      <c r="D1" s="2293"/>
      <c r="E1" s="2293"/>
      <c r="F1" s="2293"/>
      <c r="G1" s="2293"/>
      <c r="H1" s="2293"/>
      <c r="I1" s="2293"/>
      <c r="K1" s="1131"/>
    </row>
    <row r="2" spans="1:27" x14ac:dyDescent="0.25">
      <c r="A2" s="674"/>
      <c r="B2" s="674"/>
      <c r="C2" s="696"/>
    </row>
    <row r="3" spans="1:27" ht="31.5" x14ac:dyDescent="0.25">
      <c r="A3" s="685" t="s">
        <v>4</v>
      </c>
      <c r="B3" s="685" t="s">
        <v>286</v>
      </c>
      <c r="C3" s="697" t="s">
        <v>251</v>
      </c>
      <c r="D3" s="690" t="s">
        <v>281</v>
      </c>
      <c r="E3" s="1140" t="s">
        <v>2</v>
      </c>
      <c r="F3" s="1140" t="s">
        <v>445</v>
      </c>
      <c r="G3" s="686" t="s">
        <v>542</v>
      </c>
      <c r="H3" s="686" t="s">
        <v>772</v>
      </c>
      <c r="I3" s="686" t="s">
        <v>724</v>
      </c>
      <c r="J3" s="686" t="s">
        <v>773</v>
      </c>
      <c r="K3" s="1140" t="s">
        <v>1133</v>
      </c>
      <c r="L3" s="270"/>
      <c r="M3" s="690" t="s">
        <v>2</v>
      </c>
      <c r="N3" s="686" t="s">
        <v>445</v>
      </c>
      <c r="O3" s="1140" t="s">
        <v>1134</v>
      </c>
      <c r="Q3" s="1442" t="s">
        <v>1138</v>
      </c>
      <c r="R3" s="1442" t="s">
        <v>1139</v>
      </c>
      <c r="S3" s="1442" t="s">
        <v>1140</v>
      </c>
      <c r="T3" s="1442" t="s">
        <v>1141</v>
      </c>
      <c r="U3" s="1442" t="s">
        <v>1142</v>
      </c>
      <c r="V3" s="1442" t="s">
        <v>1143</v>
      </c>
      <c r="W3" s="1442" t="s">
        <v>773</v>
      </c>
      <c r="Y3" s="1442" t="s">
        <v>1137</v>
      </c>
      <c r="Z3" s="1442" t="s">
        <v>1321</v>
      </c>
      <c r="AA3" s="1442" t="s">
        <v>1309</v>
      </c>
    </row>
    <row r="4" spans="1:27" x14ac:dyDescent="0.25">
      <c r="A4" s="687">
        <v>999</v>
      </c>
      <c r="B4" s="675" t="s">
        <v>9</v>
      </c>
      <c r="C4" s="675"/>
      <c r="D4" s="613">
        <f>SUM(D5:D124)</f>
        <v>102207</v>
      </c>
      <c r="E4" s="614">
        <f t="shared" ref="E4:J4" si="0">SUM(E5:E124)</f>
        <v>64644</v>
      </c>
      <c r="F4" s="614">
        <f t="shared" si="0"/>
        <v>31693</v>
      </c>
      <c r="G4" s="614">
        <f t="shared" si="0"/>
        <v>1531</v>
      </c>
      <c r="H4" s="614">
        <f t="shared" si="0"/>
        <v>521</v>
      </c>
      <c r="I4" s="614">
        <f t="shared" si="0"/>
        <v>174</v>
      </c>
      <c r="J4" s="614">
        <f t="shared" si="0"/>
        <v>192</v>
      </c>
      <c r="K4" s="614">
        <f>SUM(K5:K124)</f>
        <v>11675</v>
      </c>
      <c r="L4" s="270"/>
      <c r="M4" s="694">
        <f>SUM(M5:M124)</f>
        <v>64644</v>
      </c>
      <c r="N4" s="695">
        <f>SUM(N5:N124)</f>
        <v>31693</v>
      </c>
      <c r="O4" s="695">
        <f>SUM(O5:O124)</f>
        <v>2226</v>
      </c>
      <c r="Q4" s="695">
        <f t="shared" ref="Q4:AA4" si="1">SUM(Q5:Q124)</f>
        <v>7275</v>
      </c>
      <c r="R4" s="695">
        <f t="shared" si="1"/>
        <v>14992</v>
      </c>
      <c r="S4" s="695">
        <f t="shared" si="1"/>
        <v>22766</v>
      </c>
      <c r="T4" s="695">
        <f t="shared" si="1"/>
        <v>20749</v>
      </c>
      <c r="U4" s="695">
        <f t="shared" si="1"/>
        <v>18088</v>
      </c>
      <c r="V4" s="695">
        <f t="shared" si="1"/>
        <v>7880</v>
      </c>
      <c r="W4" s="695">
        <f t="shared" si="1"/>
        <v>10457</v>
      </c>
      <c r="Y4" s="695">
        <f t="shared" si="1"/>
        <v>22267</v>
      </c>
      <c r="Z4" s="695">
        <f t="shared" si="1"/>
        <v>43515</v>
      </c>
      <c r="AA4" s="695">
        <f t="shared" si="1"/>
        <v>25968</v>
      </c>
    </row>
    <row r="5" spans="1:27" x14ac:dyDescent="0.25">
      <c r="A5" s="688" t="s">
        <v>10</v>
      </c>
      <c r="B5" s="190" t="s">
        <v>11</v>
      </c>
      <c r="C5" s="698" t="s">
        <v>264</v>
      </c>
      <c r="D5" s="616">
        <v>373</v>
      </c>
      <c r="E5" s="617">
        <v>222</v>
      </c>
      <c r="F5" s="617">
        <v>149</v>
      </c>
      <c r="G5" s="617">
        <v>0</v>
      </c>
      <c r="H5" s="617">
        <v>0</v>
      </c>
      <c r="I5" s="617">
        <v>0</v>
      </c>
      <c r="J5" s="617">
        <v>0</v>
      </c>
      <c r="K5" s="617">
        <v>50</v>
      </c>
      <c r="L5" s="270"/>
      <c r="M5" s="692">
        <f t="shared" ref="M5:M36" si="2">E5</f>
        <v>222</v>
      </c>
      <c r="N5" s="693">
        <f t="shared" ref="N5:N36" si="3">F5</f>
        <v>149</v>
      </c>
      <c r="O5" s="693">
        <f t="shared" ref="O5:O36" si="4">SUM(G5:I5)</f>
        <v>0</v>
      </c>
      <c r="Q5" s="270">
        <v>32</v>
      </c>
      <c r="R5" s="270">
        <v>67</v>
      </c>
      <c r="S5" s="270">
        <v>93</v>
      </c>
      <c r="T5" s="270">
        <v>86</v>
      </c>
      <c r="U5" s="270">
        <v>60</v>
      </c>
      <c r="V5" s="270">
        <v>28</v>
      </c>
      <c r="W5" s="270">
        <v>7</v>
      </c>
      <c r="Y5" s="674">
        <f t="shared" ref="Y5:Y36" si="5">Q5+R5</f>
        <v>99</v>
      </c>
      <c r="Z5" s="674">
        <f t="shared" ref="Z5:Z36" si="6">S5+T5</f>
        <v>179</v>
      </c>
      <c r="AA5" s="674">
        <f t="shared" ref="AA5:AA36" si="7">U5+V5</f>
        <v>88</v>
      </c>
    </row>
    <row r="6" spans="1:27" x14ac:dyDescent="0.25">
      <c r="A6" s="688" t="s">
        <v>12</v>
      </c>
      <c r="B6" s="190" t="s">
        <v>13</v>
      </c>
      <c r="C6" s="698" t="s">
        <v>265</v>
      </c>
      <c r="D6" s="616">
        <v>884</v>
      </c>
      <c r="E6" s="617">
        <v>647</v>
      </c>
      <c r="F6" s="617">
        <v>263</v>
      </c>
      <c r="G6" s="617">
        <v>7</v>
      </c>
      <c r="H6" s="617">
        <v>4</v>
      </c>
      <c r="I6" s="617">
        <v>0</v>
      </c>
      <c r="J6" s="617">
        <v>4</v>
      </c>
      <c r="K6" s="617">
        <v>124</v>
      </c>
      <c r="L6" s="270"/>
      <c r="M6" s="692">
        <f t="shared" si="2"/>
        <v>647</v>
      </c>
      <c r="N6" s="693">
        <f t="shared" si="3"/>
        <v>263</v>
      </c>
      <c r="O6" s="693">
        <f t="shared" si="4"/>
        <v>11</v>
      </c>
      <c r="Q6" s="270">
        <v>41</v>
      </c>
      <c r="R6" s="270">
        <v>122</v>
      </c>
      <c r="S6" s="270">
        <v>234</v>
      </c>
      <c r="T6" s="270">
        <v>180</v>
      </c>
      <c r="U6" s="270">
        <v>175</v>
      </c>
      <c r="V6" s="270">
        <v>71</v>
      </c>
      <c r="W6" s="270">
        <v>61</v>
      </c>
      <c r="Y6" s="728">
        <f t="shared" si="5"/>
        <v>163</v>
      </c>
      <c r="Z6" s="728">
        <f t="shared" si="6"/>
        <v>414</v>
      </c>
      <c r="AA6" s="728">
        <f t="shared" si="7"/>
        <v>246</v>
      </c>
    </row>
    <row r="7" spans="1:27" x14ac:dyDescent="0.25">
      <c r="A7" s="688" t="s">
        <v>16</v>
      </c>
      <c r="B7" s="190" t="s">
        <v>297</v>
      </c>
      <c r="C7" s="698" t="s">
        <v>265</v>
      </c>
      <c r="D7" s="616">
        <v>448</v>
      </c>
      <c r="E7" s="617">
        <v>421</v>
      </c>
      <c r="F7" s="617">
        <v>63</v>
      </c>
      <c r="G7" s="617">
        <v>0</v>
      </c>
      <c r="H7" s="617">
        <v>3</v>
      </c>
      <c r="I7" s="617">
        <v>0</v>
      </c>
      <c r="J7" s="617">
        <v>0</v>
      </c>
      <c r="K7" s="617">
        <v>12</v>
      </c>
      <c r="L7" s="270"/>
      <c r="M7" s="692">
        <f t="shared" si="2"/>
        <v>421</v>
      </c>
      <c r="N7" s="693">
        <f t="shared" si="3"/>
        <v>63</v>
      </c>
      <c r="O7" s="693">
        <f t="shared" si="4"/>
        <v>3</v>
      </c>
      <c r="Q7" s="270">
        <v>27</v>
      </c>
      <c r="R7" s="270">
        <v>82</v>
      </c>
      <c r="S7" s="270">
        <v>107</v>
      </c>
      <c r="T7" s="270">
        <v>104</v>
      </c>
      <c r="U7" s="270">
        <v>93</v>
      </c>
      <c r="V7" s="270">
        <v>29</v>
      </c>
      <c r="W7" s="270">
        <v>6</v>
      </c>
      <c r="Y7" s="728">
        <f t="shared" si="5"/>
        <v>109</v>
      </c>
      <c r="Z7" s="728">
        <f t="shared" si="6"/>
        <v>211</v>
      </c>
      <c r="AA7" s="728">
        <f t="shared" si="7"/>
        <v>122</v>
      </c>
    </row>
    <row r="8" spans="1:27" x14ac:dyDescent="0.25">
      <c r="A8" s="688" t="s">
        <v>18</v>
      </c>
      <c r="B8" s="190" t="s">
        <v>19</v>
      </c>
      <c r="C8" s="698" t="s">
        <v>266</v>
      </c>
      <c r="D8" s="616">
        <v>151</v>
      </c>
      <c r="E8" s="617">
        <v>120</v>
      </c>
      <c r="F8" s="617">
        <v>40</v>
      </c>
      <c r="G8" s="617">
        <v>0</v>
      </c>
      <c r="H8" s="617">
        <v>2</v>
      </c>
      <c r="I8" s="617">
        <v>0</v>
      </c>
      <c r="J8" s="617">
        <v>0</v>
      </c>
      <c r="K8" s="617">
        <v>3</v>
      </c>
      <c r="L8" s="270"/>
      <c r="M8" s="692">
        <f t="shared" si="2"/>
        <v>120</v>
      </c>
      <c r="N8" s="693">
        <f t="shared" si="3"/>
        <v>40</v>
      </c>
      <c r="O8" s="693">
        <f t="shared" si="4"/>
        <v>2</v>
      </c>
      <c r="Q8" s="270">
        <v>11</v>
      </c>
      <c r="R8" s="270">
        <v>21</v>
      </c>
      <c r="S8" s="270">
        <v>35</v>
      </c>
      <c r="T8" s="270">
        <v>30</v>
      </c>
      <c r="U8" s="270">
        <v>29</v>
      </c>
      <c r="V8" s="270">
        <v>11</v>
      </c>
      <c r="W8" s="270">
        <v>14</v>
      </c>
      <c r="Y8" s="728">
        <f t="shared" si="5"/>
        <v>32</v>
      </c>
      <c r="Z8" s="728">
        <f t="shared" si="6"/>
        <v>65</v>
      </c>
      <c r="AA8" s="728">
        <f t="shared" si="7"/>
        <v>40</v>
      </c>
    </row>
    <row r="9" spans="1:27" x14ac:dyDescent="0.25">
      <c r="A9" s="688" t="s">
        <v>20</v>
      </c>
      <c r="B9" s="190" t="s">
        <v>21</v>
      </c>
      <c r="C9" s="698" t="s">
        <v>265</v>
      </c>
      <c r="D9" s="616">
        <v>503</v>
      </c>
      <c r="E9" s="617">
        <v>412</v>
      </c>
      <c r="F9" s="617">
        <v>117</v>
      </c>
      <c r="G9" s="617">
        <v>1</v>
      </c>
      <c r="H9" s="617">
        <v>0</v>
      </c>
      <c r="I9" s="617">
        <v>4</v>
      </c>
      <c r="J9" s="617">
        <v>1</v>
      </c>
      <c r="K9" s="617">
        <v>12</v>
      </c>
      <c r="L9" s="270"/>
      <c r="M9" s="692">
        <f t="shared" si="2"/>
        <v>412</v>
      </c>
      <c r="N9" s="693">
        <f t="shared" si="3"/>
        <v>117</v>
      </c>
      <c r="O9" s="693">
        <f t="shared" si="4"/>
        <v>5</v>
      </c>
      <c r="Q9" s="270">
        <v>33</v>
      </c>
      <c r="R9" s="270">
        <v>61</v>
      </c>
      <c r="S9" s="270">
        <v>140</v>
      </c>
      <c r="T9" s="270">
        <v>102</v>
      </c>
      <c r="U9" s="270">
        <v>83</v>
      </c>
      <c r="V9" s="270">
        <v>33</v>
      </c>
      <c r="W9" s="270">
        <v>51</v>
      </c>
      <c r="Y9" s="728">
        <f t="shared" si="5"/>
        <v>94</v>
      </c>
      <c r="Z9" s="728">
        <f t="shared" si="6"/>
        <v>242</v>
      </c>
      <c r="AA9" s="728">
        <f t="shared" si="7"/>
        <v>116</v>
      </c>
    </row>
    <row r="10" spans="1:27" x14ac:dyDescent="0.25">
      <c r="A10" s="688" t="s">
        <v>22</v>
      </c>
      <c r="B10" s="190" t="s">
        <v>23</v>
      </c>
      <c r="C10" s="698" t="s">
        <v>265</v>
      </c>
      <c r="D10" s="616">
        <v>167</v>
      </c>
      <c r="E10" s="617">
        <v>125</v>
      </c>
      <c r="F10" s="617">
        <v>50</v>
      </c>
      <c r="G10" s="617">
        <v>0</v>
      </c>
      <c r="H10" s="617">
        <v>0</v>
      </c>
      <c r="I10" s="617">
        <v>0</v>
      </c>
      <c r="J10" s="617">
        <v>0</v>
      </c>
      <c r="K10" s="617">
        <v>9</v>
      </c>
      <c r="L10" s="270"/>
      <c r="M10" s="692">
        <f t="shared" si="2"/>
        <v>125</v>
      </c>
      <c r="N10" s="693">
        <f t="shared" si="3"/>
        <v>50</v>
      </c>
      <c r="O10" s="693">
        <f t="shared" si="4"/>
        <v>0</v>
      </c>
      <c r="Q10" s="270">
        <v>10</v>
      </c>
      <c r="R10" s="270">
        <v>22</v>
      </c>
      <c r="S10" s="270">
        <v>30</v>
      </c>
      <c r="T10" s="270">
        <v>42</v>
      </c>
      <c r="U10" s="270">
        <v>40</v>
      </c>
      <c r="V10" s="270">
        <v>15</v>
      </c>
      <c r="W10" s="270">
        <v>8</v>
      </c>
      <c r="Y10" s="728">
        <f t="shared" si="5"/>
        <v>32</v>
      </c>
      <c r="Z10" s="728">
        <f t="shared" si="6"/>
        <v>72</v>
      </c>
      <c r="AA10" s="728">
        <f t="shared" si="7"/>
        <v>55</v>
      </c>
    </row>
    <row r="11" spans="1:27" x14ac:dyDescent="0.25">
      <c r="A11" s="688" t="s">
        <v>24</v>
      </c>
      <c r="B11" s="190" t="s">
        <v>25</v>
      </c>
      <c r="C11" s="698" t="s">
        <v>267</v>
      </c>
      <c r="D11" s="616">
        <v>1152</v>
      </c>
      <c r="E11" s="617">
        <v>706</v>
      </c>
      <c r="F11" s="617">
        <v>325</v>
      </c>
      <c r="G11" s="617">
        <v>103</v>
      </c>
      <c r="H11" s="617">
        <v>7</v>
      </c>
      <c r="I11" s="617">
        <v>2</v>
      </c>
      <c r="J11" s="617">
        <v>1</v>
      </c>
      <c r="K11" s="617">
        <v>475</v>
      </c>
      <c r="L11" s="270"/>
      <c r="M11" s="692">
        <f t="shared" si="2"/>
        <v>706</v>
      </c>
      <c r="N11" s="693">
        <f t="shared" si="3"/>
        <v>325</v>
      </c>
      <c r="O11" s="693">
        <f t="shared" si="4"/>
        <v>112</v>
      </c>
      <c r="Q11" s="270">
        <v>71</v>
      </c>
      <c r="R11" s="270">
        <v>157</v>
      </c>
      <c r="S11" s="270">
        <v>241</v>
      </c>
      <c r="T11" s="270">
        <v>253</v>
      </c>
      <c r="U11" s="270">
        <v>203</v>
      </c>
      <c r="V11" s="270">
        <v>100</v>
      </c>
      <c r="W11" s="270">
        <v>127</v>
      </c>
      <c r="Y11" s="728">
        <f t="shared" si="5"/>
        <v>228</v>
      </c>
      <c r="Z11" s="728">
        <f t="shared" si="6"/>
        <v>494</v>
      </c>
      <c r="AA11" s="728">
        <f t="shared" si="7"/>
        <v>303</v>
      </c>
    </row>
    <row r="12" spans="1:27" x14ac:dyDescent="0.25">
      <c r="A12" s="688" t="s">
        <v>26</v>
      </c>
      <c r="B12" s="190" t="s">
        <v>298</v>
      </c>
      <c r="C12" s="698" t="s">
        <v>265</v>
      </c>
      <c r="D12" s="616">
        <v>3678</v>
      </c>
      <c r="E12" s="617">
        <v>3176</v>
      </c>
      <c r="F12" s="617">
        <v>642</v>
      </c>
      <c r="G12" s="617">
        <v>14</v>
      </c>
      <c r="H12" s="617">
        <v>18</v>
      </c>
      <c r="I12" s="617">
        <v>5</v>
      </c>
      <c r="J12" s="617">
        <v>6</v>
      </c>
      <c r="K12" s="617">
        <v>248</v>
      </c>
      <c r="L12" s="270"/>
      <c r="M12" s="692">
        <f t="shared" si="2"/>
        <v>3176</v>
      </c>
      <c r="N12" s="693">
        <f t="shared" si="3"/>
        <v>642</v>
      </c>
      <c r="O12" s="693">
        <f t="shared" si="4"/>
        <v>37</v>
      </c>
      <c r="Q12" s="270">
        <v>239</v>
      </c>
      <c r="R12" s="270">
        <v>484</v>
      </c>
      <c r="S12" s="270">
        <v>765</v>
      </c>
      <c r="T12" s="270">
        <v>777</v>
      </c>
      <c r="U12" s="270">
        <v>576</v>
      </c>
      <c r="V12" s="270">
        <v>256</v>
      </c>
      <c r="W12" s="270">
        <v>581</v>
      </c>
      <c r="Y12" s="728">
        <f t="shared" si="5"/>
        <v>723</v>
      </c>
      <c r="Z12" s="728">
        <f t="shared" si="6"/>
        <v>1542</v>
      </c>
      <c r="AA12" s="728">
        <f t="shared" si="7"/>
        <v>832</v>
      </c>
    </row>
    <row r="13" spans="1:27" x14ac:dyDescent="0.25">
      <c r="A13" s="688" t="s">
        <v>27</v>
      </c>
      <c r="B13" s="190" t="s">
        <v>28</v>
      </c>
      <c r="C13" s="698" t="s">
        <v>265</v>
      </c>
      <c r="D13" s="616">
        <v>62</v>
      </c>
      <c r="E13" s="617">
        <v>61</v>
      </c>
      <c r="F13" s="617">
        <v>0</v>
      </c>
      <c r="G13" s="617">
        <v>0</v>
      </c>
      <c r="H13" s="617">
        <v>0</v>
      </c>
      <c r="I13" s="617">
        <v>0</v>
      </c>
      <c r="J13" s="617">
        <v>0</v>
      </c>
      <c r="K13" s="617">
        <v>1</v>
      </c>
      <c r="L13" s="270"/>
      <c r="M13" s="692">
        <f t="shared" si="2"/>
        <v>61</v>
      </c>
      <c r="N13" s="693">
        <f t="shared" si="3"/>
        <v>0</v>
      </c>
      <c r="O13" s="693">
        <f t="shared" si="4"/>
        <v>0</v>
      </c>
      <c r="Q13" s="270">
        <v>1</v>
      </c>
      <c r="R13" s="270">
        <v>19</v>
      </c>
      <c r="S13" s="270">
        <v>18</v>
      </c>
      <c r="T13" s="270">
        <v>13</v>
      </c>
      <c r="U13" s="270">
        <v>8</v>
      </c>
      <c r="V13" s="270">
        <v>3</v>
      </c>
      <c r="W13" s="270">
        <v>0</v>
      </c>
      <c r="Y13" s="728">
        <f t="shared" si="5"/>
        <v>20</v>
      </c>
      <c r="Z13" s="728">
        <f t="shared" si="6"/>
        <v>31</v>
      </c>
      <c r="AA13" s="728">
        <f t="shared" si="7"/>
        <v>11</v>
      </c>
    </row>
    <row r="14" spans="1:27" x14ac:dyDescent="0.25">
      <c r="A14" s="688" t="s">
        <v>29</v>
      </c>
      <c r="B14" s="190" t="s">
        <v>924</v>
      </c>
      <c r="C14" s="698" t="s">
        <v>265</v>
      </c>
      <c r="D14" s="616">
        <v>1095</v>
      </c>
      <c r="E14" s="617">
        <v>992</v>
      </c>
      <c r="F14" s="617">
        <v>97</v>
      </c>
      <c r="G14" s="617">
        <v>3</v>
      </c>
      <c r="H14" s="617">
        <v>2</v>
      </c>
      <c r="I14" s="617">
        <v>1</v>
      </c>
      <c r="J14" s="617">
        <v>5</v>
      </c>
      <c r="K14" s="617">
        <v>33</v>
      </c>
      <c r="L14" s="270"/>
      <c r="M14" s="692">
        <f t="shared" si="2"/>
        <v>992</v>
      </c>
      <c r="N14" s="693">
        <f t="shared" si="3"/>
        <v>97</v>
      </c>
      <c r="O14" s="693">
        <f t="shared" si="4"/>
        <v>6</v>
      </c>
      <c r="Q14" s="270">
        <v>79</v>
      </c>
      <c r="R14" s="270">
        <v>178</v>
      </c>
      <c r="S14" s="270">
        <v>254</v>
      </c>
      <c r="T14" s="270">
        <v>246</v>
      </c>
      <c r="U14" s="270">
        <v>196</v>
      </c>
      <c r="V14" s="270">
        <v>81</v>
      </c>
      <c r="W14" s="270">
        <v>61</v>
      </c>
      <c r="Y14" s="728">
        <f t="shared" si="5"/>
        <v>257</v>
      </c>
      <c r="Z14" s="728">
        <f t="shared" si="6"/>
        <v>500</v>
      </c>
      <c r="AA14" s="728">
        <f t="shared" si="7"/>
        <v>277</v>
      </c>
    </row>
    <row r="15" spans="1:27" x14ac:dyDescent="0.25">
      <c r="A15" s="688" t="s">
        <v>30</v>
      </c>
      <c r="B15" s="190" t="s">
        <v>31</v>
      </c>
      <c r="C15" s="698" t="s">
        <v>268</v>
      </c>
      <c r="D15" s="616">
        <v>33</v>
      </c>
      <c r="E15" s="617">
        <v>31</v>
      </c>
      <c r="F15" s="617">
        <v>0</v>
      </c>
      <c r="G15" s="617">
        <v>0</v>
      </c>
      <c r="H15" s="617">
        <v>1</v>
      </c>
      <c r="I15" s="617">
        <v>0</v>
      </c>
      <c r="J15" s="617">
        <v>0</v>
      </c>
      <c r="K15" s="617">
        <v>0</v>
      </c>
      <c r="L15" s="270"/>
      <c r="M15" s="692">
        <f t="shared" si="2"/>
        <v>31</v>
      </c>
      <c r="N15" s="693">
        <f t="shared" si="3"/>
        <v>0</v>
      </c>
      <c r="O15" s="693">
        <f t="shared" si="4"/>
        <v>1</v>
      </c>
      <c r="Q15" s="270">
        <v>1</v>
      </c>
      <c r="R15" s="270">
        <v>6</v>
      </c>
      <c r="S15" s="270">
        <v>7</v>
      </c>
      <c r="T15" s="270">
        <v>8</v>
      </c>
      <c r="U15" s="270">
        <v>6</v>
      </c>
      <c r="V15" s="270">
        <v>3</v>
      </c>
      <c r="W15" s="270">
        <v>2</v>
      </c>
      <c r="Y15" s="728">
        <f t="shared" si="5"/>
        <v>7</v>
      </c>
      <c r="Z15" s="728">
        <f t="shared" si="6"/>
        <v>15</v>
      </c>
      <c r="AA15" s="728">
        <f t="shared" si="7"/>
        <v>9</v>
      </c>
    </row>
    <row r="16" spans="1:27" x14ac:dyDescent="0.25">
      <c r="A16" s="688" t="s">
        <v>32</v>
      </c>
      <c r="B16" s="190" t="s">
        <v>33</v>
      </c>
      <c r="C16" s="698" t="s">
        <v>265</v>
      </c>
      <c r="D16" s="616">
        <v>446</v>
      </c>
      <c r="E16" s="617">
        <v>428</v>
      </c>
      <c r="F16" s="617">
        <v>13</v>
      </c>
      <c r="G16" s="617">
        <v>0</v>
      </c>
      <c r="H16" s="617">
        <v>0</v>
      </c>
      <c r="I16" s="617">
        <v>0</v>
      </c>
      <c r="J16" s="617">
        <v>0</v>
      </c>
      <c r="K16" s="617">
        <v>12</v>
      </c>
      <c r="L16" s="270"/>
      <c r="M16" s="692">
        <f t="shared" si="2"/>
        <v>428</v>
      </c>
      <c r="N16" s="693">
        <f t="shared" si="3"/>
        <v>13</v>
      </c>
      <c r="O16" s="693">
        <f t="shared" si="4"/>
        <v>0</v>
      </c>
      <c r="Q16" s="270">
        <v>27</v>
      </c>
      <c r="R16" s="270">
        <v>74</v>
      </c>
      <c r="S16" s="270">
        <v>118</v>
      </c>
      <c r="T16" s="270">
        <v>88</v>
      </c>
      <c r="U16" s="270">
        <v>62</v>
      </c>
      <c r="V16" s="270">
        <v>43</v>
      </c>
      <c r="W16" s="270">
        <v>34</v>
      </c>
      <c r="Y16" s="728">
        <f t="shared" si="5"/>
        <v>101</v>
      </c>
      <c r="Z16" s="728">
        <f t="shared" si="6"/>
        <v>206</v>
      </c>
      <c r="AA16" s="728">
        <f t="shared" si="7"/>
        <v>105</v>
      </c>
    </row>
    <row r="17" spans="1:27" x14ac:dyDescent="0.25">
      <c r="A17" s="688" t="s">
        <v>36</v>
      </c>
      <c r="B17" s="190" t="s">
        <v>37</v>
      </c>
      <c r="C17" s="698" t="s">
        <v>264</v>
      </c>
      <c r="D17" s="616">
        <v>105</v>
      </c>
      <c r="E17" s="617">
        <v>30</v>
      </c>
      <c r="F17" s="617">
        <v>67</v>
      </c>
      <c r="G17" s="617">
        <v>0</v>
      </c>
      <c r="H17" s="617">
        <v>0</v>
      </c>
      <c r="I17" s="617">
        <v>0</v>
      </c>
      <c r="J17" s="617">
        <v>0</v>
      </c>
      <c r="K17" s="617">
        <v>2</v>
      </c>
      <c r="L17" s="270"/>
      <c r="M17" s="692">
        <f t="shared" si="2"/>
        <v>30</v>
      </c>
      <c r="N17" s="693">
        <f t="shared" si="3"/>
        <v>67</v>
      </c>
      <c r="O17" s="693">
        <f t="shared" si="4"/>
        <v>0</v>
      </c>
      <c r="Q17" s="270">
        <v>6</v>
      </c>
      <c r="R17" s="270">
        <v>15</v>
      </c>
      <c r="S17" s="270">
        <v>30</v>
      </c>
      <c r="T17" s="270">
        <v>20</v>
      </c>
      <c r="U17" s="270">
        <v>19</v>
      </c>
      <c r="V17" s="270">
        <v>4</v>
      </c>
      <c r="W17" s="270">
        <v>11</v>
      </c>
      <c r="Y17" s="728">
        <f t="shared" si="5"/>
        <v>21</v>
      </c>
      <c r="Z17" s="728">
        <f t="shared" si="6"/>
        <v>50</v>
      </c>
      <c r="AA17" s="728">
        <f t="shared" si="7"/>
        <v>23</v>
      </c>
    </row>
    <row r="18" spans="1:27" x14ac:dyDescent="0.25">
      <c r="A18" s="688" t="s">
        <v>38</v>
      </c>
      <c r="B18" s="190" t="s">
        <v>39</v>
      </c>
      <c r="C18" s="698" t="s">
        <v>268</v>
      </c>
      <c r="D18" s="616">
        <v>330</v>
      </c>
      <c r="E18" s="617">
        <v>327</v>
      </c>
      <c r="F18" s="617">
        <v>9</v>
      </c>
      <c r="G18" s="617">
        <v>0</v>
      </c>
      <c r="H18" s="617">
        <v>1</v>
      </c>
      <c r="I18" s="617">
        <v>0</v>
      </c>
      <c r="J18" s="617">
        <v>0</v>
      </c>
      <c r="K18" s="617">
        <v>1</v>
      </c>
      <c r="L18" s="270"/>
      <c r="M18" s="692">
        <f t="shared" si="2"/>
        <v>327</v>
      </c>
      <c r="N18" s="693">
        <f t="shared" si="3"/>
        <v>9</v>
      </c>
      <c r="O18" s="693">
        <f t="shared" si="4"/>
        <v>1</v>
      </c>
      <c r="Q18" s="270">
        <v>19</v>
      </c>
      <c r="R18" s="270">
        <v>63</v>
      </c>
      <c r="S18" s="270">
        <v>89</v>
      </c>
      <c r="T18" s="270">
        <v>62</v>
      </c>
      <c r="U18" s="270">
        <v>66</v>
      </c>
      <c r="V18" s="270">
        <v>21</v>
      </c>
      <c r="W18" s="270">
        <v>10</v>
      </c>
      <c r="Y18" s="728">
        <f t="shared" si="5"/>
        <v>82</v>
      </c>
      <c r="Z18" s="728">
        <f t="shared" si="6"/>
        <v>151</v>
      </c>
      <c r="AA18" s="728">
        <f t="shared" si="7"/>
        <v>87</v>
      </c>
    </row>
    <row r="19" spans="1:27" x14ac:dyDescent="0.25">
      <c r="A19" s="688" t="s">
        <v>40</v>
      </c>
      <c r="B19" s="190" t="s">
        <v>41</v>
      </c>
      <c r="C19" s="698" t="s">
        <v>266</v>
      </c>
      <c r="D19" s="616">
        <v>227</v>
      </c>
      <c r="E19" s="617">
        <v>167</v>
      </c>
      <c r="F19" s="617">
        <v>63</v>
      </c>
      <c r="G19" s="617">
        <v>0</v>
      </c>
      <c r="H19" s="617">
        <v>1</v>
      </c>
      <c r="I19" s="617">
        <v>0</v>
      </c>
      <c r="J19" s="617">
        <v>1</v>
      </c>
      <c r="K19" s="617">
        <v>11</v>
      </c>
      <c r="L19" s="270"/>
      <c r="M19" s="692">
        <f t="shared" si="2"/>
        <v>167</v>
      </c>
      <c r="N19" s="693">
        <f t="shared" si="3"/>
        <v>63</v>
      </c>
      <c r="O19" s="693">
        <f t="shared" si="4"/>
        <v>1</v>
      </c>
      <c r="Q19" s="270">
        <v>10</v>
      </c>
      <c r="R19" s="270">
        <v>43</v>
      </c>
      <c r="S19" s="270">
        <v>44</v>
      </c>
      <c r="T19" s="270">
        <v>48</v>
      </c>
      <c r="U19" s="270">
        <v>51</v>
      </c>
      <c r="V19" s="270">
        <v>18</v>
      </c>
      <c r="W19" s="270">
        <v>13</v>
      </c>
      <c r="Y19" s="728">
        <f t="shared" si="5"/>
        <v>53</v>
      </c>
      <c r="Z19" s="728">
        <f t="shared" si="6"/>
        <v>92</v>
      </c>
      <c r="AA19" s="728">
        <f t="shared" si="7"/>
        <v>69</v>
      </c>
    </row>
    <row r="20" spans="1:27" x14ac:dyDescent="0.25">
      <c r="A20" s="688" t="s">
        <v>42</v>
      </c>
      <c r="B20" s="190" t="s">
        <v>43</v>
      </c>
      <c r="C20" s="698" t="s">
        <v>265</v>
      </c>
      <c r="D20" s="616">
        <v>1539</v>
      </c>
      <c r="E20" s="617">
        <v>1333</v>
      </c>
      <c r="F20" s="617">
        <v>268</v>
      </c>
      <c r="G20" s="617">
        <v>7</v>
      </c>
      <c r="H20" s="617">
        <v>3</v>
      </c>
      <c r="I20" s="617">
        <v>5</v>
      </c>
      <c r="J20" s="617">
        <v>1</v>
      </c>
      <c r="K20" s="617">
        <v>67</v>
      </c>
      <c r="L20" s="270"/>
      <c r="M20" s="692">
        <f t="shared" si="2"/>
        <v>1333</v>
      </c>
      <c r="N20" s="693">
        <f t="shared" si="3"/>
        <v>268</v>
      </c>
      <c r="O20" s="693">
        <f t="shared" si="4"/>
        <v>15</v>
      </c>
      <c r="Q20" s="270">
        <v>96</v>
      </c>
      <c r="R20" s="270">
        <v>215</v>
      </c>
      <c r="S20" s="270">
        <v>384</v>
      </c>
      <c r="T20" s="270">
        <v>326</v>
      </c>
      <c r="U20" s="270">
        <v>291</v>
      </c>
      <c r="V20" s="270">
        <v>128</v>
      </c>
      <c r="W20" s="270">
        <v>99</v>
      </c>
      <c r="Y20" s="728">
        <f t="shared" si="5"/>
        <v>311</v>
      </c>
      <c r="Z20" s="728">
        <f t="shared" si="6"/>
        <v>710</v>
      </c>
      <c r="AA20" s="728">
        <f t="shared" si="7"/>
        <v>419</v>
      </c>
    </row>
    <row r="21" spans="1:27" x14ac:dyDescent="0.25">
      <c r="A21" s="688" t="s">
        <v>44</v>
      </c>
      <c r="B21" s="190" t="s">
        <v>45</v>
      </c>
      <c r="C21" s="698" t="s">
        <v>266</v>
      </c>
      <c r="D21" s="616">
        <v>438</v>
      </c>
      <c r="E21" s="617">
        <v>284</v>
      </c>
      <c r="F21" s="617">
        <v>141</v>
      </c>
      <c r="G21" s="617">
        <v>0</v>
      </c>
      <c r="H21" s="617">
        <v>3</v>
      </c>
      <c r="I21" s="617">
        <v>0</v>
      </c>
      <c r="J21" s="617">
        <v>2</v>
      </c>
      <c r="K21" s="617">
        <v>9</v>
      </c>
      <c r="L21" s="270"/>
      <c r="M21" s="692">
        <f t="shared" si="2"/>
        <v>284</v>
      </c>
      <c r="N21" s="693">
        <f t="shared" si="3"/>
        <v>141</v>
      </c>
      <c r="O21" s="693">
        <f t="shared" si="4"/>
        <v>3</v>
      </c>
      <c r="Q21" s="270">
        <v>26</v>
      </c>
      <c r="R21" s="270">
        <v>63</v>
      </c>
      <c r="S21" s="270">
        <v>105</v>
      </c>
      <c r="T21" s="270">
        <v>80</v>
      </c>
      <c r="U21" s="270">
        <v>96</v>
      </c>
      <c r="V21" s="270">
        <v>36</v>
      </c>
      <c r="W21" s="270">
        <v>32</v>
      </c>
      <c r="Y21" s="728">
        <f t="shared" si="5"/>
        <v>89</v>
      </c>
      <c r="Z21" s="728">
        <f t="shared" si="6"/>
        <v>185</v>
      </c>
      <c r="AA21" s="728">
        <f t="shared" si="7"/>
        <v>132</v>
      </c>
    </row>
    <row r="22" spans="1:27" x14ac:dyDescent="0.25">
      <c r="A22" s="688" t="s">
        <v>46</v>
      </c>
      <c r="B22" s="190" t="s">
        <v>47</v>
      </c>
      <c r="C22" s="698" t="s">
        <v>268</v>
      </c>
      <c r="D22" s="616">
        <v>638</v>
      </c>
      <c r="E22" s="617">
        <v>634</v>
      </c>
      <c r="F22" s="617">
        <v>5</v>
      </c>
      <c r="G22" s="617">
        <v>0</v>
      </c>
      <c r="H22" s="617">
        <v>0</v>
      </c>
      <c r="I22" s="617">
        <v>0</v>
      </c>
      <c r="J22" s="617">
        <v>0</v>
      </c>
      <c r="K22" s="617">
        <v>45</v>
      </c>
      <c r="L22" s="270"/>
      <c r="M22" s="692">
        <f t="shared" si="2"/>
        <v>634</v>
      </c>
      <c r="N22" s="693">
        <f t="shared" si="3"/>
        <v>5</v>
      </c>
      <c r="O22" s="693">
        <f t="shared" si="4"/>
        <v>0</v>
      </c>
      <c r="Q22" s="270">
        <v>51</v>
      </c>
      <c r="R22" s="270">
        <v>115</v>
      </c>
      <c r="S22" s="270">
        <v>134</v>
      </c>
      <c r="T22" s="270">
        <v>127</v>
      </c>
      <c r="U22" s="270">
        <v>129</v>
      </c>
      <c r="V22" s="270">
        <v>58</v>
      </c>
      <c r="W22" s="270">
        <v>24</v>
      </c>
      <c r="Y22" s="728">
        <f t="shared" si="5"/>
        <v>166</v>
      </c>
      <c r="Z22" s="728">
        <f t="shared" si="6"/>
        <v>261</v>
      </c>
      <c r="AA22" s="728">
        <f t="shared" si="7"/>
        <v>187</v>
      </c>
    </row>
    <row r="23" spans="1:27" x14ac:dyDescent="0.25">
      <c r="A23" s="688" t="s">
        <v>48</v>
      </c>
      <c r="B23" s="190" t="s">
        <v>269</v>
      </c>
      <c r="C23" s="698" t="s">
        <v>266</v>
      </c>
      <c r="D23" s="616">
        <v>18</v>
      </c>
      <c r="E23" s="617">
        <v>9</v>
      </c>
      <c r="F23" s="617">
        <v>11</v>
      </c>
      <c r="G23" s="617">
        <v>0</v>
      </c>
      <c r="H23" s="617">
        <v>0</v>
      </c>
      <c r="I23" s="617">
        <v>0</v>
      </c>
      <c r="J23" s="617">
        <v>0</v>
      </c>
      <c r="K23" s="617">
        <v>1</v>
      </c>
      <c r="L23" s="270"/>
      <c r="M23" s="692">
        <f t="shared" si="2"/>
        <v>9</v>
      </c>
      <c r="N23" s="693">
        <f t="shared" si="3"/>
        <v>11</v>
      </c>
      <c r="O23" s="693">
        <f t="shared" si="4"/>
        <v>0</v>
      </c>
      <c r="Q23" s="270">
        <v>2</v>
      </c>
      <c r="R23" s="270">
        <v>3</v>
      </c>
      <c r="S23" s="270">
        <v>6</v>
      </c>
      <c r="T23" s="270">
        <v>1</v>
      </c>
      <c r="U23" s="270">
        <v>1</v>
      </c>
      <c r="V23" s="270">
        <v>1</v>
      </c>
      <c r="W23" s="270">
        <v>4</v>
      </c>
      <c r="Y23" s="728">
        <f t="shared" si="5"/>
        <v>5</v>
      </c>
      <c r="Z23" s="728">
        <f t="shared" si="6"/>
        <v>7</v>
      </c>
      <c r="AA23" s="728">
        <f t="shared" si="7"/>
        <v>2</v>
      </c>
    </row>
    <row r="24" spans="1:27" x14ac:dyDescent="0.25">
      <c r="A24" s="688" t="s">
        <v>50</v>
      </c>
      <c r="B24" s="190" t="s">
        <v>51</v>
      </c>
      <c r="C24" s="698" t="s">
        <v>265</v>
      </c>
      <c r="D24" s="616">
        <v>113</v>
      </c>
      <c r="E24" s="617">
        <v>70</v>
      </c>
      <c r="F24" s="617">
        <v>52</v>
      </c>
      <c r="G24" s="617">
        <v>1</v>
      </c>
      <c r="H24" s="617">
        <v>0</v>
      </c>
      <c r="I24" s="617">
        <v>0</v>
      </c>
      <c r="J24" s="617">
        <v>0</v>
      </c>
      <c r="K24" s="617">
        <v>5</v>
      </c>
      <c r="L24" s="270"/>
      <c r="M24" s="692">
        <f t="shared" si="2"/>
        <v>70</v>
      </c>
      <c r="N24" s="693">
        <f t="shared" si="3"/>
        <v>52</v>
      </c>
      <c r="O24" s="693">
        <f t="shared" si="4"/>
        <v>1</v>
      </c>
      <c r="Q24" s="270">
        <v>3</v>
      </c>
      <c r="R24" s="270">
        <v>15</v>
      </c>
      <c r="S24" s="270">
        <v>30</v>
      </c>
      <c r="T24" s="270">
        <v>35</v>
      </c>
      <c r="U24" s="270">
        <v>18</v>
      </c>
      <c r="V24" s="270">
        <v>11</v>
      </c>
      <c r="W24" s="270">
        <v>1</v>
      </c>
      <c r="Y24" s="728">
        <f t="shared" si="5"/>
        <v>18</v>
      </c>
      <c r="Z24" s="728">
        <f t="shared" si="6"/>
        <v>65</v>
      </c>
      <c r="AA24" s="728">
        <f t="shared" si="7"/>
        <v>29</v>
      </c>
    </row>
    <row r="25" spans="1:27" x14ac:dyDescent="0.25">
      <c r="A25" s="688" t="s">
        <v>56</v>
      </c>
      <c r="B25" s="190" t="s">
        <v>295</v>
      </c>
      <c r="C25" s="698" t="s">
        <v>266</v>
      </c>
      <c r="D25" s="616">
        <v>2810</v>
      </c>
      <c r="E25" s="617">
        <v>1815</v>
      </c>
      <c r="F25" s="617">
        <v>914</v>
      </c>
      <c r="G25" s="617">
        <v>26</v>
      </c>
      <c r="H25" s="617">
        <v>12</v>
      </c>
      <c r="I25" s="617">
        <v>5</v>
      </c>
      <c r="J25" s="617">
        <v>6</v>
      </c>
      <c r="K25" s="617">
        <v>352</v>
      </c>
      <c r="L25" s="270"/>
      <c r="M25" s="692">
        <f t="shared" si="2"/>
        <v>1815</v>
      </c>
      <c r="N25" s="693">
        <f t="shared" si="3"/>
        <v>914</v>
      </c>
      <c r="O25" s="693">
        <f t="shared" si="4"/>
        <v>43</v>
      </c>
      <c r="Q25" s="270">
        <v>202</v>
      </c>
      <c r="R25" s="270">
        <v>331</v>
      </c>
      <c r="S25" s="270">
        <v>565</v>
      </c>
      <c r="T25" s="270">
        <v>547</v>
      </c>
      <c r="U25" s="270">
        <v>572</v>
      </c>
      <c r="V25" s="270">
        <v>226</v>
      </c>
      <c r="W25" s="270">
        <v>367</v>
      </c>
      <c r="Y25" s="728">
        <f t="shared" si="5"/>
        <v>533</v>
      </c>
      <c r="Z25" s="728">
        <f t="shared" si="6"/>
        <v>1112</v>
      </c>
      <c r="AA25" s="728">
        <f t="shared" si="7"/>
        <v>798</v>
      </c>
    </row>
    <row r="26" spans="1:27" x14ac:dyDescent="0.25">
      <c r="A26" s="688" t="s">
        <v>58</v>
      </c>
      <c r="B26" s="190" t="s">
        <v>59</v>
      </c>
      <c r="C26" s="698" t="s">
        <v>267</v>
      </c>
      <c r="D26" s="616">
        <v>176</v>
      </c>
      <c r="E26" s="617">
        <v>154</v>
      </c>
      <c r="F26" s="617">
        <v>12</v>
      </c>
      <c r="G26" s="617">
        <v>0</v>
      </c>
      <c r="H26" s="617">
        <v>0</v>
      </c>
      <c r="I26" s="617">
        <v>0</v>
      </c>
      <c r="J26" s="617">
        <v>0</v>
      </c>
      <c r="K26" s="617">
        <v>5</v>
      </c>
      <c r="L26" s="270"/>
      <c r="M26" s="692">
        <f t="shared" si="2"/>
        <v>154</v>
      </c>
      <c r="N26" s="693">
        <f t="shared" si="3"/>
        <v>12</v>
      </c>
      <c r="O26" s="693">
        <f t="shared" si="4"/>
        <v>0</v>
      </c>
      <c r="Q26" s="270">
        <v>15</v>
      </c>
      <c r="R26" s="270">
        <v>11</v>
      </c>
      <c r="S26" s="270">
        <v>36</v>
      </c>
      <c r="T26" s="270">
        <v>30</v>
      </c>
      <c r="U26" s="270">
        <v>37</v>
      </c>
      <c r="V26" s="270">
        <v>23</v>
      </c>
      <c r="W26" s="270">
        <v>24</v>
      </c>
      <c r="Y26" s="728">
        <f t="shared" si="5"/>
        <v>26</v>
      </c>
      <c r="Z26" s="728">
        <f t="shared" si="6"/>
        <v>66</v>
      </c>
      <c r="AA26" s="728">
        <f t="shared" si="7"/>
        <v>60</v>
      </c>
    </row>
    <row r="27" spans="1:27" x14ac:dyDescent="0.25">
      <c r="A27" s="688" t="s">
        <v>60</v>
      </c>
      <c r="B27" s="190" t="s">
        <v>61</v>
      </c>
      <c r="C27" s="698" t="s">
        <v>265</v>
      </c>
      <c r="D27" s="616">
        <v>82</v>
      </c>
      <c r="E27" s="617">
        <v>80</v>
      </c>
      <c r="F27" s="617">
        <v>4</v>
      </c>
      <c r="G27" s="617">
        <v>0</v>
      </c>
      <c r="H27" s="617">
        <v>0</v>
      </c>
      <c r="I27" s="617">
        <v>0</v>
      </c>
      <c r="J27" s="617">
        <v>0</v>
      </c>
      <c r="K27" s="617">
        <v>1</v>
      </c>
      <c r="L27" s="270"/>
      <c r="M27" s="692">
        <f t="shared" si="2"/>
        <v>80</v>
      </c>
      <c r="N27" s="693">
        <f t="shared" si="3"/>
        <v>4</v>
      </c>
      <c r="O27" s="693">
        <f t="shared" si="4"/>
        <v>0</v>
      </c>
      <c r="Q27" s="270">
        <v>1</v>
      </c>
      <c r="R27" s="270">
        <v>11</v>
      </c>
      <c r="S27" s="270">
        <v>15</v>
      </c>
      <c r="T27" s="270">
        <v>16</v>
      </c>
      <c r="U27" s="270">
        <v>21</v>
      </c>
      <c r="V27" s="270">
        <v>10</v>
      </c>
      <c r="W27" s="270">
        <v>8</v>
      </c>
      <c r="Y27" s="728">
        <f t="shared" si="5"/>
        <v>12</v>
      </c>
      <c r="Z27" s="728">
        <f t="shared" si="6"/>
        <v>31</v>
      </c>
      <c r="AA27" s="728">
        <f t="shared" si="7"/>
        <v>31</v>
      </c>
    </row>
    <row r="28" spans="1:27" x14ac:dyDescent="0.25">
      <c r="A28" s="688" t="s">
        <v>62</v>
      </c>
      <c r="B28" s="190" t="s">
        <v>63</v>
      </c>
      <c r="C28" s="698" t="s">
        <v>267</v>
      </c>
      <c r="D28" s="616">
        <v>733</v>
      </c>
      <c r="E28" s="617">
        <v>410</v>
      </c>
      <c r="F28" s="617">
        <v>149</v>
      </c>
      <c r="G28" s="617">
        <v>1</v>
      </c>
      <c r="H28" s="617">
        <v>0</v>
      </c>
      <c r="I28" s="617">
        <v>1</v>
      </c>
      <c r="J28" s="617">
        <v>1</v>
      </c>
      <c r="K28" s="617">
        <v>73</v>
      </c>
      <c r="L28" s="270"/>
      <c r="M28" s="692">
        <f t="shared" si="2"/>
        <v>410</v>
      </c>
      <c r="N28" s="693">
        <f t="shared" si="3"/>
        <v>149</v>
      </c>
      <c r="O28" s="693">
        <f t="shared" si="4"/>
        <v>2</v>
      </c>
      <c r="Q28" s="270">
        <v>58</v>
      </c>
      <c r="R28" s="270">
        <v>107</v>
      </c>
      <c r="S28" s="270">
        <v>125</v>
      </c>
      <c r="T28" s="270">
        <v>109</v>
      </c>
      <c r="U28" s="270">
        <v>110</v>
      </c>
      <c r="V28" s="270">
        <v>59</v>
      </c>
      <c r="W28" s="270">
        <v>165</v>
      </c>
      <c r="Y28" s="728">
        <f t="shared" si="5"/>
        <v>165</v>
      </c>
      <c r="Z28" s="728">
        <f t="shared" si="6"/>
        <v>234</v>
      </c>
      <c r="AA28" s="728">
        <f t="shared" si="7"/>
        <v>169</v>
      </c>
    </row>
    <row r="29" spans="1:27" x14ac:dyDescent="0.25">
      <c r="A29" s="688" t="s">
        <v>64</v>
      </c>
      <c r="B29" s="190" t="s">
        <v>65</v>
      </c>
      <c r="C29" s="698" t="s">
        <v>266</v>
      </c>
      <c r="D29" s="616">
        <v>137</v>
      </c>
      <c r="E29" s="617">
        <v>88</v>
      </c>
      <c r="F29" s="617">
        <v>48</v>
      </c>
      <c r="G29" s="617">
        <v>1</v>
      </c>
      <c r="H29" s="617">
        <v>0</v>
      </c>
      <c r="I29" s="617">
        <v>0</v>
      </c>
      <c r="J29" s="617">
        <v>0</v>
      </c>
      <c r="K29" s="617">
        <v>10</v>
      </c>
      <c r="L29" s="270"/>
      <c r="M29" s="692">
        <f t="shared" si="2"/>
        <v>88</v>
      </c>
      <c r="N29" s="693">
        <f t="shared" si="3"/>
        <v>48</v>
      </c>
      <c r="O29" s="693">
        <f t="shared" si="4"/>
        <v>1</v>
      </c>
      <c r="Q29" s="270">
        <v>11</v>
      </c>
      <c r="R29" s="270">
        <v>20</v>
      </c>
      <c r="S29" s="270">
        <v>48</v>
      </c>
      <c r="T29" s="270">
        <v>24</v>
      </c>
      <c r="U29" s="270">
        <v>19</v>
      </c>
      <c r="V29" s="270">
        <v>8</v>
      </c>
      <c r="W29" s="270">
        <v>7</v>
      </c>
      <c r="Y29" s="728">
        <f t="shared" si="5"/>
        <v>31</v>
      </c>
      <c r="Z29" s="728">
        <f t="shared" si="6"/>
        <v>72</v>
      </c>
      <c r="AA29" s="728">
        <f t="shared" si="7"/>
        <v>27</v>
      </c>
    </row>
    <row r="30" spans="1:27" x14ac:dyDescent="0.25">
      <c r="A30" s="688" t="s">
        <v>68</v>
      </c>
      <c r="B30" s="190" t="s">
        <v>69</v>
      </c>
      <c r="C30" s="698" t="s">
        <v>268</v>
      </c>
      <c r="D30" s="616">
        <v>480</v>
      </c>
      <c r="E30" s="617">
        <v>479</v>
      </c>
      <c r="F30" s="617">
        <v>6</v>
      </c>
      <c r="G30" s="617">
        <v>0</v>
      </c>
      <c r="H30" s="617">
        <v>0</v>
      </c>
      <c r="I30" s="617">
        <v>0</v>
      </c>
      <c r="J30" s="617">
        <v>0</v>
      </c>
      <c r="K30" s="617">
        <v>0</v>
      </c>
      <c r="L30" s="270"/>
      <c r="M30" s="692">
        <f t="shared" si="2"/>
        <v>479</v>
      </c>
      <c r="N30" s="693">
        <f t="shared" si="3"/>
        <v>6</v>
      </c>
      <c r="O30" s="693">
        <f t="shared" si="4"/>
        <v>0</v>
      </c>
      <c r="Q30" s="270">
        <v>42</v>
      </c>
      <c r="R30" s="270">
        <v>85</v>
      </c>
      <c r="S30" s="270">
        <v>131</v>
      </c>
      <c r="T30" s="270">
        <v>115</v>
      </c>
      <c r="U30" s="270">
        <v>59</v>
      </c>
      <c r="V30" s="270">
        <v>35</v>
      </c>
      <c r="W30" s="270">
        <v>13</v>
      </c>
      <c r="Y30" s="728">
        <f t="shared" si="5"/>
        <v>127</v>
      </c>
      <c r="Z30" s="728">
        <f t="shared" si="6"/>
        <v>246</v>
      </c>
      <c r="AA30" s="728">
        <f t="shared" si="7"/>
        <v>94</v>
      </c>
    </row>
    <row r="31" spans="1:27" x14ac:dyDescent="0.25">
      <c r="A31" s="688" t="s">
        <v>70</v>
      </c>
      <c r="B31" s="190" t="s">
        <v>71</v>
      </c>
      <c r="C31" s="698" t="s">
        <v>264</v>
      </c>
      <c r="D31" s="616">
        <v>166</v>
      </c>
      <c r="E31" s="617">
        <v>123</v>
      </c>
      <c r="F31" s="617">
        <v>51</v>
      </c>
      <c r="G31" s="617">
        <v>0</v>
      </c>
      <c r="H31" s="617">
        <v>1</v>
      </c>
      <c r="I31" s="617">
        <v>0</v>
      </c>
      <c r="J31" s="617">
        <v>0</v>
      </c>
      <c r="K31" s="617">
        <v>3</v>
      </c>
      <c r="L31" s="270"/>
      <c r="M31" s="692">
        <f t="shared" si="2"/>
        <v>123</v>
      </c>
      <c r="N31" s="693">
        <f t="shared" si="3"/>
        <v>51</v>
      </c>
      <c r="O31" s="693">
        <f t="shared" si="4"/>
        <v>1</v>
      </c>
      <c r="Q31" s="270">
        <v>10</v>
      </c>
      <c r="R31" s="270">
        <v>29</v>
      </c>
      <c r="S31" s="270">
        <v>50</v>
      </c>
      <c r="T31" s="270">
        <v>20</v>
      </c>
      <c r="U31" s="270">
        <v>25</v>
      </c>
      <c r="V31" s="270">
        <v>7</v>
      </c>
      <c r="W31" s="270">
        <v>25</v>
      </c>
      <c r="Y31" s="728">
        <f t="shared" si="5"/>
        <v>39</v>
      </c>
      <c r="Z31" s="728">
        <f t="shared" si="6"/>
        <v>70</v>
      </c>
      <c r="AA31" s="728">
        <f t="shared" si="7"/>
        <v>32</v>
      </c>
    </row>
    <row r="32" spans="1:27" x14ac:dyDescent="0.25">
      <c r="A32" s="688" t="s">
        <v>72</v>
      </c>
      <c r="B32" s="190" t="s">
        <v>73</v>
      </c>
      <c r="C32" s="698" t="s">
        <v>266</v>
      </c>
      <c r="D32" s="616">
        <v>167</v>
      </c>
      <c r="E32" s="617">
        <v>66</v>
      </c>
      <c r="F32" s="617">
        <v>83</v>
      </c>
      <c r="G32" s="617">
        <v>2</v>
      </c>
      <c r="H32" s="617">
        <v>1</v>
      </c>
      <c r="I32" s="617">
        <v>0</v>
      </c>
      <c r="J32" s="617">
        <v>0</v>
      </c>
      <c r="K32" s="617">
        <v>1</v>
      </c>
      <c r="L32" s="270"/>
      <c r="M32" s="692">
        <f t="shared" si="2"/>
        <v>66</v>
      </c>
      <c r="N32" s="693">
        <f t="shared" si="3"/>
        <v>83</v>
      </c>
      <c r="O32" s="693">
        <f t="shared" si="4"/>
        <v>3</v>
      </c>
      <c r="Q32" s="270">
        <v>9</v>
      </c>
      <c r="R32" s="270">
        <v>15</v>
      </c>
      <c r="S32" s="270">
        <v>37</v>
      </c>
      <c r="T32" s="270">
        <v>32</v>
      </c>
      <c r="U32" s="270">
        <v>29</v>
      </c>
      <c r="V32" s="270">
        <v>10</v>
      </c>
      <c r="W32" s="270">
        <v>35</v>
      </c>
      <c r="Y32" s="728">
        <f t="shared" si="5"/>
        <v>24</v>
      </c>
      <c r="Z32" s="728">
        <f t="shared" si="6"/>
        <v>69</v>
      </c>
      <c r="AA32" s="728">
        <f t="shared" si="7"/>
        <v>39</v>
      </c>
    </row>
    <row r="33" spans="1:27" x14ac:dyDescent="0.25">
      <c r="A33" s="688" t="s">
        <v>74</v>
      </c>
      <c r="B33" s="190" t="s">
        <v>296</v>
      </c>
      <c r="C33" s="698" t="s">
        <v>267</v>
      </c>
      <c r="D33" s="616">
        <v>7396</v>
      </c>
      <c r="E33" s="617">
        <v>4870</v>
      </c>
      <c r="F33" s="617">
        <v>1812</v>
      </c>
      <c r="G33" s="617">
        <v>571</v>
      </c>
      <c r="H33" s="617">
        <v>93</v>
      </c>
      <c r="I33" s="617">
        <v>19</v>
      </c>
      <c r="J33" s="617">
        <v>20</v>
      </c>
      <c r="K33" s="617">
        <v>2763</v>
      </c>
      <c r="L33" s="270"/>
      <c r="M33" s="692">
        <f t="shared" si="2"/>
        <v>4870</v>
      </c>
      <c r="N33" s="693">
        <f t="shared" si="3"/>
        <v>1812</v>
      </c>
      <c r="O33" s="693">
        <f t="shared" si="4"/>
        <v>683</v>
      </c>
      <c r="Q33" s="270">
        <v>314</v>
      </c>
      <c r="R33" s="270">
        <v>864</v>
      </c>
      <c r="S33" s="270">
        <v>1682</v>
      </c>
      <c r="T33" s="270">
        <v>1579</v>
      </c>
      <c r="U33" s="270">
        <v>1544</v>
      </c>
      <c r="V33" s="270">
        <v>713</v>
      </c>
      <c r="W33" s="270">
        <v>700</v>
      </c>
      <c r="Y33" s="728">
        <f t="shared" si="5"/>
        <v>1178</v>
      </c>
      <c r="Z33" s="728">
        <f t="shared" si="6"/>
        <v>3261</v>
      </c>
      <c r="AA33" s="728">
        <f t="shared" si="7"/>
        <v>2257</v>
      </c>
    </row>
    <row r="34" spans="1:27" x14ac:dyDescent="0.25">
      <c r="A34" s="688" t="s">
        <v>76</v>
      </c>
      <c r="B34" s="190" t="s">
        <v>77</v>
      </c>
      <c r="C34" s="698" t="s">
        <v>267</v>
      </c>
      <c r="D34" s="616">
        <v>611</v>
      </c>
      <c r="E34" s="617">
        <v>470</v>
      </c>
      <c r="F34" s="617">
        <v>137</v>
      </c>
      <c r="G34" s="617">
        <v>5</v>
      </c>
      <c r="H34" s="617">
        <v>2</v>
      </c>
      <c r="I34" s="617">
        <v>0</v>
      </c>
      <c r="J34" s="617">
        <v>0</v>
      </c>
      <c r="K34" s="617">
        <v>51</v>
      </c>
      <c r="L34" s="270"/>
      <c r="M34" s="692">
        <f t="shared" si="2"/>
        <v>470</v>
      </c>
      <c r="N34" s="693">
        <f t="shared" si="3"/>
        <v>137</v>
      </c>
      <c r="O34" s="693">
        <f t="shared" si="4"/>
        <v>7</v>
      </c>
      <c r="Q34" s="270">
        <v>47</v>
      </c>
      <c r="R34" s="270">
        <v>83</v>
      </c>
      <c r="S34" s="270">
        <v>105</v>
      </c>
      <c r="T34" s="270">
        <v>112</v>
      </c>
      <c r="U34" s="270">
        <v>134</v>
      </c>
      <c r="V34" s="270">
        <v>47</v>
      </c>
      <c r="W34" s="270">
        <v>83</v>
      </c>
      <c r="Y34" s="728">
        <f t="shared" si="5"/>
        <v>130</v>
      </c>
      <c r="Z34" s="728">
        <f t="shared" si="6"/>
        <v>217</v>
      </c>
      <c r="AA34" s="728">
        <f t="shared" si="7"/>
        <v>181</v>
      </c>
    </row>
    <row r="35" spans="1:27" x14ac:dyDescent="0.25">
      <c r="A35" s="688" t="s">
        <v>78</v>
      </c>
      <c r="B35" s="190" t="s">
        <v>79</v>
      </c>
      <c r="C35" s="698" t="s">
        <v>268</v>
      </c>
      <c r="D35" s="616">
        <v>193</v>
      </c>
      <c r="E35" s="617">
        <v>184</v>
      </c>
      <c r="F35" s="617">
        <v>10</v>
      </c>
      <c r="G35" s="617">
        <v>2</v>
      </c>
      <c r="H35" s="617">
        <v>0</v>
      </c>
      <c r="I35" s="617">
        <v>0</v>
      </c>
      <c r="J35" s="617">
        <v>0</v>
      </c>
      <c r="K35" s="617">
        <v>7</v>
      </c>
      <c r="L35" s="270"/>
      <c r="M35" s="692">
        <f t="shared" si="2"/>
        <v>184</v>
      </c>
      <c r="N35" s="693">
        <f t="shared" si="3"/>
        <v>10</v>
      </c>
      <c r="O35" s="693">
        <f t="shared" si="4"/>
        <v>2</v>
      </c>
      <c r="Q35" s="270">
        <v>16</v>
      </c>
      <c r="R35" s="270">
        <v>33</v>
      </c>
      <c r="S35" s="270">
        <v>49</v>
      </c>
      <c r="T35" s="270">
        <v>36</v>
      </c>
      <c r="U35" s="270">
        <v>33</v>
      </c>
      <c r="V35" s="270">
        <v>7</v>
      </c>
      <c r="W35" s="270">
        <v>19</v>
      </c>
      <c r="Y35" s="728">
        <f t="shared" si="5"/>
        <v>49</v>
      </c>
      <c r="Z35" s="728">
        <f t="shared" si="6"/>
        <v>85</v>
      </c>
      <c r="AA35" s="728">
        <f t="shared" si="7"/>
        <v>40</v>
      </c>
    </row>
    <row r="36" spans="1:27" x14ac:dyDescent="0.25">
      <c r="A36" s="688" t="s">
        <v>80</v>
      </c>
      <c r="B36" s="190" t="s">
        <v>81</v>
      </c>
      <c r="C36" s="698" t="s">
        <v>266</v>
      </c>
      <c r="D36" s="616">
        <v>315</v>
      </c>
      <c r="E36" s="617">
        <v>249</v>
      </c>
      <c r="F36" s="617">
        <v>68</v>
      </c>
      <c r="G36" s="617">
        <v>0</v>
      </c>
      <c r="H36" s="617">
        <v>2</v>
      </c>
      <c r="I36" s="617">
        <v>0</v>
      </c>
      <c r="J36" s="617">
        <v>0</v>
      </c>
      <c r="K36" s="617">
        <v>20</v>
      </c>
      <c r="L36" s="270"/>
      <c r="M36" s="692">
        <f t="shared" si="2"/>
        <v>249</v>
      </c>
      <c r="N36" s="693">
        <f t="shared" si="3"/>
        <v>68</v>
      </c>
      <c r="O36" s="693">
        <f t="shared" si="4"/>
        <v>2</v>
      </c>
      <c r="Q36" s="270">
        <v>36</v>
      </c>
      <c r="R36" s="270">
        <v>46</v>
      </c>
      <c r="S36" s="270">
        <v>55</v>
      </c>
      <c r="T36" s="270">
        <v>84</v>
      </c>
      <c r="U36" s="270">
        <v>50</v>
      </c>
      <c r="V36" s="270">
        <v>18</v>
      </c>
      <c r="W36" s="270">
        <v>26</v>
      </c>
      <c r="Y36" s="728">
        <f t="shared" si="5"/>
        <v>82</v>
      </c>
      <c r="Z36" s="728">
        <f t="shared" si="6"/>
        <v>139</v>
      </c>
      <c r="AA36" s="728">
        <f t="shared" si="7"/>
        <v>68</v>
      </c>
    </row>
    <row r="37" spans="1:27" x14ac:dyDescent="0.25">
      <c r="A37" s="688" t="s">
        <v>84</v>
      </c>
      <c r="B37" s="190" t="s">
        <v>85</v>
      </c>
      <c r="C37" s="698" t="s">
        <v>265</v>
      </c>
      <c r="D37" s="616">
        <v>1471</v>
      </c>
      <c r="E37" s="617">
        <v>1164</v>
      </c>
      <c r="F37" s="617">
        <v>178</v>
      </c>
      <c r="G37" s="617">
        <v>0</v>
      </c>
      <c r="H37" s="617">
        <v>2</v>
      </c>
      <c r="I37" s="617">
        <v>1</v>
      </c>
      <c r="J37" s="617">
        <v>1</v>
      </c>
      <c r="K37" s="617">
        <v>112</v>
      </c>
      <c r="L37" s="270"/>
      <c r="M37" s="692">
        <f t="shared" ref="M37:M68" si="8">E37</f>
        <v>1164</v>
      </c>
      <c r="N37" s="693">
        <f t="shared" ref="N37:N68" si="9">F37</f>
        <v>178</v>
      </c>
      <c r="O37" s="693">
        <f t="shared" ref="O37:O68" si="10">SUM(G37:I37)</f>
        <v>3</v>
      </c>
      <c r="Q37" s="270">
        <v>98</v>
      </c>
      <c r="R37" s="270">
        <v>244</v>
      </c>
      <c r="S37" s="270">
        <v>341</v>
      </c>
      <c r="T37" s="270">
        <v>292</v>
      </c>
      <c r="U37" s="270">
        <v>221</v>
      </c>
      <c r="V37" s="270">
        <v>81</v>
      </c>
      <c r="W37" s="270">
        <v>194</v>
      </c>
      <c r="Y37" s="728">
        <f t="shared" ref="Y37:Y68" si="11">Q37+R37</f>
        <v>342</v>
      </c>
      <c r="Z37" s="728">
        <f t="shared" ref="Z37:Z68" si="12">S37+T37</f>
        <v>633</v>
      </c>
      <c r="AA37" s="728">
        <f t="shared" ref="AA37:AA68" si="13">U37+V37</f>
        <v>302</v>
      </c>
    </row>
    <row r="38" spans="1:27" x14ac:dyDescent="0.25">
      <c r="A38" s="688" t="s">
        <v>86</v>
      </c>
      <c r="B38" s="190" t="s">
        <v>87</v>
      </c>
      <c r="C38" s="698" t="s">
        <v>267</v>
      </c>
      <c r="D38" s="616">
        <v>1412</v>
      </c>
      <c r="E38" s="617">
        <v>980</v>
      </c>
      <c r="F38" s="617">
        <v>111</v>
      </c>
      <c r="G38" s="617">
        <v>13</v>
      </c>
      <c r="H38" s="617">
        <v>1</v>
      </c>
      <c r="I38" s="617">
        <v>0</v>
      </c>
      <c r="J38" s="617">
        <v>6</v>
      </c>
      <c r="K38" s="617">
        <v>125</v>
      </c>
      <c r="L38" s="270"/>
      <c r="M38" s="692">
        <f t="shared" si="8"/>
        <v>980</v>
      </c>
      <c r="N38" s="693">
        <f t="shared" si="9"/>
        <v>111</v>
      </c>
      <c r="O38" s="693">
        <f t="shared" si="10"/>
        <v>14</v>
      </c>
      <c r="Q38" s="270">
        <v>149</v>
      </c>
      <c r="R38" s="270">
        <v>170</v>
      </c>
      <c r="S38" s="270">
        <v>269</v>
      </c>
      <c r="T38" s="270">
        <v>300</v>
      </c>
      <c r="U38" s="270">
        <v>245</v>
      </c>
      <c r="V38" s="270">
        <v>118</v>
      </c>
      <c r="W38" s="270">
        <v>161</v>
      </c>
      <c r="Y38" s="728">
        <f t="shared" si="11"/>
        <v>319</v>
      </c>
      <c r="Z38" s="728">
        <f t="shared" si="12"/>
        <v>569</v>
      </c>
      <c r="AA38" s="728">
        <f t="shared" si="13"/>
        <v>363</v>
      </c>
    </row>
    <row r="39" spans="1:27" x14ac:dyDescent="0.25">
      <c r="A39" s="688" t="s">
        <v>92</v>
      </c>
      <c r="B39" s="190" t="s">
        <v>93</v>
      </c>
      <c r="C39" s="698" t="s">
        <v>268</v>
      </c>
      <c r="D39" s="616">
        <v>386</v>
      </c>
      <c r="E39" s="617">
        <v>374</v>
      </c>
      <c r="F39" s="617">
        <v>6</v>
      </c>
      <c r="G39" s="617">
        <v>0</v>
      </c>
      <c r="H39" s="617">
        <v>2</v>
      </c>
      <c r="I39" s="617">
        <v>0</v>
      </c>
      <c r="J39" s="617">
        <v>2</v>
      </c>
      <c r="K39" s="617">
        <v>15</v>
      </c>
      <c r="L39" s="270"/>
      <c r="M39" s="692">
        <f t="shared" si="8"/>
        <v>374</v>
      </c>
      <c r="N39" s="693">
        <f t="shared" si="9"/>
        <v>6</v>
      </c>
      <c r="O39" s="693">
        <f t="shared" si="10"/>
        <v>2</v>
      </c>
      <c r="Q39" s="270">
        <v>29</v>
      </c>
      <c r="R39" s="270">
        <v>68</v>
      </c>
      <c r="S39" s="270">
        <v>95</v>
      </c>
      <c r="T39" s="270">
        <v>66</v>
      </c>
      <c r="U39" s="270">
        <v>80</v>
      </c>
      <c r="V39" s="270">
        <v>34</v>
      </c>
      <c r="W39" s="270">
        <v>14</v>
      </c>
      <c r="Y39" s="728">
        <f t="shared" si="11"/>
        <v>97</v>
      </c>
      <c r="Z39" s="728">
        <f t="shared" si="12"/>
        <v>161</v>
      </c>
      <c r="AA39" s="728">
        <f t="shared" si="13"/>
        <v>114</v>
      </c>
    </row>
    <row r="40" spans="1:27" x14ac:dyDescent="0.25">
      <c r="A40" s="688" t="s">
        <v>94</v>
      </c>
      <c r="B40" s="190" t="s">
        <v>95</v>
      </c>
      <c r="C40" s="698" t="s">
        <v>264</v>
      </c>
      <c r="D40" s="616">
        <v>736</v>
      </c>
      <c r="E40" s="617">
        <v>596</v>
      </c>
      <c r="F40" s="617">
        <v>85</v>
      </c>
      <c r="G40" s="617">
        <v>2</v>
      </c>
      <c r="H40" s="617">
        <v>2</v>
      </c>
      <c r="I40" s="617">
        <v>1</v>
      </c>
      <c r="J40" s="617">
        <v>5</v>
      </c>
      <c r="K40" s="617">
        <v>30</v>
      </c>
      <c r="L40" s="270"/>
      <c r="M40" s="692">
        <f t="shared" si="8"/>
        <v>596</v>
      </c>
      <c r="N40" s="693">
        <f t="shared" si="9"/>
        <v>85</v>
      </c>
      <c r="O40" s="693">
        <f t="shared" si="10"/>
        <v>5</v>
      </c>
      <c r="Q40" s="270">
        <v>48</v>
      </c>
      <c r="R40" s="270">
        <v>125</v>
      </c>
      <c r="S40" s="270">
        <v>174</v>
      </c>
      <c r="T40" s="270">
        <v>131</v>
      </c>
      <c r="U40" s="270">
        <v>125</v>
      </c>
      <c r="V40" s="270">
        <v>49</v>
      </c>
      <c r="W40" s="270">
        <v>84</v>
      </c>
      <c r="Y40" s="728">
        <f t="shared" si="11"/>
        <v>173</v>
      </c>
      <c r="Z40" s="728">
        <f t="shared" si="12"/>
        <v>305</v>
      </c>
      <c r="AA40" s="728">
        <f t="shared" si="13"/>
        <v>174</v>
      </c>
    </row>
    <row r="41" spans="1:27" x14ac:dyDescent="0.25">
      <c r="A41" s="688" t="s">
        <v>96</v>
      </c>
      <c r="B41" s="190" t="s">
        <v>97</v>
      </c>
      <c r="C41" s="698" t="s">
        <v>266</v>
      </c>
      <c r="D41" s="616">
        <v>98</v>
      </c>
      <c r="E41" s="617">
        <v>61</v>
      </c>
      <c r="F41" s="617">
        <v>30</v>
      </c>
      <c r="G41" s="617">
        <v>0</v>
      </c>
      <c r="H41" s="617">
        <v>0</v>
      </c>
      <c r="I41" s="617">
        <v>0</v>
      </c>
      <c r="J41" s="617">
        <v>0</v>
      </c>
      <c r="K41" s="617">
        <v>1</v>
      </c>
      <c r="L41" s="270"/>
      <c r="M41" s="692">
        <f t="shared" si="8"/>
        <v>61</v>
      </c>
      <c r="N41" s="693">
        <f t="shared" si="9"/>
        <v>30</v>
      </c>
      <c r="O41" s="693">
        <f t="shared" si="10"/>
        <v>0</v>
      </c>
      <c r="Q41" s="270">
        <v>8</v>
      </c>
      <c r="R41" s="270">
        <v>12</v>
      </c>
      <c r="S41" s="270">
        <v>19</v>
      </c>
      <c r="T41" s="270">
        <v>19</v>
      </c>
      <c r="U41" s="270">
        <v>27</v>
      </c>
      <c r="V41" s="270">
        <v>10</v>
      </c>
      <c r="W41" s="270">
        <v>3</v>
      </c>
      <c r="Y41" s="728">
        <f t="shared" si="11"/>
        <v>20</v>
      </c>
      <c r="Z41" s="728">
        <f t="shared" si="12"/>
        <v>38</v>
      </c>
      <c r="AA41" s="728">
        <f t="shared" si="13"/>
        <v>37</v>
      </c>
    </row>
    <row r="42" spans="1:27" x14ac:dyDescent="0.25">
      <c r="A42" s="688" t="s">
        <v>98</v>
      </c>
      <c r="B42" s="190" t="s">
        <v>99</v>
      </c>
      <c r="C42" s="698" t="s">
        <v>268</v>
      </c>
      <c r="D42" s="616">
        <v>335</v>
      </c>
      <c r="E42" s="617">
        <v>330</v>
      </c>
      <c r="F42" s="617">
        <v>4</v>
      </c>
      <c r="G42" s="617">
        <v>0</v>
      </c>
      <c r="H42" s="617">
        <v>0</v>
      </c>
      <c r="I42" s="617">
        <v>0</v>
      </c>
      <c r="J42" s="617">
        <v>1</v>
      </c>
      <c r="K42" s="617">
        <v>11</v>
      </c>
      <c r="L42" s="270"/>
      <c r="M42" s="692">
        <f t="shared" si="8"/>
        <v>330</v>
      </c>
      <c r="N42" s="693">
        <f t="shared" si="9"/>
        <v>4</v>
      </c>
      <c r="O42" s="693">
        <f t="shared" si="10"/>
        <v>0</v>
      </c>
      <c r="Q42" s="270">
        <v>17</v>
      </c>
      <c r="R42" s="270">
        <v>73</v>
      </c>
      <c r="S42" s="270">
        <v>85</v>
      </c>
      <c r="T42" s="270">
        <v>74</v>
      </c>
      <c r="U42" s="270">
        <v>58</v>
      </c>
      <c r="V42" s="270">
        <v>17</v>
      </c>
      <c r="W42" s="270">
        <v>11</v>
      </c>
      <c r="Y42" s="728">
        <f t="shared" si="11"/>
        <v>90</v>
      </c>
      <c r="Z42" s="728">
        <f t="shared" si="12"/>
        <v>159</v>
      </c>
      <c r="AA42" s="728">
        <f t="shared" si="13"/>
        <v>75</v>
      </c>
    </row>
    <row r="43" spans="1:27" x14ac:dyDescent="0.25">
      <c r="A43" s="688" t="s">
        <v>100</v>
      </c>
      <c r="B43" s="190" t="s">
        <v>101</v>
      </c>
      <c r="C43" s="698" t="s">
        <v>267</v>
      </c>
      <c r="D43" s="616">
        <v>168</v>
      </c>
      <c r="E43" s="617">
        <v>132</v>
      </c>
      <c r="F43" s="617">
        <v>24</v>
      </c>
      <c r="G43" s="617">
        <v>1</v>
      </c>
      <c r="H43" s="617">
        <v>1</v>
      </c>
      <c r="I43" s="617">
        <v>0</v>
      </c>
      <c r="J43" s="617">
        <v>0</v>
      </c>
      <c r="K43" s="617">
        <v>2</v>
      </c>
      <c r="L43" s="270"/>
      <c r="M43" s="692">
        <f t="shared" si="8"/>
        <v>132</v>
      </c>
      <c r="N43" s="693">
        <f t="shared" si="9"/>
        <v>24</v>
      </c>
      <c r="O43" s="693">
        <f t="shared" si="10"/>
        <v>2</v>
      </c>
      <c r="Q43" s="270">
        <v>8</v>
      </c>
      <c r="R43" s="270">
        <v>25</v>
      </c>
      <c r="S43" s="270">
        <v>50</v>
      </c>
      <c r="T43" s="270">
        <v>36</v>
      </c>
      <c r="U43" s="270">
        <v>28</v>
      </c>
      <c r="V43" s="270">
        <v>9</v>
      </c>
      <c r="W43" s="270">
        <v>12</v>
      </c>
      <c r="Y43" s="728">
        <f t="shared" si="11"/>
        <v>33</v>
      </c>
      <c r="Z43" s="728">
        <f t="shared" si="12"/>
        <v>86</v>
      </c>
      <c r="AA43" s="728">
        <f t="shared" si="13"/>
        <v>37</v>
      </c>
    </row>
    <row r="44" spans="1:27" x14ac:dyDescent="0.25">
      <c r="A44" s="688" t="s">
        <v>102</v>
      </c>
      <c r="B44" s="190" t="s">
        <v>282</v>
      </c>
      <c r="C44" s="698" t="s">
        <v>264</v>
      </c>
      <c r="D44" s="616">
        <v>242</v>
      </c>
      <c r="E44" s="617">
        <v>52</v>
      </c>
      <c r="F44" s="617">
        <v>165</v>
      </c>
      <c r="G44" s="617">
        <v>0</v>
      </c>
      <c r="H44" s="617">
        <v>0</v>
      </c>
      <c r="I44" s="617">
        <v>3</v>
      </c>
      <c r="J44" s="617">
        <v>0</v>
      </c>
      <c r="K44" s="617">
        <v>8</v>
      </c>
      <c r="L44" s="270"/>
      <c r="M44" s="692">
        <f t="shared" si="8"/>
        <v>52</v>
      </c>
      <c r="N44" s="693">
        <f t="shared" si="9"/>
        <v>165</v>
      </c>
      <c r="O44" s="693">
        <f t="shared" si="10"/>
        <v>3</v>
      </c>
      <c r="Q44" s="270">
        <v>26</v>
      </c>
      <c r="R44" s="270">
        <v>37</v>
      </c>
      <c r="S44" s="270">
        <v>56</v>
      </c>
      <c r="T44" s="270">
        <v>42</v>
      </c>
      <c r="U44" s="270">
        <v>39</v>
      </c>
      <c r="V44" s="270">
        <v>35</v>
      </c>
      <c r="W44" s="270">
        <v>7</v>
      </c>
      <c r="Y44" s="728">
        <f t="shared" si="11"/>
        <v>63</v>
      </c>
      <c r="Z44" s="728">
        <f t="shared" si="12"/>
        <v>98</v>
      </c>
      <c r="AA44" s="728">
        <f t="shared" si="13"/>
        <v>74</v>
      </c>
    </row>
    <row r="45" spans="1:27" x14ac:dyDescent="0.25">
      <c r="A45" s="688" t="s">
        <v>104</v>
      </c>
      <c r="B45" s="190" t="s">
        <v>105</v>
      </c>
      <c r="C45" s="698" t="s">
        <v>265</v>
      </c>
      <c r="D45" s="616">
        <v>431</v>
      </c>
      <c r="E45" s="617">
        <v>254</v>
      </c>
      <c r="F45" s="617">
        <v>206</v>
      </c>
      <c r="G45" s="617">
        <v>5</v>
      </c>
      <c r="H45" s="617">
        <v>1</v>
      </c>
      <c r="I45" s="617">
        <v>0</v>
      </c>
      <c r="J45" s="617">
        <v>0</v>
      </c>
      <c r="K45" s="617">
        <v>7</v>
      </c>
      <c r="L45" s="270"/>
      <c r="M45" s="692">
        <f t="shared" si="8"/>
        <v>254</v>
      </c>
      <c r="N45" s="693">
        <f t="shared" si="9"/>
        <v>206</v>
      </c>
      <c r="O45" s="693">
        <f t="shared" si="10"/>
        <v>6</v>
      </c>
      <c r="Q45" s="270">
        <v>51</v>
      </c>
      <c r="R45" s="270">
        <v>83</v>
      </c>
      <c r="S45" s="270">
        <v>101</v>
      </c>
      <c r="T45" s="270">
        <v>71</v>
      </c>
      <c r="U45" s="270">
        <v>57</v>
      </c>
      <c r="V45" s="270">
        <v>21</v>
      </c>
      <c r="W45" s="270">
        <v>47</v>
      </c>
      <c r="Y45" s="728">
        <f t="shared" si="11"/>
        <v>134</v>
      </c>
      <c r="Z45" s="728">
        <f t="shared" si="12"/>
        <v>172</v>
      </c>
      <c r="AA45" s="728">
        <f t="shared" si="13"/>
        <v>78</v>
      </c>
    </row>
    <row r="46" spans="1:27" x14ac:dyDescent="0.25">
      <c r="A46" s="688" t="s">
        <v>108</v>
      </c>
      <c r="B46" s="190" t="s">
        <v>109</v>
      </c>
      <c r="C46" s="698" t="s">
        <v>266</v>
      </c>
      <c r="D46" s="616">
        <v>702</v>
      </c>
      <c r="E46" s="617">
        <v>570</v>
      </c>
      <c r="F46" s="617">
        <v>166</v>
      </c>
      <c r="G46" s="617">
        <v>6</v>
      </c>
      <c r="H46" s="617">
        <v>2</v>
      </c>
      <c r="I46" s="617">
        <v>0</v>
      </c>
      <c r="J46" s="617">
        <v>1</v>
      </c>
      <c r="K46" s="617">
        <v>23</v>
      </c>
      <c r="L46" s="270"/>
      <c r="M46" s="692">
        <f t="shared" si="8"/>
        <v>570</v>
      </c>
      <c r="N46" s="693">
        <f t="shared" si="9"/>
        <v>166</v>
      </c>
      <c r="O46" s="693">
        <f t="shared" si="10"/>
        <v>8</v>
      </c>
      <c r="Q46" s="270">
        <v>39</v>
      </c>
      <c r="R46" s="270">
        <v>83</v>
      </c>
      <c r="S46" s="270">
        <v>113</v>
      </c>
      <c r="T46" s="270">
        <v>134</v>
      </c>
      <c r="U46" s="270">
        <v>157</v>
      </c>
      <c r="V46" s="270">
        <v>85</v>
      </c>
      <c r="W46" s="270">
        <v>91</v>
      </c>
      <c r="Y46" s="728">
        <f t="shared" si="11"/>
        <v>122</v>
      </c>
      <c r="Z46" s="728">
        <f t="shared" si="12"/>
        <v>247</v>
      </c>
      <c r="AA46" s="728">
        <f t="shared" si="13"/>
        <v>242</v>
      </c>
    </row>
    <row r="47" spans="1:27" x14ac:dyDescent="0.25">
      <c r="A47" s="688" t="s">
        <v>110</v>
      </c>
      <c r="B47" s="190" t="s">
        <v>111</v>
      </c>
      <c r="C47" s="698" t="s">
        <v>266</v>
      </c>
      <c r="D47" s="616">
        <v>3383</v>
      </c>
      <c r="E47" s="617">
        <v>1444</v>
      </c>
      <c r="F47" s="617">
        <v>1851</v>
      </c>
      <c r="G47" s="617">
        <v>87</v>
      </c>
      <c r="H47" s="617">
        <v>22</v>
      </c>
      <c r="I47" s="617">
        <v>4</v>
      </c>
      <c r="J47" s="617">
        <v>8</v>
      </c>
      <c r="K47" s="617">
        <v>290</v>
      </c>
      <c r="L47" s="270"/>
      <c r="M47" s="692">
        <f t="shared" si="8"/>
        <v>1444</v>
      </c>
      <c r="N47" s="693">
        <f t="shared" si="9"/>
        <v>1851</v>
      </c>
      <c r="O47" s="693">
        <f t="shared" si="10"/>
        <v>113</v>
      </c>
      <c r="Q47" s="270">
        <v>280</v>
      </c>
      <c r="R47" s="270">
        <v>476</v>
      </c>
      <c r="S47" s="270">
        <v>756</v>
      </c>
      <c r="T47" s="270">
        <v>716</v>
      </c>
      <c r="U47" s="270">
        <v>643</v>
      </c>
      <c r="V47" s="270">
        <v>305</v>
      </c>
      <c r="W47" s="270">
        <v>207</v>
      </c>
      <c r="Y47" s="728">
        <f t="shared" si="11"/>
        <v>756</v>
      </c>
      <c r="Z47" s="728">
        <f t="shared" si="12"/>
        <v>1472</v>
      </c>
      <c r="AA47" s="728">
        <f t="shared" si="13"/>
        <v>948</v>
      </c>
    </row>
    <row r="48" spans="1:27" x14ac:dyDescent="0.25">
      <c r="A48" s="688" t="s">
        <v>112</v>
      </c>
      <c r="B48" s="190" t="s">
        <v>300</v>
      </c>
      <c r="C48" s="698" t="s">
        <v>265</v>
      </c>
      <c r="D48" s="616">
        <v>1274</v>
      </c>
      <c r="E48" s="617">
        <v>904</v>
      </c>
      <c r="F48" s="617">
        <v>346</v>
      </c>
      <c r="G48" s="617">
        <v>1</v>
      </c>
      <c r="H48" s="617">
        <v>0</v>
      </c>
      <c r="I48" s="617">
        <v>3</v>
      </c>
      <c r="J48" s="617">
        <v>5</v>
      </c>
      <c r="K48" s="617">
        <v>52</v>
      </c>
      <c r="L48" s="270"/>
      <c r="M48" s="692">
        <f t="shared" si="8"/>
        <v>904</v>
      </c>
      <c r="N48" s="693">
        <f t="shared" si="9"/>
        <v>346</v>
      </c>
      <c r="O48" s="693">
        <f t="shared" si="10"/>
        <v>4</v>
      </c>
      <c r="Q48" s="270">
        <v>125</v>
      </c>
      <c r="R48" s="270">
        <v>206</v>
      </c>
      <c r="S48" s="270">
        <v>265</v>
      </c>
      <c r="T48" s="270">
        <v>277</v>
      </c>
      <c r="U48" s="270">
        <v>170</v>
      </c>
      <c r="V48" s="270">
        <v>68</v>
      </c>
      <c r="W48" s="270">
        <v>163</v>
      </c>
      <c r="Y48" s="728">
        <f t="shared" si="11"/>
        <v>331</v>
      </c>
      <c r="Z48" s="728">
        <f t="shared" si="12"/>
        <v>542</v>
      </c>
      <c r="AA48" s="728">
        <f t="shared" si="13"/>
        <v>238</v>
      </c>
    </row>
    <row r="49" spans="1:27" x14ac:dyDescent="0.25">
      <c r="A49" s="688" t="s">
        <v>114</v>
      </c>
      <c r="B49" s="190" t="s">
        <v>115</v>
      </c>
      <c r="C49" s="698" t="s">
        <v>265</v>
      </c>
      <c r="D49" s="616">
        <v>33</v>
      </c>
      <c r="E49" s="617">
        <v>29</v>
      </c>
      <c r="F49" s="617">
        <v>0</v>
      </c>
      <c r="G49" s="617">
        <v>0</v>
      </c>
      <c r="H49" s="617">
        <v>1</v>
      </c>
      <c r="I49" s="617">
        <v>0</v>
      </c>
      <c r="J49" s="617">
        <v>0</v>
      </c>
      <c r="K49" s="617">
        <v>1</v>
      </c>
      <c r="L49" s="270"/>
      <c r="M49" s="692">
        <f t="shared" si="8"/>
        <v>29</v>
      </c>
      <c r="N49" s="693">
        <f t="shared" si="9"/>
        <v>0</v>
      </c>
      <c r="O49" s="693">
        <f t="shared" si="10"/>
        <v>1</v>
      </c>
      <c r="Q49" s="270">
        <v>3</v>
      </c>
      <c r="R49" s="270">
        <v>3</v>
      </c>
      <c r="S49" s="270">
        <v>7</v>
      </c>
      <c r="T49" s="270">
        <v>9</v>
      </c>
      <c r="U49" s="270">
        <v>1</v>
      </c>
      <c r="V49" s="270">
        <v>5</v>
      </c>
      <c r="W49" s="270">
        <v>5</v>
      </c>
      <c r="Y49" s="728">
        <f t="shared" si="11"/>
        <v>6</v>
      </c>
      <c r="Z49" s="728">
        <f t="shared" si="12"/>
        <v>16</v>
      </c>
      <c r="AA49" s="728">
        <f t="shared" si="13"/>
        <v>6</v>
      </c>
    </row>
    <row r="50" spans="1:27" x14ac:dyDescent="0.25">
      <c r="A50" s="688" t="s">
        <v>118</v>
      </c>
      <c r="B50" s="190" t="s">
        <v>270</v>
      </c>
      <c r="C50" s="698" t="s">
        <v>264</v>
      </c>
      <c r="D50" s="616">
        <v>419</v>
      </c>
      <c r="E50" s="617">
        <v>293</v>
      </c>
      <c r="F50" s="617">
        <v>137</v>
      </c>
      <c r="G50" s="617">
        <v>0</v>
      </c>
      <c r="H50" s="617">
        <v>4</v>
      </c>
      <c r="I50" s="617">
        <v>0</v>
      </c>
      <c r="J50" s="617">
        <v>0</v>
      </c>
      <c r="K50" s="617">
        <v>5</v>
      </c>
      <c r="L50" s="270"/>
      <c r="M50" s="692">
        <f t="shared" si="8"/>
        <v>293</v>
      </c>
      <c r="N50" s="693">
        <f t="shared" si="9"/>
        <v>137</v>
      </c>
      <c r="O50" s="693">
        <f t="shared" si="10"/>
        <v>4</v>
      </c>
      <c r="Q50" s="270">
        <v>19</v>
      </c>
      <c r="R50" s="270">
        <v>63</v>
      </c>
      <c r="S50" s="270">
        <v>98</v>
      </c>
      <c r="T50" s="270">
        <v>87</v>
      </c>
      <c r="U50" s="270">
        <v>71</v>
      </c>
      <c r="V50" s="270">
        <v>24</v>
      </c>
      <c r="W50" s="270">
        <v>57</v>
      </c>
      <c r="Y50" s="728">
        <f t="shared" si="11"/>
        <v>82</v>
      </c>
      <c r="Z50" s="728">
        <f t="shared" si="12"/>
        <v>185</v>
      </c>
      <c r="AA50" s="728">
        <f t="shared" si="13"/>
        <v>95</v>
      </c>
    </row>
    <row r="51" spans="1:27" x14ac:dyDescent="0.25">
      <c r="A51" s="688" t="s">
        <v>120</v>
      </c>
      <c r="B51" s="190" t="s">
        <v>121</v>
      </c>
      <c r="C51" s="698" t="s">
        <v>264</v>
      </c>
      <c r="D51" s="616">
        <v>725</v>
      </c>
      <c r="E51" s="617">
        <v>446</v>
      </c>
      <c r="F51" s="617">
        <v>238</v>
      </c>
      <c r="G51" s="617">
        <v>2</v>
      </c>
      <c r="H51" s="617">
        <v>0</v>
      </c>
      <c r="I51" s="617">
        <v>0</v>
      </c>
      <c r="J51" s="617">
        <v>0</v>
      </c>
      <c r="K51" s="617">
        <v>56</v>
      </c>
      <c r="L51" s="270"/>
      <c r="M51" s="692">
        <f t="shared" si="8"/>
        <v>446</v>
      </c>
      <c r="N51" s="693">
        <f t="shared" si="9"/>
        <v>238</v>
      </c>
      <c r="O51" s="693">
        <f t="shared" si="10"/>
        <v>2</v>
      </c>
      <c r="Q51" s="270">
        <v>33</v>
      </c>
      <c r="R51" s="270">
        <v>111</v>
      </c>
      <c r="S51" s="270">
        <v>163</v>
      </c>
      <c r="T51" s="270">
        <v>147</v>
      </c>
      <c r="U51" s="270">
        <v>158</v>
      </c>
      <c r="V51" s="270">
        <v>57</v>
      </c>
      <c r="W51" s="270">
        <v>56</v>
      </c>
      <c r="Y51" s="728">
        <f t="shared" si="11"/>
        <v>144</v>
      </c>
      <c r="Z51" s="728">
        <f t="shared" si="12"/>
        <v>310</v>
      </c>
      <c r="AA51" s="728">
        <f t="shared" si="13"/>
        <v>215</v>
      </c>
    </row>
    <row r="52" spans="1:27" x14ac:dyDescent="0.25">
      <c r="A52" s="688" t="s">
        <v>122</v>
      </c>
      <c r="B52" s="190" t="s">
        <v>287</v>
      </c>
      <c r="C52" s="698" t="s">
        <v>266</v>
      </c>
      <c r="D52" s="616">
        <v>95</v>
      </c>
      <c r="E52" s="617">
        <v>64</v>
      </c>
      <c r="F52" s="617">
        <v>29</v>
      </c>
      <c r="G52" s="617">
        <v>0</v>
      </c>
      <c r="H52" s="617">
        <v>0</v>
      </c>
      <c r="I52" s="617">
        <v>4</v>
      </c>
      <c r="J52" s="617">
        <v>0</v>
      </c>
      <c r="K52" s="617">
        <v>0</v>
      </c>
      <c r="L52" s="270"/>
      <c r="M52" s="692">
        <f t="shared" si="8"/>
        <v>64</v>
      </c>
      <c r="N52" s="693">
        <f t="shared" si="9"/>
        <v>29</v>
      </c>
      <c r="O52" s="693">
        <f t="shared" si="10"/>
        <v>4</v>
      </c>
      <c r="Q52" s="270">
        <v>2</v>
      </c>
      <c r="R52" s="270">
        <v>13</v>
      </c>
      <c r="S52" s="270">
        <v>26</v>
      </c>
      <c r="T52" s="270">
        <v>18</v>
      </c>
      <c r="U52" s="270">
        <v>17</v>
      </c>
      <c r="V52" s="270">
        <v>7</v>
      </c>
      <c r="W52" s="270">
        <v>12</v>
      </c>
      <c r="Y52" s="728">
        <f t="shared" si="11"/>
        <v>15</v>
      </c>
      <c r="Z52" s="728">
        <f t="shared" si="12"/>
        <v>44</v>
      </c>
      <c r="AA52" s="728">
        <f t="shared" si="13"/>
        <v>24</v>
      </c>
    </row>
    <row r="53" spans="1:27" x14ac:dyDescent="0.25">
      <c r="A53" s="688" t="s">
        <v>124</v>
      </c>
      <c r="B53" s="190" t="s">
        <v>125</v>
      </c>
      <c r="C53" s="698" t="s">
        <v>267</v>
      </c>
      <c r="D53" s="616">
        <v>220</v>
      </c>
      <c r="E53" s="617">
        <v>139</v>
      </c>
      <c r="F53" s="617">
        <v>76</v>
      </c>
      <c r="G53" s="617">
        <v>4</v>
      </c>
      <c r="H53" s="617">
        <v>1</v>
      </c>
      <c r="I53" s="617">
        <v>1</v>
      </c>
      <c r="J53" s="617">
        <v>0</v>
      </c>
      <c r="K53" s="617">
        <v>7</v>
      </c>
      <c r="L53" s="270"/>
      <c r="M53" s="692">
        <f t="shared" si="8"/>
        <v>139</v>
      </c>
      <c r="N53" s="693">
        <f t="shared" si="9"/>
        <v>76</v>
      </c>
      <c r="O53" s="693">
        <f t="shared" si="10"/>
        <v>6</v>
      </c>
      <c r="Q53" s="270">
        <v>13</v>
      </c>
      <c r="R53" s="270">
        <v>34</v>
      </c>
      <c r="S53" s="270">
        <v>51</v>
      </c>
      <c r="T53" s="270">
        <v>37</v>
      </c>
      <c r="U53" s="270">
        <v>37</v>
      </c>
      <c r="V53" s="270">
        <v>18</v>
      </c>
      <c r="W53" s="270">
        <v>30</v>
      </c>
      <c r="Y53" s="728">
        <f t="shared" si="11"/>
        <v>47</v>
      </c>
      <c r="Z53" s="728">
        <f t="shared" si="12"/>
        <v>88</v>
      </c>
      <c r="AA53" s="728">
        <f t="shared" si="13"/>
        <v>55</v>
      </c>
    </row>
    <row r="54" spans="1:27" x14ac:dyDescent="0.25">
      <c r="A54" s="688" t="s">
        <v>126</v>
      </c>
      <c r="B54" s="190" t="s">
        <v>127</v>
      </c>
      <c r="C54" s="698" t="s">
        <v>266</v>
      </c>
      <c r="D54" s="616">
        <v>128</v>
      </c>
      <c r="E54" s="617">
        <v>90</v>
      </c>
      <c r="F54" s="617">
        <v>41</v>
      </c>
      <c r="G54" s="617">
        <v>1</v>
      </c>
      <c r="H54" s="617">
        <v>1</v>
      </c>
      <c r="I54" s="617">
        <v>1</v>
      </c>
      <c r="J54" s="617">
        <v>0</v>
      </c>
      <c r="K54" s="617">
        <v>5</v>
      </c>
      <c r="L54" s="270"/>
      <c r="M54" s="692">
        <f t="shared" si="8"/>
        <v>90</v>
      </c>
      <c r="N54" s="693">
        <f t="shared" si="9"/>
        <v>41</v>
      </c>
      <c r="O54" s="693">
        <f t="shared" si="10"/>
        <v>3</v>
      </c>
      <c r="Q54" s="270">
        <v>8</v>
      </c>
      <c r="R54" s="270">
        <v>13</v>
      </c>
      <c r="S54" s="270">
        <v>22</v>
      </c>
      <c r="T54" s="270">
        <v>32</v>
      </c>
      <c r="U54" s="270">
        <v>29</v>
      </c>
      <c r="V54" s="270">
        <v>14</v>
      </c>
      <c r="W54" s="270">
        <v>10</v>
      </c>
      <c r="Y54" s="728">
        <f t="shared" si="11"/>
        <v>21</v>
      </c>
      <c r="Z54" s="728">
        <f t="shared" si="12"/>
        <v>54</v>
      </c>
      <c r="AA54" s="728">
        <f t="shared" si="13"/>
        <v>43</v>
      </c>
    </row>
    <row r="55" spans="1:27" x14ac:dyDescent="0.25">
      <c r="A55" s="688" t="s">
        <v>128</v>
      </c>
      <c r="B55" s="190" t="s">
        <v>129</v>
      </c>
      <c r="C55" s="698" t="s">
        <v>266</v>
      </c>
      <c r="D55" s="616">
        <v>94</v>
      </c>
      <c r="E55" s="617">
        <v>51</v>
      </c>
      <c r="F55" s="617">
        <v>39</v>
      </c>
      <c r="G55" s="617">
        <v>0</v>
      </c>
      <c r="H55" s="617">
        <v>0</v>
      </c>
      <c r="I55" s="617">
        <v>0</v>
      </c>
      <c r="J55" s="617">
        <v>0</v>
      </c>
      <c r="K55" s="617">
        <v>1</v>
      </c>
      <c r="L55" s="270"/>
      <c r="M55" s="692">
        <f t="shared" si="8"/>
        <v>51</v>
      </c>
      <c r="N55" s="693">
        <f t="shared" si="9"/>
        <v>39</v>
      </c>
      <c r="O55" s="693">
        <f t="shared" si="10"/>
        <v>0</v>
      </c>
      <c r="Q55" s="270">
        <v>8</v>
      </c>
      <c r="R55" s="270">
        <v>16</v>
      </c>
      <c r="S55" s="270">
        <v>18</v>
      </c>
      <c r="T55" s="270">
        <v>12</v>
      </c>
      <c r="U55" s="270">
        <v>6</v>
      </c>
      <c r="V55" s="270">
        <v>6</v>
      </c>
      <c r="W55" s="270">
        <v>28</v>
      </c>
      <c r="Y55" s="728">
        <f t="shared" si="11"/>
        <v>24</v>
      </c>
      <c r="Z55" s="728">
        <f t="shared" si="12"/>
        <v>30</v>
      </c>
      <c r="AA55" s="728">
        <f t="shared" si="13"/>
        <v>12</v>
      </c>
    </row>
    <row r="56" spans="1:27" x14ac:dyDescent="0.25">
      <c r="A56" s="688" t="s">
        <v>130</v>
      </c>
      <c r="B56" s="190" t="s">
        <v>131</v>
      </c>
      <c r="C56" s="698" t="s">
        <v>268</v>
      </c>
      <c r="D56" s="616">
        <v>752</v>
      </c>
      <c r="E56" s="617">
        <v>742</v>
      </c>
      <c r="F56" s="617">
        <v>6</v>
      </c>
      <c r="G56" s="617">
        <v>0</v>
      </c>
      <c r="H56" s="617">
        <v>1</v>
      </c>
      <c r="I56" s="617">
        <v>0</v>
      </c>
      <c r="J56" s="617">
        <v>1</v>
      </c>
      <c r="K56" s="617">
        <v>7</v>
      </c>
      <c r="L56" s="270"/>
      <c r="M56" s="692">
        <f t="shared" si="8"/>
        <v>742</v>
      </c>
      <c r="N56" s="693">
        <f t="shared" si="9"/>
        <v>6</v>
      </c>
      <c r="O56" s="693">
        <f t="shared" si="10"/>
        <v>1</v>
      </c>
      <c r="Q56" s="270">
        <v>87</v>
      </c>
      <c r="R56" s="270">
        <v>144</v>
      </c>
      <c r="S56" s="270">
        <v>196</v>
      </c>
      <c r="T56" s="270">
        <v>160</v>
      </c>
      <c r="U56" s="270">
        <v>118</v>
      </c>
      <c r="V56" s="270">
        <v>38</v>
      </c>
      <c r="W56" s="270">
        <v>9</v>
      </c>
      <c r="Y56" s="728">
        <f t="shared" si="11"/>
        <v>231</v>
      </c>
      <c r="Z56" s="728">
        <f t="shared" si="12"/>
        <v>356</v>
      </c>
      <c r="AA56" s="728">
        <f t="shared" si="13"/>
        <v>156</v>
      </c>
    </row>
    <row r="57" spans="1:27" x14ac:dyDescent="0.25">
      <c r="A57" s="688" t="s">
        <v>132</v>
      </c>
      <c r="B57" s="190" t="s">
        <v>133</v>
      </c>
      <c r="C57" s="698" t="s">
        <v>267</v>
      </c>
      <c r="D57" s="616">
        <v>2729</v>
      </c>
      <c r="E57" s="617">
        <v>456</v>
      </c>
      <c r="F57" s="617">
        <v>166</v>
      </c>
      <c r="G57" s="617">
        <v>61</v>
      </c>
      <c r="H57" s="617">
        <v>6</v>
      </c>
      <c r="I57" s="617">
        <v>3</v>
      </c>
      <c r="J57" s="617">
        <v>3</v>
      </c>
      <c r="K57" s="617">
        <v>586</v>
      </c>
      <c r="L57" s="270"/>
      <c r="M57" s="692">
        <f t="shared" si="8"/>
        <v>456</v>
      </c>
      <c r="N57" s="693">
        <f t="shared" si="9"/>
        <v>166</v>
      </c>
      <c r="O57" s="693">
        <f t="shared" si="10"/>
        <v>70</v>
      </c>
      <c r="Q57" s="270">
        <v>114</v>
      </c>
      <c r="R57" s="270">
        <v>247</v>
      </c>
      <c r="S57" s="270">
        <v>590</v>
      </c>
      <c r="T57" s="270">
        <v>558</v>
      </c>
      <c r="U57" s="270">
        <v>546</v>
      </c>
      <c r="V57" s="270">
        <v>251</v>
      </c>
      <c r="W57" s="270">
        <v>423</v>
      </c>
      <c r="Y57" s="728">
        <f t="shared" si="11"/>
        <v>361</v>
      </c>
      <c r="Z57" s="728">
        <f t="shared" si="12"/>
        <v>1148</v>
      </c>
      <c r="AA57" s="728">
        <f t="shared" si="13"/>
        <v>797</v>
      </c>
    </row>
    <row r="58" spans="1:27" x14ac:dyDescent="0.25">
      <c r="A58" s="688" t="s">
        <v>134</v>
      </c>
      <c r="B58" s="190" t="s">
        <v>135</v>
      </c>
      <c r="C58" s="698" t="s">
        <v>267</v>
      </c>
      <c r="D58" s="616">
        <v>680</v>
      </c>
      <c r="E58" s="617">
        <v>530</v>
      </c>
      <c r="F58" s="617">
        <v>157</v>
      </c>
      <c r="G58" s="617">
        <v>0</v>
      </c>
      <c r="H58" s="617">
        <v>2</v>
      </c>
      <c r="I58" s="617">
        <v>5</v>
      </c>
      <c r="J58" s="617">
        <v>2</v>
      </c>
      <c r="K58" s="617">
        <v>18</v>
      </c>
      <c r="L58" s="270"/>
      <c r="M58" s="692">
        <f t="shared" si="8"/>
        <v>530</v>
      </c>
      <c r="N58" s="693">
        <f t="shared" si="9"/>
        <v>157</v>
      </c>
      <c r="O58" s="693">
        <f t="shared" si="10"/>
        <v>7</v>
      </c>
      <c r="Q58" s="270">
        <v>60</v>
      </c>
      <c r="R58" s="270">
        <v>80</v>
      </c>
      <c r="S58" s="270">
        <v>133</v>
      </c>
      <c r="T58" s="270">
        <v>129</v>
      </c>
      <c r="U58" s="270">
        <v>169</v>
      </c>
      <c r="V58" s="270">
        <v>67</v>
      </c>
      <c r="W58" s="270">
        <v>42</v>
      </c>
      <c r="Y58" s="728">
        <f t="shared" si="11"/>
        <v>140</v>
      </c>
      <c r="Z58" s="728">
        <f t="shared" si="12"/>
        <v>262</v>
      </c>
      <c r="AA58" s="728">
        <f t="shared" si="13"/>
        <v>236</v>
      </c>
    </row>
    <row r="59" spans="1:27" x14ac:dyDescent="0.25">
      <c r="A59" s="688" t="s">
        <v>136</v>
      </c>
      <c r="B59" s="190" t="s">
        <v>137</v>
      </c>
      <c r="C59" s="698" t="s">
        <v>266</v>
      </c>
      <c r="D59" s="616">
        <v>83</v>
      </c>
      <c r="E59" s="617">
        <v>46</v>
      </c>
      <c r="F59" s="617">
        <v>40</v>
      </c>
      <c r="G59" s="617">
        <v>0</v>
      </c>
      <c r="H59" s="617">
        <v>0</v>
      </c>
      <c r="I59" s="617">
        <v>0</v>
      </c>
      <c r="J59" s="617">
        <v>0</v>
      </c>
      <c r="K59" s="617">
        <v>4</v>
      </c>
      <c r="L59" s="270"/>
      <c r="M59" s="692">
        <f t="shared" si="8"/>
        <v>46</v>
      </c>
      <c r="N59" s="693">
        <f t="shared" si="9"/>
        <v>40</v>
      </c>
      <c r="O59" s="693">
        <f t="shared" si="10"/>
        <v>0</v>
      </c>
      <c r="Q59" s="270">
        <v>6</v>
      </c>
      <c r="R59" s="270">
        <v>15</v>
      </c>
      <c r="S59" s="270">
        <v>15</v>
      </c>
      <c r="T59" s="270">
        <v>21</v>
      </c>
      <c r="U59" s="270">
        <v>15</v>
      </c>
      <c r="V59" s="270">
        <v>8</v>
      </c>
      <c r="W59" s="270">
        <v>3</v>
      </c>
      <c r="Y59" s="728">
        <f t="shared" si="11"/>
        <v>21</v>
      </c>
      <c r="Z59" s="728">
        <f t="shared" si="12"/>
        <v>36</v>
      </c>
      <c r="AA59" s="728">
        <f t="shared" si="13"/>
        <v>23</v>
      </c>
    </row>
    <row r="60" spans="1:27" x14ac:dyDescent="0.25">
      <c r="A60" s="688" t="s">
        <v>140</v>
      </c>
      <c r="B60" s="190" t="s">
        <v>141</v>
      </c>
      <c r="C60" s="698" t="s">
        <v>267</v>
      </c>
      <c r="D60" s="616">
        <v>241</v>
      </c>
      <c r="E60" s="617">
        <v>212</v>
      </c>
      <c r="F60" s="617">
        <v>28</v>
      </c>
      <c r="G60" s="617">
        <v>0</v>
      </c>
      <c r="H60" s="617">
        <v>0</v>
      </c>
      <c r="I60" s="617">
        <v>0</v>
      </c>
      <c r="J60" s="617">
        <v>0</v>
      </c>
      <c r="K60" s="617">
        <v>1</v>
      </c>
      <c r="L60" s="270"/>
      <c r="M60" s="692">
        <f t="shared" si="8"/>
        <v>212</v>
      </c>
      <c r="N60" s="693">
        <f t="shared" si="9"/>
        <v>28</v>
      </c>
      <c r="O60" s="693">
        <f t="shared" si="10"/>
        <v>0</v>
      </c>
      <c r="Q60" s="270">
        <v>19</v>
      </c>
      <c r="R60" s="270">
        <v>27</v>
      </c>
      <c r="S60" s="270">
        <v>61</v>
      </c>
      <c r="T60" s="270">
        <v>58</v>
      </c>
      <c r="U60" s="270">
        <v>41</v>
      </c>
      <c r="V60" s="270">
        <v>23</v>
      </c>
      <c r="W60" s="270">
        <v>12</v>
      </c>
      <c r="Y60" s="728">
        <f t="shared" si="11"/>
        <v>46</v>
      </c>
      <c r="Z60" s="728">
        <f t="shared" si="12"/>
        <v>119</v>
      </c>
      <c r="AA60" s="728">
        <f t="shared" si="13"/>
        <v>64</v>
      </c>
    </row>
    <row r="61" spans="1:27" x14ac:dyDescent="0.25">
      <c r="A61" s="688" t="s">
        <v>146</v>
      </c>
      <c r="B61" s="190" t="s">
        <v>147</v>
      </c>
      <c r="C61" s="698" t="s">
        <v>264</v>
      </c>
      <c r="D61" s="616">
        <v>112</v>
      </c>
      <c r="E61" s="617">
        <v>88</v>
      </c>
      <c r="F61" s="617">
        <v>17</v>
      </c>
      <c r="G61" s="617">
        <v>0</v>
      </c>
      <c r="H61" s="617">
        <v>1</v>
      </c>
      <c r="I61" s="617">
        <v>0</v>
      </c>
      <c r="J61" s="617">
        <v>1</v>
      </c>
      <c r="K61" s="617">
        <v>3</v>
      </c>
      <c r="L61" s="270"/>
      <c r="M61" s="692">
        <f t="shared" si="8"/>
        <v>88</v>
      </c>
      <c r="N61" s="693">
        <f t="shared" si="9"/>
        <v>17</v>
      </c>
      <c r="O61" s="693">
        <f t="shared" si="10"/>
        <v>1</v>
      </c>
      <c r="Q61" s="270">
        <v>6</v>
      </c>
      <c r="R61" s="270">
        <v>6</v>
      </c>
      <c r="S61" s="270">
        <v>16</v>
      </c>
      <c r="T61" s="270">
        <v>18</v>
      </c>
      <c r="U61" s="270">
        <v>30</v>
      </c>
      <c r="V61" s="270">
        <v>9</v>
      </c>
      <c r="W61" s="270">
        <v>27</v>
      </c>
      <c r="Y61" s="728">
        <f t="shared" si="11"/>
        <v>12</v>
      </c>
      <c r="Z61" s="728">
        <f t="shared" si="12"/>
        <v>34</v>
      </c>
      <c r="AA61" s="728">
        <f t="shared" si="13"/>
        <v>39</v>
      </c>
    </row>
    <row r="62" spans="1:27" x14ac:dyDescent="0.25">
      <c r="A62" s="688" t="s">
        <v>148</v>
      </c>
      <c r="B62" s="190" t="s">
        <v>149</v>
      </c>
      <c r="C62" s="698" t="s">
        <v>265</v>
      </c>
      <c r="D62" s="616">
        <v>347</v>
      </c>
      <c r="E62" s="617">
        <v>182</v>
      </c>
      <c r="F62" s="617">
        <v>161</v>
      </c>
      <c r="G62" s="617">
        <v>0</v>
      </c>
      <c r="H62" s="617">
        <v>0</v>
      </c>
      <c r="I62" s="617">
        <v>0</v>
      </c>
      <c r="J62" s="617">
        <v>0</v>
      </c>
      <c r="K62" s="617">
        <v>10</v>
      </c>
      <c r="L62" s="270"/>
      <c r="M62" s="692">
        <f t="shared" si="8"/>
        <v>182</v>
      </c>
      <c r="N62" s="693">
        <f t="shared" si="9"/>
        <v>161</v>
      </c>
      <c r="O62" s="693">
        <f t="shared" si="10"/>
        <v>0</v>
      </c>
      <c r="Q62" s="270">
        <v>22</v>
      </c>
      <c r="R62" s="270">
        <v>62</v>
      </c>
      <c r="S62" s="270">
        <v>104</v>
      </c>
      <c r="T62" s="270">
        <v>88</v>
      </c>
      <c r="U62" s="270">
        <v>47</v>
      </c>
      <c r="V62" s="270">
        <v>17</v>
      </c>
      <c r="W62" s="270">
        <v>7</v>
      </c>
      <c r="Y62" s="728">
        <f t="shared" si="11"/>
        <v>84</v>
      </c>
      <c r="Z62" s="728">
        <f t="shared" si="12"/>
        <v>192</v>
      </c>
      <c r="AA62" s="728">
        <f t="shared" si="13"/>
        <v>64</v>
      </c>
    </row>
    <row r="63" spans="1:27" x14ac:dyDescent="0.25">
      <c r="A63" s="688" t="s">
        <v>150</v>
      </c>
      <c r="B63" s="190" t="s">
        <v>151</v>
      </c>
      <c r="C63" s="698" t="s">
        <v>266</v>
      </c>
      <c r="D63" s="616">
        <v>238</v>
      </c>
      <c r="E63" s="617">
        <v>168</v>
      </c>
      <c r="F63" s="617">
        <v>62</v>
      </c>
      <c r="G63" s="617">
        <v>0</v>
      </c>
      <c r="H63" s="617">
        <v>1</v>
      </c>
      <c r="I63" s="617">
        <v>0</v>
      </c>
      <c r="J63" s="617">
        <v>0</v>
      </c>
      <c r="K63" s="617">
        <v>0</v>
      </c>
      <c r="L63" s="270"/>
      <c r="M63" s="692">
        <f t="shared" si="8"/>
        <v>168</v>
      </c>
      <c r="N63" s="693">
        <f t="shared" si="9"/>
        <v>62</v>
      </c>
      <c r="O63" s="693">
        <f t="shared" si="10"/>
        <v>1</v>
      </c>
      <c r="Q63" s="270">
        <v>13</v>
      </c>
      <c r="R63" s="270">
        <v>33</v>
      </c>
      <c r="S63" s="270">
        <v>70</v>
      </c>
      <c r="T63" s="270">
        <v>49</v>
      </c>
      <c r="U63" s="270">
        <v>51</v>
      </c>
      <c r="V63" s="270">
        <v>10</v>
      </c>
      <c r="W63" s="270">
        <v>12</v>
      </c>
      <c r="Y63" s="728">
        <f t="shared" si="11"/>
        <v>46</v>
      </c>
      <c r="Z63" s="728">
        <f t="shared" si="12"/>
        <v>119</v>
      </c>
      <c r="AA63" s="728">
        <f t="shared" si="13"/>
        <v>61</v>
      </c>
    </row>
    <row r="64" spans="1:27" x14ac:dyDescent="0.25">
      <c r="A64" s="688" t="s">
        <v>152</v>
      </c>
      <c r="B64" s="190" t="s">
        <v>153</v>
      </c>
      <c r="C64" s="698" t="s">
        <v>268</v>
      </c>
      <c r="D64" s="616">
        <v>704</v>
      </c>
      <c r="E64" s="617">
        <v>639</v>
      </c>
      <c r="F64" s="617">
        <v>53</v>
      </c>
      <c r="G64" s="617">
        <v>1</v>
      </c>
      <c r="H64" s="617">
        <v>8</v>
      </c>
      <c r="I64" s="617">
        <v>0</v>
      </c>
      <c r="J64" s="617">
        <v>0</v>
      </c>
      <c r="K64" s="617">
        <v>16</v>
      </c>
      <c r="L64" s="270"/>
      <c r="M64" s="692">
        <f t="shared" si="8"/>
        <v>639</v>
      </c>
      <c r="N64" s="693">
        <f t="shared" si="9"/>
        <v>53</v>
      </c>
      <c r="O64" s="693">
        <f t="shared" si="10"/>
        <v>9</v>
      </c>
      <c r="Q64" s="270">
        <v>66</v>
      </c>
      <c r="R64" s="270">
        <v>122</v>
      </c>
      <c r="S64" s="270">
        <v>163</v>
      </c>
      <c r="T64" s="270">
        <v>138</v>
      </c>
      <c r="U64" s="270">
        <v>113</v>
      </c>
      <c r="V64" s="270">
        <v>40</v>
      </c>
      <c r="W64" s="270">
        <v>62</v>
      </c>
      <c r="Y64" s="728">
        <f t="shared" si="11"/>
        <v>188</v>
      </c>
      <c r="Z64" s="728">
        <f t="shared" si="12"/>
        <v>301</v>
      </c>
      <c r="AA64" s="728">
        <f t="shared" si="13"/>
        <v>153</v>
      </c>
    </row>
    <row r="65" spans="1:27" x14ac:dyDescent="0.25">
      <c r="A65" s="688" t="s">
        <v>154</v>
      </c>
      <c r="B65" s="190" t="s">
        <v>155</v>
      </c>
      <c r="C65" s="698" t="s">
        <v>265</v>
      </c>
      <c r="D65" s="616">
        <v>234</v>
      </c>
      <c r="E65" s="617">
        <v>198</v>
      </c>
      <c r="F65" s="617">
        <v>27</v>
      </c>
      <c r="G65" s="617">
        <v>1</v>
      </c>
      <c r="H65" s="617">
        <v>0</v>
      </c>
      <c r="I65" s="617">
        <v>0</v>
      </c>
      <c r="J65" s="617">
        <v>0</v>
      </c>
      <c r="K65" s="617">
        <v>6</v>
      </c>
      <c r="L65" s="270"/>
      <c r="M65" s="692">
        <f t="shared" si="8"/>
        <v>198</v>
      </c>
      <c r="N65" s="693">
        <f t="shared" si="9"/>
        <v>27</v>
      </c>
      <c r="O65" s="693">
        <f t="shared" si="10"/>
        <v>1</v>
      </c>
      <c r="Q65" s="270">
        <v>8</v>
      </c>
      <c r="R65" s="270">
        <v>31</v>
      </c>
      <c r="S65" s="270">
        <v>68</v>
      </c>
      <c r="T65" s="270">
        <v>54</v>
      </c>
      <c r="U65" s="270">
        <v>45</v>
      </c>
      <c r="V65" s="270">
        <v>17</v>
      </c>
      <c r="W65" s="270">
        <v>11</v>
      </c>
      <c r="Y65" s="728">
        <f t="shared" si="11"/>
        <v>39</v>
      </c>
      <c r="Z65" s="728">
        <f t="shared" si="12"/>
        <v>122</v>
      </c>
      <c r="AA65" s="728">
        <f t="shared" si="13"/>
        <v>62</v>
      </c>
    </row>
    <row r="66" spans="1:27" x14ac:dyDescent="0.25">
      <c r="A66" s="688" t="s">
        <v>156</v>
      </c>
      <c r="B66" s="190" t="s">
        <v>157</v>
      </c>
      <c r="C66" s="698" t="s">
        <v>266</v>
      </c>
      <c r="D66" s="616">
        <v>165</v>
      </c>
      <c r="E66" s="617">
        <v>134</v>
      </c>
      <c r="F66" s="617">
        <v>19</v>
      </c>
      <c r="G66" s="617">
        <v>0</v>
      </c>
      <c r="H66" s="617">
        <v>0</v>
      </c>
      <c r="I66" s="617">
        <v>1</v>
      </c>
      <c r="J66" s="617">
        <v>0</v>
      </c>
      <c r="K66" s="617">
        <v>2</v>
      </c>
      <c r="L66" s="270"/>
      <c r="M66" s="692">
        <f t="shared" si="8"/>
        <v>134</v>
      </c>
      <c r="N66" s="693">
        <f t="shared" si="9"/>
        <v>19</v>
      </c>
      <c r="O66" s="693">
        <f t="shared" si="10"/>
        <v>1</v>
      </c>
      <c r="Q66" s="270">
        <v>6</v>
      </c>
      <c r="R66" s="270">
        <v>28</v>
      </c>
      <c r="S66" s="270">
        <v>25</v>
      </c>
      <c r="T66" s="270">
        <v>37</v>
      </c>
      <c r="U66" s="270">
        <v>41</v>
      </c>
      <c r="V66" s="270">
        <v>17</v>
      </c>
      <c r="W66" s="270">
        <v>11</v>
      </c>
      <c r="Y66" s="728">
        <f t="shared" si="11"/>
        <v>34</v>
      </c>
      <c r="Z66" s="728">
        <f t="shared" si="12"/>
        <v>62</v>
      </c>
      <c r="AA66" s="728">
        <f t="shared" si="13"/>
        <v>58</v>
      </c>
    </row>
    <row r="67" spans="1:27" x14ac:dyDescent="0.25">
      <c r="A67" s="688" t="s">
        <v>162</v>
      </c>
      <c r="B67" s="190" t="s">
        <v>163</v>
      </c>
      <c r="C67" s="698" t="s">
        <v>264</v>
      </c>
      <c r="D67" s="616">
        <v>46</v>
      </c>
      <c r="E67" s="617">
        <v>24</v>
      </c>
      <c r="F67" s="617">
        <v>18</v>
      </c>
      <c r="G67" s="617">
        <v>0</v>
      </c>
      <c r="H67" s="617">
        <v>1</v>
      </c>
      <c r="I67" s="617">
        <v>5</v>
      </c>
      <c r="J67" s="617">
        <v>0</v>
      </c>
      <c r="K67" s="617">
        <v>8</v>
      </c>
      <c r="L67" s="270"/>
      <c r="M67" s="692">
        <f t="shared" si="8"/>
        <v>24</v>
      </c>
      <c r="N67" s="693">
        <f t="shared" si="9"/>
        <v>18</v>
      </c>
      <c r="O67" s="693">
        <f t="shared" si="10"/>
        <v>6</v>
      </c>
      <c r="Q67" s="270">
        <v>3</v>
      </c>
      <c r="R67" s="270">
        <v>5</v>
      </c>
      <c r="S67" s="270">
        <v>10</v>
      </c>
      <c r="T67" s="270">
        <v>14</v>
      </c>
      <c r="U67" s="270">
        <v>11</v>
      </c>
      <c r="V67" s="270">
        <v>3</v>
      </c>
      <c r="W67" s="270">
        <v>0</v>
      </c>
      <c r="Y67" s="728">
        <f t="shared" si="11"/>
        <v>8</v>
      </c>
      <c r="Z67" s="728">
        <f t="shared" si="12"/>
        <v>24</v>
      </c>
      <c r="AA67" s="728">
        <f t="shared" si="13"/>
        <v>14</v>
      </c>
    </row>
    <row r="68" spans="1:27" x14ac:dyDescent="0.25">
      <c r="A68" s="688" t="s">
        <v>164</v>
      </c>
      <c r="B68" s="190" t="s">
        <v>165</v>
      </c>
      <c r="C68" s="698" t="s">
        <v>266</v>
      </c>
      <c r="D68" s="616">
        <v>103</v>
      </c>
      <c r="E68" s="617">
        <v>67</v>
      </c>
      <c r="F68" s="617">
        <v>34</v>
      </c>
      <c r="G68" s="617">
        <v>0</v>
      </c>
      <c r="H68" s="617">
        <v>0</v>
      </c>
      <c r="I68" s="617">
        <v>0</v>
      </c>
      <c r="J68" s="617">
        <v>0</v>
      </c>
      <c r="K68" s="617">
        <v>9</v>
      </c>
      <c r="L68" s="270"/>
      <c r="M68" s="692">
        <f t="shared" si="8"/>
        <v>67</v>
      </c>
      <c r="N68" s="693">
        <f t="shared" si="9"/>
        <v>34</v>
      </c>
      <c r="O68" s="693">
        <f t="shared" si="10"/>
        <v>0</v>
      </c>
      <c r="Q68" s="270">
        <v>2</v>
      </c>
      <c r="R68" s="270">
        <v>12</v>
      </c>
      <c r="S68" s="270">
        <v>20</v>
      </c>
      <c r="T68" s="270">
        <v>26</v>
      </c>
      <c r="U68" s="270">
        <v>6</v>
      </c>
      <c r="V68" s="270">
        <v>5</v>
      </c>
      <c r="W68" s="270">
        <v>32</v>
      </c>
      <c r="Y68" s="728">
        <f t="shared" si="11"/>
        <v>14</v>
      </c>
      <c r="Z68" s="728">
        <f t="shared" si="12"/>
        <v>46</v>
      </c>
      <c r="AA68" s="728">
        <f t="shared" si="13"/>
        <v>11</v>
      </c>
    </row>
    <row r="69" spans="1:27" x14ac:dyDescent="0.25">
      <c r="A69" s="688" t="s">
        <v>168</v>
      </c>
      <c r="B69" s="190" t="s">
        <v>169</v>
      </c>
      <c r="C69" s="698" t="s">
        <v>266</v>
      </c>
      <c r="D69" s="616">
        <v>133</v>
      </c>
      <c r="E69" s="617">
        <v>89</v>
      </c>
      <c r="F69" s="617">
        <v>37</v>
      </c>
      <c r="G69" s="617">
        <v>0</v>
      </c>
      <c r="H69" s="617">
        <v>1</v>
      </c>
      <c r="I69" s="617">
        <v>0</v>
      </c>
      <c r="J69" s="617">
        <v>0</v>
      </c>
      <c r="K69" s="617">
        <v>3</v>
      </c>
      <c r="L69" s="270"/>
      <c r="M69" s="692">
        <f t="shared" ref="M69:M100" si="14">E69</f>
        <v>89</v>
      </c>
      <c r="N69" s="693">
        <f t="shared" ref="N69:N100" si="15">F69</f>
        <v>37</v>
      </c>
      <c r="O69" s="693">
        <f t="shared" ref="O69:O100" si="16">SUM(G69:I69)</f>
        <v>1</v>
      </c>
      <c r="Q69" s="270">
        <v>19</v>
      </c>
      <c r="R69" s="270">
        <v>21</v>
      </c>
      <c r="S69" s="270">
        <v>23</v>
      </c>
      <c r="T69" s="270">
        <v>22</v>
      </c>
      <c r="U69" s="270">
        <v>26</v>
      </c>
      <c r="V69" s="270">
        <v>4</v>
      </c>
      <c r="W69" s="270">
        <v>18</v>
      </c>
      <c r="Y69" s="728">
        <f t="shared" ref="Y69:Y100" si="17">Q69+R69</f>
        <v>40</v>
      </c>
      <c r="Z69" s="728">
        <f t="shared" ref="Z69:Z100" si="18">S69+T69</f>
        <v>45</v>
      </c>
      <c r="AA69" s="728">
        <f t="shared" ref="AA69:AA100" si="19">U69+V69</f>
        <v>30</v>
      </c>
    </row>
    <row r="70" spans="1:27" x14ac:dyDescent="0.25">
      <c r="A70" s="688" t="s">
        <v>170</v>
      </c>
      <c r="B70" s="190" t="s">
        <v>171</v>
      </c>
      <c r="C70" s="698" t="s">
        <v>267</v>
      </c>
      <c r="D70" s="616">
        <v>547</v>
      </c>
      <c r="E70" s="617">
        <v>421</v>
      </c>
      <c r="F70" s="617">
        <v>136</v>
      </c>
      <c r="G70" s="617">
        <v>4</v>
      </c>
      <c r="H70" s="617">
        <v>16</v>
      </c>
      <c r="I70" s="617">
        <v>1</v>
      </c>
      <c r="J70" s="617">
        <v>1</v>
      </c>
      <c r="K70" s="617">
        <v>22</v>
      </c>
      <c r="L70" s="270"/>
      <c r="M70" s="692">
        <f t="shared" si="14"/>
        <v>421</v>
      </c>
      <c r="N70" s="693">
        <f t="shared" si="15"/>
        <v>136</v>
      </c>
      <c r="O70" s="693">
        <f t="shared" si="16"/>
        <v>21</v>
      </c>
      <c r="Q70" s="270">
        <v>29</v>
      </c>
      <c r="R70" s="270">
        <v>76</v>
      </c>
      <c r="S70" s="270">
        <v>153</v>
      </c>
      <c r="T70" s="270">
        <v>120</v>
      </c>
      <c r="U70" s="270">
        <v>90</v>
      </c>
      <c r="V70" s="270">
        <v>31</v>
      </c>
      <c r="W70" s="270">
        <v>48</v>
      </c>
      <c r="Y70" s="728">
        <f t="shared" si="17"/>
        <v>105</v>
      </c>
      <c r="Z70" s="728">
        <f t="shared" si="18"/>
        <v>273</v>
      </c>
      <c r="AA70" s="728">
        <f t="shared" si="19"/>
        <v>121</v>
      </c>
    </row>
    <row r="71" spans="1:27" x14ac:dyDescent="0.25">
      <c r="A71" s="688" t="s">
        <v>172</v>
      </c>
      <c r="B71" s="190" t="s">
        <v>173</v>
      </c>
      <c r="C71" s="698" t="s">
        <v>267</v>
      </c>
      <c r="D71" s="616">
        <v>256</v>
      </c>
      <c r="E71" s="617">
        <v>229</v>
      </c>
      <c r="F71" s="617">
        <v>15</v>
      </c>
      <c r="G71" s="617">
        <v>0</v>
      </c>
      <c r="H71" s="617">
        <v>2</v>
      </c>
      <c r="I71" s="617">
        <v>0</v>
      </c>
      <c r="J71" s="617">
        <v>0</v>
      </c>
      <c r="K71" s="617">
        <v>14</v>
      </c>
      <c r="L71" s="270"/>
      <c r="M71" s="692">
        <f t="shared" si="14"/>
        <v>229</v>
      </c>
      <c r="N71" s="693">
        <f t="shared" si="15"/>
        <v>15</v>
      </c>
      <c r="O71" s="693">
        <f t="shared" si="16"/>
        <v>2</v>
      </c>
      <c r="Q71" s="270">
        <v>26</v>
      </c>
      <c r="R71" s="270">
        <v>39</v>
      </c>
      <c r="S71" s="270">
        <v>58</v>
      </c>
      <c r="T71" s="270">
        <v>58</v>
      </c>
      <c r="U71" s="270">
        <v>39</v>
      </c>
      <c r="V71" s="270">
        <v>8</v>
      </c>
      <c r="W71" s="270">
        <v>28</v>
      </c>
      <c r="Y71" s="728">
        <f t="shared" si="17"/>
        <v>65</v>
      </c>
      <c r="Z71" s="728">
        <f t="shared" si="18"/>
        <v>116</v>
      </c>
      <c r="AA71" s="728">
        <f t="shared" si="19"/>
        <v>47</v>
      </c>
    </row>
    <row r="72" spans="1:27" x14ac:dyDescent="0.25">
      <c r="A72" s="688" t="s">
        <v>174</v>
      </c>
      <c r="B72" s="190" t="s">
        <v>175</v>
      </c>
      <c r="C72" s="698" t="s">
        <v>268</v>
      </c>
      <c r="D72" s="616">
        <v>160</v>
      </c>
      <c r="E72" s="617">
        <v>145</v>
      </c>
      <c r="F72" s="617">
        <v>20</v>
      </c>
      <c r="G72" s="617">
        <v>0</v>
      </c>
      <c r="H72" s="617">
        <v>2</v>
      </c>
      <c r="I72" s="617">
        <v>0</v>
      </c>
      <c r="J72" s="617">
        <v>0</v>
      </c>
      <c r="K72" s="617">
        <v>6</v>
      </c>
      <c r="L72" s="270"/>
      <c r="M72" s="692">
        <f t="shared" si="14"/>
        <v>145</v>
      </c>
      <c r="N72" s="693">
        <f t="shared" si="15"/>
        <v>20</v>
      </c>
      <c r="O72" s="693">
        <f t="shared" si="16"/>
        <v>2</v>
      </c>
      <c r="Q72" s="270">
        <v>13</v>
      </c>
      <c r="R72" s="270">
        <v>24</v>
      </c>
      <c r="S72" s="270">
        <v>46</v>
      </c>
      <c r="T72" s="270">
        <v>32</v>
      </c>
      <c r="U72" s="270">
        <v>27</v>
      </c>
      <c r="V72" s="270">
        <v>6</v>
      </c>
      <c r="W72" s="270">
        <v>12</v>
      </c>
      <c r="Y72" s="728">
        <f t="shared" si="17"/>
        <v>37</v>
      </c>
      <c r="Z72" s="728">
        <f t="shared" si="18"/>
        <v>78</v>
      </c>
      <c r="AA72" s="728">
        <f t="shared" si="19"/>
        <v>33</v>
      </c>
    </row>
    <row r="73" spans="1:27" x14ac:dyDescent="0.25">
      <c r="A73" s="688" t="s">
        <v>178</v>
      </c>
      <c r="B73" s="190" t="s">
        <v>179</v>
      </c>
      <c r="C73" s="698" t="s">
        <v>265</v>
      </c>
      <c r="D73" s="616">
        <v>791</v>
      </c>
      <c r="E73" s="617">
        <v>629</v>
      </c>
      <c r="F73" s="617">
        <v>153</v>
      </c>
      <c r="G73" s="617">
        <v>0</v>
      </c>
      <c r="H73" s="617">
        <v>1</v>
      </c>
      <c r="I73" s="617">
        <v>1</v>
      </c>
      <c r="J73" s="617">
        <v>1</v>
      </c>
      <c r="K73" s="617">
        <v>22</v>
      </c>
      <c r="L73" s="270"/>
      <c r="M73" s="692">
        <f t="shared" si="14"/>
        <v>629</v>
      </c>
      <c r="N73" s="693">
        <f t="shared" si="15"/>
        <v>153</v>
      </c>
      <c r="O73" s="693">
        <f t="shared" si="16"/>
        <v>2</v>
      </c>
      <c r="Q73" s="270">
        <v>33</v>
      </c>
      <c r="R73" s="270">
        <v>95</v>
      </c>
      <c r="S73" s="270">
        <v>164</v>
      </c>
      <c r="T73" s="270">
        <v>162</v>
      </c>
      <c r="U73" s="270">
        <v>178</v>
      </c>
      <c r="V73" s="270">
        <v>59</v>
      </c>
      <c r="W73" s="270">
        <v>100</v>
      </c>
      <c r="Y73" s="728">
        <f t="shared" si="17"/>
        <v>128</v>
      </c>
      <c r="Z73" s="728">
        <f t="shared" si="18"/>
        <v>326</v>
      </c>
      <c r="AA73" s="728">
        <f t="shared" si="19"/>
        <v>237</v>
      </c>
    </row>
    <row r="74" spans="1:27" x14ac:dyDescent="0.25">
      <c r="A74" s="688" t="s">
        <v>182</v>
      </c>
      <c r="B74" s="190" t="s">
        <v>183</v>
      </c>
      <c r="C74" s="698" t="s">
        <v>266</v>
      </c>
      <c r="D74" s="616">
        <v>109</v>
      </c>
      <c r="E74" s="617">
        <v>77</v>
      </c>
      <c r="F74" s="617">
        <v>5</v>
      </c>
      <c r="G74" s="617">
        <v>1</v>
      </c>
      <c r="H74" s="617">
        <v>0</v>
      </c>
      <c r="I74" s="617">
        <v>0</v>
      </c>
      <c r="J74" s="617">
        <v>0</v>
      </c>
      <c r="K74" s="617">
        <v>2</v>
      </c>
      <c r="L74" s="270"/>
      <c r="M74" s="692">
        <f t="shared" si="14"/>
        <v>77</v>
      </c>
      <c r="N74" s="693">
        <f t="shared" si="15"/>
        <v>5</v>
      </c>
      <c r="O74" s="693">
        <f t="shared" si="16"/>
        <v>1</v>
      </c>
      <c r="Q74" s="270">
        <v>3</v>
      </c>
      <c r="R74" s="270">
        <v>8</v>
      </c>
      <c r="S74" s="270">
        <v>23</v>
      </c>
      <c r="T74" s="270">
        <v>18</v>
      </c>
      <c r="U74" s="270">
        <v>12</v>
      </c>
      <c r="V74" s="270">
        <v>9</v>
      </c>
      <c r="W74" s="270">
        <v>36</v>
      </c>
      <c r="Y74" s="728">
        <f t="shared" si="17"/>
        <v>11</v>
      </c>
      <c r="Z74" s="728">
        <f t="shared" si="18"/>
        <v>41</v>
      </c>
      <c r="AA74" s="728">
        <f t="shared" si="19"/>
        <v>21</v>
      </c>
    </row>
    <row r="75" spans="1:27" x14ac:dyDescent="0.25">
      <c r="A75" s="688" t="s">
        <v>184</v>
      </c>
      <c r="B75" s="190" t="s">
        <v>185</v>
      </c>
      <c r="C75" s="698" t="s">
        <v>266</v>
      </c>
      <c r="D75" s="616">
        <v>162</v>
      </c>
      <c r="E75" s="617">
        <v>71</v>
      </c>
      <c r="F75" s="617">
        <v>68</v>
      </c>
      <c r="G75" s="617">
        <v>0</v>
      </c>
      <c r="H75" s="617">
        <v>0</v>
      </c>
      <c r="I75" s="617">
        <v>0</v>
      </c>
      <c r="J75" s="617">
        <v>0</v>
      </c>
      <c r="K75" s="617">
        <v>3</v>
      </c>
      <c r="L75" s="270"/>
      <c r="M75" s="692">
        <f t="shared" si="14"/>
        <v>71</v>
      </c>
      <c r="N75" s="693">
        <f t="shared" si="15"/>
        <v>68</v>
      </c>
      <c r="O75" s="693">
        <f t="shared" si="16"/>
        <v>0</v>
      </c>
      <c r="Q75" s="270">
        <v>13</v>
      </c>
      <c r="R75" s="270">
        <v>36</v>
      </c>
      <c r="S75" s="270">
        <v>35</v>
      </c>
      <c r="T75" s="270">
        <v>19</v>
      </c>
      <c r="U75" s="270">
        <v>24</v>
      </c>
      <c r="V75" s="270">
        <v>15</v>
      </c>
      <c r="W75" s="270">
        <v>20</v>
      </c>
      <c r="Y75" s="728">
        <f t="shared" si="17"/>
        <v>49</v>
      </c>
      <c r="Z75" s="728">
        <f t="shared" si="18"/>
        <v>54</v>
      </c>
      <c r="AA75" s="728">
        <f t="shared" si="19"/>
        <v>39</v>
      </c>
    </row>
    <row r="76" spans="1:27" x14ac:dyDescent="0.25">
      <c r="A76" s="688" t="s">
        <v>186</v>
      </c>
      <c r="B76" s="190" t="s">
        <v>187</v>
      </c>
      <c r="C76" s="698" t="s">
        <v>264</v>
      </c>
      <c r="D76" s="616">
        <v>335</v>
      </c>
      <c r="E76" s="617">
        <v>225</v>
      </c>
      <c r="F76" s="617">
        <v>84</v>
      </c>
      <c r="G76" s="617">
        <v>2</v>
      </c>
      <c r="H76" s="617">
        <v>5</v>
      </c>
      <c r="I76" s="617">
        <v>2</v>
      </c>
      <c r="J76" s="617">
        <v>0</v>
      </c>
      <c r="K76" s="617">
        <v>24</v>
      </c>
      <c r="L76" s="270"/>
      <c r="M76" s="692">
        <f t="shared" si="14"/>
        <v>225</v>
      </c>
      <c r="N76" s="693">
        <f t="shared" si="15"/>
        <v>84</v>
      </c>
      <c r="O76" s="693">
        <f t="shared" si="16"/>
        <v>9</v>
      </c>
      <c r="Q76" s="270">
        <v>34</v>
      </c>
      <c r="R76" s="270">
        <v>56</v>
      </c>
      <c r="S76" s="270">
        <v>50</v>
      </c>
      <c r="T76" s="270">
        <v>59</v>
      </c>
      <c r="U76" s="270">
        <v>77</v>
      </c>
      <c r="V76" s="270">
        <v>21</v>
      </c>
      <c r="W76" s="270">
        <v>38</v>
      </c>
      <c r="Y76" s="728">
        <f t="shared" si="17"/>
        <v>90</v>
      </c>
      <c r="Z76" s="728">
        <f t="shared" si="18"/>
        <v>109</v>
      </c>
      <c r="AA76" s="728">
        <f t="shared" si="19"/>
        <v>98</v>
      </c>
    </row>
    <row r="77" spans="1:27" x14ac:dyDescent="0.25">
      <c r="A77" s="688" t="s">
        <v>188</v>
      </c>
      <c r="B77" s="190" t="s">
        <v>189</v>
      </c>
      <c r="C77" s="698" t="s">
        <v>267</v>
      </c>
      <c r="D77" s="616">
        <v>6195</v>
      </c>
      <c r="E77" s="617">
        <v>3461</v>
      </c>
      <c r="F77" s="617">
        <v>2357</v>
      </c>
      <c r="G77" s="617">
        <v>170</v>
      </c>
      <c r="H77" s="617">
        <v>30</v>
      </c>
      <c r="I77" s="617">
        <v>17</v>
      </c>
      <c r="J77" s="617">
        <v>11</v>
      </c>
      <c r="K77" s="617">
        <v>1736</v>
      </c>
      <c r="L77" s="270"/>
      <c r="M77" s="692">
        <f t="shared" si="14"/>
        <v>3461</v>
      </c>
      <c r="N77" s="693">
        <f t="shared" si="15"/>
        <v>2357</v>
      </c>
      <c r="O77" s="693">
        <f t="shared" si="16"/>
        <v>217</v>
      </c>
      <c r="Q77" s="270">
        <v>286</v>
      </c>
      <c r="R77" s="270">
        <v>802</v>
      </c>
      <c r="S77" s="270">
        <v>1356</v>
      </c>
      <c r="T77" s="270">
        <v>1385</v>
      </c>
      <c r="U77" s="270">
        <v>1147</v>
      </c>
      <c r="V77" s="270">
        <v>604</v>
      </c>
      <c r="W77" s="270">
        <v>615</v>
      </c>
      <c r="Y77" s="728">
        <f t="shared" si="17"/>
        <v>1088</v>
      </c>
      <c r="Z77" s="728">
        <f t="shared" si="18"/>
        <v>2741</v>
      </c>
      <c r="AA77" s="728">
        <f t="shared" si="19"/>
        <v>1751</v>
      </c>
    </row>
    <row r="78" spans="1:27" x14ac:dyDescent="0.25">
      <c r="A78" s="688" t="s">
        <v>190</v>
      </c>
      <c r="B78" s="190" t="s">
        <v>191</v>
      </c>
      <c r="C78" s="698" t="s">
        <v>268</v>
      </c>
      <c r="D78" s="616">
        <v>1192</v>
      </c>
      <c r="E78" s="617">
        <v>1080</v>
      </c>
      <c r="F78" s="617">
        <v>210</v>
      </c>
      <c r="G78" s="617">
        <v>1</v>
      </c>
      <c r="H78" s="617">
        <v>1</v>
      </c>
      <c r="I78" s="617">
        <v>3</v>
      </c>
      <c r="J78" s="617">
        <v>0</v>
      </c>
      <c r="K78" s="617">
        <v>45</v>
      </c>
      <c r="L78" s="270"/>
      <c r="M78" s="692">
        <f t="shared" si="14"/>
        <v>1080</v>
      </c>
      <c r="N78" s="693">
        <f t="shared" si="15"/>
        <v>210</v>
      </c>
      <c r="O78" s="693">
        <f t="shared" si="16"/>
        <v>5</v>
      </c>
      <c r="Q78" s="270">
        <v>100</v>
      </c>
      <c r="R78" s="270">
        <v>221</v>
      </c>
      <c r="S78" s="270">
        <v>279</v>
      </c>
      <c r="T78" s="270">
        <v>250</v>
      </c>
      <c r="U78" s="270">
        <v>216</v>
      </c>
      <c r="V78" s="270">
        <v>103</v>
      </c>
      <c r="W78" s="270">
        <v>23</v>
      </c>
      <c r="Y78" s="728">
        <f t="shared" si="17"/>
        <v>321</v>
      </c>
      <c r="Z78" s="728">
        <f t="shared" si="18"/>
        <v>529</v>
      </c>
      <c r="AA78" s="728">
        <f t="shared" si="19"/>
        <v>319</v>
      </c>
    </row>
    <row r="79" spans="1:27" x14ac:dyDescent="0.25">
      <c r="A79" s="688" t="s">
        <v>194</v>
      </c>
      <c r="B79" s="190" t="s">
        <v>195</v>
      </c>
      <c r="C79" s="698" t="s">
        <v>267</v>
      </c>
      <c r="D79" s="616">
        <v>75</v>
      </c>
      <c r="E79" s="617">
        <v>75</v>
      </c>
      <c r="F79" s="617">
        <v>7</v>
      </c>
      <c r="G79" s="617">
        <v>0</v>
      </c>
      <c r="H79" s="617">
        <v>0</v>
      </c>
      <c r="I79" s="617">
        <v>0</v>
      </c>
      <c r="J79" s="617">
        <v>0</v>
      </c>
      <c r="K79" s="617">
        <v>0</v>
      </c>
      <c r="L79" s="270"/>
      <c r="M79" s="692">
        <f t="shared" si="14"/>
        <v>75</v>
      </c>
      <c r="N79" s="693">
        <f t="shared" si="15"/>
        <v>7</v>
      </c>
      <c r="O79" s="693">
        <f t="shared" si="16"/>
        <v>0</v>
      </c>
      <c r="Q79" s="270">
        <v>3</v>
      </c>
      <c r="R79" s="270">
        <v>13</v>
      </c>
      <c r="S79" s="270">
        <v>22</v>
      </c>
      <c r="T79" s="270">
        <v>13</v>
      </c>
      <c r="U79" s="270">
        <v>15</v>
      </c>
      <c r="V79" s="270">
        <v>8</v>
      </c>
      <c r="W79" s="270">
        <v>1</v>
      </c>
      <c r="Y79" s="728">
        <f t="shared" si="17"/>
        <v>16</v>
      </c>
      <c r="Z79" s="728">
        <f t="shared" si="18"/>
        <v>35</v>
      </c>
      <c r="AA79" s="728">
        <f t="shared" si="19"/>
        <v>23</v>
      </c>
    </row>
    <row r="80" spans="1:27" x14ac:dyDescent="0.25">
      <c r="A80" s="688" t="s">
        <v>198</v>
      </c>
      <c r="B80" s="190" t="s">
        <v>272</v>
      </c>
      <c r="C80" s="698" t="s">
        <v>266</v>
      </c>
      <c r="D80" s="616">
        <v>23</v>
      </c>
      <c r="E80" s="617">
        <v>13</v>
      </c>
      <c r="F80" s="617">
        <v>10</v>
      </c>
      <c r="G80" s="617">
        <v>0</v>
      </c>
      <c r="H80" s="617">
        <v>0</v>
      </c>
      <c r="I80" s="617">
        <v>0</v>
      </c>
      <c r="J80" s="617">
        <v>0</v>
      </c>
      <c r="K80" s="617">
        <v>0</v>
      </c>
      <c r="L80" s="270"/>
      <c r="M80" s="692">
        <f t="shared" si="14"/>
        <v>13</v>
      </c>
      <c r="N80" s="693">
        <f t="shared" si="15"/>
        <v>10</v>
      </c>
      <c r="O80" s="693">
        <f t="shared" si="16"/>
        <v>0</v>
      </c>
      <c r="Q80" s="270">
        <v>1</v>
      </c>
      <c r="R80" s="270">
        <v>4</v>
      </c>
      <c r="S80" s="270">
        <v>7</v>
      </c>
      <c r="T80" s="270">
        <v>1</v>
      </c>
      <c r="U80" s="270">
        <v>3</v>
      </c>
      <c r="V80" s="270">
        <v>0</v>
      </c>
      <c r="W80" s="270">
        <v>7</v>
      </c>
      <c r="Y80" s="728">
        <f t="shared" si="17"/>
        <v>5</v>
      </c>
      <c r="Z80" s="728">
        <f t="shared" si="18"/>
        <v>8</v>
      </c>
      <c r="AA80" s="728">
        <f t="shared" si="19"/>
        <v>3</v>
      </c>
    </row>
    <row r="81" spans="1:27" x14ac:dyDescent="0.25">
      <c r="A81" s="688" t="s">
        <v>202</v>
      </c>
      <c r="B81" s="190" t="s">
        <v>301</v>
      </c>
      <c r="C81" s="698" t="s">
        <v>265</v>
      </c>
      <c r="D81" s="616">
        <v>1613</v>
      </c>
      <c r="E81" s="617">
        <v>1319</v>
      </c>
      <c r="F81" s="617">
        <v>226</v>
      </c>
      <c r="G81" s="617">
        <v>17</v>
      </c>
      <c r="H81" s="617">
        <v>6</v>
      </c>
      <c r="I81" s="617">
        <v>1</v>
      </c>
      <c r="J81" s="617">
        <v>7</v>
      </c>
      <c r="K81" s="617">
        <v>46</v>
      </c>
      <c r="L81" s="270"/>
      <c r="M81" s="692">
        <f t="shared" si="14"/>
        <v>1319</v>
      </c>
      <c r="N81" s="693">
        <f t="shared" si="15"/>
        <v>226</v>
      </c>
      <c r="O81" s="693">
        <f t="shared" si="16"/>
        <v>24</v>
      </c>
      <c r="Q81" s="270">
        <v>107</v>
      </c>
      <c r="R81" s="270">
        <v>239</v>
      </c>
      <c r="S81" s="270">
        <v>366</v>
      </c>
      <c r="T81" s="270">
        <v>318</v>
      </c>
      <c r="U81" s="270">
        <v>299</v>
      </c>
      <c r="V81" s="270">
        <v>94</v>
      </c>
      <c r="W81" s="270">
        <v>190</v>
      </c>
      <c r="Y81" s="728">
        <f t="shared" si="17"/>
        <v>346</v>
      </c>
      <c r="Z81" s="728">
        <f t="shared" si="18"/>
        <v>684</v>
      </c>
      <c r="AA81" s="728">
        <f t="shared" si="19"/>
        <v>393</v>
      </c>
    </row>
    <row r="82" spans="1:27" x14ac:dyDescent="0.25">
      <c r="A82" s="688" t="s">
        <v>204</v>
      </c>
      <c r="B82" s="190" t="s">
        <v>293</v>
      </c>
      <c r="C82" s="698" t="s">
        <v>265</v>
      </c>
      <c r="D82" s="616">
        <v>478</v>
      </c>
      <c r="E82" s="617">
        <v>399</v>
      </c>
      <c r="F82" s="617">
        <v>40</v>
      </c>
      <c r="G82" s="617">
        <v>1</v>
      </c>
      <c r="H82" s="617">
        <v>16</v>
      </c>
      <c r="I82" s="617">
        <v>2</v>
      </c>
      <c r="J82" s="617">
        <v>1</v>
      </c>
      <c r="K82" s="617">
        <v>8</v>
      </c>
      <c r="L82" s="270"/>
      <c r="M82" s="692">
        <f t="shared" si="14"/>
        <v>399</v>
      </c>
      <c r="N82" s="693">
        <f t="shared" si="15"/>
        <v>40</v>
      </c>
      <c r="O82" s="693">
        <f t="shared" si="16"/>
        <v>19</v>
      </c>
      <c r="Q82" s="270">
        <v>40</v>
      </c>
      <c r="R82" s="270">
        <v>75</v>
      </c>
      <c r="S82" s="270">
        <v>86</v>
      </c>
      <c r="T82" s="270">
        <v>107</v>
      </c>
      <c r="U82" s="270">
        <v>58</v>
      </c>
      <c r="V82" s="270">
        <v>20</v>
      </c>
      <c r="W82" s="270">
        <v>92</v>
      </c>
      <c r="Y82" s="728">
        <f t="shared" si="17"/>
        <v>115</v>
      </c>
      <c r="Z82" s="728">
        <f t="shared" si="18"/>
        <v>193</v>
      </c>
      <c r="AA82" s="728">
        <f t="shared" si="19"/>
        <v>78</v>
      </c>
    </row>
    <row r="83" spans="1:27" x14ac:dyDescent="0.25">
      <c r="A83" s="688" t="s">
        <v>206</v>
      </c>
      <c r="B83" s="190" t="s">
        <v>294</v>
      </c>
      <c r="C83" s="698" t="s">
        <v>267</v>
      </c>
      <c r="D83" s="616">
        <v>2421</v>
      </c>
      <c r="E83" s="617">
        <v>2262</v>
      </c>
      <c r="F83" s="617">
        <v>159</v>
      </c>
      <c r="G83" s="617">
        <v>1</v>
      </c>
      <c r="H83" s="617">
        <v>1</v>
      </c>
      <c r="I83" s="617">
        <v>0</v>
      </c>
      <c r="J83" s="617">
        <v>0</v>
      </c>
      <c r="K83" s="617">
        <v>324</v>
      </c>
      <c r="L83" s="270"/>
      <c r="M83" s="692">
        <f t="shared" si="14"/>
        <v>2262</v>
      </c>
      <c r="N83" s="693">
        <f t="shared" si="15"/>
        <v>159</v>
      </c>
      <c r="O83" s="693">
        <f t="shared" si="16"/>
        <v>2</v>
      </c>
      <c r="Q83" s="270">
        <v>159</v>
      </c>
      <c r="R83" s="270">
        <v>304</v>
      </c>
      <c r="S83" s="270">
        <v>551</v>
      </c>
      <c r="T83" s="270">
        <v>565</v>
      </c>
      <c r="U83" s="270">
        <v>427</v>
      </c>
      <c r="V83" s="270">
        <v>192</v>
      </c>
      <c r="W83" s="270">
        <v>223</v>
      </c>
      <c r="Y83" s="728">
        <f t="shared" si="17"/>
        <v>463</v>
      </c>
      <c r="Z83" s="728">
        <f t="shared" si="18"/>
        <v>1116</v>
      </c>
      <c r="AA83" s="728">
        <f t="shared" si="19"/>
        <v>619</v>
      </c>
    </row>
    <row r="84" spans="1:27" x14ac:dyDescent="0.25">
      <c r="A84" s="688" t="s">
        <v>208</v>
      </c>
      <c r="B84" s="190" t="s">
        <v>209</v>
      </c>
      <c r="C84" s="698" t="s">
        <v>268</v>
      </c>
      <c r="D84" s="616">
        <v>755</v>
      </c>
      <c r="E84" s="617">
        <v>743</v>
      </c>
      <c r="F84" s="617">
        <v>5</v>
      </c>
      <c r="G84" s="617">
        <v>0</v>
      </c>
      <c r="H84" s="617">
        <v>2</v>
      </c>
      <c r="I84" s="617">
        <v>0</v>
      </c>
      <c r="J84" s="617">
        <v>0</v>
      </c>
      <c r="K84" s="617">
        <v>9</v>
      </c>
      <c r="L84" s="270"/>
      <c r="M84" s="692">
        <f t="shared" si="14"/>
        <v>743</v>
      </c>
      <c r="N84" s="693">
        <f t="shared" si="15"/>
        <v>5</v>
      </c>
      <c r="O84" s="693">
        <f t="shared" si="16"/>
        <v>2</v>
      </c>
      <c r="Q84" s="270">
        <v>63</v>
      </c>
      <c r="R84" s="270">
        <v>126</v>
      </c>
      <c r="S84" s="270">
        <v>144</v>
      </c>
      <c r="T84" s="270">
        <v>156</v>
      </c>
      <c r="U84" s="270">
        <v>130</v>
      </c>
      <c r="V84" s="270">
        <v>77</v>
      </c>
      <c r="W84" s="270">
        <v>59</v>
      </c>
      <c r="Y84" s="728">
        <f t="shared" si="17"/>
        <v>189</v>
      </c>
      <c r="Z84" s="728">
        <f t="shared" si="18"/>
        <v>300</v>
      </c>
      <c r="AA84" s="728">
        <f t="shared" si="19"/>
        <v>207</v>
      </c>
    </row>
    <row r="85" spans="1:27" x14ac:dyDescent="0.25">
      <c r="A85" s="688" t="s">
        <v>210</v>
      </c>
      <c r="B85" s="190" t="s">
        <v>211</v>
      </c>
      <c r="C85" s="698" t="s">
        <v>268</v>
      </c>
      <c r="D85" s="616">
        <v>550</v>
      </c>
      <c r="E85" s="617">
        <v>530</v>
      </c>
      <c r="F85" s="617">
        <v>17</v>
      </c>
      <c r="G85" s="617">
        <v>0</v>
      </c>
      <c r="H85" s="617">
        <v>2</v>
      </c>
      <c r="I85" s="617">
        <v>0</v>
      </c>
      <c r="J85" s="617">
        <v>0</v>
      </c>
      <c r="K85" s="617">
        <v>7</v>
      </c>
      <c r="L85" s="270"/>
      <c r="M85" s="692">
        <f t="shared" si="14"/>
        <v>530</v>
      </c>
      <c r="N85" s="693">
        <f t="shared" si="15"/>
        <v>17</v>
      </c>
      <c r="O85" s="693">
        <f t="shared" si="16"/>
        <v>2</v>
      </c>
      <c r="Q85" s="270">
        <v>29</v>
      </c>
      <c r="R85" s="270">
        <v>93</v>
      </c>
      <c r="S85" s="270">
        <v>133</v>
      </c>
      <c r="T85" s="270">
        <v>127</v>
      </c>
      <c r="U85" s="270">
        <v>89</v>
      </c>
      <c r="V85" s="270">
        <v>41</v>
      </c>
      <c r="W85" s="270">
        <v>38</v>
      </c>
      <c r="Y85" s="728">
        <f t="shared" si="17"/>
        <v>122</v>
      </c>
      <c r="Z85" s="728">
        <f t="shared" si="18"/>
        <v>260</v>
      </c>
      <c r="AA85" s="728">
        <f t="shared" si="19"/>
        <v>130</v>
      </c>
    </row>
    <row r="86" spans="1:27" x14ac:dyDescent="0.25">
      <c r="A86" s="688" t="s">
        <v>212</v>
      </c>
      <c r="B86" s="190" t="s">
        <v>213</v>
      </c>
      <c r="C86" s="698" t="s">
        <v>267</v>
      </c>
      <c r="D86" s="616">
        <v>944</v>
      </c>
      <c r="E86" s="617">
        <v>854</v>
      </c>
      <c r="F86" s="617">
        <v>56</v>
      </c>
      <c r="G86" s="617">
        <v>0</v>
      </c>
      <c r="H86" s="617">
        <v>4</v>
      </c>
      <c r="I86" s="617">
        <v>2</v>
      </c>
      <c r="J86" s="617">
        <v>0</v>
      </c>
      <c r="K86" s="617">
        <v>74</v>
      </c>
      <c r="L86" s="270"/>
      <c r="M86" s="692">
        <f t="shared" si="14"/>
        <v>854</v>
      </c>
      <c r="N86" s="693">
        <f t="shared" si="15"/>
        <v>56</v>
      </c>
      <c r="O86" s="693">
        <f t="shared" si="16"/>
        <v>6</v>
      </c>
      <c r="Q86" s="270">
        <v>62</v>
      </c>
      <c r="R86" s="270">
        <v>154</v>
      </c>
      <c r="S86" s="270">
        <v>242</v>
      </c>
      <c r="T86" s="270">
        <v>212</v>
      </c>
      <c r="U86" s="270">
        <v>164</v>
      </c>
      <c r="V86" s="270">
        <v>50</v>
      </c>
      <c r="W86" s="270">
        <v>60</v>
      </c>
      <c r="Y86" s="728">
        <f t="shared" si="17"/>
        <v>216</v>
      </c>
      <c r="Z86" s="728">
        <f t="shared" si="18"/>
        <v>454</v>
      </c>
      <c r="AA86" s="728">
        <f t="shared" si="19"/>
        <v>214</v>
      </c>
    </row>
    <row r="87" spans="1:27" x14ac:dyDescent="0.25">
      <c r="A87" s="688" t="s">
        <v>214</v>
      </c>
      <c r="B87" s="190" t="s">
        <v>215</v>
      </c>
      <c r="C87" s="698" t="s">
        <v>268</v>
      </c>
      <c r="D87" s="616">
        <v>1023</v>
      </c>
      <c r="E87" s="617">
        <v>950</v>
      </c>
      <c r="F87" s="617">
        <v>42</v>
      </c>
      <c r="G87" s="617">
        <v>2</v>
      </c>
      <c r="H87" s="617">
        <v>8</v>
      </c>
      <c r="I87" s="617">
        <v>0</v>
      </c>
      <c r="J87" s="617">
        <v>0</v>
      </c>
      <c r="K87" s="617">
        <v>28</v>
      </c>
      <c r="L87" s="270"/>
      <c r="M87" s="692">
        <f t="shared" si="14"/>
        <v>950</v>
      </c>
      <c r="N87" s="693">
        <f t="shared" si="15"/>
        <v>42</v>
      </c>
      <c r="O87" s="693">
        <f t="shared" si="16"/>
        <v>10</v>
      </c>
      <c r="Q87" s="270">
        <v>84</v>
      </c>
      <c r="R87" s="270">
        <v>182</v>
      </c>
      <c r="S87" s="270">
        <v>237</v>
      </c>
      <c r="T87" s="270">
        <v>199</v>
      </c>
      <c r="U87" s="270">
        <v>191</v>
      </c>
      <c r="V87" s="270">
        <v>75</v>
      </c>
      <c r="W87" s="270">
        <v>55</v>
      </c>
      <c r="Y87" s="728">
        <f t="shared" si="17"/>
        <v>266</v>
      </c>
      <c r="Z87" s="728">
        <f t="shared" si="18"/>
        <v>436</v>
      </c>
      <c r="AA87" s="728">
        <f t="shared" si="19"/>
        <v>266</v>
      </c>
    </row>
    <row r="88" spans="1:27" x14ac:dyDescent="0.25">
      <c r="A88" s="688" t="s">
        <v>216</v>
      </c>
      <c r="B88" s="190" t="s">
        <v>217</v>
      </c>
      <c r="C88" s="698" t="s">
        <v>264</v>
      </c>
      <c r="D88" s="616">
        <v>104</v>
      </c>
      <c r="E88" s="617">
        <v>39</v>
      </c>
      <c r="F88" s="617">
        <v>57</v>
      </c>
      <c r="G88" s="617">
        <v>0</v>
      </c>
      <c r="H88" s="617">
        <v>0</v>
      </c>
      <c r="I88" s="617">
        <v>2</v>
      </c>
      <c r="J88" s="617">
        <v>0</v>
      </c>
      <c r="K88" s="617">
        <v>2</v>
      </c>
      <c r="L88" s="270"/>
      <c r="M88" s="692">
        <f t="shared" si="14"/>
        <v>39</v>
      </c>
      <c r="N88" s="693">
        <f t="shared" si="15"/>
        <v>57</v>
      </c>
      <c r="O88" s="693">
        <f t="shared" si="16"/>
        <v>2</v>
      </c>
      <c r="Q88" s="270">
        <v>9</v>
      </c>
      <c r="R88" s="270">
        <v>7</v>
      </c>
      <c r="S88" s="270">
        <v>14</v>
      </c>
      <c r="T88" s="270">
        <v>18</v>
      </c>
      <c r="U88" s="270">
        <v>14</v>
      </c>
      <c r="V88" s="270">
        <v>9</v>
      </c>
      <c r="W88" s="270">
        <v>33</v>
      </c>
      <c r="Y88" s="728">
        <f t="shared" si="17"/>
        <v>16</v>
      </c>
      <c r="Z88" s="728">
        <f t="shared" si="18"/>
        <v>32</v>
      </c>
      <c r="AA88" s="728">
        <f t="shared" si="19"/>
        <v>23</v>
      </c>
    </row>
    <row r="89" spans="1:27" x14ac:dyDescent="0.25">
      <c r="A89" s="688" t="s">
        <v>218</v>
      </c>
      <c r="B89" s="190" t="s">
        <v>219</v>
      </c>
      <c r="C89" s="698" t="s">
        <v>267</v>
      </c>
      <c r="D89" s="616">
        <v>1712</v>
      </c>
      <c r="E89" s="617">
        <v>1204</v>
      </c>
      <c r="F89" s="617">
        <v>365</v>
      </c>
      <c r="G89" s="617">
        <v>10</v>
      </c>
      <c r="H89" s="617">
        <v>2</v>
      </c>
      <c r="I89" s="617">
        <v>5</v>
      </c>
      <c r="J89" s="617">
        <v>3</v>
      </c>
      <c r="K89" s="617">
        <v>132</v>
      </c>
      <c r="L89" s="270"/>
      <c r="M89" s="692">
        <f t="shared" si="14"/>
        <v>1204</v>
      </c>
      <c r="N89" s="693">
        <f t="shared" si="15"/>
        <v>365</v>
      </c>
      <c r="O89" s="693">
        <f t="shared" si="16"/>
        <v>17</v>
      </c>
      <c r="Q89" s="270">
        <v>127</v>
      </c>
      <c r="R89" s="270">
        <v>247</v>
      </c>
      <c r="S89" s="270">
        <v>378</v>
      </c>
      <c r="T89" s="270">
        <v>362</v>
      </c>
      <c r="U89" s="270">
        <v>326</v>
      </c>
      <c r="V89" s="270">
        <v>161</v>
      </c>
      <c r="W89" s="270">
        <v>111</v>
      </c>
      <c r="Y89" s="728">
        <f t="shared" si="17"/>
        <v>374</v>
      </c>
      <c r="Z89" s="728">
        <f t="shared" si="18"/>
        <v>740</v>
      </c>
      <c r="AA89" s="728">
        <f t="shared" si="19"/>
        <v>487</v>
      </c>
    </row>
    <row r="90" spans="1:27" x14ac:dyDescent="0.25">
      <c r="A90" s="688" t="s">
        <v>220</v>
      </c>
      <c r="B90" s="190" t="s">
        <v>221</v>
      </c>
      <c r="C90" s="698" t="s">
        <v>267</v>
      </c>
      <c r="D90" s="616">
        <v>1524</v>
      </c>
      <c r="E90" s="617">
        <v>880</v>
      </c>
      <c r="F90" s="617">
        <v>453</v>
      </c>
      <c r="G90" s="617">
        <v>12</v>
      </c>
      <c r="H90" s="617">
        <v>9</v>
      </c>
      <c r="I90" s="617">
        <v>5</v>
      </c>
      <c r="J90" s="617">
        <v>1</v>
      </c>
      <c r="K90" s="617">
        <v>182</v>
      </c>
      <c r="L90" s="270"/>
      <c r="M90" s="692">
        <f t="shared" si="14"/>
        <v>880</v>
      </c>
      <c r="N90" s="693">
        <f t="shared" si="15"/>
        <v>453</v>
      </c>
      <c r="O90" s="693">
        <f t="shared" si="16"/>
        <v>26</v>
      </c>
      <c r="Q90" s="270">
        <v>89</v>
      </c>
      <c r="R90" s="270">
        <v>225</v>
      </c>
      <c r="S90" s="270">
        <v>344</v>
      </c>
      <c r="T90" s="270">
        <v>313</v>
      </c>
      <c r="U90" s="270">
        <v>251</v>
      </c>
      <c r="V90" s="270">
        <v>115</v>
      </c>
      <c r="W90" s="270">
        <v>187</v>
      </c>
      <c r="Y90" s="728">
        <f t="shared" si="17"/>
        <v>314</v>
      </c>
      <c r="Z90" s="728">
        <f t="shared" si="18"/>
        <v>657</v>
      </c>
      <c r="AA90" s="728">
        <f t="shared" si="19"/>
        <v>366</v>
      </c>
    </row>
    <row r="91" spans="1:27" x14ac:dyDescent="0.25">
      <c r="A91" s="688" t="s">
        <v>224</v>
      </c>
      <c r="B91" s="190" t="s">
        <v>225</v>
      </c>
      <c r="C91" s="698" t="s">
        <v>264</v>
      </c>
      <c r="D91" s="616">
        <v>47</v>
      </c>
      <c r="E91" s="617">
        <v>31</v>
      </c>
      <c r="F91" s="617">
        <v>19</v>
      </c>
      <c r="G91" s="617">
        <v>0</v>
      </c>
      <c r="H91" s="617">
        <v>0</v>
      </c>
      <c r="I91" s="617">
        <v>0</v>
      </c>
      <c r="J91" s="617">
        <v>0</v>
      </c>
      <c r="K91" s="617">
        <v>1</v>
      </c>
      <c r="L91" s="270"/>
      <c r="M91" s="692">
        <f t="shared" si="14"/>
        <v>31</v>
      </c>
      <c r="N91" s="693">
        <f t="shared" si="15"/>
        <v>19</v>
      </c>
      <c r="O91" s="693">
        <f t="shared" si="16"/>
        <v>0</v>
      </c>
      <c r="Q91" s="270">
        <v>3</v>
      </c>
      <c r="R91" s="270">
        <v>7</v>
      </c>
      <c r="S91" s="270">
        <v>8</v>
      </c>
      <c r="T91" s="270">
        <v>11</v>
      </c>
      <c r="U91" s="270">
        <v>12</v>
      </c>
      <c r="V91" s="270">
        <v>5</v>
      </c>
      <c r="W91" s="270">
        <v>1</v>
      </c>
      <c r="Y91" s="728">
        <f t="shared" si="17"/>
        <v>10</v>
      </c>
      <c r="Z91" s="728">
        <f t="shared" si="18"/>
        <v>19</v>
      </c>
      <c r="AA91" s="728">
        <f t="shared" si="19"/>
        <v>17</v>
      </c>
    </row>
    <row r="92" spans="1:27" x14ac:dyDescent="0.25">
      <c r="A92" s="688" t="s">
        <v>226</v>
      </c>
      <c r="B92" s="190" t="s">
        <v>227</v>
      </c>
      <c r="C92" s="698" t="s">
        <v>264</v>
      </c>
      <c r="D92" s="616">
        <v>72</v>
      </c>
      <c r="E92" s="617">
        <v>23</v>
      </c>
      <c r="F92" s="617">
        <v>44</v>
      </c>
      <c r="G92" s="617">
        <v>0</v>
      </c>
      <c r="H92" s="617">
        <v>0</v>
      </c>
      <c r="I92" s="617">
        <v>0</v>
      </c>
      <c r="J92" s="617">
        <v>0</v>
      </c>
      <c r="K92" s="617">
        <v>0</v>
      </c>
      <c r="L92" s="270"/>
      <c r="M92" s="692">
        <f t="shared" si="14"/>
        <v>23</v>
      </c>
      <c r="N92" s="693">
        <f t="shared" si="15"/>
        <v>44</v>
      </c>
      <c r="O92" s="693">
        <f t="shared" si="16"/>
        <v>0</v>
      </c>
      <c r="Q92" s="270">
        <v>3</v>
      </c>
      <c r="R92" s="270">
        <v>17</v>
      </c>
      <c r="S92" s="270">
        <v>15</v>
      </c>
      <c r="T92" s="270">
        <v>12</v>
      </c>
      <c r="U92" s="270">
        <v>16</v>
      </c>
      <c r="V92" s="270">
        <v>3</v>
      </c>
      <c r="W92" s="270">
        <v>6</v>
      </c>
      <c r="Y92" s="728">
        <f t="shared" si="17"/>
        <v>20</v>
      </c>
      <c r="Z92" s="728">
        <f t="shared" si="18"/>
        <v>27</v>
      </c>
      <c r="AA92" s="728">
        <f t="shared" si="19"/>
        <v>19</v>
      </c>
    </row>
    <row r="93" spans="1:27" x14ac:dyDescent="0.25">
      <c r="A93" s="688" t="s">
        <v>228</v>
      </c>
      <c r="B93" s="190" t="s">
        <v>229</v>
      </c>
      <c r="C93" s="698" t="s">
        <v>268</v>
      </c>
      <c r="D93" s="616">
        <v>670</v>
      </c>
      <c r="E93" s="617">
        <v>639</v>
      </c>
      <c r="F93" s="617">
        <v>44</v>
      </c>
      <c r="G93" s="617">
        <v>0</v>
      </c>
      <c r="H93" s="617">
        <v>1</v>
      </c>
      <c r="I93" s="617">
        <v>0</v>
      </c>
      <c r="J93" s="617">
        <v>1</v>
      </c>
      <c r="K93" s="617">
        <v>16</v>
      </c>
      <c r="L93" s="270"/>
      <c r="M93" s="692">
        <f t="shared" si="14"/>
        <v>639</v>
      </c>
      <c r="N93" s="693">
        <f t="shared" si="15"/>
        <v>44</v>
      </c>
      <c r="O93" s="693">
        <f t="shared" si="16"/>
        <v>1</v>
      </c>
      <c r="Q93" s="270">
        <v>61</v>
      </c>
      <c r="R93" s="270">
        <v>138</v>
      </c>
      <c r="S93" s="270">
        <v>156</v>
      </c>
      <c r="T93" s="270">
        <v>158</v>
      </c>
      <c r="U93" s="270">
        <v>95</v>
      </c>
      <c r="V93" s="270">
        <v>41</v>
      </c>
      <c r="W93" s="270">
        <v>21</v>
      </c>
      <c r="Y93" s="728">
        <f t="shared" si="17"/>
        <v>199</v>
      </c>
      <c r="Z93" s="728">
        <f t="shared" si="18"/>
        <v>314</v>
      </c>
      <c r="AA93" s="728">
        <f t="shared" si="19"/>
        <v>136</v>
      </c>
    </row>
    <row r="94" spans="1:27" x14ac:dyDescent="0.25">
      <c r="A94" s="688" t="s">
        <v>232</v>
      </c>
      <c r="B94" s="190" t="s">
        <v>233</v>
      </c>
      <c r="C94" s="698" t="s">
        <v>267</v>
      </c>
      <c r="D94" s="616">
        <v>623</v>
      </c>
      <c r="E94" s="617">
        <v>393</v>
      </c>
      <c r="F94" s="617">
        <v>41</v>
      </c>
      <c r="G94" s="617">
        <v>0</v>
      </c>
      <c r="H94" s="617">
        <v>2</v>
      </c>
      <c r="I94" s="617">
        <v>0</v>
      </c>
      <c r="J94" s="617">
        <v>3</v>
      </c>
      <c r="K94" s="617">
        <v>25</v>
      </c>
      <c r="L94" s="270"/>
      <c r="M94" s="692">
        <f t="shared" si="14"/>
        <v>393</v>
      </c>
      <c r="N94" s="693">
        <f t="shared" si="15"/>
        <v>41</v>
      </c>
      <c r="O94" s="693">
        <f t="shared" si="16"/>
        <v>2</v>
      </c>
      <c r="Q94" s="270">
        <v>73</v>
      </c>
      <c r="R94" s="270">
        <v>97</v>
      </c>
      <c r="S94" s="270">
        <v>131</v>
      </c>
      <c r="T94" s="270">
        <v>123</v>
      </c>
      <c r="U94" s="270">
        <v>83</v>
      </c>
      <c r="V94" s="270">
        <v>45</v>
      </c>
      <c r="W94" s="270">
        <v>71</v>
      </c>
      <c r="Y94" s="728">
        <f t="shared" si="17"/>
        <v>170</v>
      </c>
      <c r="Z94" s="728">
        <f t="shared" si="18"/>
        <v>254</v>
      </c>
      <c r="AA94" s="728">
        <f t="shared" si="19"/>
        <v>128</v>
      </c>
    </row>
    <row r="95" spans="1:27" x14ac:dyDescent="0.25">
      <c r="A95" s="688" t="s">
        <v>234</v>
      </c>
      <c r="B95" s="190" t="s">
        <v>235</v>
      </c>
      <c r="C95" s="698" t="s">
        <v>268</v>
      </c>
      <c r="D95" s="616">
        <v>864</v>
      </c>
      <c r="E95" s="617">
        <v>823</v>
      </c>
      <c r="F95" s="617">
        <v>37</v>
      </c>
      <c r="G95" s="617">
        <v>2</v>
      </c>
      <c r="H95" s="617">
        <v>4</v>
      </c>
      <c r="I95" s="617">
        <v>1</v>
      </c>
      <c r="J95" s="617">
        <v>0</v>
      </c>
      <c r="K95" s="617">
        <v>31</v>
      </c>
      <c r="L95" s="270"/>
      <c r="M95" s="692">
        <f t="shared" si="14"/>
        <v>823</v>
      </c>
      <c r="N95" s="693">
        <f t="shared" si="15"/>
        <v>37</v>
      </c>
      <c r="O95" s="693">
        <f t="shared" si="16"/>
        <v>7</v>
      </c>
      <c r="Q95" s="270">
        <v>76</v>
      </c>
      <c r="R95" s="270">
        <v>133</v>
      </c>
      <c r="S95" s="270">
        <v>203</v>
      </c>
      <c r="T95" s="270">
        <v>146</v>
      </c>
      <c r="U95" s="270">
        <v>131</v>
      </c>
      <c r="V95" s="270">
        <v>62</v>
      </c>
      <c r="W95" s="270">
        <v>113</v>
      </c>
      <c r="Y95" s="728">
        <f t="shared" si="17"/>
        <v>209</v>
      </c>
      <c r="Z95" s="728">
        <f t="shared" si="18"/>
        <v>349</v>
      </c>
      <c r="AA95" s="728">
        <f t="shared" si="19"/>
        <v>193</v>
      </c>
    </row>
    <row r="96" spans="1:27" x14ac:dyDescent="0.25">
      <c r="A96" s="688" t="s">
        <v>236</v>
      </c>
      <c r="B96" s="190" t="s">
        <v>237</v>
      </c>
      <c r="C96" s="698" t="s">
        <v>266</v>
      </c>
      <c r="D96" s="616">
        <v>204</v>
      </c>
      <c r="E96" s="617">
        <v>106</v>
      </c>
      <c r="F96" s="617">
        <v>67</v>
      </c>
      <c r="G96" s="617">
        <v>0</v>
      </c>
      <c r="H96" s="617">
        <v>0</v>
      </c>
      <c r="I96" s="617">
        <v>0</v>
      </c>
      <c r="J96" s="617">
        <v>0</v>
      </c>
      <c r="K96" s="617">
        <v>8</v>
      </c>
      <c r="L96" s="270"/>
      <c r="M96" s="692">
        <f t="shared" si="14"/>
        <v>106</v>
      </c>
      <c r="N96" s="693">
        <f t="shared" si="15"/>
        <v>67</v>
      </c>
      <c r="O96" s="693">
        <f t="shared" si="16"/>
        <v>0</v>
      </c>
      <c r="Q96" s="270">
        <v>16</v>
      </c>
      <c r="R96" s="270">
        <v>46</v>
      </c>
      <c r="S96" s="270">
        <v>47</v>
      </c>
      <c r="T96" s="270">
        <v>36</v>
      </c>
      <c r="U96" s="270">
        <v>16</v>
      </c>
      <c r="V96" s="270">
        <v>7</v>
      </c>
      <c r="W96" s="270">
        <v>36</v>
      </c>
      <c r="Y96" s="728">
        <f t="shared" si="17"/>
        <v>62</v>
      </c>
      <c r="Z96" s="728">
        <f t="shared" si="18"/>
        <v>83</v>
      </c>
      <c r="AA96" s="728">
        <f t="shared" si="19"/>
        <v>23</v>
      </c>
    </row>
    <row r="97" spans="1:27" x14ac:dyDescent="0.25">
      <c r="A97" s="688" t="s">
        <v>242</v>
      </c>
      <c r="B97" s="190" t="s">
        <v>243</v>
      </c>
      <c r="C97" s="698" t="s">
        <v>268</v>
      </c>
      <c r="D97" s="616">
        <v>1172</v>
      </c>
      <c r="E97" s="617">
        <v>1153</v>
      </c>
      <c r="F97" s="617">
        <v>35</v>
      </c>
      <c r="G97" s="617">
        <v>0</v>
      </c>
      <c r="H97" s="617">
        <v>4</v>
      </c>
      <c r="I97" s="617">
        <v>0</v>
      </c>
      <c r="J97" s="617">
        <v>1</v>
      </c>
      <c r="K97" s="617">
        <v>23</v>
      </c>
      <c r="L97" s="270"/>
      <c r="M97" s="692">
        <f t="shared" si="14"/>
        <v>1153</v>
      </c>
      <c r="N97" s="693">
        <f t="shared" si="15"/>
        <v>35</v>
      </c>
      <c r="O97" s="693">
        <f t="shared" si="16"/>
        <v>4</v>
      </c>
      <c r="Q97" s="270">
        <v>99</v>
      </c>
      <c r="R97" s="270">
        <v>233</v>
      </c>
      <c r="S97" s="270">
        <v>274</v>
      </c>
      <c r="T97" s="270">
        <v>241</v>
      </c>
      <c r="U97" s="270">
        <v>191</v>
      </c>
      <c r="V97" s="270">
        <v>85</v>
      </c>
      <c r="W97" s="270">
        <v>49</v>
      </c>
      <c r="Y97" s="728">
        <f t="shared" si="17"/>
        <v>332</v>
      </c>
      <c r="Z97" s="728">
        <f t="shared" si="18"/>
        <v>515</v>
      </c>
      <c r="AA97" s="728">
        <f t="shared" si="19"/>
        <v>276</v>
      </c>
    </row>
    <row r="98" spans="1:27" x14ac:dyDescent="0.25">
      <c r="A98" s="688" t="s">
        <v>244</v>
      </c>
      <c r="B98" s="190" t="s">
        <v>245</v>
      </c>
      <c r="C98" s="698" t="s">
        <v>268</v>
      </c>
      <c r="D98" s="616">
        <v>696</v>
      </c>
      <c r="E98" s="617">
        <v>673</v>
      </c>
      <c r="F98" s="617">
        <v>29</v>
      </c>
      <c r="G98" s="617">
        <v>3</v>
      </c>
      <c r="H98" s="617">
        <v>5</v>
      </c>
      <c r="I98" s="617">
        <v>0</v>
      </c>
      <c r="J98" s="617">
        <v>1</v>
      </c>
      <c r="K98" s="617">
        <v>15</v>
      </c>
      <c r="L98" s="270"/>
      <c r="M98" s="692">
        <f t="shared" si="14"/>
        <v>673</v>
      </c>
      <c r="N98" s="693">
        <f t="shared" si="15"/>
        <v>29</v>
      </c>
      <c r="O98" s="693">
        <f t="shared" si="16"/>
        <v>8</v>
      </c>
      <c r="Q98" s="270">
        <v>49</v>
      </c>
      <c r="R98" s="270">
        <v>124</v>
      </c>
      <c r="S98" s="270">
        <v>142</v>
      </c>
      <c r="T98" s="270">
        <v>138</v>
      </c>
      <c r="U98" s="270">
        <v>123</v>
      </c>
      <c r="V98" s="270">
        <v>53</v>
      </c>
      <c r="W98" s="270">
        <v>67</v>
      </c>
      <c r="Y98" s="728">
        <f t="shared" si="17"/>
        <v>173</v>
      </c>
      <c r="Z98" s="728">
        <f t="shared" si="18"/>
        <v>280</v>
      </c>
      <c r="AA98" s="728">
        <f t="shared" si="19"/>
        <v>176</v>
      </c>
    </row>
    <row r="99" spans="1:27" x14ac:dyDescent="0.25">
      <c r="A99" s="688" t="s">
        <v>246</v>
      </c>
      <c r="B99" s="190" t="s">
        <v>247</v>
      </c>
      <c r="C99" s="698" t="s">
        <v>264</v>
      </c>
      <c r="D99" s="616">
        <v>748</v>
      </c>
      <c r="E99" s="617">
        <v>420</v>
      </c>
      <c r="F99" s="617">
        <v>117</v>
      </c>
      <c r="G99" s="617">
        <v>8</v>
      </c>
      <c r="H99" s="617">
        <v>3</v>
      </c>
      <c r="I99" s="617">
        <v>0</v>
      </c>
      <c r="J99" s="617">
        <v>9</v>
      </c>
      <c r="K99" s="617">
        <v>32</v>
      </c>
      <c r="L99" s="270"/>
      <c r="M99" s="692">
        <f t="shared" si="14"/>
        <v>420</v>
      </c>
      <c r="N99" s="693">
        <f t="shared" si="15"/>
        <v>117</v>
      </c>
      <c r="O99" s="693">
        <f t="shared" si="16"/>
        <v>11</v>
      </c>
      <c r="Q99" s="270">
        <v>34</v>
      </c>
      <c r="R99" s="270">
        <v>84</v>
      </c>
      <c r="S99" s="270">
        <v>153</v>
      </c>
      <c r="T99" s="270">
        <v>186</v>
      </c>
      <c r="U99" s="270">
        <v>147</v>
      </c>
      <c r="V99" s="270">
        <v>61</v>
      </c>
      <c r="W99" s="270">
        <v>83</v>
      </c>
      <c r="Y99" s="728">
        <f t="shared" si="17"/>
        <v>118</v>
      </c>
      <c r="Z99" s="728">
        <f t="shared" si="18"/>
        <v>339</v>
      </c>
      <c r="AA99" s="728">
        <f t="shared" si="19"/>
        <v>208</v>
      </c>
    </row>
    <row r="100" spans="1:27" x14ac:dyDescent="0.25">
      <c r="A100" s="688" t="s">
        <v>14</v>
      </c>
      <c r="B100" s="190" t="s">
        <v>15</v>
      </c>
      <c r="C100" s="698" t="s">
        <v>267</v>
      </c>
      <c r="D100" s="616">
        <v>1619</v>
      </c>
      <c r="E100" s="617">
        <v>781</v>
      </c>
      <c r="F100" s="617">
        <v>737</v>
      </c>
      <c r="G100" s="617">
        <v>23</v>
      </c>
      <c r="H100" s="617">
        <v>9</v>
      </c>
      <c r="I100" s="617">
        <v>2</v>
      </c>
      <c r="J100" s="617">
        <v>5</v>
      </c>
      <c r="K100" s="617">
        <v>649</v>
      </c>
      <c r="L100" s="270"/>
      <c r="M100" s="692">
        <f t="shared" si="14"/>
        <v>781</v>
      </c>
      <c r="N100" s="693">
        <f t="shared" si="15"/>
        <v>737</v>
      </c>
      <c r="O100" s="693">
        <f t="shared" si="16"/>
        <v>34</v>
      </c>
      <c r="Q100" s="270">
        <v>124</v>
      </c>
      <c r="R100" s="270">
        <v>278</v>
      </c>
      <c r="S100" s="270">
        <v>367</v>
      </c>
      <c r="T100" s="270">
        <v>298</v>
      </c>
      <c r="U100" s="270">
        <v>290</v>
      </c>
      <c r="V100" s="270">
        <v>161</v>
      </c>
      <c r="W100" s="270">
        <v>101</v>
      </c>
      <c r="Y100" s="728">
        <f t="shared" si="17"/>
        <v>402</v>
      </c>
      <c r="Z100" s="728">
        <f t="shared" si="18"/>
        <v>665</v>
      </c>
      <c r="AA100" s="728">
        <f t="shared" si="19"/>
        <v>451</v>
      </c>
    </row>
    <row r="101" spans="1:27" x14ac:dyDescent="0.25">
      <c r="A101" s="688" t="s">
        <v>34</v>
      </c>
      <c r="B101" s="190" t="s">
        <v>35</v>
      </c>
      <c r="C101" s="698" t="s">
        <v>268</v>
      </c>
      <c r="D101" s="616">
        <v>286</v>
      </c>
      <c r="E101" s="617">
        <v>190</v>
      </c>
      <c r="F101" s="617">
        <v>22</v>
      </c>
      <c r="G101" s="617">
        <v>1</v>
      </c>
      <c r="H101" s="617">
        <v>0</v>
      </c>
      <c r="I101" s="617">
        <v>0</v>
      </c>
      <c r="J101" s="617">
        <v>0</v>
      </c>
      <c r="K101" s="617">
        <v>1</v>
      </c>
      <c r="L101" s="270"/>
      <c r="M101" s="692">
        <f t="shared" ref="M101:M124" si="20">E101</f>
        <v>190</v>
      </c>
      <c r="N101" s="693">
        <f t="shared" ref="N101:N124" si="21">F101</f>
        <v>22</v>
      </c>
      <c r="O101" s="693">
        <f t="shared" ref="O101:O124" si="22">SUM(G101:I101)</f>
        <v>1</v>
      </c>
      <c r="Q101" s="270">
        <v>47</v>
      </c>
      <c r="R101" s="270">
        <v>32</v>
      </c>
      <c r="S101" s="270">
        <v>56</v>
      </c>
      <c r="T101" s="270">
        <v>46</v>
      </c>
      <c r="U101" s="270">
        <v>39</v>
      </c>
      <c r="V101" s="270">
        <v>16</v>
      </c>
      <c r="W101" s="270">
        <v>50</v>
      </c>
      <c r="Y101" s="728">
        <f t="shared" ref="Y101:Y124" si="23">Q101+R101</f>
        <v>79</v>
      </c>
      <c r="Z101" s="728">
        <f t="shared" ref="Z101:Z124" si="24">S101+T101</f>
        <v>102</v>
      </c>
      <c r="AA101" s="728">
        <f t="shared" ref="AA101:AA124" si="25">U101+V101</f>
        <v>55</v>
      </c>
    </row>
    <row r="102" spans="1:27" x14ac:dyDescent="0.25">
      <c r="A102" s="688" t="s">
        <v>52</v>
      </c>
      <c r="B102" s="190" t="s">
        <v>53</v>
      </c>
      <c r="C102" s="698" t="s">
        <v>265</v>
      </c>
      <c r="D102" s="616">
        <v>1227</v>
      </c>
      <c r="E102" s="617">
        <v>463</v>
      </c>
      <c r="F102" s="617">
        <v>874</v>
      </c>
      <c r="G102" s="617">
        <v>27</v>
      </c>
      <c r="H102" s="617">
        <v>0</v>
      </c>
      <c r="I102" s="617">
        <v>0</v>
      </c>
      <c r="J102" s="617">
        <v>4</v>
      </c>
      <c r="K102" s="617">
        <v>93</v>
      </c>
      <c r="L102" s="270"/>
      <c r="M102" s="692">
        <f t="shared" si="20"/>
        <v>463</v>
      </c>
      <c r="N102" s="693">
        <f t="shared" si="21"/>
        <v>874</v>
      </c>
      <c r="O102" s="693">
        <f t="shared" si="22"/>
        <v>27</v>
      </c>
      <c r="Q102" s="270">
        <v>104</v>
      </c>
      <c r="R102" s="270">
        <v>179</v>
      </c>
      <c r="S102" s="270">
        <v>352</v>
      </c>
      <c r="T102" s="270">
        <v>287</v>
      </c>
      <c r="U102" s="270">
        <v>147</v>
      </c>
      <c r="V102" s="270">
        <v>90</v>
      </c>
      <c r="W102" s="270">
        <v>68</v>
      </c>
      <c r="Y102" s="728">
        <f t="shared" si="23"/>
        <v>283</v>
      </c>
      <c r="Z102" s="728">
        <f t="shared" si="24"/>
        <v>639</v>
      </c>
      <c r="AA102" s="728">
        <f t="shared" si="25"/>
        <v>237</v>
      </c>
    </row>
    <row r="103" spans="1:27" x14ac:dyDescent="0.25">
      <c r="A103" s="688" t="s">
        <v>54</v>
      </c>
      <c r="B103" s="190" t="s">
        <v>55</v>
      </c>
      <c r="C103" s="698" t="s">
        <v>264</v>
      </c>
      <c r="D103" s="616">
        <v>2471</v>
      </c>
      <c r="E103" s="617">
        <v>1280</v>
      </c>
      <c r="F103" s="617">
        <v>1073</v>
      </c>
      <c r="G103" s="617">
        <v>39</v>
      </c>
      <c r="H103" s="617">
        <v>27</v>
      </c>
      <c r="I103" s="617">
        <v>11</v>
      </c>
      <c r="J103" s="617">
        <v>4</v>
      </c>
      <c r="K103" s="617">
        <v>191</v>
      </c>
      <c r="L103" s="270"/>
      <c r="M103" s="692">
        <f t="shared" si="20"/>
        <v>1280</v>
      </c>
      <c r="N103" s="693">
        <f t="shared" si="21"/>
        <v>1073</v>
      </c>
      <c r="O103" s="693">
        <f t="shared" si="22"/>
        <v>77</v>
      </c>
      <c r="Q103" s="270">
        <v>137</v>
      </c>
      <c r="R103" s="270">
        <v>281</v>
      </c>
      <c r="S103" s="270">
        <v>459</v>
      </c>
      <c r="T103" s="270">
        <v>473</v>
      </c>
      <c r="U103" s="270">
        <v>520</v>
      </c>
      <c r="V103" s="270">
        <v>188</v>
      </c>
      <c r="W103" s="270">
        <v>413</v>
      </c>
      <c r="Y103" s="728">
        <f t="shared" si="23"/>
        <v>418</v>
      </c>
      <c r="Z103" s="728">
        <f t="shared" si="24"/>
        <v>932</v>
      </c>
      <c r="AA103" s="728">
        <f t="shared" si="25"/>
        <v>708</v>
      </c>
    </row>
    <row r="104" spans="1:27" x14ac:dyDescent="0.25">
      <c r="A104" s="688" t="s">
        <v>66</v>
      </c>
      <c r="B104" s="190" t="s">
        <v>67</v>
      </c>
      <c r="C104" s="698" t="s">
        <v>265</v>
      </c>
      <c r="D104" s="616">
        <v>821</v>
      </c>
      <c r="E104" s="617">
        <v>249</v>
      </c>
      <c r="F104" s="617">
        <v>484</v>
      </c>
      <c r="G104" s="617">
        <v>2</v>
      </c>
      <c r="H104" s="617">
        <v>6</v>
      </c>
      <c r="I104" s="617">
        <v>1</v>
      </c>
      <c r="J104" s="617">
        <v>0</v>
      </c>
      <c r="K104" s="617">
        <v>24</v>
      </c>
      <c r="L104" s="270"/>
      <c r="M104" s="692">
        <f t="shared" si="20"/>
        <v>249</v>
      </c>
      <c r="N104" s="693">
        <f t="shared" si="21"/>
        <v>484</v>
      </c>
      <c r="O104" s="693">
        <f t="shared" si="22"/>
        <v>9</v>
      </c>
      <c r="Q104" s="270">
        <v>71</v>
      </c>
      <c r="R104" s="270">
        <v>164</v>
      </c>
      <c r="S104" s="270">
        <v>177</v>
      </c>
      <c r="T104" s="270">
        <v>167</v>
      </c>
      <c r="U104" s="270">
        <v>142</v>
      </c>
      <c r="V104" s="270">
        <v>52</v>
      </c>
      <c r="W104" s="270">
        <v>48</v>
      </c>
      <c r="Y104" s="728">
        <f t="shared" si="23"/>
        <v>235</v>
      </c>
      <c r="Z104" s="728">
        <f t="shared" si="24"/>
        <v>344</v>
      </c>
      <c r="AA104" s="728">
        <f t="shared" si="25"/>
        <v>194</v>
      </c>
    </row>
    <row r="105" spans="1:27" x14ac:dyDescent="0.25">
      <c r="A105" s="688" t="s">
        <v>82</v>
      </c>
      <c r="B105" s="190" t="s">
        <v>83</v>
      </c>
      <c r="C105" s="698" t="s">
        <v>264</v>
      </c>
      <c r="D105" s="616">
        <v>124</v>
      </c>
      <c r="E105" s="617">
        <v>32</v>
      </c>
      <c r="F105" s="617">
        <v>100</v>
      </c>
      <c r="G105" s="617">
        <v>0</v>
      </c>
      <c r="H105" s="617">
        <v>0</v>
      </c>
      <c r="I105" s="617">
        <v>1</v>
      </c>
      <c r="J105" s="617">
        <v>0</v>
      </c>
      <c r="K105" s="617">
        <v>3</v>
      </c>
      <c r="L105" s="270"/>
      <c r="M105" s="692">
        <f t="shared" si="20"/>
        <v>32</v>
      </c>
      <c r="N105" s="693">
        <f t="shared" si="21"/>
        <v>100</v>
      </c>
      <c r="O105" s="693">
        <f t="shared" si="22"/>
        <v>1</v>
      </c>
      <c r="Q105" s="270">
        <v>11</v>
      </c>
      <c r="R105" s="270">
        <v>31</v>
      </c>
      <c r="S105" s="270">
        <v>31</v>
      </c>
      <c r="T105" s="270">
        <v>29</v>
      </c>
      <c r="U105" s="270">
        <v>13</v>
      </c>
      <c r="V105" s="270">
        <v>2</v>
      </c>
      <c r="W105" s="270">
        <v>7</v>
      </c>
      <c r="Y105" s="728">
        <f t="shared" si="23"/>
        <v>42</v>
      </c>
      <c r="Z105" s="728">
        <f t="shared" si="24"/>
        <v>60</v>
      </c>
      <c r="AA105" s="728">
        <f t="shared" si="25"/>
        <v>15</v>
      </c>
    </row>
    <row r="106" spans="1:27" x14ac:dyDescent="0.25">
      <c r="A106" s="688" t="s">
        <v>88</v>
      </c>
      <c r="B106" s="190" t="s">
        <v>89</v>
      </c>
      <c r="C106" s="698" t="s">
        <v>267</v>
      </c>
      <c r="D106" s="616">
        <v>620</v>
      </c>
      <c r="E106" s="617">
        <v>340</v>
      </c>
      <c r="F106" s="617">
        <v>291</v>
      </c>
      <c r="G106" s="617">
        <v>10</v>
      </c>
      <c r="H106" s="617">
        <v>5</v>
      </c>
      <c r="I106" s="617">
        <v>2</v>
      </c>
      <c r="J106" s="617">
        <v>0</v>
      </c>
      <c r="K106" s="617">
        <v>62</v>
      </c>
      <c r="L106" s="270"/>
      <c r="M106" s="692">
        <f t="shared" si="20"/>
        <v>340</v>
      </c>
      <c r="N106" s="693">
        <f t="shared" si="21"/>
        <v>291</v>
      </c>
      <c r="O106" s="693">
        <f t="shared" si="22"/>
        <v>17</v>
      </c>
      <c r="Q106" s="270">
        <v>62</v>
      </c>
      <c r="R106" s="270">
        <v>144</v>
      </c>
      <c r="S106" s="270">
        <v>140</v>
      </c>
      <c r="T106" s="270">
        <v>111</v>
      </c>
      <c r="U106" s="270">
        <v>85</v>
      </c>
      <c r="V106" s="270">
        <v>42</v>
      </c>
      <c r="W106" s="270">
        <v>36</v>
      </c>
      <c r="Y106" s="728">
        <f t="shared" si="23"/>
        <v>206</v>
      </c>
      <c r="Z106" s="728">
        <f t="shared" si="24"/>
        <v>251</v>
      </c>
      <c r="AA106" s="728">
        <f t="shared" si="25"/>
        <v>127</v>
      </c>
    </row>
    <row r="107" spans="1:27" x14ac:dyDescent="0.25">
      <c r="A107" s="688" t="s">
        <v>90</v>
      </c>
      <c r="B107" s="190" t="s">
        <v>91</v>
      </c>
      <c r="C107" s="698" t="s">
        <v>268</v>
      </c>
      <c r="D107" s="616">
        <v>87</v>
      </c>
      <c r="E107" s="617">
        <v>81</v>
      </c>
      <c r="F107" s="617">
        <v>8</v>
      </c>
      <c r="G107" s="617">
        <v>0</v>
      </c>
      <c r="H107" s="617">
        <v>0</v>
      </c>
      <c r="I107" s="617">
        <v>0</v>
      </c>
      <c r="J107" s="617">
        <v>0</v>
      </c>
      <c r="K107" s="617">
        <v>6</v>
      </c>
      <c r="L107" s="270"/>
      <c r="M107" s="692">
        <f t="shared" si="20"/>
        <v>81</v>
      </c>
      <c r="N107" s="693">
        <f t="shared" si="21"/>
        <v>8</v>
      </c>
      <c r="O107" s="693">
        <f t="shared" si="22"/>
        <v>0</v>
      </c>
      <c r="Q107" s="270">
        <v>12</v>
      </c>
      <c r="R107" s="270">
        <v>24</v>
      </c>
      <c r="S107" s="270">
        <v>16</v>
      </c>
      <c r="T107" s="270">
        <v>11</v>
      </c>
      <c r="U107" s="270">
        <v>8</v>
      </c>
      <c r="V107" s="270">
        <v>11</v>
      </c>
      <c r="W107" s="270">
        <v>5</v>
      </c>
      <c r="Y107" s="728">
        <f t="shared" si="23"/>
        <v>36</v>
      </c>
      <c r="Z107" s="728">
        <f t="shared" si="24"/>
        <v>27</v>
      </c>
      <c r="AA107" s="728">
        <f t="shared" si="25"/>
        <v>19</v>
      </c>
    </row>
    <row r="108" spans="1:27" x14ac:dyDescent="0.25">
      <c r="A108" s="688" t="s">
        <v>106</v>
      </c>
      <c r="B108" s="190" t="s">
        <v>107</v>
      </c>
      <c r="C108" s="698" t="s">
        <v>264</v>
      </c>
      <c r="D108" s="616">
        <v>1142</v>
      </c>
      <c r="E108" s="617">
        <v>441</v>
      </c>
      <c r="F108" s="617">
        <v>642</v>
      </c>
      <c r="G108" s="617">
        <v>11</v>
      </c>
      <c r="H108" s="617">
        <v>7</v>
      </c>
      <c r="I108" s="617">
        <v>0</v>
      </c>
      <c r="J108" s="617">
        <v>0</v>
      </c>
      <c r="K108" s="617">
        <v>42</v>
      </c>
      <c r="L108" s="270"/>
      <c r="M108" s="692">
        <f t="shared" si="20"/>
        <v>441</v>
      </c>
      <c r="N108" s="693">
        <f t="shared" si="21"/>
        <v>642</v>
      </c>
      <c r="O108" s="693">
        <f t="shared" si="22"/>
        <v>18</v>
      </c>
      <c r="Q108" s="270">
        <v>77</v>
      </c>
      <c r="R108" s="270">
        <v>174</v>
      </c>
      <c r="S108" s="270">
        <v>250</v>
      </c>
      <c r="T108" s="270">
        <v>205</v>
      </c>
      <c r="U108" s="270">
        <v>163</v>
      </c>
      <c r="V108" s="270">
        <v>72</v>
      </c>
      <c r="W108" s="270">
        <v>201</v>
      </c>
      <c r="Y108" s="728">
        <f t="shared" si="23"/>
        <v>251</v>
      </c>
      <c r="Z108" s="728">
        <f t="shared" si="24"/>
        <v>455</v>
      </c>
      <c r="AA108" s="728">
        <f t="shared" si="25"/>
        <v>235</v>
      </c>
    </row>
    <row r="109" spans="1:27" x14ac:dyDescent="0.25">
      <c r="A109" s="688" t="s">
        <v>116</v>
      </c>
      <c r="B109" s="190" t="s">
        <v>117</v>
      </c>
      <c r="C109" s="698" t="s">
        <v>266</v>
      </c>
      <c r="D109" s="616">
        <v>683</v>
      </c>
      <c r="E109" s="617">
        <v>391</v>
      </c>
      <c r="F109" s="617">
        <v>321</v>
      </c>
      <c r="G109" s="617">
        <v>2</v>
      </c>
      <c r="H109" s="617">
        <v>12</v>
      </c>
      <c r="I109" s="617">
        <v>1</v>
      </c>
      <c r="J109" s="617">
        <v>1</v>
      </c>
      <c r="K109" s="617">
        <v>38</v>
      </c>
      <c r="L109" s="270"/>
      <c r="M109" s="692">
        <f t="shared" si="20"/>
        <v>391</v>
      </c>
      <c r="N109" s="693">
        <f t="shared" si="21"/>
        <v>321</v>
      </c>
      <c r="O109" s="693">
        <f t="shared" si="22"/>
        <v>15</v>
      </c>
      <c r="Q109" s="270">
        <v>58</v>
      </c>
      <c r="R109" s="270">
        <v>119</v>
      </c>
      <c r="S109" s="270">
        <v>159</v>
      </c>
      <c r="T109" s="270">
        <v>106</v>
      </c>
      <c r="U109" s="270">
        <v>89</v>
      </c>
      <c r="V109" s="270">
        <v>52</v>
      </c>
      <c r="W109" s="270">
        <v>100</v>
      </c>
      <c r="Y109" s="728">
        <f t="shared" si="23"/>
        <v>177</v>
      </c>
      <c r="Z109" s="728">
        <f t="shared" si="24"/>
        <v>265</v>
      </c>
      <c r="AA109" s="728">
        <f t="shared" si="25"/>
        <v>141</v>
      </c>
    </row>
    <row r="110" spans="1:27" x14ac:dyDescent="0.25">
      <c r="A110" s="688" t="s">
        <v>138</v>
      </c>
      <c r="B110" s="190" t="s">
        <v>139</v>
      </c>
      <c r="C110" s="698" t="s">
        <v>265</v>
      </c>
      <c r="D110" s="616">
        <v>1502</v>
      </c>
      <c r="E110" s="617">
        <v>660</v>
      </c>
      <c r="F110" s="617">
        <v>854</v>
      </c>
      <c r="G110" s="617">
        <v>4</v>
      </c>
      <c r="H110" s="617">
        <v>1</v>
      </c>
      <c r="I110" s="617">
        <v>2</v>
      </c>
      <c r="J110" s="617">
        <v>3</v>
      </c>
      <c r="K110" s="617">
        <v>83</v>
      </c>
      <c r="L110" s="270"/>
      <c r="M110" s="692">
        <f t="shared" si="20"/>
        <v>660</v>
      </c>
      <c r="N110" s="693">
        <f t="shared" si="21"/>
        <v>854</v>
      </c>
      <c r="O110" s="693">
        <f t="shared" si="22"/>
        <v>7</v>
      </c>
      <c r="Q110" s="270">
        <v>156</v>
      </c>
      <c r="R110" s="270">
        <v>288</v>
      </c>
      <c r="S110" s="270">
        <v>380</v>
      </c>
      <c r="T110" s="270">
        <v>279</v>
      </c>
      <c r="U110" s="270">
        <v>210</v>
      </c>
      <c r="V110" s="270">
        <v>60</v>
      </c>
      <c r="W110" s="270">
        <v>129</v>
      </c>
      <c r="Y110" s="728">
        <f t="shared" si="23"/>
        <v>444</v>
      </c>
      <c r="Z110" s="728">
        <f t="shared" si="24"/>
        <v>659</v>
      </c>
      <c r="AA110" s="728">
        <f t="shared" si="25"/>
        <v>270</v>
      </c>
    </row>
    <row r="111" spans="1:27" x14ac:dyDescent="0.25">
      <c r="A111" s="688" t="s">
        <v>142</v>
      </c>
      <c r="B111" s="190" t="s">
        <v>143</v>
      </c>
      <c r="C111" s="698" t="s">
        <v>267</v>
      </c>
      <c r="D111" s="616">
        <v>651</v>
      </c>
      <c r="E111" s="617">
        <v>477</v>
      </c>
      <c r="F111" s="617">
        <v>174</v>
      </c>
      <c r="G111" s="617">
        <v>6</v>
      </c>
      <c r="H111" s="617">
        <v>0</v>
      </c>
      <c r="I111" s="617">
        <v>1</v>
      </c>
      <c r="J111" s="617">
        <v>1</v>
      </c>
      <c r="K111" s="617">
        <v>304</v>
      </c>
      <c r="L111" s="270"/>
      <c r="M111" s="692">
        <f t="shared" si="20"/>
        <v>477</v>
      </c>
      <c r="N111" s="693">
        <f t="shared" si="21"/>
        <v>174</v>
      </c>
      <c r="O111" s="693">
        <f t="shared" si="22"/>
        <v>7</v>
      </c>
      <c r="Q111" s="270">
        <v>24</v>
      </c>
      <c r="R111" s="270">
        <v>65</v>
      </c>
      <c r="S111" s="270">
        <v>155</v>
      </c>
      <c r="T111" s="270">
        <v>135</v>
      </c>
      <c r="U111" s="270">
        <v>112</v>
      </c>
      <c r="V111" s="270">
        <v>46</v>
      </c>
      <c r="W111" s="270">
        <v>114</v>
      </c>
      <c r="Y111" s="728">
        <f t="shared" si="23"/>
        <v>89</v>
      </c>
      <c r="Z111" s="728">
        <f t="shared" si="24"/>
        <v>290</v>
      </c>
      <c r="AA111" s="728">
        <f t="shared" si="25"/>
        <v>158</v>
      </c>
    </row>
    <row r="112" spans="1:27" x14ac:dyDescent="0.25">
      <c r="A112" s="688" t="s">
        <v>144</v>
      </c>
      <c r="B112" s="190" t="s">
        <v>145</v>
      </c>
      <c r="C112" s="698" t="s">
        <v>267</v>
      </c>
      <c r="D112" s="616">
        <v>198</v>
      </c>
      <c r="E112" s="617">
        <v>117</v>
      </c>
      <c r="F112" s="617">
        <v>18</v>
      </c>
      <c r="G112" s="617">
        <v>2</v>
      </c>
      <c r="H112" s="617">
        <v>2</v>
      </c>
      <c r="I112" s="617">
        <v>0</v>
      </c>
      <c r="J112" s="617">
        <v>0</v>
      </c>
      <c r="K112" s="617">
        <v>98</v>
      </c>
      <c r="L112" s="270"/>
      <c r="M112" s="692">
        <f t="shared" si="20"/>
        <v>117</v>
      </c>
      <c r="N112" s="693">
        <f t="shared" si="21"/>
        <v>18</v>
      </c>
      <c r="O112" s="693">
        <f t="shared" si="22"/>
        <v>4</v>
      </c>
      <c r="Q112" s="270">
        <v>10</v>
      </c>
      <c r="R112" s="270">
        <v>24</v>
      </c>
      <c r="S112" s="270">
        <v>42</v>
      </c>
      <c r="T112" s="270">
        <v>41</v>
      </c>
      <c r="U112" s="270">
        <v>33</v>
      </c>
      <c r="V112" s="270">
        <v>13</v>
      </c>
      <c r="W112" s="270">
        <v>35</v>
      </c>
      <c r="Y112" s="728">
        <f t="shared" si="23"/>
        <v>34</v>
      </c>
      <c r="Z112" s="728">
        <f t="shared" si="24"/>
        <v>83</v>
      </c>
      <c r="AA112" s="728">
        <f t="shared" si="25"/>
        <v>46</v>
      </c>
    </row>
    <row r="113" spans="1:27" x14ac:dyDescent="0.25">
      <c r="A113" s="688" t="s">
        <v>158</v>
      </c>
      <c r="B113" s="190" t="s">
        <v>159</v>
      </c>
      <c r="C113" s="698" t="s">
        <v>264</v>
      </c>
      <c r="D113" s="616">
        <v>2463</v>
      </c>
      <c r="E113" s="617">
        <v>811</v>
      </c>
      <c r="F113" s="617">
        <v>1529</v>
      </c>
      <c r="G113" s="617">
        <v>28</v>
      </c>
      <c r="H113" s="617">
        <v>16</v>
      </c>
      <c r="I113" s="617">
        <v>5</v>
      </c>
      <c r="J113" s="617">
        <v>3</v>
      </c>
      <c r="K113" s="617">
        <v>212</v>
      </c>
      <c r="L113" s="270"/>
      <c r="M113" s="692">
        <f t="shared" si="20"/>
        <v>811</v>
      </c>
      <c r="N113" s="693">
        <f t="shared" si="21"/>
        <v>1529</v>
      </c>
      <c r="O113" s="693">
        <f t="shared" si="22"/>
        <v>49</v>
      </c>
      <c r="Q113" s="270">
        <v>176</v>
      </c>
      <c r="R113" s="270">
        <v>426</v>
      </c>
      <c r="S113" s="270">
        <v>578</v>
      </c>
      <c r="T113" s="270">
        <v>464</v>
      </c>
      <c r="U113" s="270">
        <v>432</v>
      </c>
      <c r="V113" s="270">
        <v>161</v>
      </c>
      <c r="W113" s="270">
        <v>226</v>
      </c>
      <c r="Y113" s="728">
        <f t="shared" si="23"/>
        <v>602</v>
      </c>
      <c r="Z113" s="728">
        <f t="shared" si="24"/>
        <v>1042</v>
      </c>
      <c r="AA113" s="728">
        <f t="shared" si="25"/>
        <v>593</v>
      </c>
    </row>
    <row r="114" spans="1:27" x14ac:dyDescent="0.25">
      <c r="A114" s="688" t="s">
        <v>160</v>
      </c>
      <c r="B114" s="190" t="s">
        <v>161</v>
      </c>
      <c r="C114" s="698" t="s">
        <v>264</v>
      </c>
      <c r="D114" s="616">
        <v>2842</v>
      </c>
      <c r="E114" s="617">
        <v>912</v>
      </c>
      <c r="F114" s="617">
        <v>1876</v>
      </c>
      <c r="G114" s="617">
        <v>29</v>
      </c>
      <c r="H114" s="617">
        <v>11</v>
      </c>
      <c r="I114" s="617">
        <v>4</v>
      </c>
      <c r="J114" s="617">
        <v>3</v>
      </c>
      <c r="K114" s="617">
        <v>172</v>
      </c>
      <c r="L114" s="270"/>
      <c r="M114" s="692">
        <f t="shared" si="20"/>
        <v>912</v>
      </c>
      <c r="N114" s="693">
        <f t="shared" si="21"/>
        <v>1876</v>
      </c>
      <c r="O114" s="693">
        <f t="shared" si="22"/>
        <v>44</v>
      </c>
      <c r="Q114" s="270">
        <v>252</v>
      </c>
      <c r="R114" s="270">
        <v>412</v>
      </c>
      <c r="S114" s="270">
        <v>606</v>
      </c>
      <c r="T114" s="270">
        <v>604</v>
      </c>
      <c r="U114" s="270">
        <v>470</v>
      </c>
      <c r="V114" s="270">
        <v>167</v>
      </c>
      <c r="W114" s="270">
        <v>331</v>
      </c>
      <c r="Y114" s="728">
        <f t="shared" si="23"/>
        <v>664</v>
      </c>
      <c r="Z114" s="728">
        <f t="shared" si="24"/>
        <v>1210</v>
      </c>
      <c r="AA114" s="728">
        <f t="shared" si="25"/>
        <v>637</v>
      </c>
    </row>
    <row r="115" spans="1:27" x14ac:dyDescent="0.25">
      <c r="A115" s="688" t="s">
        <v>166</v>
      </c>
      <c r="B115" s="190" t="s">
        <v>167</v>
      </c>
      <c r="C115" s="698" t="s">
        <v>268</v>
      </c>
      <c r="D115" s="616">
        <v>189</v>
      </c>
      <c r="E115" s="617">
        <v>174</v>
      </c>
      <c r="F115" s="617">
        <v>14</v>
      </c>
      <c r="G115" s="617">
        <v>0</v>
      </c>
      <c r="H115" s="617">
        <v>1</v>
      </c>
      <c r="I115" s="617">
        <v>0</v>
      </c>
      <c r="J115" s="617">
        <v>0</v>
      </c>
      <c r="K115" s="617">
        <v>2</v>
      </c>
      <c r="L115" s="270"/>
      <c r="M115" s="692">
        <f t="shared" si="20"/>
        <v>174</v>
      </c>
      <c r="N115" s="693">
        <f t="shared" si="21"/>
        <v>14</v>
      </c>
      <c r="O115" s="693">
        <f t="shared" si="22"/>
        <v>1</v>
      </c>
      <c r="Q115" s="270">
        <v>20</v>
      </c>
      <c r="R115" s="270">
        <v>23</v>
      </c>
      <c r="S115" s="270">
        <v>28</v>
      </c>
      <c r="T115" s="270">
        <v>44</v>
      </c>
      <c r="U115" s="270">
        <v>45</v>
      </c>
      <c r="V115" s="270">
        <v>16</v>
      </c>
      <c r="W115" s="270">
        <v>13</v>
      </c>
      <c r="Y115" s="728">
        <f t="shared" si="23"/>
        <v>43</v>
      </c>
      <c r="Z115" s="728">
        <f t="shared" si="24"/>
        <v>72</v>
      </c>
      <c r="AA115" s="728">
        <f t="shared" si="25"/>
        <v>61</v>
      </c>
    </row>
    <row r="116" spans="1:27" x14ac:dyDescent="0.25">
      <c r="A116" s="688" t="s">
        <v>176</v>
      </c>
      <c r="B116" s="190" t="s">
        <v>177</v>
      </c>
      <c r="C116" s="698" t="s">
        <v>266</v>
      </c>
      <c r="D116" s="616">
        <v>460</v>
      </c>
      <c r="E116" s="617">
        <v>66</v>
      </c>
      <c r="F116" s="617">
        <v>358</v>
      </c>
      <c r="G116" s="617">
        <v>1</v>
      </c>
      <c r="H116" s="617">
        <v>0</v>
      </c>
      <c r="I116" s="617">
        <v>1</v>
      </c>
      <c r="J116" s="617">
        <v>0</v>
      </c>
      <c r="K116" s="617">
        <v>14</v>
      </c>
      <c r="L116" s="270"/>
      <c r="M116" s="692">
        <f t="shared" si="20"/>
        <v>66</v>
      </c>
      <c r="N116" s="693">
        <f t="shared" si="21"/>
        <v>358</v>
      </c>
      <c r="O116" s="693">
        <f t="shared" si="22"/>
        <v>2</v>
      </c>
      <c r="Q116" s="270">
        <v>58</v>
      </c>
      <c r="R116" s="270">
        <v>82</v>
      </c>
      <c r="S116" s="270">
        <v>104</v>
      </c>
      <c r="T116" s="270">
        <v>53</v>
      </c>
      <c r="U116" s="270">
        <v>73</v>
      </c>
      <c r="V116" s="270">
        <v>44</v>
      </c>
      <c r="W116" s="270">
        <v>46</v>
      </c>
      <c r="Y116" s="728">
        <f t="shared" si="23"/>
        <v>140</v>
      </c>
      <c r="Z116" s="728">
        <f t="shared" si="24"/>
        <v>157</v>
      </c>
      <c r="AA116" s="728">
        <f t="shared" si="25"/>
        <v>117</v>
      </c>
    </row>
    <row r="117" spans="1:27" x14ac:dyDescent="0.25">
      <c r="A117" s="688" t="s">
        <v>180</v>
      </c>
      <c r="B117" s="190" t="s">
        <v>181</v>
      </c>
      <c r="C117" s="698" t="s">
        <v>264</v>
      </c>
      <c r="D117" s="616">
        <v>1454</v>
      </c>
      <c r="E117" s="617">
        <v>380</v>
      </c>
      <c r="F117" s="617">
        <v>1023</v>
      </c>
      <c r="G117" s="617">
        <v>14</v>
      </c>
      <c r="H117" s="617">
        <v>6</v>
      </c>
      <c r="I117" s="617">
        <v>0</v>
      </c>
      <c r="J117" s="617">
        <v>4</v>
      </c>
      <c r="K117" s="617">
        <v>31</v>
      </c>
      <c r="L117" s="270"/>
      <c r="M117" s="692">
        <f t="shared" si="20"/>
        <v>380</v>
      </c>
      <c r="N117" s="693">
        <f t="shared" si="21"/>
        <v>1023</v>
      </c>
      <c r="O117" s="693">
        <f t="shared" si="22"/>
        <v>20</v>
      </c>
      <c r="Q117" s="270">
        <v>127</v>
      </c>
      <c r="R117" s="270">
        <v>242</v>
      </c>
      <c r="S117" s="270">
        <v>357</v>
      </c>
      <c r="T117" s="270">
        <v>247</v>
      </c>
      <c r="U117" s="270">
        <v>219</v>
      </c>
      <c r="V117" s="270">
        <v>97</v>
      </c>
      <c r="W117" s="270">
        <v>165</v>
      </c>
      <c r="Y117" s="728">
        <f t="shared" si="23"/>
        <v>369</v>
      </c>
      <c r="Z117" s="728">
        <f t="shared" si="24"/>
        <v>604</v>
      </c>
      <c r="AA117" s="728">
        <f t="shared" si="25"/>
        <v>316</v>
      </c>
    </row>
    <row r="118" spans="1:27" x14ac:dyDescent="0.25">
      <c r="A118" s="688" t="s">
        <v>192</v>
      </c>
      <c r="B118" s="190" t="s">
        <v>193</v>
      </c>
      <c r="C118" s="698" t="s">
        <v>268</v>
      </c>
      <c r="D118" s="616">
        <v>123</v>
      </c>
      <c r="E118" s="617">
        <v>103</v>
      </c>
      <c r="F118" s="617">
        <v>23</v>
      </c>
      <c r="G118" s="617">
        <v>1</v>
      </c>
      <c r="H118" s="617">
        <v>0</v>
      </c>
      <c r="I118" s="617">
        <v>0</v>
      </c>
      <c r="J118" s="617">
        <v>1</v>
      </c>
      <c r="K118" s="617">
        <v>10</v>
      </c>
      <c r="L118" s="270"/>
      <c r="M118" s="692">
        <f t="shared" si="20"/>
        <v>103</v>
      </c>
      <c r="N118" s="693">
        <f t="shared" si="21"/>
        <v>23</v>
      </c>
      <c r="O118" s="693">
        <f t="shared" si="22"/>
        <v>1</v>
      </c>
      <c r="Q118" s="270">
        <v>11</v>
      </c>
      <c r="R118" s="270">
        <v>24</v>
      </c>
      <c r="S118" s="270">
        <v>34</v>
      </c>
      <c r="T118" s="270">
        <v>14</v>
      </c>
      <c r="U118" s="270">
        <v>22</v>
      </c>
      <c r="V118" s="270">
        <v>11</v>
      </c>
      <c r="W118" s="270">
        <v>7</v>
      </c>
      <c r="Y118" s="728">
        <f t="shared" si="23"/>
        <v>35</v>
      </c>
      <c r="Z118" s="728">
        <f t="shared" si="24"/>
        <v>48</v>
      </c>
      <c r="AA118" s="728">
        <f t="shared" si="25"/>
        <v>33</v>
      </c>
    </row>
    <row r="119" spans="1:27" x14ac:dyDescent="0.25">
      <c r="A119" s="688" t="s">
        <v>196</v>
      </c>
      <c r="B119" s="190" t="s">
        <v>197</v>
      </c>
      <c r="C119" s="698" t="s">
        <v>266</v>
      </c>
      <c r="D119" s="616">
        <v>2836</v>
      </c>
      <c r="E119" s="617">
        <v>513</v>
      </c>
      <c r="F119" s="617">
        <v>2295</v>
      </c>
      <c r="G119" s="617">
        <v>11</v>
      </c>
      <c r="H119" s="617">
        <v>7</v>
      </c>
      <c r="I119" s="617">
        <v>8</v>
      </c>
      <c r="J119" s="617">
        <v>18</v>
      </c>
      <c r="K119" s="617">
        <v>181</v>
      </c>
      <c r="L119" s="270"/>
      <c r="M119" s="692">
        <f t="shared" si="20"/>
        <v>513</v>
      </c>
      <c r="N119" s="693">
        <f t="shared" si="21"/>
        <v>2295</v>
      </c>
      <c r="O119" s="693">
        <f t="shared" si="22"/>
        <v>26</v>
      </c>
      <c r="Q119" s="270">
        <v>340</v>
      </c>
      <c r="R119" s="270">
        <v>445</v>
      </c>
      <c r="S119" s="270">
        <v>566</v>
      </c>
      <c r="T119" s="270">
        <v>501</v>
      </c>
      <c r="U119" s="270">
        <v>480</v>
      </c>
      <c r="V119" s="270">
        <v>155</v>
      </c>
      <c r="W119" s="270">
        <v>349</v>
      </c>
      <c r="Y119" s="728">
        <f t="shared" si="23"/>
        <v>785</v>
      </c>
      <c r="Z119" s="728">
        <f t="shared" si="24"/>
        <v>1067</v>
      </c>
      <c r="AA119" s="728">
        <f t="shared" si="25"/>
        <v>635</v>
      </c>
    </row>
    <row r="120" spans="1:27" x14ac:dyDescent="0.25">
      <c r="A120" s="688" t="s">
        <v>200</v>
      </c>
      <c r="B120" s="190" t="s">
        <v>201</v>
      </c>
      <c r="C120" s="698" t="s">
        <v>265</v>
      </c>
      <c r="D120" s="616">
        <v>3222</v>
      </c>
      <c r="E120" s="617">
        <v>1604</v>
      </c>
      <c r="F120" s="617">
        <v>1282</v>
      </c>
      <c r="G120" s="617">
        <v>24</v>
      </c>
      <c r="H120" s="617">
        <v>2</v>
      </c>
      <c r="I120" s="617">
        <v>1</v>
      </c>
      <c r="J120" s="617">
        <v>4</v>
      </c>
      <c r="K120" s="617">
        <v>167</v>
      </c>
      <c r="L120" s="270"/>
      <c r="M120" s="692">
        <f t="shared" si="20"/>
        <v>1604</v>
      </c>
      <c r="N120" s="693">
        <f t="shared" si="21"/>
        <v>1282</v>
      </c>
      <c r="O120" s="693">
        <f t="shared" si="22"/>
        <v>27</v>
      </c>
      <c r="Q120" s="270">
        <v>281</v>
      </c>
      <c r="R120" s="270">
        <v>513</v>
      </c>
      <c r="S120" s="270">
        <v>698</v>
      </c>
      <c r="T120" s="270">
        <v>618</v>
      </c>
      <c r="U120" s="270">
        <v>498</v>
      </c>
      <c r="V120" s="270">
        <v>213</v>
      </c>
      <c r="W120" s="270">
        <v>401</v>
      </c>
      <c r="Y120" s="728">
        <f t="shared" si="23"/>
        <v>794</v>
      </c>
      <c r="Z120" s="728">
        <f t="shared" si="24"/>
        <v>1316</v>
      </c>
      <c r="AA120" s="728">
        <f t="shared" si="25"/>
        <v>711</v>
      </c>
    </row>
    <row r="121" spans="1:27" x14ac:dyDescent="0.25">
      <c r="A121" s="688" t="s">
        <v>222</v>
      </c>
      <c r="B121" s="190" t="s">
        <v>223</v>
      </c>
      <c r="C121" s="698" t="s">
        <v>264</v>
      </c>
      <c r="D121" s="616">
        <v>791</v>
      </c>
      <c r="E121" s="617">
        <v>304</v>
      </c>
      <c r="F121" s="617">
        <v>473</v>
      </c>
      <c r="G121" s="617">
        <v>4</v>
      </c>
      <c r="H121" s="617">
        <v>7</v>
      </c>
      <c r="I121" s="617">
        <v>1</v>
      </c>
      <c r="J121" s="617">
        <v>1</v>
      </c>
      <c r="K121" s="617">
        <v>30</v>
      </c>
      <c r="L121" s="270"/>
      <c r="M121" s="692">
        <f t="shared" si="20"/>
        <v>304</v>
      </c>
      <c r="N121" s="693">
        <f t="shared" si="21"/>
        <v>473</v>
      </c>
      <c r="O121" s="693">
        <f t="shared" si="22"/>
        <v>12</v>
      </c>
      <c r="Q121" s="270">
        <v>50</v>
      </c>
      <c r="R121" s="270">
        <v>113</v>
      </c>
      <c r="S121" s="270">
        <v>159</v>
      </c>
      <c r="T121" s="270">
        <v>153</v>
      </c>
      <c r="U121" s="270">
        <v>132</v>
      </c>
      <c r="V121" s="270">
        <v>61</v>
      </c>
      <c r="W121" s="270">
        <v>123</v>
      </c>
      <c r="Y121" s="728">
        <f t="shared" si="23"/>
        <v>163</v>
      </c>
      <c r="Z121" s="728">
        <f t="shared" si="24"/>
        <v>312</v>
      </c>
      <c r="AA121" s="728">
        <f t="shared" si="25"/>
        <v>193</v>
      </c>
    </row>
    <row r="122" spans="1:27" x14ac:dyDescent="0.25">
      <c r="A122" s="688" t="s">
        <v>230</v>
      </c>
      <c r="B122" s="190" t="s">
        <v>231</v>
      </c>
      <c r="C122" s="698" t="s">
        <v>264</v>
      </c>
      <c r="D122" s="616">
        <v>4734</v>
      </c>
      <c r="E122" s="617">
        <v>2911</v>
      </c>
      <c r="F122" s="617">
        <v>1805</v>
      </c>
      <c r="G122" s="617">
        <v>121</v>
      </c>
      <c r="H122" s="617">
        <v>53</v>
      </c>
      <c r="I122" s="617">
        <v>17</v>
      </c>
      <c r="J122" s="617">
        <v>12</v>
      </c>
      <c r="K122" s="617">
        <v>440</v>
      </c>
      <c r="L122" s="270"/>
      <c r="M122" s="692">
        <f t="shared" si="20"/>
        <v>2911</v>
      </c>
      <c r="N122" s="693">
        <f t="shared" si="21"/>
        <v>1805</v>
      </c>
      <c r="O122" s="693">
        <f t="shared" si="22"/>
        <v>191</v>
      </c>
      <c r="Q122" s="270">
        <v>296</v>
      </c>
      <c r="R122" s="270">
        <v>676</v>
      </c>
      <c r="S122" s="270">
        <v>1038</v>
      </c>
      <c r="T122" s="270">
        <v>926</v>
      </c>
      <c r="U122" s="270">
        <v>841</v>
      </c>
      <c r="V122" s="270">
        <v>437</v>
      </c>
      <c r="W122" s="270">
        <v>520</v>
      </c>
      <c r="Y122" s="728">
        <f t="shared" si="23"/>
        <v>972</v>
      </c>
      <c r="Z122" s="728">
        <f t="shared" si="24"/>
        <v>1964</v>
      </c>
      <c r="AA122" s="728">
        <f t="shared" si="25"/>
        <v>1278</v>
      </c>
    </row>
    <row r="123" spans="1:27" x14ac:dyDescent="0.25">
      <c r="A123" s="688" t="s">
        <v>238</v>
      </c>
      <c r="B123" s="190" t="s">
        <v>239</v>
      </c>
      <c r="C123" s="698" t="s">
        <v>264</v>
      </c>
      <c r="D123" s="616">
        <v>70</v>
      </c>
      <c r="E123" s="617">
        <v>33</v>
      </c>
      <c r="F123" s="617">
        <v>32</v>
      </c>
      <c r="G123" s="617">
        <v>0</v>
      </c>
      <c r="H123" s="617">
        <v>6</v>
      </c>
      <c r="I123" s="617">
        <v>0</v>
      </c>
      <c r="J123" s="617">
        <v>0</v>
      </c>
      <c r="K123" s="617">
        <v>7</v>
      </c>
      <c r="L123" s="270"/>
      <c r="M123" s="692">
        <f t="shared" si="20"/>
        <v>33</v>
      </c>
      <c r="N123" s="693">
        <f t="shared" si="21"/>
        <v>32</v>
      </c>
      <c r="O123" s="693">
        <f t="shared" si="22"/>
        <v>6</v>
      </c>
      <c r="Q123" s="270">
        <v>2</v>
      </c>
      <c r="R123" s="270">
        <v>8</v>
      </c>
      <c r="S123" s="270">
        <v>24</v>
      </c>
      <c r="T123" s="270">
        <v>19</v>
      </c>
      <c r="U123" s="270">
        <v>6</v>
      </c>
      <c r="V123" s="270">
        <v>3</v>
      </c>
      <c r="W123" s="270">
        <v>8</v>
      </c>
      <c r="Y123" s="728">
        <f t="shared" si="23"/>
        <v>10</v>
      </c>
      <c r="Z123" s="728">
        <f t="shared" si="24"/>
        <v>43</v>
      </c>
      <c r="AA123" s="728">
        <f t="shared" si="25"/>
        <v>9</v>
      </c>
    </row>
    <row r="124" spans="1:27" x14ac:dyDescent="0.25">
      <c r="A124" s="689" t="s">
        <v>240</v>
      </c>
      <c r="B124" s="449" t="s">
        <v>241</v>
      </c>
      <c r="C124" s="699" t="s">
        <v>267</v>
      </c>
      <c r="D124" s="691">
        <v>942</v>
      </c>
      <c r="E124" s="1141">
        <v>733</v>
      </c>
      <c r="F124" s="1141">
        <v>241</v>
      </c>
      <c r="G124" s="1141">
        <v>8</v>
      </c>
      <c r="H124" s="1141">
        <v>0</v>
      </c>
      <c r="I124" s="1141">
        <v>0</v>
      </c>
      <c r="J124" s="1141">
        <v>4</v>
      </c>
      <c r="K124" s="1141">
        <v>148</v>
      </c>
      <c r="L124" s="270"/>
      <c r="M124" s="692">
        <f t="shared" si="20"/>
        <v>733</v>
      </c>
      <c r="N124" s="693">
        <f t="shared" si="21"/>
        <v>241</v>
      </c>
      <c r="O124" s="693">
        <f t="shared" si="22"/>
        <v>8</v>
      </c>
      <c r="Q124" s="270">
        <v>104</v>
      </c>
      <c r="R124" s="270">
        <v>172</v>
      </c>
      <c r="S124" s="270">
        <v>208</v>
      </c>
      <c r="T124" s="270">
        <v>169</v>
      </c>
      <c r="U124" s="270">
        <v>165</v>
      </c>
      <c r="V124" s="270">
        <v>65</v>
      </c>
      <c r="W124" s="270">
        <v>59</v>
      </c>
      <c r="Y124" s="728">
        <f t="shared" si="23"/>
        <v>276</v>
      </c>
      <c r="Z124" s="728">
        <f t="shared" si="24"/>
        <v>377</v>
      </c>
      <c r="AA124" s="728">
        <f t="shared" si="25"/>
        <v>230</v>
      </c>
    </row>
    <row r="125" spans="1:27" x14ac:dyDescent="0.25">
      <c r="A125" s="682"/>
      <c r="B125" s="682"/>
      <c r="C125" s="700"/>
    </row>
    <row r="126" spans="1:27" ht="63.75" customHeight="1" x14ac:dyDescent="0.25">
      <c r="A126" s="2284" t="s">
        <v>1320</v>
      </c>
      <c r="B126" s="2284"/>
      <c r="C126" s="2284"/>
      <c r="D126" s="2284"/>
      <c r="E126" s="2284"/>
      <c r="F126" s="2284"/>
      <c r="G126" s="2284"/>
      <c r="H126" s="2284"/>
    </row>
    <row r="127" spans="1:27" x14ac:dyDescent="0.25">
      <c r="A127" s="674"/>
      <c r="B127" s="674"/>
      <c r="C127" s="696"/>
    </row>
    <row r="128" spans="1:27" s="561" customFormat="1" x14ac:dyDescent="0.25">
      <c r="A128" s="2285" t="s">
        <v>248</v>
      </c>
      <c r="B128" s="2285"/>
      <c r="C128" s="2285"/>
      <c r="D128" s="2285"/>
      <c r="E128" s="2285"/>
      <c r="F128" s="2285"/>
      <c r="G128" s="2285"/>
      <c r="H128" s="2285"/>
      <c r="I128" s="683"/>
      <c r="K128" s="683"/>
    </row>
    <row r="129" spans="1:11" s="561" customFormat="1" x14ac:dyDescent="0.25">
      <c r="A129" s="587" t="s">
        <v>249</v>
      </c>
      <c r="B129" s="588" t="s">
        <v>250</v>
      </c>
      <c r="C129" s="701"/>
      <c r="D129" s="589"/>
      <c r="E129" s="589"/>
      <c r="F129" s="589"/>
      <c r="G129" s="589"/>
      <c r="H129" s="589"/>
      <c r="I129" s="589"/>
      <c r="K129" s="589"/>
    </row>
  </sheetData>
  <autoFilter ref="A3:C3"/>
  <sortState ref="A5:AA124">
    <sortCondition ref="A5:A124"/>
  </sortState>
  <mergeCells count="3">
    <mergeCell ref="A1:I1"/>
    <mergeCell ref="A128:H128"/>
    <mergeCell ref="A126:H126"/>
  </mergeCells>
  <hyperlinks>
    <hyperlink ref="B129" r:id="rId1"/>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x14ac:dyDescent="0.2"/>
  <cols>
    <col min="1" max="1" width="12.25" style="18" customWidth="1"/>
    <col min="2" max="2" width="21.5" style="28" customWidth="1"/>
    <col min="3" max="3" width="10.125" style="18" customWidth="1"/>
    <col min="4" max="4" width="9.875" style="18" customWidth="1"/>
    <col min="5" max="5" width="9.875" style="18" bestFit="1" customWidth="1"/>
    <col min="6" max="6" width="2.625" style="18" customWidth="1"/>
    <col min="7" max="7" width="10.125" style="18" customWidth="1"/>
    <col min="8" max="8" width="9.5" style="18" customWidth="1"/>
    <col min="9" max="9" width="9.75" style="18" customWidth="1"/>
    <col min="10" max="10" width="2.625" style="18" customWidth="1"/>
    <col min="11" max="11" width="9.625" style="18" customWidth="1"/>
    <col min="12" max="12" width="10.5" style="18" customWidth="1"/>
    <col min="13" max="13" width="11.375" style="18" customWidth="1"/>
    <col min="14" max="14" width="2.625" style="18" customWidth="1"/>
    <col min="15" max="15" width="10.125" style="18" customWidth="1"/>
    <col min="16" max="16" width="10.25" style="18" customWidth="1"/>
    <col min="17" max="17" width="10.375" style="18" customWidth="1"/>
    <col min="18" max="18" width="2.625" style="18" customWidth="1"/>
    <col min="19" max="19" width="11" style="18" customWidth="1"/>
    <col min="20" max="20" width="10.875" style="18" customWidth="1"/>
    <col min="21" max="21" width="9.875" style="18" customWidth="1"/>
    <col min="22" max="22" width="2.625" style="18" customWidth="1"/>
    <col min="23" max="23" width="9.5" style="18" customWidth="1"/>
    <col min="24" max="24" width="10.375" style="18" customWidth="1"/>
    <col min="25" max="25" width="10.25" style="18" customWidth="1"/>
    <col min="26" max="16384" width="9" style="18"/>
  </cols>
  <sheetData>
    <row r="1" spans="1:25" ht="15.75" x14ac:dyDescent="0.25">
      <c r="C1" s="2298" t="s">
        <v>572</v>
      </c>
      <c r="D1" s="2298"/>
      <c r="E1" s="2298"/>
      <c r="F1" s="2298"/>
      <c r="G1" s="2298"/>
      <c r="H1" s="2298"/>
      <c r="I1" s="2298"/>
      <c r="J1" s="2298"/>
      <c r="K1" s="2298"/>
      <c r="L1" s="2298"/>
      <c r="M1" s="2298"/>
      <c r="O1" s="2295" t="s">
        <v>573</v>
      </c>
      <c r="P1" s="2295"/>
      <c r="Q1" s="2295"/>
      <c r="R1" s="2295"/>
      <c r="S1" s="2295"/>
      <c r="T1" s="2295"/>
      <c r="U1" s="2295"/>
      <c r="V1" s="2295"/>
      <c r="W1" s="2295"/>
      <c r="X1" s="2295"/>
      <c r="Y1" s="2295"/>
    </row>
    <row r="2" spans="1:25" ht="12.75" customHeight="1" x14ac:dyDescent="0.2">
      <c r="C2" s="2294" t="s">
        <v>2</v>
      </c>
      <c r="D2" s="2294"/>
      <c r="E2" s="2294"/>
      <c r="F2" s="37"/>
      <c r="G2" s="2294" t="s">
        <v>445</v>
      </c>
      <c r="H2" s="2294"/>
      <c r="I2" s="2294"/>
      <c r="J2" s="37"/>
      <c r="K2" s="2294" t="s">
        <v>581</v>
      </c>
      <c r="L2" s="2294"/>
      <c r="M2" s="2294"/>
      <c r="N2" s="43"/>
      <c r="O2" s="2294" t="s">
        <v>2</v>
      </c>
      <c r="P2" s="2294"/>
      <c r="Q2" s="2294"/>
      <c r="S2" s="2294" t="s">
        <v>445</v>
      </c>
      <c r="T2" s="2294"/>
      <c r="U2" s="2294"/>
      <c r="X2" s="22"/>
      <c r="Y2" s="30"/>
    </row>
    <row r="3" spans="1:25" s="21" customFormat="1" ht="45" customHeight="1" x14ac:dyDescent="0.25">
      <c r="A3" s="20" t="s">
        <v>305</v>
      </c>
      <c r="B3" s="31" t="s">
        <v>306</v>
      </c>
      <c r="C3" s="23" t="s">
        <v>578</v>
      </c>
      <c r="D3" s="23" t="s">
        <v>579</v>
      </c>
      <c r="E3" s="34" t="s">
        <v>580</v>
      </c>
      <c r="F3" s="38"/>
      <c r="G3" s="35" t="s">
        <v>578</v>
      </c>
      <c r="H3" s="23" t="s">
        <v>579</v>
      </c>
      <c r="I3" s="34" t="s">
        <v>580</v>
      </c>
      <c r="J3" s="38"/>
      <c r="K3" s="23" t="s">
        <v>578</v>
      </c>
      <c r="L3" s="23" t="s">
        <v>579</v>
      </c>
      <c r="M3" s="34" t="s">
        <v>580</v>
      </c>
      <c r="N3" s="38"/>
      <c r="O3" s="23" t="s">
        <v>578</v>
      </c>
      <c r="P3" s="23" t="s">
        <v>579</v>
      </c>
      <c r="Q3" s="34" t="s">
        <v>580</v>
      </c>
      <c r="R3" s="38"/>
      <c r="S3" s="35" t="s">
        <v>578</v>
      </c>
      <c r="T3" s="23" t="s">
        <v>579</v>
      </c>
      <c r="U3" s="34" t="s">
        <v>580</v>
      </c>
      <c r="V3" s="38"/>
      <c r="W3" s="35" t="s">
        <v>578</v>
      </c>
      <c r="X3" s="23" t="s">
        <v>579</v>
      </c>
      <c r="Y3" s="34" t="s">
        <v>580</v>
      </c>
    </row>
    <row r="4" spans="1:25" ht="16.5" customHeight="1" x14ac:dyDescent="0.25">
      <c r="A4" s="16" t="s">
        <v>10</v>
      </c>
      <c r="B4" s="32" t="s">
        <v>11</v>
      </c>
      <c r="C4" s="26" t="e">
        <f t="shared" ref="C4:C35" si="0">VLOOKUP(A4,MedicaidR,7,FALSE)</f>
        <v>#REF!</v>
      </c>
      <c r="D4" s="26" t="e">
        <f t="shared" ref="D4:D35" si="1">VLOOKUP(A4,Pop,14,FALSE)</f>
        <v>#REF!</v>
      </c>
      <c r="E4" s="12" t="e">
        <f t="shared" ref="E4:E35" si="2">+C4/D4</f>
        <v>#REF!</v>
      </c>
      <c r="F4" s="45"/>
      <c r="G4" s="26" t="e">
        <f t="shared" ref="G4:G35" si="3">VLOOKUP(A4,MedicaidR,8,FALSE)</f>
        <v>#REF!</v>
      </c>
      <c r="H4" s="26" t="e">
        <f t="shared" ref="H4:H35" si="4">VLOOKUP(A4,Pop,15,FALSE)</f>
        <v>#REF!</v>
      </c>
      <c r="I4" s="12" t="e">
        <f t="shared" ref="I4:I35" si="5">+G4/H4</f>
        <v>#REF!</v>
      </c>
      <c r="J4" s="45"/>
      <c r="K4" s="26" t="e">
        <f t="shared" ref="K4:K35" si="6">VLOOKUP(A4,MedicaidR,9,FALSE)</f>
        <v>#REF!</v>
      </c>
      <c r="L4" s="26" t="e">
        <f t="shared" ref="L4:L35" si="7">VLOOKUP(A4,Pop,16,FALSE)</f>
        <v>#REF!</v>
      </c>
      <c r="M4" s="12" t="e">
        <f t="shared" ref="M4:M35" si="8">+K4/L4</f>
        <v>#REF!</v>
      </c>
      <c r="N4" s="12"/>
      <c r="O4" s="26" t="e">
        <f t="shared" ref="O4:O35" si="9">VLOOKUP(A4,MedicaidR,3,FALSE)</f>
        <v>#REF!</v>
      </c>
      <c r="P4" s="26" t="e">
        <f t="shared" ref="P4:P35" si="10">VLOOKUP(A4,Pop,8,FALSE)</f>
        <v>#REF!</v>
      </c>
      <c r="Q4" s="12" t="e">
        <f t="shared" ref="Q4:Q35" si="11">+O4/P4</f>
        <v>#REF!</v>
      </c>
      <c r="R4" s="12"/>
      <c r="S4" s="26" t="e">
        <f t="shared" ref="S4:S35" si="12">VLOOKUP(A4,MedicaidR,4,FALSE)</f>
        <v>#REF!</v>
      </c>
      <c r="T4" s="26" t="e">
        <f t="shared" ref="T4:T35" si="13">VLOOKUP(A4,Pop,9,FALSE)</f>
        <v>#REF!</v>
      </c>
      <c r="U4" s="12" t="e">
        <f t="shared" ref="U4:U35" si="14">+S4/T4</f>
        <v>#REF!</v>
      </c>
      <c r="V4" s="12"/>
      <c r="W4" s="44" t="e">
        <f t="shared" ref="W4:W35" si="15">VLOOKUP(A4,MedicaidR,5,FALSE)</f>
        <v>#REF!</v>
      </c>
      <c r="X4" s="26" t="e">
        <f t="shared" ref="X4:X35" si="16">VLOOKUP(A4,Pop,10,FALSE)</f>
        <v>#REF!</v>
      </c>
      <c r="Y4" s="12" t="e">
        <f t="shared" ref="Y4:Y35" si="17">+W4/X4</f>
        <v>#REF!</v>
      </c>
    </row>
    <row r="5" spans="1:25" ht="16.5" customHeight="1" x14ac:dyDescent="0.25">
      <c r="A5" s="16" t="s">
        <v>12</v>
      </c>
      <c r="B5" s="17" t="s">
        <v>13</v>
      </c>
      <c r="C5" s="26" t="e">
        <f t="shared" si="0"/>
        <v>#REF!</v>
      </c>
      <c r="D5" s="26" t="e">
        <f t="shared" si="1"/>
        <v>#REF!</v>
      </c>
      <c r="E5" s="12" t="e">
        <f t="shared" si="2"/>
        <v>#REF!</v>
      </c>
      <c r="F5" s="26"/>
      <c r="G5" s="26" t="e">
        <f t="shared" si="3"/>
        <v>#REF!</v>
      </c>
      <c r="H5" s="26" t="e">
        <f t="shared" si="4"/>
        <v>#REF!</v>
      </c>
      <c r="I5" s="12" t="e">
        <f t="shared" si="5"/>
        <v>#REF!</v>
      </c>
      <c r="J5" s="26"/>
      <c r="K5" s="26" t="e">
        <f t="shared" si="6"/>
        <v>#REF!</v>
      </c>
      <c r="L5" s="26" t="e">
        <f t="shared" si="7"/>
        <v>#REF!</v>
      </c>
      <c r="M5" s="12" t="e">
        <f t="shared" si="8"/>
        <v>#REF!</v>
      </c>
      <c r="N5" s="12"/>
      <c r="O5" s="26" t="e">
        <f t="shared" si="9"/>
        <v>#REF!</v>
      </c>
      <c r="P5" s="26" t="e">
        <f t="shared" si="10"/>
        <v>#REF!</v>
      </c>
      <c r="Q5" s="12" t="e">
        <f t="shared" si="11"/>
        <v>#REF!</v>
      </c>
      <c r="R5" s="12"/>
      <c r="S5" s="26" t="e">
        <f t="shared" si="12"/>
        <v>#REF!</v>
      </c>
      <c r="T5" s="26" t="e">
        <f t="shared" si="13"/>
        <v>#REF!</v>
      </c>
      <c r="U5" s="12" t="e">
        <f t="shared" si="14"/>
        <v>#REF!</v>
      </c>
      <c r="V5" s="12"/>
      <c r="W5" s="44" t="e">
        <f t="shared" si="15"/>
        <v>#REF!</v>
      </c>
      <c r="X5" s="26" t="e">
        <f t="shared" si="16"/>
        <v>#REF!</v>
      </c>
      <c r="Y5" s="12" t="e">
        <f t="shared" si="17"/>
        <v>#REF!</v>
      </c>
    </row>
    <row r="6" spans="1:25" ht="16.5" customHeight="1" x14ac:dyDescent="0.25">
      <c r="A6" s="16" t="s">
        <v>16</v>
      </c>
      <c r="B6" s="32" t="s">
        <v>297</v>
      </c>
      <c r="C6" s="26" t="e">
        <f t="shared" si="0"/>
        <v>#REF!</v>
      </c>
      <c r="D6" s="26" t="e">
        <f t="shared" si="1"/>
        <v>#REF!</v>
      </c>
      <c r="E6" s="12" t="e">
        <f t="shared" si="2"/>
        <v>#REF!</v>
      </c>
      <c r="F6" s="26"/>
      <c r="G6" s="26" t="e">
        <f t="shared" si="3"/>
        <v>#REF!</v>
      </c>
      <c r="H6" s="26" t="e">
        <f t="shared" si="4"/>
        <v>#REF!</v>
      </c>
      <c r="I6" s="12" t="e">
        <f t="shared" si="5"/>
        <v>#REF!</v>
      </c>
      <c r="J6" s="26"/>
      <c r="K6" s="26" t="e">
        <f t="shared" si="6"/>
        <v>#REF!</v>
      </c>
      <c r="L6" s="26" t="e">
        <f t="shared" si="7"/>
        <v>#REF!</v>
      </c>
      <c r="M6" s="12" t="e">
        <f t="shared" si="8"/>
        <v>#REF!</v>
      </c>
      <c r="N6" s="12"/>
      <c r="O6" s="26" t="e">
        <f t="shared" si="9"/>
        <v>#REF!</v>
      </c>
      <c r="P6" s="26" t="e">
        <f t="shared" si="10"/>
        <v>#REF!</v>
      </c>
      <c r="Q6" s="12" t="e">
        <f t="shared" si="11"/>
        <v>#REF!</v>
      </c>
      <c r="R6" s="12"/>
      <c r="S6" s="26" t="e">
        <f t="shared" si="12"/>
        <v>#REF!</v>
      </c>
      <c r="T6" s="26" t="e">
        <f t="shared" si="13"/>
        <v>#REF!</v>
      </c>
      <c r="U6" s="12" t="e">
        <f t="shared" si="14"/>
        <v>#REF!</v>
      </c>
      <c r="V6" s="12"/>
      <c r="W6" s="44" t="e">
        <f t="shared" si="15"/>
        <v>#REF!</v>
      </c>
      <c r="X6" s="26" t="e">
        <f t="shared" si="16"/>
        <v>#REF!</v>
      </c>
      <c r="Y6" s="12" t="e">
        <f t="shared" si="17"/>
        <v>#REF!</v>
      </c>
    </row>
    <row r="7" spans="1:25" ht="16.5" customHeight="1" x14ac:dyDescent="0.25">
      <c r="A7" s="16" t="s">
        <v>18</v>
      </c>
      <c r="B7" s="17" t="s">
        <v>19</v>
      </c>
      <c r="C7" s="26" t="e">
        <f t="shared" si="0"/>
        <v>#REF!</v>
      </c>
      <c r="D7" s="26" t="e">
        <f t="shared" si="1"/>
        <v>#REF!</v>
      </c>
      <c r="E7" s="12" t="e">
        <f t="shared" si="2"/>
        <v>#REF!</v>
      </c>
      <c r="F7" s="26"/>
      <c r="G7" s="26" t="e">
        <f t="shared" si="3"/>
        <v>#REF!</v>
      </c>
      <c r="H7" s="26" t="e">
        <f t="shared" si="4"/>
        <v>#REF!</v>
      </c>
      <c r="I7" s="12" t="e">
        <f t="shared" si="5"/>
        <v>#REF!</v>
      </c>
      <c r="J7" s="26"/>
      <c r="K7" s="26" t="e">
        <f t="shared" si="6"/>
        <v>#REF!</v>
      </c>
      <c r="L7" s="26" t="e">
        <f t="shared" si="7"/>
        <v>#REF!</v>
      </c>
      <c r="M7" s="12" t="e">
        <f t="shared" si="8"/>
        <v>#REF!</v>
      </c>
      <c r="N7" s="12"/>
      <c r="O7" s="26" t="e">
        <f t="shared" si="9"/>
        <v>#REF!</v>
      </c>
      <c r="P7" s="26" t="e">
        <f t="shared" si="10"/>
        <v>#REF!</v>
      </c>
      <c r="Q7" s="12" t="e">
        <f t="shared" si="11"/>
        <v>#REF!</v>
      </c>
      <c r="R7" s="12"/>
      <c r="S7" s="26" t="e">
        <f t="shared" si="12"/>
        <v>#REF!</v>
      </c>
      <c r="T7" s="26" t="e">
        <f t="shared" si="13"/>
        <v>#REF!</v>
      </c>
      <c r="U7" s="12" t="e">
        <f t="shared" si="14"/>
        <v>#REF!</v>
      </c>
      <c r="V7" s="12"/>
      <c r="W7" s="44" t="e">
        <f t="shared" si="15"/>
        <v>#REF!</v>
      </c>
      <c r="X7" s="26" t="e">
        <f t="shared" si="16"/>
        <v>#REF!</v>
      </c>
      <c r="Y7" s="12" t="e">
        <f t="shared" si="17"/>
        <v>#REF!</v>
      </c>
    </row>
    <row r="8" spans="1:25" ht="16.5" customHeight="1" x14ac:dyDescent="0.25">
      <c r="A8" s="16" t="s">
        <v>20</v>
      </c>
      <c r="B8" s="32" t="s">
        <v>21</v>
      </c>
      <c r="C8" s="26" t="e">
        <f t="shared" si="0"/>
        <v>#REF!</v>
      </c>
      <c r="D8" s="26" t="e">
        <f t="shared" si="1"/>
        <v>#REF!</v>
      </c>
      <c r="E8" s="12" t="e">
        <f t="shared" si="2"/>
        <v>#REF!</v>
      </c>
      <c r="F8" s="26"/>
      <c r="G8" s="26" t="e">
        <f t="shared" si="3"/>
        <v>#REF!</v>
      </c>
      <c r="H8" s="26" t="e">
        <f t="shared" si="4"/>
        <v>#REF!</v>
      </c>
      <c r="I8" s="12" t="e">
        <f t="shared" si="5"/>
        <v>#REF!</v>
      </c>
      <c r="J8" s="26"/>
      <c r="K8" s="26" t="e">
        <f t="shared" si="6"/>
        <v>#REF!</v>
      </c>
      <c r="L8" s="26" t="e">
        <f t="shared" si="7"/>
        <v>#REF!</v>
      </c>
      <c r="M8" s="12" t="e">
        <f t="shared" si="8"/>
        <v>#REF!</v>
      </c>
      <c r="N8" s="12"/>
      <c r="O8" s="26" t="e">
        <f t="shared" si="9"/>
        <v>#REF!</v>
      </c>
      <c r="P8" s="26" t="e">
        <f t="shared" si="10"/>
        <v>#REF!</v>
      </c>
      <c r="Q8" s="12" t="e">
        <f t="shared" si="11"/>
        <v>#REF!</v>
      </c>
      <c r="R8" s="12"/>
      <c r="S8" s="26" t="e">
        <f t="shared" si="12"/>
        <v>#REF!</v>
      </c>
      <c r="T8" s="26" t="e">
        <f t="shared" si="13"/>
        <v>#REF!</v>
      </c>
      <c r="U8" s="12" t="e">
        <f t="shared" si="14"/>
        <v>#REF!</v>
      </c>
      <c r="V8" s="12"/>
      <c r="W8" s="44" t="e">
        <f t="shared" si="15"/>
        <v>#REF!</v>
      </c>
      <c r="X8" s="26" t="e">
        <f t="shared" si="16"/>
        <v>#REF!</v>
      </c>
      <c r="Y8" s="12" t="e">
        <f t="shared" si="17"/>
        <v>#REF!</v>
      </c>
    </row>
    <row r="9" spans="1:25" ht="16.5" customHeight="1" x14ac:dyDescent="0.25">
      <c r="A9" s="16" t="s">
        <v>22</v>
      </c>
      <c r="B9" s="17" t="s">
        <v>23</v>
      </c>
      <c r="C9" s="26" t="e">
        <f t="shared" si="0"/>
        <v>#REF!</v>
      </c>
      <c r="D9" s="26" t="e">
        <f t="shared" si="1"/>
        <v>#REF!</v>
      </c>
      <c r="E9" s="12" t="e">
        <f t="shared" si="2"/>
        <v>#REF!</v>
      </c>
      <c r="F9" s="26"/>
      <c r="G9" s="26" t="e">
        <f t="shared" si="3"/>
        <v>#REF!</v>
      </c>
      <c r="H9" s="26" t="e">
        <f t="shared" si="4"/>
        <v>#REF!</v>
      </c>
      <c r="I9" s="12" t="e">
        <f t="shared" si="5"/>
        <v>#REF!</v>
      </c>
      <c r="J9" s="26"/>
      <c r="K9" s="26" t="e">
        <f t="shared" si="6"/>
        <v>#REF!</v>
      </c>
      <c r="L9" s="26" t="e">
        <f t="shared" si="7"/>
        <v>#REF!</v>
      </c>
      <c r="M9" s="12" t="e">
        <f t="shared" si="8"/>
        <v>#REF!</v>
      </c>
      <c r="N9" s="12"/>
      <c r="O9" s="26" t="e">
        <f t="shared" si="9"/>
        <v>#REF!</v>
      </c>
      <c r="P9" s="26" t="e">
        <f t="shared" si="10"/>
        <v>#REF!</v>
      </c>
      <c r="Q9" s="12" t="e">
        <f t="shared" si="11"/>
        <v>#REF!</v>
      </c>
      <c r="R9" s="12"/>
      <c r="S9" s="26" t="e">
        <f t="shared" si="12"/>
        <v>#REF!</v>
      </c>
      <c r="T9" s="26" t="e">
        <f t="shared" si="13"/>
        <v>#REF!</v>
      </c>
      <c r="U9" s="12" t="e">
        <f t="shared" si="14"/>
        <v>#REF!</v>
      </c>
      <c r="V9" s="12"/>
      <c r="W9" s="44" t="e">
        <f t="shared" si="15"/>
        <v>#REF!</v>
      </c>
      <c r="X9" s="26" t="e">
        <f t="shared" si="16"/>
        <v>#REF!</v>
      </c>
      <c r="Y9" s="12" t="e">
        <f t="shared" si="17"/>
        <v>#REF!</v>
      </c>
    </row>
    <row r="10" spans="1:25" ht="16.5" customHeight="1" x14ac:dyDescent="0.25">
      <c r="A10" s="16" t="s">
        <v>24</v>
      </c>
      <c r="B10" s="17" t="s">
        <v>25</v>
      </c>
      <c r="C10" s="26" t="e">
        <f t="shared" si="0"/>
        <v>#REF!</v>
      </c>
      <c r="D10" s="26" t="e">
        <f t="shared" si="1"/>
        <v>#REF!</v>
      </c>
      <c r="E10" s="12" t="e">
        <f t="shared" si="2"/>
        <v>#REF!</v>
      </c>
      <c r="F10" s="26"/>
      <c r="G10" s="26" t="e">
        <f t="shared" si="3"/>
        <v>#REF!</v>
      </c>
      <c r="H10" s="26" t="e">
        <f t="shared" si="4"/>
        <v>#REF!</v>
      </c>
      <c r="I10" s="12" t="e">
        <f t="shared" si="5"/>
        <v>#REF!</v>
      </c>
      <c r="J10" s="26"/>
      <c r="K10" s="26" t="e">
        <f t="shared" si="6"/>
        <v>#REF!</v>
      </c>
      <c r="L10" s="26" t="e">
        <f t="shared" si="7"/>
        <v>#REF!</v>
      </c>
      <c r="M10" s="12" t="e">
        <f t="shared" si="8"/>
        <v>#REF!</v>
      </c>
      <c r="N10" s="12"/>
      <c r="O10" s="26" t="e">
        <f t="shared" si="9"/>
        <v>#REF!</v>
      </c>
      <c r="P10" s="26" t="e">
        <f t="shared" si="10"/>
        <v>#REF!</v>
      </c>
      <c r="Q10" s="12" t="e">
        <f t="shared" si="11"/>
        <v>#REF!</v>
      </c>
      <c r="R10" s="12"/>
      <c r="S10" s="26" t="e">
        <f t="shared" si="12"/>
        <v>#REF!</v>
      </c>
      <c r="T10" s="26" t="e">
        <f t="shared" si="13"/>
        <v>#REF!</v>
      </c>
      <c r="U10" s="12" t="e">
        <f t="shared" si="14"/>
        <v>#REF!</v>
      </c>
      <c r="V10" s="12"/>
      <c r="W10" s="44" t="e">
        <f t="shared" si="15"/>
        <v>#REF!</v>
      </c>
      <c r="X10" s="26" t="e">
        <f t="shared" si="16"/>
        <v>#REF!</v>
      </c>
      <c r="Y10" s="12" t="e">
        <f t="shared" si="17"/>
        <v>#REF!</v>
      </c>
    </row>
    <row r="11" spans="1:25" ht="16.5" customHeight="1" x14ac:dyDescent="0.25">
      <c r="A11" s="16" t="s">
        <v>26</v>
      </c>
      <c r="B11" s="32" t="s">
        <v>298</v>
      </c>
      <c r="C11" s="26" t="e">
        <f t="shared" si="0"/>
        <v>#REF!</v>
      </c>
      <c r="D11" s="26" t="e">
        <f t="shared" si="1"/>
        <v>#REF!</v>
      </c>
      <c r="E11" s="12" t="e">
        <f t="shared" si="2"/>
        <v>#REF!</v>
      </c>
      <c r="F11" s="26"/>
      <c r="G11" s="26" t="e">
        <f t="shared" si="3"/>
        <v>#REF!</v>
      </c>
      <c r="H11" s="26" t="e">
        <f t="shared" si="4"/>
        <v>#REF!</v>
      </c>
      <c r="I11" s="12" t="e">
        <f t="shared" si="5"/>
        <v>#REF!</v>
      </c>
      <c r="J11" s="26"/>
      <c r="K11" s="26" t="e">
        <f t="shared" si="6"/>
        <v>#REF!</v>
      </c>
      <c r="L11" s="26" t="e">
        <f t="shared" si="7"/>
        <v>#REF!</v>
      </c>
      <c r="M11" s="12" t="e">
        <f t="shared" si="8"/>
        <v>#REF!</v>
      </c>
      <c r="N11" s="12"/>
      <c r="O11" s="26" t="e">
        <f t="shared" si="9"/>
        <v>#REF!</v>
      </c>
      <c r="P11" s="26" t="e">
        <f t="shared" si="10"/>
        <v>#REF!</v>
      </c>
      <c r="Q11" s="12" t="e">
        <f t="shared" si="11"/>
        <v>#REF!</v>
      </c>
      <c r="R11" s="12"/>
      <c r="S11" s="26" t="e">
        <f t="shared" si="12"/>
        <v>#REF!</v>
      </c>
      <c r="T11" s="26" t="e">
        <f t="shared" si="13"/>
        <v>#REF!</v>
      </c>
      <c r="U11" s="12" t="e">
        <f t="shared" si="14"/>
        <v>#REF!</v>
      </c>
      <c r="V11" s="12"/>
      <c r="W11" s="44" t="e">
        <f t="shared" si="15"/>
        <v>#REF!</v>
      </c>
      <c r="X11" s="26" t="e">
        <f t="shared" si="16"/>
        <v>#REF!</v>
      </c>
      <c r="Y11" s="12" t="e">
        <f t="shared" si="17"/>
        <v>#REF!</v>
      </c>
    </row>
    <row r="12" spans="1:25" ht="16.5" customHeight="1" x14ac:dyDescent="0.25">
      <c r="A12" s="16" t="s">
        <v>27</v>
      </c>
      <c r="B12" s="32" t="s">
        <v>28</v>
      </c>
      <c r="C12" s="26" t="e">
        <f t="shared" si="0"/>
        <v>#REF!</v>
      </c>
      <c r="D12" s="26" t="e">
        <f t="shared" si="1"/>
        <v>#REF!</v>
      </c>
      <c r="E12" s="12" t="e">
        <f t="shared" si="2"/>
        <v>#REF!</v>
      </c>
      <c r="F12" s="26"/>
      <c r="G12" s="26" t="e">
        <f t="shared" si="3"/>
        <v>#REF!</v>
      </c>
      <c r="H12" s="26" t="e">
        <f t="shared" si="4"/>
        <v>#REF!</v>
      </c>
      <c r="I12" s="12" t="e">
        <f t="shared" si="5"/>
        <v>#REF!</v>
      </c>
      <c r="J12" s="26"/>
      <c r="K12" s="26" t="e">
        <f t="shared" si="6"/>
        <v>#REF!</v>
      </c>
      <c r="L12" s="26" t="e">
        <f t="shared" si="7"/>
        <v>#REF!</v>
      </c>
      <c r="M12" s="12" t="e">
        <f t="shared" si="8"/>
        <v>#REF!</v>
      </c>
      <c r="N12" s="12"/>
      <c r="O12" s="26" t="e">
        <f t="shared" si="9"/>
        <v>#REF!</v>
      </c>
      <c r="P12" s="26" t="e">
        <f t="shared" si="10"/>
        <v>#REF!</v>
      </c>
      <c r="Q12" s="12" t="e">
        <f t="shared" si="11"/>
        <v>#REF!</v>
      </c>
      <c r="R12" s="12"/>
      <c r="S12" s="26" t="e">
        <f t="shared" si="12"/>
        <v>#REF!</v>
      </c>
      <c r="T12" s="26" t="e">
        <f t="shared" si="13"/>
        <v>#REF!</v>
      </c>
      <c r="U12" s="12" t="e">
        <f t="shared" si="14"/>
        <v>#REF!</v>
      </c>
      <c r="V12" s="12"/>
      <c r="W12" s="44" t="e">
        <f t="shared" si="15"/>
        <v>#REF!</v>
      </c>
      <c r="X12" s="26" t="e">
        <f t="shared" si="16"/>
        <v>#REF!</v>
      </c>
      <c r="Y12" s="12" t="e">
        <f t="shared" si="17"/>
        <v>#REF!</v>
      </c>
    </row>
    <row r="13" spans="1:25" ht="16.5" customHeight="1" x14ac:dyDescent="0.25">
      <c r="A13" s="16" t="s">
        <v>29</v>
      </c>
      <c r="B13" s="17" t="s">
        <v>307</v>
      </c>
      <c r="C13" s="26" t="e">
        <f t="shared" si="0"/>
        <v>#REF!</v>
      </c>
      <c r="D13" s="26" t="e">
        <f t="shared" si="1"/>
        <v>#REF!</v>
      </c>
      <c r="E13" s="12" t="e">
        <f t="shared" si="2"/>
        <v>#REF!</v>
      </c>
      <c r="F13" s="26"/>
      <c r="G13" s="26" t="e">
        <f t="shared" si="3"/>
        <v>#REF!</v>
      </c>
      <c r="H13" s="26" t="e">
        <f t="shared" si="4"/>
        <v>#REF!</v>
      </c>
      <c r="I13" s="12" t="e">
        <f t="shared" si="5"/>
        <v>#REF!</v>
      </c>
      <c r="J13" s="26"/>
      <c r="K13" s="26" t="e">
        <f t="shared" si="6"/>
        <v>#REF!</v>
      </c>
      <c r="L13" s="26" t="e">
        <f t="shared" si="7"/>
        <v>#REF!</v>
      </c>
      <c r="M13" s="12" t="e">
        <f t="shared" si="8"/>
        <v>#REF!</v>
      </c>
      <c r="N13" s="12"/>
      <c r="O13" s="26" t="e">
        <f t="shared" si="9"/>
        <v>#REF!</v>
      </c>
      <c r="P13" s="26" t="e">
        <f t="shared" si="10"/>
        <v>#REF!</v>
      </c>
      <c r="Q13" s="12" t="e">
        <f t="shared" si="11"/>
        <v>#REF!</v>
      </c>
      <c r="R13" s="12"/>
      <c r="S13" s="26" t="e">
        <f t="shared" si="12"/>
        <v>#REF!</v>
      </c>
      <c r="T13" s="26" t="e">
        <f t="shared" si="13"/>
        <v>#REF!</v>
      </c>
      <c r="U13" s="12" t="e">
        <f t="shared" si="14"/>
        <v>#REF!</v>
      </c>
      <c r="V13" s="12"/>
      <c r="W13" s="44" t="e">
        <f t="shared" si="15"/>
        <v>#REF!</v>
      </c>
      <c r="X13" s="26" t="e">
        <f t="shared" si="16"/>
        <v>#REF!</v>
      </c>
      <c r="Y13" s="12" t="e">
        <f t="shared" si="17"/>
        <v>#REF!</v>
      </c>
    </row>
    <row r="14" spans="1:25" ht="16.5" customHeight="1" x14ac:dyDescent="0.25">
      <c r="A14" s="16" t="s">
        <v>30</v>
      </c>
      <c r="B14" s="32" t="s">
        <v>31</v>
      </c>
      <c r="C14" s="26" t="e">
        <f t="shared" si="0"/>
        <v>#REF!</v>
      </c>
      <c r="D14" s="26" t="e">
        <f t="shared" si="1"/>
        <v>#REF!</v>
      </c>
      <c r="E14" s="12" t="e">
        <f t="shared" si="2"/>
        <v>#REF!</v>
      </c>
      <c r="F14" s="26"/>
      <c r="G14" s="26" t="e">
        <f t="shared" si="3"/>
        <v>#REF!</v>
      </c>
      <c r="H14" s="26" t="e">
        <f t="shared" si="4"/>
        <v>#REF!</v>
      </c>
      <c r="I14" s="12" t="e">
        <f t="shared" si="5"/>
        <v>#REF!</v>
      </c>
      <c r="J14" s="26"/>
      <c r="K14" s="26" t="e">
        <f t="shared" si="6"/>
        <v>#REF!</v>
      </c>
      <c r="L14" s="26" t="e">
        <f t="shared" si="7"/>
        <v>#REF!</v>
      </c>
      <c r="M14" s="12" t="e">
        <f t="shared" si="8"/>
        <v>#REF!</v>
      </c>
      <c r="N14" s="12"/>
      <c r="O14" s="26" t="e">
        <f t="shared" si="9"/>
        <v>#REF!</v>
      </c>
      <c r="P14" s="26" t="e">
        <f t="shared" si="10"/>
        <v>#REF!</v>
      </c>
      <c r="Q14" s="12" t="e">
        <f t="shared" si="11"/>
        <v>#REF!</v>
      </c>
      <c r="R14" s="12"/>
      <c r="S14" s="26" t="e">
        <f t="shared" si="12"/>
        <v>#REF!</v>
      </c>
      <c r="T14" s="26" t="e">
        <f t="shared" si="13"/>
        <v>#REF!</v>
      </c>
      <c r="U14" s="12" t="e">
        <f t="shared" si="14"/>
        <v>#REF!</v>
      </c>
      <c r="V14" s="12"/>
      <c r="W14" s="44" t="e">
        <f t="shared" si="15"/>
        <v>#REF!</v>
      </c>
      <c r="X14" s="26" t="e">
        <f t="shared" si="16"/>
        <v>#REF!</v>
      </c>
      <c r="Y14" s="12" t="e">
        <f t="shared" si="17"/>
        <v>#REF!</v>
      </c>
    </row>
    <row r="15" spans="1:25" ht="16.5" customHeight="1" x14ac:dyDescent="0.25">
      <c r="A15" s="16" t="s">
        <v>32</v>
      </c>
      <c r="B15" s="17" t="s">
        <v>33</v>
      </c>
      <c r="C15" s="26" t="e">
        <f t="shared" si="0"/>
        <v>#REF!</v>
      </c>
      <c r="D15" s="26" t="e">
        <f t="shared" si="1"/>
        <v>#REF!</v>
      </c>
      <c r="E15" s="12" t="e">
        <f t="shared" si="2"/>
        <v>#REF!</v>
      </c>
      <c r="F15" s="26"/>
      <c r="G15" s="26" t="e">
        <f t="shared" si="3"/>
        <v>#REF!</v>
      </c>
      <c r="H15" s="26" t="e">
        <f t="shared" si="4"/>
        <v>#REF!</v>
      </c>
      <c r="I15" s="12" t="e">
        <f t="shared" si="5"/>
        <v>#REF!</v>
      </c>
      <c r="J15" s="26"/>
      <c r="K15" s="26" t="e">
        <f t="shared" si="6"/>
        <v>#REF!</v>
      </c>
      <c r="L15" s="26" t="e">
        <f t="shared" si="7"/>
        <v>#REF!</v>
      </c>
      <c r="M15" s="12" t="e">
        <f t="shared" si="8"/>
        <v>#REF!</v>
      </c>
      <c r="N15" s="12"/>
      <c r="O15" s="26" t="e">
        <f t="shared" si="9"/>
        <v>#REF!</v>
      </c>
      <c r="P15" s="26" t="e">
        <f t="shared" si="10"/>
        <v>#REF!</v>
      </c>
      <c r="Q15" s="12" t="e">
        <f t="shared" si="11"/>
        <v>#REF!</v>
      </c>
      <c r="R15" s="12"/>
      <c r="S15" s="26" t="e">
        <f t="shared" si="12"/>
        <v>#REF!</v>
      </c>
      <c r="T15" s="26" t="e">
        <f t="shared" si="13"/>
        <v>#REF!</v>
      </c>
      <c r="U15" s="12" t="e">
        <f t="shared" si="14"/>
        <v>#REF!</v>
      </c>
      <c r="V15" s="12"/>
      <c r="W15" s="44" t="e">
        <f t="shared" si="15"/>
        <v>#REF!</v>
      </c>
      <c r="X15" s="26" t="e">
        <f t="shared" si="16"/>
        <v>#REF!</v>
      </c>
      <c r="Y15" s="12" t="e">
        <f t="shared" si="17"/>
        <v>#REF!</v>
      </c>
    </row>
    <row r="16" spans="1:25" ht="16.5" customHeight="1" x14ac:dyDescent="0.25">
      <c r="A16" s="16" t="s">
        <v>36</v>
      </c>
      <c r="B16" s="17" t="s">
        <v>37</v>
      </c>
      <c r="C16" s="26" t="e">
        <f t="shared" si="0"/>
        <v>#REF!</v>
      </c>
      <c r="D16" s="26" t="e">
        <f t="shared" si="1"/>
        <v>#REF!</v>
      </c>
      <c r="E16" s="12" t="e">
        <f t="shared" si="2"/>
        <v>#REF!</v>
      </c>
      <c r="F16" s="26"/>
      <c r="G16" s="26" t="e">
        <f t="shared" si="3"/>
        <v>#REF!</v>
      </c>
      <c r="H16" s="26" t="e">
        <f t="shared" si="4"/>
        <v>#REF!</v>
      </c>
      <c r="I16" s="12" t="e">
        <f t="shared" si="5"/>
        <v>#REF!</v>
      </c>
      <c r="J16" s="26"/>
      <c r="K16" s="26" t="e">
        <f t="shared" si="6"/>
        <v>#REF!</v>
      </c>
      <c r="L16" s="26" t="e">
        <f t="shared" si="7"/>
        <v>#REF!</v>
      </c>
      <c r="M16" s="12" t="e">
        <f t="shared" si="8"/>
        <v>#REF!</v>
      </c>
      <c r="N16" s="12"/>
      <c r="O16" s="26" t="e">
        <f t="shared" si="9"/>
        <v>#REF!</v>
      </c>
      <c r="P16" s="26" t="e">
        <f t="shared" si="10"/>
        <v>#REF!</v>
      </c>
      <c r="Q16" s="12" t="e">
        <f t="shared" si="11"/>
        <v>#REF!</v>
      </c>
      <c r="R16" s="12"/>
      <c r="S16" s="26" t="e">
        <f t="shared" si="12"/>
        <v>#REF!</v>
      </c>
      <c r="T16" s="26" t="e">
        <f t="shared" si="13"/>
        <v>#REF!</v>
      </c>
      <c r="U16" s="12" t="e">
        <f t="shared" si="14"/>
        <v>#REF!</v>
      </c>
      <c r="V16" s="12"/>
      <c r="W16" s="44" t="e">
        <f t="shared" si="15"/>
        <v>#REF!</v>
      </c>
      <c r="X16" s="26" t="e">
        <f t="shared" si="16"/>
        <v>#REF!</v>
      </c>
      <c r="Y16" s="12" t="e">
        <f t="shared" si="17"/>
        <v>#REF!</v>
      </c>
    </row>
    <row r="17" spans="1:25" ht="16.5" customHeight="1" x14ac:dyDescent="0.25">
      <c r="A17" s="16" t="s">
        <v>38</v>
      </c>
      <c r="B17" s="32" t="s">
        <v>39</v>
      </c>
      <c r="C17" s="26" t="e">
        <f t="shared" si="0"/>
        <v>#REF!</v>
      </c>
      <c r="D17" s="26" t="e">
        <f t="shared" si="1"/>
        <v>#REF!</v>
      </c>
      <c r="E17" s="12" t="e">
        <f t="shared" si="2"/>
        <v>#REF!</v>
      </c>
      <c r="F17" s="26"/>
      <c r="G17" s="26" t="e">
        <f t="shared" si="3"/>
        <v>#REF!</v>
      </c>
      <c r="H17" s="26" t="e">
        <f t="shared" si="4"/>
        <v>#REF!</v>
      </c>
      <c r="I17" s="12" t="e">
        <f t="shared" si="5"/>
        <v>#REF!</v>
      </c>
      <c r="J17" s="26"/>
      <c r="K17" s="26" t="e">
        <f t="shared" si="6"/>
        <v>#REF!</v>
      </c>
      <c r="L17" s="26" t="e">
        <f t="shared" si="7"/>
        <v>#REF!</v>
      </c>
      <c r="M17" s="12" t="e">
        <f t="shared" si="8"/>
        <v>#REF!</v>
      </c>
      <c r="N17" s="12"/>
      <c r="O17" s="26" t="e">
        <f t="shared" si="9"/>
        <v>#REF!</v>
      </c>
      <c r="P17" s="26" t="e">
        <f t="shared" si="10"/>
        <v>#REF!</v>
      </c>
      <c r="Q17" s="12" t="e">
        <f t="shared" si="11"/>
        <v>#REF!</v>
      </c>
      <c r="R17" s="12"/>
      <c r="S17" s="26" t="e">
        <f t="shared" si="12"/>
        <v>#REF!</v>
      </c>
      <c r="T17" s="26" t="e">
        <f t="shared" si="13"/>
        <v>#REF!</v>
      </c>
      <c r="U17" s="12" t="e">
        <f t="shared" si="14"/>
        <v>#REF!</v>
      </c>
      <c r="V17" s="12"/>
      <c r="W17" s="44" t="e">
        <f t="shared" si="15"/>
        <v>#REF!</v>
      </c>
      <c r="X17" s="26" t="e">
        <f t="shared" si="16"/>
        <v>#REF!</v>
      </c>
      <c r="Y17" s="12" t="e">
        <f t="shared" si="17"/>
        <v>#REF!</v>
      </c>
    </row>
    <row r="18" spans="1:25" ht="16.5" customHeight="1" x14ac:dyDescent="0.25">
      <c r="A18" s="16" t="s">
        <v>40</v>
      </c>
      <c r="B18" s="32" t="s">
        <v>41</v>
      </c>
      <c r="C18" s="26" t="e">
        <f t="shared" si="0"/>
        <v>#REF!</v>
      </c>
      <c r="D18" s="26" t="e">
        <f t="shared" si="1"/>
        <v>#REF!</v>
      </c>
      <c r="E18" s="12" t="e">
        <f t="shared" si="2"/>
        <v>#REF!</v>
      </c>
      <c r="F18" s="26"/>
      <c r="G18" s="26" t="e">
        <f t="shared" si="3"/>
        <v>#REF!</v>
      </c>
      <c r="H18" s="26" t="e">
        <f t="shared" si="4"/>
        <v>#REF!</v>
      </c>
      <c r="I18" s="12" t="e">
        <f t="shared" si="5"/>
        <v>#REF!</v>
      </c>
      <c r="J18" s="26"/>
      <c r="K18" s="26" t="e">
        <f t="shared" si="6"/>
        <v>#REF!</v>
      </c>
      <c r="L18" s="26" t="e">
        <f t="shared" si="7"/>
        <v>#REF!</v>
      </c>
      <c r="M18" s="12" t="e">
        <f t="shared" si="8"/>
        <v>#REF!</v>
      </c>
      <c r="N18" s="12"/>
      <c r="O18" s="26" t="e">
        <f t="shared" si="9"/>
        <v>#REF!</v>
      </c>
      <c r="P18" s="26" t="e">
        <f t="shared" si="10"/>
        <v>#REF!</v>
      </c>
      <c r="Q18" s="12" t="e">
        <f t="shared" si="11"/>
        <v>#REF!</v>
      </c>
      <c r="R18" s="12"/>
      <c r="S18" s="26" t="e">
        <f t="shared" si="12"/>
        <v>#REF!</v>
      </c>
      <c r="T18" s="26" t="e">
        <f t="shared" si="13"/>
        <v>#REF!</v>
      </c>
      <c r="U18" s="12" t="e">
        <f t="shared" si="14"/>
        <v>#REF!</v>
      </c>
      <c r="V18" s="12"/>
      <c r="W18" s="44" t="e">
        <f t="shared" si="15"/>
        <v>#REF!</v>
      </c>
      <c r="X18" s="26" t="e">
        <f t="shared" si="16"/>
        <v>#REF!</v>
      </c>
      <c r="Y18" s="12" t="e">
        <f t="shared" si="17"/>
        <v>#REF!</v>
      </c>
    </row>
    <row r="19" spans="1:25" ht="16.5" customHeight="1" x14ac:dyDescent="0.25">
      <c r="A19" s="16" t="s">
        <v>42</v>
      </c>
      <c r="B19" s="32" t="s">
        <v>43</v>
      </c>
      <c r="C19" s="26" t="e">
        <f t="shared" si="0"/>
        <v>#REF!</v>
      </c>
      <c r="D19" s="26" t="e">
        <f t="shared" si="1"/>
        <v>#REF!</v>
      </c>
      <c r="E19" s="12" t="e">
        <f t="shared" si="2"/>
        <v>#REF!</v>
      </c>
      <c r="F19" s="26"/>
      <c r="G19" s="26" t="e">
        <f t="shared" si="3"/>
        <v>#REF!</v>
      </c>
      <c r="H19" s="26" t="e">
        <f t="shared" si="4"/>
        <v>#REF!</v>
      </c>
      <c r="I19" s="12" t="e">
        <f t="shared" si="5"/>
        <v>#REF!</v>
      </c>
      <c r="J19" s="26"/>
      <c r="K19" s="26" t="e">
        <f t="shared" si="6"/>
        <v>#REF!</v>
      </c>
      <c r="L19" s="26" t="e">
        <f t="shared" si="7"/>
        <v>#REF!</v>
      </c>
      <c r="M19" s="12" t="e">
        <f t="shared" si="8"/>
        <v>#REF!</v>
      </c>
      <c r="N19" s="12"/>
      <c r="O19" s="26" t="e">
        <f t="shared" si="9"/>
        <v>#REF!</v>
      </c>
      <c r="P19" s="26" t="e">
        <f t="shared" si="10"/>
        <v>#REF!</v>
      </c>
      <c r="Q19" s="12" t="e">
        <f t="shared" si="11"/>
        <v>#REF!</v>
      </c>
      <c r="R19" s="12"/>
      <c r="S19" s="26" t="e">
        <f t="shared" si="12"/>
        <v>#REF!</v>
      </c>
      <c r="T19" s="26" t="e">
        <f t="shared" si="13"/>
        <v>#REF!</v>
      </c>
      <c r="U19" s="12" t="e">
        <f t="shared" si="14"/>
        <v>#REF!</v>
      </c>
      <c r="V19" s="12"/>
      <c r="W19" s="44" t="e">
        <f t="shared" si="15"/>
        <v>#REF!</v>
      </c>
      <c r="X19" s="26" t="e">
        <f t="shared" si="16"/>
        <v>#REF!</v>
      </c>
      <c r="Y19" s="12" t="e">
        <f t="shared" si="17"/>
        <v>#REF!</v>
      </c>
    </row>
    <row r="20" spans="1:25" ht="16.5" customHeight="1" x14ac:dyDescent="0.25">
      <c r="A20" s="16" t="s">
        <v>44</v>
      </c>
      <c r="B20" s="17" t="s">
        <v>45</v>
      </c>
      <c r="C20" s="26" t="e">
        <f t="shared" si="0"/>
        <v>#REF!</v>
      </c>
      <c r="D20" s="26" t="e">
        <f t="shared" si="1"/>
        <v>#REF!</v>
      </c>
      <c r="E20" s="12" t="e">
        <f t="shared" si="2"/>
        <v>#REF!</v>
      </c>
      <c r="F20" s="26"/>
      <c r="G20" s="26" t="e">
        <f t="shared" si="3"/>
        <v>#REF!</v>
      </c>
      <c r="H20" s="26" t="e">
        <f t="shared" si="4"/>
        <v>#REF!</v>
      </c>
      <c r="I20" s="12" t="e">
        <f t="shared" si="5"/>
        <v>#REF!</v>
      </c>
      <c r="J20" s="26"/>
      <c r="K20" s="26" t="e">
        <f t="shared" si="6"/>
        <v>#REF!</v>
      </c>
      <c r="L20" s="26" t="e">
        <f t="shared" si="7"/>
        <v>#REF!</v>
      </c>
      <c r="M20" s="12" t="e">
        <f t="shared" si="8"/>
        <v>#REF!</v>
      </c>
      <c r="N20" s="12"/>
      <c r="O20" s="26" t="e">
        <f t="shared" si="9"/>
        <v>#REF!</v>
      </c>
      <c r="P20" s="26" t="e">
        <f t="shared" si="10"/>
        <v>#REF!</v>
      </c>
      <c r="Q20" s="12" t="e">
        <f t="shared" si="11"/>
        <v>#REF!</v>
      </c>
      <c r="R20" s="12"/>
      <c r="S20" s="26" t="e">
        <f t="shared" si="12"/>
        <v>#REF!</v>
      </c>
      <c r="T20" s="26" t="e">
        <f t="shared" si="13"/>
        <v>#REF!</v>
      </c>
      <c r="U20" s="12" t="e">
        <f t="shared" si="14"/>
        <v>#REF!</v>
      </c>
      <c r="V20" s="12"/>
      <c r="W20" s="44" t="e">
        <f t="shared" si="15"/>
        <v>#REF!</v>
      </c>
      <c r="X20" s="26" t="e">
        <f t="shared" si="16"/>
        <v>#REF!</v>
      </c>
      <c r="Y20" s="12" t="e">
        <f t="shared" si="17"/>
        <v>#REF!</v>
      </c>
    </row>
    <row r="21" spans="1:25" ht="16.5" customHeight="1" x14ac:dyDescent="0.25">
      <c r="A21" s="16" t="s">
        <v>46</v>
      </c>
      <c r="B21" s="32" t="s">
        <v>47</v>
      </c>
      <c r="C21" s="26" t="e">
        <f t="shared" si="0"/>
        <v>#REF!</v>
      </c>
      <c r="D21" s="26" t="e">
        <f t="shared" si="1"/>
        <v>#REF!</v>
      </c>
      <c r="E21" s="12" t="e">
        <f t="shared" si="2"/>
        <v>#REF!</v>
      </c>
      <c r="F21" s="26"/>
      <c r="G21" s="26" t="e">
        <f t="shared" si="3"/>
        <v>#REF!</v>
      </c>
      <c r="H21" s="26" t="e">
        <f t="shared" si="4"/>
        <v>#REF!</v>
      </c>
      <c r="I21" s="12" t="e">
        <f t="shared" si="5"/>
        <v>#REF!</v>
      </c>
      <c r="J21" s="26"/>
      <c r="K21" s="26" t="e">
        <f t="shared" si="6"/>
        <v>#REF!</v>
      </c>
      <c r="L21" s="26" t="e">
        <f t="shared" si="7"/>
        <v>#REF!</v>
      </c>
      <c r="M21" s="12" t="e">
        <f t="shared" si="8"/>
        <v>#REF!</v>
      </c>
      <c r="N21" s="12"/>
      <c r="O21" s="26" t="e">
        <f t="shared" si="9"/>
        <v>#REF!</v>
      </c>
      <c r="P21" s="26" t="e">
        <f t="shared" si="10"/>
        <v>#REF!</v>
      </c>
      <c r="Q21" s="12" t="e">
        <f t="shared" si="11"/>
        <v>#REF!</v>
      </c>
      <c r="R21" s="12"/>
      <c r="S21" s="26" t="e">
        <f t="shared" si="12"/>
        <v>#REF!</v>
      </c>
      <c r="T21" s="26" t="e">
        <f t="shared" si="13"/>
        <v>#REF!</v>
      </c>
      <c r="U21" s="12" t="e">
        <f t="shared" si="14"/>
        <v>#REF!</v>
      </c>
      <c r="V21" s="12"/>
      <c r="W21" s="44" t="e">
        <f t="shared" si="15"/>
        <v>#REF!</v>
      </c>
      <c r="X21" s="26" t="e">
        <f t="shared" si="16"/>
        <v>#REF!</v>
      </c>
      <c r="Y21" s="12" t="e">
        <f t="shared" si="17"/>
        <v>#REF!</v>
      </c>
    </row>
    <row r="22" spans="1:25" ht="16.5" customHeight="1" x14ac:dyDescent="0.25">
      <c r="A22" s="16" t="s">
        <v>48</v>
      </c>
      <c r="B22" s="17" t="s">
        <v>269</v>
      </c>
      <c r="C22" s="26" t="e">
        <f t="shared" si="0"/>
        <v>#REF!</v>
      </c>
      <c r="D22" s="26" t="e">
        <f t="shared" si="1"/>
        <v>#REF!</v>
      </c>
      <c r="E22" s="12" t="e">
        <f t="shared" si="2"/>
        <v>#REF!</v>
      </c>
      <c r="F22" s="26"/>
      <c r="G22" s="26" t="e">
        <f t="shared" si="3"/>
        <v>#REF!</v>
      </c>
      <c r="H22" s="26" t="e">
        <f t="shared" si="4"/>
        <v>#REF!</v>
      </c>
      <c r="I22" s="12" t="e">
        <f t="shared" si="5"/>
        <v>#REF!</v>
      </c>
      <c r="J22" s="26"/>
      <c r="K22" s="26" t="e">
        <f t="shared" si="6"/>
        <v>#REF!</v>
      </c>
      <c r="L22" s="26" t="e">
        <f t="shared" si="7"/>
        <v>#REF!</v>
      </c>
      <c r="M22" s="12" t="e">
        <f t="shared" si="8"/>
        <v>#REF!</v>
      </c>
      <c r="N22" s="12"/>
      <c r="O22" s="26" t="e">
        <f t="shared" si="9"/>
        <v>#REF!</v>
      </c>
      <c r="P22" s="26" t="e">
        <f t="shared" si="10"/>
        <v>#REF!</v>
      </c>
      <c r="Q22" s="12" t="e">
        <f t="shared" si="11"/>
        <v>#REF!</v>
      </c>
      <c r="R22" s="12"/>
      <c r="S22" s="26" t="e">
        <f t="shared" si="12"/>
        <v>#REF!</v>
      </c>
      <c r="T22" s="26" t="e">
        <f t="shared" si="13"/>
        <v>#REF!</v>
      </c>
      <c r="U22" s="12" t="e">
        <f t="shared" si="14"/>
        <v>#REF!</v>
      </c>
      <c r="V22" s="12"/>
      <c r="W22" s="44" t="e">
        <f t="shared" si="15"/>
        <v>#REF!</v>
      </c>
      <c r="X22" s="26" t="e">
        <f t="shared" si="16"/>
        <v>#REF!</v>
      </c>
      <c r="Y22" s="12" t="e">
        <f t="shared" si="17"/>
        <v>#REF!</v>
      </c>
    </row>
    <row r="23" spans="1:25" ht="16.5" customHeight="1" x14ac:dyDescent="0.25">
      <c r="A23" s="16" t="s">
        <v>50</v>
      </c>
      <c r="B23" s="32" t="s">
        <v>51</v>
      </c>
      <c r="C23" s="26" t="e">
        <f t="shared" si="0"/>
        <v>#REF!</v>
      </c>
      <c r="D23" s="26" t="e">
        <f t="shared" si="1"/>
        <v>#REF!</v>
      </c>
      <c r="E23" s="12" t="e">
        <f t="shared" si="2"/>
        <v>#REF!</v>
      </c>
      <c r="F23" s="26"/>
      <c r="G23" s="26" t="e">
        <f t="shared" si="3"/>
        <v>#REF!</v>
      </c>
      <c r="H23" s="26" t="e">
        <f t="shared" si="4"/>
        <v>#REF!</v>
      </c>
      <c r="I23" s="12" t="e">
        <f t="shared" si="5"/>
        <v>#REF!</v>
      </c>
      <c r="J23" s="26"/>
      <c r="K23" s="26" t="e">
        <f t="shared" si="6"/>
        <v>#REF!</v>
      </c>
      <c r="L23" s="26" t="e">
        <f t="shared" si="7"/>
        <v>#REF!</v>
      </c>
      <c r="M23" s="12" t="e">
        <f t="shared" si="8"/>
        <v>#REF!</v>
      </c>
      <c r="N23" s="12"/>
      <c r="O23" s="26" t="e">
        <f t="shared" si="9"/>
        <v>#REF!</v>
      </c>
      <c r="P23" s="26" t="e">
        <f t="shared" si="10"/>
        <v>#REF!</v>
      </c>
      <c r="Q23" s="12" t="e">
        <f t="shared" si="11"/>
        <v>#REF!</v>
      </c>
      <c r="R23" s="12"/>
      <c r="S23" s="26" t="e">
        <f t="shared" si="12"/>
        <v>#REF!</v>
      </c>
      <c r="T23" s="26" t="e">
        <f t="shared" si="13"/>
        <v>#REF!</v>
      </c>
      <c r="U23" s="12" t="e">
        <f t="shared" si="14"/>
        <v>#REF!</v>
      </c>
      <c r="V23" s="12"/>
      <c r="W23" s="44" t="e">
        <f t="shared" si="15"/>
        <v>#REF!</v>
      </c>
      <c r="X23" s="26" t="e">
        <f t="shared" si="16"/>
        <v>#REF!</v>
      </c>
      <c r="Y23" s="12" t="e">
        <f t="shared" si="17"/>
        <v>#REF!</v>
      </c>
    </row>
    <row r="24" spans="1:25" ht="16.5" customHeight="1" x14ac:dyDescent="0.25">
      <c r="A24" s="16" t="s">
        <v>56</v>
      </c>
      <c r="B24" s="17" t="s">
        <v>295</v>
      </c>
      <c r="C24" s="26" t="e">
        <f t="shared" si="0"/>
        <v>#REF!</v>
      </c>
      <c r="D24" s="26" t="e">
        <f t="shared" si="1"/>
        <v>#REF!</v>
      </c>
      <c r="E24" s="12" t="e">
        <f t="shared" si="2"/>
        <v>#REF!</v>
      </c>
      <c r="F24" s="26"/>
      <c r="G24" s="26" t="e">
        <f t="shared" si="3"/>
        <v>#REF!</v>
      </c>
      <c r="H24" s="26" t="e">
        <f t="shared" si="4"/>
        <v>#REF!</v>
      </c>
      <c r="I24" s="12" t="e">
        <f t="shared" si="5"/>
        <v>#REF!</v>
      </c>
      <c r="J24" s="26"/>
      <c r="K24" s="26" t="e">
        <f t="shared" si="6"/>
        <v>#REF!</v>
      </c>
      <c r="L24" s="26" t="e">
        <f t="shared" si="7"/>
        <v>#REF!</v>
      </c>
      <c r="M24" s="12" t="e">
        <f t="shared" si="8"/>
        <v>#REF!</v>
      </c>
      <c r="N24" s="12"/>
      <c r="O24" s="26" t="e">
        <f t="shared" si="9"/>
        <v>#REF!</v>
      </c>
      <c r="P24" s="26" t="e">
        <f t="shared" si="10"/>
        <v>#REF!</v>
      </c>
      <c r="Q24" s="12" t="e">
        <f t="shared" si="11"/>
        <v>#REF!</v>
      </c>
      <c r="R24" s="12"/>
      <c r="S24" s="26" t="e">
        <f t="shared" si="12"/>
        <v>#REF!</v>
      </c>
      <c r="T24" s="26" t="e">
        <f t="shared" si="13"/>
        <v>#REF!</v>
      </c>
      <c r="U24" s="12" t="e">
        <f t="shared" si="14"/>
        <v>#REF!</v>
      </c>
      <c r="V24" s="12"/>
      <c r="W24" s="44" t="e">
        <f t="shared" si="15"/>
        <v>#REF!</v>
      </c>
      <c r="X24" s="26" t="e">
        <f t="shared" si="16"/>
        <v>#REF!</v>
      </c>
      <c r="Y24" s="12" t="e">
        <f t="shared" si="17"/>
        <v>#REF!</v>
      </c>
    </row>
    <row r="25" spans="1:25" ht="16.5" customHeight="1" x14ac:dyDescent="0.25">
      <c r="A25" s="16" t="s">
        <v>58</v>
      </c>
      <c r="B25" s="17" t="s">
        <v>59</v>
      </c>
      <c r="C25" s="26" t="e">
        <f t="shared" si="0"/>
        <v>#REF!</v>
      </c>
      <c r="D25" s="26" t="e">
        <f t="shared" si="1"/>
        <v>#REF!</v>
      </c>
      <c r="E25" s="12" t="e">
        <f t="shared" si="2"/>
        <v>#REF!</v>
      </c>
      <c r="F25" s="26"/>
      <c r="G25" s="26" t="e">
        <f t="shared" si="3"/>
        <v>#REF!</v>
      </c>
      <c r="H25" s="26" t="e">
        <f t="shared" si="4"/>
        <v>#REF!</v>
      </c>
      <c r="I25" s="12" t="e">
        <f t="shared" si="5"/>
        <v>#REF!</v>
      </c>
      <c r="J25" s="26"/>
      <c r="K25" s="26" t="e">
        <f t="shared" si="6"/>
        <v>#REF!</v>
      </c>
      <c r="L25" s="26" t="e">
        <f t="shared" si="7"/>
        <v>#REF!</v>
      </c>
      <c r="M25" s="12" t="e">
        <f t="shared" si="8"/>
        <v>#REF!</v>
      </c>
      <c r="N25" s="12"/>
      <c r="O25" s="26" t="e">
        <f t="shared" si="9"/>
        <v>#REF!</v>
      </c>
      <c r="P25" s="26" t="e">
        <f t="shared" si="10"/>
        <v>#REF!</v>
      </c>
      <c r="Q25" s="12" t="e">
        <f t="shared" si="11"/>
        <v>#REF!</v>
      </c>
      <c r="R25" s="12"/>
      <c r="S25" s="26" t="e">
        <f t="shared" si="12"/>
        <v>#REF!</v>
      </c>
      <c r="T25" s="26" t="e">
        <f t="shared" si="13"/>
        <v>#REF!</v>
      </c>
      <c r="U25" s="12" t="e">
        <f t="shared" si="14"/>
        <v>#REF!</v>
      </c>
      <c r="V25" s="12"/>
      <c r="W25" s="44" t="e">
        <f t="shared" si="15"/>
        <v>#REF!</v>
      </c>
      <c r="X25" s="26" t="e">
        <f t="shared" si="16"/>
        <v>#REF!</v>
      </c>
      <c r="Y25" s="12" t="e">
        <f t="shared" si="17"/>
        <v>#REF!</v>
      </c>
    </row>
    <row r="26" spans="1:25" ht="16.5" customHeight="1" x14ac:dyDescent="0.25">
      <c r="A26" s="16" t="s">
        <v>60</v>
      </c>
      <c r="B26" s="32" t="s">
        <v>61</v>
      </c>
      <c r="C26" s="26" t="e">
        <f t="shared" si="0"/>
        <v>#REF!</v>
      </c>
      <c r="D26" s="26" t="e">
        <f t="shared" si="1"/>
        <v>#REF!</v>
      </c>
      <c r="E26" s="12" t="e">
        <f t="shared" si="2"/>
        <v>#REF!</v>
      </c>
      <c r="F26" s="26"/>
      <c r="G26" s="26" t="e">
        <f t="shared" si="3"/>
        <v>#REF!</v>
      </c>
      <c r="H26" s="26" t="e">
        <f t="shared" si="4"/>
        <v>#REF!</v>
      </c>
      <c r="I26" s="12" t="e">
        <f t="shared" si="5"/>
        <v>#REF!</v>
      </c>
      <c r="J26" s="26"/>
      <c r="K26" s="26" t="e">
        <f t="shared" si="6"/>
        <v>#REF!</v>
      </c>
      <c r="L26" s="26" t="e">
        <f t="shared" si="7"/>
        <v>#REF!</v>
      </c>
      <c r="M26" s="12" t="e">
        <f t="shared" si="8"/>
        <v>#REF!</v>
      </c>
      <c r="N26" s="12"/>
      <c r="O26" s="26" t="e">
        <f t="shared" si="9"/>
        <v>#REF!</v>
      </c>
      <c r="P26" s="26" t="e">
        <f t="shared" si="10"/>
        <v>#REF!</v>
      </c>
      <c r="Q26" s="12" t="e">
        <f t="shared" si="11"/>
        <v>#REF!</v>
      </c>
      <c r="R26" s="12"/>
      <c r="S26" s="26" t="e">
        <f t="shared" si="12"/>
        <v>#REF!</v>
      </c>
      <c r="T26" s="26" t="e">
        <f t="shared" si="13"/>
        <v>#REF!</v>
      </c>
      <c r="U26" s="12" t="e">
        <f t="shared" si="14"/>
        <v>#REF!</v>
      </c>
      <c r="V26" s="12"/>
      <c r="W26" s="44" t="e">
        <f t="shared" si="15"/>
        <v>#REF!</v>
      </c>
      <c r="X26" s="26" t="e">
        <f t="shared" si="16"/>
        <v>#REF!</v>
      </c>
      <c r="Y26" s="12" t="e">
        <f t="shared" si="17"/>
        <v>#REF!</v>
      </c>
    </row>
    <row r="27" spans="1:25" ht="16.5" customHeight="1" x14ac:dyDescent="0.25">
      <c r="A27" s="16" t="s">
        <v>62</v>
      </c>
      <c r="B27" s="17" t="s">
        <v>63</v>
      </c>
      <c r="C27" s="26" t="e">
        <f t="shared" si="0"/>
        <v>#REF!</v>
      </c>
      <c r="D27" s="26" t="e">
        <f t="shared" si="1"/>
        <v>#REF!</v>
      </c>
      <c r="E27" s="12" t="e">
        <f t="shared" si="2"/>
        <v>#REF!</v>
      </c>
      <c r="F27" s="26"/>
      <c r="G27" s="26" t="e">
        <f t="shared" si="3"/>
        <v>#REF!</v>
      </c>
      <c r="H27" s="26" t="e">
        <f t="shared" si="4"/>
        <v>#REF!</v>
      </c>
      <c r="I27" s="12" t="e">
        <f t="shared" si="5"/>
        <v>#REF!</v>
      </c>
      <c r="J27" s="26"/>
      <c r="K27" s="26" t="e">
        <f t="shared" si="6"/>
        <v>#REF!</v>
      </c>
      <c r="L27" s="26" t="e">
        <f t="shared" si="7"/>
        <v>#REF!</v>
      </c>
      <c r="M27" s="12" t="e">
        <f t="shared" si="8"/>
        <v>#REF!</v>
      </c>
      <c r="N27" s="12"/>
      <c r="O27" s="26" t="e">
        <f t="shared" si="9"/>
        <v>#REF!</v>
      </c>
      <c r="P27" s="26" t="e">
        <f t="shared" si="10"/>
        <v>#REF!</v>
      </c>
      <c r="Q27" s="12" t="e">
        <f t="shared" si="11"/>
        <v>#REF!</v>
      </c>
      <c r="R27" s="12"/>
      <c r="S27" s="26" t="e">
        <f t="shared" si="12"/>
        <v>#REF!</v>
      </c>
      <c r="T27" s="26" t="e">
        <f t="shared" si="13"/>
        <v>#REF!</v>
      </c>
      <c r="U27" s="12" t="e">
        <f t="shared" si="14"/>
        <v>#REF!</v>
      </c>
      <c r="V27" s="12"/>
      <c r="W27" s="44" t="e">
        <f t="shared" si="15"/>
        <v>#REF!</v>
      </c>
      <c r="X27" s="26" t="e">
        <f t="shared" si="16"/>
        <v>#REF!</v>
      </c>
      <c r="Y27" s="12" t="e">
        <f t="shared" si="17"/>
        <v>#REF!</v>
      </c>
    </row>
    <row r="28" spans="1:25" ht="16.5" customHeight="1" x14ac:dyDescent="0.25">
      <c r="A28" s="16" t="s">
        <v>64</v>
      </c>
      <c r="B28" s="32" t="s">
        <v>65</v>
      </c>
      <c r="C28" s="26" t="e">
        <f t="shared" si="0"/>
        <v>#REF!</v>
      </c>
      <c r="D28" s="26" t="e">
        <f t="shared" si="1"/>
        <v>#REF!</v>
      </c>
      <c r="E28" s="12" t="e">
        <f t="shared" si="2"/>
        <v>#REF!</v>
      </c>
      <c r="F28" s="26"/>
      <c r="G28" s="26" t="e">
        <f t="shared" si="3"/>
        <v>#REF!</v>
      </c>
      <c r="H28" s="26" t="e">
        <f t="shared" si="4"/>
        <v>#REF!</v>
      </c>
      <c r="I28" s="12" t="e">
        <f t="shared" si="5"/>
        <v>#REF!</v>
      </c>
      <c r="J28" s="26"/>
      <c r="K28" s="26" t="e">
        <f t="shared" si="6"/>
        <v>#REF!</v>
      </c>
      <c r="L28" s="26" t="e">
        <f t="shared" si="7"/>
        <v>#REF!</v>
      </c>
      <c r="M28" s="12" t="e">
        <f t="shared" si="8"/>
        <v>#REF!</v>
      </c>
      <c r="N28" s="12"/>
      <c r="O28" s="26" t="e">
        <f t="shared" si="9"/>
        <v>#REF!</v>
      </c>
      <c r="P28" s="26" t="e">
        <f t="shared" si="10"/>
        <v>#REF!</v>
      </c>
      <c r="Q28" s="12" t="e">
        <f t="shared" si="11"/>
        <v>#REF!</v>
      </c>
      <c r="R28" s="12"/>
      <c r="S28" s="26" t="e">
        <f t="shared" si="12"/>
        <v>#REF!</v>
      </c>
      <c r="T28" s="26" t="e">
        <f t="shared" si="13"/>
        <v>#REF!</v>
      </c>
      <c r="U28" s="12" t="e">
        <f t="shared" si="14"/>
        <v>#REF!</v>
      </c>
      <c r="V28" s="12"/>
      <c r="W28" s="44" t="e">
        <f t="shared" si="15"/>
        <v>#REF!</v>
      </c>
      <c r="X28" s="26" t="e">
        <f t="shared" si="16"/>
        <v>#REF!</v>
      </c>
      <c r="Y28" s="12" t="e">
        <f t="shared" si="17"/>
        <v>#REF!</v>
      </c>
    </row>
    <row r="29" spans="1:25" ht="16.5" customHeight="1" x14ac:dyDescent="0.25">
      <c r="A29" s="16" t="s">
        <v>68</v>
      </c>
      <c r="B29" s="32" t="s">
        <v>69</v>
      </c>
      <c r="C29" s="26" t="e">
        <f t="shared" si="0"/>
        <v>#REF!</v>
      </c>
      <c r="D29" s="26" t="e">
        <f t="shared" si="1"/>
        <v>#REF!</v>
      </c>
      <c r="E29" s="12" t="e">
        <f t="shared" si="2"/>
        <v>#REF!</v>
      </c>
      <c r="F29" s="26"/>
      <c r="G29" s="26" t="e">
        <f t="shared" si="3"/>
        <v>#REF!</v>
      </c>
      <c r="H29" s="26" t="e">
        <f t="shared" si="4"/>
        <v>#REF!</v>
      </c>
      <c r="I29" s="12" t="e">
        <f t="shared" si="5"/>
        <v>#REF!</v>
      </c>
      <c r="J29" s="26"/>
      <c r="K29" s="26" t="e">
        <f t="shared" si="6"/>
        <v>#REF!</v>
      </c>
      <c r="L29" s="26" t="e">
        <f t="shared" si="7"/>
        <v>#REF!</v>
      </c>
      <c r="M29" s="12" t="e">
        <f t="shared" si="8"/>
        <v>#REF!</v>
      </c>
      <c r="N29" s="12"/>
      <c r="O29" s="26" t="e">
        <f t="shared" si="9"/>
        <v>#REF!</v>
      </c>
      <c r="P29" s="26" t="e">
        <f t="shared" si="10"/>
        <v>#REF!</v>
      </c>
      <c r="Q29" s="12" t="e">
        <f t="shared" si="11"/>
        <v>#REF!</v>
      </c>
      <c r="R29" s="12"/>
      <c r="S29" s="26" t="e">
        <f t="shared" si="12"/>
        <v>#REF!</v>
      </c>
      <c r="T29" s="26" t="e">
        <f t="shared" si="13"/>
        <v>#REF!</v>
      </c>
      <c r="U29" s="12" t="e">
        <f t="shared" si="14"/>
        <v>#REF!</v>
      </c>
      <c r="V29" s="12"/>
      <c r="W29" s="44" t="e">
        <f t="shared" si="15"/>
        <v>#REF!</v>
      </c>
      <c r="X29" s="26" t="e">
        <f t="shared" si="16"/>
        <v>#REF!</v>
      </c>
      <c r="Y29" s="12" t="e">
        <f t="shared" si="17"/>
        <v>#REF!</v>
      </c>
    </row>
    <row r="30" spans="1:25" ht="16.5" customHeight="1" x14ac:dyDescent="0.25">
      <c r="A30" s="16" t="s">
        <v>70</v>
      </c>
      <c r="B30" s="32" t="s">
        <v>71</v>
      </c>
      <c r="C30" s="26" t="e">
        <f t="shared" si="0"/>
        <v>#REF!</v>
      </c>
      <c r="D30" s="26" t="e">
        <f t="shared" si="1"/>
        <v>#REF!</v>
      </c>
      <c r="E30" s="12" t="e">
        <f t="shared" si="2"/>
        <v>#REF!</v>
      </c>
      <c r="F30" s="26"/>
      <c r="G30" s="26" t="e">
        <f t="shared" si="3"/>
        <v>#REF!</v>
      </c>
      <c r="H30" s="26" t="e">
        <f t="shared" si="4"/>
        <v>#REF!</v>
      </c>
      <c r="I30" s="12" t="e">
        <f t="shared" si="5"/>
        <v>#REF!</v>
      </c>
      <c r="J30" s="26"/>
      <c r="K30" s="26" t="e">
        <f t="shared" si="6"/>
        <v>#REF!</v>
      </c>
      <c r="L30" s="26" t="e">
        <f t="shared" si="7"/>
        <v>#REF!</v>
      </c>
      <c r="M30" s="12" t="e">
        <f t="shared" si="8"/>
        <v>#REF!</v>
      </c>
      <c r="N30" s="12"/>
      <c r="O30" s="26" t="e">
        <f t="shared" si="9"/>
        <v>#REF!</v>
      </c>
      <c r="P30" s="26" t="e">
        <f t="shared" si="10"/>
        <v>#REF!</v>
      </c>
      <c r="Q30" s="12" t="e">
        <f t="shared" si="11"/>
        <v>#REF!</v>
      </c>
      <c r="R30" s="12"/>
      <c r="S30" s="26" t="e">
        <f t="shared" si="12"/>
        <v>#REF!</v>
      </c>
      <c r="T30" s="26" t="e">
        <f t="shared" si="13"/>
        <v>#REF!</v>
      </c>
      <c r="U30" s="12" t="e">
        <f t="shared" si="14"/>
        <v>#REF!</v>
      </c>
      <c r="V30" s="12"/>
      <c r="W30" s="44" t="e">
        <f t="shared" si="15"/>
        <v>#REF!</v>
      </c>
      <c r="X30" s="26" t="e">
        <f t="shared" si="16"/>
        <v>#REF!</v>
      </c>
      <c r="Y30" s="12" t="e">
        <f t="shared" si="17"/>
        <v>#REF!</v>
      </c>
    </row>
    <row r="31" spans="1:25" ht="16.5" customHeight="1" x14ac:dyDescent="0.25">
      <c r="A31" s="16" t="s">
        <v>72</v>
      </c>
      <c r="B31" s="32" t="s">
        <v>73</v>
      </c>
      <c r="C31" s="26" t="e">
        <f t="shared" si="0"/>
        <v>#REF!</v>
      </c>
      <c r="D31" s="26" t="e">
        <f t="shared" si="1"/>
        <v>#REF!</v>
      </c>
      <c r="E31" s="12" t="e">
        <f t="shared" si="2"/>
        <v>#REF!</v>
      </c>
      <c r="F31" s="26"/>
      <c r="G31" s="26" t="e">
        <f t="shared" si="3"/>
        <v>#REF!</v>
      </c>
      <c r="H31" s="26" t="e">
        <f t="shared" si="4"/>
        <v>#REF!</v>
      </c>
      <c r="I31" s="12" t="e">
        <f t="shared" si="5"/>
        <v>#REF!</v>
      </c>
      <c r="J31" s="26"/>
      <c r="K31" s="26" t="e">
        <f t="shared" si="6"/>
        <v>#REF!</v>
      </c>
      <c r="L31" s="26" t="e">
        <f t="shared" si="7"/>
        <v>#REF!</v>
      </c>
      <c r="M31" s="12" t="e">
        <f t="shared" si="8"/>
        <v>#REF!</v>
      </c>
      <c r="N31" s="12"/>
      <c r="O31" s="26" t="e">
        <f t="shared" si="9"/>
        <v>#REF!</v>
      </c>
      <c r="P31" s="26" t="e">
        <f t="shared" si="10"/>
        <v>#REF!</v>
      </c>
      <c r="Q31" s="12" t="e">
        <f t="shared" si="11"/>
        <v>#REF!</v>
      </c>
      <c r="R31" s="12"/>
      <c r="S31" s="26" t="e">
        <f t="shared" si="12"/>
        <v>#REF!</v>
      </c>
      <c r="T31" s="26" t="e">
        <f t="shared" si="13"/>
        <v>#REF!</v>
      </c>
      <c r="U31" s="12" t="e">
        <f t="shared" si="14"/>
        <v>#REF!</v>
      </c>
      <c r="V31" s="12"/>
      <c r="W31" s="44" t="e">
        <f t="shared" si="15"/>
        <v>#REF!</v>
      </c>
      <c r="X31" s="26" t="e">
        <f t="shared" si="16"/>
        <v>#REF!</v>
      </c>
      <c r="Y31" s="12" t="e">
        <f t="shared" si="17"/>
        <v>#REF!</v>
      </c>
    </row>
    <row r="32" spans="1:25" ht="16.5" customHeight="1" x14ac:dyDescent="0.25">
      <c r="A32" s="16" t="s">
        <v>74</v>
      </c>
      <c r="B32" s="17" t="s">
        <v>302</v>
      </c>
      <c r="C32" s="26" t="e">
        <f t="shared" si="0"/>
        <v>#REF!</v>
      </c>
      <c r="D32" s="26" t="e">
        <f t="shared" si="1"/>
        <v>#REF!</v>
      </c>
      <c r="E32" s="12" t="e">
        <f t="shared" si="2"/>
        <v>#REF!</v>
      </c>
      <c r="F32" s="26"/>
      <c r="G32" s="26" t="e">
        <f t="shared" si="3"/>
        <v>#REF!</v>
      </c>
      <c r="H32" s="26" t="e">
        <f t="shared" si="4"/>
        <v>#REF!</v>
      </c>
      <c r="I32" s="12" t="e">
        <f t="shared" si="5"/>
        <v>#REF!</v>
      </c>
      <c r="J32" s="26"/>
      <c r="K32" s="26" t="e">
        <f t="shared" si="6"/>
        <v>#REF!</v>
      </c>
      <c r="L32" s="26" t="e">
        <f t="shared" si="7"/>
        <v>#REF!</v>
      </c>
      <c r="M32" s="12" t="e">
        <f t="shared" si="8"/>
        <v>#REF!</v>
      </c>
      <c r="N32" s="12"/>
      <c r="O32" s="26" t="e">
        <f t="shared" si="9"/>
        <v>#REF!</v>
      </c>
      <c r="P32" s="26" t="e">
        <f t="shared" si="10"/>
        <v>#REF!</v>
      </c>
      <c r="Q32" s="12" t="e">
        <f t="shared" si="11"/>
        <v>#REF!</v>
      </c>
      <c r="R32" s="12"/>
      <c r="S32" s="26" t="e">
        <f t="shared" si="12"/>
        <v>#REF!</v>
      </c>
      <c r="T32" s="26" t="e">
        <f t="shared" si="13"/>
        <v>#REF!</v>
      </c>
      <c r="U32" s="12" t="e">
        <f t="shared" si="14"/>
        <v>#REF!</v>
      </c>
      <c r="V32" s="12"/>
      <c r="W32" s="44" t="e">
        <f t="shared" si="15"/>
        <v>#REF!</v>
      </c>
      <c r="X32" s="26" t="e">
        <f t="shared" si="16"/>
        <v>#REF!</v>
      </c>
      <c r="Y32" s="12" t="e">
        <f t="shared" si="17"/>
        <v>#REF!</v>
      </c>
    </row>
    <row r="33" spans="1:25" ht="16.5" customHeight="1" x14ac:dyDescent="0.25">
      <c r="A33" s="16" t="s">
        <v>76</v>
      </c>
      <c r="B33" s="17" t="s">
        <v>77</v>
      </c>
      <c r="C33" s="26" t="e">
        <f t="shared" si="0"/>
        <v>#REF!</v>
      </c>
      <c r="D33" s="26" t="e">
        <f t="shared" si="1"/>
        <v>#REF!</v>
      </c>
      <c r="E33" s="12" t="e">
        <f t="shared" si="2"/>
        <v>#REF!</v>
      </c>
      <c r="F33" s="26"/>
      <c r="G33" s="26" t="e">
        <f t="shared" si="3"/>
        <v>#REF!</v>
      </c>
      <c r="H33" s="26" t="e">
        <f t="shared" si="4"/>
        <v>#REF!</v>
      </c>
      <c r="I33" s="12" t="e">
        <f t="shared" si="5"/>
        <v>#REF!</v>
      </c>
      <c r="J33" s="26"/>
      <c r="K33" s="26" t="e">
        <f t="shared" si="6"/>
        <v>#REF!</v>
      </c>
      <c r="L33" s="26" t="e">
        <f t="shared" si="7"/>
        <v>#REF!</v>
      </c>
      <c r="M33" s="12" t="e">
        <f t="shared" si="8"/>
        <v>#REF!</v>
      </c>
      <c r="N33" s="12"/>
      <c r="O33" s="26" t="e">
        <f t="shared" si="9"/>
        <v>#REF!</v>
      </c>
      <c r="P33" s="26" t="e">
        <f t="shared" si="10"/>
        <v>#REF!</v>
      </c>
      <c r="Q33" s="12" t="e">
        <f t="shared" si="11"/>
        <v>#REF!</v>
      </c>
      <c r="R33" s="12"/>
      <c r="S33" s="26" t="e">
        <f t="shared" si="12"/>
        <v>#REF!</v>
      </c>
      <c r="T33" s="26" t="e">
        <f t="shared" si="13"/>
        <v>#REF!</v>
      </c>
      <c r="U33" s="12" t="e">
        <f t="shared" si="14"/>
        <v>#REF!</v>
      </c>
      <c r="V33" s="12"/>
      <c r="W33" s="44" t="e">
        <f t="shared" si="15"/>
        <v>#REF!</v>
      </c>
      <c r="X33" s="26" t="e">
        <f t="shared" si="16"/>
        <v>#REF!</v>
      </c>
      <c r="Y33" s="12" t="e">
        <f t="shared" si="17"/>
        <v>#REF!</v>
      </c>
    </row>
    <row r="34" spans="1:25" ht="16.5" customHeight="1" x14ac:dyDescent="0.25">
      <c r="A34" s="16" t="s">
        <v>78</v>
      </c>
      <c r="B34" s="32" t="s">
        <v>79</v>
      </c>
      <c r="C34" s="26" t="e">
        <f t="shared" si="0"/>
        <v>#REF!</v>
      </c>
      <c r="D34" s="26" t="e">
        <f t="shared" si="1"/>
        <v>#REF!</v>
      </c>
      <c r="E34" s="12" t="e">
        <f t="shared" si="2"/>
        <v>#REF!</v>
      </c>
      <c r="F34" s="26"/>
      <c r="G34" s="26" t="e">
        <f t="shared" si="3"/>
        <v>#REF!</v>
      </c>
      <c r="H34" s="26" t="e">
        <f t="shared" si="4"/>
        <v>#REF!</v>
      </c>
      <c r="I34" s="12" t="e">
        <f t="shared" si="5"/>
        <v>#REF!</v>
      </c>
      <c r="J34" s="26"/>
      <c r="K34" s="26" t="e">
        <f t="shared" si="6"/>
        <v>#REF!</v>
      </c>
      <c r="L34" s="26" t="e">
        <f t="shared" si="7"/>
        <v>#REF!</v>
      </c>
      <c r="M34" s="12" t="e">
        <f t="shared" si="8"/>
        <v>#REF!</v>
      </c>
      <c r="N34" s="12"/>
      <c r="O34" s="26" t="e">
        <f t="shared" si="9"/>
        <v>#REF!</v>
      </c>
      <c r="P34" s="26" t="e">
        <f t="shared" si="10"/>
        <v>#REF!</v>
      </c>
      <c r="Q34" s="12" t="e">
        <f t="shared" si="11"/>
        <v>#REF!</v>
      </c>
      <c r="R34" s="12"/>
      <c r="S34" s="26" t="e">
        <f t="shared" si="12"/>
        <v>#REF!</v>
      </c>
      <c r="T34" s="26" t="e">
        <f t="shared" si="13"/>
        <v>#REF!</v>
      </c>
      <c r="U34" s="12" t="e">
        <f t="shared" si="14"/>
        <v>#REF!</v>
      </c>
      <c r="V34" s="12"/>
      <c r="W34" s="44" t="e">
        <f t="shared" si="15"/>
        <v>#REF!</v>
      </c>
      <c r="X34" s="26" t="e">
        <f t="shared" si="16"/>
        <v>#REF!</v>
      </c>
      <c r="Y34" s="12" t="e">
        <f t="shared" si="17"/>
        <v>#REF!</v>
      </c>
    </row>
    <row r="35" spans="1:25" ht="16.5" customHeight="1" x14ac:dyDescent="0.25">
      <c r="A35" s="16" t="s">
        <v>80</v>
      </c>
      <c r="B35" s="17" t="s">
        <v>81</v>
      </c>
      <c r="C35" s="26" t="e">
        <f t="shared" si="0"/>
        <v>#REF!</v>
      </c>
      <c r="D35" s="26" t="e">
        <f t="shared" si="1"/>
        <v>#REF!</v>
      </c>
      <c r="E35" s="12" t="e">
        <f t="shared" si="2"/>
        <v>#REF!</v>
      </c>
      <c r="F35" s="26"/>
      <c r="G35" s="26" t="e">
        <f t="shared" si="3"/>
        <v>#REF!</v>
      </c>
      <c r="H35" s="26" t="e">
        <f t="shared" si="4"/>
        <v>#REF!</v>
      </c>
      <c r="I35" s="12" t="e">
        <f t="shared" si="5"/>
        <v>#REF!</v>
      </c>
      <c r="J35" s="26"/>
      <c r="K35" s="26" t="e">
        <f t="shared" si="6"/>
        <v>#REF!</v>
      </c>
      <c r="L35" s="26" t="e">
        <f t="shared" si="7"/>
        <v>#REF!</v>
      </c>
      <c r="M35" s="12" t="e">
        <f t="shared" si="8"/>
        <v>#REF!</v>
      </c>
      <c r="N35" s="12"/>
      <c r="O35" s="26" t="e">
        <f t="shared" si="9"/>
        <v>#REF!</v>
      </c>
      <c r="P35" s="26" t="e">
        <f t="shared" si="10"/>
        <v>#REF!</v>
      </c>
      <c r="Q35" s="12" t="e">
        <f t="shared" si="11"/>
        <v>#REF!</v>
      </c>
      <c r="R35" s="12"/>
      <c r="S35" s="26" t="e">
        <f t="shared" si="12"/>
        <v>#REF!</v>
      </c>
      <c r="T35" s="26" t="e">
        <f t="shared" si="13"/>
        <v>#REF!</v>
      </c>
      <c r="U35" s="12" t="e">
        <f t="shared" si="14"/>
        <v>#REF!</v>
      </c>
      <c r="V35" s="12"/>
      <c r="W35" s="44" t="e">
        <f t="shared" si="15"/>
        <v>#REF!</v>
      </c>
      <c r="X35" s="26" t="e">
        <f t="shared" si="16"/>
        <v>#REF!</v>
      </c>
      <c r="Y35" s="12" t="e">
        <f t="shared" si="17"/>
        <v>#REF!</v>
      </c>
    </row>
    <row r="36" spans="1:25" ht="16.5" customHeight="1" x14ac:dyDescent="0.25">
      <c r="A36" s="16" t="s">
        <v>84</v>
      </c>
      <c r="B36" s="32" t="s">
        <v>308</v>
      </c>
      <c r="C36" s="26" t="e">
        <f t="shared" ref="C36:C67" si="18">VLOOKUP(A36,MedicaidR,7,FALSE)</f>
        <v>#REF!</v>
      </c>
      <c r="D36" s="26" t="e">
        <f t="shared" ref="D36:D67" si="19">VLOOKUP(A36,Pop,14,FALSE)</f>
        <v>#REF!</v>
      </c>
      <c r="E36" s="12" t="e">
        <f t="shared" ref="E36:E67" si="20">+C36/D36</f>
        <v>#REF!</v>
      </c>
      <c r="F36" s="26"/>
      <c r="G36" s="26" t="e">
        <f t="shared" ref="G36:G67" si="21">VLOOKUP(A36,MedicaidR,8,FALSE)</f>
        <v>#REF!</v>
      </c>
      <c r="H36" s="26" t="e">
        <f t="shared" ref="H36:H67" si="22">VLOOKUP(A36,Pop,15,FALSE)</f>
        <v>#REF!</v>
      </c>
      <c r="I36" s="12" t="e">
        <f t="shared" ref="I36:I67" si="23">+G36/H36</f>
        <v>#REF!</v>
      </c>
      <c r="J36" s="26"/>
      <c r="K36" s="26" t="e">
        <f t="shared" ref="K36:K67" si="24">VLOOKUP(A36,MedicaidR,9,FALSE)</f>
        <v>#REF!</v>
      </c>
      <c r="L36" s="26" t="e">
        <f t="shared" ref="L36:L67" si="25">VLOOKUP(A36,Pop,16,FALSE)</f>
        <v>#REF!</v>
      </c>
      <c r="M36" s="12" t="e">
        <f t="shared" ref="M36:M67" si="26">+K36/L36</f>
        <v>#REF!</v>
      </c>
      <c r="N36" s="12"/>
      <c r="O36" s="26" t="e">
        <f t="shared" ref="O36:O67" si="27">VLOOKUP(A36,MedicaidR,3,FALSE)</f>
        <v>#REF!</v>
      </c>
      <c r="P36" s="26" t="e">
        <f t="shared" ref="P36:P67" si="28">VLOOKUP(A36,Pop,8,FALSE)</f>
        <v>#REF!</v>
      </c>
      <c r="Q36" s="12" t="e">
        <f t="shared" ref="Q36:Q67" si="29">+O36/P36</f>
        <v>#REF!</v>
      </c>
      <c r="R36" s="12"/>
      <c r="S36" s="26" t="e">
        <f t="shared" ref="S36:S67" si="30">VLOOKUP(A36,MedicaidR,4,FALSE)</f>
        <v>#REF!</v>
      </c>
      <c r="T36" s="26" t="e">
        <f t="shared" ref="T36:T67" si="31">VLOOKUP(A36,Pop,9,FALSE)</f>
        <v>#REF!</v>
      </c>
      <c r="U36" s="12" t="e">
        <f t="shared" ref="U36:U67" si="32">+S36/T36</f>
        <v>#REF!</v>
      </c>
      <c r="V36" s="12"/>
      <c r="W36" s="44" t="e">
        <f t="shared" ref="W36:W67" si="33">VLOOKUP(A36,MedicaidR,5,FALSE)</f>
        <v>#REF!</v>
      </c>
      <c r="X36" s="26" t="e">
        <f t="shared" ref="X36:X67" si="34">VLOOKUP(A36,Pop,10,FALSE)</f>
        <v>#REF!</v>
      </c>
      <c r="Y36" s="12" t="e">
        <f t="shared" ref="Y36:Y67" si="35">+W36/X36</f>
        <v>#REF!</v>
      </c>
    </row>
    <row r="37" spans="1:25" ht="16.5" customHeight="1" x14ac:dyDescent="0.25">
      <c r="A37" s="16" t="s">
        <v>86</v>
      </c>
      <c r="B37" s="17" t="s">
        <v>87</v>
      </c>
      <c r="C37" s="26" t="e">
        <f t="shared" si="18"/>
        <v>#REF!</v>
      </c>
      <c r="D37" s="26" t="e">
        <f t="shared" si="19"/>
        <v>#REF!</v>
      </c>
      <c r="E37" s="12" t="e">
        <f t="shared" si="20"/>
        <v>#REF!</v>
      </c>
      <c r="F37" s="26"/>
      <c r="G37" s="26" t="e">
        <f t="shared" si="21"/>
        <v>#REF!</v>
      </c>
      <c r="H37" s="26" t="e">
        <f t="shared" si="22"/>
        <v>#REF!</v>
      </c>
      <c r="I37" s="12" t="e">
        <f t="shared" si="23"/>
        <v>#REF!</v>
      </c>
      <c r="J37" s="26"/>
      <c r="K37" s="26" t="e">
        <f t="shared" si="24"/>
        <v>#REF!</v>
      </c>
      <c r="L37" s="26" t="e">
        <f t="shared" si="25"/>
        <v>#REF!</v>
      </c>
      <c r="M37" s="12" t="e">
        <f t="shared" si="26"/>
        <v>#REF!</v>
      </c>
      <c r="N37" s="12"/>
      <c r="O37" s="26" t="e">
        <f t="shared" si="27"/>
        <v>#REF!</v>
      </c>
      <c r="P37" s="26" t="e">
        <f t="shared" si="28"/>
        <v>#REF!</v>
      </c>
      <c r="Q37" s="12" t="e">
        <f t="shared" si="29"/>
        <v>#REF!</v>
      </c>
      <c r="R37" s="12"/>
      <c r="S37" s="26" t="e">
        <f t="shared" si="30"/>
        <v>#REF!</v>
      </c>
      <c r="T37" s="26" t="e">
        <f t="shared" si="31"/>
        <v>#REF!</v>
      </c>
      <c r="U37" s="12" t="e">
        <f t="shared" si="32"/>
        <v>#REF!</v>
      </c>
      <c r="V37" s="12"/>
      <c r="W37" s="44" t="e">
        <f t="shared" si="33"/>
        <v>#REF!</v>
      </c>
      <c r="X37" s="26" t="e">
        <f t="shared" si="34"/>
        <v>#REF!</v>
      </c>
      <c r="Y37" s="12" t="e">
        <f t="shared" si="35"/>
        <v>#REF!</v>
      </c>
    </row>
    <row r="38" spans="1:25" ht="16.5" customHeight="1" x14ac:dyDescent="0.25">
      <c r="A38" s="16" t="s">
        <v>92</v>
      </c>
      <c r="B38" s="17" t="s">
        <v>93</v>
      </c>
      <c r="C38" s="26" t="e">
        <f t="shared" si="18"/>
        <v>#REF!</v>
      </c>
      <c r="D38" s="26" t="e">
        <f t="shared" si="19"/>
        <v>#REF!</v>
      </c>
      <c r="E38" s="12" t="e">
        <f t="shared" si="20"/>
        <v>#REF!</v>
      </c>
      <c r="F38" s="26"/>
      <c r="G38" s="26" t="e">
        <f t="shared" si="21"/>
        <v>#REF!</v>
      </c>
      <c r="H38" s="26" t="e">
        <f t="shared" si="22"/>
        <v>#REF!</v>
      </c>
      <c r="I38" s="12" t="e">
        <f t="shared" si="23"/>
        <v>#REF!</v>
      </c>
      <c r="J38" s="26"/>
      <c r="K38" s="26" t="e">
        <f t="shared" si="24"/>
        <v>#REF!</v>
      </c>
      <c r="L38" s="26" t="e">
        <f t="shared" si="25"/>
        <v>#REF!</v>
      </c>
      <c r="M38" s="12" t="e">
        <f t="shared" si="26"/>
        <v>#REF!</v>
      </c>
      <c r="N38" s="12"/>
      <c r="O38" s="26" t="e">
        <f t="shared" si="27"/>
        <v>#REF!</v>
      </c>
      <c r="P38" s="26" t="e">
        <f t="shared" si="28"/>
        <v>#REF!</v>
      </c>
      <c r="Q38" s="12" t="e">
        <f t="shared" si="29"/>
        <v>#REF!</v>
      </c>
      <c r="R38" s="12"/>
      <c r="S38" s="26" t="e">
        <f t="shared" si="30"/>
        <v>#REF!</v>
      </c>
      <c r="T38" s="26" t="e">
        <f t="shared" si="31"/>
        <v>#REF!</v>
      </c>
      <c r="U38" s="12" t="e">
        <f t="shared" si="32"/>
        <v>#REF!</v>
      </c>
      <c r="V38" s="12"/>
      <c r="W38" s="44" t="e">
        <f t="shared" si="33"/>
        <v>#REF!</v>
      </c>
      <c r="X38" s="26" t="e">
        <f t="shared" si="34"/>
        <v>#REF!</v>
      </c>
      <c r="Y38" s="12" t="e">
        <f t="shared" si="35"/>
        <v>#REF!</v>
      </c>
    </row>
    <row r="39" spans="1:25" ht="16.5" customHeight="1" x14ac:dyDescent="0.25">
      <c r="A39" s="16" t="s">
        <v>94</v>
      </c>
      <c r="B39" s="17" t="s">
        <v>95</v>
      </c>
      <c r="C39" s="26" t="e">
        <f t="shared" si="18"/>
        <v>#REF!</v>
      </c>
      <c r="D39" s="26" t="e">
        <f t="shared" si="19"/>
        <v>#REF!</v>
      </c>
      <c r="E39" s="12" t="e">
        <f t="shared" si="20"/>
        <v>#REF!</v>
      </c>
      <c r="F39" s="26"/>
      <c r="G39" s="26" t="e">
        <f t="shared" si="21"/>
        <v>#REF!</v>
      </c>
      <c r="H39" s="26" t="e">
        <f t="shared" si="22"/>
        <v>#REF!</v>
      </c>
      <c r="I39" s="12" t="e">
        <f t="shared" si="23"/>
        <v>#REF!</v>
      </c>
      <c r="J39" s="26"/>
      <c r="K39" s="26" t="e">
        <f t="shared" si="24"/>
        <v>#REF!</v>
      </c>
      <c r="L39" s="26" t="e">
        <f t="shared" si="25"/>
        <v>#REF!</v>
      </c>
      <c r="M39" s="12" t="e">
        <f t="shared" si="26"/>
        <v>#REF!</v>
      </c>
      <c r="N39" s="12"/>
      <c r="O39" s="26" t="e">
        <f t="shared" si="27"/>
        <v>#REF!</v>
      </c>
      <c r="P39" s="26" t="e">
        <f t="shared" si="28"/>
        <v>#REF!</v>
      </c>
      <c r="Q39" s="12" t="e">
        <f t="shared" si="29"/>
        <v>#REF!</v>
      </c>
      <c r="R39" s="12"/>
      <c r="S39" s="26" t="e">
        <f t="shared" si="30"/>
        <v>#REF!</v>
      </c>
      <c r="T39" s="26" t="e">
        <f t="shared" si="31"/>
        <v>#REF!</v>
      </c>
      <c r="U39" s="12" t="e">
        <f t="shared" si="32"/>
        <v>#REF!</v>
      </c>
      <c r="V39" s="12"/>
      <c r="W39" s="44" t="e">
        <f t="shared" si="33"/>
        <v>#REF!</v>
      </c>
      <c r="X39" s="26" t="e">
        <f t="shared" si="34"/>
        <v>#REF!</v>
      </c>
      <c r="Y39" s="12" t="e">
        <f t="shared" si="35"/>
        <v>#REF!</v>
      </c>
    </row>
    <row r="40" spans="1:25" ht="16.5" customHeight="1" x14ac:dyDescent="0.25">
      <c r="A40" s="16" t="s">
        <v>96</v>
      </c>
      <c r="B40" s="17" t="s">
        <v>97</v>
      </c>
      <c r="C40" s="26" t="e">
        <f t="shared" si="18"/>
        <v>#REF!</v>
      </c>
      <c r="D40" s="26" t="e">
        <f t="shared" si="19"/>
        <v>#REF!</v>
      </c>
      <c r="E40" s="12" t="e">
        <f t="shared" si="20"/>
        <v>#REF!</v>
      </c>
      <c r="F40" s="26"/>
      <c r="G40" s="26" t="e">
        <f t="shared" si="21"/>
        <v>#REF!</v>
      </c>
      <c r="H40" s="26" t="e">
        <f t="shared" si="22"/>
        <v>#REF!</v>
      </c>
      <c r="I40" s="12" t="e">
        <f t="shared" si="23"/>
        <v>#REF!</v>
      </c>
      <c r="J40" s="26"/>
      <c r="K40" s="26" t="e">
        <f t="shared" si="24"/>
        <v>#REF!</v>
      </c>
      <c r="L40" s="26" t="e">
        <f t="shared" si="25"/>
        <v>#REF!</v>
      </c>
      <c r="M40" s="12" t="e">
        <f t="shared" si="26"/>
        <v>#REF!</v>
      </c>
      <c r="N40" s="12"/>
      <c r="O40" s="26" t="e">
        <f t="shared" si="27"/>
        <v>#REF!</v>
      </c>
      <c r="P40" s="26" t="e">
        <f t="shared" si="28"/>
        <v>#REF!</v>
      </c>
      <c r="Q40" s="12" t="e">
        <f t="shared" si="29"/>
        <v>#REF!</v>
      </c>
      <c r="R40" s="12"/>
      <c r="S40" s="26" t="e">
        <f t="shared" si="30"/>
        <v>#REF!</v>
      </c>
      <c r="T40" s="26" t="e">
        <f t="shared" si="31"/>
        <v>#REF!</v>
      </c>
      <c r="U40" s="12" t="e">
        <f t="shared" si="32"/>
        <v>#REF!</v>
      </c>
      <c r="V40" s="12"/>
      <c r="W40" s="44" t="e">
        <f t="shared" si="33"/>
        <v>#REF!</v>
      </c>
      <c r="X40" s="26" t="e">
        <f t="shared" si="34"/>
        <v>#REF!</v>
      </c>
      <c r="Y40" s="12" t="e">
        <f t="shared" si="35"/>
        <v>#REF!</v>
      </c>
    </row>
    <row r="41" spans="1:25" ht="16.5" customHeight="1" x14ac:dyDescent="0.25">
      <c r="A41" s="16" t="s">
        <v>98</v>
      </c>
      <c r="B41" s="32" t="s">
        <v>99</v>
      </c>
      <c r="C41" s="26" t="e">
        <f t="shared" si="18"/>
        <v>#REF!</v>
      </c>
      <c r="D41" s="26" t="e">
        <f t="shared" si="19"/>
        <v>#REF!</v>
      </c>
      <c r="E41" s="12" t="e">
        <f t="shared" si="20"/>
        <v>#REF!</v>
      </c>
      <c r="F41" s="26"/>
      <c r="G41" s="26" t="e">
        <f t="shared" si="21"/>
        <v>#REF!</v>
      </c>
      <c r="H41" s="26" t="e">
        <f t="shared" si="22"/>
        <v>#REF!</v>
      </c>
      <c r="I41" s="12" t="e">
        <f t="shared" si="23"/>
        <v>#REF!</v>
      </c>
      <c r="J41" s="26"/>
      <c r="K41" s="26" t="e">
        <f t="shared" si="24"/>
        <v>#REF!</v>
      </c>
      <c r="L41" s="26" t="e">
        <f t="shared" si="25"/>
        <v>#REF!</v>
      </c>
      <c r="M41" s="12" t="e">
        <f t="shared" si="26"/>
        <v>#REF!</v>
      </c>
      <c r="N41" s="12"/>
      <c r="O41" s="26" t="e">
        <f t="shared" si="27"/>
        <v>#REF!</v>
      </c>
      <c r="P41" s="26" t="e">
        <f t="shared" si="28"/>
        <v>#REF!</v>
      </c>
      <c r="Q41" s="12" t="e">
        <f t="shared" si="29"/>
        <v>#REF!</v>
      </c>
      <c r="R41" s="12"/>
      <c r="S41" s="26" t="e">
        <f t="shared" si="30"/>
        <v>#REF!</v>
      </c>
      <c r="T41" s="26" t="e">
        <f t="shared" si="31"/>
        <v>#REF!</v>
      </c>
      <c r="U41" s="12" t="e">
        <f t="shared" si="32"/>
        <v>#REF!</v>
      </c>
      <c r="V41" s="12"/>
      <c r="W41" s="44" t="e">
        <f t="shared" si="33"/>
        <v>#REF!</v>
      </c>
      <c r="X41" s="26" t="e">
        <f t="shared" si="34"/>
        <v>#REF!</v>
      </c>
      <c r="Y41" s="12" t="e">
        <f t="shared" si="35"/>
        <v>#REF!</v>
      </c>
    </row>
    <row r="42" spans="1:25" ht="16.5" customHeight="1" x14ac:dyDescent="0.25">
      <c r="A42" s="16" t="s">
        <v>100</v>
      </c>
      <c r="B42" s="32" t="s">
        <v>101</v>
      </c>
      <c r="C42" s="26" t="e">
        <f t="shared" si="18"/>
        <v>#REF!</v>
      </c>
      <c r="D42" s="26" t="e">
        <f t="shared" si="19"/>
        <v>#REF!</v>
      </c>
      <c r="E42" s="12" t="e">
        <f t="shared" si="20"/>
        <v>#REF!</v>
      </c>
      <c r="F42" s="26"/>
      <c r="G42" s="26" t="e">
        <f t="shared" si="21"/>
        <v>#REF!</v>
      </c>
      <c r="H42" s="26" t="e">
        <f t="shared" si="22"/>
        <v>#REF!</v>
      </c>
      <c r="I42" s="12" t="e">
        <f t="shared" si="23"/>
        <v>#REF!</v>
      </c>
      <c r="J42" s="26"/>
      <c r="K42" s="26" t="e">
        <f t="shared" si="24"/>
        <v>#REF!</v>
      </c>
      <c r="L42" s="26" t="e">
        <f t="shared" si="25"/>
        <v>#REF!</v>
      </c>
      <c r="M42" s="12" t="e">
        <f t="shared" si="26"/>
        <v>#REF!</v>
      </c>
      <c r="N42" s="12"/>
      <c r="O42" s="26" t="e">
        <f t="shared" si="27"/>
        <v>#REF!</v>
      </c>
      <c r="P42" s="26" t="e">
        <f t="shared" si="28"/>
        <v>#REF!</v>
      </c>
      <c r="Q42" s="12" t="e">
        <f t="shared" si="29"/>
        <v>#REF!</v>
      </c>
      <c r="R42" s="12"/>
      <c r="S42" s="26" t="e">
        <f t="shared" si="30"/>
        <v>#REF!</v>
      </c>
      <c r="T42" s="26" t="e">
        <f t="shared" si="31"/>
        <v>#REF!</v>
      </c>
      <c r="U42" s="12" t="e">
        <f t="shared" si="32"/>
        <v>#REF!</v>
      </c>
      <c r="V42" s="12"/>
      <c r="W42" s="44" t="e">
        <f t="shared" si="33"/>
        <v>#REF!</v>
      </c>
      <c r="X42" s="26" t="e">
        <f t="shared" si="34"/>
        <v>#REF!</v>
      </c>
      <c r="Y42" s="12" t="e">
        <f t="shared" si="35"/>
        <v>#REF!</v>
      </c>
    </row>
    <row r="43" spans="1:25" ht="16.5" customHeight="1" x14ac:dyDescent="0.25">
      <c r="A43" s="16" t="s">
        <v>102</v>
      </c>
      <c r="B43" s="32" t="s">
        <v>103</v>
      </c>
      <c r="C43" s="26" t="e">
        <f t="shared" si="18"/>
        <v>#REF!</v>
      </c>
      <c r="D43" s="26" t="e">
        <f t="shared" si="19"/>
        <v>#REF!</v>
      </c>
      <c r="E43" s="12" t="e">
        <f t="shared" si="20"/>
        <v>#REF!</v>
      </c>
      <c r="F43" s="26"/>
      <c r="G43" s="26" t="e">
        <f t="shared" si="21"/>
        <v>#REF!</v>
      </c>
      <c r="H43" s="26" t="e">
        <f t="shared" si="22"/>
        <v>#REF!</v>
      </c>
      <c r="I43" s="12" t="e">
        <f t="shared" si="23"/>
        <v>#REF!</v>
      </c>
      <c r="J43" s="26"/>
      <c r="K43" s="26" t="e">
        <f t="shared" si="24"/>
        <v>#REF!</v>
      </c>
      <c r="L43" s="26" t="e">
        <f t="shared" si="25"/>
        <v>#REF!</v>
      </c>
      <c r="M43" s="12" t="e">
        <f t="shared" si="26"/>
        <v>#REF!</v>
      </c>
      <c r="N43" s="12"/>
      <c r="O43" s="26" t="e">
        <f t="shared" si="27"/>
        <v>#REF!</v>
      </c>
      <c r="P43" s="26" t="e">
        <f t="shared" si="28"/>
        <v>#REF!</v>
      </c>
      <c r="Q43" s="12" t="e">
        <f t="shared" si="29"/>
        <v>#REF!</v>
      </c>
      <c r="R43" s="12"/>
      <c r="S43" s="26" t="e">
        <f t="shared" si="30"/>
        <v>#REF!</v>
      </c>
      <c r="T43" s="26" t="e">
        <f t="shared" si="31"/>
        <v>#REF!</v>
      </c>
      <c r="U43" s="12" t="e">
        <f t="shared" si="32"/>
        <v>#REF!</v>
      </c>
      <c r="V43" s="12"/>
      <c r="W43" s="44" t="e">
        <f t="shared" si="33"/>
        <v>#REF!</v>
      </c>
      <c r="X43" s="26" t="e">
        <f t="shared" si="34"/>
        <v>#REF!</v>
      </c>
      <c r="Y43" s="12" t="e">
        <f t="shared" si="35"/>
        <v>#REF!</v>
      </c>
    </row>
    <row r="44" spans="1:25" ht="16.5" customHeight="1" x14ac:dyDescent="0.25">
      <c r="A44" s="16" t="s">
        <v>104</v>
      </c>
      <c r="B44" s="17" t="s">
        <v>309</v>
      </c>
      <c r="C44" s="26" t="e">
        <f t="shared" si="18"/>
        <v>#REF!</v>
      </c>
      <c r="D44" s="26" t="e">
        <f t="shared" si="19"/>
        <v>#REF!</v>
      </c>
      <c r="E44" s="12" t="e">
        <f t="shared" si="20"/>
        <v>#REF!</v>
      </c>
      <c r="F44" s="26"/>
      <c r="G44" s="26" t="e">
        <f t="shared" si="21"/>
        <v>#REF!</v>
      </c>
      <c r="H44" s="26" t="e">
        <f t="shared" si="22"/>
        <v>#REF!</v>
      </c>
      <c r="I44" s="12" t="e">
        <f t="shared" si="23"/>
        <v>#REF!</v>
      </c>
      <c r="J44" s="26"/>
      <c r="K44" s="26" t="e">
        <f t="shared" si="24"/>
        <v>#REF!</v>
      </c>
      <c r="L44" s="26" t="e">
        <f t="shared" si="25"/>
        <v>#REF!</v>
      </c>
      <c r="M44" s="12" t="e">
        <f t="shared" si="26"/>
        <v>#REF!</v>
      </c>
      <c r="N44" s="12"/>
      <c r="O44" s="26" t="e">
        <f t="shared" si="27"/>
        <v>#REF!</v>
      </c>
      <c r="P44" s="26" t="e">
        <f t="shared" si="28"/>
        <v>#REF!</v>
      </c>
      <c r="Q44" s="12" t="e">
        <f t="shared" si="29"/>
        <v>#REF!</v>
      </c>
      <c r="R44" s="12"/>
      <c r="S44" s="26" t="e">
        <f t="shared" si="30"/>
        <v>#REF!</v>
      </c>
      <c r="T44" s="26" t="e">
        <f t="shared" si="31"/>
        <v>#REF!</v>
      </c>
      <c r="U44" s="12" t="e">
        <f t="shared" si="32"/>
        <v>#REF!</v>
      </c>
      <c r="V44" s="12"/>
      <c r="W44" s="44" t="e">
        <f t="shared" si="33"/>
        <v>#REF!</v>
      </c>
      <c r="X44" s="26" t="e">
        <f t="shared" si="34"/>
        <v>#REF!</v>
      </c>
      <c r="Y44" s="12" t="e">
        <f t="shared" si="35"/>
        <v>#REF!</v>
      </c>
    </row>
    <row r="45" spans="1:25" ht="16.5" customHeight="1" x14ac:dyDescent="0.25">
      <c r="A45" s="16" t="s">
        <v>108</v>
      </c>
      <c r="B45" s="17" t="s">
        <v>109</v>
      </c>
      <c r="C45" s="26" t="e">
        <f t="shared" si="18"/>
        <v>#REF!</v>
      </c>
      <c r="D45" s="26" t="e">
        <f t="shared" si="19"/>
        <v>#REF!</v>
      </c>
      <c r="E45" s="12" t="e">
        <f t="shared" si="20"/>
        <v>#REF!</v>
      </c>
      <c r="F45" s="26"/>
      <c r="G45" s="26" t="e">
        <f t="shared" si="21"/>
        <v>#REF!</v>
      </c>
      <c r="H45" s="26" t="e">
        <f t="shared" si="22"/>
        <v>#REF!</v>
      </c>
      <c r="I45" s="12" t="e">
        <f t="shared" si="23"/>
        <v>#REF!</v>
      </c>
      <c r="J45" s="26"/>
      <c r="K45" s="26" t="e">
        <f t="shared" si="24"/>
        <v>#REF!</v>
      </c>
      <c r="L45" s="26" t="e">
        <f t="shared" si="25"/>
        <v>#REF!</v>
      </c>
      <c r="M45" s="12" t="e">
        <f t="shared" si="26"/>
        <v>#REF!</v>
      </c>
      <c r="N45" s="12"/>
      <c r="O45" s="26" t="e">
        <f t="shared" si="27"/>
        <v>#REF!</v>
      </c>
      <c r="P45" s="26" t="e">
        <f t="shared" si="28"/>
        <v>#REF!</v>
      </c>
      <c r="Q45" s="12" t="e">
        <f t="shared" si="29"/>
        <v>#REF!</v>
      </c>
      <c r="R45" s="12"/>
      <c r="S45" s="26" t="e">
        <f t="shared" si="30"/>
        <v>#REF!</v>
      </c>
      <c r="T45" s="26" t="e">
        <f t="shared" si="31"/>
        <v>#REF!</v>
      </c>
      <c r="U45" s="12" t="e">
        <f t="shared" si="32"/>
        <v>#REF!</v>
      </c>
      <c r="V45" s="12"/>
      <c r="W45" s="44" t="e">
        <f t="shared" si="33"/>
        <v>#REF!</v>
      </c>
      <c r="X45" s="26" t="e">
        <f t="shared" si="34"/>
        <v>#REF!</v>
      </c>
      <c r="Y45" s="12" t="e">
        <f t="shared" si="35"/>
        <v>#REF!</v>
      </c>
    </row>
    <row r="46" spans="1:25" ht="16.5" customHeight="1" x14ac:dyDescent="0.25">
      <c r="A46" s="16" t="s">
        <v>110</v>
      </c>
      <c r="B46" s="17" t="s">
        <v>111</v>
      </c>
      <c r="C46" s="26" t="e">
        <f t="shared" si="18"/>
        <v>#REF!</v>
      </c>
      <c r="D46" s="26" t="e">
        <f t="shared" si="19"/>
        <v>#REF!</v>
      </c>
      <c r="E46" s="12" t="e">
        <f t="shared" si="20"/>
        <v>#REF!</v>
      </c>
      <c r="F46" s="26"/>
      <c r="G46" s="26" t="e">
        <f t="shared" si="21"/>
        <v>#REF!</v>
      </c>
      <c r="H46" s="26" t="e">
        <f t="shared" si="22"/>
        <v>#REF!</v>
      </c>
      <c r="I46" s="12" t="e">
        <f t="shared" si="23"/>
        <v>#REF!</v>
      </c>
      <c r="J46" s="26"/>
      <c r="K46" s="26" t="e">
        <f t="shared" si="24"/>
        <v>#REF!</v>
      </c>
      <c r="L46" s="26" t="e">
        <f t="shared" si="25"/>
        <v>#REF!</v>
      </c>
      <c r="M46" s="12" t="e">
        <f t="shared" si="26"/>
        <v>#REF!</v>
      </c>
      <c r="N46" s="12"/>
      <c r="O46" s="26" t="e">
        <f t="shared" si="27"/>
        <v>#REF!</v>
      </c>
      <c r="P46" s="26" t="e">
        <f t="shared" si="28"/>
        <v>#REF!</v>
      </c>
      <c r="Q46" s="12" t="e">
        <f t="shared" si="29"/>
        <v>#REF!</v>
      </c>
      <c r="R46" s="12"/>
      <c r="S46" s="26" t="e">
        <f t="shared" si="30"/>
        <v>#REF!</v>
      </c>
      <c r="T46" s="26" t="e">
        <f t="shared" si="31"/>
        <v>#REF!</v>
      </c>
      <c r="U46" s="12" t="e">
        <f t="shared" si="32"/>
        <v>#REF!</v>
      </c>
      <c r="V46" s="12"/>
      <c r="W46" s="44" t="e">
        <f t="shared" si="33"/>
        <v>#REF!</v>
      </c>
      <c r="X46" s="26" t="e">
        <f t="shared" si="34"/>
        <v>#REF!</v>
      </c>
      <c r="Y46" s="12" t="e">
        <f t="shared" si="35"/>
        <v>#REF!</v>
      </c>
    </row>
    <row r="47" spans="1:25" ht="16.5" customHeight="1" x14ac:dyDescent="0.25">
      <c r="A47" s="16" t="s">
        <v>112</v>
      </c>
      <c r="B47" s="32" t="s">
        <v>300</v>
      </c>
      <c r="C47" s="26" t="e">
        <f t="shared" si="18"/>
        <v>#REF!</v>
      </c>
      <c r="D47" s="26" t="e">
        <f t="shared" si="19"/>
        <v>#REF!</v>
      </c>
      <c r="E47" s="12" t="e">
        <f t="shared" si="20"/>
        <v>#REF!</v>
      </c>
      <c r="F47" s="26"/>
      <c r="G47" s="26" t="e">
        <f t="shared" si="21"/>
        <v>#REF!</v>
      </c>
      <c r="H47" s="26" t="e">
        <f t="shared" si="22"/>
        <v>#REF!</v>
      </c>
      <c r="I47" s="12" t="e">
        <f t="shared" si="23"/>
        <v>#REF!</v>
      </c>
      <c r="J47" s="26"/>
      <c r="K47" s="26" t="e">
        <f t="shared" si="24"/>
        <v>#REF!</v>
      </c>
      <c r="L47" s="26" t="e">
        <f t="shared" si="25"/>
        <v>#REF!</v>
      </c>
      <c r="M47" s="12" t="e">
        <f t="shared" si="26"/>
        <v>#REF!</v>
      </c>
      <c r="N47" s="12"/>
      <c r="O47" s="26" t="e">
        <f t="shared" si="27"/>
        <v>#REF!</v>
      </c>
      <c r="P47" s="26" t="e">
        <f t="shared" si="28"/>
        <v>#REF!</v>
      </c>
      <c r="Q47" s="12" t="e">
        <f t="shared" si="29"/>
        <v>#REF!</v>
      </c>
      <c r="R47" s="12"/>
      <c r="S47" s="26" t="e">
        <f t="shared" si="30"/>
        <v>#REF!</v>
      </c>
      <c r="T47" s="26" t="e">
        <f t="shared" si="31"/>
        <v>#REF!</v>
      </c>
      <c r="U47" s="12" t="e">
        <f t="shared" si="32"/>
        <v>#REF!</v>
      </c>
      <c r="V47" s="12"/>
      <c r="W47" s="44" t="e">
        <f t="shared" si="33"/>
        <v>#REF!</v>
      </c>
      <c r="X47" s="26" t="e">
        <f t="shared" si="34"/>
        <v>#REF!</v>
      </c>
      <c r="Y47" s="12" t="e">
        <f t="shared" si="35"/>
        <v>#REF!</v>
      </c>
    </row>
    <row r="48" spans="1:25" ht="16.5" customHeight="1" x14ac:dyDescent="0.25">
      <c r="A48" s="16" t="s">
        <v>114</v>
      </c>
      <c r="B48" s="32" t="s">
        <v>115</v>
      </c>
      <c r="C48" s="26" t="e">
        <f t="shared" si="18"/>
        <v>#REF!</v>
      </c>
      <c r="D48" s="26" t="e">
        <f t="shared" si="19"/>
        <v>#REF!</v>
      </c>
      <c r="E48" s="12" t="e">
        <f t="shared" si="20"/>
        <v>#REF!</v>
      </c>
      <c r="F48" s="26"/>
      <c r="G48" s="26" t="e">
        <f t="shared" si="21"/>
        <v>#REF!</v>
      </c>
      <c r="H48" s="26" t="e">
        <f t="shared" si="22"/>
        <v>#REF!</v>
      </c>
      <c r="I48" s="12" t="e">
        <f t="shared" si="23"/>
        <v>#REF!</v>
      </c>
      <c r="J48" s="26"/>
      <c r="K48" s="26" t="e">
        <f t="shared" si="24"/>
        <v>#REF!</v>
      </c>
      <c r="L48" s="26" t="e">
        <f t="shared" si="25"/>
        <v>#REF!</v>
      </c>
      <c r="M48" s="12" t="e">
        <f t="shared" si="26"/>
        <v>#REF!</v>
      </c>
      <c r="N48" s="12"/>
      <c r="O48" s="26" t="e">
        <f t="shared" si="27"/>
        <v>#REF!</v>
      </c>
      <c r="P48" s="26" t="e">
        <f t="shared" si="28"/>
        <v>#REF!</v>
      </c>
      <c r="Q48" s="12" t="e">
        <f t="shared" si="29"/>
        <v>#REF!</v>
      </c>
      <c r="R48" s="12"/>
      <c r="S48" s="26" t="e">
        <f t="shared" si="30"/>
        <v>#REF!</v>
      </c>
      <c r="T48" s="26" t="e">
        <f t="shared" si="31"/>
        <v>#REF!</v>
      </c>
      <c r="U48" s="12" t="e">
        <f t="shared" si="32"/>
        <v>#REF!</v>
      </c>
      <c r="V48" s="12"/>
      <c r="W48" s="44" t="e">
        <f t="shared" si="33"/>
        <v>#REF!</v>
      </c>
      <c r="X48" s="26" t="e">
        <f t="shared" si="34"/>
        <v>#REF!</v>
      </c>
      <c r="Y48" s="12" t="e">
        <f t="shared" si="35"/>
        <v>#REF!</v>
      </c>
    </row>
    <row r="49" spans="1:25" ht="16.5" customHeight="1" x14ac:dyDescent="0.25">
      <c r="A49" s="16" t="s">
        <v>118</v>
      </c>
      <c r="B49" s="17" t="s">
        <v>119</v>
      </c>
      <c r="C49" s="26" t="e">
        <f t="shared" si="18"/>
        <v>#REF!</v>
      </c>
      <c r="D49" s="26" t="e">
        <f t="shared" si="19"/>
        <v>#REF!</v>
      </c>
      <c r="E49" s="12" t="e">
        <f t="shared" si="20"/>
        <v>#REF!</v>
      </c>
      <c r="F49" s="26"/>
      <c r="G49" s="26" t="e">
        <f t="shared" si="21"/>
        <v>#REF!</v>
      </c>
      <c r="H49" s="26" t="e">
        <f t="shared" si="22"/>
        <v>#REF!</v>
      </c>
      <c r="I49" s="12" t="e">
        <f t="shared" si="23"/>
        <v>#REF!</v>
      </c>
      <c r="J49" s="26"/>
      <c r="K49" s="26" t="e">
        <f t="shared" si="24"/>
        <v>#REF!</v>
      </c>
      <c r="L49" s="26" t="e">
        <f t="shared" si="25"/>
        <v>#REF!</v>
      </c>
      <c r="M49" s="12" t="e">
        <f t="shared" si="26"/>
        <v>#REF!</v>
      </c>
      <c r="N49" s="12"/>
      <c r="O49" s="26" t="e">
        <f t="shared" si="27"/>
        <v>#REF!</v>
      </c>
      <c r="P49" s="26" t="e">
        <f t="shared" si="28"/>
        <v>#REF!</v>
      </c>
      <c r="Q49" s="12" t="e">
        <f t="shared" si="29"/>
        <v>#REF!</v>
      </c>
      <c r="R49" s="12"/>
      <c r="S49" s="26" t="e">
        <f t="shared" si="30"/>
        <v>#REF!</v>
      </c>
      <c r="T49" s="26" t="e">
        <f t="shared" si="31"/>
        <v>#REF!</v>
      </c>
      <c r="U49" s="12" t="e">
        <f t="shared" si="32"/>
        <v>#REF!</v>
      </c>
      <c r="V49" s="12"/>
      <c r="W49" s="44" t="e">
        <f t="shared" si="33"/>
        <v>#REF!</v>
      </c>
      <c r="X49" s="26" t="e">
        <f t="shared" si="34"/>
        <v>#REF!</v>
      </c>
      <c r="Y49" s="12" t="e">
        <f t="shared" si="35"/>
        <v>#REF!</v>
      </c>
    </row>
    <row r="50" spans="1:25" ht="16.5" customHeight="1" x14ac:dyDescent="0.25">
      <c r="A50" s="16" t="s">
        <v>120</v>
      </c>
      <c r="B50" s="17" t="s">
        <v>121</v>
      </c>
      <c r="C50" s="26" t="e">
        <f t="shared" si="18"/>
        <v>#REF!</v>
      </c>
      <c r="D50" s="26" t="e">
        <f t="shared" si="19"/>
        <v>#REF!</v>
      </c>
      <c r="E50" s="12" t="e">
        <f t="shared" si="20"/>
        <v>#REF!</v>
      </c>
      <c r="F50" s="26"/>
      <c r="G50" s="26" t="e">
        <f t="shared" si="21"/>
        <v>#REF!</v>
      </c>
      <c r="H50" s="26" t="e">
        <f t="shared" si="22"/>
        <v>#REF!</v>
      </c>
      <c r="I50" s="12" t="e">
        <f t="shared" si="23"/>
        <v>#REF!</v>
      </c>
      <c r="J50" s="26"/>
      <c r="K50" s="26" t="e">
        <f t="shared" si="24"/>
        <v>#REF!</v>
      </c>
      <c r="L50" s="26" t="e">
        <f t="shared" si="25"/>
        <v>#REF!</v>
      </c>
      <c r="M50" s="12" t="e">
        <f t="shared" si="26"/>
        <v>#REF!</v>
      </c>
      <c r="N50" s="12"/>
      <c r="O50" s="26" t="e">
        <f t="shared" si="27"/>
        <v>#REF!</v>
      </c>
      <c r="P50" s="26" t="e">
        <f t="shared" si="28"/>
        <v>#REF!</v>
      </c>
      <c r="Q50" s="12" t="e">
        <f t="shared" si="29"/>
        <v>#REF!</v>
      </c>
      <c r="R50" s="12"/>
      <c r="S50" s="26" t="e">
        <f t="shared" si="30"/>
        <v>#REF!</v>
      </c>
      <c r="T50" s="26" t="e">
        <f t="shared" si="31"/>
        <v>#REF!</v>
      </c>
      <c r="U50" s="12" t="e">
        <f t="shared" si="32"/>
        <v>#REF!</v>
      </c>
      <c r="V50" s="12"/>
      <c r="W50" s="44" t="e">
        <f t="shared" si="33"/>
        <v>#REF!</v>
      </c>
      <c r="X50" s="26" t="e">
        <f t="shared" si="34"/>
        <v>#REF!</v>
      </c>
      <c r="Y50" s="12" t="e">
        <f t="shared" si="35"/>
        <v>#REF!</v>
      </c>
    </row>
    <row r="51" spans="1:25" ht="16.5" customHeight="1" x14ac:dyDescent="0.25">
      <c r="A51" s="16" t="s">
        <v>122</v>
      </c>
      <c r="B51" s="32" t="s">
        <v>271</v>
      </c>
      <c r="C51" s="26" t="e">
        <f t="shared" si="18"/>
        <v>#REF!</v>
      </c>
      <c r="D51" s="26" t="e">
        <f t="shared" si="19"/>
        <v>#REF!</v>
      </c>
      <c r="E51" s="12" t="e">
        <f t="shared" si="20"/>
        <v>#REF!</v>
      </c>
      <c r="F51" s="26"/>
      <c r="G51" s="26" t="e">
        <f t="shared" si="21"/>
        <v>#REF!</v>
      </c>
      <c r="H51" s="26" t="e">
        <f t="shared" si="22"/>
        <v>#REF!</v>
      </c>
      <c r="I51" s="12" t="e">
        <f t="shared" si="23"/>
        <v>#REF!</v>
      </c>
      <c r="J51" s="26"/>
      <c r="K51" s="26" t="e">
        <f t="shared" si="24"/>
        <v>#REF!</v>
      </c>
      <c r="L51" s="26" t="e">
        <f t="shared" si="25"/>
        <v>#REF!</v>
      </c>
      <c r="M51" s="12" t="e">
        <f t="shared" si="26"/>
        <v>#REF!</v>
      </c>
      <c r="N51" s="12"/>
      <c r="O51" s="26" t="e">
        <f t="shared" si="27"/>
        <v>#REF!</v>
      </c>
      <c r="P51" s="26" t="e">
        <f t="shared" si="28"/>
        <v>#REF!</v>
      </c>
      <c r="Q51" s="12" t="e">
        <f t="shared" si="29"/>
        <v>#REF!</v>
      </c>
      <c r="R51" s="12"/>
      <c r="S51" s="26" t="e">
        <f t="shared" si="30"/>
        <v>#REF!</v>
      </c>
      <c r="T51" s="26" t="e">
        <f t="shared" si="31"/>
        <v>#REF!</v>
      </c>
      <c r="U51" s="12" t="e">
        <f t="shared" si="32"/>
        <v>#REF!</v>
      </c>
      <c r="V51" s="12"/>
      <c r="W51" s="44" t="e">
        <f t="shared" si="33"/>
        <v>#REF!</v>
      </c>
      <c r="X51" s="26" t="e">
        <f t="shared" si="34"/>
        <v>#REF!</v>
      </c>
      <c r="Y51" s="12" t="e">
        <f t="shared" si="35"/>
        <v>#REF!</v>
      </c>
    </row>
    <row r="52" spans="1:25" ht="16.5" customHeight="1" x14ac:dyDescent="0.25">
      <c r="A52" s="16" t="s">
        <v>124</v>
      </c>
      <c r="B52" s="17" t="s">
        <v>125</v>
      </c>
      <c r="C52" s="26" t="e">
        <f t="shared" si="18"/>
        <v>#REF!</v>
      </c>
      <c r="D52" s="26" t="e">
        <f t="shared" si="19"/>
        <v>#REF!</v>
      </c>
      <c r="E52" s="12" t="e">
        <f t="shared" si="20"/>
        <v>#REF!</v>
      </c>
      <c r="F52" s="26"/>
      <c r="G52" s="26" t="e">
        <f t="shared" si="21"/>
        <v>#REF!</v>
      </c>
      <c r="H52" s="26" t="e">
        <f t="shared" si="22"/>
        <v>#REF!</v>
      </c>
      <c r="I52" s="12" t="e">
        <f t="shared" si="23"/>
        <v>#REF!</v>
      </c>
      <c r="J52" s="26"/>
      <c r="K52" s="26" t="e">
        <f t="shared" si="24"/>
        <v>#REF!</v>
      </c>
      <c r="L52" s="26" t="e">
        <f t="shared" si="25"/>
        <v>#REF!</v>
      </c>
      <c r="M52" s="12" t="e">
        <f t="shared" si="26"/>
        <v>#REF!</v>
      </c>
      <c r="N52" s="12"/>
      <c r="O52" s="26" t="e">
        <f t="shared" si="27"/>
        <v>#REF!</v>
      </c>
      <c r="P52" s="26" t="e">
        <f t="shared" si="28"/>
        <v>#REF!</v>
      </c>
      <c r="Q52" s="12" t="e">
        <f t="shared" si="29"/>
        <v>#REF!</v>
      </c>
      <c r="R52" s="12"/>
      <c r="S52" s="26" t="e">
        <f t="shared" si="30"/>
        <v>#REF!</v>
      </c>
      <c r="T52" s="26" t="e">
        <f t="shared" si="31"/>
        <v>#REF!</v>
      </c>
      <c r="U52" s="12" t="e">
        <f t="shared" si="32"/>
        <v>#REF!</v>
      </c>
      <c r="V52" s="12"/>
      <c r="W52" s="44" t="e">
        <f t="shared" si="33"/>
        <v>#REF!</v>
      </c>
      <c r="X52" s="26" t="e">
        <f t="shared" si="34"/>
        <v>#REF!</v>
      </c>
      <c r="Y52" s="12" t="e">
        <f t="shared" si="35"/>
        <v>#REF!</v>
      </c>
    </row>
    <row r="53" spans="1:25" ht="16.5" customHeight="1" x14ac:dyDescent="0.25">
      <c r="A53" s="16" t="s">
        <v>126</v>
      </c>
      <c r="B53" s="17" t="s">
        <v>127</v>
      </c>
      <c r="C53" s="26" t="e">
        <f t="shared" si="18"/>
        <v>#REF!</v>
      </c>
      <c r="D53" s="26" t="e">
        <f t="shared" si="19"/>
        <v>#REF!</v>
      </c>
      <c r="E53" s="12" t="e">
        <f t="shared" si="20"/>
        <v>#REF!</v>
      </c>
      <c r="F53" s="26"/>
      <c r="G53" s="26" t="e">
        <f t="shared" si="21"/>
        <v>#REF!</v>
      </c>
      <c r="H53" s="26" t="e">
        <f t="shared" si="22"/>
        <v>#REF!</v>
      </c>
      <c r="I53" s="12" t="e">
        <f t="shared" si="23"/>
        <v>#REF!</v>
      </c>
      <c r="J53" s="26"/>
      <c r="K53" s="26" t="e">
        <f t="shared" si="24"/>
        <v>#REF!</v>
      </c>
      <c r="L53" s="26" t="e">
        <f t="shared" si="25"/>
        <v>#REF!</v>
      </c>
      <c r="M53" s="12" t="e">
        <f t="shared" si="26"/>
        <v>#REF!</v>
      </c>
      <c r="N53" s="12"/>
      <c r="O53" s="26" t="e">
        <f t="shared" si="27"/>
        <v>#REF!</v>
      </c>
      <c r="P53" s="26" t="e">
        <f t="shared" si="28"/>
        <v>#REF!</v>
      </c>
      <c r="Q53" s="12" t="e">
        <f t="shared" si="29"/>
        <v>#REF!</v>
      </c>
      <c r="R53" s="12"/>
      <c r="S53" s="26" t="e">
        <f t="shared" si="30"/>
        <v>#REF!</v>
      </c>
      <c r="T53" s="26" t="e">
        <f t="shared" si="31"/>
        <v>#REF!</v>
      </c>
      <c r="U53" s="12" t="e">
        <f t="shared" si="32"/>
        <v>#REF!</v>
      </c>
      <c r="V53" s="12"/>
      <c r="W53" s="44" t="e">
        <f t="shared" si="33"/>
        <v>#REF!</v>
      </c>
      <c r="X53" s="26" t="e">
        <f t="shared" si="34"/>
        <v>#REF!</v>
      </c>
      <c r="Y53" s="12" t="e">
        <f t="shared" si="35"/>
        <v>#REF!</v>
      </c>
    </row>
    <row r="54" spans="1:25" ht="16.5" customHeight="1" x14ac:dyDescent="0.25">
      <c r="A54" s="16" t="s">
        <v>128</v>
      </c>
      <c r="B54" s="32" t="s">
        <v>129</v>
      </c>
      <c r="C54" s="26" t="e">
        <f t="shared" si="18"/>
        <v>#REF!</v>
      </c>
      <c r="D54" s="26" t="e">
        <f t="shared" si="19"/>
        <v>#REF!</v>
      </c>
      <c r="E54" s="12" t="e">
        <f t="shared" si="20"/>
        <v>#REF!</v>
      </c>
      <c r="F54" s="26"/>
      <c r="G54" s="26" t="e">
        <f t="shared" si="21"/>
        <v>#REF!</v>
      </c>
      <c r="H54" s="26" t="e">
        <f t="shared" si="22"/>
        <v>#REF!</v>
      </c>
      <c r="I54" s="12" t="e">
        <f t="shared" si="23"/>
        <v>#REF!</v>
      </c>
      <c r="J54" s="26"/>
      <c r="K54" s="26" t="e">
        <f t="shared" si="24"/>
        <v>#REF!</v>
      </c>
      <c r="L54" s="26" t="e">
        <f t="shared" si="25"/>
        <v>#REF!</v>
      </c>
      <c r="M54" s="12" t="e">
        <f t="shared" si="26"/>
        <v>#REF!</v>
      </c>
      <c r="N54" s="12"/>
      <c r="O54" s="26" t="e">
        <f t="shared" si="27"/>
        <v>#REF!</v>
      </c>
      <c r="P54" s="26" t="e">
        <f t="shared" si="28"/>
        <v>#REF!</v>
      </c>
      <c r="Q54" s="12" t="e">
        <f t="shared" si="29"/>
        <v>#REF!</v>
      </c>
      <c r="R54" s="12"/>
      <c r="S54" s="26" t="e">
        <f t="shared" si="30"/>
        <v>#REF!</v>
      </c>
      <c r="T54" s="26" t="e">
        <f t="shared" si="31"/>
        <v>#REF!</v>
      </c>
      <c r="U54" s="12" t="e">
        <f t="shared" si="32"/>
        <v>#REF!</v>
      </c>
      <c r="V54" s="12"/>
      <c r="W54" s="44" t="e">
        <f t="shared" si="33"/>
        <v>#REF!</v>
      </c>
      <c r="X54" s="26" t="e">
        <f t="shared" si="34"/>
        <v>#REF!</v>
      </c>
      <c r="Y54" s="12" t="e">
        <f t="shared" si="35"/>
        <v>#REF!</v>
      </c>
    </row>
    <row r="55" spans="1:25" ht="16.5" customHeight="1" x14ac:dyDescent="0.25">
      <c r="A55" s="16" t="s">
        <v>130</v>
      </c>
      <c r="B55" s="32" t="s">
        <v>131</v>
      </c>
      <c r="C55" s="26" t="e">
        <f t="shared" si="18"/>
        <v>#REF!</v>
      </c>
      <c r="D55" s="26" t="e">
        <f t="shared" si="19"/>
        <v>#REF!</v>
      </c>
      <c r="E55" s="12" t="e">
        <f t="shared" si="20"/>
        <v>#REF!</v>
      </c>
      <c r="F55" s="26"/>
      <c r="G55" s="26" t="e">
        <f t="shared" si="21"/>
        <v>#REF!</v>
      </c>
      <c r="H55" s="26" t="e">
        <f t="shared" si="22"/>
        <v>#REF!</v>
      </c>
      <c r="I55" s="12" t="e">
        <f t="shared" si="23"/>
        <v>#REF!</v>
      </c>
      <c r="J55" s="26"/>
      <c r="K55" s="26" t="e">
        <f t="shared" si="24"/>
        <v>#REF!</v>
      </c>
      <c r="L55" s="26" t="e">
        <f t="shared" si="25"/>
        <v>#REF!</v>
      </c>
      <c r="M55" s="12" t="e">
        <f t="shared" si="26"/>
        <v>#REF!</v>
      </c>
      <c r="N55" s="12"/>
      <c r="O55" s="26" t="e">
        <f t="shared" si="27"/>
        <v>#REF!</v>
      </c>
      <c r="P55" s="26" t="e">
        <f t="shared" si="28"/>
        <v>#REF!</v>
      </c>
      <c r="Q55" s="12" t="e">
        <f t="shared" si="29"/>
        <v>#REF!</v>
      </c>
      <c r="R55" s="12"/>
      <c r="S55" s="26" t="e">
        <f t="shared" si="30"/>
        <v>#REF!</v>
      </c>
      <c r="T55" s="26" t="e">
        <f t="shared" si="31"/>
        <v>#REF!</v>
      </c>
      <c r="U55" s="12" t="e">
        <f t="shared" si="32"/>
        <v>#REF!</v>
      </c>
      <c r="V55" s="12"/>
      <c r="W55" s="44" t="e">
        <f t="shared" si="33"/>
        <v>#REF!</v>
      </c>
      <c r="X55" s="26" t="e">
        <f t="shared" si="34"/>
        <v>#REF!</v>
      </c>
      <c r="Y55" s="12" t="e">
        <f t="shared" si="35"/>
        <v>#REF!</v>
      </c>
    </row>
    <row r="56" spans="1:25" ht="16.5" customHeight="1" x14ac:dyDescent="0.25">
      <c r="A56" s="16" t="s">
        <v>132</v>
      </c>
      <c r="B56" s="17" t="s">
        <v>133</v>
      </c>
      <c r="C56" s="26" t="e">
        <f t="shared" si="18"/>
        <v>#REF!</v>
      </c>
      <c r="D56" s="26" t="e">
        <f t="shared" si="19"/>
        <v>#REF!</v>
      </c>
      <c r="E56" s="12" t="e">
        <f t="shared" si="20"/>
        <v>#REF!</v>
      </c>
      <c r="F56" s="26"/>
      <c r="G56" s="26" t="e">
        <f t="shared" si="21"/>
        <v>#REF!</v>
      </c>
      <c r="H56" s="26" t="e">
        <f t="shared" si="22"/>
        <v>#REF!</v>
      </c>
      <c r="I56" s="12" t="e">
        <f t="shared" si="23"/>
        <v>#REF!</v>
      </c>
      <c r="J56" s="26"/>
      <c r="K56" s="26" t="e">
        <f t="shared" si="24"/>
        <v>#REF!</v>
      </c>
      <c r="L56" s="26" t="e">
        <f t="shared" si="25"/>
        <v>#REF!</v>
      </c>
      <c r="M56" s="12" t="e">
        <f t="shared" si="26"/>
        <v>#REF!</v>
      </c>
      <c r="N56" s="12"/>
      <c r="O56" s="26" t="e">
        <f t="shared" si="27"/>
        <v>#REF!</v>
      </c>
      <c r="P56" s="26" t="e">
        <f t="shared" si="28"/>
        <v>#REF!</v>
      </c>
      <c r="Q56" s="12" t="e">
        <f t="shared" si="29"/>
        <v>#REF!</v>
      </c>
      <c r="R56" s="12"/>
      <c r="S56" s="26" t="e">
        <f t="shared" si="30"/>
        <v>#REF!</v>
      </c>
      <c r="T56" s="26" t="e">
        <f t="shared" si="31"/>
        <v>#REF!</v>
      </c>
      <c r="U56" s="12" t="e">
        <f t="shared" si="32"/>
        <v>#REF!</v>
      </c>
      <c r="V56" s="12"/>
      <c r="W56" s="44" t="e">
        <f t="shared" si="33"/>
        <v>#REF!</v>
      </c>
      <c r="X56" s="26" t="e">
        <f t="shared" si="34"/>
        <v>#REF!</v>
      </c>
      <c r="Y56" s="12" t="e">
        <f t="shared" si="35"/>
        <v>#REF!</v>
      </c>
    </row>
    <row r="57" spans="1:25" ht="16.5" customHeight="1" x14ac:dyDescent="0.25">
      <c r="A57" s="16" t="s">
        <v>134</v>
      </c>
      <c r="B57" s="32" t="s">
        <v>135</v>
      </c>
      <c r="C57" s="26" t="e">
        <f t="shared" si="18"/>
        <v>#REF!</v>
      </c>
      <c r="D57" s="26" t="e">
        <f t="shared" si="19"/>
        <v>#REF!</v>
      </c>
      <c r="E57" s="12" t="e">
        <f t="shared" si="20"/>
        <v>#REF!</v>
      </c>
      <c r="F57" s="26"/>
      <c r="G57" s="26" t="e">
        <f t="shared" si="21"/>
        <v>#REF!</v>
      </c>
      <c r="H57" s="26" t="e">
        <f t="shared" si="22"/>
        <v>#REF!</v>
      </c>
      <c r="I57" s="12" t="e">
        <f t="shared" si="23"/>
        <v>#REF!</v>
      </c>
      <c r="J57" s="26"/>
      <c r="K57" s="26" t="e">
        <f t="shared" si="24"/>
        <v>#REF!</v>
      </c>
      <c r="L57" s="26" t="e">
        <f t="shared" si="25"/>
        <v>#REF!</v>
      </c>
      <c r="M57" s="12" t="e">
        <f t="shared" si="26"/>
        <v>#REF!</v>
      </c>
      <c r="N57" s="12"/>
      <c r="O57" s="26" t="e">
        <f t="shared" si="27"/>
        <v>#REF!</v>
      </c>
      <c r="P57" s="26" t="e">
        <f t="shared" si="28"/>
        <v>#REF!</v>
      </c>
      <c r="Q57" s="12" t="e">
        <f t="shared" si="29"/>
        <v>#REF!</v>
      </c>
      <c r="R57" s="12"/>
      <c r="S57" s="26" t="e">
        <f t="shared" si="30"/>
        <v>#REF!</v>
      </c>
      <c r="T57" s="26" t="e">
        <f t="shared" si="31"/>
        <v>#REF!</v>
      </c>
      <c r="U57" s="12" t="e">
        <f t="shared" si="32"/>
        <v>#REF!</v>
      </c>
      <c r="V57" s="12"/>
      <c r="W57" s="44" t="e">
        <f t="shared" si="33"/>
        <v>#REF!</v>
      </c>
      <c r="X57" s="26" t="e">
        <f t="shared" si="34"/>
        <v>#REF!</v>
      </c>
      <c r="Y57" s="12" t="e">
        <f t="shared" si="35"/>
        <v>#REF!</v>
      </c>
    </row>
    <row r="58" spans="1:25" ht="16.5" customHeight="1" x14ac:dyDescent="0.25">
      <c r="A58" s="16" t="s">
        <v>136</v>
      </c>
      <c r="B58" s="17" t="s">
        <v>137</v>
      </c>
      <c r="C58" s="26" t="e">
        <f t="shared" si="18"/>
        <v>#REF!</v>
      </c>
      <c r="D58" s="26" t="e">
        <f t="shared" si="19"/>
        <v>#REF!</v>
      </c>
      <c r="E58" s="12" t="e">
        <f t="shared" si="20"/>
        <v>#REF!</v>
      </c>
      <c r="F58" s="26"/>
      <c r="G58" s="26" t="e">
        <f t="shared" si="21"/>
        <v>#REF!</v>
      </c>
      <c r="H58" s="26" t="e">
        <f t="shared" si="22"/>
        <v>#REF!</v>
      </c>
      <c r="I58" s="12" t="e">
        <f t="shared" si="23"/>
        <v>#REF!</v>
      </c>
      <c r="J58" s="26"/>
      <c r="K58" s="26" t="e">
        <f t="shared" si="24"/>
        <v>#REF!</v>
      </c>
      <c r="L58" s="26" t="e">
        <f t="shared" si="25"/>
        <v>#REF!</v>
      </c>
      <c r="M58" s="12" t="e">
        <f t="shared" si="26"/>
        <v>#REF!</v>
      </c>
      <c r="N58" s="12"/>
      <c r="O58" s="26" t="e">
        <f t="shared" si="27"/>
        <v>#REF!</v>
      </c>
      <c r="P58" s="26" t="e">
        <f t="shared" si="28"/>
        <v>#REF!</v>
      </c>
      <c r="Q58" s="12" t="e">
        <f t="shared" si="29"/>
        <v>#REF!</v>
      </c>
      <c r="R58" s="12"/>
      <c r="S58" s="26" t="e">
        <f t="shared" si="30"/>
        <v>#REF!</v>
      </c>
      <c r="T58" s="26" t="e">
        <f t="shared" si="31"/>
        <v>#REF!</v>
      </c>
      <c r="U58" s="12" t="e">
        <f t="shared" si="32"/>
        <v>#REF!</v>
      </c>
      <c r="V58" s="12"/>
      <c r="W58" s="44" t="e">
        <f t="shared" si="33"/>
        <v>#REF!</v>
      </c>
      <c r="X58" s="26" t="e">
        <f t="shared" si="34"/>
        <v>#REF!</v>
      </c>
      <c r="Y58" s="12" t="e">
        <f t="shared" si="35"/>
        <v>#REF!</v>
      </c>
    </row>
    <row r="59" spans="1:25" ht="16.5" customHeight="1" x14ac:dyDescent="0.25">
      <c r="A59" s="16" t="s">
        <v>140</v>
      </c>
      <c r="B59" s="17" t="s">
        <v>141</v>
      </c>
      <c r="C59" s="26" t="e">
        <f t="shared" si="18"/>
        <v>#REF!</v>
      </c>
      <c r="D59" s="26" t="e">
        <f t="shared" si="19"/>
        <v>#REF!</v>
      </c>
      <c r="E59" s="12" t="e">
        <f t="shared" si="20"/>
        <v>#REF!</v>
      </c>
      <c r="F59" s="26"/>
      <c r="G59" s="26" t="e">
        <f t="shared" si="21"/>
        <v>#REF!</v>
      </c>
      <c r="H59" s="26" t="e">
        <f t="shared" si="22"/>
        <v>#REF!</v>
      </c>
      <c r="I59" s="12" t="e">
        <f t="shared" si="23"/>
        <v>#REF!</v>
      </c>
      <c r="J59" s="26"/>
      <c r="K59" s="26" t="e">
        <f t="shared" si="24"/>
        <v>#REF!</v>
      </c>
      <c r="L59" s="26" t="e">
        <f t="shared" si="25"/>
        <v>#REF!</v>
      </c>
      <c r="M59" s="12" t="e">
        <f t="shared" si="26"/>
        <v>#REF!</v>
      </c>
      <c r="N59" s="12"/>
      <c r="O59" s="26" t="e">
        <f t="shared" si="27"/>
        <v>#REF!</v>
      </c>
      <c r="P59" s="26" t="e">
        <f t="shared" si="28"/>
        <v>#REF!</v>
      </c>
      <c r="Q59" s="12" t="e">
        <f t="shared" si="29"/>
        <v>#REF!</v>
      </c>
      <c r="R59" s="12"/>
      <c r="S59" s="26" t="e">
        <f t="shared" si="30"/>
        <v>#REF!</v>
      </c>
      <c r="T59" s="26" t="e">
        <f t="shared" si="31"/>
        <v>#REF!</v>
      </c>
      <c r="U59" s="12" t="e">
        <f t="shared" si="32"/>
        <v>#REF!</v>
      </c>
      <c r="V59" s="12"/>
      <c r="W59" s="44" t="e">
        <f t="shared" si="33"/>
        <v>#REF!</v>
      </c>
      <c r="X59" s="26" t="e">
        <f t="shared" si="34"/>
        <v>#REF!</v>
      </c>
      <c r="Y59" s="12" t="e">
        <f t="shared" si="35"/>
        <v>#REF!</v>
      </c>
    </row>
    <row r="60" spans="1:25" ht="16.5" customHeight="1" x14ac:dyDescent="0.25">
      <c r="A60" s="16" t="s">
        <v>146</v>
      </c>
      <c r="B60" s="17" t="s">
        <v>147</v>
      </c>
      <c r="C60" s="26" t="e">
        <f t="shared" si="18"/>
        <v>#REF!</v>
      </c>
      <c r="D60" s="26" t="e">
        <f t="shared" si="19"/>
        <v>#REF!</v>
      </c>
      <c r="E60" s="12" t="e">
        <f t="shared" si="20"/>
        <v>#REF!</v>
      </c>
      <c r="F60" s="26"/>
      <c r="G60" s="26" t="e">
        <f t="shared" si="21"/>
        <v>#REF!</v>
      </c>
      <c r="H60" s="26" t="e">
        <f t="shared" si="22"/>
        <v>#REF!</v>
      </c>
      <c r="I60" s="12" t="e">
        <f t="shared" si="23"/>
        <v>#REF!</v>
      </c>
      <c r="J60" s="26"/>
      <c r="K60" s="26" t="e">
        <f t="shared" si="24"/>
        <v>#REF!</v>
      </c>
      <c r="L60" s="26" t="e">
        <f t="shared" si="25"/>
        <v>#REF!</v>
      </c>
      <c r="M60" s="12" t="e">
        <f t="shared" si="26"/>
        <v>#REF!</v>
      </c>
      <c r="N60" s="12"/>
      <c r="O60" s="26" t="e">
        <f t="shared" si="27"/>
        <v>#REF!</v>
      </c>
      <c r="P60" s="26" t="e">
        <f t="shared" si="28"/>
        <v>#REF!</v>
      </c>
      <c r="Q60" s="12" t="e">
        <f t="shared" si="29"/>
        <v>#REF!</v>
      </c>
      <c r="R60" s="12"/>
      <c r="S60" s="26" t="e">
        <f t="shared" si="30"/>
        <v>#REF!</v>
      </c>
      <c r="T60" s="26" t="e">
        <f t="shared" si="31"/>
        <v>#REF!</v>
      </c>
      <c r="U60" s="12" t="e">
        <f t="shared" si="32"/>
        <v>#REF!</v>
      </c>
      <c r="V60" s="12"/>
      <c r="W60" s="44" t="e">
        <f t="shared" si="33"/>
        <v>#REF!</v>
      </c>
      <c r="X60" s="26" t="e">
        <f t="shared" si="34"/>
        <v>#REF!</v>
      </c>
      <c r="Y60" s="12" t="e">
        <f t="shared" si="35"/>
        <v>#REF!</v>
      </c>
    </row>
    <row r="61" spans="1:25" ht="16.5" customHeight="1" x14ac:dyDescent="0.25">
      <c r="A61" s="16" t="s">
        <v>148</v>
      </c>
      <c r="B61" s="32" t="s">
        <v>149</v>
      </c>
      <c r="C61" s="26" t="e">
        <f t="shared" si="18"/>
        <v>#REF!</v>
      </c>
      <c r="D61" s="26" t="e">
        <f t="shared" si="19"/>
        <v>#REF!</v>
      </c>
      <c r="E61" s="12" t="e">
        <f t="shared" si="20"/>
        <v>#REF!</v>
      </c>
      <c r="F61" s="26"/>
      <c r="G61" s="26" t="e">
        <f t="shared" si="21"/>
        <v>#REF!</v>
      </c>
      <c r="H61" s="26" t="e">
        <f t="shared" si="22"/>
        <v>#REF!</v>
      </c>
      <c r="I61" s="12" t="e">
        <f t="shared" si="23"/>
        <v>#REF!</v>
      </c>
      <c r="J61" s="26"/>
      <c r="K61" s="26" t="e">
        <f t="shared" si="24"/>
        <v>#REF!</v>
      </c>
      <c r="L61" s="26" t="e">
        <f t="shared" si="25"/>
        <v>#REF!</v>
      </c>
      <c r="M61" s="12" t="e">
        <f t="shared" si="26"/>
        <v>#REF!</v>
      </c>
      <c r="N61" s="12"/>
      <c r="O61" s="26" t="e">
        <f t="shared" si="27"/>
        <v>#REF!</v>
      </c>
      <c r="P61" s="26" t="e">
        <f t="shared" si="28"/>
        <v>#REF!</v>
      </c>
      <c r="Q61" s="12" t="e">
        <f t="shared" si="29"/>
        <v>#REF!</v>
      </c>
      <c r="R61" s="12"/>
      <c r="S61" s="26" t="e">
        <f t="shared" si="30"/>
        <v>#REF!</v>
      </c>
      <c r="T61" s="26" t="e">
        <f t="shared" si="31"/>
        <v>#REF!</v>
      </c>
      <c r="U61" s="12" t="e">
        <f t="shared" si="32"/>
        <v>#REF!</v>
      </c>
      <c r="V61" s="12"/>
      <c r="W61" s="44" t="e">
        <f t="shared" si="33"/>
        <v>#REF!</v>
      </c>
      <c r="X61" s="26" t="e">
        <f t="shared" si="34"/>
        <v>#REF!</v>
      </c>
      <c r="Y61" s="12" t="e">
        <f t="shared" si="35"/>
        <v>#REF!</v>
      </c>
    </row>
    <row r="62" spans="1:25" ht="16.5" customHeight="1" x14ac:dyDescent="0.25">
      <c r="A62" s="16" t="s">
        <v>150</v>
      </c>
      <c r="B62" s="32" t="s">
        <v>151</v>
      </c>
      <c r="C62" s="26" t="e">
        <f t="shared" si="18"/>
        <v>#REF!</v>
      </c>
      <c r="D62" s="26" t="e">
        <f t="shared" si="19"/>
        <v>#REF!</v>
      </c>
      <c r="E62" s="12" t="e">
        <f t="shared" si="20"/>
        <v>#REF!</v>
      </c>
      <c r="F62" s="26"/>
      <c r="G62" s="26" t="e">
        <f t="shared" si="21"/>
        <v>#REF!</v>
      </c>
      <c r="H62" s="26" t="e">
        <f t="shared" si="22"/>
        <v>#REF!</v>
      </c>
      <c r="I62" s="12" t="e">
        <f t="shared" si="23"/>
        <v>#REF!</v>
      </c>
      <c r="J62" s="26"/>
      <c r="K62" s="26" t="e">
        <f t="shared" si="24"/>
        <v>#REF!</v>
      </c>
      <c r="L62" s="26" t="e">
        <f t="shared" si="25"/>
        <v>#REF!</v>
      </c>
      <c r="M62" s="12" t="e">
        <f t="shared" si="26"/>
        <v>#REF!</v>
      </c>
      <c r="N62" s="12"/>
      <c r="O62" s="26" t="e">
        <f t="shared" si="27"/>
        <v>#REF!</v>
      </c>
      <c r="P62" s="26" t="e">
        <f t="shared" si="28"/>
        <v>#REF!</v>
      </c>
      <c r="Q62" s="12" t="e">
        <f t="shared" si="29"/>
        <v>#REF!</v>
      </c>
      <c r="R62" s="12"/>
      <c r="S62" s="26" t="e">
        <f t="shared" si="30"/>
        <v>#REF!</v>
      </c>
      <c r="T62" s="26" t="e">
        <f t="shared" si="31"/>
        <v>#REF!</v>
      </c>
      <c r="U62" s="12" t="e">
        <f t="shared" si="32"/>
        <v>#REF!</v>
      </c>
      <c r="V62" s="12"/>
      <c r="W62" s="44" t="e">
        <f t="shared" si="33"/>
        <v>#REF!</v>
      </c>
      <c r="X62" s="26" t="e">
        <f t="shared" si="34"/>
        <v>#REF!</v>
      </c>
      <c r="Y62" s="12" t="e">
        <f t="shared" si="35"/>
        <v>#REF!</v>
      </c>
    </row>
    <row r="63" spans="1:25" ht="16.5" customHeight="1" x14ac:dyDescent="0.25">
      <c r="A63" s="16" t="s">
        <v>152</v>
      </c>
      <c r="B63" s="17" t="s">
        <v>153</v>
      </c>
      <c r="C63" s="26" t="e">
        <f t="shared" si="18"/>
        <v>#REF!</v>
      </c>
      <c r="D63" s="26" t="e">
        <f t="shared" si="19"/>
        <v>#REF!</v>
      </c>
      <c r="E63" s="12" t="e">
        <f t="shared" si="20"/>
        <v>#REF!</v>
      </c>
      <c r="F63" s="26"/>
      <c r="G63" s="26" t="e">
        <f t="shared" si="21"/>
        <v>#REF!</v>
      </c>
      <c r="H63" s="26" t="e">
        <f t="shared" si="22"/>
        <v>#REF!</v>
      </c>
      <c r="I63" s="12" t="e">
        <f t="shared" si="23"/>
        <v>#REF!</v>
      </c>
      <c r="J63" s="26"/>
      <c r="K63" s="26" t="e">
        <f t="shared" si="24"/>
        <v>#REF!</v>
      </c>
      <c r="L63" s="26" t="e">
        <f t="shared" si="25"/>
        <v>#REF!</v>
      </c>
      <c r="M63" s="12" t="e">
        <f t="shared" si="26"/>
        <v>#REF!</v>
      </c>
      <c r="N63" s="12"/>
      <c r="O63" s="26" t="e">
        <f t="shared" si="27"/>
        <v>#REF!</v>
      </c>
      <c r="P63" s="26" t="e">
        <f t="shared" si="28"/>
        <v>#REF!</v>
      </c>
      <c r="Q63" s="12" t="e">
        <f t="shared" si="29"/>
        <v>#REF!</v>
      </c>
      <c r="R63" s="12"/>
      <c r="S63" s="26" t="e">
        <f t="shared" si="30"/>
        <v>#REF!</v>
      </c>
      <c r="T63" s="26" t="e">
        <f t="shared" si="31"/>
        <v>#REF!</v>
      </c>
      <c r="U63" s="12" t="e">
        <f t="shared" si="32"/>
        <v>#REF!</v>
      </c>
      <c r="V63" s="12"/>
      <c r="W63" s="44" t="e">
        <f t="shared" si="33"/>
        <v>#REF!</v>
      </c>
      <c r="X63" s="26" t="e">
        <f t="shared" si="34"/>
        <v>#REF!</v>
      </c>
      <c r="Y63" s="12" t="e">
        <f t="shared" si="35"/>
        <v>#REF!</v>
      </c>
    </row>
    <row r="64" spans="1:25" ht="16.5" customHeight="1" x14ac:dyDescent="0.25">
      <c r="A64" s="16" t="s">
        <v>154</v>
      </c>
      <c r="B64" s="32" t="s">
        <v>155</v>
      </c>
      <c r="C64" s="26" t="e">
        <f t="shared" si="18"/>
        <v>#REF!</v>
      </c>
      <c r="D64" s="26" t="e">
        <f t="shared" si="19"/>
        <v>#REF!</v>
      </c>
      <c r="E64" s="12" t="e">
        <f t="shared" si="20"/>
        <v>#REF!</v>
      </c>
      <c r="F64" s="26"/>
      <c r="G64" s="26" t="e">
        <f t="shared" si="21"/>
        <v>#REF!</v>
      </c>
      <c r="H64" s="26" t="e">
        <f t="shared" si="22"/>
        <v>#REF!</v>
      </c>
      <c r="I64" s="12" t="e">
        <f t="shared" si="23"/>
        <v>#REF!</v>
      </c>
      <c r="J64" s="26"/>
      <c r="K64" s="26" t="e">
        <f t="shared" si="24"/>
        <v>#REF!</v>
      </c>
      <c r="L64" s="26" t="e">
        <f t="shared" si="25"/>
        <v>#REF!</v>
      </c>
      <c r="M64" s="12" t="e">
        <f t="shared" si="26"/>
        <v>#REF!</v>
      </c>
      <c r="N64" s="12"/>
      <c r="O64" s="26" t="e">
        <f t="shared" si="27"/>
        <v>#REF!</v>
      </c>
      <c r="P64" s="26" t="e">
        <f t="shared" si="28"/>
        <v>#REF!</v>
      </c>
      <c r="Q64" s="12" t="e">
        <f t="shared" si="29"/>
        <v>#REF!</v>
      </c>
      <c r="R64" s="12"/>
      <c r="S64" s="26" t="e">
        <f t="shared" si="30"/>
        <v>#REF!</v>
      </c>
      <c r="T64" s="26" t="e">
        <f t="shared" si="31"/>
        <v>#REF!</v>
      </c>
      <c r="U64" s="12" t="e">
        <f t="shared" si="32"/>
        <v>#REF!</v>
      </c>
      <c r="V64" s="12"/>
      <c r="W64" s="44" t="e">
        <f t="shared" si="33"/>
        <v>#REF!</v>
      </c>
      <c r="X64" s="26" t="e">
        <f t="shared" si="34"/>
        <v>#REF!</v>
      </c>
      <c r="Y64" s="12" t="e">
        <f t="shared" si="35"/>
        <v>#REF!</v>
      </c>
    </row>
    <row r="65" spans="1:25" ht="16.5" customHeight="1" x14ac:dyDescent="0.25">
      <c r="A65" s="16" t="s">
        <v>156</v>
      </c>
      <c r="B65" s="17" t="s">
        <v>157</v>
      </c>
      <c r="C65" s="26" t="e">
        <f t="shared" si="18"/>
        <v>#REF!</v>
      </c>
      <c r="D65" s="26" t="e">
        <f t="shared" si="19"/>
        <v>#REF!</v>
      </c>
      <c r="E65" s="12" t="e">
        <f t="shared" si="20"/>
        <v>#REF!</v>
      </c>
      <c r="F65" s="26"/>
      <c r="G65" s="26" t="e">
        <f t="shared" si="21"/>
        <v>#REF!</v>
      </c>
      <c r="H65" s="26" t="e">
        <f t="shared" si="22"/>
        <v>#REF!</v>
      </c>
      <c r="I65" s="12" t="e">
        <f t="shared" si="23"/>
        <v>#REF!</v>
      </c>
      <c r="J65" s="26"/>
      <c r="K65" s="26" t="e">
        <f t="shared" si="24"/>
        <v>#REF!</v>
      </c>
      <c r="L65" s="26" t="e">
        <f t="shared" si="25"/>
        <v>#REF!</v>
      </c>
      <c r="M65" s="12" t="e">
        <f t="shared" si="26"/>
        <v>#REF!</v>
      </c>
      <c r="N65" s="12"/>
      <c r="O65" s="26" t="e">
        <f t="shared" si="27"/>
        <v>#REF!</v>
      </c>
      <c r="P65" s="26" t="e">
        <f t="shared" si="28"/>
        <v>#REF!</v>
      </c>
      <c r="Q65" s="12" t="e">
        <f t="shared" si="29"/>
        <v>#REF!</v>
      </c>
      <c r="R65" s="12"/>
      <c r="S65" s="26" t="e">
        <f t="shared" si="30"/>
        <v>#REF!</v>
      </c>
      <c r="T65" s="26" t="e">
        <f t="shared" si="31"/>
        <v>#REF!</v>
      </c>
      <c r="U65" s="12" t="e">
        <f t="shared" si="32"/>
        <v>#REF!</v>
      </c>
      <c r="V65" s="12"/>
      <c r="W65" s="44" t="e">
        <f t="shared" si="33"/>
        <v>#REF!</v>
      </c>
      <c r="X65" s="26" t="e">
        <f t="shared" si="34"/>
        <v>#REF!</v>
      </c>
      <c r="Y65" s="12" t="e">
        <f t="shared" si="35"/>
        <v>#REF!</v>
      </c>
    </row>
    <row r="66" spans="1:25" ht="16.5" customHeight="1" x14ac:dyDescent="0.25">
      <c r="A66" s="16" t="s">
        <v>162</v>
      </c>
      <c r="B66" s="32" t="s">
        <v>163</v>
      </c>
      <c r="C66" s="26" t="e">
        <f t="shared" si="18"/>
        <v>#REF!</v>
      </c>
      <c r="D66" s="26" t="e">
        <f t="shared" si="19"/>
        <v>#REF!</v>
      </c>
      <c r="E66" s="12" t="e">
        <f t="shared" si="20"/>
        <v>#REF!</v>
      </c>
      <c r="F66" s="26"/>
      <c r="G66" s="26" t="e">
        <f t="shared" si="21"/>
        <v>#REF!</v>
      </c>
      <c r="H66" s="26" t="e">
        <f t="shared" si="22"/>
        <v>#REF!</v>
      </c>
      <c r="I66" s="12" t="e">
        <f t="shared" si="23"/>
        <v>#REF!</v>
      </c>
      <c r="J66" s="26"/>
      <c r="K66" s="26" t="e">
        <f t="shared" si="24"/>
        <v>#REF!</v>
      </c>
      <c r="L66" s="26" t="e">
        <f t="shared" si="25"/>
        <v>#REF!</v>
      </c>
      <c r="M66" s="12" t="e">
        <f t="shared" si="26"/>
        <v>#REF!</v>
      </c>
      <c r="N66" s="12"/>
      <c r="O66" s="26" t="e">
        <f t="shared" si="27"/>
        <v>#REF!</v>
      </c>
      <c r="P66" s="26" t="e">
        <f t="shared" si="28"/>
        <v>#REF!</v>
      </c>
      <c r="Q66" s="12" t="e">
        <f t="shared" si="29"/>
        <v>#REF!</v>
      </c>
      <c r="R66" s="12"/>
      <c r="S66" s="26" t="e">
        <f t="shared" si="30"/>
        <v>#REF!</v>
      </c>
      <c r="T66" s="26" t="e">
        <f t="shared" si="31"/>
        <v>#REF!</v>
      </c>
      <c r="U66" s="12" t="e">
        <f t="shared" si="32"/>
        <v>#REF!</v>
      </c>
      <c r="V66" s="12"/>
      <c r="W66" s="44" t="e">
        <f t="shared" si="33"/>
        <v>#REF!</v>
      </c>
      <c r="X66" s="26" t="e">
        <f t="shared" si="34"/>
        <v>#REF!</v>
      </c>
      <c r="Y66" s="12" t="e">
        <f t="shared" si="35"/>
        <v>#REF!</v>
      </c>
    </row>
    <row r="67" spans="1:25" ht="16.5" customHeight="1" x14ac:dyDescent="0.25">
      <c r="A67" s="16" t="s">
        <v>164</v>
      </c>
      <c r="B67" s="32" t="s">
        <v>165</v>
      </c>
      <c r="C67" s="26" t="e">
        <f t="shared" si="18"/>
        <v>#REF!</v>
      </c>
      <c r="D67" s="26" t="e">
        <f t="shared" si="19"/>
        <v>#REF!</v>
      </c>
      <c r="E67" s="12" t="e">
        <f t="shared" si="20"/>
        <v>#REF!</v>
      </c>
      <c r="F67" s="26"/>
      <c r="G67" s="26" t="e">
        <f t="shared" si="21"/>
        <v>#REF!</v>
      </c>
      <c r="H67" s="26" t="e">
        <f t="shared" si="22"/>
        <v>#REF!</v>
      </c>
      <c r="I67" s="12" t="e">
        <f t="shared" si="23"/>
        <v>#REF!</v>
      </c>
      <c r="J67" s="26"/>
      <c r="K67" s="26" t="e">
        <f t="shared" si="24"/>
        <v>#REF!</v>
      </c>
      <c r="L67" s="26" t="e">
        <f t="shared" si="25"/>
        <v>#REF!</v>
      </c>
      <c r="M67" s="12" t="e">
        <f t="shared" si="26"/>
        <v>#REF!</v>
      </c>
      <c r="N67" s="12"/>
      <c r="O67" s="26" t="e">
        <f t="shared" si="27"/>
        <v>#REF!</v>
      </c>
      <c r="P67" s="26" t="e">
        <f t="shared" si="28"/>
        <v>#REF!</v>
      </c>
      <c r="Q67" s="12" t="e">
        <f t="shared" si="29"/>
        <v>#REF!</v>
      </c>
      <c r="R67" s="12"/>
      <c r="S67" s="26" t="e">
        <f t="shared" si="30"/>
        <v>#REF!</v>
      </c>
      <c r="T67" s="26" t="e">
        <f t="shared" si="31"/>
        <v>#REF!</v>
      </c>
      <c r="U67" s="12" t="e">
        <f t="shared" si="32"/>
        <v>#REF!</v>
      </c>
      <c r="V67" s="12"/>
      <c r="W67" s="44" t="e">
        <f t="shared" si="33"/>
        <v>#REF!</v>
      </c>
      <c r="X67" s="26" t="e">
        <f t="shared" si="34"/>
        <v>#REF!</v>
      </c>
      <c r="Y67" s="12" t="e">
        <f t="shared" si="35"/>
        <v>#REF!</v>
      </c>
    </row>
    <row r="68" spans="1:25" ht="16.5" customHeight="1" x14ac:dyDescent="0.25">
      <c r="A68" s="16" t="s">
        <v>168</v>
      </c>
      <c r="B68" s="32" t="s">
        <v>169</v>
      </c>
      <c r="C68" s="26" t="e">
        <f t="shared" ref="C68:C99" si="36">VLOOKUP(A68,MedicaidR,7,FALSE)</f>
        <v>#REF!</v>
      </c>
      <c r="D68" s="26" t="e">
        <f t="shared" ref="D68:D99" si="37">VLOOKUP(A68,Pop,14,FALSE)</f>
        <v>#REF!</v>
      </c>
      <c r="E68" s="12" t="e">
        <f t="shared" ref="E68:E99" si="38">+C68/D68</f>
        <v>#REF!</v>
      </c>
      <c r="F68" s="26"/>
      <c r="G68" s="26" t="e">
        <f t="shared" ref="G68:G99" si="39">VLOOKUP(A68,MedicaidR,8,FALSE)</f>
        <v>#REF!</v>
      </c>
      <c r="H68" s="26" t="e">
        <f t="shared" ref="H68:H99" si="40">VLOOKUP(A68,Pop,15,FALSE)</f>
        <v>#REF!</v>
      </c>
      <c r="I68" s="12" t="e">
        <f t="shared" ref="I68:I99" si="41">+G68/H68</f>
        <v>#REF!</v>
      </c>
      <c r="J68" s="26"/>
      <c r="K68" s="26" t="e">
        <f t="shared" ref="K68:K99" si="42">VLOOKUP(A68,MedicaidR,9,FALSE)</f>
        <v>#REF!</v>
      </c>
      <c r="L68" s="26" t="e">
        <f t="shared" ref="L68:L99" si="43">VLOOKUP(A68,Pop,16,FALSE)</f>
        <v>#REF!</v>
      </c>
      <c r="M68" s="12" t="e">
        <f t="shared" ref="M68:M99" si="44">+K68/L68</f>
        <v>#REF!</v>
      </c>
      <c r="N68" s="12"/>
      <c r="O68" s="26" t="e">
        <f t="shared" ref="O68:O99" si="45">VLOOKUP(A68,MedicaidR,3,FALSE)</f>
        <v>#REF!</v>
      </c>
      <c r="P68" s="26" t="e">
        <f t="shared" ref="P68:P99" si="46">VLOOKUP(A68,Pop,8,FALSE)</f>
        <v>#REF!</v>
      </c>
      <c r="Q68" s="12" t="e">
        <f t="shared" ref="Q68:Q99" si="47">+O68/P68</f>
        <v>#REF!</v>
      </c>
      <c r="R68" s="12"/>
      <c r="S68" s="26" t="e">
        <f t="shared" ref="S68:S99" si="48">VLOOKUP(A68,MedicaidR,4,FALSE)</f>
        <v>#REF!</v>
      </c>
      <c r="T68" s="26" t="e">
        <f t="shared" ref="T68:T99" si="49">VLOOKUP(A68,Pop,9,FALSE)</f>
        <v>#REF!</v>
      </c>
      <c r="U68" s="12" t="e">
        <f t="shared" ref="U68:U99" si="50">+S68/T68</f>
        <v>#REF!</v>
      </c>
      <c r="V68" s="12"/>
      <c r="W68" s="44" t="e">
        <f t="shared" ref="W68:W99" si="51">VLOOKUP(A68,MedicaidR,5,FALSE)</f>
        <v>#REF!</v>
      </c>
      <c r="X68" s="26" t="e">
        <f t="shared" ref="X68:X99" si="52">VLOOKUP(A68,Pop,10,FALSE)</f>
        <v>#REF!</v>
      </c>
      <c r="Y68" s="12" t="e">
        <f t="shared" ref="Y68:Y99" si="53">+W68/X68</f>
        <v>#REF!</v>
      </c>
    </row>
    <row r="69" spans="1:25" ht="16.5" customHeight="1" x14ac:dyDescent="0.25">
      <c r="A69" s="16" t="s">
        <v>170</v>
      </c>
      <c r="B69" s="32" t="s">
        <v>171</v>
      </c>
      <c r="C69" s="26" t="e">
        <f t="shared" si="36"/>
        <v>#REF!</v>
      </c>
      <c r="D69" s="26" t="e">
        <f t="shared" si="37"/>
        <v>#REF!</v>
      </c>
      <c r="E69" s="12" t="e">
        <f t="shared" si="38"/>
        <v>#REF!</v>
      </c>
      <c r="F69" s="26"/>
      <c r="G69" s="26" t="e">
        <f t="shared" si="39"/>
        <v>#REF!</v>
      </c>
      <c r="H69" s="26" t="e">
        <f t="shared" si="40"/>
        <v>#REF!</v>
      </c>
      <c r="I69" s="12" t="e">
        <f t="shared" si="41"/>
        <v>#REF!</v>
      </c>
      <c r="J69" s="26"/>
      <c r="K69" s="26" t="e">
        <f t="shared" si="42"/>
        <v>#REF!</v>
      </c>
      <c r="L69" s="26" t="e">
        <f t="shared" si="43"/>
        <v>#REF!</v>
      </c>
      <c r="M69" s="12" t="e">
        <f t="shared" si="44"/>
        <v>#REF!</v>
      </c>
      <c r="N69" s="12"/>
      <c r="O69" s="26" t="e">
        <f t="shared" si="45"/>
        <v>#REF!</v>
      </c>
      <c r="P69" s="26" t="e">
        <f t="shared" si="46"/>
        <v>#REF!</v>
      </c>
      <c r="Q69" s="12" t="e">
        <f t="shared" si="47"/>
        <v>#REF!</v>
      </c>
      <c r="R69" s="12"/>
      <c r="S69" s="26" t="e">
        <f t="shared" si="48"/>
        <v>#REF!</v>
      </c>
      <c r="T69" s="26" t="e">
        <f t="shared" si="49"/>
        <v>#REF!</v>
      </c>
      <c r="U69" s="12" t="e">
        <f t="shared" si="50"/>
        <v>#REF!</v>
      </c>
      <c r="V69" s="12"/>
      <c r="W69" s="44" t="e">
        <f t="shared" si="51"/>
        <v>#REF!</v>
      </c>
      <c r="X69" s="26" t="e">
        <f t="shared" si="52"/>
        <v>#REF!</v>
      </c>
      <c r="Y69" s="12" t="e">
        <f t="shared" si="53"/>
        <v>#REF!</v>
      </c>
    </row>
    <row r="70" spans="1:25" ht="16.5" customHeight="1" x14ac:dyDescent="0.25">
      <c r="A70" s="16" t="s">
        <v>172</v>
      </c>
      <c r="B70" s="32" t="s">
        <v>173</v>
      </c>
      <c r="C70" s="26" t="e">
        <f t="shared" si="36"/>
        <v>#REF!</v>
      </c>
      <c r="D70" s="26" t="e">
        <f t="shared" si="37"/>
        <v>#REF!</v>
      </c>
      <c r="E70" s="12" t="e">
        <f t="shared" si="38"/>
        <v>#REF!</v>
      </c>
      <c r="F70" s="26"/>
      <c r="G70" s="26" t="e">
        <f t="shared" si="39"/>
        <v>#REF!</v>
      </c>
      <c r="H70" s="26" t="e">
        <f t="shared" si="40"/>
        <v>#REF!</v>
      </c>
      <c r="I70" s="12" t="e">
        <f t="shared" si="41"/>
        <v>#REF!</v>
      </c>
      <c r="J70" s="26"/>
      <c r="K70" s="26" t="e">
        <f t="shared" si="42"/>
        <v>#REF!</v>
      </c>
      <c r="L70" s="26" t="e">
        <f t="shared" si="43"/>
        <v>#REF!</v>
      </c>
      <c r="M70" s="12" t="e">
        <f t="shared" si="44"/>
        <v>#REF!</v>
      </c>
      <c r="N70" s="12"/>
      <c r="O70" s="26" t="e">
        <f t="shared" si="45"/>
        <v>#REF!</v>
      </c>
      <c r="P70" s="26" t="e">
        <f t="shared" si="46"/>
        <v>#REF!</v>
      </c>
      <c r="Q70" s="12" t="e">
        <f t="shared" si="47"/>
        <v>#REF!</v>
      </c>
      <c r="R70" s="12"/>
      <c r="S70" s="26" t="e">
        <f t="shared" si="48"/>
        <v>#REF!</v>
      </c>
      <c r="T70" s="26" t="e">
        <f t="shared" si="49"/>
        <v>#REF!</v>
      </c>
      <c r="U70" s="12" t="e">
        <f t="shared" si="50"/>
        <v>#REF!</v>
      </c>
      <c r="V70" s="12"/>
      <c r="W70" s="44" t="e">
        <f t="shared" si="51"/>
        <v>#REF!</v>
      </c>
      <c r="X70" s="26" t="e">
        <f t="shared" si="52"/>
        <v>#REF!</v>
      </c>
      <c r="Y70" s="12" t="e">
        <f t="shared" si="53"/>
        <v>#REF!</v>
      </c>
    </row>
    <row r="71" spans="1:25" ht="16.5" customHeight="1" x14ac:dyDescent="0.25">
      <c r="A71" s="16" t="s">
        <v>174</v>
      </c>
      <c r="B71" s="17" t="s">
        <v>175</v>
      </c>
      <c r="C71" s="26" t="e">
        <f t="shared" si="36"/>
        <v>#REF!</v>
      </c>
      <c r="D71" s="26" t="e">
        <f t="shared" si="37"/>
        <v>#REF!</v>
      </c>
      <c r="E71" s="12" t="e">
        <f t="shared" si="38"/>
        <v>#REF!</v>
      </c>
      <c r="F71" s="26"/>
      <c r="G71" s="26" t="e">
        <f t="shared" si="39"/>
        <v>#REF!</v>
      </c>
      <c r="H71" s="26" t="e">
        <f t="shared" si="40"/>
        <v>#REF!</v>
      </c>
      <c r="I71" s="12" t="e">
        <f t="shared" si="41"/>
        <v>#REF!</v>
      </c>
      <c r="J71" s="26"/>
      <c r="K71" s="26" t="e">
        <f t="shared" si="42"/>
        <v>#REF!</v>
      </c>
      <c r="L71" s="26" t="e">
        <f t="shared" si="43"/>
        <v>#REF!</v>
      </c>
      <c r="M71" s="12" t="e">
        <f t="shared" si="44"/>
        <v>#REF!</v>
      </c>
      <c r="N71" s="12"/>
      <c r="O71" s="26" t="e">
        <f t="shared" si="45"/>
        <v>#REF!</v>
      </c>
      <c r="P71" s="26" t="e">
        <f t="shared" si="46"/>
        <v>#REF!</v>
      </c>
      <c r="Q71" s="12" t="e">
        <f t="shared" si="47"/>
        <v>#REF!</v>
      </c>
      <c r="R71" s="12"/>
      <c r="S71" s="26" t="e">
        <f t="shared" si="48"/>
        <v>#REF!</v>
      </c>
      <c r="T71" s="26" t="e">
        <f t="shared" si="49"/>
        <v>#REF!</v>
      </c>
      <c r="U71" s="12" t="e">
        <f t="shared" si="50"/>
        <v>#REF!</v>
      </c>
      <c r="V71" s="12"/>
      <c r="W71" s="44" t="e">
        <f t="shared" si="51"/>
        <v>#REF!</v>
      </c>
      <c r="X71" s="26" t="e">
        <f t="shared" si="52"/>
        <v>#REF!</v>
      </c>
      <c r="Y71" s="12" t="e">
        <f t="shared" si="53"/>
        <v>#REF!</v>
      </c>
    </row>
    <row r="72" spans="1:25" ht="16.5" customHeight="1" x14ac:dyDescent="0.25">
      <c r="A72" s="16" t="s">
        <v>178</v>
      </c>
      <c r="B72" s="32" t="s">
        <v>179</v>
      </c>
      <c r="C72" s="26" t="e">
        <f t="shared" si="36"/>
        <v>#REF!</v>
      </c>
      <c r="D72" s="26" t="e">
        <f t="shared" si="37"/>
        <v>#REF!</v>
      </c>
      <c r="E72" s="12" t="e">
        <f t="shared" si="38"/>
        <v>#REF!</v>
      </c>
      <c r="F72" s="26"/>
      <c r="G72" s="26" t="e">
        <f t="shared" si="39"/>
        <v>#REF!</v>
      </c>
      <c r="H72" s="26" t="e">
        <f t="shared" si="40"/>
        <v>#REF!</v>
      </c>
      <c r="I72" s="12" t="e">
        <f t="shared" si="41"/>
        <v>#REF!</v>
      </c>
      <c r="J72" s="26"/>
      <c r="K72" s="26" t="e">
        <f t="shared" si="42"/>
        <v>#REF!</v>
      </c>
      <c r="L72" s="26" t="e">
        <f t="shared" si="43"/>
        <v>#REF!</v>
      </c>
      <c r="M72" s="12" t="e">
        <f t="shared" si="44"/>
        <v>#REF!</v>
      </c>
      <c r="N72" s="12"/>
      <c r="O72" s="26" t="e">
        <f t="shared" si="45"/>
        <v>#REF!</v>
      </c>
      <c r="P72" s="26" t="e">
        <f t="shared" si="46"/>
        <v>#REF!</v>
      </c>
      <c r="Q72" s="12" t="e">
        <f t="shared" si="47"/>
        <v>#REF!</v>
      </c>
      <c r="R72" s="12"/>
      <c r="S72" s="26" t="e">
        <f t="shared" si="48"/>
        <v>#REF!</v>
      </c>
      <c r="T72" s="26" t="e">
        <f t="shared" si="49"/>
        <v>#REF!</v>
      </c>
      <c r="U72" s="12" t="e">
        <f t="shared" si="50"/>
        <v>#REF!</v>
      </c>
      <c r="V72" s="12"/>
      <c r="W72" s="44" t="e">
        <f t="shared" si="51"/>
        <v>#REF!</v>
      </c>
      <c r="X72" s="26" t="e">
        <f t="shared" si="52"/>
        <v>#REF!</v>
      </c>
      <c r="Y72" s="12" t="e">
        <f t="shared" si="53"/>
        <v>#REF!</v>
      </c>
    </row>
    <row r="73" spans="1:25" ht="16.5" customHeight="1" x14ac:dyDescent="0.25">
      <c r="A73" s="16" t="s">
        <v>182</v>
      </c>
      <c r="B73" s="32" t="s">
        <v>183</v>
      </c>
      <c r="C73" s="26" t="e">
        <f t="shared" si="36"/>
        <v>#REF!</v>
      </c>
      <c r="D73" s="26" t="e">
        <f t="shared" si="37"/>
        <v>#REF!</v>
      </c>
      <c r="E73" s="12" t="e">
        <f t="shared" si="38"/>
        <v>#REF!</v>
      </c>
      <c r="F73" s="26"/>
      <c r="G73" s="26" t="e">
        <f t="shared" si="39"/>
        <v>#REF!</v>
      </c>
      <c r="H73" s="26" t="e">
        <f t="shared" si="40"/>
        <v>#REF!</v>
      </c>
      <c r="I73" s="12" t="e">
        <f t="shared" si="41"/>
        <v>#REF!</v>
      </c>
      <c r="J73" s="26"/>
      <c r="K73" s="26" t="e">
        <f t="shared" si="42"/>
        <v>#REF!</v>
      </c>
      <c r="L73" s="26" t="e">
        <f t="shared" si="43"/>
        <v>#REF!</v>
      </c>
      <c r="M73" s="12" t="e">
        <f t="shared" si="44"/>
        <v>#REF!</v>
      </c>
      <c r="N73" s="12"/>
      <c r="O73" s="26" t="e">
        <f t="shared" si="45"/>
        <v>#REF!</v>
      </c>
      <c r="P73" s="26" t="e">
        <f t="shared" si="46"/>
        <v>#REF!</v>
      </c>
      <c r="Q73" s="12" t="e">
        <f t="shared" si="47"/>
        <v>#REF!</v>
      </c>
      <c r="R73" s="12"/>
      <c r="S73" s="26" t="e">
        <f t="shared" si="48"/>
        <v>#REF!</v>
      </c>
      <c r="T73" s="26" t="e">
        <f t="shared" si="49"/>
        <v>#REF!</v>
      </c>
      <c r="U73" s="12" t="e">
        <f t="shared" si="50"/>
        <v>#REF!</v>
      </c>
      <c r="V73" s="12"/>
      <c r="W73" s="44" t="e">
        <f t="shared" si="51"/>
        <v>#REF!</v>
      </c>
      <c r="X73" s="26" t="e">
        <f t="shared" si="52"/>
        <v>#REF!</v>
      </c>
      <c r="Y73" s="12" t="e">
        <f t="shared" si="53"/>
        <v>#REF!</v>
      </c>
    </row>
    <row r="74" spans="1:25" ht="16.5" customHeight="1" x14ac:dyDescent="0.25">
      <c r="A74" s="16" t="s">
        <v>184</v>
      </c>
      <c r="B74" s="32" t="s">
        <v>185</v>
      </c>
      <c r="C74" s="26" t="e">
        <f t="shared" si="36"/>
        <v>#REF!</v>
      </c>
      <c r="D74" s="26" t="e">
        <f t="shared" si="37"/>
        <v>#REF!</v>
      </c>
      <c r="E74" s="12" t="e">
        <f t="shared" si="38"/>
        <v>#REF!</v>
      </c>
      <c r="F74" s="26"/>
      <c r="G74" s="26" t="e">
        <f t="shared" si="39"/>
        <v>#REF!</v>
      </c>
      <c r="H74" s="26" t="e">
        <f t="shared" si="40"/>
        <v>#REF!</v>
      </c>
      <c r="I74" s="12" t="e">
        <f t="shared" si="41"/>
        <v>#REF!</v>
      </c>
      <c r="J74" s="26"/>
      <c r="K74" s="26" t="e">
        <f t="shared" si="42"/>
        <v>#REF!</v>
      </c>
      <c r="L74" s="26" t="e">
        <f t="shared" si="43"/>
        <v>#REF!</v>
      </c>
      <c r="M74" s="12" t="e">
        <f t="shared" si="44"/>
        <v>#REF!</v>
      </c>
      <c r="N74" s="12"/>
      <c r="O74" s="26" t="e">
        <f t="shared" si="45"/>
        <v>#REF!</v>
      </c>
      <c r="P74" s="26" t="e">
        <f t="shared" si="46"/>
        <v>#REF!</v>
      </c>
      <c r="Q74" s="12" t="e">
        <f t="shared" si="47"/>
        <v>#REF!</v>
      </c>
      <c r="R74" s="12"/>
      <c r="S74" s="26" t="e">
        <f t="shared" si="48"/>
        <v>#REF!</v>
      </c>
      <c r="T74" s="26" t="e">
        <f t="shared" si="49"/>
        <v>#REF!</v>
      </c>
      <c r="U74" s="12" t="e">
        <f t="shared" si="50"/>
        <v>#REF!</v>
      </c>
      <c r="V74" s="12"/>
      <c r="W74" s="44" t="e">
        <f t="shared" si="51"/>
        <v>#REF!</v>
      </c>
      <c r="X74" s="26" t="e">
        <f t="shared" si="52"/>
        <v>#REF!</v>
      </c>
      <c r="Y74" s="12" t="e">
        <f t="shared" si="53"/>
        <v>#REF!</v>
      </c>
    </row>
    <row r="75" spans="1:25" ht="16.5" customHeight="1" x14ac:dyDescent="0.25">
      <c r="A75" s="16" t="s">
        <v>186</v>
      </c>
      <c r="B75" s="17" t="s">
        <v>187</v>
      </c>
      <c r="C75" s="26" t="e">
        <f t="shared" si="36"/>
        <v>#REF!</v>
      </c>
      <c r="D75" s="26" t="e">
        <f t="shared" si="37"/>
        <v>#REF!</v>
      </c>
      <c r="E75" s="12" t="e">
        <f t="shared" si="38"/>
        <v>#REF!</v>
      </c>
      <c r="F75" s="26"/>
      <c r="G75" s="26" t="e">
        <f t="shared" si="39"/>
        <v>#REF!</v>
      </c>
      <c r="H75" s="26" t="e">
        <f t="shared" si="40"/>
        <v>#REF!</v>
      </c>
      <c r="I75" s="12" t="e">
        <f t="shared" si="41"/>
        <v>#REF!</v>
      </c>
      <c r="J75" s="26"/>
      <c r="K75" s="26" t="e">
        <f t="shared" si="42"/>
        <v>#REF!</v>
      </c>
      <c r="L75" s="26" t="e">
        <f t="shared" si="43"/>
        <v>#REF!</v>
      </c>
      <c r="M75" s="12" t="e">
        <f t="shared" si="44"/>
        <v>#REF!</v>
      </c>
      <c r="N75" s="12"/>
      <c r="O75" s="26" t="e">
        <f t="shared" si="45"/>
        <v>#REF!</v>
      </c>
      <c r="P75" s="26" t="e">
        <f t="shared" si="46"/>
        <v>#REF!</v>
      </c>
      <c r="Q75" s="12" t="e">
        <f t="shared" si="47"/>
        <v>#REF!</v>
      </c>
      <c r="R75" s="12"/>
      <c r="S75" s="26" t="e">
        <f t="shared" si="48"/>
        <v>#REF!</v>
      </c>
      <c r="T75" s="26" t="e">
        <f t="shared" si="49"/>
        <v>#REF!</v>
      </c>
      <c r="U75" s="12" t="e">
        <f t="shared" si="50"/>
        <v>#REF!</v>
      </c>
      <c r="V75" s="12"/>
      <c r="W75" s="44" t="e">
        <f t="shared" si="51"/>
        <v>#REF!</v>
      </c>
      <c r="X75" s="26" t="e">
        <f t="shared" si="52"/>
        <v>#REF!</v>
      </c>
      <c r="Y75" s="12" t="e">
        <f t="shared" si="53"/>
        <v>#REF!</v>
      </c>
    </row>
    <row r="76" spans="1:25" ht="16.5" customHeight="1" x14ac:dyDescent="0.25">
      <c r="A76" s="16" t="s">
        <v>188</v>
      </c>
      <c r="B76" s="17" t="s">
        <v>189</v>
      </c>
      <c r="C76" s="26" t="e">
        <f t="shared" si="36"/>
        <v>#REF!</v>
      </c>
      <c r="D76" s="26" t="e">
        <f t="shared" si="37"/>
        <v>#REF!</v>
      </c>
      <c r="E76" s="12" t="e">
        <f t="shared" si="38"/>
        <v>#REF!</v>
      </c>
      <c r="F76" s="26"/>
      <c r="G76" s="26" t="e">
        <f t="shared" si="39"/>
        <v>#REF!</v>
      </c>
      <c r="H76" s="26" t="e">
        <f t="shared" si="40"/>
        <v>#REF!</v>
      </c>
      <c r="I76" s="12" t="e">
        <f t="shared" si="41"/>
        <v>#REF!</v>
      </c>
      <c r="J76" s="26"/>
      <c r="K76" s="26" t="e">
        <f t="shared" si="42"/>
        <v>#REF!</v>
      </c>
      <c r="L76" s="26" t="e">
        <f t="shared" si="43"/>
        <v>#REF!</v>
      </c>
      <c r="M76" s="12" t="e">
        <f t="shared" si="44"/>
        <v>#REF!</v>
      </c>
      <c r="N76" s="12"/>
      <c r="O76" s="26" t="e">
        <f t="shared" si="45"/>
        <v>#REF!</v>
      </c>
      <c r="P76" s="26" t="e">
        <f t="shared" si="46"/>
        <v>#REF!</v>
      </c>
      <c r="Q76" s="12" t="e">
        <f t="shared" si="47"/>
        <v>#REF!</v>
      </c>
      <c r="R76" s="12"/>
      <c r="S76" s="26" t="e">
        <f t="shared" si="48"/>
        <v>#REF!</v>
      </c>
      <c r="T76" s="26" t="e">
        <f t="shared" si="49"/>
        <v>#REF!</v>
      </c>
      <c r="U76" s="12" t="e">
        <f t="shared" si="50"/>
        <v>#REF!</v>
      </c>
      <c r="V76" s="12"/>
      <c r="W76" s="44" t="e">
        <f t="shared" si="51"/>
        <v>#REF!</v>
      </c>
      <c r="X76" s="26" t="e">
        <f t="shared" si="52"/>
        <v>#REF!</v>
      </c>
      <c r="Y76" s="12" t="e">
        <f t="shared" si="53"/>
        <v>#REF!</v>
      </c>
    </row>
    <row r="77" spans="1:25" ht="16.5" customHeight="1" x14ac:dyDescent="0.25">
      <c r="A77" s="16" t="s">
        <v>190</v>
      </c>
      <c r="B77" s="32" t="s">
        <v>191</v>
      </c>
      <c r="C77" s="26" t="e">
        <f t="shared" si="36"/>
        <v>#REF!</v>
      </c>
      <c r="D77" s="26" t="e">
        <f t="shared" si="37"/>
        <v>#REF!</v>
      </c>
      <c r="E77" s="12" t="e">
        <f t="shared" si="38"/>
        <v>#REF!</v>
      </c>
      <c r="F77" s="26"/>
      <c r="G77" s="26" t="e">
        <f t="shared" si="39"/>
        <v>#REF!</v>
      </c>
      <c r="H77" s="26" t="e">
        <f t="shared" si="40"/>
        <v>#REF!</v>
      </c>
      <c r="I77" s="12" t="e">
        <f t="shared" si="41"/>
        <v>#REF!</v>
      </c>
      <c r="J77" s="26"/>
      <c r="K77" s="26" t="e">
        <f t="shared" si="42"/>
        <v>#REF!</v>
      </c>
      <c r="L77" s="26" t="e">
        <f t="shared" si="43"/>
        <v>#REF!</v>
      </c>
      <c r="M77" s="12" t="e">
        <f t="shared" si="44"/>
        <v>#REF!</v>
      </c>
      <c r="N77" s="12"/>
      <c r="O77" s="26" t="e">
        <f t="shared" si="45"/>
        <v>#REF!</v>
      </c>
      <c r="P77" s="26" t="e">
        <f t="shared" si="46"/>
        <v>#REF!</v>
      </c>
      <c r="Q77" s="12" t="e">
        <f t="shared" si="47"/>
        <v>#REF!</v>
      </c>
      <c r="R77" s="12"/>
      <c r="S77" s="26" t="e">
        <f t="shared" si="48"/>
        <v>#REF!</v>
      </c>
      <c r="T77" s="26" t="e">
        <f t="shared" si="49"/>
        <v>#REF!</v>
      </c>
      <c r="U77" s="12" t="e">
        <f t="shared" si="50"/>
        <v>#REF!</v>
      </c>
      <c r="V77" s="12"/>
      <c r="W77" s="44" t="e">
        <f t="shared" si="51"/>
        <v>#REF!</v>
      </c>
      <c r="X77" s="26" t="e">
        <f t="shared" si="52"/>
        <v>#REF!</v>
      </c>
      <c r="Y77" s="12" t="e">
        <f t="shared" si="53"/>
        <v>#REF!</v>
      </c>
    </row>
    <row r="78" spans="1:25" ht="16.5" customHeight="1" x14ac:dyDescent="0.25">
      <c r="A78" s="16" t="s">
        <v>194</v>
      </c>
      <c r="B78" s="17" t="s">
        <v>195</v>
      </c>
      <c r="C78" s="26" t="e">
        <f t="shared" si="36"/>
        <v>#REF!</v>
      </c>
      <c r="D78" s="26" t="e">
        <f t="shared" si="37"/>
        <v>#REF!</v>
      </c>
      <c r="E78" s="12" t="e">
        <f t="shared" si="38"/>
        <v>#REF!</v>
      </c>
      <c r="F78" s="26"/>
      <c r="G78" s="26" t="e">
        <f t="shared" si="39"/>
        <v>#REF!</v>
      </c>
      <c r="H78" s="26" t="e">
        <f t="shared" si="40"/>
        <v>#REF!</v>
      </c>
      <c r="I78" s="12" t="e">
        <f t="shared" si="41"/>
        <v>#REF!</v>
      </c>
      <c r="J78" s="26"/>
      <c r="K78" s="26" t="e">
        <f t="shared" si="42"/>
        <v>#REF!</v>
      </c>
      <c r="L78" s="26" t="e">
        <f t="shared" si="43"/>
        <v>#REF!</v>
      </c>
      <c r="M78" s="12" t="e">
        <f t="shared" si="44"/>
        <v>#REF!</v>
      </c>
      <c r="N78" s="12"/>
      <c r="O78" s="26" t="e">
        <f t="shared" si="45"/>
        <v>#REF!</v>
      </c>
      <c r="P78" s="26" t="e">
        <f t="shared" si="46"/>
        <v>#REF!</v>
      </c>
      <c r="Q78" s="12" t="e">
        <f t="shared" si="47"/>
        <v>#REF!</v>
      </c>
      <c r="R78" s="12"/>
      <c r="S78" s="26" t="e">
        <f t="shared" si="48"/>
        <v>#REF!</v>
      </c>
      <c r="T78" s="26" t="e">
        <f t="shared" si="49"/>
        <v>#REF!</v>
      </c>
      <c r="U78" s="12" t="e">
        <f t="shared" si="50"/>
        <v>#REF!</v>
      </c>
      <c r="V78" s="12"/>
      <c r="W78" s="44" t="e">
        <f t="shared" si="51"/>
        <v>#REF!</v>
      </c>
      <c r="X78" s="26" t="e">
        <f t="shared" si="52"/>
        <v>#REF!</v>
      </c>
      <c r="Y78" s="12" t="e">
        <f t="shared" si="53"/>
        <v>#REF!</v>
      </c>
    </row>
    <row r="79" spans="1:25" ht="16.5" customHeight="1" x14ac:dyDescent="0.25">
      <c r="A79" s="16" t="s">
        <v>198</v>
      </c>
      <c r="B79" s="32" t="s">
        <v>199</v>
      </c>
      <c r="C79" s="26" t="e">
        <f t="shared" si="36"/>
        <v>#REF!</v>
      </c>
      <c r="D79" s="26" t="e">
        <f t="shared" si="37"/>
        <v>#REF!</v>
      </c>
      <c r="E79" s="12" t="e">
        <f t="shared" si="38"/>
        <v>#REF!</v>
      </c>
      <c r="F79" s="26"/>
      <c r="G79" s="26" t="e">
        <f t="shared" si="39"/>
        <v>#REF!</v>
      </c>
      <c r="H79" s="26" t="e">
        <f t="shared" si="40"/>
        <v>#REF!</v>
      </c>
      <c r="I79" s="12" t="e">
        <f t="shared" si="41"/>
        <v>#REF!</v>
      </c>
      <c r="J79" s="26"/>
      <c r="K79" s="26" t="e">
        <f t="shared" si="42"/>
        <v>#REF!</v>
      </c>
      <c r="L79" s="26" t="e">
        <f t="shared" si="43"/>
        <v>#REF!</v>
      </c>
      <c r="M79" s="12" t="e">
        <f t="shared" si="44"/>
        <v>#REF!</v>
      </c>
      <c r="N79" s="12"/>
      <c r="O79" s="26" t="e">
        <f t="shared" si="45"/>
        <v>#REF!</v>
      </c>
      <c r="P79" s="26" t="e">
        <f t="shared" si="46"/>
        <v>#REF!</v>
      </c>
      <c r="Q79" s="12" t="e">
        <f t="shared" si="47"/>
        <v>#REF!</v>
      </c>
      <c r="R79" s="12"/>
      <c r="S79" s="26" t="e">
        <f t="shared" si="48"/>
        <v>#REF!</v>
      </c>
      <c r="T79" s="26" t="e">
        <f t="shared" si="49"/>
        <v>#REF!</v>
      </c>
      <c r="U79" s="12" t="e">
        <f t="shared" si="50"/>
        <v>#REF!</v>
      </c>
      <c r="V79" s="12"/>
      <c r="W79" s="44" t="e">
        <f t="shared" si="51"/>
        <v>#REF!</v>
      </c>
      <c r="X79" s="26" t="e">
        <f t="shared" si="52"/>
        <v>#REF!</v>
      </c>
      <c r="Y79" s="12" t="e">
        <f t="shared" si="53"/>
        <v>#REF!</v>
      </c>
    </row>
    <row r="80" spans="1:25" ht="16.5" customHeight="1" x14ac:dyDescent="0.25">
      <c r="A80" s="16" t="s">
        <v>202</v>
      </c>
      <c r="B80" s="17" t="s">
        <v>203</v>
      </c>
      <c r="C80" s="26" t="e">
        <f t="shared" si="36"/>
        <v>#REF!</v>
      </c>
      <c r="D80" s="26" t="e">
        <f t="shared" si="37"/>
        <v>#REF!</v>
      </c>
      <c r="E80" s="12" t="e">
        <f t="shared" si="38"/>
        <v>#REF!</v>
      </c>
      <c r="F80" s="26"/>
      <c r="G80" s="26" t="e">
        <f t="shared" si="39"/>
        <v>#REF!</v>
      </c>
      <c r="H80" s="26" t="e">
        <f t="shared" si="40"/>
        <v>#REF!</v>
      </c>
      <c r="I80" s="12" t="e">
        <f t="shared" si="41"/>
        <v>#REF!</v>
      </c>
      <c r="J80" s="26"/>
      <c r="K80" s="26" t="e">
        <f t="shared" si="42"/>
        <v>#REF!</v>
      </c>
      <c r="L80" s="26" t="e">
        <f t="shared" si="43"/>
        <v>#REF!</v>
      </c>
      <c r="M80" s="12" t="e">
        <f t="shared" si="44"/>
        <v>#REF!</v>
      </c>
      <c r="N80" s="12"/>
      <c r="O80" s="26" t="e">
        <f t="shared" si="45"/>
        <v>#REF!</v>
      </c>
      <c r="P80" s="26" t="e">
        <f t="shared" si="46"/>
        <v>#REF!</v>
      </c>
      <c r="Q80" s="12" t="e">
        <f t="shared" si="47"/>
        <v>#REF!</v>
      </c>
      <c r="R80" s="12"/>
      <c r="S80" s="26" t="e">
        <f t="shared" si="48"/>
        <v>#REF!</v>
      </c>
      <c r="T80" s="26" t="e">
        <f t="shared" si="49"/>
        <v>#REF!</v>
      </c>
      <c r="U80" s="12" t="e">
        <f t="shared" si="50"/>
        <v>#REF!</v>
      </c>
      <c r="V80" s="12"/>
      <c r="W80" s="44" t="e">
        <f t="shared" si="51"/>
        <v>#REF!</v>
      </c>
      <c r="X80" s="26" t="e">
        <f t="shared" si="52"/>
        <v>#REF!</v>
      </c>
      <c r="Y80" s="12" t="e">
        <f t="shared" si="53"/>
        <v>#REF!</v>
      </c>
    </row>
    <row r="81" spans="1:25" ht="16.5" customHeight="1" x14ac:dyDescent="0.25">
      <c r="A81" s="16" t="s">
        <v>204</v>
      </c>
      <c r="B81" s="17" t="s">
        <v>205</v>
      </c>
      <c r="C81" s="26" t="e">
        <f t="shared" si="36"/>
        <v>#REF!</v>
      </c>
      <c r="D81" s="26" t="e">
        <f t="shared" si="37"/>
        <v>#REF!</v>
      </c>
      <c r="E81" s="12" t="e">
        <f t="shared" si="38"/>
        <v>#REF!</v>
      </c>
      <c r="F81" s="26"/>
      <c r="G81" s="26" t="e">
        <f t="shared" si="39"/>
        <v>#REF!</v>
      </c>
      <c r="H81" s="26" t="e">
        <f t="shared" si="40"/>
        <v>#REF!</v>
      </c>
      <c r="I81" s="12" t="e">
        <f t="shared" si="41"/>
        <v>#REF!</v>
      </c>
      <c r="J81" s="26"/>
      <c r="K81" s="26" t="e">
        <f t="shared" si="42"/>
        <v>#REF!</v>
      </c>
      <c r="L81" s="26" t="e">
        <f t="shared" si="43"/>
        <v>#REF!</v>
      </c>
      <c r="M81" s="12" t="e">
        <f t="shared" si="44"/>
        <v>#REF!</v>
      </c>
      <c r="N81" s="12"/>
      <c r="O81" s="26" t="e">
        <f t="shared" si="45"/>
        <v>#REF!</v>
      </c>
      <c r="P81" s="26" t="e">
        <f t="shared" si="46"/>
        <v>#REF!</v>
      </c>
      <c r="Q81" s="12" t="e">
        <f t="shared" si="47"/>
        <v>#REF!</v>
      </c>
      <c r="R81" s="12"/>
      <c r="S81" s="26" t="e">
        <f t="shared" si="48"/>
        <v>#REF!</v>
      </c>
      <c r="T81" s="26" t="e">
        <f t="shared" si="49"/>
        <v>#REF!</v>
      </c>
      <c r="U81" s="12" t="e">
        <f t="shared" si="50"/>
        <v>#REF!</v>
      </c>
      <c r="V81" s="12"/>
      <c r="W81" s="44" t="e">
        <f t="shared" si="51"/>
        <v>#REF!</v>
      </c>
      <c r="X81" s="26" t="e">
        <f t="shared" si="52"/>
        <v>#REF!</v>
      </c>
      <c r="Y81" s="12" t="e">
        <f t="shared" si="53"/>
        <v>#REF!</v>
      </c>
    </row>
    <row r="82" spans="1:25" ht="16.5" customHeight="1" x14ac:dyDescent="0.25">
      <c r="A82" s="16" t="s">
        <v>206</v>
      </c>
      <c r="B82" s="17" t="s">
        <v>207</v>
      </c>
      <c r="C82" s="26" t="e">
        <f t="shared" si="36"/>
        <v>#REF!</v>
      </c>
      <c r="D82" s="26" t="e">
        <f t="shared" si="37"/>
        <v>#REF!</v>
      </c>
      <c r="E82" s="12" t="e">
        <f t="shared" si="38"/>
        <v>#REF!</v>
      </c>
      <c r="F82" s="26"/>
      <c r="G82" s="26" t="e">
        <f t="shared" si="39"/>
        <v>#REF!</v>
      </c>
      <c r="H82" s="26" t="e">
        <f t="shared" si="40"/>
        <v>#REF!</v>
      </c>
      <c r="I82" s="12" t="e">
        <f t="shared" si="41"/>
        <v>#REF!</v>
      </c>
      <c r="J82" s="26"/>
      <c r="K82" s="26" t="e">
        <f t="shared" si="42"/>
        <v>#REF!</v>
      </c>
      <c r="L82" s="26" t="e">
        <f t="shared" si="43"/>
        <v>#REF!</v>
      </c>
      <c r="M82" s="12" t="e">
        <f t="shared" si="44"/>
        <v>#REF!</v>
      </c>
      <c r="N82" s="12"/>
      <c r="O82" s="26" t="e">
        <f t="shared" si="45"/>
        <v>#REF!</v>
      </c>
      <c r="P82" s="26" t="e">
        <f t="shared" si="46"/>
        <v>#REF!</v>
      </c>
      <c r="Q82" s="12" t="e">
        <f t="shared" si="47"/>
        <v>#REF!</v>
      </c>
      <c r="R82" s="12"/>
      <c r="S82" s="26" t="e">
        <f t="shared" si="48"/>
        <v>#REF!</v>
      </c>
      <c r="T82" s="26" t="e">
        <f t="shared" si="49"/>
        <v>#REF!</v>
      </c>
      <c r="U82" s="12" t="e">
        <f t="shared" si="50"/>
        <v>#REF!</v>
      </c>
      <c r="V82" s="12"/>
      <c r="W82" s="44" t="e">
        <f t="shared" si="51"/>
        <v>#REF!</v>
      </c>
      <c r="X82" s="26" t="e">
        <f t="shared" si="52"/>
        <v>#REF!</v>
      </c>
      <c r="Y82" s="12" t="e">
        <f t="shared" si="53"/>
        <v>#REF!</v>
      </c>
    </row>
    <row r="83" spans="1:25" ht="16.5" customHeight="1" x14ac:dyDescent="0.25">
      <c r="A83" s="16" t="s">
        <v>208</v>
      </c>
      <c r="B83" s="32" t="s">
        <v>209</v>
      </c>
      <c r="C83" s="26" t="e">
        <f t="shared" si="36"/>
        <v>#REF!</v>
      </c>
      <c r="D83" s="26" t="e">
        <f t="shared" si="37"/>
        <v>#REF!</v>
      </c>
      <c r="E83" s="12" t="e">
        <f t="shared" si="38"/>
        <v>#REF!</v>
      </c>
      <c r="F83" s="26"/>
      <c r="G83" s="26" t="e">
        <f t="shared" si="39"/>
        <v>#REF!</v>
      </c>
      <c r="H83" s="26" t="e">
        <f t="shared" si="40"/>
        <v>#REF!</v>
      </c>
      <c r="I83" s="12" t="e">
        <f t="shared" si="41"/>
        <v>#REF!</v>
      </c>
      <c r="J83" s="26"/>
      <c r="K83" s="26" t="e">
        <f t="shared" si="42"/>
        <v>#REF!</v>
      </c>
      <c r="L83" s="26" t="e">
        <f t="shared" si="43"/>
        <v>#REF!</v>
      </c>
      <c r="M83" s="12" t="e">
        <f t="shared" si="44"/>
        <v>#REF!</v>
      </c>
      <c r="N83" s="12"/>
      <c r="O83" s="26" t="e">
        <f t="shared" si="45"/>
        <v>#REF!</v>
      </c>
      <c r="P83" s="26" t="e">
        <f t="shared" si="46"/>
        <v>#REF!</v>
      </c>
      <c r="Q83" s="12" t="e">
        <f t="shared" si="47"/>
        <v>#REF!</v>
      </c>
      <c r="R83" s="12"/>
      <c r="S83" s="26" t="e">
        <f t="shared" si="48"/>
        <v>#REF!</v>
      </c>
      <c r="T83" s="26" t="e">
        <f t="shared" si="49"/>
        <v>#REF!</v>
      </c>
      <c r="U83" s="12" t="e">
        <f t="shared" si="50"/>
        <v>#REF!</v>
      </c>
      <c r="V83" s="12"/>
      <c r="W83" s="44" t="e">
        <f t="shared" si="51"/>
        <v>#REF!</v>
      </c>
      <c r="X83" s="26" t="e">
        <f t="shared" si="52"/>
        <v>#REF!</v>
      </c>
      <c r="Y83" s="12" t="e">
        <f t="shared" si="53"/>
        <v>#REF!</v>
      </c>
    </row>
    <row r="84" spans="1:25" ht="16.5" customHeight="1" x14ac:dyDescent="0.25">
      <c r="A84" s="16" t="s">
        <v>210</v>
      </c>
      <c r="B84" s="32" t="s">
        <v>211</v>
      </c>
      <c r="C84" s="26" t="e">
        <f t="shared" si="36"/>
        <v>#REF!</v>
      </c>
      <c r="D84" s="26" t="e">
        <f t="shared" si="37"/>
        <v>#REF!</v>
      </c>
      <c r="E84" s="12" t="e">
        <f t="shared" si="38"/>
        <v>#REF!</v>
      </c>
      <c r="F84" s="26"/>
      <c r="G84" s="26" t="e">
        <f t="shared" si="39"/>
        <v>#REF!</v>
      </c>
      <c r="H84" s="26" t="e">
        <f t="shared" si="40"/>
        <v>#REF!</v>
      </c>
      <c r="I84" s="12" t="e">
        <f t="shared" si="41"/>
        <v>#REF!</v>
      </c>
      <c r="J84" s="26"/>
      <c r="K84" s="26" t="e">
        <f t="shared" si="42"/>
        <v>#REF!</v>
      </c>
      <c r="L84" s="26" t="e">
        <f t="shared" si="43"/>
        <v>#REF!</v>
      </c>
      <c r="M84" s="12" t="e">
        <f t="shared" si="44"/>
        <v>#REF!</v>
      </c>
      <c r="N84" s="12"/>
      <c r="O84" s="26" t="e">
        <f t="shared" si="45"/>
        <v>#REF!</v>
      </c>
      <c r="P84" s="26" t="e">
        <f t="shared" si="46"/>
        <v>#REF!</v>
      </c>
      <c r="Q84" s="12" t="e">
        <f t="shared" si="47"/>
        <v>#REF!</v>
      </c>
      <c r="R84" s="12"/>
      <c r="S84" s="26" t="e">
        <f t="shared" si="48"/>
        <v>#REF!</v>
      </c>
      <c r="T84" s="26" t="e">
        <f t="shared" si="49"/>
        <v>#REF!</v>
      </c>
      <c r="U84" s="12" t="e">
        <f t="shared" si="50"/>
        <v>#REF!</v>
      </c>
      <c r="V84" s="12"/>
      <c r="W84" s="44" t="e">
        <f t="shared" si="51"/>
        <v>#REF!</v>
      </c>
      <c r="X84" s="26" t="e">
        <f t="shared" si="52"/>
        <v>#REF!</v>
      </c>
      <c r="Y84" s="12" t="e">
        <f t="shared" si="53"/>
        <v>#REF!</v>
      </c>
    </row>
    <row r="85" spans="1:25" ht="16.5" customHeight="1" x14ac:dyDescent="0.25">
      <c r="A85" s="16" t="s">
        <v>212</v>
      </c>
      <c r="B85" s="17" t="s">
        <v>213</v>
      </c>
      <c r="C85" s="26" t="e">
        <f t="shared" si="36"/>
        <v>#REF!</v>
      </c>
      <c r="D85" s="26" t="e">
        <f t="shared" si="37"/>
        <v>#REF!</v>
      </c>
      <c r="E85" s="12" t="e">
        <f t="shared" si="38"/>
        <v>#REF!</v>
      </c>
      <c r="F85" s="26"/>
      <c r="G85" s="26" t="e">
        <f t="shared" si="39"/>
        <v>#REF!</v>
      </c>
      <c r="H85" s="26" t="e">
        <f t="shared" si="40"/>
        <v>#REF!</v>
      </c>
      <c r="I85" s="12" t="e">
        <f t="shared" si="41"/>
        <v>#REF!</v>
      </c>
      <c r="J85" s="26"/>
      <c r="K85" s="26" t="e">
        <f t="shared" si="42"/>
        <v>#REF!</v>
      </c>
      <c r="L85" s="26" t="e">
        <f t="shared" si="43"/>
        <v>#REF!</v>
      </c>
      <c r="M85" s="12" t="e">
        <f t="shared" si="44"/>
        <v>#REF!</v>
      </c>
      <c r="N85" s="12"/>
      <c r="O85" s="26" t="e">
        <f t="shared" si="45"/>
        <v>#REF!</v>
      </c>
      <c r="P85" s="26" t="e">
        <f t="shared" si="46"/>
        <v>#REF!</v>
      </c>
      <c r="Q85" s="12" t="e">
        <f t="shared" si="47"/>
        <v>#REF!</v>
      </c>
      <c r="R85" s="12"/>
      <c r="S85" s="26" t="e">
        <f t="shared" si="48"/>
        <v>#REF!</v>
      </c>
      <c r="T85" s="26" t="e">
        <f t="shared" si="49"/>
        <v>#REF!</v>
      </c>
      <c r="U85" s="12" t="e">
        <f t="shared" si="50"/>
        <v>#REF!</v>
      </c>
      <c r="V85" s="12"/>
      <c r="W85" s="44" t="e">
        <f t="shared" si="51"/>
        <v>#REF!</v>
      </c>
      <c r="X85" s="26" t="e">
        <f t="shared" si="52"/>
        <v>#REF!</v>
      </c>
      <c r="Y85" s="12" t="e">
        <f t="shared" si="53"/>
        <v>#REF!</v>
      </c>
    </row>
    <row r="86" spans="1:25" ht="16.5" customHeight="1" x14ac:dyDescent="0.25">
      <c r="A86" s="16" t="s">
        <v>214</v>
      </c>
      <c r="B86" s="32" t="s">
        <v>215</v>
      </c>
      <c r="C86" s="26" t="e">
        <f t="shared" si="36"/>
        <v>#REF!</v>
      </c>
      <c r="D86" s="26" t="e">
        <f t="shared" si="37"/>
        <v>#REF!</v>
      </c>
      <c r="E86" s="12" t="e">
        <f t="shared" si="38"/>
        <v>#REF!</v>
      </c>
      <c r="F86" s="26"/>
      <c r="G86" s="26" t="e">
        <f t="shared" si="39"/>
        <v>#REF!</v>
      </c>
      <c r="H86" s="26" t="e">
        <f t="shared" si="40"/>
        <v>#REF!</v>
      </c>
      <c r="I86" s="12" t="e">
        <f t="shared" si="41"/>
        <v>#REF!</v>
      </c>
      <c r="J86" s="26"/>
      <c r="K86" s="26" t="e">
        <f t="shared" si="42"/>
        <v>#REF!</v>
      </c>
      <c r="L86" s="26" t="e">
        <f t="shared" si="43"/>
        <v>#REF!</v>
      </c>
      <c r="M86" s="12" t="e">
        <f t="shared" si="44"/>
        <v>#REF!</v>
      </c>
      <c r="N86" s="12"/>
      <c r="O86" s="26" t="e">
        <f t="shared" si="45"/>
        <v>#REF!</v>
      </c>
      <c r="P86" s="26" t="e">
        <f t="shared" si="46"/>
        <v>#REF!</v>
      </c>
      <c r="Q86" s="12" t="e">
        <f t="shared" si="47"/>
        <v>#REF!</v>
      </c>
      <c r="R86" s="12"/>
      <c r="S86" s="26" t="e">
        <f t="shared" si="48"/>
        <v>#REF!</v>
      </c>
      <c r="T86" s="26" t="e">
        <f t="shared" si="49"/>
        <v>#REF!</v>
      </c>
      <c r="U86" s="12" t="e">
        <f t="shared" si="50"/>
        <v>#REF!</v>
      </c>
      <c r="V86" s="12"/>
      <c r="W86" s="44" t="e">
        <f t="shared" si="51"/>
        <v>#REF!</v>
      </c>
      <c r="X86" s="26" t="e">
        <f t="shared" si="52"/>
        <v>#REF!</v>
      </c>
      <c r="Y86" s="12" t="e">
        <f t="shared" si="53"/>
        <v>#REF!</v>
      </c>
    </row>
    <row r="87" spans="1:25" ht="16.5" customHeight="1" x14ac:dyDescent="0.25">
      <c r="A87" s="16" t="s">
        <v>216</v>
      </c>
      <c r="B87" s="32" t="s">
        <v>217</v>
      </c>
      <c r="C87" s="26" t="e">
        <f t="shared" si="36"/>
        <v>#REF!</v>
      </c>
      <c r="D87" s="26" t="e">
        <f t="shared" si="37"/>
        <v>#REF!</v>
      </c>
      <c r="E87" s="12" t="e">
        <f t="shared" si="38"/>
        <v>#REF!</v>
      </c>
      <c r="F87" s="26"/>
      <c r="G87" s="26" t="e">
        <f t="shared" si="39"/>
        <v>#REF!</v>
      </c>
      <c r="H87" s="26" t="e">
        <f t="shared" si="40"/>
        <v>#REF!</v>
      </c>
      <c r="I87" s="12" t="e">
        <f t="shared" si="41"/>
        <v>#REF!</v>
      </c>
      <c r="J87" s="26"/>
      <c r="K87" s="26" t="e">
        <f t="shared" si="42"/>
        <v>#REF!</v>
      </c>
      <c r="L87" s="26" t="e">
        <f t="shared" si="43"/>
        <v>#REF!</v>
      </c>
      <c r="M87" s="12" t="e">
        <f t="shared" si="44"/>
        <v>#REF!</v>
      </c>
      <c r="N87" s="12"/>
      <c r="O87" s="26" t="e">
        <f t="shared" si="45"/>
        <v>#REF!</v>
      </c>
      <c r="P87" s="26" t="e">
        <f t="shared" si="46"/>
        <v>#REF!</v>
      </c>
      <c r="Q87" s="12" t="e">
        <f t="shared" si="47"/>
        <v>#REF!</v>
      </c>
      <c r="R87" s="12"/>
      <c r="S87" s="26" t="e">
        <f t="shared" si="48"/>
        <v>#REF!</v>
      </c>
      <c r="T87" s="26" t="e">
        <f t="shared" si="49"/>
        <v>#REF!</v>
      </c>
      <c r="U87" s="12" t="e">
        <f t="shared" si="50"/>
        <v>#REF!</v>
      </c>
      <c r="V87" s="12"/>
      <c r="W87" s="44" t="e">
        <f t="shared" si="51"/>
        <v>#REF!</v>
      </c>
      <c r="X87" s="26" t="e">
        <f t="shared" si="52"/>
        <v>#REF!</v>
      </c>
      <c r="Y87" s="12" t="e">
        <f t="shared" si="53"/>
        <v>#REF!</v>
      </c>
    </row>
    <row r="88" spans="1:25" ht="16.5" customHeight="1" x14ac:dyDescent="0.25">
      <c r="A88" s="16" t="s">
        <v>218</v>
      </c>
      <c r="B88" s="17" t="s">
        <v>219</v>
      </c>
      <c r="C88" s="26" t="e">
        <f t="shared" si="36"/>
        <v>#REF!</v>
      </c>
      <c r="D88" s="26" t="e">
        <f t="shared" si="37"/>
        <v>#REF!</v>
      </c>
      <c r="E88" s="12" t="e">
        <f t="shared" si="38"/>
        <v>#REF!</v>
      </c>
      <c r="F88" s="26"/>
      <c r="G88" s="26" t="e">
        <f t="shared" si="39"/>
        <v>#REF!</v>
      </c>
      <c r="H88" s="26" t="e">
        <f t="shared" si="40"/>
        <v>#REF!</v>
      </c>
      <c r="I88" s="12" t="e">
        <f t="shared" si="41"/>
        <v>#REF!</v>
      </c>
      <c r="J88" s="26"/>
      <c r="K88" s="26" t="e">
        <f t="shared" si="42"/>
        <v>#REF!</v>
      </c>
      <c r="L88" s="26" t="e">
        <f t="shared" si="43"/>
        <v>#REF!</v>
      </c>
      <c r="M88" s="12" t="e">
        <f t="shared" si="44"/>
        <v>#REF!</v>
      </c>
      <c r="N88" s="12"/>
      <c r="O88" s="26" t="e">
        <f t="shared" si="45"/>
        <v>#REF!</v>
      </c>
      <c r="P88" s="26" t="e">
        <f t="shared" si="46"/>
        <v>#REF!</v>
      </c>
      <c r="Q88" s="12" t="e">
        <f t="shared" si="47"/>
        <v>#REF!</v>
      </c>
      <c r="R88" s="12"/>
      <c r="S88" s="26" t="e">
        <f t="shared" si="48"/>
        <v>#REF!</v>
      </c>
      <c r="T88" s="26" t="e">
        <f t="shared" si="49"/>
        <v>#REF!</v>
      </c>
      <c r="U88" s="12" t="e">
        <f t="shared" si="50"/>
        <v>#REF!</v>
      </c>
      <c r="V88" s="12"/>
      <c r="W88" s="44" t="e">
        <f t="shared" si="51"/>
        <v>#REF!</v>
      </c>
      <c r="X88" s="26" t="e">
        <f t="shared" si="52"/>
        <v>#REF!</v>
      </c>
      <c r="Y88" s="12" t="e">
        <f t="shared" si="53"/>
        <v>#REF!</v>
      </c>
    </row>
    <row r="89" spans="1:25" ht="16.5" customHeight="1" x14ac:dyDescent="0.25">
      <c r="A89" s="16" t="s">
        <v>220</v>
      </c>
      <c r="B89" s="17" t="s">
        <v>221</v>
      </c>
      <c r="C89" s="26" t="e">
        <f t="shared" si="36"/>
        <v>#REF!</v>
      </c>
      <c r="D89" s="26" t="e">
        <f t="shared" si="37"/>
        <v>#REF!</v>
      </c>
      <c r="E89" s="12" t="e">
        <f t="shared" si="38"/>
        <v>#REF!</v>
      </c>
      <c r="F89" s="26"/>
      <c r="G89" s="26" t="e">
        <f t="shared" si="39"/>
        <v>#REF!</v>
      </c>
      <c r="H89" s="26" t="e">
        <f t="shared" si="40"/>
        <v>#REF!</v>
      </c>
      <c r="I89" s="12" t="e">
        <f t="shared" si="41"/>
        <v>#REF!</v>
      </c>
      <c r="J89" s="26"/>
      <c r="K89" s="26" t="e">
        <f t="shared" si="42"/>
        <v>#REF!</v>
      </c>
      <c r="L89" s="26" t="e">
        <f t="shared" si="43"/>
        <v>#REF!</v>
      </c>
      <c r="M89" s="12" t="e">
        <f t="shared" si="44"/>
        <v>#REF!</v>
      </c>
      <c r="N89" s="12"/>
      <c r="O89" s="26" t="e">
        <f t="shared" si="45"/>
        <v>#REF!</v>
      </c>
      <c r="P89" s="26" t="e">
        <f t="shared" si="46"/>
        <v>#REF!</v>
      </c>
      <c r="Q89" s="12" t="e">
        <f t="shared" si="47"/>
        <v>#REF!</v>
      </c>
      <c r="R89" s="12"/>
      <c r="S89" s="26" t="e">
        <f t="shared" si="48"/>
        <v>#REF!</v>
      </c>
      <c r="T89" s="26" t="e">
        <f t="shared" si="49"/>
        <v>#REF!</v>
      </c>
      <c r="U89" s="12" t="e">
        <f t="shared" si="50"/>
        <v>#REF!</v>
      </c>
      <c r="V89" s="12"/>
      <c r="W89" s="44" t="e">
        <f t="shared" si="51"/>
        <v>#REF!</v>
      </c>
      <c r="X89" s="26" t="e">
        <f t="shared" si="52"/>
        <v>#REF!</v>
      </c>
      <c r="Y89" s="12" t="e">
        <f t="shared" si="53"/>
        <v>#REF!</v>
      </c>
    </row>
    <row r="90" spans="1:25" ht="16.5" customHeight="1" x14ac:dyDescent="0.25">
      <c r="A90" s="16" t="s">
        <v>224</v>
      </c>
      <c r="B90" s="17" t="s">
        <v>225</v>
      </c>
      <c r="C90" s="26" t="e">
        <f t="shared" si="36"/>
        <v>#REF!</v>
      </c>
      <c r="D90" s="26" t="e">
        <f t="shared" si="37"/>
        <v>#REF!</v>
      </c>
      <c r="E90" s="12" t="e">
        <f t="shared" si="38"/>
        <v>#REF!</v>
      </c>
      <c r="F90" s="26"/>
      <c r="G90" s="26" t="e">
        <f t="shared" si="39"/>
        <v>#REF!</v>
      </c>
      <c r="H90" s="26" t="e">
        <f t="shared" si="40"/>
        <v>#REF!</v>
      </c>
      <c r="I90" s="12" t="e">
        <f t="shared" si="41"/>
        <v>#REF!</v>
      </c>
      <c r="J90" s="26"/>
      <c r="K90" s="26" t="e">
        <f t="shared" si="42"/>
        <v>#REF!</v>
      </c>
      <c r="L90" s="26" t="e">
        <f t="shared" si="43"/>
        <v>#REF!</v>
      </c>
      <c r="M90" s="12" t="e">
        <f t="shared" si="44"/>
        <v>#REF!</v>
      </c>
      <c r="N90" s="12"/>
      <c r="O90" s="26" t="e">
        <f t="shared" si="45"/>
        <v>#REF!</v>
      </c>
      <c r="P90" s="26" t="e">
        <f t="shared" si="46"/>
        <v>#REF!</v>
      </c>
      <c r="Q90" s="12" t="e">
        <f t="shared" si="47"/>
        <v>#REF!</v>
      </c>
      <c r="R90" s="12"/>
      <c r="S90" s="26" t="e">
        <f t="shared" si="48"/>
        <v>#REF!</v>
      </c>
      <c r="T90" s="26" t="e">
        <f t="shared" si="49"/>
        <v>#REF!</v>
      </c>
      <c r="U90" s="12" t="e">
        <f t="shared" si="50"/>
        <v>#REF!</v>
      </c>
      <c r="V90" s="12"/>
      <c r="W90" s="44" t="e">
        <f t="shared" si="51"/>
        <v>#REF!</v>
      </c>
      <c r="X90" s="26" t="e">
        <f t="shared" si="52"/>
        <v>#REF!</v>
      </c>
      <c r="Y90" s="12" t="e">
        <f t="shared" si="53"/>
        <v>#REF!</v>
      </c>
    </row>
    <row r="91" spans="1:25" ht="16.5" customHeight="1" x14ac:dyDescent="0.25">
      <c r="A91" s="16" t="s">
        <v>226</v>
      </c>
      <c r="B91" s="32" t="s">
        <v>227</v>
      </c>
      <c r="C91" s="26" t="e">
        <f t="shared" si="36"/>
        <v>#REF!</v>
      </c>
      <c r="D91" s="26" t="e">
        <f t="shared" si="37"/>
        <v>#REF!</v>
      </c>
      <c r="E91" s="12" t="e">
        <f t="shared" si="38"/>
        <v>#REF!</v>
      </c>
      <c r="F91" s="26"/>
      <c r="G91" s="26" t="e">
        <f t="shared" si="39"/>
        <v>#REF!</v>
      </c>
      <c r="H91" s="26" t="e">
        <f t="shared" si="40"/>
        <v>#REF!</v>
      </c>
      <c r="I91" s="12" t="e">
        <f t="shared" si="41"/>
        <v>#REF!</v>
      </c>
      <c r="J91" s="26"/>
      <c r="K91" s="26" t="e">
        <f t="shared" si="42"/>
        <v>#REF!</v>
      </c>
      <c r="L91" s="26" t="e">
        <f t="shared" si="43"/>
        <v>#REF!</v>
      </c>
      <c r="M91" s="12" t="e">
        <f t="shared" si="44"/>
        <v>#REF!</v>
      </c>
      <c r="N91" s="12"/>
      <c r="O91" s="26" t="e">
        <f t="shared" si="45"/>
        <v>#REF!</v>
      </c>
      <c r="P91" s="26" t="e">
        <f t="shared" si="46"/>
        <v>#REF!</v>
      </c>
      <c r="Q91" s="12" t="e">
        <f t="shared" si="47"/>
        <v>#REF!</v>
      </c>
      <c r="R91" s="12"/>
      <c r="S91" s="26" t="e">
        <f t="shared" si="48"/>
        <v>#REF!</v>
      </c>
      <c r="T91" s="26" t="e">
        <f t="shared" si="49"/>
        <v>#REF!</v>
      </c>
      <c r="U91" s="12" t="e">
        <f t="shared" si="50"/>
        <v>#REF!</v>
      </c>
      <c r="V91" s="12"/>
      <c r="W91" s="44" t="e">
        <f t="shared" si="51"/>
        <v>#REF!</v>
      </c>
      <c r="X91" s="26" t="e">
        <f t="shared" si="52"/>
        <v>#REF!</v>
      </c>
      <c r="Y91" s="12" t="e">
        <f t="shared" si="53"/>
        <v>#REF!</v>
      </c>
    </row>
    <row r="92" spans="1:25" ht="16.5" customHeight="1" x14ac:dyDescent="0.25">
      <c r="A92" s="16" t="s">
        <v>228</v>
      </c>
      <c r="B92" s="32" t="s">
        <v>229</v>
      </c>
      <c r="C92" s="26" t="e">
        <f t="shared" si="36"/>
        <v>#REF!</v>
      </c>
      <c r="D92" s="26" t="e">
        <f t="shared" si="37"/>
        <v>#REF!</v>
      </c>
      <c r="E92" s="12" t="e">
        <f t="shared" si="38"/>
        <v>#REF!</v>
      </c>
      <c r="F92" s="26"/>
      <c r="G92" s="26" t="e">
        <f t="shared" si="39"/>
        <v>#REF!</v>
      </c>
      <c r="H92" s="26" t="e">
        <f t="shared" si="40"/>
        <v>#REF!</v>
      </c>
      <c r="I92" s="12" t="e">
        <f t="shared" si="41"/>
        <v>#REF!</v>
      </c>
      <c r="J92" s="26"/>
      <c r="K92" s="26" t="e">
        <f t="shared" si="42"/>
        <v>#REF!</v>
      </c>
      <c r="L92" s="26" t="e">
        <f t="shared" si="43"/>
        <v>#REF!</v>
      </c>
      <c r="M92" s="12" t="e">
        <f t="shared" si="44"/>
        <v>#REF!</v>
      </c>
      <c r="N92" s="12"/>
      <c r="O92" s="26" t="e">
        <f t="shared" si="45"/>
        <v>#REF!</v>
      </c>
      <c r="P92" s="26" t="e">
        <f t="shared" si="46"/>
        <v>#REF!</v>
      </c>
      <c r="Q92" s="12" t="e">
        <f t="shared" si="47"/>
        <v>#REF!</v>
      </c>
      <c r="R92" s="12"/>
      <c r="S92" s="26" t="e">
        <f t="shared" si="48"/>
        <v>#REF!</v>
      </c>
      <c r="T92" s="26" t="e">
        <f t="shared" si="49"/>
        <v>#REF!</v>
      </c>
      <c r="U92" s="12" t="e">
        <f t="shared" si="50"/>
        <v>#REF!</v>
      </c>
      <c r="V92" s="12"/>
      <c r="W92" s="44" t="e">
        <f t="shared" si="51"/>
        <v>#REF!</v>
      </c>
      <c r="X92" s="26" t="e">
        <f t="shared" si="52"/>
        <v>#REF!</v>
      </c>
      <c r="Y92" s="12" t="e">
        <f t="shared" si="53"/>
        <v>#REF!</v>
      </c>
    </row>
    <row r="93" spans="1:25" ht="16.5" customHeight="1" x14ac:dyDescent="0.25">
      <c r="A93" s="16" t="s">
        <v>232</v>
      </c>
      <c r="B93" s="32" t="s">
        <v>233</v>
      </c>
      <c r="C93" s="26" t="e">
        <f t="shared" si="36"/>
        <v>#REF!</v>
      </c>
      <c r="D93" s="26" t="e">
        <f t="shared" si="37"/>
        <v>#REF!</v>
      </c>
      <c r="E93" s="12" t="e">
        <f t="shared" si="38"/>
        <v>#REF!</v>
      </c>
      <c r="F93" s="26"/>
      <c r="G93" s="26" t="e">
        <f t="shared" si="39"/>
        <v>#REF!</v>
      </c>
      <c r="H93" s="26" t="e">
        <f t="shared" si="40"/>
        <v>#REF!</v>
      </c>
      <c r="I93" s="12" t="e">
        <f t="shared" si="41"/>
        <v>#REF!</v>
      </c>
      <c r="J93" s="26"/>
      <c r="K93" s="26" t="e">
        <f t="shared" si="42"/>
        <v>#REF!</v>
      </c>
      <c r="L93" s="26" t="e">
        <f t="shared" si="43"/>
        <v>#REF!</v>
      </c>
      <c r="M93" s="12" t="e">
        <f t="shared" si="44"/>
        <v>#REF!</v>
      </c>
      <c r="N93" s="12"/>
      <c r="O93" s="26" t="e">
        <f t="shared" si="45"/>
        <v>#REF!</v>
      </c>
      <c r="P93" s="26" t="e">
        <f t="shared" si="46"/>
        <v>#REF!</v>
      </c>
      <c r="Q93" s="12" t="e">
        <f t="shared" si="47"/>
        <v>#REF!</v>
      </c>
      <c r="R93" s="12"/>
      <c r="S93" s="26" t="e">
        <f t="shared" si="48"/>
        <v>#REF!</v>
      </c>
      <c r="T93" s="26" t="e">
        <f t="shared" si="49"/>
        <v>#REF!</v>
      </c>
      <c r="U93" s="12" t="e">
        <f t="shared" si="50"/>
        <v>#REF!</v>
      </c>
      <c r="V93" s="12"/>
      <c r="W93" s="44" t="e">
        <f t="shared" si="51"/>
        <v>#REF!</v>
      </c>
      <c r="X93" s="26" t="e">
        <f t="shared" si="52"/>
        <v>#REF!</v>
      </c>
      <c r="Y93" s="12" t="e">
        <f t="shared" si="53"/>
        <v>#REF!</v>
      </c>
    </row>
    <row r="94" spans="1:25" ht="16.5" customHeight="1" x14ac:dyDescent="0.25">
      <c r="A94" s="16" t="s">
        <v>234</v>
      </c>
      <c r="B94" s="32" t="s">
        <v>235</v>
      </c>
      <c r="C94" s="26" t="e">
        <f t="shared" si="36"/>
        <v>#REF!</v>
      </c>
      <c r="D94" s="26" t="e">
        <f t="shared" si="37"/>
        <v>#REF!</v>
      </c>
      <c r="E94" s="12" t="e">
        <f t="shared" si="38"/>
        <v>#REF!</v>
      </c>
      <c r="F94" s="26"/>
      <c r="G94" s="26" t="e">
        <f t="shared" si="39"/>
        <v>#REF!</v>
      </c>
      <c r="H94" s="26" t="e">
        <f t="shared" si="40"/>
        <v>#REF!</v>
      </c>
      <c r="I94" s="12" t="e">
        <f t="shared" si="41"/>
        <v>#REF!</v>
      </c>
      <c r="J94" s="26"/>
      <c r="K94" s="26" t="e">
        <f t="shared" si="42"/>
        <v>#REF!</v>
      </c>
      <c r="L94" s="26" t="e">
        <f t="shared" si="43"/>
        <v>#REF!</v>
      </c>
      <c r="M94" s="12" t="e">
        <f t="shared" si="44"/>
        <v>#REF!</v>
      </c>
      <c r="N94" s="12"/>
      <c r="O94" s="26" t="e">
        <f t="shared" si="45"/>
        <v>#REF!</v>
      </c>
      <c r="P94" s="26" t="e">
        <f t="shared" si="46"/>
        <v>#REF!</v>
      </c>
      <c r="Q94" s="12" t="e">
        <f t="shared" si="47"/>
        <v>#REF!</v>
      </c>
      <c r="R94" s="12"/>
      <c r="S94" s="26" t="e">
        <f t="shared" si="48"/>
        <v>#REF!</v>
      </c>
      <c r="T94" s="26" t="e">
        <f t="shared" si="49"/>
        <v>#REF!</v>
      </c>
      <c r="U94" s="12" t="e">
        <f t="shared" si="50"/>
        <v>#REF!</v>
      </c>
      <c r="V94" s="12"/>
      <c r="W94" s="44" t="e">
        <f t="shared" si="51"/>
        <v>#REF!</v>
      </c>
      <c r="X94" s="26" t="e">
        <f t="shared" si="52"/>
        <v>#REF!</v>
      </c>
      <c r="Y94" s="12" t="e">
        <f t="shared" si="53"/>
        <v>#REF!</v>
      </c>
    </row>
    <row r="95" spans="1:25" ht="16.5" customHeight="1" x14ac:dyDescent="0.25">
      <c r="A95" s="16" t="s">
        <v>236</v>
      </c>
      <c r="B95" s="32" t="s">
        <v>237</v>
      </c>
      <c r="C95" s="26" t="e">
        <f t="shared" si="36"/>
        <v>#REF!</v>
      </c>
      <c r="D95" s="26" t="e">
        <f t="shared" si="37"/>
        <v>#REF!</v>
      </c>
      <c r="E95" s="12" t="e">
        <f t="shared" si="38"/>
        <v>#REF!</v>
      </c>
      <c r="F95" s="26"/>
      <c r="G95" s="26" t="e">
        <f t="shared" si="39"/>
        <v>#REF!</v>
      </c>
      <c r="H95" s="26" t="e">
        <f t="shared" si="40"/>
        <v>#REF!</v>
      </c>
      <c r="I95" s="12" t="e">
        <f t="shared" si="41"/>
        <v>#REF!</v>
      </c>
      <c r="J95" s="26"/>
      <c r="K95" s="26" t="e">
        <f t="shared" si="42"/>
        <v>#REF!</v>
      </c>
      <c r="L95" s="26" t="e">
        <f t="shared" si="43"/>
        <v>#REF!</v>
      </c>
      <c r="M95" s="12" t="e">
        <f t="shared" si="44"/>
        <v>#REF!</v>
      </c>
      <c r="N95" s="12"/>
      <c r="O95" s="26" t="e">
        <f t="shared" si="45"/>
        <v>#REF!</v>
      </c>
      <c r="P95" s="26" t="e">
        <f t="shared" si="46"/>
        <v>#REF!</v>
      </c>
      <c r="Q95" s="12" t="e">
        <f t="shared" si="47"/>
        <v>#REF!</v>
      </c>
      <c r="R95" s="12"/>
      <c r="S95" s="26" t="e">
        <f t="shared" si="48"/>
        <v>#REF!</v>
      </c>
      <c r="T95" s="26" t="e">
        <f t="shared" si="49"/>
        <v>#REF!</v>
      </c>
      <c r="U95" s="12" t="e">
        <f t="shared" si="50"/>
        <v>#REF!</v>
      </c>
      <c r="V95" s="12"/>
      <c r="W95" s="44" t="e">
        <f t="shared" si="51"/>
        <v>#REF!</v>
      </c>
      <c r="X95" s="26" t="e">
        <f t="shared" si="52"/>
        <v>#REF!</v>
      </c>
      <c r="Y95" s="12" t="e">
        <f t="shared" si="53"/>
        <v>#REF!</v>
      </c>
    </row>
    <row r="96" spans="1:25" ht="16.5" customHeight="1" x14ac:dyDescent="0.25">
      <c r="A96" s="16" t="s">
        <v>242</v>
      </c>
      <c r="B96" s="32" t="s">
        <v>243</v>
      </c>
      <c r="C96" s="26" t="e">
        <f t="shared" si="36"/>
        <v>#REF!</v>
      </c>
      <c r="D96" s="26" t="e">
        <f t="shared" si="37"/>
        <v>#REF!</v>
      </c>
      <c r="E96" s="12" t="e">
        <f t="shared" si="38"/>
        <v>#REF!</v>
      </c>
      <c r="F96" s="26"/>
      <c r="G96" s="26" t="e">
        <f t="shared" si="39"/>
        <v>#REF!</v>
      </c>
      <c r="H96" s="26" t="e">
        <f t="shared" si="40"/>
        <v>#REF!</v>
      </c>
      <c r="I96" s="12" t="e">
        <f t="shared" si="41"/>
        <v>#REF!</v>
      </c>
      <c r="J96" s="26"/>
      <c r="K96" s="26" t="e">
        <f t="shared" si="42"/>
        <v>#REF!</v>
      </c>
      <c r="L96" s="26" t="e">
        <f t="shared" si="43"/>
        <v>#REF!</v>
      </c>
      <c r="M96" s="12" t="e">
        <f t="shared" si="44"/>
        <v>#REF!</v>
      </c>
      <c r="N96" s="12"/>
      <c r="O96" s="26" t="e">
        <f t="shared" si="45"/>
        <v>#REF!</v>
      </c>
      <c r="P96" s="26" t="e">
        <f t="shared" si="46"/>
        <v>#REF!</v>
      </c>
      <c r="Q96" s="12" t="e">
        <f t="shared" si="47"/>
        <v>#REF!</v>
      </c>
      <c r="R96" s="12"/>
      <c r="S96" s="26" t="e">
        <f t="shared" si="48"/>
        <v>#REF!</v>
      </c>
      <c r="T96" s="26" t="e">
        <f t="shared" si="49"/>
        <v>#REF!</v>
      </c>
      <c r="U96" s="12" t="e">
        <f t="shared" si="50"/>
        <v>#REF!</v>
      </c>
      <c r="V96" s="12"/>
      <c r="W96" s="44" t="e">
        <f t="shared" si="51"/>
        <v>#REF!</v>
      </c>
      <c r="X96" s="26" t="e">
        <f t="shared" si="52"/>
        <v>#REF!</v>
      </c>
      <c r="Y96" s="12" t="e">
        <f t="shared" si="53"/>
        <v>#REF!</v>
      </c>
    </row>
    <row r="97" spans="1:25" ht="16.5" customHeight="1" x14ac:dyDescent="0.25">
      <c r="A97" s="16" t="s">
        <v>244</v>
      </c>
      <c r="B97" s="32" t="s">
        <v>245</v>
      </c>
      <c r="C97" s="26" t="e">
        <f t="shared" si="36"/>
        <v>#REF!</v>
      </c>
      <c r="D97" s="26" t="e">
        <f t="shared" si="37"/>
        <v>#REF!</v>
      </c>
      <c r="E97" s="12" t="e">
        <f t="shared" si="38"/>
        <v>#REF!</v>
      </c>
      <c r="F97" s="26"/>
      <c r="G97" s="26" t="e">
        <f t="shared" si="39"/>
        <v>#REF!</v>
      </c>
      <c r="H97" s="26" t="e">
        <f t="shared" si="40"/>
        <v>#REF!</v>
      </c>
      <c r="I97" s="12" t="e">
        <f t="shared" si="41"/>
        <v>#REF!</v>
      </c>
      <c r="J97" s="26"/>
      <c r="K97" s="26" t="e">
        <f t="shared" si="42"/>
        <v>#REF!</v>
      </c>
      <c r="L97" s="26" t="e">
        <f t="shared" si="43"/>
        <v>#REF!</v>
      </c>
      <c r="M97" s="12" t="e">
        <f t="shared" si="44"/>
        <v>#REF!</v>
      </c>
      <c r="N97" s="12"/>
      <c r="O97" s="26" t="e">
        <f t="shared" si="45"/>
        <v>#REF!</v>
      </c>
      <c r="P97" s="26" t="e">
        <f t="shared" si="46"/>
        <v>#REF!</v>
      </c>
      <c r="Q97" s="12" t="e">
        <f t="shared" si="47"/>
        <v>#REF!</v>
      </c>
      <c r="R97" s="12"/>
      <c r="S97" s="26" t="e">
        <f t="shared" si="48"/>
        <v>#REF!</v>
      </c>
      <c r="T97" s="26" t="e">
        <f t="shared" si="49"/>
        <v>#REF!</v>
      </c>
      <c r="U97" s="12" t="e">
        <f t="shared" si="50"/>
        <v>#REF!</v>
      </c>
      <c r="V97" s="12"/>
      <c r="W97" s="44" t="e">
        <f t="shared" si="51"/>
        <v>#REF!</v>
      </c>
      <c r="X97" s="26" t="e">
        <f t="shared" si="52"/>
        <v>#REF!</v>
      </c>
      <c r="Y97" s="12" t="e">
        <f t="shared" si="53"/>
        <v>#REF!</v>
      </c>
    </row>
    <row r="98" spans="1:25" ht="16.5" customHeight="1" x14ac:dyDescent="0.25">
      <c r="A98" s="16" t="s">
        <v>246</v>
      </c>
      <c r="B98" s="17" t="s">
        <v>310</v>
      </c>
      <c r="C98" s="26" t="e">
        <f t="shared" si="36"/>
        <v>#REF!</v>
      </c>
      <c r="D98" s="26" t="e">
        <f t="shared" si="37"/>
        <v>#REF!</v>
      </c>
      <c r="E98" s="12" t="e">
        <f t="shared" si="38"/>
        <v>#REF!</v>
      </c>
      <c r="F98" s="26"/>
      <c r="G98" s="26" t="e">
        <f t="shared" si="39"/>
        <v>#REF!</v>
      </c>
      <c r="H98" s="26" t="e">
        <f t="shared" si="40"/>
        <v>#REF!</v>
      </c>
      <c r="I98" s="12" t="e">
        <f t="shared" si="41"/>
        <v>#REF!</v>
      </c>
      <c r="J98" s="26"/>
      <c r="K98" s="26" t="e">
        <f t="shared" si="42"/>
        <v>#REF!</v>
      </c>
      <c r="L98" s="26" t="e">
        <f t="shared" si="43"/>
        <v>#REF!</v>
      </c>
      <c r="M98" s="12" t="e">
        <f t="shared" si="44"/>
        <v>#REF!</v>
      </c>
      <c r="N98" s="12"/>
      <c r="O98" s="26" t="e">
        <f t="shared" si="45"/>
        <v>#REF!</v>
      </c>
      <c r="P98" s="26" t="e">
        <f t="shared" si="46"/>
        <v>#REF!</v>
      </c>
      <c r="Q98" s="12" t="e">
        <f t="shared" si="47"/>
        <v>#REF!</v>
      </c>
      <c r="R98" s="12"/>
      <c r="S98" s="26" t="e">
        <f t="shared" si="48"/>
        <v>#REF!</v>
      </c>
      <c r="T98" s="26" t="e">
        <f t="shared" si="49"/>
        <v>#REF!</v>
      </c>
      <c r="U98" s="12" t="e">
        <f t="shared" si="50"/>
        <v>#REF!</v>
      </c>
      <c r="V98" s="12"/>
      <c r="W98" s="44" t="e">
        <f t="shared" si="51"/>
        <v>#REF!</v>
      </c>
      <c r="X98" s="26" t="e">
        <f t="shared" si="52"/>
        <v>#REF!</v>
      </c>
      <c r="Y98" s="12" t="e">
        <f t="shared" si="53"/>
        <v>#REF!</v>
      </c>
    </row>
    <row r="99" spans="1:25" ht="16.5" customHeight="1" x14ac:dyDescent="0.25">
      <c r="A99" s="16" t="s">
        <v>14</v>
      </c>
      <c r="B99" s="17" t="s">
        <v>15</v>
      </c>
      <c r="C99" s="26" t="e">
        <f t="shared" si="36"/>
        <v>#REF!</v>
      </c>
      <c r="D99" s="26" t="e">
        <f t="shared" si="37"/>
        <v>#REF!</v>
      </c>
      <c r="E99" s="12" t="e">
        <f t="shared" si="38"/>
        <v>#REF!</v>
      </c>
      <c r="F99" s="26"/>
      <c r="G99" s="26" t="e">
        <f t="shared" si="39"/>
        <v>#REF!</v>
      </c>
      <c r="H99" s="26" t="e">
        <f t="shared" si="40"/>
        <v>#REF!</v>
      </c>
      <c r="I99" s="12" t="e">
        <f t="shared" si="41"/>
        <v>#REF!</v>
      </c>
      <c r="J99" s="26"/>
      <c r="K99" s="26" t="e">
        <f t="shared" si="42"/>
        <v>#REF!</v>
      </c>
      <c r="L99" s="26" t="e">
        <f t="shared" si="43"/>
        <v>#REF!</v>
      </c>
      <c r="M99" s="12" t="e">
        <f t="shared" si="44"/>
        <v>#REF!</v>
      </c>
      <c r="N99" s="12"/>
      <c r="O99" s="26" t="e">
        <f t="shared" si="45"/>
        <v>#REF!</v>
      </c>
      <c r="P99" s="26" t="e">
        <f t="shared" si="46"/>
        <v>#REF!</v>
      </c>
      <c r="Q99" s="12" t="e">
        <f t="shared" si="47"/>
        <v>#REF!</v>
      </c>
      <c r="R99" s="12"/>
      <c r="S99" s="26" t="e">
        <f t="shared" si="48"/>
        <v>#REF!</v>
      </c>
      <c r="T99" s="26" t="e">
        <f t="shared" si="49"/>
        <v>#REF!</v>
      </c>
      <c r="U99" s="12" t="e">
        <f t="shared" si="50"/>
        <v>#REF!</v>
      </c>
      <c r="V99" s="12"/>
      <c r="W99" s="44" t="e">
        <f t="shared" si="51"/>
        <v>#REF!</v>
      </c>
      <c r="X99" s="26" t="e">
        <f t="shared" si="52"/>
        <v>#REF!</v>
      </c>
      <c r="Y99" s="12" t="e">
        <f t="shared" si="53"/>
        <v>#REF!</v>
      </c>
    </row>
    <row r="100" spans="1:25" ht="16.5" customHeight="1" x14ac:dyDescent="0.25">
      <c r="A100" s="16" t="s">
        <v>34</v>
      </c>
      <c r="B100" s="32" t="s">
        <v>35</v>
      </c>
      <c r="C100" s="26" t="e">
        <f t="shared" ref="C100:C123" si="54">VLOOKUP(A100,MedicaidR,7,FALSE)</f>
        <v>#REF!</v>
      </c>
      <c r="D100" s="26" t="e">
        <f t="shared" ref="D100:D123" si="55">VLOOKUP(A100,Pop,14,FALSE)</f>
        <v>#REF!</v>
      </c>
      <c r="E100" s="12" t="e">
        <f t="shared" ref="E100:E123" si="56">+C100/D100</f>
        <v>#REF!</v>
      </c>
      <c r="F100" s="26"/>
      <c r="G100" s="26" t="e">
        <f t="shared" ref="G100:G123" si="57">VLOOKUP(A100,MedicaidR,8,FALSE)</f>
        <v>#REF!</v>
      </c>
      <c r="H100" s="26" t="e">
        <f t="shared" ref="H100:H123" si="58">VLOOKUP(A100,Pop,15,FALSE)</f>
        <v>#REF!</v>
      </c>
      <c r="I100" s="12" t="e">
        <f t="shared" ref="I100:I123" si="59">+G100/H100</f>
        <v>#REF!</v>
      </c>
      <c r="J100" s="26"/>
      <c r="K100" s="26" t="e">
        <f t="shared" ref="K100:K123" si="60">VLOOKUP(A100,MedicaidR,9,FALSE)</f>
        <v>#REF!</v>
      </c>
      <c r="L100" s="26" t="e">
        <f t="shared" ref="L100:L123" si="61">VLOOKUP(A100,Pop,16,FALSE)</f>
        <v>#REF!</v>
      </c>
      <c r="M100" s="12" t="e">
        <f t="shared" ref="M100:M123" si="62">+K100/L100</f>
        <v>#REF!</v>
      </c>
      <c r="N100" s="12"/>
      <c r="O100" s="26" t="e">
        <f t="shared" ref="O100:O123" si="63">VLOOKUP(A100,MedicaidR,3,FALSE)</f>
        <v>#REF!</v>
      </c>
      <c r="P100" s="26" t="e">
        <f t="shared" ref="P100:P123" si="64">VLOOKUP(A100,Pop,8,FALSE)</f>
        <v>#REF!</v>
      </c>
      <c r="Q100" s="12" t="e">
        <f t="shared" ref="Q100:Q123" si="65">+O100/P100</f>
        <v>#REF!</v>
      </c>
      <c r="R100" s="12"/>
      <c r="S100" s="26" t="e">
        <f t="shared" ref="S100:S123" si="66">VLOOKUP(A100,MedicaidR,4,FALSE)</f>
        <v>#REF!</v>
      </c>
      <c r="T100" s="26" t="e">
        <f t="shared" ref="T100:T123" si="67">VLOOKUP(A100,Pop,9,FALSE)</f>
        <v>#REF!</v>
      </c>
      <c r="U100" s="12" t="e">
        <f t="shared" ref="U100:U123" si="68">+S100/T100</f>
        <v>#REF!</v>
      </c>
      <c r="V100" s="12"/>
      <c r="W100" s="44" t="e">
        <f t="shared" ref="W100:W123" si="69">VLOOKUP(A100,MedicaidR,5,FALSE)</f>
        <v>#REF!</v>
      </c>
      <c r="X100" s="26" t="e">
        <f t="shared" ref="X100:X123" si="70">VLOOKUP(A100,Pop,10,FALSE)</f>
        <v>#REF!</v>
      </c>
      <c r="Y100" s="12" t="e">
        <f t="shared" ref="Y100:Y123" si="71">+W100/X100</f>
        <v>#REF!</v>
      </c>
    </row>
    <row r="101" spans="1:25" ht="16.5" customHeight="1" x14ac:dyDescent="0.25">
      <c r="A101" s="16" t="s">
        <v>52</v>
      </c>
      <c r="B101" s="32" t="s">
        <v>53</v>
      </c>
      <c r="C101" s="26" t="e">
        <f t="shared" si="54"/>
        <v>#REF!</v>
      </c>
      <c r="D101" s="26" t="e">
        <f t="shared" si="55"/>
        <v>#REF!</v>
      </c>
      <c r="E101" s="12" t="e">
        <f t="shared" si="56"/>
        <v>#REF!</v>
      </c>
      <c r="F101" s="26"/>
      <c r="G101" s="26" t="e">
        <f t="shared" si="57"/>
        <v>#REF!</v>
      </c>
      <c r="H101" s="26" t="e">
        <f t="shared" si="58"/>
        <v>#REF!</v>
      </c>
      <c r="I101" s="12" t="e">
        <f t="shared" si="59"/>
        <v>#REF!</v>
      </c>
      <c r="J101" s="26"/>
      <c r="K101" s="26" t="e">
        <f t="shared" si="60"/>
        <v>#REF!</v>
      </c>
      <c r="L101" s="26" t="e">
        <f t="shared" si="61"/>
        <v>#REF!</v>
      </c>
      <c r="M101" s="12" t="e">
        <f t="shared" si="62"/>
        <v>#REF!</v>
      </c>
      <c r="N101" s="12"/>
      <c r="O101" s="26" t="e">
        <f t="shared" si="63"/>
        <v>#REF!</v>
      </c>
      <c r="P101" s="26" t="e">
        <f t="shared" si="64"/>
        <v>#REF!</v>
      </c>
      <c r="Q101" s="12" t="e">
        <f t="shared" si="65"/>
        <v>#REF!</v>
      </c>
      <c r="R101" s="12"/>
      <c r="S101" s="26" t="e">
        <f t="shared" si="66"/>
        <v>#REF!</v>
      </c>
      <c r="T101" s="26" t="e">
        <f t="shared" si="67"/>
        <v>#REF!</v>
      </c>
      <c r="U101" s="12" t="e">
        <f t="shared" si="68"/>
        <v>#REF!</v>
      </c>
      <c r="V101" s="12"/>
      <c r="W101" s="44" t="e">
        <f t="shared" si="69"/>
        <v>#REF!</v>
      </c>
      <c r="X101" s="26" t="e">
        <f t="shared" si="70"/>
        <v>#REF!</v>
      </c>
      <c r="Y101" s="12" t="e">
        <f t="shared" si="71"/>
        <v>#REF!</v>
      </c>
    </row>
    <row r="102" spans="1:25" ht="16.5" customHeight="1" x14ac:dyDescent="0.25">
      <c r="A102" s="16" t="s">
        <v>54</v>
      </c>
      <c r="B102" s="17" t="s">
        <v>55</v>
      </c>
      <c r="C102" s="26" t="e">
        <f t="shared" si="54"/>
        <v>#REF!</v>
      </c>
      <c r="D102" s="26" t="e">
        <f t="shared" si="55"/>
        <v>#REF!</v>
      </c>
      <c r="E102" s="12" t="e">
        <f t="shared" si="56"/>
        <v>#REF!</v>
      </c>
      <c r="F102" s="26"/>
      <c r="G102" s="26" t="e">
        <f t="shared" si="57"/>
        <v>#REF!</v>
      </c>
      <c r="H102" s="26" t="e">
        <f t="shared" si="58"/>
        <v>#REF!</v>
      </c>
      <c r="I102" s="12" t="e">
        <f t="shared" si="59"/>
        <v>#REF!</v>
      </c>
      <c r="J102" s="26"/>
      <c r="K102" s="26" t="e">
        <f t="shared" si="60"/>
        <v>#REF!</v>
      </c>
      <c r="L102" s="26" t="e">
        <f t="shared" si="61"/>
        <v>#REF!</v>
      </c>
      <c r="M102" s="12" t="e">
        <f t="shared" si="62"/>
        <v>#REF!</v>
      </c>
      <c r="N102" s="12"/>
      <c r="O102" s="26" t="e">
        <f t="shared" si="63"/>
        <v>#REF!</v>
      </c>
      <c r="P102" s="26" t="e">
        <f t="shared" si="64"/>
        <v>#REF!</v>
      </c>
      <c r="Q102" s="12" t="e">
        <f t="shared" si="65"/>
        <v>#REF!</v>
      </c>
      <c r="R102" s="12"/>
      <c r="S102" s="26" t="e">
        <f t="shared" si="66"/>
        <v>#REF!</v>
      </c>
      <c r="T102" s="26" t="e">
        <f t="shared" si="67"/>
        <v>#REF!</v>
      </c>
      <c r="U102" s="12" t="e">
        <f t="shared" si="68"/>
        <v>#REF!</v>
      </c>
      <c r="V102" s="12"/>
      <c r="W102" s="44" t="e">
        <f t="shared" si="69"/>
        <v>#REF!</v>
      </c>
      <c r="X102" s="26" t="e">
        <f t="shared" si="70"/>
        <v>#REF!</v>
      </c>
      <c r="Y102" s="12" t="e">
        <f t="shared" si="71"/>
        <v>#REF!</v>
      </c>
    </row>
    <row r="103" spans="1:25" ht="16.5" customHeight="1" x14ac:dyDescent="0.25">
      <c r="A103" s="16" t="s">
        <v>66</v>
      </c>
      <c r="B103" s="32" t="s">
        <v>67</v>
      </c>
      <c r="C103" s="26" t="e">
        <f t="shared" si="54"/>
        <v>#REF!</v>
      </c>
      <c r="D103" s="26" t="e">
        <f t="shared" si="55"/>
        <v>#REF!</v>
      </c>
      <c r="E103" s="12" t="e">
        <f t="shared" si="56"/>
        <v>#REF!</v>
      </c>
      <c r="F103" s="26"/>
      <c r="G103" s="26" t="e">
        <f t="shared" si="57"/>
        <v>#REF!</v>
      </c>
      <c r="H103" s="26" t="e">
        <f t="shared" si="58"/>
        <v>#REF!</v>
      </c>
      <c r="I103" s="12" t="e">
        <f t="shared" si="59"/>
        <v>#REF!</v>
      </c>
      <c r="J103" s="26"/>
      <c r="K103" s="26" t="e">
        <f t="shared" si="60"/>
        <v>#REF!</v>
      </c>
      <c r="L103" s="26" t="e">
        <f t="shared" si="61"/>
        <v>#REF!</v>
      </c>
      <c r="M103" s="12" t="e">
        <f t="shared" si="62"/>
        <v>#REF!</v>
      </c>
      <c r="N103" s="12"/>
      <c r="O103" s="26" t="e">
        <f t="shared" si="63"/>
        <v>#REF!</v>
      </c>
      <c r="P103" s="26" t="e">
        <f t="shared" si="64"/>
        <v>#REF!</v>
      </c>
      <c r="Q103" s="12" t="e">
        <f t="shared" si="65"/>
        <v>#REF!</v>
      </c>
      <c r="R103" s="12"/>
      <c r="S103" s="26" t="e">
        <f t="shared" si="66"/>
        <v>#REF!</v>
      </c>
      <c r="T103" s="26" t="e">
        <f t="shared" si="67"/>
        <v>#REF!</v>
      </c>
      <c r="U103" s="12" t="e">
        <f t="shared" si="68"/>
        <v>#REF!</v>
      </c>
      <c r="V103" s="12"/>
      <c r="W103" s="44" t="e">
        <f t="shared" si="69"/>
        <v>#REF!</v>
      </c>
      <c r="X103" s="26" t="e">
        <f t="shared" si="70"/>
        <v>#REF!</v>
      </c>
      <c r="Y103" s="12" t="e">
        <f t="shared" si="71"/>
        <v>#REF!</v>
      </c>
    </row>
    <row r="104" spans="1:25" ht="16.5" customHeight="1" x14ac:dyDescent="0.25">
      <c r="A104" s="16" t="s">
        <v>82</v>
      </c>
      <c r="B104" s="32" t="s">
        <v>311</v>
      </c>
      <c r="C104" s="26" t="e">
        <f t="shared" si="54"/>
        <v>#REF!</v>
      </c>
      <c r="D104" s="26" t="e">
        <f t="shared" si="55"/>
        <v>#REF!</v>
      </c>
      <c r="E104" s="12" t="e">
        <f t="shared" si="56"/>
        <v>#REF!</v>
      </c>
      <c r="F104" s="26"/>
      <c r="G104" s="26" t="e">
        <f t="shared" si="57"/>
        <v>#REF!</v>
      </c>
      <c r="H104" s="26" t="e">
        <f t="shared" si="58"/>
        <v>#REF!</v>
      </c>
      <c r="I104" s="12" t="e">
        <f t="shared" si="59"/>
        <v>#REF!</v>
      </c>
      <c r="J104" s="26"/>
      <c r="K104" s="26" t="e">
        <f t="shared" si="60"/>
        <v>#REF!</v>
      </c>
      <c r="L104" s="26" t="e">
        <f t="shared" si="61"/>
        <v>#REF!</v>
      </c>
      <c r="M104" s="12" t="e">
        <f t="shared" si="62"/>
        <v>#REF!</v>
      </c>
      <c r="N104" s="12"/>
      <c r="O104" s="26" t="e">
        <f t="shared" si="63"/>
        <v>#REF!</v>
      </c>
      <c r="P104" s="26" t="e">
        <f t="shared" si="64"/>
        <v>#REF!</v>
      </c>
      <c r="Q104" s="12" t="e">
        <f t="shared" si="65"/>
        <v>#REF!</v>
      </c>
      <c r="R104" s="12"/>
      <c r="S104" s="26" t="e">
        <f t="shared" si="66"/>
        <v>#REF!</v>
      </c>
      <c r="T104" s="26" t="e">
        <f t="shared" si="67"/>
        <v>#REF!</v>
      </c>
      <c r="U104" s="12" t="e">
        <f t="shared" si="68"/>
        <v>#REF!</v>
      </c>
      <c r="V104" s="12"/>
      <c r="W104" s="44" t="e">
        <f t="shared" si="69"/>
        <v>#REF!</v>
      </c>
      <c r="X104" s="26" t="e">
        <f t="shared" si="70"/>
        <v>#REF!</v>
      </c>
      <c r="Y104" s="12" t="e">
        <f t="shared" si="71"/>
        <v>#REF!</v>
      </c>
    </row>
    <row r="105" spans="1:25" ht="16.5" customHeight="1" x14ac:dyDescent="0.25">
      <c r="A105" s="16" t="s">
        <v>88</v>
      </c>
      <c r="B105" s="32" t="s">
        <v>89</v>
      </c>
      <c r="C105" s="26" t="e">
        <f t="shared" si="54"/>
        <v>#REF!</v>
      </c>
      <c r="D105" s="26" t="e">
        <f t="shared" si="55"/>
        <v>#REF!</v>
      </c>
      <c r="E105" s="12" t="e">
        <f t="shared" si="56"/>
        <v>#REF!</v>
      </c>
      <c r="F105" s="26"/>
      <c r="G105" s="26" t="e">
        <f t="shared" si="57"/>
        <v>#REF!</v>
      </c>
      <c r="H105" s="26" t="e">
        <f t="shared" si="58"/>
        <v>#REF!</v>
      </c>
      <c r="I105" s="12" t="e">
        <f t="shared" si="59"/>
        <v>#REF!</v>
      </c>
      <c r="J105" s="26"/>
      <c r="K105" s="26" t="e">
        <f t="shared" si="60"/>
        <v>#REF!</v>
      </c>
      <c r="L105" s="26" t="e">
        <f t="shared" si="61"/>
        <v>#REF!</v>
      </c>
      <c r="M105" s="12" t="e">
        <f t="shared" si="62"/>
        <v>#REF!</v>
      </c>
      <c r="N105" s="12"/>
      <c r="O105" s="26" t="e">
        <f t="shared" si="63"/>
        <v>#REF!</v>
      </c>
      <c r="P105" s="26" t="e">
        <f t="shared" si="64"/>
        <v>#REF!</v>
      </c>
      <c r="Q105" s="12" t="e">
        <f t="shared" si="65"/>
        <v>#REF!</v>
      </c>
      <c r="R105" s="12"/>
      <c r="S105" s="26" t="e">
        <f t="shared" si="66"/>
        <v>#REF!</v>
      </c>
      <c r="T105" s="26" t="e">
        <f t="shared" si="67"/>
        <v>#REF!</v>
      </c>
      <c r="U105" s="12" t="e">
        <f t="shared" si="68"/>
        <v>#REF!</v>
      </c>
      <c r="V105" s="12"/>
      <c r="W105" s="44" t="e">
        <f t="shared" si="69"/>
        <v>#REF!</v>
      </c>
      <c r="X105" s="26" t="e">
        <f t="shared" si="70"/>
        <v>#REF!</v>
      </c>
      <c r="Y105" s="12" t="e">
        <f t="shared" si="71"/>
        <v>#REF!</v>
      </c>
    </row>
    <row r="106" spans="1:25" ht="16.5" customHeight="1" x14ac:dyDescent="0.25">
      <c r="A106" s="16" t="s">
        <v>90</v>
      </c>
      <c r="B106" s="32" t="s">
        <v>91</v>
      </c>
      <c r="C106" s="26" t="e">
        <f t="shared" si="54"/>
        <v>#REF!</v>
      </c>
      <c r="D106" s="26" t="e">
        <f t="shared" si="55"/>
        <v>#REF!</v>
      </c>
      <c r="E106" s="12" t="e">
        <f t="shared" si="56"/>
        <v>#REF!</v>
      </c>
      <c r="F106" s="26"/>
      <c r="G106" s="26" t="e">
        <f t="shared" si="57"/>
        <v>#REF!</v>
      </c>
      <c r="H106" s="26" t="e">
        <f t="shared" si="58"/>
        <v>#REF!</v>
      </c>
      <c r="I106" s="12" t="e">
        <f t="shared" si="59"/>
        <v>#REF!</v>
      </c>
      <c r="J106" s="26"/>
      <c r="K106" s="26" t="e">
        <f t="shared" si="60"/>
        <v>#REF!</v>
      </c>
      <c r="L106" s="26" t="e">
        <f t="shared" si="61"/>
        <v>#REF!</v>
      </c>
      <c r="M106" s="12" t="e">
        <f t="shared" si="62"/>
        <v>#REF!</v>
      </c>
      <c r="N106" s="12"/>
      <c r="O106" s="26" t="e">
        <f t="shared" si="63"/>
        <v>#REF!</v>
      </c>
      <c r="P106" s="26" t="e">
        <f t="shared" si="64"/>
        <v>#REF!</v>
      </c>
      <c r="Q106" s="12" t="e">
        <f t="shared" si="65"/>
        <v>#REF!</v>
      </c>
      <c r="R106" s="12"/>
      <c r="S106" s="26" t="e">
        <f t="shared" si="66"/>
        <v>#REF!</v>
      </c>
      <c r="T106" s="26" t="e">
        <f t="shared" si="67"/>
        <v>#REF!</v>
      </c>
      <c r="U106" s="12" t="e">
        <f t="shared" si="68"/>
        <v>#REF!</v>
      </c>
      <c r="V106" s="12"/>
      <c r="W106" s="44" t="e">
        <f t="shared" si="69"/>
        <v>#REF!</v>
      </c>
      <c r="X106" s="26" t="e">
        <f t="shared" si="70"/>
        <v>#REF!</v>
      </c>
      <c r="Y106" s="12" t="e">
        <f t="shared" si="71"/>
        <v>#REF!</v>
      </c>
    </row>
    <row r="107" spans="1:25" ht="16.5" customHeight="1" x14ac:dyDescent="0.25">
      <c r="A107" s="16" t="s">
        <v>106</v>
      </c>
      <c r="B107" s="17" t="s">
        <v>107</v>
      </c>
      <c r="C107" s="26" t="e">
        <f t="shared" si="54"/>
        <v>#REF!</v>
      </c>
      <c r="D107" s="26" t="e">
        <f t="shared" si="55"/>
        <v>#REF!</v>
      </c>
      <c r="E107" s="12" t="e">
        <f t="shared" si="56"/>
        <v>#REF!</v>
      </c>
      <c r="F107" s="26"/>
      <c r="G107" s="26" t="e">
        <f t="shared" si="57"/>
        <v>#REF!</v>
      </c>
      <c r="H107" s="26" t="e">
        <f t="shared" si="58"/>
        <v>#REF!</v>
      </c>
      <c r="I107" s="12" t="e">
        <f t="shared" si="59"/>
        <v>#REF!</v>
      </c>
      <c r="J107" s="26"/>
      <c r="K107" s="26" t="e">
        <f t="shared" si="60"/>
        <v>#REF!</v>
      </c>
      <c r="L107" s="26" t="e">
        <f t="shared" si="61"/>
        <v>#REF!</v>
      </c>
      <c r="M107" s="12" t="e">
        <f t="shared" si="62"/>
        <v>#REF!</v>
      </c>
      <c r="N107" s="12"/>
      <c r="O107" s="26" t="e">
        <f t="shared" si="63"/>
        <v>#REF!</v>
      </c>
      <c r="P107" s="26" t="e">
        <f t="shared" si="64"/>
        <v>#REF!</v>
      </c>
      <c r="Q107" s="12" t="e">
        <f t="shared" si="65"/>
        <v>#REF!</v>
      </c>
      <c r="R107" s="12"/>
      <c r="S107" s="26" t="e">
        <f t="shared" si="66"/>
        <v>#REF!</v>
      </c>
      <c r="T107" s="26" t="e">
        <f t="shared" si="67"/>
        <v>#REF!</v>
      </c>
      <c r="U107" s="12" t="e">
        <f t="shared" si="68"/>
        <v>#REF!</v>
      </c>
      <c r="V107" s="12"/>
      <c r="W107" s="44" t="e">
        <f t="shared" si="69"/>
        <v>#REF!</v>
      </c>
      <c r="X107" s="26" t="e">
        <f t="shared" si="70"/>
        <v>#REF!</v>
      </c>
      <c r="Y107" s="12" t="e">
        <f t="shared" si="71"/>
        <v>#REF!</v>
      </c>
    </row>
    <row r="108" spans="1:25" ht="16.5" customHeight="1" x14ac:dyDescent="0.25">
      <c r="A108" s="16" t="s">
        <v>116</v>
      </c>
      <c r="B108" s="32" t="s">
        <v>117</v>
      </c>
      <c r="C108" s="26" t="e">
        <f t="shared" si="54"/>
        <v>#REF!</v>
      </c>
      <c r="D108" s="26" t="e">
        <f t="shared" si="55"/>
        <v>#REF!</v>
      </c>
      <c r="E108" s="12" t="e">
        <f t="shared" si="56"/>
        <v>#REF!</v>
      </c>
      <c r="F108" s="26"/>
      <c r="G108" s="26" t="e">
        <f t="shared" si="57"/>
        <v>#REF!</v>
      </c>
      <c r="H108" s="26" t="e">
        <f t="shared" si="58"/>
        <v>#REF!</v>
      </c>
      <c r="I108" s="12" t="e">
        <f t="shared" si="59"/>
        <v>#REF!</v>
      </c>
      <c r="J108" s="26"/>
      <c r="K108" s="26" t="e">
        <f t="shared" si="60"/>
        <v>#REF!</v>
      </c>
      <c r="L108" s="26" t="e">
        <f t="shared" si="61"/>
        <v>#REF!</v>
      </c>
      <c r="M108" s="12" t="e">
        <f t="shared" si="62"/>
        <v>#REF!</v>
      </c>
      <c r="N108" s="12"/>
      <c r="O108" s="26" t="e">
        <f t="shared" si="63"/>
        <v>#REF!</v>
      </c>
      <c r="P108" s="26" t="e">
        <f t="shared" si="64"/>
        <v>#REF!</v>
      </c>
      <c r="Q108" s="12" t="e">
        <f t="shared" si="65"/>
        <v>#REF!</v>
      </c>
      <c r="R108" s="12"/>
      <c r="S108" s="26" t="e">
        <f t="shared" si="66"/>
        <v>#REF!</v>
      </c>
      <c r="T108" s="26" t="e">
        <f t="shared" si="67"/>
        <v>#REF!</v>
      </c>
      <c r="U108" s="12" t="e">
        <f t="shared" si="68"/>
        <v>#REF!</v>
      </c>
      <c r="V108" s="12"/>
      <c r="W108" s="44" t="e">
        <f t="shared" si="69"/>
        <v>#REF!</v>
      </c>
      <c r="X108" s="26" t="e">
        <f t="shared" si="70"/>
        <v>#REF!</v>
      </c>
      <c r="Y108" s="12" t="e">
        <f t="shared" si="71"/>
        <v>#REF!</v>
      </c>
    </row>
    <row r="109" spans="1:25" ht="16.5" customHeight="1" x14ac:dyDescent="0.25">
      <c r="A109" s="16" t="s">
        <v>138</v>
      </c>
      <c r="B109" s="32" t="s">
        <v>139</v>
      </c>
      <c r="C109" s="26" t="e">
        <f t="shared" si="54"/>
        <v>#REF!</v>
      </c>
      <c r="D109" s="26" t="e">
        <f t="shared" si="55"/>
        <v>#REF!</v>
      </c>
      <c r="E109" s="12" t="e">
        <f t="shared" si="56"/>
        <v>#REF!</v>
      </c>
      <c r="F109" s="26"/>
      <c r="G109" s="26" t="e">
        <f t="shared" si="57"/>
        <v>#REF!</v>
      </c>
      <c r="H109" s="26" t="e">
        <f t="shared" si="58"/>
        <v>#REF!</v>
      </c>
      <c r="I109" s="12" t="e">
        <f t="shared" si="59"/>
        <v>#REF!</v>
      </c>
      <c r="J109" s="26"/>
      <c r="K109" s="26" t="e">
        <f t="shared" si="60"/>
        <v>#REF!</v>
      </c>
      <c r="L109" s="26" t="e">
        <f t="shared" si="61"/>
        <v>#REF!</v>
      </c>
      <c r="M109" s="12" t="e">
        <f t="shared" si="62"/>
        <v>#REF!</v>
      </c>
      <c r="N109" s="12"/>
      <c r="O109" s="26" t="e">
        <f t="shared" si="63"/>
        <v>#REF!</v>
      </c>
      <c r="P109" s="26" t="e">
        <f t="shared" si="64"/>
        <v>#REF!</v>
      </c>
      <c r="Q109" s="12" t="e">
        <f t="shared" si="65"/>
        <v>#REF!</v>
      </c>
      <c r="R109" s="12"/>
      <c r="S109" s="26" t="e">
        <f t="shared" si="66"/>
        <v>#REF!</v>
      </c>
      <c r="T109" s="26" t="e">
        <f t="shared" si="67"/>
        <v>#REF!</v>
      </c>
      <c r="U109" s="12" t="e">
        <f t="shared" si="68"/>
        <v>#REF!</v>
      </c>
      <c r="V109" s="12"/>
      <c r="W109" s="44" t="e">
        <f t="shared" si="69"/>
        <v>#REF!</v>
      </c>
      <c r="X109" s="26" t="e">
        <f t="shared" si="70"/>
        <v>#REF!</v>
      </c>
      <c r="Y109" s="12" t="e">
        <f t="shared" si="71"/>
        <v>#REF!</v>
      </c>
    </row>
    <row r="110" spans="1:25" ht="16.5" customHeight="1" x14ac:dyDescent="0.25">
      <c r="A110" s="16" t="s">
        <v>142</v>
      </c>
      <c r="B110" s="17" t="s">
        <v>143</v>
      </c>
      <c r="C110" s="26" t="e">
        <f t="shared" si="54"/>
        <v>#REF!</v>
      </c>
      <c r="D110" s="26" t="e">
        <f t="shared" si="55"/>
        <v>#REF!</v>
      </c>
      <c r="E110" s="12" t="e">
        <f t="shared" si="56"/>
        <v>#REF!</v>
      </c>
      <c r="F110" s="26"/>
      <c r="G110" s="26" t="e">
        <f t="shared" si="57"/>
        <v>#REF!</v>
      </c>
      <c r="H110" s="26" t="e">
        <f t="shared" si="58"/>
        <v>#REF!</v>
      </c>
      <c r="I110" s="12" t="e">
        <f t="shared" si="59"/>
        <v>#REF!</v>
      </c>
      <c r="J110" s="26"/>
      <c r="K110" s="26" t="e">
        <f t="shared" si="60"/>
        <v>#REF!</v>
      </c>
      <c r="L110" s="26" t="e">
        <f t="shared" si="61"/>
        <v>#REF!</v>
      </c>
      <c r="M110" s="12" t="e">
        <f t="shared" si="62"/>
        <v>#REF!</v>
      </c>
      <c r="N110" s="12"/>
      <c r="O110" s="26" t="e">
        <f t="shared" si="63"/>
        <v>#REF!</v>
      </c>
      <c r="P110" s="26" t="e">
        <f t="shared" si="64"/>
        <v>#REF!</v>
      </c>
      <c r="Q110" s="12" t="e">
        <f t="shared" si="65"/>
        <v>#REF!</v>
      </c>
      <c r="R110" s="12"/>
      <c r="S110" s="26" t="e">
        <f t="shared" si="66"/>
        <v>#REF!</v>
      </c>
      <c r="T110" s="26" t="e">
        <f t="shared" si="67"/>
        <v>#REF!</v>
      </c>
      <c r="U110" s="12" t="e">
        <f t="shared" si="68"/>
        <v>#REF!</v>
      </c>
      <c r="V110" s="12"/>
      <c r="W110" s="44" t="e">
        <f t="shared" si="69"/>
        <v>#REF!</v>
      </c>
      <c r="X110" s="26" t="e">
        <f t="shared" si="70"/>
        <v>#REF!</v>
      </c>
      <c r="Y110" s="12" t="e">
        <f t="shared" si="71"/>
        <v>#REF!</v>
      </c>
    </row>
    <row r="111" spans="1:25" ht="16.5" customHeight="1" x14ac:dyDescent="0.25">
      <c r="A111" s="16" t="s">
        <v>144</v>
      </c>
      <c r="B111" s="17" t="s">
        <v>145</v>
      </c>
      <c r="C111" s="26" t="e">
        <f t="shared" si="54"/>
        <v>#REF!</v>
      </c>
      <c r="D111" s="26" t="e">
        <f t="shared" si="55"/>
        <v>#REF!</v>
      </c>
      <c r="E111" s="12" t="e">
        <f t="shared" si="56"/>
        <v>#REF!</v>
      </c>
      <c r="F111" s="26"/>
      <c r="G111" s="26" t="e">
        <f t="shared" si="57"/>
        <v>#REF!</v>
      </c>
      <c r="H111" s="26" t="e">
        <f t="shared" si="58"/>
        <v>#REF!</v>
      </c>
      <c r="I111" s="12" t="e">
        <f t="shared" si="59"/>
        <v>#REF!</v>
      </c>
      <c r="J111" s="26"/>
      <c r="K111" s="26" t="e">
        <f t="shared" si="60"/>
        <v>#REF!</v>
      </c>
      <c r="L111" s="26" t="e">
        <f t="shared" si="61"/>
        <v>#REF!</v>
      </c>
      <c r="M111" s="12" t="e">
        <f t="shared" si="62"/>
        <v>#REF!</v>
      </c>
      <c r="N111" s="12"/>
      <c r="O111" s="26" t="e">
        <f t="shared" si="63"/>
        <v>#REF!</v>
      </c>
      <c r="P111" s="26" t="e">
        <f t="shared" si="64"/>
        <v>#REF!</v>
      </c>
      <c r="Q111" s="12" t="e">
        <f t="shared" si="65"/>
        <v>#REF!</v>
      </c>
      <c r="R111" s="12"/>
      <c r="S111" s="26" t="e">
        <f t="shared" si="66"/>
        <v>#REF!</v>
      </c>
      <c r="T111" s="26" t="e">
        <f t="shared" si="67"/>
        <v>#REF!</v>
      </c>
      <c r="U111" s="12" t="e">
        <f t="shared" si="68"/>
        <v>#REF!</v>
      </c>
      <c r="V111" s="12"/>
      <c r="W111" s="44" t="e">
        <f t="shared" si="69"/>
        <v>#REF!</v>
      </c>
      <c r="X111" s="26" t="e">
        <f t="shared" si="70"/>
        <v>#REF!</v>
      </c>
      <c r="Y111" s="12" t="e">
        <f t="shared" si="71"/>
        <v>#REF!</v>
      </c>
    </row>
    <row r="112" spans="1:25" ht="16.5" customHeight="1" x14ac:dyDescent="0.25">
      <c r="A112" s="16" t="s">
        <v>158</v>
      </c>
      <c r="B112" s="17" t="s">
        <v>159</v>
      </c>
      <c r="C112" s="26" t="e">
        <f t="shared" si="54"/>
        <v>#REF!</v>
      </c>
      <c r="D112" s="26" t="e">
        <f t="shared" si="55"/>
        <v>#REF!</v>
      </c>
      <c r="E112" s="12" t="e">
        <f t="shared" si="56"/>
        <v>#REF!</v>
      </c>
      <c r="F112" s="26"/>
      <c r="G112" s="26" t="e">
        <f t="shared" si="57"/>
        <v>#REF!</v>
      </c>
      <c r="H112" s="26" t="e">
        <f t="shared" si="58"/>
        <v>#REF!</v>
      </c>
      <c r="I112" s="12" t="e">
        <f t="shared" si="59"/>
        <v>#REF!</v>
      </c>
      <c r="J112" s="26"/>
      <c r="K112" s="26" t="e">
        <f t="shared" si="60"/>
        <v>#REF!</v>
      </c>
      <c r="L112" s="26" t="e">
        <f t="shared" si="61"/>
        <v>#REF!</v>
      </c>
      <c r="M112" s="12" t="e">
        <f t="shared" si="62"/>
        <v>#REF!</v>
      </c>
      <c r="N112" s="12"/>
      <c r="O112" s="26" t="e">
        <f t="shared" si="63"/>
        <v>#REF!</v>
      </c>
      <c r="P112" s="26" t="e">
        <f t="shared" si="64"/>
        <v>#REF!</v>
      </c>
      <c r="Q112" s="12" t="e">
        <f t="shared" si="65"/>
        <v>#REF!</v>
      </c>
      <c r="R112" s="12"/>
      <c r="S112" s="26" t="e">
        <f t="shared" si="66"/>
        <v>#REF!</v>
      </c>
      <c r="T112" s="26" t="e">
        <f t="shared" si="67"/>
        <v>#REF!</v>
      </c>
      <c r="U112" s="12" t="e">
        <f t="shared" si="68"/>
        <v>#REF!</v>
      </c>
      <c r="V112" s="12"/>
      <c r="W112" s="44" t="e">
        <f t="shared" si="69"/>
        <v>#REF!</v>
      </c>
      <c r="X112" s="26" t="e">
        <f t="shared" si="70"/>
        <v>#REF!</v>
      </c>
      <c r="Y112" s="12" t="e">
        <f t="shared" si="71"/>
        <v>#REF!</v>
      </c>
    </row>
    <row r="113" spans="1:25" ht="16.5" customHeight="1" x14ac:dyDescent="0.25">
      <c r="A113" s="16" t="s">
        <v>160</v>
      </c>
      <c r="B113" s="17" t="s">
        <v>161</v>
      </c>
      <c r="C113" s="26" t="e">
        <f t="shared" si="54"/>
        <v>#REF!</v>
      </c>
      <c r="D113" s="26" t="e">
        <f t="shared" si="55"/>
        <v>#REF!</v>
      </c>
      <c r="E113" s="12" t="e">
        <f t="shared" si="56"/>
        <v>#REF!</v>
      </c>
      <c r="F113" s="26"/>
      <c r="G113" s="26" t="e">
        <f t="shared" si="57"/>
        <v>#REF!</v>
      </c>
      <c r="H113" s="26" t="e">
        <f t="shared" si="58"/>
        <v>#REF!</v>
      </c>
      <c r="I113" s="12" t="e">
        <f t="shared" si="59"/>
        <v>#REF!</v>
      </c>
      <c r="J113" s="26"/>
      <c r="K113" s="26" t="e">
        <f t="shared" si="60"/>
        <v>#REF!</v>
      </c>
      <c r="L113" s="26" t="e">
        <f t="shared" si="61"/>
        <v>#REF!</v>
      </c>
      <c r="M113" s="12" t="e">
        <f t="shared" si="62"/>
        <v>#REF!</v>
      </c>
      <c r="N113" s="12"/>
      <c r="O113" s="26" t="e">
        <f t="shared" si="63"/>
        <v>#REF!</v>
      </c>
      <c r="P113" s="26" t="e">
        <f t="shared" si="64"/>
        <v>#REF!</v>
      </c>
      <c r="Q113" s="12" t="e">
        <f t="shared" si="65"/>
        <v>#REF!</v>
      </c>
      <c r="R113" s="12"/>
      <c r="S113" s="26" t="e">
        <f t="shared" si="66"/>
        <v>#REF!</v>
      </c>
      <c r="T113" s="26" t="e">
        <f t="shared" si="67"/>
        <v>#REF!</v>
      </c>
      <c r="U113" s="12" t="e">
        <f t="shared" si="68"/>
        <v>#REF!</v>
      </c>
      <c r="V113" s="12"/>
      <c r="W113" s="44" t="e">
        <f t="shared" si="69"/>
        <v>#REF!</v>
      </c>
      <c r="X113" s="26" t="e">
        <f t="shared" si="70"/>
        <v>#REF!</v>
      </c>
      <c r="Y113" s="12" t="e">
        <f t="shared" si="71"/>
        <v>#REF!</v>
      </c>
    </row>
    <row r="114" spans="1:25" ht="16.5" customHeight="1" x14ac:dyDescent="0.25">
      <c r="A114" s="16" t="s">
        <v>166</v>
      </c>
      <c r="B114" s="32" t="s">
        <v>167</v>
      </c>
      <c r="C114" s="26" t="e">
        <f t="shared" si="54"/>
        <v>#REF!</v>
      </c>
      <c r="D114" s="26" t="e">
        <f t="shared" si="55"/>
        <v>#REF!</v>
      </c>
      <c r="E114" s="12" t="e">
        <f t="shared" si="56"/>
        <v>#REF!</v>
      </c>
      <c r="F114" s="26"/>
      <c r="G114" s="26" t="e">
        <f t="shared" si="57"/>
        <v>#REF!</v>
      </c>
      <c r="H114" s="26" t="e">
        <f t="shared" si="58"/>
        <v>#REF!</v>
      </c>
      <c r="I114" s="12" t="e">
        <f t="shared" si="59"/>
        <v>#REF!</v>
      </c>
      <c r="J114" s="26"/>
      <c r="K114" s="26" t="e">
        <f t="shared" si="60"/>
        <v>#REF!</v>
      </c>
      <c r="L114" s="26" t="e">
        <f t="shared" si="61"/>
        <v>#REF!</v>
      </c>
      <c r="M114" s="12" t="e">
        <f t="shared" si="62"/>
        <v>#REF!</v>
      </c>
      <c r="N114" s="12"/>
      <c r="O114" s="26" t="e">
        <f t="shared" si="63"/>
        <v>#REF!</v>
      </c>
      <c r="P114" s="26" t="e">
        <f t="shared" si="64"/>
        <v>#REF!</v>
      </c>
      <c r="Q114" s="12" t="e">
        <f t="shared" si="65"/>
        <v>#REF!</v>
      </c>
      <c r="R114" s="12"/>
      <c r="S114" s="26" t="e">
        <f t="shared" si="66"/>
        <v>#REF!</v>
      </c>
      <c r="T114" s="26" t="e">
        <f t="shared" si="67"/>
        <v>#REF!</v>
      </c>
      <c r="U114" s="12" t="e">
        <f t="shared" si="68"/>
        <v>#REF!</v>
      </c>
      <c r="V114" s="12"/>
      <c r="W114" s="44" t="e">
        <f t="shared" si="69"/>
        <v>#REF!</v>
      </c>
      <c r="X114" s="26" t="e">
        <f t="shared" si="70"/>
        <v>#REF!</v>
      </c>
      <c r="Y114" s="12" t="e">
        <f t="shared" si="71"/>
        <v>#REF!</v>
      </c>
    </row>
    <row r="115" spans="1:25" ht="16.5" customHeight="1" x14ac:dyDescent="0.25">
      <c r="A115" s="16" t="s">
        <v>176</v>
      </c>
      <c r="B115" s="32" t="s">
        <v>177</v>
      </c>
      <c r="C115" s="26" t="e">
        <f t="shared" si="54"/>
        <v>#REF!</v>
      </c>
      <c r="D115" s="26" t="e">
        <f t="shared" si="55"/>
        <v>#REF!</v>
      </c>
      <c r="E115" s="12" t="e">
        <f t="shared" si="56"/>
        <v>#REF!</v>
      </c>
      <c r="F115" s="26"/>
      <c r="G115" s="26" t="e">
        <f t="shared" si="57"/>
        <v>#REF!</v>
      </c>
      <c r="H115" s="26" t="e">
        <f t="shared" si="58"/>
        <v>#REF!</v>
      </c>
      <c r="I115" s="12" t="e">
        <f t="shared" si="59"/>
        <v>#REF!</v>
      </c>
      <c r="J115" s="26"/>
      <c r="K115" s="26" t="e">
        <f t="shared" si="60"/>
        <v>#REF!</v>
      </c>
      <c r="L115" s="26" t="e">
        <f t="shared" si="61"/>
        <v>#REF!</v>
      </c>
      <c r="M115" s="12" t="e">
        <f t="shared" si="62"/>
        <v>#REF!</v>
      </c>
      <c r="N115" s="12"/>
      <c r="O115" s="26" t="e">
        <f t="shared" si="63"/>
        <v>#REF!</v>
      </c>
      <c r="P115" s="26" t="e">
        <f t="shared" si="64"/>
        <v>#REF!</v>
      </c>
      <c r="Q115" s="12" t="e">
        <f t="shared" si="65"/>
        <v>#REF!</v>
      </c>
      <c r="R115" s="12"/>
      <c r="S115" s="26" t="e">
        <f t="shared" si="66"/>
        <v>#REF!</v>
      </c>
      <c r="T115" s="26" t="e">
        <f t="shared" si="67"/>
        <v>#REF!</v>
      </c>
      <c r="U115" s="12" t="e">
        <f t="shared" si="68"/>
        <v>#REF!</v>
      </c>
      <c r="V115" s="12"/>
      <c r="W115" s="44" t="e">
        <f t="shared" si="69"/>
        <v>#REF!</v>
      </c>
      <c r="X115" s="26" t="e">
        <f t="shared" si="70"/>
        <v>#REF!</v>
      </c>
      <c r="Y115" s="12" t="e">
        <f t="shared" si="71"/>
        <v>#REF!</v>
      </c>
    </row>
    <row r="116" spans="1:25" ht="16.5" customHeight="1" x14ac:dyDescent="0.25">
      <c r="A116" s="16" t="s">
        <v>180</v>
      </c>
      <c r="B116" s="32" t="s">
        <v>181</v>
      </c>
      <c r="C116" s="26" t="e">
        <f t="shared" si="54"/>
        <v>#REF!</v>
      </c>
      <c r="D116" s="26" t="e">
        <f t="shared" si="55"/>
        <v>#REF!</v>
      </c>
      <c r="E116" s="12" t="e">
        <f t="shared" si="56"/>
        <v>#REF!</v>
      </c>
      <c r="F116" s="26"/>
      <c r="G116" s="26" t="e">
        <f t="shared" si="57"/>
        <v>#REF!</v>
      </c>
      <c r="H116" s="26" t="e">
        <f t="shared" si="58"/>
        <v>#REF!</v>
      </c>
      <c r="I116" s="12" t="e">
        <f t="shared" si="59"/>
        <v>#REF!</v>
      </c>
      <c r="J116" s="26"/>
      <c r="K116" s="26" t="e">
        <f t="shared" si="60"/>
        <v>#REF!</v>
      </c>
      <c r="L116" s="26" t="e">
        <f t="shared" si="61"/>
        <v>#REF!</v>
      </c>
      <c r="M116" s="12" t="e">
        <f t="shared" si="62"/>
        <v>#REF!</v>
      </c>
      <c r="N116" s="12"/>
      <c r="O116" s="26" t="e">
        <f t="shared" si="63"/>
        <v>#REF!</v>
      </c>
      <c r="P116" s="26" t="e">
        <f t="shared" si="64"/>
        <v>#REF!</v>
      </c>
      <c r="Q116" s="12" t="e">
        <f t="shared" si="65"/>
        <v>#REF!</v>
      </c>
      <c r="R116" s="12"/>
      <c r="S116" s="26" t="e">
        <f t="shared" si="66"/>
        <v>#REF!</v>
      </c>
      <c r="T116" s="26" t="e">
        <f t="shared" si="67"/>
        <v>#REF!</v>
      </c>
      <c r="U116" s="12" t="e">
        <f t="shared" si="68"/>
        <v>#REF!</v>
      </c>
      <c r="V116" s="12"/>
      <c r="W116" s="44" t="e">
        <f t="shared" si="69"/>
        <v>#REF!</v>
      </c>
      <c r="X116" s="26" t="e">
        <f t="shared" si="70"/>
        <v>#REF!</v>
      </c>
      <c r="Y116" s="12" t="e">
        <f t="shared" si="71"/>
        <v>#REF!</v>
      </c>
    </row>
    <row r="117" spans="1:25" ht="16.5" customHeight="1" x14ac:dyDescent="0.25">
      <c r="A117" s="16" t="s">
        <v>192</v>
      </c>
      <c r="B117" s="17" t="s">
        <v>193</v>
      </c>
      <c r="C117" s="26" t="e">
        <f t="shared" si="54"/>
        <v>#REF!</v>
      </c>
      <c r="D117" s="26" t="e">
        <f t="shared" si="55"/>
        <v>#REF!</v>
      </c>
      <c r="E117" s="12" t="e">
        <f t="shared" si="56"/>
        <v>#REF!</v>
      </c>
      <c r="F117" s="26"/>
      <c r="G117" s="26" t="e">
        <f t="shared" si="57"/>
        <v>#REF!</v>
      </c>
      <c r="H117" s="26" t="e">
        <f t="shared" si="58"/>
        <v>#REF!</v>
      </c>
      <c r="I117" s="12" t="e">
        <f t="shared" si="59"/>
        <v>#REF!</v>
      </c>
      <c r="J117" s="26"/>
      <c r="K117" s="26" t="e">
        <f t="shared" si="60"/>
        <v>#REF!</v>
      </c>
      <c r="L117" s="26" t="e">
        <f t="shared" si="61"/>
        <v>#REF!</v>
      </c>
      <c r="M117" s="12" t="e">
        <f t="shared" si="62"/>
        <v>#REF!</v>
      </c>
      <c r="N117" s="12"/>
      <c r="O117" s="26" t="e">
        <f t="shared" si="63"/>
        <v>#REF!</v>
      </c>
      <c r="P117" s="26" t="e">
        <f t="shared" si="64"/>
        <v>#REF!</v>
      </c>
      <c r="Q117" s="12" t="e">
        <f t="shared" si="65"/>
        <v>#REF!</v>
      </c>
      <c r="R117" s="12"/>
      <c r="S117" s="26" t="e">
        <f t="shared" si="66"/>
        <v>#REF!</v>
      </c>
      <c r="T117" s="26" t="e">
        <f t="shared" si="67"/>
        <v>#REF!</v>
      </c>
      <c r="U117" s="12" t="e">
        <f t="shared" si="68"/>
        <v>#REF!</v>
      </c>
      <c r="V117" s="12"/>
      <c r="W117" s="44" t="e">
        <f t="shared" si="69"/>
        <v>#REF!</v>
      </c>
      <c r="X117" s="26" t="e">
        <f t="shared" si="70"/>
        <v>#REF!</v>
      </c>
      <c r="Y117" s="12" t="e">
        <f t="shared" si="71"/>
        <v>#REF!</v>
      </c>
    </row>
    <row r="118" spans="1:25" ht="16.5" customHeight="1" x14ac:dyDescent="0.25">
      <c r="A118" s="16" t="s">
        <v>196</v>
      </c>
      <c r="B118" s="32" t="s">
        <v>312</v>
      </c>
      <c r="C118" s="26" t="e">
        <f t="shared" si="54"/>
        <v>#REF!</v>
      </c>
      <c r="D118" s="26" t="e">
        <f t="shared" si="55"/>
        <v>#REF!</v>
      </c>
      <c r="E118" s="12" t="e">
        <f t="shared" si="56"/>
        <v>#REF!</v>
      </c>
      <c r="F118" s="26"/>
      <c r="G118" s="26" t="e">
        <f t="shared" si="57"/>
        <v>#REF!</v>
      </c>
      <c r="H118" s="26" t="e">
        <f t="shared" si="58"/>
        <v>#REF!</v>
      </c>
      <c r="I118" s="12" t="e">
        <f t="shared" si="59"/>
        <v>#REF!</v>
      </c>
      <c r="J118" s="26"/>
      <c r="K118" s="26" t="e">
        <f t="shared" si="60"/>
        <v>#REF!</v>
      </c>
      <c r="L118" s="26" t="e">
        <f t="shared" si="61"/>
        <v>#REF!</v>
      </c>
      <c r="M118" s="12" t="e">
        <f t="shared" si="62"/>
        <v>#REF!</v>
      </c>
      <c r="N118" s="12"/>
      <c r="O118" s="26" t="e">
        <f t="shared" si="63"/>
        <v>#REF!</v>
      </c>
      <c r="P118" s="26" t="e">
        <f t="shared" si="64"/>
        <v>#REF!</v>
      </c>
      <c r="Q118" s="12" t="e">
        <f t="shared" si="65"/>
        <v>#REF!</v>
      </c>
      <c r="R118" s="12"/>
      <c r="S118" s="26" t="e">
        <f t="shared" si="66"/>
        <v>#REF!</v>
      </c>
      <c r="T118" s="26" t="e">
        <f t="shared" si="67"/>
        <v>#REF!</v>
      </c>
      <c r="U118" s="12" t="e">
        <f t="shared" si="68"/>
        <v>#REF!</v>
      </c>
      <c r="V118" s="12"/>
      <c r="W118" s="44" t="e">
        <f t="shared" si="69"/>
        <v>#REF!</v>
      </c>
      <c r="X118" s="26" t="e">
        <f t="shared" si="70"/>
        <v>#REF!</v>
      </c>
      <c r="Y118" s="12" t="e">
        <f t="shared" si="71"/>
        <v>#REF!</v>
      </c>
    </row>
    <row r="119" spans="1:25" ht="16.5" customHeight="1" x14ac:dyDescent="0.25">
      <c r="A119" s="16" t="s">
        <v>200</v>
      </c>
      <c r="B119" s="32" t="s">
        <v>313</v>
      </c>
      <c r="C119" s="26" t="e">
        <f t="shared" si="54"/>
        <v>#REF!</v>
      </c>
      <c r="D119" s="26" t="e">
        <f t="shared" si="55"/>
        <v>#REF!</v>
      </c>
      <c r="E119" s="12" t="e">
        <f t="shared" si="56"/>
        <v>#REF!</v>
      </c>
      <c r="F119" s="26"/>
      <c r="G119" s="26" t="e">
        <f t="shared" si="57"/>
        <v>#REF!</v>
      </c>
      <c r="H119" s="26" t="e">
        <f t="shared" si="58"/>
        <v>#REF!</v>
      </c>
      <c r="I119" s="12" t="e">
        <f t="shared" si="59"/>
        <v>#REF!</v>
      </c>
      <c r="J119" s="26"/>
      <c r="K119" s="26" t="e">
        <f t="shared" si="60"/>
        <v>#REF!</v>
      </c>
      <c r="L119" s="26" t="e">
        <f t="shared" si="61"/>
        <v>#REF!</v>
      </c>
      <c r="M119" s="12" t="e">
        <f t="shared" si="62"/>
        <v>#REF!</v>
      </c>
      <c r="N119" s="12"/>
      <c r="O119" s="26" t="e">
        <f t="shared" si="63"/>
        <v>#REF!</v>
      </c>
      <c r="P119" s="26" t="e">
        <f t="shared" si="64"/>
        <v>#REF!</v>
      </c>
      <c r="Q119" s="12" t="e">
        <f t="shared" si="65"/>
        <v>#REF!</v>
      </c>
      <c r="R119" s="12"/>
      <c r="S119" s="26" t="e">
        <f t="shared" si="66"/>
        <v>#REF!</v>
      </c>
      <c r="T119" s="26" t="e">
        <f t="shared" si="67"/>
        <v>#REF!</v>
      </c>
      <c r="U119" s="12" t="e">
        <f t="shared" si="68"/>
        <v>#REF!</v>
      </c>
      <c r="V119" s="12"/>
      <c r="W119" s="44" t="e">
        <f t="shared" si="69"/>
        <v>#REF!</v>
      </c>
      <c r="X119" s="26" t="e">
        <f t="shared" si="70"/>
        <v>#REF!</v>
      </c>
      <c r="Y119" s="12" t="e">
        <f t="shared" si="71"/>
        <v>#REF!</v>
      </c>
    </row>
    <row r="120" spans="1:25" ht="16.5" customHeight="1" x14ac:dyDescent="0.25">
      <c r="A120" s="16" t="s">
        <v>222</v>
      </c>
      <c r="B120" s="17" t="s">
        <v>223</v>
      </c>
      <c r="C120" s="26" t="e">
        <f t="shared" si="54"/>
        <v>#REF!</v>
      </c>
      <c r="D120" s="26" t="e">
        <f t="shared" si="55"/>
        <v>#REF!</v>
      </c>
      <c r="E120" s="12" t="e">
        <f t="shared" si="56"/>
        <v>#REF!</v>
      </c>
      <c r="F120" s="26"/>
      <c r="G120" s="26" t="e">
        <f t="shared" si="57"/>
        <v>#REF!</v>
      </c>
      <c r="H120" s="26" t="e">
        <f t="shared" si="58"/>
        <v>#REF!</v>
      </c>
      <c r="I120" s="12" t="e">
        <f t="shared" si="59"/>
        <v>#REF!</v>
      </c>
      <c r="J120" s="26"/>
      <c r="K120" s="26" t="e">
        <f t="shared" si="60"/>
        <v>#REF!</v>
      </c>
      <c r="L120" s="26" t="e">
        <f t="shared" si="61"/>
        <v>#REF!</v>
      </c>
      <c r="M120" s="12" t="e">
        <f t="shared" si="62"/>
        <v>#REF!</v>
      </c>
      <c r="N120" s="12"/>
      <c r="O120" s="26" t="e">
        <f t="shared" si="63"/>
        <v>#REF!</v>
      </c>
      <c r="P120" s="26" t="e">
        <f t="shared" si="64"/>
        <v>#REF!</v>
      </c>
      <c r="Q120" s="12" t="e">
        <f t="shared" si="65"/>
        <v>#REF!</v>
      </c>
      <c r="R120" s="12"/>
      <c r="S120" s="26" t="e">
        <f t="shared" si="66"/>
        <v>#REF!</v>
      </c>
      <c r="T120" s="26" t="e">
        <f t="shared" si="67"/>
        <v>#REF!</v>
      </c>
      <c r="U120" s="12" t="e">
        <f t="shared" si="68"/>
        <v>#REF!</v>
      </c>
      <c r="V120" s="12"/>
      <c r="W120" s="44" t="e">
        <f t="shared" si="69"/>
        <v>#REF!</v>
      </c>
      <c r="X120" s="26" t="e">
        <f t="shared" si="70"/>
        <v>#REF!</v>
      </c>
      <c r="Y120" s="12" t="e">
        <f t="shared" si="71"/>
        <v>#REF!</v>
      </c>
    </row>
    <row r="121" spans="1:25" ht="16.5" customHeight="1" x14ac:dyDescent="0.25">
      <c r="A121" s="16" t="s">
        <v>230</v>
      </c>
      <c r="B121" s="17" t="s">
        <v>231</v>
      </c>
      <c r="C121" s="26" t="e">
        <f t="shared" si="54"/>
        <v>#REF!</v>
      </c>
      <c r="D121" s="26" t="e">
        <f t="shared" si="55"/>
        <v>#REF!</v>
      </c>
      <c r="E121" s="12" t="e">
        <f t="shared" si="56"/>
        <v>#REF!</v>
      </c>
      <c r="F121" s="26"/>
      <c r="G121" s="26" t="e">
        <f t="shared" si="57"/>
        <v>#REF!</v>
      </c>
      <c r="H121" s="26" t="e">
        <f t="shared" si="58"/>
        <v>#REF!</v>
      </c>
      <c r="I121" s="12" t="e">
        <f t="shared" si="59"/>
        <v>#REF!</v>
      </c>
      <c r="J121" s="26"/>
      <c r="K121" s="26" t="e">
        <f t="shared" si="60"/>
        <v>#REF!</v>
      </c>
      <c r="L121" s="26" t="e">
        <f t="shared" si="61"/>
        <v>#REF!</v>
      </c>
      <c r="M121" s="12" t="e">
        <f t="shared" si="62"/>
        <v>#REF!</v>
      </c>
      <c r="N121" s="12"/>
      <c r="O121" s="26" t="e">
        <f t="shared" si="63"/>
        <v>#REF!</v>
      </c>
      <c r="P121" s="26" t="e">
        <f t="shared" si="64"/>
        <v>#REF!</v>
      </c>
      <c r="Q121" s="12" t="e">
        <f t="shared" si="65"/>
        <v>#REF!</v>
      </c>
      <c r="R121" s="12"/>
      <c r="S121" s="26" t="e">
        <f t="shared" si="66"/>
        <v>#REF!</v>
      </c>
      <c r="T121" s="26" t="e">
        <f t="shared" si="67"/>
        <v>#REF!</v>
      </c>
      <c r="U121" s="12" t="e">
        <f t="shared" si="68"/>
        <v>#REF!</v>
      </c>
      <c r="V121" s="12"/>
      <c r="W121" s="44" t="e">
        <f t="shared" si="69"/>
        <v>#REF!</v>
      </c>
      <c r="X121" s="26" t="e">
        <f t="shared" si="70"/>
        <v>#REF!</v>
      </c>
      <c r="Y121" s="12" t="e">
        <f t="shared" si="71"/>
        <v>#REF!</v>
      </c>
    </row>
    <row r="122" spans="1:25" ht="16.5" customHeight="1" x14ac:dyDescent="0.25">
      <c r="A122" s="16" t="s">
        <v>238</v>
      </c>
      <c r="B122" s="17" t="s">
        <v>239</v>
      </c>
      <c r="C122" s="26" t="e">
        <f t="shared" si="54"/>
        <v>#REF!</v>
      </c>
      <c r="D122" s="26" t="e">
        <f t="shared" si="55"/>
        <v>#REF!</v>
      </c>
      <c r="E122" s="12" t="e">
        <f t="shared" si="56"/>
        <v>#REF!</v>
      </c>
      <c r="F122" s="26"/>
      <c r="G122" s="26" t="e">
        <f t="shared" si="57"/>
        <v>#REF!</v>
      </c>
      <c r="H122" s="26" t="e">
        <f t="shared" si="58"/>
        <v>#REF!</v>
      </c>
      <c r="I122" s="12" t="e">
        <f t="shared" si="59"/>
        <v>#REF!</v>
      </c>
      <c r="J122" s="26"/>
      <c r="K122" s="26" t="e">
        <f t="shared" si="60"/>
        <v>#REF!</v>
      </c>
      <c r="L122" s="26" t="e">
        <f t="shared" si="61"/>
        <v>#REF!</v>
      </c>
      <c r="M122" s="12" t="e">
        <f t="shared" si="62"/>
        <v>#REF!</v>
      </c>
      <c r="N122" s="12"/>
      <c r="O122" s="26" t="e">
        <f t="shared" si="63"/>
        <v>#REF!</v>
      </c>
      <c r="P122" s="26" t="e">
        <f t="shared" si="64"/>
        <v>#REF!</v>
      </c>
      <c r="Q122" s="12" t="e">
        <f t="shared" si="65"/>
        <v>#REF!</v>
      </c>
      <c r="R122" s="12"/>
      <c r="S122" s="26" t="e">
        <f t="shared" si="66"/>
        <v>#REF!</v>
      </c>
      <c r="T122" s="26" t="e">
        <f t="shared" si="67"/>
        <v>#REF!</v>
      </c>
      <c r="U122" s="12" t="e">
        <f t="shared" si="68"/>
        <v>#REF!</v>
      </c>
      <c r="V122" s="12"/>
      <c r="W122" s="44" t="e">
        <f t="shared" si="69"/>
        <v>#REF!</v>
      </c>
      <c r="X122" s="26" t="e">
        <f t="shared" si="70"/>
        <v>#REF!</v>
      </c>
      <c r="Y122" s="12" t="e">
        <f t="shared" si="71"/>
        <v>#REF!</v>
      </c>
    </row>
    <row r="123" spans="1:25" ht="16.5" customHeight="1" x14ac:dyDescent="0.25">
      <c r="A123" s="16" t="s">
        <v>240</v>
      </c>
      <c r="B123" s="32" t="s">
        <v>241</v>
      </c>
      <c r="C123" s="26" t="e">
        <f t="shared" si="54"/>
        <v>#REF!</v>
      </c>
      <c r="D123" s="26" t="e">
        <f t="shared" si="55"/>
        <v>#REF!</v>
      </c>
      <c r="E123" s="12" t="e">
        <f t="shared" si="56"/>
        <v>#REF!</v>
      </c>
      <c r="F123" s="26"/>
      <c r="G123" s="26" t="e">
        <f t="shared" si="57"/>
        <v>#REF!</v>
      </c>
      <c r="H123" s="26" t="e">
        <f t="shared" si="58"/>
        <v>#REF!</v>
      </c>
      <c r="I123" s="12" t="e">
        <f t="shared" si="59"/>
        <v>#REF!</v>
      </c>
      <c r="J123" s="26"/>
      <c r="K123" s="26" t="e">
        <f t="shared" si="60"/>
        <v>#REF!</v>
      </c>
      <c r="L123" s="26" t="e">
        <f t="shared" si="61"/>
        <v>#REF!</v>
      </c>
      <c r="M123" s="12" t="e">
        <f t="shared" si="62"/>
        <v>#REF!</v>
      </c>
      <c r="N123" s="12"/>
      <c r="O123" s="26" t="e">
        <f t="shared" si="63"/>
        <v>#REF!</v>
      </c>
      <c r="P123" s="26" t="e">
        <f t="shared" si="64"/>
        <v>#REF!</v>
      </c>
      <c r="Q123" s="12" t="e">
        <f t="shared" si="65"/>
        <v>#REF!</v>
      </c>
      <c r="R123" s="12"/>
      <c r="S123" s="26" t="e">
        <f t="shared" si="66"/>
        <v>#REF!</v>
      </c>
      <c r="T123" s="26" t="e">
        <f t="shared" si="67"/>
        <v>#REF!</v>
      </c>
      <c r="U123" s="12" t="e">
        <f t="shared" si="68"/>
        <v>#REF!</v>
      </c>
      <c r="V123" s="12"/>
      <c r="W123" s="44" t="e">
        <f t="shared" si="69"/>
        <v>#REF!</v>
      </c>
      <c r="X123" s="26" t="e">
        <f t="shared" si="70"/>
        <v>#REF!</v>
      </c>
      <c r="Y123" s="12" t="e">
        <f t="shared" si="71"/>
        <v>#REF!</v>
      </c>
    </row>
    <row r="124" spans="1:25" x14ac:dyDescent="0.2">
      <c r="C124" s="28" t="e">
        <f>SUM(C4:C123)</f>
        <v>#REF!</v>
      </c>
      <c r="D124" s="28"/>
      <c r="E124" s="28"/>
      <c r="F124" s="28"/>
      <c r="G124" s="28"/>
      <c r="H124" s="28"/>
      <c r="I124" s="28"/>
      <c r="J124" s="28"/>
      <c r="K124" s="28"/>
      <c r="L124" s="28"/>
    </row>
    <row r="125" spans="1:25" x14ac:dyDescent="0.2">
      <c r="C125" s="28" t="e">
        <f>+C124/12</f>
        <v>#REF!</v>
      </c>
      <c r="D125" s="28"/>
      <c r="E125" s="28"/>
      <c r="F125" s="28"/>
      <c r="G125" s="28"/>
      <c r="H125" s="28"/>
      <c r="I125" s="28"/>
      <c r="J125" s="28"/>
      <c r="K125" s="28"/>
      <c r="L125" s="28"/>
    </row>
    <row r="126" spans="1:25" ht="12.75" customHeight="1" x14ac:dyDescent="0.2">
      <c r="A126" s="2296" t="s">
        <v>570</v>
      </c>
      <c r="B126" s="2296"/>
      <c r="C126" s="2297"/>
      <c r="D126" s="19"/>
      <c r="E126" s="19"/>
      <c r="F126" s="19"/>
      <c r="G126" s="19"/>
      <c r="H126" s="19"/>
      <c r="I126" s="19"/>
      <c r="J126" s="19"/>
      <c r="K126" s="19"/>
      <c r="L126" s="19"/>
    </row>
    <row r="127" spans="1:25" x14ac:dyDescent="0.2">
      <c r="A127" s="18" t="s">
        <v>571</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x14ac:dyDescent="0.2"/>
  <cols>
    <col min="1" max="1" width="12.25" style="18" customWidth="1"/>
    <col min="2" max="2" width="23.625" style="28" customWidth="1"/>
    <col min="3" max="4" width="9.875" style="18" customWidth="1"/>
    <col min="5" max="5" width="9.75" style="18" customWidth="1"/>
    <col min="6" max="6" width="2.25" style="18" customWidth="1"/>
    <col min="7" max="7" width="10.25" style="18" customWidth="1"/>
    <col min="8" max="8" width="9.875" style="18" customWidth="1"/>
    <col min="9" max="9" width="9.625" style="18" customWidth="1"/>
    <col min="10" max="10" width="2.625" style="18" customWidth="1"/>
    <col min="11" max="11" width="9.625" style="18" customWidth="1"/>
    <col min="12" max="12" width="9.75" style="18" customWidth="1"/>
    <col min="13" max="13" width="10" style="18" customWidth="1"/>
    <col min="14" max="14" width="2.625" style="40" customWidth="1"/>
    <col min="15" max="15" width="10" style="18" bestFit="1" customWidth="1"/>
    <col min="16" max="17" width="10" style="18" customWidth="1"/>
    <col min="18" max="18" width="3.5" style="18" customWidth="1"/>
    <col min="19" max="19" width="9.75" style="18" customWidth="1"/>
    <col min="20" max="20" width="10.25" style="18" customWidth="1"/>
    <col min="21" max="21" width="10.375" style="18" customWidth="1"/>
    <col min="22" max="22" width="2.625" style="18" customWidth="1"/>
    <col min="23" max="23" width="10.25" style="18" customWidth="1"/>
    <col min="24" max="24" width="10.5" style="18" customWidth="1"/>
    <col min="25" max="25" width="10.25" style="18" customWidth="1"/>
    <col min="26" max="16384" width="9" style="18"/>
  </cols>
  <sheetData>
    <row r="1" spans="1:25" ht="15.75" x14ac:dyDescent="0.25">
      <c r="C1" s="2299" t="s">
        <v>574</v>
      </c>
      <c r="D1" s="2299"/>
      <c r="E1" s="2299"/>
      <c r="F1" s="2299"/>
      <c r="G1" s="2299"/>
      <c r="H1" s="2299"/>
      <c r="I1" s="2299"/>
      <c r="J1" s="2299"/>
      <c r="K1" s="2299"/>
      <c r="L1" s="2299"/>
      <c r="M1" s="2299"/>
      <c r="N1" s="37"/>
      <c r="O1" s="2295" t="s">
        <v>575</v>
      </c>
      <c r="P1" s="2295"/>
      <c r="Q1" s="2295"/>
      <c r="R1" s="2295"/>
      <c r="S1" s="2295"/>
      <c r="T1" s="2295"/>
      <c r="U1" s="2295"/>
      <c r="V1" s="2295"/>
      <c r="W1" s="2295"/>
      <c r="X1" s="2295"/>
      <c r="Y1" s="2295"/>
    </row>
    <row r="2" spans="1:25" x14ac:dyDescent="0.2">
      <c r="C2" s="2300" t="s">
        <v>2</v>
      </c>
      <c r="D2" s="2300"/>
      <c r="E2" s="2300"/>
      <c r="F2" s="33"/>
      <c r="G2" s="2300" t="s">
        <v>445</v>
      </c>
      <c r="H2" s="2300"/>
      <c r="I2" s="2300"/>
      <c r="J2" s="24"/>
      <c r="K2" s="2300" t="s">
        <v>447</v>
      </c>
      <c r="L2" s="2300"/>
      <c r="M2" s="2300"/>
      <c r="N2" s="24"/>
      <c r="O2" s="2300" t="s">
        <v>2</v>
      </c>
      <c r="P2" s="2300"/>
      <c r="Q2" s="2300"/>
      <c r="R2" s="24"/>
      <c r="S2" s="2300" t="s">
        <v>445</v>
      </c>
      <c r="T2" s="2300"/>
      <c r="U2" s="2300"/>
      <c r="V2" s="24"/>
      <c r="W2" s="2300" t="s">
        <v>447</v>
      </c>
      <c r="X2" s="2300"/>
      <c r="Y2" s="2300"/>
    </row>
    <row r="3" spans="1:25" s="21" customFormat="1" ht="71.25" customHeight="1" x14ac:dyDescent="0.25">
      <c r="A3" s="20" t="s">
        <v>305</v>
      </c>
      <c r="B3" s="31" t="s">
        <v>306</v>
      </c>
      <c r="C3" s="23" t="s">
        <v>578</v>
      </c>
      <c r="D3" s="23" t="s">
        <v>579</v>
      </c>
      <c r="E3" s="34" t="s">
        <v>580</v>
      </c>
      <c r="F3" s="38"/>
      <c r="G3" s="35" t="s">
        <v>578</v>
      </c>
      <c r="H3" s="23" t="s">
        <v>579</v>
      </c>
      <c r="I3" s="34" t="s">
        <v>580</v>
      </c>
      <c r="J3" s="38"/>
      <c r="K3" s="35" t="s">
        <v>578</v>
      </c>
      <c r="L3" s="23" t="s">
        <v>579</v>
      </c>
      <c r="M3" s="34" t="s">
        <v>580</v>
      </c>
      <c r="N3" s="38"/>
      <c r="O3" s="23" t="s">
        <v>578</v>
      </c>
      <c r="P3" s="23" t="s">
        <v>579</v>
      </c>
      <c r="Q3" s="34" t="s">
        <v>580</v>
      </c>
      <c r="R3" s="41"/>
      <c r="S3" s="23" t="s">
        <v>578</v>
      </c>
      <c r="T3" s="23" t="s">
        <v>579</v>
      </c>
      <c r="U3" s="34" t="s">
        <v>580</v>
      </c>
      <c r="V3" s="38"/>
      <c r="W3" s="23" t="s">
        <v>578</v>
      </c>
      <c r="X3" s="23" t="s">
        <v>579</v>
      </c>
      <c r="Y3" s="34" t="s">
        <v>580</v>
      </c>
    </row>
    <row r="4" spans="1:25" ht="16.5" customHeight="1" x14ac:dyDescent="0.25">
      <c r="A4" s="16" t="s">
        <v>10</v>
      </c>
      <c r="B4" s="17" t="s">
        <v>11</v>
      </c>
      <c r="C4" s="25">
        <f t="shared" ref="C4:C35" si="0">VLOOKUP(A4,SNAPClient_Demo,10,FALSE)</f>
        <v>3922</v>
      </c>
      <c r="D4" s="25" t="e">
        <f t="shared" ref="D4:D35" si="1">VLOOKUP(A4,Pop,14,FALSE)</f>
        <v>#REF!</v>
      </c>
      <c r="E4" s="27" t="e">
        <f t="shared" ref="E4:E35" si="2">+C4/D4</f>
        <v>#REF!</v>
      </c>
      <c r="F4" s="27"/>
      <c r="G4" s="25">
        <f t="shared" ref="G4:G35" si="3">VLOOKUP(A4,SNAPClient_Demo,11,FALSE)</f>
        <v>167</v>
      </c>
      <c r="H4" s="25" t="e">
        <f t="shared" ref="H4:H35" si="4">VLOOKUP(A4,Pop,15,FALSE)</f>
        <v>#REF!</v>
      </c>
      <c r="I4" s="27" t="e">
        <f t="shared" ref="I4:I35" si="5">+G4/H4</f>
        <v>#REF!</v>
      </c>
      <c r="J4" s="27"/>
      <c r="K4" s="25">
        <f t="shared" ref="K4:K35" si="6">VLOOKUP(A4,SNAPClient_Demo,12,FALSE)</f>
        <v>569</v>
      </c>
      <c r="L4" s="25" t="e">
        <f t="shared" ref="L4:L35" si="7">VLOOKUP(A4,Pop,16,FALSE)</f>
        <v>#REF!</v>
      </c>
      <c r="M4" s="27" t="e">
        <f t="shared" ref="M4:M35" si="8">+K4/L4</f>
        <v>#REF!</v>
      </c>
      <c r="N4" s="39"/>
      <c r="O4" s="36" t="str">
        <f t="shared" ref="O4:O35" si="9">VLOOKUP(A4,SNAPClient_Demo,3,FALSE)</f>
        <v>Eastern</v>
      </c>
      <c r="P4" s="26" t="e">
        <f t="shared" ref="P4:P35" si="10">VLOOKUP(A4,Pop,8,FALSE)</f>
        <v>#REF!</v>
      </c>
      <c r="Q4" s="27" t="e">
        <f t="shared" ref="Q4:Q35" si="11">+O4/P4</f>
        <v>#VALUE!</v>
      </c>
      <c r="R4" s="27"/>
      <c r="S4" s="26">
        <f t="shared" ref="S4:S35" si="12">VLOOKUP(A4,SNAPClient_Demo,4,FALSE)</f>
        <v>3780</v>
      </c>
      <c r="T4" s="26" t="e">
        <f t="shared" ref="T4:T35" si="13">VLOOKUP(A4,Pop,9,FALSE)</f>
        <v>#REF!</v>
      </c>
      <c r="U4" s="27" t="e">
        <f t="shared" ref="U4:U35" si="14">+S4/T4</f>
        <v>#REF!</v>
      </c>
      <c r="V4" s="27"/>
      <c r="W4" s="26">
        <f t="shared" ref="W4:W35" si="15">VLOOKUP(A4,SNAPClient_Demo,5,FALSE)</f>
        <v>4470</v>
      </c>
      <c r="X4" s="26" t="e">
        <f t="shared" ref="X4:X35" si="16">VLOOKUP(A4,Pop,10,FALSE)</f>
        <v>#REF!</v>
      </c>
      <c r="Y4" s="27" t="e">
        <f t="shared" ref="Y4:Y35" si="17">+W4/X4</f>
        <v>#REF!</v>
      </c>
    </row>
    <row r="5" spans="1:25" ht="16.5" customHeight="1" x14ac:dyDescent="0.25">
      <c r="A5" s="16" t="s">
        <v>12</v>
      </c>
      <c r="B5" s="17" t="s">
        <v>13</v>
      </c>
      <c r="C5" s="25">
        <f t="shared" si="0"/>
        <v>2101</v>
      </c>
      <c r="D5" s="25" t="e">
        <f t="shared" si="1"/>
        <v>#REF!</v>
      </c>
      <c r="E5" s="27" t="e">
        <f t="shared" si="2"/>
        <v>#REF!</v>
      </c>
      <c r="F5" s="27"/>
      <c r="G5" s="25">
        <f t="shared" si="3"/>
        <v>764</v>
      </c>
      <c r="H5" s="25" t="e">
        <f t="shared" si="4"/>
        <v>#REF!</v>
      </c>
      <c r="I5" s="27" t="e">
        <f t="shared" si="5"/>
        <v>#REF!</v>
      </c>
      <c r="J5" s="27"/>
      <c r="K5" s="25">
        <f t="shared" si="6"/>
        <v>2094</v>
      </c>
      <c r="L5" s="25" t="e">
        <f t="shared" si="7"/>
        <v>#REF!</v>
      </c>
      <c r="M5" s="27" t="e">
        <f t="shared" si="8"/>
        <v>#REF!</v>
      </c>
      <c r="N5" s="39"/>
      <c r="O5" s="36" t="str">
        <f t="shared" si="9"/>
        <v>Piedmont</v>
      </c>
      <c r="P5" s="26" t="e">
        <f t="shared" si="10"/>
        <v>#REF!</v>
      </c>
      <c r="Q5" s="27" t="e">
        <f t="shared" si="11"/>
        <v>#VALUE!</v>
      </c>
      <c r="R5" s="27"/>
      <c r="S5" s="26">
        <f t="shared" si="12"/>
        <v>3842</v>
      </c>
      <c r="T5" s="26" t="e">
        <f t="shared" si="13"/>
        <v>#REF!</v>
      </c>
      <c r="U5" s="27" t="e">
        <f t="shared" si="14"/>
        <v>#REF!</v>
      </c>
      <c r="V5" s="27"/>
      <c r="W5" s="26">
        <f t="shared" si="15"/>
        <v>4622</v>
      </c>
      <c r="X5" s="26" t="e">
        <f t="shared" si="16"/>
        <v>#REF!</v>
      </c>
      <c r="Y5" s="27" t="e">
        <f t="shared" si="17"/>
        <v>#REF!</v>
      </c>
    </row>
    <row r="6" spans="1:25" ht="16.5" customHeight="1" x14ac:dyDescent="0.25">
      <c r="A6" s="16" t="s">
        <v>16</v>
      </c>
      <c r="B6" s="17" t="s">
        <v>297</v>
      </c>
      <c r="C6" s="25">
        <f t="shared" si="0"/>
        <v>457</v>
      </c>
      <c r="D6" s="25" t="e">
        <f t="shared" si="1"/>
        <v>#REF!</v>
      </c>
      <c r="E6" s="27" t="e">
        <f t="shared" si="2"/>
        <v>#REF!</v>
      </c>
      <c r="F6" s="27"/>
      <c r="G6" s="25">
        <f t="shared" si="3"/>
        <v>233</v>
      </c>
      <c r="H6" s="25" t="e">
        <f t="shared" si="4"/>
        <v>#REF!</v>
      </c>
      <c r="I6" s="27" t="e">
        <f t="shared" si="5"/>
        <v>#REF!</v>
      </c>
      <c r="J6" s="27"/>
      <c r="K6" s="25">
        <f t="shared" si="6"/>
        <v>557</v>
      </c>
      <c r="L6" s="25" t="e">
        <f t="shared" si="7"/>
        <v>#REF!</v>
      </c>
      <c r="M6" s="27" t="e">
        <f t="shared" si="8"/>
        <v>#REF!</v>
      </c>
      <c r="N6" s="39"/>
      <c r="O6" s="36" t="str">
        <f t="shared" si="9"/>
        <v>Piedmont</v>
      </c>
      <c r="P6" s="26" t="e">
        <f t="shared" si="10"/>
        <v>#REF!</v>
      </c>
      <c r="Q6" s="27" t="e">
        <f t="shared" si="11"/>
        <v>#VALUE!</v>
      </c>
      <c r="R6" s="27"/>
      <c r="S6" s="26">
        <f t="shared" si="12"/>
        <v>1935</v>
      </c>
      <c r="T6" s="26" t="e">
        <f t="shared" si="13"/>
        <v>#REF!</v>
      </c>
      <c r="U6" s="27" t="e">
        <f t="shared" si="14"/>
        <v>#REF!</v>
      </c>
      <c r="V6" s="27"/>
      <c r="W6" s="26">
        <f t="shared" si="15"/>
        <v>2756</v>
      </c>
      <c r="X6" s="26" t="e">
        <f t="shared" si="16"/>
        <v>#REF!</v>
      </c>
      <c r="Y6" s="27" t="e">
        <f t="shared" si="17"/>
        <v>#REF!</v>
      </c>
    </row>
    <row r="7" spans="1:25" ht="16.5" customHeight="1" x14ac:dyDescent="0.25">
      <c r="A7" s="16" t="s">
        <v>18</v>
      </c>
      <c r="B7" s="17" t="s">
        <v>19</v>
      </c>
      <c r="C7" s="25">
        <f t="shared" si="0"/>
        <v>819</v>
      </c>
      <c r="D7" s="25" t="e">
        <f t="shared" si="1"/>
        <v>#REF!</v>
      </c>
      <c r="E7" s="27" t="e">
        <f t="shared" si="2"/>
        <v>#REF!</v>
      </c>
      <c r="F7" s="27"/>
      <c r="G7" s="25">
        <f t="shared" si="3"/>
        <v>107</v>
      </c>
      <c r="H7" s="25" t="e">
        <f t="shared" si="4"/>
        <v>#REF!</v>
      </c>
      <c r="I7" s="27" t="e">
        <f t="shared" si="5"/>
        <v>#REF!</v>
      </c>
      <c r="J7" s="27"/>
      <c r="K7" s="25">
        <f t="shared" si="6"/>
        <v>95</v>
      </c>
      <c r="L7" s="25" t="e">
        <f t="shared" si="7"/>
        <v>#REF!</v>
      </c>
      <c r="M7" s="27" t="e">
        <f t="shared" si="8"/>
        <v>#REF!</v>
      </c>
      <c r="N7" s="39"/>
      <c r="O7" s="36" t="str">
        <f t="shared" si="9"/>
        <v>Central</v>
      </c>
      <c r="P7" s="26" t="e">
        <f t="shared" si="10"/>
        <v>#REF!</v>
      </c>
      <c r="Q7" s="27" t="e">
        <f t="shared" si="11"/>
        <v>#VALUE!</v>
      </c>
      <c r="R7" s="27"/>
      <c r="S7" s="26">
        <f t="shared" si="12"/>
        <v>955</v>
      </c>
      <c r="T7" s="26" t="e">
        <f t="shared" si="13"/>
        <v>#REF!</v>
      </c>
      <c r="U7" s="27" t="e">
        <f t="shared" si="14"/>
        <v>#REF!</v>
      </c>
      <c r="V7" s="27"/>
      <c r="W7" s="26">
        <f t="shared" si="15"/>
        <v>1301</v>
      </c>
      <c r="X7" s="26" t="e">
        <f t="shared" si="16"/>
        <v>#REF!</v>
      </c>
      <c r="Y7" s="27" t="e">
        <f t="shared" si="17"/>
        <v>#REF!</v>
      </c>
    </row>
    <row r="8" spans="1:25" ht="16.5" customHeight="1" x14ac:dyDescent="0.25">
      <c r="A8" s="16" t="s">
        <v>20</v>
      </c>
      <c r="B8" s="17" t="s">
        <v>21</v>
      </c>
      <c r="C8" s="25">
        <f t="shared" si="0"/>
        <v>1333</v>
      </c>
      <c r="D8" s="25" t="e">
        <f t="shared" si="1"/>
        <v>#REF!</v>
      </c>
      <c r="E8" s="27" t="e">
        <f t="shared" si="2"/>
        <v>#REF!</v>
      </c>
      <c r="F8" s="27"/>
      <c r="G8" s="25">
        <f t="shared" si="3"/>
        <v>249</v>
      </c>
      <c r="H8" s="25" t="e">
        <f t="shared" si="4"/>
        <v>#REF!</v>
      </c>
      <c r="I8" s="27" t="e">
        <f t="shared" si="5"/>
        <v>#REF!</v>
      </c>
      <c r="J8" s="27"/>
      <c r="K8" s="25">
        <f t="shared" si="6"/>
        <v>576</v>
      </c>
      <c r="L8" s="25" t="e">
        <f t="shared" si="7"/>
        <v>#REF!</v>
      </c>
      <c r="M8" s="27" t="e">
        <f t="shared" si="8"/>
        <v>#REF!</v>
      </c>
      <c r="N8" s="39"/>
      <c r="O8" s="36" t="str">
        <f t="shared" si="9"/>
        <v>Piedmont</v>
      </c>
      <c r="P8" s="26" t="e">
        <f t="shared" si="10"/>
        <v>#REF!</v>
      </c>
      <c r="Q8" s="27" t="e">
        <f t="shared" si="11"/>
        <v>#VALUE!</v>
      </c>
      <c r="R8" s="27"/>
      <c r="S8" s="26">
        <f t="shared" si="12"/>
        <v>2239</v>
      </c>
      <c r="T8" s="26" t="e">
        <f t="shared" si="13"/>
        <v>#REF!</v>
      </c>
      <c r="U8" s="27" t="e">
        <f t="shared" si="14"/>
        <v>#REF!</v>
      </c>
      <c r="V8" s="27"/>
      <c r="W8" s="26">
        <f t="shared" si="15"/>
        <v>2733</v>
      </c>
      <c r="X8" s="26" t="e">
        <f t="shared" si="16"/>
        <v>#REF!</v>
      </c>
      <c r="Y8" s="27" t="e">
        <f t="shared" si="17"/>
        <v>#REF!</v>
      </c>
    </row>
    <row r="9" spans="1:25" ht="16.5" customHeight="1" x14ac:dyDescent="0.25">
      <c r="A9" s="16" t="s">
        <v>22</v>
      </c>
      <c r="B9" s="17" t="s">
        <v>23</v>
      </c>
      <c r="C9" s="25">
        <f t="shared" si="0"/>
        <v>1221</v>
      </c>
      <c r="D9" s="25" t="e">
        <f t="shared" si="1"/>
        <v>#REF!</v>
      </c>
      <c r="E9" s="27" t="e">
        <f t="shared" si="2"/>
        <v>#REF!</v>
      </c>
      <c r="F9" s="27"/>
      <c r="G9" s="25">
        <f t="shared" si="3"/>
        <v>85</v>
      </c>
      <c r="H9" s="25" t="e">
        <f t="shared" si="4"/>
        <v>#REF!</v>
      </c>
      <c r="I9" s="27" t="e">
        <f t="shared" si="5"/>
        <v>#REF!</v>
      </c>
      <c r="J9" s="27"/>
      <c r="K9" s="25">
        <f t="shared" si="6"/>
        <v>268</v>
      </c>
      <c r="L9" s="25" t="e">
        <f t="shared" si="7"/>
        <v>#REF!</v>
      </c>
      <c r="M9" s="27" t="e">
        <f t="shared" si="8"/>
        <v>#REF!</v>
      </c>
      <c r="N9" s="39"/>
      <c r="O9" s="36" t="str">
        <f t="shared" si="9"/>
        <v>Piedmont</v>
      </c>
      <c r="P9" s="26" t="e">
        <f t="shared" si="10"/>
        <v>#REF!</v>
      </c>
      <c r="Q9" s="27" t="e">
        <f t="shared" si="11"/>
        <v>#VALUE!</v>
      </c>
      <c r="R9" s="27"/>
      <c r="S9" s="26">
        <f t="shared" si="12"/>
        <v>1375</v>
      </c>
      <c r="T9" s="26" t="e">
        <f t="shared" si="13"/>
        <v>#REF!</v>
      </c>
      <c r="U9" s="27" t="e">
        <f t="shared" si="14"/>
        <v>#REF!</v>
      </c>
      <c r="V9" s="27"/>
      <c r="W9" s="26">
        <f t="shared" si="15"/>
        <v>1869</v>
      </c>
      <c r="X9" s="26" t="e">
        <f t="shared" si="16"/>
        <v>#REF!</v>
      </c>
      <c r="Y9" s="27" t="e">
        <f t="shared" si="17"/>
        <v>#REF!</v>
      </c>
    </row>
    <row r="10" spans="1:25" ht="16.5" customHeight="1" x14ac:dyDescent="0.25">
      <c r="A10" s="16" t="s">
        <v>24</v>
      </c>
      <c r="B10" s="17" t="s">
        <v>25</v>
      </c>
      <c r="C10" s="25">
        <f t="shared" si="0"/>
        <v>3245</v>
      </c>
      <c r="D10" s="25" t="e">
        <f t="shared" si="1"/>
        <v>#REF!</v>
      </c>
      <c r="E10" s="27" t="e">
        <f t="shared" si="2"/>
        <v>#REF!</v>
      </c>
      <c r="F10" s="27"/>
      <c r="G10" s="25">
        <f t="shared" si="3"/>
        <v>1570</v>
      </c>
      <c r="H10" s="25" t="e">
        <f t="shared" si="4"/>
        <v>#REF!</v>
      </c>
      <c r="I10" s="27" t="e">
        <f t="shared" si="5"/>
        <v>#REF!</v>
      </c>
      <c r="J10" s="27"/>
      <c r="K10" s="25">
        <f t="shared" si="6"/>
        <v>2778</v>
      </c>
      <c r="L10" s="25" t="e">
        <f t="shared" si="7"/>
        <v>#REF!</v>
      </c>
      <c r="M10" s="27" t="e">
        <f t="shared" si="8"/>
        <v>#REF!</v>
      </c>
      <c r="N10" s="39"/>
      <c r="O10" s="36" t="str">
        <f t="shared" si="9"/>
        <v>Northern</v>
      </c>
      <c r="P10" s="26" t="e">
        <f t="shared" si="10"/>
        <v>#REF!</v>
      </c>
      <c r="Q10" s="27" t="e">
        <f t="shared" si="11"/>
        <v>#VALUE!</v>
      </c>
      <c r="R10" s="27"/>
      <c r="S10" s="26">
        <f t="shared" si="12"/>
        <v>5109</v>
      </c>
      <c r="T10" s="26" t="e">
        <f t="shared" si="13"/>
        <v>#REF!</v>
      </c>
      <c r="U10" s="27" t="e">
        <f t="shared" si="14"/>
        <v>#REF!</v>
      </c>
      <c r="V10" s="27"/>
      <c r="W10" s="26">
        <f t="shared" si="15"/>
        <v>6446</v>
      </c>
      <c r="X10" s="26" t="e">
        <f t="shared" si="16"/>
        <v>#REF!</v>
      </c>
      <c r="Y10" s="27" t="e">
        <f t="shared" si="17"/>
        <v>#REF!</v>
      </c>
    </row>
    <row r="11" spans="1:25" ht="16.5" customHeight="1" x14ac:dyDescent="0.25">
      <c r="A11" s="16" t="s">
        <v>26</v>
      </c>
      <c r="B11" s="17" t="s">
        <v>298</v>
      </c>
      <c r="C11" s="25">
        <f t="shared" si="0"/>
        <v>3048</v>
      </c>
      <c r="D11" s="25" t="e">
        <f t="shared" si="1"/>
        <v>#REF!</v>
      </c>
      <c r="E11" s="27" t="e">
        <f t="shared" si="2"/>
        <v>#REF!</v>
      </c>
      <c r="F11" s="27"/>
      <c r="G11" s="25">
        <f t="shared" si="3"/>
        <v>518</v>
      </c>
      <c r="H11" s="25" t="e">
        <f t="shared" si="4"/>
        <v>#REF!</v>
      </c>
      <c r="I11" s="27" t="e">
        <f t="shared" si="5"/>
        <v>#REF!</v>
      </c>
      <c r="J11" s="27"/>
      <c r="K11" s="25">
        <f t="shared" si="6"/>
        <v>2012</v>
      </c>
      <c r="L11" s="25" t="e">
        <f t="shared" si="7"/>
        <v>#REF!</v>
      </c>
      <c r="M11" s="27" t="e">
        <f t="shared" si="8"/>
        <v>#REF!</v>
      </c>
      <c r="N11" s="39"/>
      <c r="O11" s="36" t="str">
        <f t="shared" si="9"/>
        <v>Piedmont</v>
      </c>
      <c r="P11" s="26" t="e">
        <f t="shared" si="10"/>
        <v>#REF!</v>
      </c>
      <c r="Q11" s="27" t="e">
        <f t="shared" si="11"/>
        <v>#VALUE!</v>
      </c>
      <c r="R11" s="27"/>
      <c r="S11" s="26">
        <f t="shared" si="12"/>
        <v>7904</v>
      </c>
      <c r="T11" s="26" t="e">
        <f t="shared" si="13"/>
        <v>#REF!</v>
      </c>
      <c r="U11" s="27" t="e">
        <f t="shared" si="14"/>
        <v>#REF!</v>
      </c>
      <c r="V11" s="27"/>
      <c r="W11" s="26">
        <f t="shared" si="15"/>
        <v>10449</v>
      </c>
      <c r="X11" s="26" t="e">
        <f t="shared" si="16"/>
        <v>#REF!</v>
      </c>
      <c r="Y11" s="27" t="e">
        <f t="shared" si="17"/>
        <v>#REF!</v>
      </c>
    </row>
    <row r="12" spans="1:25" ht="16.5" customHeight="1" x14ac:dyDescent="0.25">
      <c r="A12" s="16" t="s">
        <v>27</v>
      </c>
      <c r="B12" s="17" t="s">
        <v>28</v>
      </c>
      <c r="C12" s="25">
        <f t="shared" si="0"/>
        <v>19</v>
      </c>
      <c r="D12" s="25" t="e">
        <f t="shared" si="1"/>
        <v>#REF!</v>
      </c>
      <c r="E12" s="27" t="e">
        <f t="shared" si="2"/>
        <v>#REF!</v>
      </c>
      <c r="F12" s="27"/>
      <c r="G12" s="25">
        <f t="shared" si="3"/>
        <v>12</v>
      </c>
      <c r="H12" s="25" t="e">
        <f t="shared" si="4"/>
        <v>#REF!</v>
      </c>
      <c r="I12" s="27" t="e">
        <f t="shared" si="5"/>
        <v>#REF!</v>
      </c>
      <c r="J12" s="27"/>
      <c r="K12" s="25">
        <f t="shared" si="6"/>
        <v>28</v>
      </c>
      <c r="L12" s="25" t="e">
        <f t="shared" si="7"/>
        <v>#REF!</v>
      </c>
      <c r="M12" s="27" t="e">
        <f t="shared" si="8"/>
        <v>#REF!</v>
      </c>
      <c r="N12" s="39"/>
      <c r="O12" s="36" t="str">
        <f t="shared" si="9"/>
        <v>Piedmont</v>
      </c>
      <c r="P12" s="26" t="e">
        <f t="shared" si="10"/>
        <v>#REF!</v>
      </c>
      <c r="Q12" s="27" t="e">
        <f t="shared" si="11"/>
        <v>#VALUE!</v>
      </c>
      <c r="R12" s="27"/>
      <c r="S12" s="26">
        <f t="shared" si="12"/>
        <v>213</v>
      </c>
      <c r="T12" s="26" t="e">
        <f t="shared" si="13"/>
        <v>#REF!</v>
      </c>
      <c r="U12" s="27" t="e">
        <f t="shared" si="14"/>
        <v>#REF!</v>
      </c>
      <c r="V12" s="27"/>
      <c r="W12" s="26">
        <f t="shared" si="15"/>
        <v>291</v>
      </c>
      <c r="X12" s="26" t="e">
        <f t="shared" si="16"/>
        <v>#REF!</v>
      </c>
      <c r="Y12" s="27" t="e">
        <f t="shared" si="17"/>
        <v>#REF!</v>
      </c>
    </row>
    <row r="13" spans="1:25" ht="16.5" customHeight="1" x14ac:dyDescent="0.25">
      <c r="A13" s="16" t="s">
        <v>29</v>
      </c>
      <c r="B13" s="17" t="s">
        <v>307</v>
      </c>
      <c r="C13" s="25">
        <f t="shared" si="0"/>
        <v>1253</v>
      </c>
      <c r="D13" s="25" t="e">
        <f t="shared" si="1"/>
        <v>#REF!</v>
      </c>
      <c r="E13" s="27" t="e">
        <f t="shared" si="2"/>
        <v>#REF!</v>
      </c>
      <c r="F13" s="27"/>
      <c r="G13" s="25">
        <f t="shared" si="3"/>
        <v>209</v>
      </c>
      <c r="H13" s="25" t="e">
        <f t="shared" si="4"/>
        <v>#REF!</v>
      </c>
      <c r="I13" s="27" t="e">
        <f t="shared" si="5"/>
        <v>#REF!</v>
      </c>
      <c r="J13" s="27"/>
      <c r="K13" s="25">
        <f t="shared" si="6"/>
        <v>993</v>
      </c>
      <c r="L13" s="25" t="e">
        <f t="shared" si="7"/>
        <v>#REF!</v>
      </c>
      <c r="M13" s="27" t="e">
        <f t="shared" si="8"/>
        <v>#REF!</v>
      </c>
      <c r="N13" s="39"/>
      <c r="O13" s="36" t="str">
        <f t="shared" si="9"/>
        <v>Piedmont</v>
      </c>
      <c r="P13" s="26" t="e">
        <f t="shared" si="10"/>
        <v>#REF!</v>
      </c>
      <c r="Q13" s="27" t="e">
        <f t="shared" si="11"/>
        <v>#VALUE!</v>
      </c>
      <c r="R13" s="27"/>
      <c r="S13" s="26">
        <f t="shared" si="12"/>
        <v>3657</v>
      </c>
      <c r="T13" s="26" t="e">
        <f t="shared" si="13"/>
        <v>#REF!</v>
      </c>
      <c r="U13" s="27" t="e">
        <f t="shared" si="14"/>
        <v>#REF!</v>
      </c>
      <c r="V13" s="27"/>
      <c r="W13" s="26">
        <f t="shared" si="15"/>
        <v>4754</v>
      </c>
      <c r="X13" s="26" t="e">
        <f t="shared" si="16"/>
        <v>#REF!</v>
      </c>
      <c r="Y13" s="27" t="e">
        <f t="shared" si="17"/>
        <v>#REF!</v>
      </c>
    </row>
    <row r="14" spans="1:25" ht="16.5" customHeight="1" x14ac:dyDescent="0.25">
      <c r="A14" s="16" t="s">
        <v>30</v>
      </c>
      <c r="B14" s="32" t="s">
        <v>31</v>
      </c>
      <c r="C14" s="25">
        <f t="shared" si="0"/>
        <v>26</v>
      </c>
      <c r="D14" s="25" t="e">
        <f t="shared" si="1"/>
        <v>#REF!</v>
      </c>
      <c r="E14" s="27" t="e">
        <f t="shared" si="2"/>
        <v>#REF!</v>
      </c>
      <c r="F14" s="27"/>
      <c r="G14" s="25">
        <f t="shared" si="3"/>
        <v>6</v>
      </c>
      <c r="H14" s="25" t="e">
        <f t="shared" si="4"/>
        <v>#REF!</v>
      </c>
      <c r="I14" s="27" t="e">
        <f t="shared" si="5"/>
        <v>#REF!</v>
      </c>
      <c r="J14" s="27"/>
      <c r="K14" s="25">
        <f t="shared" si="6"/>
        <v>87</v>
      </c>
      <c r="L14" s="25" t="e">
        <f t="shared" si="7"/>
        <v>#REF!</v>
      </c>
      <c r="M14" s="27" t="e">
        <f t="shared" si="8"/>
        <v>#REF!</v>
      </c>
      <c r="N14" s="39"/>
      <c r="O14" s="36" t="str">
        <f t="shared" si="9"/>
        <v>Western</v>
      </c>
      <c r="P14" s="26" t="e">
        <f t="shared" si="10"/>
        <v>#REF!</v>
      </c>
      <c r="Q14" s="27" t="e">
        <f t="shared" si="11"/>
        <v>#VALUE!</v>
      </c>
      <c r="R14" s="27"/>
      <c r="S14" s="26">
        <f t="shared" si="12"/>
        <v>301</v>
      </c>
      <c r="T14" s="26" t="e">
        <f t="shared" si="13"/>
        <v>#REF!</v>
      </c>
      <c r="U14" s="27" t="e">
        <f t="shared" si="14"/>
        <v>#REF!</v>
      </c>
      <c r="V14" s="27"/>
      <c r="W14" s="26">
        <f t="shared" si="15"/>
        <v>473</v>
      </c>
      <c r="X14" s="26" t="e">
        <f t="shared" si="16"/>
        <v>#REF!</v>
      </c>
      <c r="Y14" s="27" t="e">
        <f t="shared" si="17"/>
        <v>#REF!</v>
      </c>
    </row>
    <row r="15" spans="1:25" ht="16.5" customHeight="1" x14ac:dyDescent="0.25">
      <c r="A15" s="16" t="s">
        <v>32</v>
      </c>
      <c r="B15" s="17" t="s">
        <v>33</v>
      </c>
      <c r="C15" s="25">
        <f t="shared" si="0"/>
        <v>125</v>
      </c>
      <c r="D15" s="25" t="e">
        <f t="shared" si="1"/>
        <v>#REF!</v>
      </c>
      <c r="E15" s="27" t="e">
        <f t="shared" si="2"/>
        <v>#REF!</v>
      </c>
      <c r="F15" s="27"/>
      <c r="G15" s="25">
        <f t="shared" si="3"/>
        <v>166</v>
      </c>
      <c r="H15" s="25" t="e">
        <f t="shared" si="4"/>
        <v>#REF!</v>
      </c>
      <c r="I15" s="27" t="e">
        <f t="shared" si="5"/>
        <v>#REF!</v>
      </c>
      <c r="J15" s="27"/>
      <c r="K15" s="25">
        <f t="shared" si="6"/>
        <v>155</v>
      </c>
      <c r="L15" s="25" t="e">
        <f t="shared" si="7"/>
        <v>#REF!</v>
      </c>
      <c r="M15" s="27" t="e">
        <f t="shared" si="8"/>
        <v>#REF!</v>
      </c>
      <c r="N15" s="39"/>
      <c r="O15" s="36" t="str">
        <f t="shared" si="9"/>
        <v>Piedmont</v>
      </c>
      <c r="P15" s="26" t="e">
        <f t="shared" si="10"/>
        <v>#REF!</v>
      </c>
      <c r="Q15" s="27" t="e">
        <f t="shared" si="11"/>
        <v>#VALUE!</v>
      </c>
      <c r="R15" s="27"/>
      <c r="S15" s="26">
        <f t="shared" si="12"/>
        <v>1213</v>
      </c>
      <c r="T15" s="26" t="e">
        <f t="shared" si="13"/>
        <v>#REF!</v>
      </c>
      <c r="U15" s="27" t="e">
        <f t="shared" si="14"/>
        <v>#REF!</v>
      </c>
      <c r="V15" s="27"/>
      <c r="W15" s="26">
        <f t="shared" si="15"/>
        <v>1485</v>
      </c>
      <c r="X15" s="26" t="e">
        <f t="shared" si="16"/>
        <v>#REF!</v>
      </c>
      <c r="Y15" s="27" t="e">
        <f t="shared" si="17"/>
        <v>#REF!</v>
      </c>
    </row>
    <row r="16" spans="1:25" ht="16.5" customHeight="1" x14ac:dyDescent="0.25">
      <c r="A16" s="16" t="s">
        <v>36</v>
      </c>
      <c r="B16" s="17" t="s">
        <v>37</v>
      </c>
      <c r="C16" s="25">
        <f t="shared" si="0"/>
        <v>3354</v>
      </c>
      <c r="D16" s="25" t="e">
        <f t="shared" si="1"/>
        <v>#REF!</v>
      </c>
      <c r="E16" s="27" t="e">
        <f t="shared" si="2"/>
        <v>#REF!</v>
      </c>
      <c r="F16" s="27"/>
      <c r="G16" s="25">
        <f t="shared" si="3"/>
        <v>88</v>
      </c>
      <c r="H16" s="25" t="e">
        <f t="shared" si="4"/>
        <v>#REF!</v>
      </c>
      <c r="I16" s="27" t="e">
        <f t="shared" si="5"/>
        <v>#REF!</v>
      </c>
      <c r="J16" s="27"/>
      <c r="K16" s="25">
        <f t="shared" si="6"/>
        <v>126</v>
      </c>
      <c r="L16" s="25" t="e">
        <f t="shared" si="7"/>
        <v>#REF!</v>
      </c>
      <c r="M16" s="27" t="e">
        <f t="shared" si="8"/>
        <v>#REF!</v>
      </c>
      <c r="N16" s="39"/>
      <c r="O16" s="36" t="str">
        <f t="shared" si="9"/>
        <v>Eastern</v>
      </c>
      <c r="P16" s="26" t="e">
        <f t="shared" si="10"/>
        <v>#REF!</v>
      </c>
      <c r="Q16" s="27" t="e">
        <f t="shared" si="11"/>
        <v>#VALUE!</v>
      </c>
      <c r="R16" s="27"/>
      <c r="S16" s="26">
        <f t="shared" si="12"/>
        <v>1647</v>
      </c>
      <c r="T16" s="26" t="e">
        <f t="shared" si="13"/>
        <v>#REF!</v>
      </c>
      <c r="U16" s="27" t="e">
        <f t="shared" si="14"/>
        <v>#REF!</v>
      </c>
      <c r="V16" s="27"/>
      <c r="W16" s="26">
        <f t="shared" si="15"/>
        <v>2558</v>
      </c>
      <c r="X16" s="26" t="e">
        <f t="shared" si="16"/>
        <v>#REF!</v>
      </c>
      <c r="Y16" s="27" t="e">
        <f t="shared" si="17"/>
        <v>#REF!</v>
      </c>
    </row>
    <row r="17" spans="1:25" ht="16.5" customHeight="1" x14ac:dyDescent="0.25">
      <c r="A17" s="16" t="s">
        <v>38</v>
      </c>
      <c r="B17" s="32" t="s">
        <v>39</v>
      </c>
      <c r="C17" s="25">
        <f t="shared" si="0"/>
        <v>25</v>
      </c>
      <c r="D17" s="25" t="e">
        <f t="shared" si="1"/>
        <v>#REF!</v>
      </c>
      <c r="E17" s="27" t="e">
        <f t="shared" si="2"/>
        <v>#REF!</v>
      </c>
      <c r="F17" s="27"/>
      <c r="G17" s="25">
        <f t="shared" si="3"/>
        <v>13</v>
      </c>
      <c r="H17" s="25" t="e">
        <f t="shared" si="4"/>
        <v>#REF!</v>
      </c>
      <c r="I17" s="27" t="e">
        <f t="shared" si="5"/>
        <v>#REF!</v>
      </c>
      <c r="J17" s="27"/>
      <c r="K17" s="25">
        <f t="shared" si="6"/>
        <v>329</v>
      </c>
      <c r="L17" s="25" t="e">
        <f t="shared" si="7"/>
        <v>#REF!</v>
      </c>
      <c r="M17" s="27" t="e">
        <f t="shared" si="8"/>
        <v>#REF!</v>
      </c>
      <c r="N17" s="39"/>
      <c r="O17" s="36" t="str">
        <f t="shared" si="9"/>
        <v>Western</v>
      </c>
      <c r="P17" s="26" t="e">
        <f t="shared" si="10"/>
        <v>#REF!</v>
      </c>
      <c r="Q17" s="27" t="e">
        <f t="shared" si="11"/>
        <v>#VALUE!</v>
      </c>
      <c r="R17" s="27"/>
      <c r="S17" s="26">
        <f t="shared" si="12"/>
        <v>2001</v>
      </c>
      <c r="T17" s="26" t="e">
        <f t="shared" si="13"/>
        <v>#REF!</v>
      </c>
      <c r="U17" s="27" t="e">
        <f t="shared" si="14"/>
        <v>#REF!</v>
      </c>
      <c r="V17" s="27"/>
      <c r="W17" s="26">
        <f t="shared" si="15"/>
        <v>3985</v>
      </c>
      <c r="X17" s="26" t="e">
        <f t="shared" si="16"/>
        <v>#REF!</v>
      </c>
      <c r="Y17" s="27" t="e">
        <f t="shared" si="17"/>
        <v>#REF!</v>
      </c>
    </row>
    <row r="18" spans="1:25" ht="16.5" customHeight="1" x14ac:dyDescent="0.25">
      <c r="A18" s="16" t="s">
        <v>40</v>
      </c>
      <c r="B18" s="32" t="s">
        <v>41</v>
      </c>
      <c r="C18" s="25">
        <f t="shared" si="0"/>
        <v>1654</v>
      </c>
      <c r="D18" s="25" t="e">
        <f t="shared" si="1"/>
        <v>#REF!</v>
      </c>
      <c r="E18" s="27" t="e">
        <f t="shared" si="2"/>
        <v>#REF!</v>
      </c>
      <c r="F18" s="27"/>
      <c r="G18" s="25">
        <f t="shared" si="3"/>
        <v>114</v>
      </c>
      <c r="H18" s="25" t="e">
        <f t="shared" si="4"/>
        <v>#REF!</v>
      </c>
      <c r="I18" s="27" t="e">
        <f t="shared" si="5"/>
        <v>#REF!</v>
      </c>
      <c r="J18" s="27"/>
      <c r="K18" s="25">
        <f t="shared" si="6"/>
        <v>278</v>
      </c>
      <c r="L18" s="25" t="e">
        <f t="shared" si="7"/>
        <v>#REF!</v>
      </c>
      <c r="M18" s="27" t="e">
        <f t="shared" si="8"/>
        <v>#REF!</v>
      </c>
      <c r="N18" s="39"/>
      <c r="O18" s="36" t="str">
        <f t="shared" si="9"/>
        <v>Central</v>
      </c>
      <c r="P18" s="26" t="e">
        <f t="shared" si="10"/>
        <v>#REF!</v>
      </c>
      <c r="Q18" s="27" t="e">
        <f t="shared" si="11"/>
        <v>#VALUE!</v>
      </c>
      <c r="R18" s="27"/>
      <c r="S18" s="26">
        <f t="shared" si="12"/>
        <v>1505</v>
      </c>
      <c r="T18" s="26" t="e">
        <f t="shared" si="13"/>
        <v>#REF!</v>
      </c>
      <c r="U18" s="27" t="e">
        <f t="shared" si="14"/>
        <v>#REF!</v>
      </c>
      <c r="V18" s="27"/>
      <c r="W18" s="26">
        <f t="shared" si="15"/>
        <v>2102</v>
      </c>
      <c r="X18" s="26" t="e">
        <f t="shared" si="16"/>
        <v>#REF!</v>
      </c>
      <c r="Y18" s="27" t="e">
        <f t="shared" si="17"/>
        <v>#REF!</v>
      </c>
    </row>
    <row r="19" spans="1:25" ht="16.5" customHeight="1" x14ac:dyDescent="0.25">
      <c r="A19" s="16" t="s">
        <v>42</v>
      </c>
      <c r="B19" s="17" t="s">
        <v>43</v>
      </c>
      <c r="C19" s="25">
        <f t="shared" si="0"/>
        <v>2363</v>
      </c>
      <c r="D19" s="25" t="e">
        <f t="shared" si="1"/>
        <v>#REF!</v>
      </c>
      <c r="E19" s="27" t="e">
        <f t="shared" si="2"/>
        <v>#REF!</v>
      </c>
      <c r="F19" s="27"/>
      <c r="G19" s="25">
        <f t="shared" si="3"/>
        <v>254</v>
      </c>
      <c r="H19" s="25" t="e">
        <f t="shared" si="4"/>
        <v>#REF!</v>
      </c>
      <c r="I19" s="27" t="e">
        <f t="shared" si="5"/>
        <v>#REF!</v>
      </c>
      <c r="J19" s="27"/>
      <c r="K19" s="25">
        <f t="shared" si="6"/>
        <v>1187</v>
      </c>
      <c r="L19" s="25" t="e">
        <f t="shared" si="7"/>
        <v>#REF!</v>
      </c>
      <c r="M19" s="27" t="e">
        <f t="shared" si="8"/>
        <v>#REF!</v>
      </c>
      <c r="N19" s="39"/>
      <c r="O19" s="36" t="str">
        <f t="shared" si="9"/>
        <v>Piedmont</v>
      </c>
      <c r="P19" s="26" t="e">
        <f t="shared" si="10"/>
        <v>#REF!</v>
      </c>
      <c r="Q19" s="27" t="e">
        <f t="shared" si="11"/>
        <v>#VALUE!</v>
      </c>
      <c r="R19" s="27"/>
      <c r="S19" s="26">
        <f t="shared" si="12"/>
        <v>4197</v>
      </c>
      <c r="T19" s="26" t="e">
        <f t="shared" si="13"/>
        <v>#REF!</v>
      </c>
      <c r="U19" s="27" t="e">
        <f t="shared" si="14"/>
        <v>#REF!</v>
      </c>
      <c r="V19" s="27"/>
      <c r="W19" s="26">
        <f t="shared" si="15"/>
        <v>5668</v>
      </c>
      <c r="X19" s="26" t="e">
        <f t="shared" si="16"/>
        <v>#REF!</v>
      </c>
      <c r="Y19" s="27" t="e">
        <f t="shared" si="17"/>
        <v>#REF!</v>
      </c>
    </row>
    <row r="20" spans="1:25" ht="16.5" customHeight="1" x14ac:dyDescent="0.25">
      <c r="A20" s="16" t="s">
        <v>44</v>
      </c>
      <c r="B20" s="17" t="s">
        <v>45</v>
      </c>
      <c r="C20" s="25">
        <f t="shared" si="0"/>
        <v>2162</v>
      </c>
      <c r="D20" s="25" t="e">
        <f t="shared" si="1"/>
        <v>#REF!</v>
      </c>
      <c r="E20" s="27" t="e">
        <f t="shared" si="2"/>
        <v>#REF!</v>
      </c>
      <c r="F20" s="27"/>
      <c r="G20" s="25">
        <f t="shared" si="3"/>
        <v>225</v>
      </c>
      <c r="H20" s="25" t="e">
        <f t="shared" si="4"/>
        <v>#REF!</v>
      </c>
      <c r="I20" s="27" t="e">
        <f t="shared" si="5"/>
        <v>#REF!</v>
      </c>
      <c r="J20" s="27"/>
      <c r="K20" s="25">
        <f t="shared" si="6"/>
        <v>967</v>
      </c>
      <c r="L20" s="25" t="e">
        <f t="shared" si="7"/>
        <v>#REF!</v>
      </c>
      <c r="M20" s="27" t="e">
        <f t="shared" si="8"/>
        <v>#REF!</v>
      </c>
      <c r="N20" s="39"/>
      <c r="O20" s="36" t="str">
        <f t="shared" si="9"/>
        <v>Central</v>
      </c>
      <c r="P20" s="26" t="e">
        <f t="shared" si="10"/>
        <v>#REF!</v>
      </c>
      <c r="Q20" s="27" t="e">
        <f t="shared" si="11"/>
        <v>#VALUE!</v>
      </c>
      <c r="R20" s="27"/>
      <c r="S20" s="26">
        <f t="shared" si="12"/>
        <v>2754</v>
      </c>
      <c r="T20" s="26" t="e">
        <f t="shared" si="13"/>
        <v>#REF!</v>
      </c>
      <c r="U20" s="27" t="e">
        <f t="shared" si="14"/>
        <v>#REF!</v>
      </c>
      <c r="V20" s="27"/>
      <c r="W20" s="26">
        <f t="shared" si="15"/>
        <v>3402</v>
      </c>
      <c r="X20" s="26" t="e">
        <f t="shared" si="16"/>
        <v>#REF!</v>
      </c>
      <c r="Y20" s="27" t="e">
        <f t="shared" si="17"/>
        <v>#REF!</v>
      </c>
    </row>
    <row r="21" spans="1:25" ht="16.5" customHeight="1" x14ac:dyDescent="0.25">
      <c r="A21" s="16" t="s">
        <v>46</v>
      </c>
      <c r="B21" s="32" t="s">
        <v>47</v>
      </c>
      <c r="C21" s="25">
        <f t="shared" si="0"/>
        <v>98</v>
      </c>
      <c r="D21" s="25" t="e">
        <f t="shared" si="1"/>
        <v>#REF!</v>
      </c>
      <c r="E21" s="27" t="e">
        <f t="shared" si="2"/>
        <v>#REF!</v>
      </c>
      <c r="F21" s="27"/>
      <c r="G21" s="25">
        <f t="shared" si="3"/>
        <v>155</v>
      </c>
      <c r="H21" s="25" t="e">
        <f t="shared" si="4"/>
        <v>#REF!</v>
      </c>
      <c r="I21" s="27" t="e">
        <f t="shared" si="5"/>
        <v>#REF!</v>
      </c>
      <c r="J21" s="27"/>
      <c r="K21" s="25">
        <f t="shared" si="6"/>
        <v>757</v>
      </c>
      <c r="L21" s="25" t="e">
        <f t="shared" si="7"/>
        <v>#REF!</v>
      </c>
      <c r="M21" s="27" t="e">
        <f t="shared" si="8"/>
        <v>#REF!</v>
      </c>
      <c r="N21" s="39"/>
      <c r="O21" s="36" t="str">
        <f t="shared" si="9"/>
        <v>Western</v>
      </c>
      <c r="P21" s="26" t="e">
        <f t="shared" si="10"/>
        <v>#REF!</v>
      </c>
      <c r="Q21" s="27" t="e">
        <f t="shared" si="11"/>
        <v>#VALUE!</v>
      </c>
      <c r="R21" s="27"/>
      <c r="S21" s="26">
        <f t="shared" si="12"/>
        <v>2457</v>
      </c>
      <c r="T21" s="26" t="e">
        <f t="shared" si="13"/>
        <v>#REF!</v>
      </c>
      <c r="U21" s="27" t="e">
        <f t="shared" si="14"/>
        <v>#REF!</v>
      </c>
      <c r="V21" s="27"/>
      <c r="W21" s="26">
        <f t="shared" si="15"/>
        <v>3897</v>
      </c>
      <c r="X21" s="26" t="e">
        <f t="shared" si="16"/>
        <v>#REF!</v>
      </c>
      <c r="Y21" s="27" t="e">
        <f t="shared" si="17"/>
        <v>#REF!</v>
      </c>
    </row>
    <row r="22" spans="1:25" ht="16.5" customHeight="1" x14ac:dyDescent="0.25">
      <c r="A22" s="16" t="s">
        <v>48</v>
      </c>
      <c r="B22" s="17" t="s">
        <v>269</v>
      </c>
      <c r="C22" s="25">
        <f t="shared" si="0"/>
        <v>690</v>
      </c>
      <c r="D22" s="25" t="e">
        <f t="shared" si="1"/>
        <v>#REF!</v>
      </c>
      <c r="E22" s="27" t="e">
        <f t="shared" si="2"/>
        <v>#REF!</v>
      </c>
      <c r="F22" s="27"/>
      <c r="G22" s="25">
        <f t="shared" si="3"/>
        <v>51</v>
      </c>
      <c r="H22" s="25" t="e">
        <f t="shared" si="4"/>
        <v>#REF!</v>
      </c>
      <c r="I22" s="27" t="e">
        <f t="shared" si="5"/>
        <v>#REF!</v>
      </c>
      <c r="J22" s="27"/>
      <c r="K22" s="25">
        <f t="shared" si="6"/>
        <v>174</v>
      </c>
      <c r="L22" s="25" t="e">
        <f t="shared" si="7"/>
        <v>#REF!</v>
      </c>
      <c r="M22" s="27" t="e">
        <f t="shared" si="8"/>
        <v>#REF!</v>
      </c>
      <c r="N22" s="39"/>
      <c r="O22" s="36" t="str">
        <f t="shared" si="9"/>
        <v>Central</v>
      </c>
      <c r="P22" s="26" t="e">
        <f t="shared" si="10"/>
        <v>#REF!</v>
      </c>
      <c r="Q22" s="27" t="e">
        <f t="shared" si="11"/>
        <v>#VALUE!</v>
      </c>
      <c r="R22" s="27"/>
      <c r="S22" s="26">
        <f t="shared" si="12"/>
        <v>478</v>
      </c>
      <c r="T22" s="26" t="e">
        <f t="shared" si="13"/>
        <v>#REF!</v>
      </c>
      <c r="U22" s="27" t="e">
        <f t="shared" si="14"/>
        <v>#REF!</v>
      </c>
      <c r="V22" s="27"/>
      <c r="W22" s="26">
        <f t="shared" si="15"/>
        <v>761</v>
      </c>
      <c r="X22" s="26" t="e">
        <f t="shared" si="16"/>
        <v>#REF!</v>
      </c>
      <c r="Y22" s="27" t="e">
        <f t="shared" si="17"/>
        <v>#REF!</v>
      </c>
    </row>
    <row r="23" spans="1:25" ht="16.5" customHeight="1" x14ac:dyDescent="0.25">
      <c r="A23" s="16" t="s">
        <v>50</v>
      </c>
      <c r="B23" s="32" t="s">
        <v>51</v>
      </c>
      <c r="C23" s="25">
        <f t="shared" si="0"/>
        <v>1462</v>
      </c>
      <c r="D23" s="25" t="e">
        <f t="shared" si="1"/>
        <v>#REF!</v>
      </c>
      <c r="E23" s="27" t="e">
        <f t="shared" si="2"/>
        <v>#REF!</v>
      </c>
      <c r="F23" s="27"/>
      <c r="G23" s="25">
        <f t="shared" si="3"/>
        <v>93</v>
      </c>
      <c r="H23" s="25" t="e">
        <f t="shared" si="4"/>
        <v>#REF!</v>
      </c>
      <c r="I23" s="27" t="e">
        <f t="shared" si="5"/>
        <v>#REF!</v>
      </c>
      <c r="J23" s="27"/>
      <c r="K23" s="25">
        <f t="shared" si="6"/>
        <v>125</v>
      </c>
      <c r="L23" s="25" t="e">
        <f t="shared" si="7"/>
        <v>#REF!</v>
      </c>
      <c r="M23" s="27" t="e">
        <f t="shared" si="8"/>
        <v>#REF!</v>
      </c>
      <c r="N23" s="39"/>
      <c r="O23" s="36" t="str">
        <f t="shared" si="9"/>
        <v>Piedmont</v>
      </c>
      <c r="P23" s="26" t="e">
        <f t="shared" si="10"/>
        <v>#REF!</v>
      </c>
      <c r="Q23" s="27" t="e">
        <f t="shared" si="11"/>
        <v>#VALUE!</v>
      </c>
      <c r="R23" s="27"/>
      <c r="S23" s="26">
        <f t="shared" si="12"/>
        <v>1152</v>
      </c>
      <c r="T23" s="26" t="e">
        <f t="shared" si="13"/>
        <v>#REF!</v>
      </c>
      <c r="U23" s="27" t="e">
        <f t="shared" si="14"/>
        <v>#REF!</v>
      </c>
      <c r="V23" s="27"/>
      <c r="W23" s="26">
        <f t="shared" si="15"/>
        <v>1599</v>
      </c>
      <c r="X23" s="26" t="e">
        <f t="shared" si="16"/>
        <v>#REF!</v>
      </c>
      <c r="Y23" s="27" t="e">
        <f t="shared" si="17"/>
        <v>#REF!</v>
      </c>
    </row>
    <row r="24" spans="1:25" ht="16.5" customHeight="1" x14ac:dyDescent="0.25">
      <c r="A24" s="16" t="s">
        <v>56</v>
      </c>
      <c r="B24" s="17" t="s">
        <v>295</v>
      </c>
      <c r="C24" s="25">
        <f t="shared" si="0"/>
        <v>15732</v>
      </c>
      <c r="D24" s="25" t="e">
        <f t="shared" si="1"/>
        <v>#REF!</v>
      </c>
      <c r="E24" s="27" t="e">
        <f t="shared" si="2"/>
        <v>#REF!</v>
      </c>
      <c r="F24" s="27"/>
      <c r="G24" s="25">
        <f t="shared" si="3"/>
        <v>3472</v>
      </c>
      <c r="H24" s="25" t="e">
        <f t="shared" si="4"/>
        <v>#REF!</v>
      </c>
      <c r="I24" s="27" t="e">
        <f t="shared" si="5"/>
        <v>#REF!</v>
      </c>
      <c r="J24" s="27"/>
      <c r="K24" s="25">
        <f t="shared" si="6"/>
        <v>8497</v>
      </c>
      <c r="L24" s="25" t="e">
        <f t="shared" si="7"/>
        <v>#REF!</v>
      </c>
      <c r="M24" s="27" t="e">
        <f t="shared" si="8"/>
        <v>#REF!</v>
      </c>
      <c r="N24" s="39"/>
      <c r="O24" s="36" t="str">
        <f t="shared" si="9"/>
        <v>Central</v>
      </c>
      <c r="P24" s="26" t="e">
        <f t="shared" si="10"/>
        <v>#REF!</v>
      </c>
      <c r="Q24" s="27" t="e">
        <f t="shared" si="11"/>
        <v>#VALUE!</v>
      </c>
      <c r="R24" s="27"/>
      <c r="S24" s="26">
        <f t="shared" si="12"/>
        <v>21455</v>
      </c>
      <c r="T24" s="26" t="e">
        <f t="shared" si="13"/>
        <v>#REF!</v>
      </c>
      <c r="U24" s="27" t="e">
        <f t="shared" si="14"/>
        <v>#REF!</v>
      </c>
      <c r="V24" s="27"/>
      <c r="W24" s="26">
        <f t="shared" si="15"/>
        <v>23108</v>
      </c>
      <c r="X24" s="26" t="e">
        <f t="shared" si="16"/>
        <v>#REF!</v>
      </c>
      <c r="Y24" s="27" t="e">
        <f t="shared" si="17"/>
        <v>#REF!</v>
      </c>
    </row>
    <row r="25" spans="1:25" ht="16.5" customHeight="1" x14ac:dyDescent="0.25">
      <c r="A25" s="16" t="s">
        <v>58</v>
      </c>
      <c r="B25" s="17" t="s">
        <v>59</v>
      </c>
      <c r="C25" s="25">
        <f t="shared" si="0"/>
        <v>138</v>
      </c>
      <c r="D25" s="25" t="e">
        <f t="shared" si="1"/>
        <v>#REF!</v>
      </c>
      <c r="E25" s="27" t="e">
        <f t="shared" si="2"/>
        <v>#REF!</v>
      </c>
      <c r="F25" s="27"/>
      <c r="G25" s="25">
        <f t="shared" si="3"/>
        <v>19</v>
      </c>
      <c r="H25" s="25" t="e">
        <f t="shared" si="4"/>
        <v>#REF!</v>
      </c>
      <c r="I25" s="27" t="e">
        <f t="shared" si="5"/>
        <v>#REF!</v>
      </c>
      <c r="J25" s="27"/>
      <c r="K25" s="25">
        <f t="shared" si="6"/>
        <v>79</v>
      </c>
      <c r="L25" s="25" t="e">
        <f t="shared" si="7"/>
        <v>#REF!</v>
      </c>
      <c r="M25" s="27" t="e">
        <f t="shared" si="8"/>
        <v>#REF!</v>
      </c>
      <c r="N25" s="39"/>
      <c r="O25" s="36" t="str">
        <f t="shared" si="9"/>
        <v>Northern</v>
      </c>
      <c r="P25" s="26" t="e">
        <f t="shared" si="10"/>
        <v>#REF!</v>
      </c>
      <c r="Q25" s="27" t="e">
        <f t="shared" si="11"/>
        <v>#VALUE!</v>
      </c>
      <c r="R25" s="27"/>
      <c r="S25" s="26">
        <f t="shared" si="12"/>
        <v>355</v>
      </c>
      <c r="T25" s="26" t="e">
        <f t="shared" si="13"/>
        <v>#REF!</v>
      </c>
      <c r="U25" s="27" t="e">
        <f t="shared" si="14"/>
        <v>#REF!</v>
      </c>
      <c r="V25" s="27"/>
      <c r="W25" s="26">
        <f t="shared" si="15"/>
        <v>466</v>
      </c>
      <c r="X25" s="26" t="e">
        <f t="shared" si="16"/>
        <v>#REF!</v>
      </c>
      <c r="Y25" s="27" t="e">
        <f t="shared" si="17"/>
        <v>#REF!</v>
      </c>
    </row>
    <row r="26" spans="1:25" ht="16.5" customHeight="1" x14ac:dyDescent="0.25">
      <c r="A26" s="16" t="s">
        <v>60</v>
      </c>
      <c r="B26" s="17" t="s">
        <v>61</v>
      </c>
      <c r="C26" s="25">
        <f t="shared" si="0"/>
        <v>8</v>
      </c>
      <c r="D26" s="25" t="e">
        <f t="shared" si="1"/>
        <v>#REF!</v>
      </c>
      <c r="E26" s="27" t="e">
        <f t="shared" si="2"/>
        <v>#REF!</v>
      </c>
      <c r="F26" s="27"/>
      <c r="G26" s="25">
        <f t="shared" si="3"/>
        <v>1</v>
      </c>
      <c r="H26" s="25" t="e">
        <f t="shared" si="4"/>
        <v>#REF!</v>
      </c>
      <c r="I26" s="27" t="e">
        <f t="shared" si="5"/>
        <v>#REF!</v>
      </c>
      <c r="J26" s="27"/>
      <c r="K26" s="25">
        <f t="shared" si="6"/>
        <v>90</v>
      </c>
      <c r="L26" s="25" t="e">
        <f t="shared" si="7"/>
        <v>#REF!</v>
      </c>
      <c r="M26" s="27" t="e">
        <f t="shared" si="8"/>
        <v>#REF!</v>
      </c>
      <c r="N26" s="39"/>
      <c r="O26" s="36" t="str">
        <f t="shared" si="9"/>
        <v>Piedmont</v>
      </c>
      <c r="P26" s="26" t="e">
        <f t="shared" si="10"/>
        <v>#REF!</v>
      </c>
      <c r="Q26" s="27" t="e">
        <f t="shared" si="11"/>
        <v>#VALUE!</v>
      </c>
      <c r="R26" s="27"/>
      <c r="S26" s="26">
        <f t="shared" si="12"/>
        <v>341</v>
      </c>
      <c r="T26" s="26" t="e">
        <f t="shared" si="13"/>
        <v>#REF!</v>
      </c>
      <c r="U26" s="27" t="e">
        <f t="shared" si="14"/>
        <v>#REF!</v>
      </c>
      <c r="V26" s="27"/>
      <c r="W26" s="26">
        <f t="shared" si="15"/>
        <v>467</v>
      </c>
      <c r="X26" s="26" t="e">
        <f t="shared" si="16"/>
        <v>#REF!</v>
      </c>
      <c r="Y26" s="27" t="e">
        <f t="shared" si="17"/>
        <v>#REF!</v>
      </c>
    </row>
    <row r="27" spans="1:25" ht="16.5" customHeight="1" x14ac:dyDescent="0.25">
      <c r="A27" s="16" t="s">
        <v>62</v>
      </c>
      <c r="B27" s="17" t="s">
        <v>63</v>
      </c>
      <c r="C27" s="25">
        <f t="shared" si="0"/>
        <v>2104</v>
      </c>
      <c r="D27" s="25" t="e">
        <f t="shared" si="1"/>
        <v>#REF!</v>
      </c>
      <c r="E27" s="27" t="e">
        <f t="shared" si="2"/>
        <v>#REF!</v>
      </c>
      <c r="F27" s="27"/>
      <c r="G27" s="25">
        <f t="shared" si="3"/>
        <v>566</v>
      </c>
      <c r="H27" s="25" t="e">
        <f t="shared" si="4"/>
        <v>#REF!</v>
      </c>
      <c r="I27" s="27" t="e">
        <f t="shared" si="5"/>
        <v>#REF!</v>
      </c>
      <c r="J27" s="27"/>
      <c r="K27" s="25">
        <f t="shared" si="6"/>
        <v>1558</v>
      </c>
      <c r="L27" s="25" t="e">
        <f t="shared" si="7"/>
        <v>#REF!</v>
      </c>
      <c r="M27" s="27" t="e">
        <f t="shared" si="8"/>
        <v>#REF!</v>
      </c>
      <c r="N27" s="39"/>
      <c r="O27" s="36" t="str">
        <f t="shared" si="9"/>
        <v>Northern</v>
      </c>
      <c r="P27" s="26" t="e">
        <f t="shared" si="10"/>
        <v>#REF!</v>
      </c>
      <c r="Q27" s="27" t="e">
        <f t="shared" si="11"/>
        <v>#VALUE!</v>
      </c>
      <c r="R27" s="27"/>
      <c r="S27" s="26">
        <f t="shared" si="12"/>
        <v>3476</v>
      </c>
      <c r="T27" s="26" t="e">
        <f t="shared" si="13"/>
        <v>#REF!</v>
      </c>
      <c r="U27" s="27" t="e">
        <f t="shared" si="14"/>
        <v>#REF!</v>
      </c>
      <c r="V27" s="27"/>
      <c r="W27" s="26">
        <f t="shared" si="15"/>
        <v>3893</v>
      </c>
      <c r="X27" s="26" t="e">
        <f t="shared" si="16"/>
        <v>#REF!</v>
      </c>
      <c r="Y27" s="27" t="e">
        <f t="shared" si="17"/>
        <v>#REF!</v>
      </c>
    </row>
    <row r="28" spans="1:25" ht="16.5" customHeight="1" x14ac:dyDescent="0.25">
      <c r="A28" s="16" t="s">
        <v>64</v>
      </c>
      <c r="B28" s="17" t="s">
        <v>65</v>
      </c>
      <c r="C28" s="25">
        <f t="shared" si="0"/>
        <v>1177</v>
      </c>
      <c r="D28" s="25" t="e">
        <f t="shared" si="1"/>
        <v>#REF!</v>
      </c>
      <c r="E28" s="27" t="e">
        <f t="shared" si="2"/>
        <v>#REF!</v>
      </c>
      <c r="F28" s="27"/>
      <c r="G28" s="25">
        <f t="shared" si="3"/>
        <v>89</v>
      </c>
      <c r="H28" s="25" t="e">
        <f t="shared" si="4"/>
        <v>#REF!</v>
      </c>
      <c r="I28" s="27" t="e">
        <f t="shared" si="5"/>
        <v>#REF!</v>
      </c>
      <c r="J28" s="27"/>
      <c r="K28" s="25">
        <f t="shared" si="6"/>
        <v>88</v>
      </c>
      <c r="L28" s="25" t="e">
        <f t="shared" si="7"/>
        <v>#REF!</v>
      </c>
      <c r="M28" s="27" t="e">
        <f t="shared" si="8"/>
        <v>#REF!</v>
      </c>
      <c r="N28" s="39"/>
      <c r="O28" s="36" t="str">
        <f t="shared" si="9"/>
        <v>Central</v>
      </c>
      <c r="P28" s="26" t="e">
        <f t="shared" si="10"/>
        <v>#REF!</v>
      </c>
      <c r="Q28" s="27" t="e">
        <f t="shared" si="11"/>
        <v>#VALUE!</v>
      </c>
      <c r="R28" s="27"/>
      <c r="S28" s="26">
        <f t="shared" si="12"/>
        <v>1028</v>
      </c>
      <c r="T28" s="26" t="e">
        <f t="shared" si="13"/>
        <v>#REF!</v>
      </c>
      <c r="U28" s="27" t="e">
        <f t="shared" si="14"/>
        <v>#REF!</v>
      </c>
      <c r="V28" s="27"/>
      <c r="W28" s="26">
        <f t="shared" si="15"/>
        <v>1387</v>
      </c>
      <c r="X28" s="26" t="e">
        <f t="shared" si="16"/>
        <v>#REF!</v>
      </c>
      <c r="Y28" s="27" t="e">
        <f t="shared" si="17"/>
        <v>#REF!</v>
      </c>
    </row>
    <row r="29" spans="1:25" ht="16.5" customHeight="1" x14ac:dyDescent="0.25">
      <c r="A29" s="16" t="s">
        <v>68</v>
      </c>
      <c r="B29" s="17" t="s">
        <v>69</v>
      </c>
      <c r="C29" s="25">
        <f t="shared" si="0"/>
        <v>44</v>
      </c>
      <c r="D29" s="25" t="e">
        <f t="shared" si="1"/>
        <v>#REF!</v>
      </c>
      <c r="E29" s="27" t="e">
        <f t="shared" si="2"/>
        <v>#REF!</v>
      </c>
      <c r="F29" s="27"/>
      <c r="G29" s="25">
        <f t="shared" si="3"/>
        <v>6</v>
      </c>
      <c r="H29" s="25" t="e">
        <f t="shared" si="4"/>
        <v>#REF!</v>
      </c>
      <c r="I29" s="27" t="e">
        <f t="shared" si="5"/>
        <v>#REF!</v>
      </c>
      <c r="J29" s="27"/>
      <c r="K29" s="25">
        <f t="shared" si="6"/>
        <v>209</v>
      </c>
      <c r="L29" s="25" t="e">
        <f t="shared" si="7"/>
        <v>#REF!</v>
      </c>
      <c r="M29" s="27" t="e">
        <f t="shared" si="8"/>
        <v>#REF!</v>
      </c>
      <c r="N29" s="39"/>
      <c r="O29" s="36" t="str">
        <f t="shared" si="9"/>
        <v>Western</v>
      </c>
      <c r="P29" s="26" t="e">
        <f t="shared" si="10"/>
        <v>#REF!</v>
      </c>
      <c r="Q29" s="27" t="e">
        <f t="shared" si="11"/>
        <v>#VALUE!</v>
      </c>
      <c r="R29" s="27"/>
      <c r="S29" s="26">
        <f t="shared" si="12"/>
        <v>1518</v>
      </c>
      <c r="T29" s="26" t="e">
        <f t="shared" si="13"/>
        <v>#REF!</v>
      </c>
      <c r="U29" s="27" t="e">
        <f t="shared" si="14"/>
        <v>#REF!</v>
      </c>
      <c r="V29" s="27"/>
      <c r="W29" s="26">
        <f t="shared" si="15"/>
        <v>2779</v>
      </c>
      <c r="X29" s="26" t="e">
        <f t="shared" si="16"/>
        <v>#REF!</v>
      </c>
      <c r="Y29" s="27" t="e">
        <f t="shared" si="17"/>
        <v>#REF!</v>
      </c>
    </row>
    <row r="30" spans="1:25" ht="16.5" customHeight="1" x14ac:dyDescent="0.25">
      <c r="A30" s="16" t="s">
        <v>70</v>
      </c>
      <c r="B30" s="32" t="s">
        <v>71</v>
      </c>
      <c r="C30" s="25">
        <f t="shared" si="0"/>
        <v>2235</v>
      </c>
      <c r="D30" s="25" t="e">
        <f t="shared" si="1"/>
        <v>#REF!</v>
      </c>
      <c r="E30" s="27" t="e">
        <f t="shared" si="2"/>
        <v>#REF!</v>
      </c>
      <c r="F30" s="27"/>
      <c r="G30" s="25">
        <f t="shared" si="3"/>
        <v>139</v>
      </c>
      <c r="H30" s="25" t="e">
        <f t="shared" si="4"/>
        <v>#REF!</v>
      </c>
      <c r="I30" s="27" t="e">
        <f t="shared" si="5"/>
        <v>#REF!</v>
      </c>
      <c r="J30" s="27"/>
      <c r="K30" s="25">
        <f t="shared" si="6"/>
        <v>896</v>
      </c>
      <c r="L30" s="25" t="e">
        <f t="shared" si="7"/>
        <v>#REF!</v>
      </c>
      <c r="M30" s="27" t="e">
        <f t="shared" si="8"/>
        <v>#REF!</v>
      </c>
      <c r="N30" s="39"/>
      <c r="O30" s="36" t="str">
        <f t="shared" si="9"/>
        <v>Eastern</v>
      </c>
      <c r="P30" s="26" t="e">
        <f t="shared" si="10"/>
        <v>#REF!</v>
      </c>
      <c r="Q30" s="27" t="e">
        <f t="shared" si="11"/>
        <v>#VALUE!</v>
      </c>
      <c r="R30" s="27"/>
      <c r="S30" s="26">
        <f t="shared" si="12"/>
        <v>2544</v>
      </c>
      <c r="T30" s="26" t="e">
        <f t="shared" si="13"/>
        <v>#REF!</v>
      </c>
      <c r="U30" s="27" t="e">
        <f t="shared" si="14"/>
        <v>#REF!</v>
      </c>
      <c r="V30" s="27"/>
      <c r="W30" s="26">
        <f t="shared" si="15"/>
        <v>3367</v>
      </c>
      <c r="X30" s="26" t="e">
        <f t="shared" si="16"/>
        <v>#REF!</v>
      </c>
      <c r="Y30" s="27" t="e">
        <f t="shared" si="17"/>
        <v>#REF!</v>
      </c>
    </row>
    <row r="31" spans="1:25" ht="16.5" customHeight="1" x14ac:dyDescent="0.25">
      <c r="A31" s="16" t="s">
        <v>72</v>
      </c>
      <c r="B31" s="32" t="s">
        <v>73</v>
      </c>
      <c r="C31" s="25">
        <f t="shared" si="0"/>
        <v>1529</v>
      </c>
      <c r="D31" s="25" t="e">
        <f t="shared" si="1"/>
        <v>#REF!</v>
      </c>
      <c r="E31" s="27" t="e">
        <f t="shared" si="2"/>
        <v>#REF!</v>
      </c>
      <c r="F31" s="27"/>
      <c r="G31" s="25">
        <f t="shared" si="3"/>
        <v>59</v>
      </c>
      <c r="H31" s="25" t="e">
        <f t="shared" si="4"/>
        <v>#REF!</v>
      </c>
      <c r="I31" s="27" t="e">
        <f t="shared" si="5"/>
        <v>#REF!</v>
      </c>
      <c r="J31" s="27"/>
      <c r="K31" s="25">
        <f t="shared" si="6"/>
        <v>624</v>
      </c>
      <c r="L31" s="25" t="e">
        <f t="shared" si="7"/>
        <v>#REF!</v>
      </c>
      <c r="M31" s="27" t="e">
        <f t="shared" si="8"/>
        <v>#REF!</v>
      </c>
      <c r="N31" s="39"/>
      <c r="O31" s="36" t="str">
        <f t="shared" si="9"/>
        <v>Central</v>
      </c>
      <c r="P31" s="26" t="e">
        <f t="shared" si="10"/>
        <v>#REF!</v>
      </c>
      <c r="Q31" s="27" t="e">
        <f t="shared" si="11"/>
        <v>#VALUE!</v>
      </c>
      <c r="R31" s="27"/>
      <c r="S31" s="26">
        <f t="shared" si="12"/>
        <v>1217</v>
      </c>
      <c r="T31" s="26" t="e">
        <f t="shared" si="13"/>
        <v>#REF!</v>
      </c>
      <c r="U31" s="27" t="e">
        <f t="shared" si="14"/>
        <v>#REF!</v>
      </c>
      <c r="V31" s="27"/>
      <c r="W31" s="26">
        <f t="shared" si="15"/>
        <v>1559</v>
      </c>
      <c r="X31" s="26" t="e">
        <f t="shared" si="16"/>
        <v>#REF!</v>
      </c>
      <c r="Y31" s="27" t="e">
        <f t="shared" si="17"/>
        <v>#REF!</v>
      </c>
    </row>
    <row r="32" spans="1:25" ht="16.5" customHeight="1" x14ac:dyDescent="0.25">
      <c r="A32" s="16" t="s">
        <v>74</v>
      </c>
      <c r="B32" s="17" t="s">
        <v>302</v>
      </c>
      <c r="C32" s="25">
        <f t="shared" si="0"/>
        <v>14512</v>
      </c>
      <c r="D32" s="25" t="e">
        <f t="shared" si="1"/>
        <v>#REF!</v>
      </c>
      <c r="E32" s="27" t="e">
        <f t="shared" si="2"/>
        <v>#REF!</v>
      </c>
      <c r="F32" s="27"/>
      <c r="G32" s="25">
        <f t="shared" si="3"/>
        <v>14585</v>
      </c>
      <c r="H32" s="25" t="e">
        <f t="shared" si="4"/>
        <v>#REF!</v>
      </c>
      <c r="I32" s="27" t="e">
        <f t="shared" si="5"/>
        <v>#REF!</v>
      </c>
      <c r="J32" s="27"/>
      <c r="K32" s="25">
        <f t="shared" si="6"/>
        <v>20947</v>
      </c>
      <c r="L32" s="25" t="e">
        <f t="shared" si="7"/>
        <v>#REF!</v>
      </c>
      <c r="M32" s="27" t="e">
        <f t="shared" si="8"/>
        <v>#REF!</v>
      </c>
      <c r="N32" s="39"/>
      <c r="O32" s="36" t="str">
        <f t="shared" si="9"/>
        <v>Northern</v>
      </c>
      <c r="P32" s="26" t="e">
        <f t="shared" si="10"/>
        <v>#REF!</v>
      </c>
      <c r="Q32" s="27" t="e">
        <f t="shared" si="11"/>
        <v>#VALUE!</v>
      </c>
      <c r="R32" s="27"/>
      <c r="S32" s="26">
        <f t="shared" si="12"/>
        <v>36561</v>
      </c>
      <c r="T32" s="26" t="e">
        <f t="shared" si="13"/>
        <v>#REF!</v>
      </c>
      <c r="U32" s="27" t="e">
        <f t="shared" si="14"/>
        <v>#REF!</v>
      </c>
      <c r="V32" s="27"/>
      <c r="W32" s="26">
        <f t="shared" si="15"/>
        <v>37534</v>
      </c>
      <c r="X32" s="26" t="e">
        <f t="shared" si="16"/>
        <v>#REF!</v>
      </c>
      <c r="Y32" s="27" t="e">
        <f t="shared" si="17"/>
        <v>#REF!</v>
      </c>
    </row>
    <row r="33" spans="1:25" ht="16.5" customHeight="1" x14ac:dyDescent="0.25">
      <c r="A33" s="16" t="s">
        <v>76</v>
      </c>
      <c r="B33" s="17" t="s">
        <v>77</v>
      </c>
      <c r="C33" s="25">
        <f t="shared" si="0"/>
        <v>1136</v>
      </c>
      <c r="D33" s="25" t="e">
        <f t="shared" si="1"/>
        <v>#REF!</v>
      </c>
      <c r="E33" s="27" t="e">
        <f t="shared" si="2"/>
        <v>#REF!</v>
      </c>
      <c r="F33" s="27"/>
      <c r="G33" s="25">
        <f t="shared" si="3"/>
        <v>376</v>
      </c>
      <c r="H33" s="25" t="e">
        <f t="shared" si="4"/>
        <v>#REF!</v>
      </c>
      <c r="I33" s="27" t="e">
        <f t="shared" si="5"/>
        <v>#REF!</v>
      </c>
      <c r="J33" s="27"/>
      <c r="K33" s="25">
        <f t="shared" si="6"/>
        <v>876</v>
      </c>
      <c r="L33" s="25" t="e">
        <f t="shared" si="7"/>
        <v>#REF!</v>
      </c>
      <c r="M33" s="27" t="e">
        <f t="shared" si="8"/>
        <v>#REF!</v>
      </c>
      <c r="N33" s="39"/>
      <c r="O33" s="36" t="str">
        <f t="shared" si="9"/>
        <v>Northern</v>
      </c>
      <c r="P33" s="26" t="e">
        <f t="shared" si="10"/>
        <v>#REF!</v>
      </c>
      <c r="Q33" s="27" t="e">
        <f t="shared" si="11"/>
        <v>#VALUE!</v>
      </c>
      <c r="R33" s="27"/>
      <c r="S33" s="26">
        <f t="shared" si="12"/>
        <v>2406</v>
      </c>
      <c r="T33" s="26" t="e">
        <f t="shared" si="13"/>
        <v>#REF!</v>
      </c>
      <c r="U33" s="27" t="e">
        <f t="shared" si="14"/>
        <v>#REF!</v>
      </c>
      <c r="V33" s="27"/>
      <c r="W33" s="26">
        <f t="shared" si="15"/>
        <v>2815</v>
      </c>
      <c r="X33" s="26" t="e">
        <f t="shared" si="16"/>
        <v>#REF!</v>
      </c>
      <c r="Y33" s="27" t="e">
        <f t="shared" si="17"/>
        <v>#REF!</v>
      </c>
    </row>
    <row r="34" spans="1:25" ht="16.5" customHeight="1" x14ac:dyDescent="0.25">
      <c r="A34" s="16" t="s">
        <v>78</v>
      </c>
      <c r="B34" s="32" t="s">
        <v>79</v>
      </c>
      <c r="C34" s="25">
        <f t="shared" si="0"/>
        <v>103</v>
      </c>
      <c r="D34" s="25" t="e">
        <f t="shared" si="1"/>
        <v>#REF!</v>
      </c>
      <c r="E34" s="27" t="e">
        <f t="shared" si="2"/>
        <v>#REF!</v>
      </c>
      <c r="F34" s="27"/>
      <c r="G34" s="25">
        <f t="shared" si="3"/>
        <v>122</v>
      </c>
      <c r="H34" s="25" t="e">
        <f t="shared" si="4"/>
        <v>#REF!</v>
      </c>
      <c r="I34" s="27" t="e">
        <f t="shared" si="5"/>
        <v>#REF!</v>
      </c>
      <c r="J34" s="27"/>
      <c r="K34" s="25">
        <f t="shared" si="6"/>
        <v>185</v>
      </c>
      <c r="L34" s="25" t="e">
        <f t="shared" si="7"/>
        <v>#REF!</v>
      </c>
      <c r="M34" s="27" t="e">
        <f t="shared" si="8"/>
        <v>#REF!</v>
      </c>
      <c r="N34" s="39"/>
      <c r="O34" s="36" t="str">
        <f t="shared" si="9"/>
        <v>Western</v>
      </c>
      <c r="P34" s="26" t="e">
        <f t="shared" si="10"/>
        <v>#REF!</v>
      </c>
      <c r="Q34" s="27" t="e">
        <f t="shared" si="11"/>
        <v>#VALUE!</v>
      </c>
      <c r="R34" s="27"/>
      <c r="S34" s="26">
        <f t="shared" si="12"/>
        <v>1023</v>
      </c>
      <c r="T34" s="26" t="e">
        <f t="shared" si="13"/>
        <v>#REF!</v>
      </c>
      <c r="U34" s="27" t="e">
        <f t="shared" si="14"/>
        <v>#REF!</v>
      </c>
      <c r="V34" s="27"/>
      <c r="W34" s="26">
        <f t="shared" si="15"/>
        <v>1351</v>
      </c>
      <c r="X34" s="26" t="e">
        <f t="shared" si="16"/>
        <v>#REF!</v>
      </c>
      <c r="Y34" s="27" t="e">
        <f t="shared" si="17"/>
        <v>#REF!</v>
      </c>
    </row>
    <row r="35" spans="1:25" ht="16.5" customHeight="1" x14ac:dyDescent="0.25">
      <c r="A35" s="16" t="s">
        <v>80</v>
      </c>
      <c r="B35" s="17" t="s">
        <v>81</v>
      </c>
      <c r="C35" s="25">
        <f t="shared" si="0"/>
        <v>651</v>
      </c>
      <c r="D35" s="25" t="e">
        <f t="shared" si="1"/>
        <v>#REF!</v>
      </c>
      <c r="E35" s="27" t="e">
        <f t="shared" si="2"/>
        <v>#REF!</v>
      </c>
      <c r="F35" s="27"/>
      <c r="G35" s="25">
        <f t="shared" si="3"/>
        <v>115</v>
      </c>
      <c r="H35" s="25" t="e">
        <f t="shared" si="4"/>
        <v>#REF!</v>
      </c>
      <c r="I35" s="27" t="e">
        <f t="shared" si="5"/>
        <v>#REF!</v>
      </c>
      <c r="J35" s="27"/>
      <c r="K35" s="25">
        <f t="shared" si="6"/>
        <v>238</v>
      </c>
      <c r="L35" s="25" t="e">
        <f t="shared" si="7"/>
        <v>#REF!</v>
      </c>
      <c r="M35" s="27" t="e">
        <f t="shared" si="8"/>
        <v>#REF!</v>
      </c>
      <c r="N35" s="39"/>
      <c r="O35" s="36" t="str">
        <f t="shared" si="9"/>
        <v>Central</v>
      </c>
      <c r="P35" s="26" t="e">
        <f t="shared" si="10"/>
        <v>#REF!</v>
      </c>
      <c r="Q35" s="27" t="e">
        <f t="shared" si="11"/>
        <v>#VALUE!</v>
      </c>
      <c r="R35" s="27"/>
      <c r="S35" s="26">
        <f t="shared" si="12"/>
        <v>1068</v>
      </c>
      <c r="T35" s="26" t="e">
        <f t="shared" si="13"/>
        <v>#REF!</v>
      </c>
      <c r="U35" s="27" t="e">
        <f t="shared" si="14"/>
        <v>#REF!</v>
      </c>
      <c r="V35" s="27"/>
      <c r="W35" s="26">
        <f t="shared" si="15"/>
        <v>1196</v>
      </c>
      <c r="X35" s="26" t="e">
        <f t="shared" si="16"/>
        <v>#REF!</v>
      </c>
      <c r="Y35" s="27" t="e">
        <f t="shared" si="17"/>
        <v>#REF!</v>
      </c>
    </row>
    <row r="36" spans="1:25" ht="16.5" customHeight="1" x14ac:dyDescent="0.25">
      <c r="A36" s="16" t="s">
        <v>84</v>
      </c>
      <c r="B36" s="32" t="s">
        <v>308</v>
      </c>
      <c r="C36" s="25">
        <f t="shared" ref="C36:C67" si="18">VLOOKUP(A36,SNAPClient_Demo,10,FALSE)</f>
        <v>1333</v>
      </c>
      <c r="D36" s="25" t="e">
        <f t="shared" ref="D36:D67" si="19">VLOOKUP(A36,Pop,14,FALSE)</f>
        <v>#REF!</v>
      </c>
      <c r="E36" s="27" t="e">
        <f t="shared" ref="E36:E67" si="20">+C36/D36</f>
        <v>#REF!</v>
      </c>
      <c r="F36" s="27"/>
      <c r="G36" s="25">
        <f t="shared" ref="G36:G67" si="21">VLOOKUP(A36,SNAPClient_Demo,11,FALSE)</f>
        <v>272</v>
      </c>
      <c r="H36" s="25" t="e">
        <f t="shared" ref="H36:H67" si="22">VLOOKUP(A36,Pop,15,FALSE)</f>
        <v>#REF!</v>
      </c>
      <c r="I36" s="27" t="e">
        <f t="shared" ref="I36:I67" si="23">+G36/H36</f>
        <v>#REF!</v>
      </c>
      <c r="J36" s="27"/>
      <c r="K36" s="25">
        <f t="shared" ref="K36:K67" si="24">VLOOKUP(A36,SNAPClient_Demo,12,FALSE)</f>
        <v>1145</v>
      </c>
      <c r="L36" s="25" t="e">
        <f t="shared" ref="L36:L67" si="25">VLOOKUP(A36,Pop,16,FALSE)</f>
        <v>#REF!</v>
      </c>
      <c r="M36" s="27" t="e">
        <f t="shared" ref="M36:M67" si="26">+K36/L36</f>
        <v>#REF!</v>
      </c>
      <c r="N36" s="39"/>
      <c r="O36" s="36" t="str">
        <f t="shared" ref="O36:O67" si="27">VLOOKUP(A36,SNAPClient_Demo,3,FALSE)</f>
        <v>Piedmont</v>
      </c>
      <c r="P36" s="26" t="e">
        <f t="shared" ref="P36:P67" si="28">VLOOKUP(A36,Pop,8,FALSE)</f>
        <v>#REF!</v>
      </c>
      <c r="Q36" s="27" t="e">
        <f t="shared" ref="Q36:Q67" si="29">+O36/P36</f>
        <v>#VALUE!</v>
      </c>
      <c r="R36" s="27"/>
      <c r="S36" s="26">
        <f t="shared" ref="S36:S67" si="30">VLOOKUP(A36,SNAPClient_Demo,4,FALSE)</f>
        <v>4018</v>
      </c>
      <c r="T36" s="26" t="e">
        <f t="shared" ref="T36:T67" si="31">VLOOKUP(A36,Pop,9,FALSE)</f>
        <v>#REF!</v>
      </c>
      <c r="U36" s="27" t="e">
        <f t="shared" ref="U36:U67" si="32">+S36/T36</f>
        <v>#REF!</v>
      </c>
      <c r="V36" s="27"/>
      <c r="W36" s="26">
        <f t="shared" ref="W36:W67" si="33">VLOOKUP(A36,SNAPClient_Demo,5,FALSE)</f>
        <v>5405</v>
      </c>
      <c r="X36" s="26" t="e">
        <f t="shared" ref="X36:X67" si="34">VLOOKUP(A36,Pop,10,FALSE)</f>
        <v>#REF!</v>
      </c>
      <c r="Y36" s="27" t="e">
        <f t="shared" ref="Y36:Y67" si="35">+W36/X36</f>
        <v>#REF!</v>
      </c>
    </row>
    <row r="37" spans="1:25" ht="16.5" customHeight="1" x14ac:dyDescent="0.25">
      <c r="A37" s="16" t="s">
        <v>86</v>
      </c>
      <c r="B37" s="17" t="s">
        <v>87</v>
      </c>
      <c r="C37" s="25">
        <f t="shared" si="18"/>
        <v>707</v>
      </c>
      <c r="D37" s="25" t="e">
        <f t="shared" si="19"/>
        <v>#REF!</v>
      </c>
      <c r="E37" s="27" t="e">
        <f t="shared" si="20"/>
        <v>#REF!</v>
      </c>
      <c r="F37" s="27"/>
      <c r="G37" s="25">
        <f t="shared" si="21"/>
        <v>296</v>
      </c>
      <c r="H37" s="25" t="e">
        <f t="shared" si="22"/>
        <v>#REF!</v>
      </c>
      <c r="I37" s="27" t="e">
        <f t="shared" si="23"/>
        <v>#REF!</v>
      </c>
      <c r="J37" s="27"/>
      <c r="K37" s="25">
        <f t="shared" si="24"/>
        <v>1460</v>
      </c>
      <c r="L37" s="25" t="e">
        <f t="shared" si="25"/>
        <v>#REF!</v>
      </c>
      <c r="M37" s="27" t="e">
        <f t="shared" si="26"/>
        <v>#REF!</v>
      </c>
      <c r="N37" s="39"/>
      <c r="O37" s="36" t="str">
        <f t="shared" si="27"/>
        <v>Northern</v>
      </c>
      <c r="P37" s="26" t="e">
        <f t="shared" si="28"/>
        <v>#REF!</v>
      </c>
      <c r="Q37" s="27" t="e">
        <f t="shared" si="29"/>
        <v>#VALUE!</v>
      </c>
      <c r="R37" s="27"/>
      <c r="S37" s="26">
        <f t="shared" si="30"/>
        <v>4160</v>
      </c>
      <c r="T37" s="26" t="e">
        <f t="shared" si="31"/>
        <v>#REF!</v>
      </c>
      <c r="U37" s="27" t="e">
        <f t="shared" si="32"/>
        <v>#REF!</v>
      </c>
      <c r="V37" s="27"/>
      <c r="W37" s="26">
        <f t="shared" si="33"/>
        <v>4624</v>
      </c>
      <c r="X37" s="26" t="e">
        <f t="shared" si="34"/>
        <v>#REF!</v>
      </c>
      <c r="Y37" s="27" t="e">
        <f t="shared" si="35"/>
        <v>#REF!</v>
      </c>
    </row>
    <row r="38" spans="1:25" ht="16.5" customHeight="1" x14ac:dyDescent="0.25">
      <c r="A38" s="16" t="s">
        <v>92</v>
      </c>
      <c r="B38" s="17" t="s">
        <v>93</v>
      </c>
      <c r="C38" s="25">
        <f t="shared" si="18"/>
        <v>86</v>
      </c>
      <c r="D38" s="25" t="e">
        <f t="shared" si="19"/>
        <v>#REF!</v>
      </c>
      <c r="E38" s="27" t="e">
        <f t="shared" si="20"/>
        <v>#REF!</v>
      </c>
      <c r="F38" s="27"/>
      <c r="G38" s="25">
        <f t="shared" si="21"/>
        <v>22</v>
      </c>
      <c r="H38" s="25" t="e">
        <f t="shared" si="22"/>
        <v>#REF!</v>
      </c>
      <c r="I38" s="27" t="e">
        <f t="shared" si="23"/>
        <v>#REF!</v>
      </c>
      <c r="J38" s="27"/>
      <c r="K38" s="25">
        <f t="shared" si="24"/>
        <v>185</v>
      </c>
      <c r="L38" s="25" t="e">
        <f t="shared" si="25"/>
        <v>#REF!</v>
      </c>
      <c r="M38" s="27" t="e">
        <f t="shared" si="26"/>
        <v>#REF!</v>
      </c>
      <c r="N38" s="39"/>
      <c r="O38" s="36" t="str">
        <f t="shared" si="27"/>
        <v>Western</v>
      </c>
      <c r="P38" s="26" t="e">
        <f t="shared" si="28"/>
        <v>#REF!</v>
      </c>
      <c r="Q38" s="27" t="e">
        <f t="shared" si="29"/>
        <v>#VALUE!</v>
      </c>
      <c r="R38" s="27"/>
      <c r="S38" s="26">
        <f t="shared" si="30"/>
        <v>1175</v>
      </c>
      <c r="T38" s="26" t="e">
        <f t="shared" si="31"/>
        <v>#REF!</v>
      </c>
      <c r="U38" s="27" t="e">
        <f t="shared" si="32"/>
        <v>#REF!</v>
      </c>
      <c r="V38" s="27"/>
      <c r="W38" s="26">
        <f t="shared" si="33"/>
        <v>1832</v>
      </c>
      <c r="X38" s="26" t="e">
        <f t="shared" si="34"/>
        <v>#REF!</v>
      </c>
      <c r="Y38" s="27" t="e">
        <f t="shared" si="35"/>
        <v>#REF!</v>
      </c>
    </row>
    <row r="39" spans="1:25" ht="16.5" customHeight="1" x14ac:dyDescent="0.25">
      <c r="A39" s="16" t="s">
        <v>94</v>
      </c>
      <c r="B39" s="17" t="s">
        <v>95</v>
      </c>
      <c r="C39" s="25">
        <f t="shared" si="18"/>
        <v>748</v>
      </c>
      <c r="D39" s="25" t="e">
        <f t="shared" si="19"/>
        <v>#REF!</v>
      </c>
      <c r="E39" s="27" t="e">
        <f t="shared" si="20"/>
        <v>#REF!</v>
      </c>
      <c r="F39" s="27"/>
      <c r="G39" s="25">
        <f t="shared" si="21"/>
        <v>144</v>
      </c>
      <c r="H39" s="25" t="e">
        <f t="shared" si="22"/>
        <v>#REF!</v>
      </c>
      <c r="I39" s="27" t="e">
        <f t="shared" si="23"/>
        <v>#REF!</v>
      </c>
      <c r="J39" s="27"/>
      <c r="K39" s="25">
        <f t="shared" si="24"/>
        <v>599</v>
      </c>
      <c r="L39" s="25" t="e">
        <f t="shared" si="25"/>
        <v>#REF!</v>
      </c>
      <c r="M39" s="27" t="e">
        <f t="shared" si="26"/>
        <v>#REF!</v>
      </c>
      <c r="N39" s="39"/>
      <c r="O39" s="36" t="str">
        <f t="shared" si="27"/>
        <v>Eastern</v>
      </c>
      <c r="P39" s="26" t="e">
        <f t="shared" si="28"/>
        <v>#REF!</v>
      </c>
      <c r="Q39" s="27" t="e">
        <f t="shared" si="29"/>
        <v>#VALUE!</v>
      </c>
      <c r="R39" s="27"/>
      <c r="S39" s="26">
        <f t="shared" si="30"/>
        <v>2182</v>
      </c>
      <c r="T39" s="26" t="e">
        <f t="shared" si="31"/>
        <v>#REF!</v>
      </c>
      <c r="U39" s="27" t="e">
        <f t="shared" si="32"/>
        <v>#REF!</v>
      </c>
      <c r="V39" s="27"/>
      <c r="W39" s="26">
        <f t="shared" si="33"/>
        <v>3090</v>
      </c>
      <c r="X39" s="26" t="e">
        <f t="shared" si="34"/>
        <v>#REF!</v>
      </c>
      <c r="Y39" s="27" t="e">
        <f t="shared" si="35"/>
        <v>#REF!</v>
      </c>
    </row>
    <row r="40" spans="1:25" ht="16.5" customHeight="1" x14ac:dyDescent="0.25">
      <c r="A40" s="16" t="s">
        <v>96</v>
      </c>
      <c r="B40" s="17" t="s">
        <v>97</v>
      </c>
      <c r="C40" s="25">
        <f t="shared" si="18"/>
        <v>665</v>
      </c>
      <c r="D40" s="25" t="e">
        <f t="shared" si="19"/>
        <v>#REF!</v>
      </c>
      <c r="E40" s="27" t="e">
        <f t="shared" si="20"/>
        <v>#REF!</v>
      </c>
      <c r="F40" s="27"/>
      <c r="G40" s="25">
        <f t="shared" si="21"/>
        <v>61</v>
      </c>
      <c r="H40" s="25" t="e">
        <f t="shared" si="22"/>
        <v>#REF!</v>
      </c>
      <c r="I40" s="27" t="e">
        <f t="shared" si="23"/>
        <v>#REF!</v>
      </c>
      <c r="J40" s="27"/>
      <c r="K40" s="25">
        <f t="shared" si="24"/>
        <v>189</v>
      </c>
      <c r="L40" s="25" t="e">
        <f t="shared" si="25"/>
        <v>#REF!</v>
      </c>
      <c r="M40" s="27" t="e">
        <f t="shared" si="26"/>
        <v>#REF!</v>
      </c>
      <c r="N40" s="39"/>
      <c r="O40" s="36" t="str">
        <f t="shared" si="27"/>
        <v>Central</v>
      </c>
      <c r="P40" s="26" t="e">
        <f t="shared" si="28"/>
        <v>#REF!</v>
      </c>
      <c r="Q40" s="27" t="e">
        <f t="shared" si="29"/>
        <v>#VALUE!</v>
      </c>
      <c r="R40" s="27"/>
      <c r="S40" s="26">
        <f t="shared" si="30"/>
        <v>685</v>
      </c>
      <c r="T40" s="26" t="e">
        <f t="shared" si="31"/>
        <v>#REF!</v>
      </c>
      <c r="U40" s="27" t="e">
        <f t="shared" si="32"/>
        <v>#REF!</v>
      </c>
      <c r="V40" s="27"/>
      <c r="W40" s="26">
        <f t="shared" si="33"/>
        <v>912</v>
      </c>
      <c r="X40" s="26" t="e">
        <f t="shared" si="34"/>
        <v>#REF!</v>
      </c>
      <c r="Y40" s="27" t="e">
        <f t="shared" si="35"/>
        <v>#REF!</v>
      </c>
    </row>
    <row r="41" spans="1:25" ht="16.5" customHeight="1" x14ac:dyDescent="0.25">
      <c r="A41" s="16" t="s">
        <v>98</v>
      </c>
      <c r="B41" s="17" t="s">
        <v>99</v>
      </c>
      <c r="C41" s="25">
        <f t="shared" si="18"/>
        <v>151</v>
      </c>
      <c r="D41" s="25" t="e">
        <f t="shared" si="19"/>
        <v>#REF!</v>
      </c>
      <c r="E41" s="27" t="e">
        <f t="shared" si="20"/>
        <v>#REF!</v>
      </c>
      <c r="F41" s="27"/>
      <c r="G41" s="25">
        <f t="shared" si="21"/>
        <v>56</v>
      </c>
      <c r="H41" s="25" t="e">
        <f t="shared" si="22"/>
        <v>#REF!</v>
      </c>
      <c r="I41" s="27" t="e">
        <f t="shared" si="23"/>
        <v>#REF!</v>
      </c>
      <c r="J41" s="27"/>
      <c r="K41" s="25">
        <f t="shared" si="24"/>
        <v>257</v>
      </c>
      <c r="L41" s="25" t="e">
        <f t="shared" si="25"/>
        <v>#REF!</v>
      </c>
      <c r="M41" s="27" t="e">
        <f t="shared" si="26"/>
        <v>#REF!</v>
      </c>
      <c r="N41" s="39"/>
      <c r="O41" s="36" t="str">
        <f t="shared" si="27"/>
        <v>Western</v>
      </c>
      <c r="P41" s="26" t="e">
        <f t="shared" si="28"/>
        <v>#REF!</v>
      </c>
      <c r="Q41" s="27" t="e">
        <f t="shared" si="29"/>
        <v>#VALUE!</v>
      </c>
      <c r="R41" s="27"/>
      <c r="S41" s="26">
        <f t="shared" si="30"/>
        <v>1309</v>
      </c>
      <c r="T41" s="26" t="e">
        <f t="shared" si="31"/>
        <v>#REF!</v>
      </c>
      <c r="U41" s="27" t="e">
        <f t="shared" si="32"/>
        <v>#REF!</v>
      </c>
      <c r="V41" s="27"/>
      <c r="W41" s="26">
        <f t="shared" si="33"/>
        <v>2032</v>
      </c>
      <c r="X41" s="26" t="e">
        <f t="shared" si="34"/>
        <v>#REF!</v>
      </c>
      <c r="Y41" s="27" t="e">
        <f t="shared" si="35"/>
        <v>#REF!</v>
      </c>
    </row>
    <row r="42" spans="1:25" ht="16.5" customHeight="1" x14ac:dyDescent="0.25">
      <c r="A42" s="16" t="s">
        <v>100</v>
      </c>
      <c r="B42" s="17" t="s">
        <v>101</v>
      </c>
      <c r="C42" s="25">
        <f t="shared" si="18"/>
        <v>510</v>
      </c>
      <c r="D42" s="25" t="e">
        <f t="shared" si="19"/>
        <v>#REF!</v>
      </c>
      <c r="E42" s="27" t="e">
        <f t="shared" si="20"/>
        <v>#REF!</v>
      </c>
      <c r="F42" s="27"/>
      <c r="G42" s="25">
        <f t="shared" si="21"/>
        <v>163</v>
      </c>
      <c r="H42" s="25" t="e">
        <f t="shared" si="22"/>
        <v>#REF!</v>
      </c>
      <c r="I42" s="27" t="e">
        <f t="shared" si="23"/>
        <v>#REF!</v>
      </c>
      <c r="J42" s="27"/>
      <c r="K42" s="25">
        <f t="shared" si="24"/>
        <v>281</v>
      </c>
      <c r="L42" s="25" t="e">
        <f t="shared" si="25"/>
        <v>#REF!</v>
      </c>
      <c r="M42" s="27" t="e">
        <f t="shared" si="26"/>
        <v>#REF!</v>
      </c>
      <c r="N42" s="39"/>
      <c r="O42" s="36" t="str">
        <f t="shared" si="27"/>
        <v>Northern</v>
      </c>
      <c r="P42" s="26" t="e">
        <f t="shared" si="28"/>
        <v>#REF!</v>
      </c>
      <c r="Q42" s="27" t="e">
        <f t="shared" si="29"/>
        <v>#VALUE!</v>
      </c>
      <c r="R42" s="27"/>
      <c r="S42" s="26">
        <f t="shared" si="30"/>
        <v>1374</v>
      </c>
      <c r="T42" s="26" t="e">
        <f t="shared" si="31"/>
        <v>#REF!</v>
      </c>
      <c r="U42" s="27" t="e">
        <f t="shared" si="32"/>
        <v>#REF!</v>
      </c>
      <c r="V42" s="27"/>
      <c r="W42" s="26">
        <f t="shared" si="33"/>
        <v>1587</v>
      </c>
      <c r="X42" s="26" t="e">
        <f t="shared" si="34"/>
        <v>#REF!</v>
      </c>
      <c r="Y42" s="27" t="e">
        <f t="shared" si="35"/>
        <v>#REF!</v>
      </c>
    </row>
    <row r="43" spans="1:25" ht="16.5" customHeight="1" x14ac:dyDescent="0.25">
      <c r="A43" s="16" t="s">
        <v>102</v>
      </c>
      <c r="B43" s="32" t="s">
        <v>103</v>
      </c>
      <c r="C43" s="25">
        <f t="shared" si="18"/>
        <v>4251</v>
      </c>
      <c r="D43" s="25" t="e">
        <f t="shared" si="19"/>
        <v>#REF!</v>
      </c>
      <c r="E43" s="27" t="e">
        <f t="shared" si="20"/>
        <v>#REF!</v>
      </c>
      <c r="F43" s="27"/>
      <c r="G43" s="25">
        <f t="shared" si="21"/>
        <v>137</v>
      </c>
      <c r="H43" s="25" t="e">
        <f t="shared" si="22"/>
        <v>#REF!</v>
      </c>
      <c r="I43" s="27" t="e">
        <f t="shared" si="23"/>
        <v>#REF!</v>
      </c>
      <c r="J43" s="27"/>
      <c r="K43" s="25">
        <f t="shared" si="24"/>
        <v>432</v>
      </c>
      <c r="L43" s="25" t="e">
        <f t="shared" si="25"/>
        <v>#REF!</v>
      </c>
      <c r="M43" s="27" t="e">
        <f t="shared" si="26"/>
        <v>#REF!</v>
      </c>
      <c r="N43" s="39"/>
      <c r="O43" s="36" t="str">
        <f t="shared" si="27"/>
        <v>Eastern</v>
      </c>
      <c r="P43" s="26" t="e">
        <f t="shared" si="28"/>
        <v>#REF!</v>
      </c>
      <c r="Q43" s="27" t="e">
        <f t="shared" si="29"/>
        <v>#VALUE!</v>
      </c>
      <c r="R43" s="27"/>
      <c r="S43" s="26">
        <f t="shared" si="30"/>
        <v>2274</v>
      </c>
      <c r="T43" s="26" t="e">
        <f t="shared" si="31"/>
        <v>#REF!</v>
      </c>
      <c r="U43" s="27" t="e">
        <f t="shared" si="32"/>
        <v>#REF!</v>
      </c>
      <c r="V43" s="27"/>
      <c r="W43" s="26">
        <f t="shared" si="33"/>
        <v>2877</v>
      </c>
      <c r="X43" s="26" t="e">
        <f t="shared" si="34"/>
        <v>#REF!</v>
      </c>
      <c r="Y43" s="27" t="e">
        <f t="shared" si="35"/>
        <v>#REF!</v>
      </c>
    </row>
    <row r="44" spans="1:25" ht="16.5" customHeight="1" x14ac:dyDescent="0.25">
      <c r="A44" s="16" t="s">
        <v>104</v>
      </c>
      <c r="B44" s="32" t="s">
        <v>309</v>
      </c>
      <c r="C44" s="25">
        <f t="shared" si="18"/>
        <v>4700</v>
      </c>
      <c r="D44" s="25" t="e">
        <f t="shared" si="19"/>
        <v>#REF!</v>
      </c>
      <c r="E44" s="27" t="e">
        <f t="shared" si="20"/>
        <v>#REF!</v>
      </c>
      <c r="F44" s="27"/>
      <c r="G44" s="25">
        <f t="shared" si="21"/>
        <v>191</v>
      </c>
      <c r="H44" s="25" t="e">
        <f t="shared" si="22"/>
        <v>#REF!</v>
      </c>
      <c r="I44" s="27" t="e">
        <f t="shared" si="23"/>
        <v>#REF!</v>
      </c>
      <c r="J44" s="27"/>
      <c r="K44" s="25">
        <f t="shared" si="24"/>
        <v>812</v>
      </c>
      <c r="L44" s="25" t="e">
        <f t="shared" si="25"/>
        <v>#REF!</v>
      </c>
      <c r="M44" s="27" t="e">
        <f t="shared" si="26"/>
        <v>#REF!</v>
      </c>
      <c r="N44" s="39"/>
      <c r="O44" s="36" t="str">
        <f t="shared" si="27"/>
        <v>Piedmont</v>
      </c>
      <c r="P44" s="26" t="e">
        <f t="shared" si="28"/>
        <v>#REF!</v>
      </c>
      <c r="Q44" s="27" t="e">
        <f t="shared" si="29"/>
        <v>#VALUE!</v>
      </c>
      <c r="R44" s="27"/>
      <c r="S44" s="26">
        <f t="shared" si="30"/>
        <v>3345</v>
      </c>
      <c r="T44" s="26" t="e">
        <f t="shared" si="31"/>
        <v>#REF!</v>
      </c>
      <c r="U44" s="27" t="e">
        <f t="shared" si="32"/>
        <v>#REF!</v>
      </c>
      <c r="V44" s="27"/>
      <c r="W44" s="26">
        <f t="shared" si="33"/>
        <v>4703</v>
      </c>
      <c r="X44" s="26" t="e">
        <f t="shared" si="34"/>
        <v>#REF!</v>
      </c>
      <c r="Y44" s="27" t="e">
        <f t="shared" si="35"/>
        <v>#REF!</v>
      </c>
    </row>
    <row r="45" spans="1:25" ht="16.5" customHeight="1" x14ac:dyDescent="0.25">
      <c r="A45" s="16" t="s">
        <v>108</v>
      </c>
      <c r="B45" s="17" t="s">
        <v>109</v>
      </c>
      <c r="C45" s="25">
        <f t="shared" si="18"/>
        <v>1868</v>
      </c>
      <c r="D45" s="25" t="e">
        <f t="shared" si="19"/>
        <v>#REF!</v>
      </c>
      <c r="E45" s="27" t="e">
        <f t="shared" si="20"/>
        <v>#REF!</v>
      </c>
      <c r="F45" s="27"/>
      <c r="G45" s="25">
        <f t="shared" si="21"/>
        <v>306</v>
      </c>
      <c r="H45" s="25" t="e">
        <f t="shared" si="22"/>
        <v>#REF!</v>
      </c>
      <c r="I45" s="27" t="e">
        <f t="shared" si="23"/>
        <v>#REF!</v>
      </c>
      <c r="J45" s="27"/>
      <c r="K45" s="25">
        <f t="shared" si="24"/>
        <v>1307</v>
      </c>
      <c r="L45" s="25" t="e">
        <f t="shared" si="25"/>
        <v>#REF!</v>
      </c>
      <c r="M45" s="27" t="e">
        <f t="shared" si="26"/>
        <v>#REF!</v>
      </c>
      <c r="N45" s="39"/>
      <c r="O45" s="36" t="str">
        <f t="shared" si="27"/>
        <v>Central</v>
      </c>
      <c r="P45" s="26" t="e">
        <f t="shared" si="28"/>
        <v>#REF!</v>
      </c>
      <c r="Q45" s="27" t="e">
        <f t="shared" si="29"/>
        <v>#VALUE!</v>
      </c>
      <c r="R45" s="27"/>
      <c r="S45" s="26">
        <f t="shared" si="30"/>
        <v>3326</v>
      </c>
      <c r="T45" s="26" t="e">
        <f t="shared" si="31"/>
        <v>#REF!</v>
      </c>
      <c r="U45" s="27" t="e">
        <f t="shared" si="32"/>
        <v>#REF!</v>
      </c>
      <c r="V45" s="27"/>
      <c r="W45" s="26">
        <f t="shared" si="33"/>
        <v>4091</v>
      </c>
      <c r="X45" s="26" t="e">
        <f t="shared" si="34"/>
        <v>#REF!</v>
      </c>
      <c r="Y45" s="27" t="e">
        <f t="shared" si="35"/>
        <v>#REF!</v>
      </c>
    </row>
    <row r="46" spans="1:25" ht="16.5" customHeight="1" x14ac:dyDescent="0.25">
      <c r="A46" s="16" t="s">
        <v>110</v>
      </c>
      <c r="B46" s="17" t="s">
        <v>111</v>
      </c>
      <c r="C46" s="25">
        <f t="shared" si="18"/>
        <v>24788</v>
      </c>
      <c r="D46" s="25" t="e">
        <f t="shared" si="19"/>
        <v>#REF!</v>
      </c>
      <c r="E46" s="27" t="e">
        <f t="shared" si="20"/>
        <v>#REF!</v>
      </c>
      <c r="F46" s="27"/>
      <c r="G46" s="25">
        <f t="shared" si="21"/>
        <v>2933</v>
      </c>
      <c r="H46" s="25" t="e">
        <f t="shared" si="22"/>
        <v>#REF!</v>
      </c>
      <c r="I46" s="27" t="e">
        <f t="shared" si="23"/>
        <v>#REF!</v>
      </c>
      <c r="J46" s="27"/>
      <c r="K46" s="25">
        <f t="shared" si="24"/>
        <v>9411</v>
      </c>
      <c r="L46" s="25" t="e">
        <f t="shared" si="25"/>
        <v>#REF!</v>
      </c>
      <c r="M46" s="27" t="e">
        <f t="shared" si="26"/>
        <v>#REF!</v>
      </c>
      <c r="N46" s="39"/>
      <c r="O46" s="36" t="str">
        <f t="shared" si="27"/>
        <v>Central</v>
      </c>
      <c r="P46" s="26" t="e">
        <f t="shared" si="28"/>
        <v>#REF!</v>
      </c>
      <c r="Q46" s="27" t="e">
        <f t="shared" si="29"/>
        <v>#VALUE!</v>
      </c>
      <c r="R46" s="27"/>
      <c r="S46" s="26">
        <f t="shared" si="30"/>
        <v>21595</v>
      </c>
      <c r="T46" s="26" t="e">
        <f t="shared" si="31"/>
        <v>#REF!</v>
      </c>
      <c r="U46" s="27" t="e">
        <f t="shared" si="32"/>
        <v>#REF!</v>
      </c>
      <c r="V46" s="27"/>
      <c r="W46" s="26">
        <f t="shared" si="33"/>
        <v>24327</v>
      </c>
      <c r="X46" s="26" t="e">
        <f t="shared" si="34"/>
        <v>#REF!</v>
      </c>
      <c r="Y46" s="27" t="e">
        <f t="shared" si="35"/>
        <v>#REF!</v>
      </c>
    </row>
    <row r="47" spans="1:25" ht="16.5" customHeight="1" x14ac:dyDescent="0.25">
      <c r="A47" s="16" t="s">
        <v>112</v>
      </c>
      <c r="B47" s="32" t="s">
        <v>300</v>
      </c>
      <c r="C47" s="25">
        <f t="shared" si="18"/>
        <v>7083</v>
      </c>
      <c r="D47" s="25" t="e">
        <f t="shared" si="19"/>
        <v>#REF!</v>
      </c>
      <c r="E47" s="27" t="e">
        <f t="shared" si="20"/>
        <v>#REF!</v>
      </c>
      <c r="F47" s="27"/>
      <c r="G47" s="25">
        <f t="shared" si="21"/>
        <v>337</v>
      </c>
      <c r="H47" s="25" t="e">
        <f t="shared" si="22"/>
        <v>#REF!</v>
      </c>
      <c r="I47" s="27" t="e">
        <f t="shared" si="23"/>
        <v>#REF!</v>
      </c>
      <c r="J47" s="27"/>
      <c r="K47" s="25">
        <f t="shared" si="24"/>
        <v>3348</v>
      </c>
      <c r="L47" s="25" t="e">
        <f t="shared" si="25"/>
        <v>#REF!</v>
      </c>
      <c r="M47" s="27" t="e">
        <f t="shared" si="26"/>
        <v>#REF!</v>
      </c>
      <c r="N47" s="39"/>
      <c r="O47" s="36" t="str">
        <f t="shared" si="27"/>
        <v>Piedmont</v>
      </c>
      <c r="P47" s="26" t="e">
        <f t="shared" si="28"/>
        <v>#REF!</v>
      </c>
      <c r="Q47" s="27" t="e">
        <f t="shared" si="29"/>
        <v>#VALUE!</v>
      </c>
      <c r="R47" s="27"/>
      <c r="S47" s="26">
        <f t="shared" si="30"/>
        <v>7898</v>
      </c>
      <c r="T47" s="26" t="e">
        <f t="shared" si="31"/>
        <v>#REF!</v>
      </c>
      <c r="U47" s="27" t="e">
        <f t="shared" si="32"/>
        <v>#REF!</v>
      </c>
      <c r="V47" s="27"/>
      <c r="W47" s="26">
        <f t="shared" si="33"/>
        <v>11739</v>
      </c>
      <c r="X47" s="26" t="e">
        <f t="shared" si="34"/>
        <v>#REF!</v>
      </c>
      <c r="Y47" s="27" t="e">
        <f t="shared" si="35"/>
        <v>#REF!</v>
      </c>
    </row>
    <row r="48" spans="1:25" ht="16.5" customHeight="1" x14ac:dyDescent="0.25">
      <c r="A48" s="16" t="s">
        <v>114</v>
      </c>
      <c r="B48" s="32" t="s">
        <v>115</v>
      </c>
      <c r="C48" s="25">
        <f t="shared" si="18"/>
        <v>1</v>
      </c>
      <c r="D48" s="25" t="e">
        <f t="shared" si="19"/>
        <v>#REF!</v>
      </c>
      <c r="E48" s="27" t="e">
        <f t="shared" si="20"/>
        <v>#REF!</v>
      </c>
      <c r="F48" s="27"/>
      <c r="G48" s="25">
        <f t="shared" si="21"/>
        <v>0</v>
      </c>
      <c r="H48" s="25" t="e">
        <f t="shared" si="22"/>
        <v>#REF!</v>
      </c>
      <c r="I48" s="27" t="e">
        <f t="shared" si="23"/>
        <v>#REF!</v>
      </c>
      <c r="J48" s="27"/>
      <c r="K48" s="25">
        <f t="shared" si="24"/>
        <v>57</v>
      </c>
      <c r="L48" s="25" t="e">
        <f t="shared" si="25"/>
        <v>#REF!</v>
      </c>
      <c r="M48" s="27" t="e">
        <f t="shared" si="26"/>
        <v>#REF!</v>
      </c>
      <c r="N48" s="39"/>
      <c r="O48" s="36" t="str">
        <f t="shared" si="27"/>
        <v>Piedmont</v>
      </c>
      <c r="P48" s="26" t="e">
        <f t="shared" si="28"/>
        <v>#REF!</v>
      </c>
      <c r="Q48" s="27" t="e">
        <f t="shared" si="29"/>
        <v>#VALUE!</v>
      </c>
      <c r="R48" s="27"/>
      <c r="S48" s="26">
        <f t="shared" si="30"/>
        <v>64</v>
      </c>
      <c r="T48" s="26" t="e">
        <f t="shared" si="31"/>
        <v>#REF!</v>
      </c>
      <c r="U48" s="27" t="e">
        <f t="shared" si="32"/>
        <v>#REF!</v>
      </c>
      <c r="V48" s="27"/>
      <c r="W48" s="26">
        <f t="shared" si="33"/>
        <v>124</v>
      </c>
      <c r="X48" s="26" t="e">
        <f t="shared" si="34"/>
        <v>#REF!</v>
      </c>
      <c r="Y48" s="27" t="e">
        <f t="shared" si="35"/>
        <v>#REF!</v>
      </c>
    </row>
    <row r="49" spans="1:25" ht="16.5" customHeight="1" x14ac:dyDescent="0.25">
      <c r="A49" s="16" t="s">
        <v>118</v>
      </c>
      <c r="B49" s="17" t="s">
        <v>119</v>
      </c>
      <c r="C49" s="25">
        <f t="shared" si="18"/>
        <v>2396</v>
      </c>
      <c r="D49" s="25" t="e">
        <f t="shared" si="19"/>
        <v>#REF!</v>
      </c>
      <c r="E49" s="27" t="e">
        <f t="shared" si="20"/>
        <v>#REF!</v>
      </c>
      <c r="F49" s="27"/>
      <c r="G49" s="25">
        <f t="shared" si="21"/>
        <v>112</v>
      </c>
      <c r="H49" s="25" t="e">
        <f t="shared" si="22"/>
        <v>#REF!</v>
      </c>
      <c r="I49" s="27" t="e">
        <f t="shared" si="23"/>
        <v>#REF!</v>
      </c>
      <c r="J49" s="27"/>
      <c r="K49" s="25">
        <f t="shared" si="24"/>
        <v>695</v>
      </c>
      <c r="L49" s="25" t="e">
        <f t="shared" si="25"/>
        <v>#REF!</v>
      </c>
      <c r="M49" s="27" t="e">
        <f t="shared" si="26"/>
        <v>#REF!</v>
      </c>
      <c r="N49" s="39"/>
      <c r="O49" s="36" t="str">
        <f t="shared" si="27"/>
        <v>Eastern</v>
      </c>
      <c r="P49" s="26" t="e">
        <f t="shared" si="28"/>
        <v>#REF!</v>
      </c>
      <c r="Q49" s="27" t="e">
        <f t="shared" si="29"/>
        <v>#VALUE!</v>
      </c>
      <c r="R49" s="27"/>
      <c r="S49" s="26">
        <f t="shared" si="30"/>
        <v>2157</v>
      </c>
      <c r="T49" s="26" t="e">
        <f t="shared" si="31"/>
        <v>#REF!</v>
      </c>
      <c r="U49" s="27" t="e">
        <f t="shared" si="32"/>
        <v>#REF!</v>
      </c>
      <c r="V49" s="27"/>
      <c r="W49" s="26">
        <f t="shared" si="33"/>
        <v>2808</v>
      </c>
      <c r="X49" s="26" t="e">
        <f t="shared" si="34"/>
        <v>#REF!</v>
      </c>
      <c r="Y49" s="27" t="e">
        <f t="shared" si="35"/>
        <v>#REF!</v>
      </c>
    </row>
    <row r="50" spans="1:25" ht="16.5" customHeight="1" x14ac:dyDescent="0.25">
      <c r="A50" s="16" t="s">
        <v>120</v>
      </c>
      <c r="B50" s="17" t="s">
        <v>121</v>
      </c>
      <c r="C50" s="25">
        <f t="shared" si="18"/>
        <v>2591</v>
      </c>
      <c r="D50" s="25" t="e">
        <f t="shared" si="19"/>
        <v>#REF!</v>
      </c>
      <c r="E50" s="27" t="e">
        <f t="shared" si="20"/>
        <v>#REF!</v>
      </c>
      <c r="F50" s="27"/>
      <c r="G50" s="25">
        <f t="shared" si="21"/>
        <v>413</v>
      </c>
      <c r="H50" s="25" t="e">
        <f t="shared" si="22"/>
        <v>#REF!</v>
      </c>
      <c r="I50" s="27" t="e">
        <f t="shared" si="23"/>
        <v>#REF!</v>
      </c>
      <c r="J50" s="27"/>
      <c r="K50" s="25">
        <f t="shared" si="24"/>
        <v>941</v>
      </c>
      <c r="L50" s="25" t="e">
        <f t="shared" si="25"/>
        <v>#REF!</v>
      </c>
      <c r="M50" s="27" t="e">
        <f t="shared" si="26"/>
        <v>#REF!</v>
      </c>
      <c r="N50" s="39"/>
      <c r="O50" s="36" t="str">
        <f t="shared" si="27"/>
        <v>Eastern</v>
      </c>
      <c r="P50" s="26" t="e">
        <f t="shared" si="28"/>
        <v>#REF!</v>
      </c>
      <c r="Q50" s="27" t="e">
        <f t="shared" si="29"/>
        <v>#VALUE!</v>
      </c>
      <c r="R50" s="27"/>
      <c r="S50" s="26">
        <f t="shared" si="30"/>
        <v>3155</v>
      </c>
      <c r="T50" s="26" t="e">
        <f t="shared" si="31"/>
        <v>#REF!</v>
      </c>
      <c r="U50" s="27" t="e">
        <f t="shared" si="32"/>
        <v>#REF!</v>
      </c>
      <c r="V50" s="27"/>
      <c r="W50" s="26">
        <f t="shared" si="33"/>
        <v>3514</v>
      </c>
      <c r="X50" s="26" t="e">
        <f t="shared" si="34"/>
        <v>#REF!</v>
      </c>
      <c r="Y50" s="27" t="e">
        <f t="shared" si="35"/>
        <v>#REF!</v>
      </c>
    </row>
    <row r="51" spans="1:25" ht="16.5" customHeight="1" x14ac:dyDescent="0.25">
      <c r="A51" s="16" t="s">
        <v>122</v>
      </c>
      <c r="B51" s="17" t="s">
        <v>271</v>
      </c>
      <c r="C51" s="25">
        <f t="shared" si="18"/>
        <v>588</v>
      </c>
      <c r="D51" s="25" t="e">
        <f t="shared" si="19"/>
        <v>#REF!</v>
      </c>
      <c r="E51" s="27" t="e">
        <f t="shared" si="20"/>
        <v>#REF!</v>
      </c>
      <c r="F51" s="27"/>
      <c r="G51" s="25">
        <f t="shared" si="21"/>
        <v>64</v>
      </c>
      <c r="H51" s="25" t="e">
        <f t="shared" si="22"/>
        <v>#REF!</v>
      </c>
      <c r="I51" s="27" t="e">
        <f t="shared" si="23"/>
        <v>#REF!</v>
      </c>
      <c r="J51" s="27"/>
      <c r="K51" s="25">
        <f t="shared" si="24"/>
        <v>153</v>
      </c>
      <c r="L51" s="25" t="e">
        <f t="shared" si="25"/>
        <v>#REF!</v>
      </c>
      <c r="M51" s="27" t="e">
        <f t="shared" si="26"/>
        <v>#REF!</v>
      </c>
      <c r="N51" s="39"/>
      <c r="O51" s="36" t="str">
        <f t="shared" si="27"/>
        <v>Central</v>
      </c>
      <c r="P51" s="26" t="e">
        <f t="shared" si="28"/>
        <v>#REF!</v>
      </c>
      <c r="Q51" s="27" t="e">
        <f t="shared" si="29"/>
        <v>#VALUE!</v>
      </c>
      <c r="R51" s="27"/>
      <c r="S51" s="26">
        <f t="shared" si="30"/>
        <v>592</v>
      </c>
      <c r="T51" s="26" t="e">
        <f t="shared" si="31"/>
        <v>#REF!</v>
      </c>
      <c r="U51" s="27" t="e">
        <f t="shared" si="32"/>
        <v>#REF!</v>
      </c>
      <c r="V51" s="27"/>
      <c r="W51" s="26">
        <f t="shared" si="33"/>
        <v>822</v>
      </c>
      <c r="X51" s="26" t="e">
        <f t="shared" si="34"/>
        <v>#REF!</v>
      </c>
      <c r="Y51" s="27" t="e">
        <f t="shared" si="35"/>
        <v>#REF!</v>
      </c>
    </row>
    <row r="52" spans="1:25" ht="16.5" customHeight="1" x14ac:dyDescent="0.25">
      <c r="A52" s="16" t="s">
        <v>124</v>
      </c>
      <c r="B52" s="17" t="s">
        <v>125</v>
      </c>
      <c r="C52" s="25">
        <f t="shared" si="18"/>
        <v>1340</v>
      </c>
      <c r="D52" s="25" t="e">
        <f t="shared" si="19"/>
        <v>#REF!</v>
      </c>
      <c r="E52" s="27" t="e">
        <f t="shared" si="20"/>
        <v>#REF!</v>
      </c>
      <c r="F52" s="27"/>
      <c r="G52" s="25">
        <f t="shared" si="21"/>
        <v>145</v>
      </c>
      <c r="H52" s="25" t="e">
        <f t="shared" si="22"/>
        <v>#REF!</v>
      </c>
      <c r="I52" s="27" t="e">
        <f t="shared" si="23"/>
        <v>#REF!</v>
      </c>
      <c r="J52" s="27"/>
      <c r="K52" s="25">
        <f t="shared" si="24"/>
        <v>490</v>
      </c>
      <c r="L52" s="25" t="e">
        <f t="shared" si="25"/>
        <v>#REF!</v>
      </c>
      <c r="M52" s="27" t="e">
        <f t="shared" si="26"/>
        <v>#REF!</v>
      </c>
      <c r="N52" s="39"/>
      <c r="O52" s="36" t="str">
        <f t="shared" si="27"/>
        <v>Northern</v>
      </c>
      <c r="P52" s="26" t="e">
        <f t="shared" si="28"/>
        <v>#REF!</v>
      </c>
      <c r="Q52" s="27" t="e">
        <f t="shared" si="29"/>
        <v>#VALUE!</v>
      </c>
      <c r="R52" s="27"/>
      <c r="S52" s="26">
        <f t="shared" si="30"/>
        <v>1678</v>
      </c>
      <c r="T52" s="26" t="e">
        <f t="shared" si="31"/>
        <v>#REF!</v>
      </c>
      <c r="U52" s="27" t="e">
        <f t="shared" si="32"/>
        <v>#REF!</v>
      </c>
      <c r="V52" s="27"/>
      <c r="W52" s="26">
        <f t="shared" si="33"/>
        <v>1943</v>
      </c>
      <c r="X52" s="26" t="e">
        <f t="shared" si="34"/>
        <v>#REF!</v>
      </c>
      <c r="Y52" s="27" t="e">
        <f t="shared" si="35"/>
        <v>#REF!</v>
      </c>
    </row>
    <row r="53" spans="1:25" ht="16.5" customHeight="1" x14ac:dyDescent="0.25">
      <c r="A53" s="16" t="s">
        <v>126</v>
      </c>
      <c r="B53" s="17" t="s">
        <v>127</v>
      </c>
      <c r="C53" s="25">
        <f t="shared" si="18"/>
        <v>854</v>
      </c>
      <c r="D53" s="25" t="e">
        <f t="shared" si="19"/>
        <v>#REF!</v>
      </c>
      <c r="E53" s="27" t="e">
        <f t="shared" si="20"/>
        <v>#REF!</v>
      </c>
      <c r="F53" s="27"/>
      <c r="G53" s="25">
        <f t="shared" si="21"/>
        <v>95</v>
      </c>
      <c r="H53" s="25" t="e">
        <f t="shared" si="22"/>
        <v>#REF!</v>
      </c>
      <c r="I53" s="27" t="e">
        <f t="shared" si="23"/>
        <v>#REF!</v>
      </c>
      <c r="J53" s="27"/>
      <c r="K53" s="25">
        <f t="shared" si="24"/>
        <v>285</v>
      </c>
      <c r="L53" s="25" t="e">
        <f t="shared" si="25"/>
        <v>#REF!</v>
      </c>
      <c r="M53" s="27" t="e">
        <f t="shared" si="26"/>
        <v>#REF!</v>
      </c>
      <c r="N53" s="39"/>
      <c r="O53" s="36" t="str">
        <f t="shared" si="27"/>
        <v>Central</v>
      </c>
      <c r="P53" s="26" t="e">
        <f t="shared" si="28"/>
        <v>#REF!</v>
      </c>
      <c r="Q53" s="27" t="e">
        <f t="shared" si="29"/>
        <v>#VALUE!</v>
      </c>
      <c r="R53" s="27"/>
      <c r="S53" s="26">
        <f t="shared" si="30"/>
        <v>1031</v>
      </c>
      <c r="T53" s="26" t="e">
        <f t="shared" si="31"/>
        <v>#REF!</v>
      </c>
      <c r="U53" s="27" t="e">
        <f t="shared" si="32"/>
        <v>#REF!</v>
      </c>
      <c r="V53" s="27"/>
      <c r="W53" s="26">
        <f t="shared" si="33"/>
        <v>1191</v>
      </c>
      <c r="X53" s="26" t="e">
        <f t="shared" si="34"/>
        <v>#REF!</v>
      </c>
      <c r="Y53" s="27" t="e">
        <f t="shared" si="35"/>
        <v>#REF!</v>
      </c>
    </row>
    <row r="54" spans="1:25" ht="16.5" customHeight="1" x14ac:dyDescent="0.25">
      <c r="A54" s="16" t="s">
        <v>128</v>
      </c>
      <c r="B54" s="17" t="s">
        <v>129</v>
      </c>
      <c r="C54" s="25">
        <f t="shared" si="18"/>
        <v>1334</v>
      </c>
      <c r="D54" s="25" t="e">
        <f t="shared" si="19"/>
        <v>#REF!</v>
      </c>
      <c r="E54" s="27" t="e">
        <f t="shared" si="20"/>
        <v>#REF!</v>
      </c>
      <c r="F54" s="27"/>
      <c r="G54" s="25">
        <f t="shared" si="21"/>
        <v>75</v>
      </c>
      <c r="H54" s="25" t="e">
        <f t="shared" si="22"/>
        <v>#REF!</v>
      </c>
      <c r="I54" s="27" t="e">
        <f t="shared" si="23"/>
        <v>#REF!</v>
      </c>
      <c r="J54" s="27"/>
      <c r="K54" s="25">
        <f t="shared" si="24"/>
        <v>68</v>
      </c>
      <c r="L54" s="25" t="e">
        <f t="shared" si="25"/>
        <v>#REF!</v>
      </c>
      <c r="M54" s="27" t="e">
        <f t="shared" si="26"/>
        <v>#REF!</v>
      </c>
      <c r="N54" s="39"/>
      <c r="O54" s="36" t="str">
        <f t="shared" si="27"/>
        <v>Central</v>
      </c>
      <c r="P54" s="26" t="e">
        <f t="shared" si="28"/>
        <v>#REF!</v>
      </c>
      <c r="Q54" s="27" t="e">
        <f t="shared" si="29"/>
        <v>#VALUE!</v>
      </c>
      <c r="R54" s="27"/>
      <c r="S54" s="26">
        <f t="shared" si="30"/>
        <v>853</v>
      </c>
      <c r="T54" s="26" t="e">
        <f t="shared" si="31"/>
        <v>#REF!</v>
      </c>
      <c r="U54" s="27" t="e">
        <f t="shared" si="32"/>
        <v>#REF!</v>
      </c>
      <c r="V54" s="27"/>
      <c r="W54" s="26">
        <f t="shared" si="33"/>
        <v>1066</v>
      </c>
      <c r="X54" s="26" t="e">
        <f t="shared" si="34"/>
        <v>#REF!</v>
      </c>
      <c r="Y54" s="27" t="e">
        <f t="shared" si="35"/>
        <v>#REF!</v>
      </c>
    </row>
    <row r="55" spans="1:25" ht="16.5" customHeight="1" x14ac:dyDescent="0.25">
      <c r="A55" s="16" t="s">
        <v>130</v>
      </c>
      <c r="B55" s="32" t="s">
        <v>131</v>
      </c>
      <c r="C55" s="25">
        <f t="shared" si="18"/>
        <v>54</v>
      </c>
      <c r="D55" s="25" t="e">
        <f t="shared" si="19"/>
        <v>#REF!</v>
      </c>
      <c r="E55" s="27" t="e">
        <f t="shared" si="20"/>
        <v>#REF!</v>
      </c>
      <c r="F55" s="27"/>
      <c r="G55" s="25">
        <f t="shared" si="21"/>
        <v>34</v>
      </c>
      <c r="H55" s="25" t="e">
        <f t="shared" si="22"/>
        <v>#REF!</v>
      </c>
      <c r="I55" s="27" t="e">
        <f t="shared" si="23"/>
        <v>#REF!</v>
      </c>
      <c r="J55" s="27"/>
      <c r="K55" s="25">
        <f t="shared" si="24"/>
        <v>353</v>
      </c>
      <c r="L55" s="25" t="e">
        <f t="shared" si="25"/>
        <v>#REF!</v>
      </c>
      <c r="M55" s="27" t="e">
        <f t="shared" si="26"/>
        <v>#REF!</v>
      </c>
      <c r="N55" s="39"/>
      <c r="O55" s="36" t="str">
        <f t="shared" si="27"/>
        <v>Western</v>
      </c>
      <c r="P55" s="26" t="e">
        <f t="shared" si="28"/>
        <v>#REF!</v>
      </c>
      <c r="Q55" s="27" t="e">
        <f t="shared" si="29"/>
        <v>#VALUE!</v>
      </c>
      <c r="R55" s="27"/>
      <c r="S55" s="26">
        <f t="shared" si="30"/>
        <v>2510</v>
      </c>
      <c r="T55" s="26" t="e">
        <f t="shared" si="31"/>
        <v>#REF!</v>
      </c>
      <c r="U55" s="27" t="e">
        <f t="shared" si="32"/>
        <v>#REF!</v>
      </c>
      <c r="V55" s="27"/>
      <c r="W55" s="26">
        <f t="shared" si="33"/>
        <v>4494</v>
      </c>
      <c r="X55" s="26" t="e">
        <f t="shared" si="34"/>
        <v>#REF!</v>
      </c>
      <c r="Y55" s="27" t="e">
        <f t="shared" si="35"/>
        <v>#REF!</v>
      </c>
    </row>
    <row r="56" spans="1:25" ht="16.5" customHeight="1" x14ac:dyDescent="0.25">
      <c r="A56" s="16" t="s">
        <v>132</v>
      </c>
      <c r="B56" s="17" t="s">
        <v>133</v>
      </c>
      <c r="C56" s="25">
        <f t="shared" si="18"/>
        <v>2275</v>
      </c>
      <c r="D56" s="25" t="e">
        <f t="shared" si="19"/>
        <v>#REF!</v>
      </c>
      <c r="E56" s="27" t="e">
        <f t="shared" si="20"/>
        <v>#REF!</v>
      </c>
      <c r="F56" s="27"/>
      <c r="G56" s="25">
        <f t="shared" si="21"/>
        <v>2593</v>
      </c>
      <c r="H56" s="25" t="e">
        <f t="shared" si="22"/>
        <v>#REF!</v>
      </c>
      <c r="I56" s="27" t="e">
        <f t="shared" si="23"/>
        <v>#REF!</v>
      </c>
      <c r="J56" s="27"/>
      <c r="K56" s="25">
        <f t="shared" si="24"/>
        <v>5048</v>
      </c>
      <c r="L56" s="25" t="e">
        <f t="shared" si="25"/>
        <v>#REF!</v>
      </c>
      <c r="M56" s="27" t="e">
        <f t="shared" si="26"/>
        <v>#REF!</v>
      </c>
      <c r="N56" s="39"/>
      <c r="O56" s="36" t="str">
        <f t="shared" si="27"/>
        <v>Northern</v>
      </c>
      <c r="P56" s="26" t="e">
        <f t="shared" si="28"/>
        <v>#REF!</v>
      </c>
      <c r="Q56" s="27" t="e">
        <f t="shared" si="29"/>
        <v>#VALUE!</v>
      </c>
      <c r="R56" s="27"/>
      <c r="S56" s="26">
        <f t="shared" si="30"/>
        <v>7374</v>
      </c>
      <c r="T56" s="26" t="e">
        <f t="shared" si="31"/>
        <v>#REF!</v>
      </c>
      <c r="U56" s="27" t="e">
        <f t="shared" si="32"/>
        <v>#REF!</v>
      </c>
      <c r="V56" s="27"/>
      <c r="W56" s="26">
        <f t="shared" si="33"/>
        <v>7309</v>
      </c>
      <c r="X56" s="26" t="e">
        <f t="shared" si="34"/>
        <v>#REF!</v>
      </c>
      <c r="Y56" s="27" t="e">
        <f t="shared" si="35"/>
        <v>#REF!</v>
      </c>
    </row>
    <row r="57" spans="1:25" ht="16.5" customHeight="1" x14ac:dyDescent="0.25">
      <c r="A57" s="16" t="s">
        <v>134</v>
      </c>
      <c r="B57" s="17" t="s">
        <v>135</v>
      </c>
      <c r="C57" s="25">
        <f t="shared" si="18"/>
        <v>1478</v>
      </c>
      <c r="D57" s="25" t="e">
        <f t="shared" si="19"/>
        <v>#REF!</v>
      </c>
      <c r="E57" s="27" t="e">
        <f t="shared" si="20"/>
        <v>#REF!</v>
      </c>
      <c r="F57" s="27"/>
      <c r="G57" s="25">
        <f t="shared" si="21"/>
        <v>180</v>
      </c>
      <c r="H57" s="25" t="e">
        <f t="shared" si="22"/>
        <v>#REF!</v>
      </c>
      <c r="I57" s="27" t="e">
        <f t="shared" si="23"/>
        <v>#REF!</v>
      </c>
      <c r="J57" s="27"/>
      <c r="K57" s="25">
        <f t="shared" si="24"/>
        <v>882</v>
      </c>
      <c r="L57" s="25" t="e">
        <f t="shared" si="25"/>
        <v>#REF!</v>
      </c>
      <c r="M57" s="27" t="e">
        <f t="shared" si="26"/>
        <v>#REF!</v>
      </c>
      <c r="N57" s="39"/>
      <c r="O57" s="36" t="str">
        <f t="shared" si="27"/>
        <v>Northern</v>
      </c>
      <c r="P57" s="26" t="e">
        <f t="shared" si="28"/>
        <v>#REF!</v>
      </c>
      <c r="Q57" s="27" t="e">
        <f t="shared" si="29"/>
        <v>#VALUE!</v>
      </c>
      <c r="R57" s="27"/>
      <c r="S57" s="26">
        <f t="shared" si="30"/>
        <v>2472</v>
      </c>
      <c r="T57" s="26" t="e">
        <f t="shared" si="31"/>
        <v>#REF!</v>
      </c>
      <c r="U57" s="27" t="e">
        <f t="shared" si="32"/>
        <v>#REF!</v>
      </c>
      <c r="V57" s="27"/>
      <c r="W57" s="26">
        <f t="shared" si="33"/>
        <v>3163</v>
      </c>
      <c r="X57" s="26" t="e">
        <f t="shared" si="34"/>
        <v>#REF!</v>
      </c>
      <c r="Y57" s="27" t="e">
        <f t="shared" si="35"/>
        <v>#REF!</v>
      </c>
    </row>
    <row r="58" spans="1:25" ht="16.5" customHeight="1" x14ac:dyDescent="0.25">
      <c r="A58" s="16" t="s">
        <v>136</v>
      </c>
      <c r="B58" s="32" t="s">
        <v>137</v>
      </c>
      <c r="C58" s="25">
        <f t="shared" si="18"/>
        <v>1508</v>
      </c>
      <c r="D58" s="25" t="e">
        <f t="shared" si="19"/>
        <v>#REF!</v>
      </c>
      <c r="E58" s="27" t="e">
        <f t="shared" si="20"/>
        <v>#REF!</v>
      </c>
      <c r="F58" s="27"/>
      <c r="G58" s="25">
        <f t="shared" si="21"/>
        <v>310</v>
      </c>
      <c r="H58" s="25" t="e">
        <f t="shared" si="22"/>
        <v>#REF!</v>
      </c>
      <c r="I58" s="27" t="e">
        <f t="shared" si="23"/>
        <v>#REF!</v>
      </c>
      <c r="J58" s="27"/>
      <c r="K58" s="25">
        <f t="shared" si="24"/>
        <v>104</v>
      </c>
      <c r="L58" s="25" t="e">
        <f t="shared" si="25"/>
        <v>#REF!</v>
      </c>
      <c r="M58" s="27" t="e">
        <f t="shared" si="26"/>
        <v>#REF!</v>
      </c>
      <c r="N58" s="39"/>
      <c r="O58" s="36" t="str">
        <f t="shared" si="27"/>
        <v>Central</v>
      </c>
      <c r="P58" s="26" t="e">
        <f t="shared" si="28"/>
        <v>#REF!</v>
      </c>
      <c r="Q58" s="27" t="e">
        <f t="shared" si="29"/>
        <v>#VALUE!</v>
      </c>
      <c r="R58" s="27"/>
      <c r="S58" s="26">
        <f t="shared" si="30"/>
        <v>1241</v>
      </c>
      <c r="T58" s="26" t="e">
        <f t="shared" si="31"/>
        <v>#REF!</v>
      </c>
      <c r="U58" s="27" t="e">
        <f t="shared" si="32"/>
        <v>#REF!</v>
      </c>
      <c r="V58" s="27"/>
      <c r="W58" s="26">
        <f t="shared" si="33"/>
        <v>1729</v>
      </c>
      <c r="X58" s="26" t="e">
        <f t="shared" si="34"/>
        <v>#REF!</v>
      </c>
      <c r="Y58" s="27" t="e">
        <f t="shared" si="35"/>
        <v>#REF!</v>
      </c>
    </row>
    <row r="59" spans="1:25" ht="16.5" customHeight="1" x14ac:dyDescent="0.25">
      <c r="A59" s="16" t="s">
        <v>140</v>
      </c>
      <c r="B59" s="17" t="s">
        <v>141</v>
      </c>
      <c r="C59" s="25">
        <f t="shared" si="18"/>
        <v>345</v>
      </c>
      <c r="D59" s="25" t="e">
        <f t="shared" si="19"/>
        <v>#REF!</v>
      </c>
      <c r="E59" s="27" t="e">
        <f t="shared" si="20"/>
        <v>#REF!</v>
      </c>
      <c r="F59" s="27"/>
      <c r="G59" s="25">
        <f t="shared" si="21"/>
        <v>44</v>
      </c>
      <c r="H59" s="25" t="e">
        <f t="shared" si="22"/>
        <v>#REF!</v>
      </c>
      <c r="I59" s="27" t="e">
        <f t="shared" si="23"/>
        <v>#REF!</v>
      </c>
      <c r="J59" s="27"/>
      <c r="K59" s="25">
        <f t="shared" si="24"/>
        <v>290</v>
      </c>
      <c r="L59" s="25" t="e">
        <f t="shared" si="25"/>
        <v>#REF!</v>
      </c>
      <c r="M59" s="27" t="e">
        <f t="shared" si="26"/>
        <v>#REF!</v>
      </c>
      <c r="N59" s="39"/>
      <c r="O59" s="36" t="str">
        <f t="shared" si="27"/>
        <v>Northern</v>
      </c>
      <c r="P59" s="26" t="e">
        <f t="shared" si="28"/>
        <v>#REF!</v>
      </c>
      <c r="Q59" s="27" t="e">
        <f t="shared" si="29"/>
        <v>#VALUE!</v>
      </c>
      <c r="R59" s="27"/>
      <c r="S59" s="26">
        <f t="shared" si="30"/>
        <v>851</v>
      </c>
      <c r="T59" s="26" t="e">
        <f t="shared" si="31"/>
        <v>#REF!</v>
      </c>
      <c r="U59" s="27" t="e">
        <f t="shared" si="32"/>
        <v>#REF!</v>
      </c>
      <c r="V59" s="27"/>
      <c r="W59" s="26">
        <f t="shared" si="33"/>
        <v>1105</v>
      </c>
      <c r="X59" s="26" t="e">
        <f t="shared" si="34"/>
        <v>#REF!</v>
      </c>
      <c r="Y59" s="27" t="e">
        <f t="shared" si="35"/>
        <v>#REF!</v>
      </c>
    </row>
    <row r="60" spans="1:25" ht="16.5" customHeight="1" x14ac:dyDescent="0.25">
      <c r="A60" s="16" t="s">
        <v>146</v>
      </c>
      <c r="B60" s="17" t="s">
        <v>147</v>
      </c>
      <c r="C60" s="25">
        <f t="shared" si="18"/>
        <v>238</v>
      </c>
      <c r="D60" s="25" t="e">
        <f t="shared" si="19"/>
        <v>#REF!</v>
      </c>
      <c r="E60" s="27" t="e">
        <f t="shared" si="20"/>
        <v>#REF!</v>
      </c>
      <c r="F60" s="27"/>
      <c r="G60" s="25">
        <f t="shared" si="21"/>
        <v>31</v>
      </c>
      <c r="H60" s="25" t="e">
        <f t="shared" si="22"/>
        <v>#REF!</v>
      </c>
      <c r="I60" s="27" t="e">
        <f t="shared" si="23"/>
        <v>#REF!</v>
      </c>
      <c r="J60" s="27"/>
      <c r="K60" s="25">
        <f t="shared" si="24"/>
        <v>94</v>
      </c>
      <c r="L60" s="25" t="e">
        <f t="shared" si="25"/>
        <v>#REF!</v>
      </c>
      <c r="M60" s="27" t="e">
        <f t="shared" si="26"/>
        <v>#REF!</v>
      </c>
      <c r="N60" s="39"/>
      <c r="O60" s="36" t="str">
        <f t="shared" si="27"/>
        <v>Eastern</v>
      </c>
      <c r="P60" s="26" t="e">
        <f t="shared" si="28"/>
        <v>#REF!</v>
      </c>
      <c r="Q60" s="27" t="e">
        <f t="shared" si="29"/>
        <v>#VALUE!</v>
      </c>
      <c r="R60" s="27"/>
      <c r="S60" s="26">
        <f t="shared" si="30"/>
        <v>458</v>
      </c>
      <c r="T60" s="26" t="e">
        <f t="shared" si="31"/>
        <v>#REF!</v>
      </c>
      <c r="U60" s="27" t="e">
        <f t="shared" si="32"/>
        <v>#REF!</v>
      </c>
      <c r="V60" s="27"/>
      <c r="W60" s="26">
        <f t="shared" si="33"/>
        <v>762</v>
      </c>
      <c r="X60" s="26" t="e">
        <f t="shared" si="34"/>
        <v>#REF!</v>
      </c>
      <c r="Y60" s="27" t="e">
        <f t="shared" si="35"/>
        <v>#REF!</v>
      </c>
    </row>
    <row r="61" spans="1:25" ht="16.5" customHeight="1" x14ac:dyDescent="0.25">
      <c r="A61" s="16" t="s">
        <v>148</v>
      </c>
      <c r="B61" s="17" t="s">
        <v>149</v>
      </c>
      <c r="C61" s="25">
        <f t="shared" si="18"/>
        <v>3912</v>
      </c>
      <c r="D61" s="25" t="e">
        <f t="shared" si="19"/>
        <v>#REF!</v>
      </c>
      <c r="E61" s="27" t="e">
        <f t="shared" si="20"/>
        <v>#REF!</v>
      </c>
      <c r="F61" s="27"/>
      <c r="G61" s="25">
        <f t="shared" si="21"/>
        <v>100</v>
      </c>
      <c r="H61" s="25" t="e">
        <f t="shared" si="22"/>
        <v>#REF!</v>
      </c>
      <c r="I61" s="27" t="e">
        <f t="shared" si="23"/>
        <v>#REF!</v>
      </c>
      <c r="J61" s="27"/>
      <c r="K61" s="25">
        <f t="shared" si="24"/>
        <v>397</v>
      </c>
      <c r="L61" s="25" t="e">
        <f t="shared" si="25"/>
        <v>#REF!</v>
      </c>
      <c r="M61" s="27" t="e">
        <f t="shared" si="26"/>
        <v>#REF!</v>
      </c>
      <c r="N61" s="39"/>
      <c r="O61" s="36" t="str">
        <f t="shared" si="27"/>
        <v>Piedmont</v>
      </c>
      <c r="P61" s="26" t="e">
        <f t="shared" si="28"/>
        <v>#REF!</v>
      </c>
      <c r="Q61" s="27" t="e">
        <f t="shared" si="29"/>
        <v>#VALUE!</v>
      </c>
      <c r="R61" s="27"/>
      <c r="S61" s="26">
        <f t="shared" si="30"/>
        <v>2628</v>
      </c>
      <c r="T61" s="26" t="e">
        <f t="shared" si="31"/>
        <v>#REF!</v>
      </c>
      <c r="U61" s="27" t="e">
        <f t="shared" si="32"/>
        <v>#REF!</v>
      </c>
      <c r="V61" s="27"/>
      <c r="W61" s="26">
        <f t="shared" si="33"/>
        <v>3679</v>
      </c>
      <c r="X61" s="26" t="e">
        <f t="shared" si="34"/>
        <v>#REF!</v>
      </c>
      <c r="Y61" s="27" t="e">
        <f t="shared" si="35"/>
        <v>#REF!</v>
      </c>
    </row>
    <row r="62" spans="1:25" ht="16.5" customHeight="1" x14ac:dyDescent="0.25">
      <c r="A62" s="16" t="s">
        <v>150</v>
      </c>
      <c r="B62" s="32" t="s">
        <v>151</v>
      </c>
      <c r="C62" s="25">
        <f t="shared" si="18"/>
        <v>656</v>
      </c>
      <c r="D62" s="25" t="e">
        <f t="shared" si="19"/>
        <v>#REF!</v>
      </c>
      <c r="E62" s="27" t="e">
        <f t="shared" si="20"/>
        <v>#REF!</v>
      </c>
      <c r="F62" s="27"/>
      <c r="G62" s="25">
        <f t="shared" si="21"/>
        <v>35</v>
      </c>
      <c r="H62" s="25" t="e">
        <f t="shared" si="22"/>
        <v>#REF!</v>
      </c>
      <c r="I62" s="27" t="e">
        <f t="shared" si="23"/>
        <v>#REF!</v>
      </c>
      <c r="J62" s="27"/>
      <c r="K62" s="25">
        <f t="shared" si="24"/>
        <v>106</v>
      </c>
      <c r="L62" s="25" t="e">
        <f t="shared" si="25"/>
        <v>#REF!</v>
      </c>
      <c r="M62" s="27" t="e">
        <f t="shared" si="26"/>
        <v>#REF!</v>
      </c>
      <c r="N62" s="39"/>
      <c r="O62" s="36" t="str">
        <f t="shared" si="27"/>
        <v>Central</v>
      </c>
      <c r="P62" s="26" t="e">
        <f t="shared" si="28"/>
        <v>#REF!</v>
      </c>
      <c r="Q62" s="27" t="e">
        <f t="shared" si="29"/>
        <v>#VALUE!</v>
      </c>
      <c r="R62" s="27"/>
      <c r="S62" s="26">
        <f t="shared" si="30"/>
        <v>817</v>
      </c>
      <c r="T62" s="26" t="e">
        <f t="shared" si="31"/>
        <v>#REF!</v>
      </c>
      <c r="U62" s="27" t="e">
        <f t="shared" si="32"/>
        <v>#REF!</v>
      </c>
      <c r="V62" s="27"/>
      <c r="W62" s="26">
        <f t="shared" si="33"/>
        <v>1162</v>
      </c>
      <c r="X62" s="26" t="e">
        <f t="shared" si="34"/>
        <v>#REF!</v>
      </c>
      <c r="Y62" s="27" t="e">
        <f t="shared" si="35"/>
        <v>#REF!</v>
      </c>
    </row>
    <row r="63" spans="1:25" ht="16.5" customHeight="1" x14ac:dyDescent="0.25">
      <c r="A63" s="16" t="s">
        <v>152</v>
      </c>
      <c r="B63" s="17" t="s">
        <v>153</v>
      </c>
      <c r="C63" s="25">
        <f t="shared" si="18"/>
        <v>885</v>
      </c>
      <c r="D63" s="25" t="e">
        <f t="shared" si="19"/>
        <v>#REF!</v>
      </c>
      <c r="E63" s="27" t="e">
        <f t="shared" si="20"/>
        <v>#REF!</v>
      </c>
      <c r="F63" s="27"/>
      <c r="G63" s="25">
        <f t="shared" si="21"/>
        <v>317</v>
      </c>
      <c r="H63" s="25" t="e">
        <f t="shared" si="22"/>
        <v>#REF!</v>
      </c>
      <c r="I63" s="27" t="e">
        <f t="shared" si="23"/>
        <v>#REF!</v>
      </c>
      <c r="J63" s="27"/>
      <c r="K63" s="25">
        <f t="shared" si="24"/>
        <v>1339</v>
      </c>
      <c r="L63" s="25" t="e">
        <f t="shared" si="25"/>
        <v>#REF!</v>
      </c>
      <c r="M63" s="27" t="e">
        <f t="shared" si="26"/>
        <v>#REF!</v>
      </c>
      <c r="N63" s="39"/>
      <c r="O63" s="36" t="str">
        <f t="shared" si="27"/>
        <v>Western</v>
      </c>
      <c r="P63" s="26" t="e">
        <f t="shared" si="28"/>
        <v>#REF!</v>
      </c>
      <c r="Q63" s="27" t="e">
        <f t="shared" si="29"/>
        <v>#VALUE!</v>
      </c>
      <c r="R63" s="27"/>
      <c r="S63" s="26">
        <f t="shared" si="30"/>
        <v>3923</v>
      </c>
      <c r="T63" s="26" t="e">
        <f t="shared" si="31"/>
        <v>#REF!</v>
      </c>
      <c r="U63" s="27" t="e">
        <f t="shared" si="32"/>
        <v>#REF!</v>
      </c>
      <c r="V63" s="27"/>
      <c r="W63" s="26">
        <f t="shared" si="33"/>
        <v>5478</v>
      </c>
      <c r="X63" s="26" t="e">
        <f t="shared" si="34"/>
        <v>#REF!</v>
      </c>
      <c r="Y63" s="27" t="e">
        <f t="shared" si="35"/>
        <v>#REF!</v>
      </c>
    </row>
    <row r="64" spans="1:25" ht="16.5" customHeight="1" x14ac:dyDescent="0.25">
      <c r="A64" s="16" t="s">
        <v>154</v>
      </c>
      <c r="B64" s="32" t="s">
        <v>155</v>
      </c>
      <c r="C64" s="25">
        <f t="shared" si="18"/>
        <v>517</v>
      </c>
      <c r="D64" s="25" t="e">
        <f t="shared" si="19"/>
        <v>#REF!</v>
      </c>
      <c r="E64" s="27" t="e">
        <f t="shared" si="20"/>
        <v>#REF!</v>
      </c>
      <c r="F64" s="27"/>
      <c r="G64" s="25">
        <f t="shared" si="21"/>
        <v>103</v>
      </c>
      <c r="H64" s="25" t="e">
        <f t="shared" si="22"/>
        <v>#REF!</v>
      </c>
      <c r="I64" s="27" t="e">
        <f t="shared" si="23"/>
        <v>#REF!</v>
      </c>
      <c r="J64" s="27"/>
      <c r="K64" s="25">
        <f t="shared" si="24"/>
        <v>342</v>
      </c>
      <c r="L64" s="25" t="e">
        <f t="shared" si="25"/>
        <v>#REF!</v>
      </c>
      <c r="M64" s="27" t="e">
        <f t="shared" si="26"/>
        <v>#REF!</v>
      </c>
      <c r="N64" s="39"/>
      <c r="O64" s="36" t="str">
        <f t="shared" si="27"/>
        <v>Piedmont</v>
      </c>
      <c r="P64" s="26" t="e">
        <f t="shared" si="28"/>
        <v>#REF!</v>
      </c>
      <c r="Q64" s="27" t="e">
        <f t="shared" si="29"/>
        <v>#VALUE!</v>
      </c>
      <c r="R64" s="27"/>
      <c r="S64" s="26">
        <f t="shared" si="30"/>
        <v>1076</v>
      </c>
      <c r="T64" s="26" t="e">
        <f t="shared" si="31"/>
        <v>#REF!</v>
      </c>
      <c r="U64" s="27" t="e">
        <f t="shared" si="32"/>
        <v>#REF!</v>
      </c>
      <c r="V64" s="27"/>
      <c r="W64" s="26">
        <f t="shared" si="33"/>
        <v>1455</v>
      </c>
      <c r="X64" s="26" t="e">
        <f t="shared" si="34"/>
        <v>#REF!</v>
      </c>
      <c r="Y64" s="27" t="e">
        <f t="shared" si="35"/>
        <v>#REF!</v>
      </c>
    </row>
    <row r="65" spans="1:25" ht="16.5" customHeight="1" x14ac:dyDescent="0.25">
      <c r="A65" s="16" t="s">
        <v>156</v>
      </c>
      <c r="B65" s="17" t="s">
        <v>157</v>
      </c>
      <c r="C65" s="25">
        <f t="shared" si="18"/>
        <v>307</v>
      </c>
      <c r="D65" s="25" t="e">
        <f t="shared" si="19"/>
        <v>#REF!</v>
      </c>
      <c r="E65" s="27" t="e">
        <f t="shared" si="20"/>
        <v>#REF!</v>
      </c>
      <c r="F65" s="27"/>
      <c r="G65" s="25">
        <f t="shared" si="21"/>
        <v>72</v>
      </c>
      <c r="H65" s="25" t="e">
        <f t="shared" si="22"/>
        <v>#REF!</v>
      </c>
      <c r="I65" s="27" t="e">
        <f t="shared" si="23"/>
        <v>#REF!</v>
      </c>
      <c r="J65" s="27"/>
      <c r="K65" s="25">
        <f t="shared" si="24"/>
        <v>260</v>
      </c>
      <c r="L65" s="25" t="e">
        <f t="shared" si="25"/>
        <v>#REF!</v>
      </c>
      <c r="M65" s="27" t="e">
        <f t="shared" si="26"/>
        <v>#REF!</v>
      </c>
      <c r="N65" s="39"/>
      <c r="O65" s="36" t="str">
        <f t="shared" si="27"/>
        <v>Central</v>
      </c>
      <c r="P65" s="26" t="e">
        <f t="shared" si="28"/>
        <v>#REF!</v>
      </c>
      <c r="Q65" s="27" t="e">
        <f t="shared" si="29"/>
        <v>#VALUE!</v>
      </c>
      <c r="R65" s="27"/>
      <c r="S65" s="26">
        <f t="shared" si="30"/>
        <v>804</v>
      </c>
      <c r="T65" s="26" t="e">
        <f t="shared" si="31"/>
        <v>#REF!</v>
      </c>
      <c r="U65" s="27" t="e">
        <f t="shared" si="32"/>
        <v>#REF!</v>
      </c>
      <c r="V65" s="27"/>
      <c r="W65" s="26">
        <f t="shared" si="33"/>
        <v>929</v>
      </c>
      <c r="X65" s="26" t="e">
        <f t="shared" si="34"/>
        <v>#REF!</v>
      </c>
      <c r="Y65" s="27" t="e">
        <f t="shared" si="35"/>
        <v>#REF!</v>
      </c>
    </row>
    <row r="66" spans="1:25" ht="16.5" customHeight="1" x14ac:dyDescent="0.25">
      <c r="A66" s="16" t="s">
        <v>162</v>
      </c>
      <c r="B66" s="32" t="s">
        <v>163</v>
      </c>
      <c r="C66" s="25">
        <f t="shared" si="18"/>
        <v>2094</v>
      </c>
      <c r="D66" s="25" t="e">
        <f t="shared" si="19"/>
        <v>#REF!</v>
      </c>
      <c r="E66" s="27" t="e">
        <f t="shared" si="20"/>
        <v>#REF!</v>
      </c>
      <c r="F66" s="27"/>
      <c r="G66" s="25">
        <f t="shared" si="21"/>
        <v>50</v>
      </c>
      <c r="H66" s="25" t="e">
        <f t="shared" si="22"/>
        <v>#REF!</v>
      </c>
      <c r="I66" s="27" t="e">
        <f t="shared" si="23"/>
        <v>#REF!</v>
      </c>
      <c r="J66" s="27"/>
      <c r="K66" s="25">
        <f t="shared" si="24"/>
        <v>213</v>
      </c>
      <c r="L66" s="25" t="e">
        <f t="shared" si="25"/>
        <v>#REF!</v>
      </c>
      <c r="M66" s="27" t="e">
        <f t="shared" si="26"/>
        <v>#REF!</v>
      </c>
      <c r="N66" s="39"/>
      <c r="O66" s="36" t="str">
        <f t="shared" si="27"/>
        <v>Eastern</v>
      </c>
      <c r="P66" s="26" t="e">
        <f t="shared" si="28"/>
        <v>#REF!</v>
      </c>
      <c r="Q66" s="27" t="e">
        <f t="shared" si="29"/>
        <v>#VALUE!</v>
      </c>
      <c r="R66" s="27"/>
      <c r="S66" s="26">
        <f t="shared" si="30"/>
        <v>1335</v>
      </c>
      <c r="T66" s="26" t="e">
        <f t="shared" si="31"/>
        <v>#REF!</v>
      </c>
      <c r="U66" s="27" t="e">
        <f t="shared" si="32"/>
        <v>#REF!</v>
      </c>
      <c r="V66" s="27"/>
      <c r="W66" s="26">
        <f t="shared" si="33"/>
        <v>1790</v>
      </c>
      <c r="X66" s="26" t="e">
        <f t="shared" si="34"/>
        <v>#REF!</v>
      </c>
      <c r="Y66" s="27" t="e">
        <f t="shared" si="35"/>
        <v>#REF!</v>
      </c>
    </row>
    <row r="67" spans="1:25" ht="16.5" customHeight="1" x14ac:dyDescent="0.25">
      <c r="A67" s="16" t="s">
        <v>164</v>
      </c>
      <c r="B67" s="17" t="s">
        <v>165</v>
      </c>
      <c r="C67" s="25">
        <f t="shared" si="18"/>
        <v>1250</v>
      </c>
      <c r="D67" s="25" t="e">
        <f t="shared" si="19"/>
        <v>#REF!</v>
      </c>
      <c r="E67" s="27" t="e">
        <f t="shared" si="20"/>
        <v>#REF!</v>
      </c>
      <c r="F67" s="27"/>
      <c r="G67" s="25">
        <f t="shared" si="21"/>
        <v>118</v>
      </c>
      <c r="H67" s="25" t="e">
        <f t="shared" si="22"/>
        <v>#REF!</v>
      </c>
      <c r="I67" s="27" t="e">
        <f t="shared" si="23"/>
        <v>#REF!</v>
      </c>
      <c r="J67" s="27"/>
      <c r="K67" s="25">
        <f t="shared" si="24"/>
        <v>180</v>
      </c>
      <c r="L67" s="25" t="e">
        <f t="shared" si="25"/>
        <v>#REF!</v>
      </c>
      <c r="M67" s="27" t="e">
        <f t="shared" si="26"/>
        <v>#REF!</v>
      </c>
      <c r="N67" s="39"/>
      <c r="O67" s="36" t="str">
        <f t="shared" si="27"/>
        <v>Central</v>
      </c>
      <c r="P67" s="26" t="e">
        <f t="shared" si="28"/>
        <v>#REF!</v>
      </c>
      <c r="Q67" s="27" t="e">
        <f t="shared" si="29"/>
        <v>#VALUE!</v>
      </c>
      <c r="R67" s="27"/>
      <c r="S67" s="26">
        <f t="shared" si="30"/>
        <v>978</v>
      </c>
      <c r="T67" s="26" t="e">
        <f t="shared" si="31"/>
        <v>#REF!</v>
      </c>
      <c r="U67" s="27" t="e">
        <f t="shared" si="32"/>
        <v>#REF!</v>
      </c>
      <c r="V67" s="27"/>
      <c r="W67" s="26">
        <f t="shared" si="33"/>
        <v>1244</v>
      </c>
      <c r="X67" s="26" t="e">
        <f t="shared" si="34"/>
        <v>#REF!</v>
      </c>
      <c r="Y67" s="27" t="e">
        <f t="shared" si="35"/>
        <v>#REF!</v>
      </c>
    </row>
    <row r="68" spans="1:25" ht="16.5" customHeight="1" x14ac:dyDescent="0.25">
      <c r="A68" s="16" t="s">
        <v>168</v>
      </c>
      <c r="B68" s="32" t="s">
        <v>169</v>
      </c>
      <c r="C68" s="25">
        <f t="shared" ref="C68:C99" si="36">VLOOKUP(A68,SNAPClient_Demo,10,FALSE)</f>
        <v>2217</v>
      </c>
      <c r="D68" s="25" t="e">
        <f t="shared" ref="D68:D99" si="37">VLOOKUP(A68,Pop,14,FALSE)</f>
        <v>#REF!</v>
      </c>
      <c r="E68" s="27" t="e">
        <f t="shared" ref="E68:E99" si="38">+C68/D68</f>
        <v>#REF!</v>
      </c>
      <c r="F68" s="27"/>
      <c r="G68" s="25">
        <f t="shared" ref="G68:G99" si="39">VLOOKUP(A68,SNAPClient_Demo,11,FALSE)</f>
        <v>161</v>
      </c>
      <c r="H68" s="25" t="e">
        <f t="shared" ref="H68:H99" si="40">VLOOKUP(A68,Pop,15,FALSE)</f>
        <v>#REF!</v>
      </c>
      <c r="I68" s="27" t="e">
        <f t="shared" ref="I68:I99" si="41">+G68/H68</f>
        <v>#REF!</v>
      </c>
      <c r="J68" s="27"/>
      <c r="K68" s="25">
        <f t="shared" ref="K68:K99" si="42">VLOOKUP(A68,SNAPClient_Demo,12,FALSE)</f>
        <v>371</v>
      </c>
      <c r="L68" s="25" t="e">
        <f t="shared" ref="L68:L99" si="43">VLOOKUP(A68,Pop,16,FALSE)</f>
        <v>#REF!</v>
      </c>
      <c r="M68" s="27" t="e">
        <f t="shared" ref="M68:M99" si="44">+K68/L68</f>
        <v>#REF!</v>
      </c>
      <c r="N68" s="39"/>
      <c r="O68" s="36" t="str">
        <f t="shared" ref="O68:O99" si="45">VLOOKUP(A68,SNAPClient_Demo,3,FALSE)</f>
        <v>Central</v>
      </c>
      <c r="P68" s="26" t="e">
        <f t="shared" ref="P68:P99" si="46">VLOOKUP(A68,Pop,8,FALSE)</f>
        <v>#REF!</v>
      </c>
      <c r="Q68" s="27" t="e">
        <f t="shared" ref="Q68:Q99" si="47">+O68/P68</f>
        <v>#VALUE!</v>
      </c>
      <c r="R68" s="27"/>
      <c r="S68" s="26">
        <f t="shared" ref="S68:S99" si="48">VLOOKUP(A68,SNAPClient_Demo,4,FALSE)</f>
        <v>1796</v>
      </c>
      <c r="T68" s="26" t="e">
        <f t="shared" ref="T68:T99" si="49">VLOOKUP(A68,Pop,9,FALSE)</f>
        <v>#REF!</v>
      </c>
      <c r="U68" s="27" t="e">
        <f t="shared" ref="U68:U99" si="50">+S68/T68</f>
        <v>#REF!</v>
      </c>
      <c r="V68" s="27"/>
      <c r="W68" s="26">
        <f t="shared" ref="W68:W99" si="51">VLOOKUP(A68,SNAPClient_Demo,5,FALSE)</f>
        <v>2319</v>
      </c>
      <c r="X68" s="26" t="e">
        <f t="shared" ref="X68:X99" si="52">VLOOKUP(A68,Pop,10,FALSE)</f>
        <v>#REF!</v>
      </c>
      <c r="Y68" s="27" t="e">
        <f t="shared" ref="Y68:Y99" si="53">+W68/X68</f>
        <v>#REF!</v>
      </c>
    </row>
    <row r="69" spans="1:25" ht="16.5" customHeight="1" x14ac:dyDescent="0.25">
      <c r="A69" s="16" t="s">
        <v>170</v>
      </c>
      <c r="B69" s="17" t="s">
        <v>171</v>
      </c>
      <c r="C69" s="25">
        <f t="shared" si="36"/>
        <v>1128</v>
      </c>
      <c r="D69" s="25" t="e">
        <f t="shared" si="37"/>
        <v>#REF!</v>
      </c>
      <c r="E69" s="27" t="e">
        <f t="shared" si="38"/>
        <v>#REF!</v>
      </c>
      <c r="F69" s="27"/>
      <c r="G69" s="25">
        <f t="shared" si="39"/>
        <v>171</v>
      </c>
      <c r="H69" s="25" t="e">
        <f t="shared" si="40"/>
        <v>#REF!</v>
      </c>
      <c r="I69" s="27" t="e">
        <f t="shared" si="41"/>
        <v>#REF!</v>
      </c>
      <c r="J69" s="27"/>
      <c r="K69" s="25">
        <f t="shared" si="42"/>
        <v>693</v>
      </c>
      <c r="L69" s="25" t="e">
        <f t="shared" si="43"/>
        <v>#REF!</v>
      </c>
      <c r="M69" s="27" t="e">
        <f t="shared" si="44"/>
        <v>#REF!</v>
      </c>
      <c r="N69" s="39"/>
      <c r="O69" s="36" t="str">
        <f t="shared" si="45"/>
        <v>Northern</v>
      </c>
      <c r="P69" s="26" t="e">
        <f t="shared" si="46"/>
        <v>#REF!</v>
      </c>
      <c r="Q69" s="27" t="e">
        <f t="shared" si="47"/>
        <v>#VALUE!</v>
      </c>
      <c r="R69" s="27"/>
      <c r="S69" s="26">
        <f t="shared" si="48"/>
        <v>1996</v>
      </c>
      <c r="T69" s="26" t="e">
        <f t="shared" si="49"/>
        <v>#REF!</v>
      </c>
      <c r="U69" s="27" t="e">
        <f t="shared" si="50"/>
        <v>#REF!</v>
      </c>
      <c r="V69" s="27"/>
      <c r="W69" s="26">
        <f t="shared" si="51"/>
        <v>2443</v>
      </c>
      <c r="X69" s="26" t="e">
        <f t="shared" si="52"/>
        <v>#REF!</v>
      </c>
      <c r="Y69" s="27" t="e">
        <f t="shared" si="53"/>
        <v>#REF!</v>
      </c>
    </row>
    <row r="70" spans="1:25" ht="16.5" customHeight="1" x14ac:dyDescent="0.25">
      <c r="A70" s="16" t="s">
        <v>172</v>
      </c>
      <c r="B70" s="17" t="s">
        <v>173</v>
      </c>
      <c r="C70" s="25">
        <f t="shared" si="36"/>
        <v>159</v>
      </c>
      <c r="D70" s="25" t="e">
        <f t="shared" si="37"/>
        <v>#REF!</v>
      </c>
      <c r="E70" s="27" t="e">
        <f t="shared" si="38"/>
        <v>#REF!</v>
      </c>
      <c r="F70" s="27"/>
      <c r="G70" s="25">
        <f t="shared" si="39"/>
        <v>59</v>
      </c>
      <c r="H70" s="25" t="e">
        <f t="shared" si="40"/>
        <v>#REF!</v>
      </c>
      <c r="I70" s="27" t="e">
        <f t="shared" si="41"/>
        <v>#REF!</v>
      </c>
      <c r="J70" s="27"/>
      <c r="K70" s="25">
        <f t="shared" si="42"/>
        <v>437</v>
      </c>
      <c r="L70" s="25" t="e">
        <f t="shared" si="43"/>
        <v>#REF!</v>
      </c>
      <c r="M70" s="27" t="e">
        <f t="shared" si="44"/>
        <v>#REF!</v>
      </c>
      <c r="N70" s="39"/>
      <c r="O70" s="36" t="str">
        <f t="shared" si="45"/>
        <v>Northern</v>
      </c>
      <c r="P70" s="26" t="e">
        <f t="shared" si="46"/>
        <v>#REF!</v>
      </c>
      <c r="Q70" s="27" t="e">
        <f t="shared" si="47"/>
        <v>#VALUE!</v>
      </c>
      <c r="R70" s="27"/>
      <c r="S70" s="26">
        <f t="shared" si="48"/>
        <v>1930</v>
      </c>
      <c r="T70" s="26" t="e">
        <f t="shared" si="49"/>
        <v>#REF!</v>
      </c>
      <c r="U70" s="27" t="e">
        <f t="shared" si="50"/>
        <v>#REF!</v>
      </c>
      <c r="V70" s="27"/>
      <c r="W70" s="26">
        <f t="shared" si="51"/>
        <v>2748</v>
      </c>
      <c r="X70" s="26" t="e">
        <f t="shared" si="52"/>
        <v>#REF!</v>
      </c>
      <c r="Y70" s="27" t="e">
        <f t="shared" si="53"/>
        <v>#REF!</v>
      </c>
    </row>
    <row r="71" spans="1:25" ht="16.5" customHeight="1" x14ac:dyDescent="0.25">
      <c r="A71" s="16" t="s">
        <v>174</v>
      </c>
      <c r="B71" s="17" t="s">
        <v>175</v>
      </c>
      <c r="C71" s="25">
        <f t="shared" si="36"/>
        <v>309</v>
      </c>
      <c r="D71" s="25" t="e">
        <f t="shared" si="37"/>
        <v>#REF!</v>
      </c>
      <c r="E71" s="27" t="e">
        <f t="shared" si="38"/>
        <v>#REF!</v>
      </c>
      <c r="F71" s="27"/>
      <c r="G71" s="25">
        <f t="shared" si="39"/>
        <v>142</v>
      </c>
      <c r="H71" s="25" t="e">
        <f t="shared" si="40"/>
        <v>#REF!</v>
      </c>
      <c r="I71" s="27" t="e">
        <f t="shared" si="41"/>
        <v>#REF!</v>
      </c>
      <c r="J71" s="27"/>
      <c r="K71" s="25">
        <f t="shared" si="42"/>
        <v>240</v>
      </c>
      <c r="L71" s="25" t="e">
        <f t="shared" si="43"/>
        <v>#REF!</v>
      </c>
      <c r="M71" s="27" t="e">
        <f t="shared" si="44"/>
        <v>#REF!</v>
      </c>
      <c r="N71" s="39"/>
      <c r="O71" s="36" t="str">
        <f t="shared" si="45"/>
        <v>Western</v>
      </c>
      <c r="P71" s="26" t="e">
        <f t="shared" si="46"/>
        <v>#REF!</v>
      </c>
      <c r="Q71" s="27" t="e">
        <f t="shared" si="47"/>
        <v>#VALUE!</v>
      </c>
      <c r="R71" s="27"/>
      <c r="S71" s="26">
        <f t="shared" si="48"/>
        <v>1472</v>
      </c>
      <c r="T71" s="26" t="e">
        <f t="shared" si="49"/>
        <v>#REF!</v>
      </c>
      <c r="U71" s="27" t="e">
        <f t="shared" si="50"/>
        <v>#REF!</v>
      </c>
      <c r="V71" s="27"/>
      <c r="W71" s="26">
        <f t="shared" si="51"/>
        <v>2411</v>
      </c>
      <c r="X71" s="26" t="e">
        <f t="shared" si="52"/>
        <v>#REF!</v>
      </c>
      <c r="Y71" s="27" t="e">
        <f t="shared" si="53"/>
        <v>#REF!</v>
      </c>
    </row>
    <row r="72" spans="1:25" ht="16.5" customHeight="1" x14ac:dyDescent="0.25">
      <c r="A72" s="16" t="s">
        <v>178</v>
      </c>
      <c r="B72" s="32" t="s">
        <v>179</v>
      </c>
      <c r="C72" s="25">
        <f t="shared" si="36"/>
        <v>3872</v>
      </c>
      <c r="D72" s="25" t="e">
        <f t="shared" si="37"/>
        <v>#REF!</v>
      </c>
      <c r="E72" s="27" t="e">
        <f t="shared" si="38"/>
        <v>#REF!</v>
      </c>
      <c r="F72" s="27"/>
      <c r="G72" s="25">
        <f t="shared" si="39"/>
        <v>407</v>
      </c>
      <c r="H72" s="25" t="e">
        <f t="shared" si="40"/>
        <v>#REF!</v>
      </c>
      <c r="I72" s="27" t="e">
        <f t="shared" si="41"/>
        <v>#REF!</v>
      </c>
      <c r="J72" s="27"/>
      <c r="K72" s="25">
        <f t="shared" si="42"/>
        <v>1473</v>
      </c>
      <c r="L72" s="25" t="e">
        <f t="shared" si="43"/>
        <v>#REF!</v>
      </c>
      <c r="M72" s="27" t="e">
        <f t="shared" si="44"/>
        <v>#REF!</v>
      </c>
      <c r="N72" s="39"/>
      <c r="O72" s="36" t="str">
        <f t="shared" si="45"/>
        <v>Piedmont</v>
      </c>
      <c r="P72" s="26" t="e">
        <f t="shared" si="46"/>
        <v>#REF!</v>
      </c>
      <c r="Q72" s="27" t="e">
        <f t="shared" si="47"/>
        <v>#VALUE!</v>
      </c>
      <c r="R72" s="27"/>
      <c r="S72" s="26">
        <f t="shared" si="48"/>
        <v>5013</v>
      </c>
      <c r="T72" s="26" t="e">
        <f t="shared" si="49"/>
        <v>#REF!</v>
      </c>
      <c r="U72" s="27" t="e">
        <f t="shared" si="50"/>
        <v>#REF!</v>
      </c>
      <c r="V72" s="27"/>
      <c r="W72" s="26">
        <f t="shared" si="51"/>
        <v>6769</v>
      </c>
      <c r="X72" s="26" t="e">
        <f t="shared" si="52"/>
        <v>#REF!</v>
      </c>
      <c r="Y72" s="27" t="e">
        <f t="shared" si="53"/>
        <v>#REF!</v>
      </c>
    </row>
    <row r="73" spans="1:25" ht="16.5" customHeight="1" x14ac:dyDescent="0.25">
      <c r="A73" s="16" t="s">
        <v>182</v>
      </c>
      <c r="B73" s="17" t="s">
        <v>183</v>
      </c>
      <c r="C73" s="25">
        <f t="shared" si="36"/>
        <v>286</v>
      </c>
      <c r="D73" s="25" t="e">
        <f t="shared" si="37"/>
        <v>#REF!</v>
      </c>
      <c r="E73" s="27" t="e">
        <f t="shared" si="38"/>
        <v>#REF!</v>
      </c>
      <c r="F73" s="27"/>
      <c r="G73" s="25">
        <f t="shared" si="39"/>
        <v>49</v>
      </c>
      <c r="H73" s="25" t="e">
        <f t="shared" si="40"/>
        <v>#REF!</v>
      </c>
      <c r="I73" s="27" t="e">
        <f t="shared" si="41"/>
        <v>#REF!</v>
      </c>
      <c r="J73" s="27"/>
      <c r="K73" s="25">
        <f t="shared" si="42"/>
        <v>289</v>
      </c>
      <c r="L73" s="25" t="e">
        <f t="shared" si="43"/>
        <v>#REF!</v>
      </c>
      <c r="M73" s="27" t="e">
        <f t="shared" si="44"/>
        <v>#REF!</v>
      </c>
      <c r="N73" s="39"/>
      <c r="O73" s="36" t="str">
        <f t="shared" si="45"/>
        <v>Central</v>
      </c>
      <c r="P73" s="26" t="e">
        <f t="shared" si="46"/>
        <v>#REF!</v>
      </c>
      <c r="Q73" s="27" t="e">
        <f t="shared" si="47"/>
        <v>#VALUE!</v>
      </c>
      <c r="R73" s="27"/>
      <c r="S73" s="26">
        <f t="shared" si="48"/>
        <v>742</v>
      </c>
      <c r="T73" s="26" t="e">
        <f t="shared" si="49"/>
        <v>#REF!</v>
      </c>
      <c r="U73" s="27" t="e">
        <f t="shared" si="50"/>
        <v>#REF!</v>
      </c>
      <c r="V73" s="27"/>
      <c r="W73" s="26">
        <f t="shared" si="51"/>
        <v>985</v>
      </c>
      <c r="X73" s="26" t="e">
        <f t="shared" si="52"/>
        <v>#REF!</v>
      </c>
      <c r="Y73" s="27" t="e">
        <f t="shared" si="53"/>
        <v>#REF!</v>
      </c>
    </row>
    <row r="74" spans="1:25" ht="16.5" customHeight="1" x14ac:dyDescent="0.25">
      <c r="A74" s="16" t="s">
        <v>184</v>
      </c>
      <c r="B74" s="17" t="s">
        <v>185</v>
      </c>
      <c r="C74" s="25">
        <f t="shared" si="36"/>
        <v>2758</v>
      </c>
      <c r="D74" s="25" t="e">
        <f t="shared" si="37"/>
        <v>#REF!</v>
      </c>
      <c r="E74" s="27" t="e">
        <f t="shared" si="38"/>
        <v>#REF!</v>
      </c>
      <c r="F74" s="27"/>
      <c r="G74" s="25">
        <f t="shared" si="39"/>
        <v>117</v>
      </c>
      <c r="H74" s="25" t="e">
        <f t="shared" si="40"/>
        <v>#REF!</v>
      </c>
      <c r="I74" s="27" t="e">
        <f t="shared" si="41"/>
        <v>#REF!</v>
      </c>
      <c r="J74" s="27"/>
      <c r="K74" s="25">
        <f t="shared" si="42"/>
        <v>280</v>
      </c>
      <c r="L74" s="25" t="e">
        <f t="shared" si="43"/>
        <v>#REF!</v>
      </c>
      <c r="M74" s="27" t="e">
        <f t="shared" si="44"/>
        <v>#REF!</v>
      </c>
      <c r="N74" s="39"/>
      <c r="O74" s="36" t="str">
        <f t="shared" si="45"/>
        <v>Central</v>
      </c>
      <c r="P74" s="26" t="e">
        <f t="shared" si="46"/>
        <v>#REF!</v>
      </c>
      <c r="Q74" s="27" t="e">
        <f t="shared" si="47"/>
        <v>#VALUE!</v>
      </c>
      <c r="R74" s="27"/>
      <c r="S74" s="26">
        <f t="shared" si="48"/>
        <v>1883</v>
      </c>
      <c r="T74" s="26" t="e">
        <f t="shared" si="49"/>
        <v>#REF!</v>
      </c>
      <c r="U74" s="27" t="e">
        <f t="shared" si="50"/>
        <v>#REF!</v>
      </c>
      <c r="V74" s="27"/>
      <c r="W74" s="26">
        <f t="shared" si="51"/>
        <v>2572</v>
      </c>
      <c r="X74" s="26" t="e">
        <f t="shared" si="52"/>
        <v>#REF!</v>
      </c>
      <c r="Y74" s="27" t="e">
        <f t="shared" si="53"/>
        <v>#REF!</v>
      </c>
    </row>
    <row r="75" spans="1:25" ht="16.5" customHeight="1" x14ac:dyDescent="0.25">
      <c r="A75" s="16" t="s">
        <v>186</v>
      </c>
      <c r="B75" s="17" t="s">
        <v>187</v>
      </c>
      <c r="C75" s="25">
        <f t="shared" si="36"/>
        <v>1921</v>
      </c>
      <c r="D75" s="25" t="e">
        <f t="shared" si="37"/>
        <v>#REF!</v>
      </c>
      <c r="E75" s="27" t="e">
        <f t="shared" si="38"/>
        <v>#REF!</v>
      </c>
      <c r="F75" s="27"/>
      <c r="G75" s="25">
        <f t="shared" si="39"/>
        <v>146</v>
      </c>
      <c r="H75" s="25" t="e">
        <f t="shared" si="40"/>
        <v>#REF!</v>
      </c>
      <c r="I75" s="27" t="e">
        <f t="shared" si="41"/>
        <v>#REF!</v>
      </c>
      <c r="J75" s="27"/>
      <c r="K75" s="25">
        <f t="shared" si="42"/>
        <v>524</v>
      </c>
      <c r="L75" s="25" t="e">
        <f t="shared" si="43"/>
        <v>#REF!</v>
      </c>
      <c r="M75" s="27" t="e">
        <f t="shared" si="44"/>
        <v>#REF!</v>
      </c>
      <c r="N75" s="39"/>
      <c r="O75" s="36" t="str">
        <f t="shared" si="45"/>
        <v>Eastern</v>
      </c>
      <c r="P75" s="26" t="e">
        <f t="shared" si="46"/>
        <v>#REF!</v>
      </c>
      <c r="Q75" s="27" t="e">
        <f t="shared" si="47"/>
        <v>#VALUE!</v>
      </c>
      <c r="R75" s="27"/>
      <c r="S75" s="26">
        <f t="shared" si="48"/>
        <v>2122</v>
      </c>
      <c r="T75" s="26" t="e">
        <f t="shared" si="49"/>
        <v>#REF!</v>
      </c>
      <c r="U75" s="27" t="e">
        <f t="shared" si="50"/>
        <v>#REF!</v>
      </c>
      <c r="V75" s="27"/>
      <c r="W75" s="26">
        <f t="shared" si="51"/>
        <v>2404</v>
      </c>
      <c r="X75" s="26" t="e">
        <f t="shared" si="52"/>
        <v>#REF!</v>
      </c>
      <c r="Y75" s="27" t="e">
        <f t="shared" si="53"/>
        <v>#REF!</v>
      </c>
    </row>
    <row r="76" spans="1:25" ht="16.5" customHeight="1" x14ac:dyDescent="0.25">
      <c r="A76" s="16" t="s">
        <v>188</v>
      </c>
      <c r="B76" s="17" t="s">
        <v>189</v>
      </c>
      <c r="C76" s="25">
        <f t="shared" si="36"/>
        <v>13611</v>
      </c>
      <c r="D76" s="25" t="e">
        <f t="shared" si="37"/>
        <v>#REF!</v>
      </c>
      <c r="E76" s="27" t="e">
        <f t="shared" si="38"/>
        <v>#REF!</v>
      </c>
      <c r="F76" s="27"/>
      <c r="G76" s="25">
        <f t="shared" si="39"/>
        <v>4929</v>
      </c>
      <c r="H76" s="25" t="e">
        <f t="shared" si="40"/>
        <v>#REF!</v>
      </c>
      <c r="I76" s="27" t="e">
        <f t="shared" si="41"/>
        <v>#REF!</v>
      </c>
      <c r="J76" s="27"/>
      <c r="K76" s="25">
        <f t="shared" si="42"/>
        <v>9362</v>
      </c>
      <c r="L76" s="25" t="e">
        <f t="shared" si="43"/>
        <v>#REF!</v>
      </c>
      <c r="M76" s="27" t="e">
        <f t="shared" si="44"/>
        <v>#REF!</v>
      </c>
      <c r="N76" s="39"/>
      <c r="O76" s="36" t="str">
        <f t="shared" si="45"/>
        <v>Northern</v>
      </c>
      <c r="P76" s="26" t="e">
        <f t="shared" si="46"/>
        <v>#REF!</v>
      </c>
      <c r="Q76" s="27" t="e">
        <f t="shared" si="47"/>
        <v>#VALUE!</v>
      </c>
      <c r="R76" s="27"/>
      <c r="S76" s="26">
        <f t="shared" si="48"/>
        <v>22680</v>
      </c>
      <c r="T76" s="26" t="e">
        <f t="shared" si="49"/>
        <v>#REF!</v>
      </c>
      <c r="U76" s="27" t="e">
        <f t="shared" si="50"/>
        <v>#REF!</v>
      </c>
      <c r="V76" s="27"/>
      <c r="W76" s="26">
        <f t="shared" si="51"/>
        <v>21492</v>
      </c>
      <c r="X76" s="26" t="e">
        <f t="shared" si="52"/>
        <v>#REF!</v>
      </c>
      <c r="Y76" s="27" t="e">
        <f t="shared" si="53"/>
        <v>#REF!</v>
      </c>
    </row>
    <row r="77" spans="1:25" ht="16.5" customHeight="1" x14ac:dyDescent="0.25">
      <c r="A77" s="16" t="s">
        <v>190</v>
      </c>
      <c r="B77" s="17" t="s">
        <v>191</v>
      </c>
      <c r="C77" s="25">
        <f t="shared" si="36"/>
        <v>744</v>
      </c>
      <c r="D77" s="25" t="e">
        <f t="shared" si="37"/>
        <v>#REF!</v>
      </c>
      <c r="E77" s="27" t="e">
        <f t="shared" si="38"/>
        <v>#REF!</v>
      </c>
      <c r="F77" s="27"/>
      <c r="G77" s="25">
        <f t="shared" si="39"/>
        <v>226</v>
      </c>
      <c r="H77" s="25" t="e">
        <f t="shared" si="40"/>
        <v>#REF!</v>
      </c>
      <c r="I77" s="27" t="e">
        <f t="shared" si="41"/>
        <v>#REF!</v>
      </c>
      <c r="J77" s="27"/>
      <c r="K77" s="25">
        <f t="shared" si="42"/>
        <v>332</v>
      </c>
      <c r="L77" s="25" t="e">
        <f t="shared" si="43"/>
        <v>#REF!</v>
      </c>
      <c r="M77" s="27" t="e">
        <f t="shared" si="44"/>
        <v>#REF!</v>
      </c>
      <c r="N77" s="39"/>
      <c r="O77" s="36" t="str">
        <f t="shared" si="45"/>
        <v>Western</v>
      </c>
      <c r="P77" s="26" t="e">
        <f t="shared" si="46"/>
        <v>#REF!</v>
      </c>
      <c r="Q77" s="27" t="e">
        <f t="shared" si="47"/>
        <v>#VALUE!</v>
      </c>
      <c r="R77" s="27"/>
      <c r="S77" s="26">
        <f t="shared" si="48"/>
        <v>2653</v>
      </c>
      <c r="T77" s="26" t="e">
        <f t="shared" si="49"/>
        <v>#REF!</v>
      </c>
      <c r="U77" s="27" t="e">
        <f t="shared" si="50"/>
        <v>#REF!</v>
      </c>
      <c r="V77" s="27"/>
      <c r="W77" s="26">
        <f t="shared" si="51"/>
        <v>4324</v>
      </c>
      <c r="X77" s="26" t="e">
        <f t="shared" si="52"/>
        <v>#REF!</v>
      </c>
      <c r="Y77" s="27" t="e">
        <f t="shared" si="53"/>
        <v>#REF!</v>
      </c>
    </row>
    <row r="78" spans="1:25" ht="16.5" customHeight="1" x14ac:dyDescent="0.25">
      <c r="A78" s="16" t="s">
        <v>194</v>
      </c>
      <c r="B78" s="17" t="s">
        <v>195</v>
      </c>
      <c r="C78" s="25">
        <f t="shared" si="36"/>
        <v>78</v>
      </c>
      <c r="D78" s="25" t="e">
        <f t="shared" si="37"/>
        <v>#REF!</v>
      </c>
      <c r="E78" s="27" t="e">
        <f t="shared" si="38"/>
        <v>#REF!</v>
      </c>
      <c r="F78" s="27"/>
      <c r="G78" s="25">
        <f t="shared" si="39"/>
        <v>23</v>
      </c>
      <c r="H78" s="25" t="e">
        <f t="shared" si="40"/>
        <v>#REF!</v>
      </c>
      <c r="I78" s="27" t="e">
        <f t="shared" si="41"/>
        <v>#REF!</v>
      </c>
      <c r="J78" s="27"/>
      <c r="K78" s="25">
        <f t="shared" si="42"/>
        <v>41</v>
      </c>
      <c r="L78" s="25" t="e">
        <f t="shared" si="43"/>
        <v>#REF!</v>
      </c>
      <c r="M78" s="27" t="e">
        <f t="shared" si="44"/>
        <v>#REF!</v>
      </c>
      <c r="N78" s="39"/>
      <c r="O78" s="36" t="str">
        <f t="shared" si="45"/>
        <v>Northern</v>
      </c>
      <c r="P78" s="26" t="e">
        <f t="shared" si="46"/>
        <v>#REF!</v>
      </c>
      <c r="Q78" s="27" t="e">
        <f t="shared" si="47"/>
        <v>#VALUE!</v>
      </c>
      <c r="R78" s="27"/>
      <c r="S78" s="26">
        <f t="shared" si="48"/>
        <v>256</v>
      </c>
      <c r="T78" s="26" t="e">
        <f t="shared" si="49"/>
        <v>#REF!</v>
      </c>
      <c r="U78" s="27" t="e">
        <f t="shared" si="50"/>
        <v>#REF!</v>
      </c>
      <c r="V78" s="27"/>
      <c r="W78" s="26">
        <f t="shared" si="51"/>
        <v>305</v>
      </c>
      <c r="X78" s="26" t="e">
        <f t="shared" si="52"/>
        <v>#REF!</v>
      </c>
      <c r="Y78" s="27" t="e">
        <f t="shared" si="53"/>
        <v>#REF!</v>
      </c>
    </row>
    <row r="79" spans="1:25" ht="16.5" customHeight="1" x14ac:dyDescent="0.25">
      <c r="A79" s="16" t="s">
        <v>198</v>
      </c>
      <c r="B79" s="32" t="s">
        <v>199</v>
      </c>
      <c r="C79" s="25">
        <f t="shared" si="36"/>
        <v>932</v>
      </c>
      <c r="D79" s="25" t="e">
        <f t="shared" si="37"/>
        <v>#REF!</v>
      </c>
      <c r="E79" s="27" t="e">
        <f t="shared" si="38"/>
        <v>#REF!</v>
      </c>
      <c r="F79" s="27"/>
      <c r="G79" s="25">
        <f t="shared" si="39"/>
        <v>119</v>
      </c>
      <c r="H79" s="25" t="e">
        <f t="shared" si="40"/>
        <v>#REF!</v>
      </c>
      <c r="I79" s="27" t="e">
        <f t="shared" si="41"/>
        <v>#REF!</v>
      </c>
      <c r="J79" s="27"/>
      <c r="K79" s="25">
        <f t="shared" si="42"/>
        <v>181</v>
      </c>
      <c r="L79" s="25" t="e">
        <f t="shared" si="43"/>
        <v>#REF!</v>
      </c>
      <c r="M79" s="27" t="e">
        <f t="shared" si="44"/>
        <v>#REF!</v>
      </c>
      <c r="N79" s="39"/>
      <c r="O79" s="36" t="str">
        <f t="shared" si="45"/>
        <v>Central</v>
      </c>
      <c r="P79" s="26" t="e">
        <f t="shared" si="46"/>
        <v>#REF!</v>
      </c>
      <c r="Q79" s="27" t="e">
        <f t="shared" si="47"/>
        <v>#VALUE!</v>
      </c>
      <c r="R79" s="27"/>
      <c r="S79" s="26">
        <f t="shared" si="48"/>
        <v>778</v>
      </c>
      <c r="T79" s="26" t="e">
        <f t="shared" si="49"/>
        <v>#REF!</v>
      </c>
      <c r="U79" s="27" t="e">
        <f t="shared" si="50"/>
        <v>#REF!</v>
      </c>
      <c r="V79" s="27"/>
      <c r="W79" s="26">
        <f t="shared" si="51"/>
        <v>1113</v>
      </c>
      <c r="X79" s="26" t="e">
        <f t="shared" si="52"/>
        <v>#REF!</v>
      </c>
      <c r="Y79" s="27" t="e">
        <f t="shared" si="53"/>
        <v>#REF!</v>
      </c>
    </row>
    <row r="80" spans="1:25" ht="16.5" customHeight="1" x14ac:dyDescent="0.25">
      <c r="A80" s="16" t="s">
        <v>202</v>
      </c>
      <c r="B80" s="17" t="s">
        <v>203</v>
      </c>
      <c r="C80" s="25">
        <f t="shared" si="36"/>
        <v>1792</v>
      </c>
      <c r="D80" s="25" t="e">
        <f t="shared" si="37"/>
        <v>#REF!</v>
      </c>
      <c r="E80" s="27" t="e">
        <f t="shared" si="38"/>
        <v>#REF!</v>
      </c>
      <c r="F80" s="27"/>
      <c r="G80" s="25">
        <f t="shared" si="39"/>
        <v>606</v>
      </c>
      <c r="H80" s="25" t="e">
        <f t="shared" si="40"/>
        <v>#REF!</v>
      </c>
      <c r="I80" s="27" t="e">
        <f t="shared" si="41"/>
        <v>#REF!</v>
      </c>
      <c r="J80" s="27"/>
      <c r="K80" s="25">
        <f t="shared" si="42"/>
        <v>1713</v>
      </c>
      <c r="L80" s="25" t="e">
        <f t="shared" si="43"/>
        <v>#REF!</v>
      </c>
      <c r="M80" s="27" t="e">
        <f t="shared" si="44"/>
        <v>#REF!</v>
      </c>
      <c r="N80" s="39"/>
      <c r="O80" s="36" t="str">
        <f t="shared" si="45"/>
        <v>Piedmont</v>
      </c>
      <c r="P80" s="26" t="e">
        <f t="shared" si="46"/>
        <v>#REF!</v>
      </c>
      <c r="Q80" s="27" t="e">
        <f t="shared" si="47"/>
        <v>#VALUE!</v>
      </c>
      <c r="R80" s="27"/>
      <c r="S80" s="26">
        <f t="shared" si="48"/>
        <v>4975</v>
      </c>
      <c r="T80" s="26" t="e">
        <f t="shared" si="49"/>
        <v>#REF!</v>
      </c>
      <c r="U80" s="27" t="e">
        <f t="shared" si="50"/>
        <v>#REF!</v>
      </c>
      <c r="V80" s="27"/>
      <c r="W80" s="26">
        <f t="shared" si="51"/>
        <v>5954</v>
      </c>
      <c r="X80" s="26" t="e">
        <f t="shared" si="52"/>
        <v>#REF!</v>
      </c>
      <c r="Y80" s="27" t="e">
        <f t="shared" si="53"/>
        <v>#REF!</v>
      </c>
    </row>
    <row r="81" spans="1:25" ht="16.5" customHeight="1" x14ac:dyDescent="0.25">
      <c r="A81" s="16" t="s">
        <v>204</v>
      </c>
      <c r="B81" s="17" t="s">
        <v>205</v>
      </c>
      <c r="C81" s="25">
        <f t="shared" si="36"/>
        <v>431</v>
      </c>
      <c r="D81" s="25" t="e">
        <f t="shared" si="37"/>
        <v>#REF!</v>
      </c>
      <c r="E81" s="27" t="e">
        <f t="shared" si="38"/>
        <v>#REF!</v>
      </c>
      <c r="F81" s="27"/>
      <c r="G81" s="25">
        <f t="shared" si="39"/>
        <v>98</v>
      </c>
      <c r="H81" s="25" t="e">
        <f t="shared" si="40"/>
        <v>#REF!</v>
      </c>
      <c r="I81" s="27" t="e">
        <f t="shared" si="41"/>
        <v>#REF!</v>
      </c>
      <c r="J81" s="27"/>
      <c r="K81" s="25">
        <f t="shared" si="42"/>
        <v>490</v>
      </c>
      <c r="L81" s="25" t="e">
        <f t="shared" si="43"/>
        <v>#REF!</v>
      </c>
      <c r="M81" s="27" t="e">
        <f t="shared" si="44"/>
        <v>#REF!</v>
      </c>
      <c r="N81" s="39"/>
      <c r="O81" s="36" t="str">
        <f t="shared" si="45"/>
        <v>Piedmont</v>
      </c>
      <c r="P81" s="26" t="e">
        <f t="shared" si="46"/>
        <v>#REF!</v>
      </c>
      <c r="Q81" s="27" t="e">
        <f t="shared" si="47"/>
        <v>#VALUE!</v>
      </c>
      <c r="R81" s="27"/>
      <c r="S81" s="26">
        <f t="shared" si="48"/>
        <v>2257</v>
      </c>
      <c r="T81" s="26" t="e">
        <f t="shared" si="49"/>
        <v>#REF!</v>
      </c>
      <c r="U81" s="27" t="e">
        <f t="shared" si="50"/>
        <v>#REF!</v>
      </c>
      <c r="V81" s="27"/>
      <c r="W81" s="26">
        <f t="shared" si="51"/>
        <v>2989</v>
      </c>
      <c r="X81" s="26" t="e">
        <f t="shared" si="52"/>
        <v>#REF!</v>
      </c>
      <c r="Y81" s="27" t="e">
        <f t="shared" si="53"/>
        <v>#REF!</v>
      </c>
    </row>
    <row r="82" spans="1:25" ht="16.5" customHeight="1" x14ac:dyDescent="0.25">
      <c r="A82" s="16" t="s">
        <v>206</v>
      </c>
      <c r="B82" s="32" t="s">
        <v>207</v>
      </c>
      <c r="C82" s="25">
        <f t="shared" si="36"/>
        <v>1434</v>
      </c>
      <c r="D82" s="25" t="e">
        <f t="shared" si="37"/>
        <v>#REF!</v>
      </c>
      <c r="E82" s="27" t="e">
        <f t="shared" si="38"/>
        <v>#REF!</v>
      </c>
      <c r="F82" s="27"/>
      <c r="G82" s="25">
        <f t="shared" si="39"/>
        <v>1270</v>
      </c>
      <c r="H82" s="25" t="e">
        <f t="shared" si="40"/>
        <v>#REF!</v>
      </c>
      <c r="I82" s="27" t="e">
        <f t="shared" si="41"/>
        <v>#REF!</v>
      </c>
      <c r="J82" s="27"/>
      <c r="K82" s="25">
        <f t="shared" si="42"/>
        <v>3602</v>
      </c>
      <c r="L82" s="25" t="e">
        <f t="shared" si="43"/>
        <v>#REF!</v>
      </c>
      <c r="M82" s="27" t="e">
        <f t="shared" si="44"/>
        <v>#REF!</v>
      </c>
      <c r="N82" s="39"/>
      <c r="O82" s="36" t="str">
        <f t="shared" si="45"/>
        <v>Northern</v>
      </c>
      <c r="P82" s="26" t="e">
        <f t="shared" si="46"/>
        <v>#REF!</v>
      </c>
      <c r="Q82" s="27" t="e">
        <f t="shared" si="47"/>
        <v>#VALUE!</v>
      </c>
      <c r="R82" s="27"/>
      <c r="S82" s="26">
        <f t="shared" si="48"/>
        <v>7507</v>
      </c>
      <c r="T82" s="26" t="e">
        <f t="shared" si="49"/>
        <v>#REF!</v>
      </c>
      <c r="U82" s="27" t="e">
        <f t="shared" si="50"/>
        <v>#REF!</v>
      </c>
      <c r="V82" s="27"/>
      <c r="W82" s="26">
        <f t="shared" si="51"/>
        <v>8480</v>
      </c>
      <c r="X82" s="26" t="e">
        <f t="shared" si="52"/>
        <v>#REF!</v>
      </c>
      <c r="Y82" s="27" t="e">
        <f t="shared" si="53"/>
        <v>#REF!</v>
      </c>
    </row>
    <row r="83" spans="1:25" ht="16.5" customHeight="1" x14ac:dyDescent="0.25">
      <c r="A83" s="16" t="s">
        <v>208</v>
      </c>
      <c r="B83" s="32" t="s">
        <v>209</v>
      </c>
      <c r="C83" s="25">
        <f t="shared" si="36"/>
        <v>62</v>
      </c>
      <c r="D83" s="25" t="e">
        <f t="shared" si="37"/>
        <v>#REF!</v>
      </c>
      <c r="E83" s="27" t="e">
        <f t="shared" si="38"/>
        <v>#REF!</v>
      </c>
      <c r="F83" s="27"/>
      <c r="G83" s="25">
        <f t="shared" si="39"/>
        <v>15</v>
      </c>
      <c r="H83" s="25" t="e">
        <f t="shared" si="40"/>
        <v>#REF!</v>
      </c>
      <c r="I83" s="27" t="e">
        <f t="shared" si="41"/>
        <v>#REF!</v>
      </c>
      <c r="J83" s="27"/>
      <c r="K83" s="25">
        <f t="shared" si="42"/>
        <v>904</v>
      </c>
      <c r="L83" s="25" t="e">
        <f t="shared" si="43"/>
        <v>#REF!</v>
      </c>
      <c r="M83" s="27" t="e">
        <f t="shared" si="44"/>
        <v>#REF!</v>
      </c>
      <c r="N83" s="39"/>
      <c r="O83" s="36" t="str">
        <f t="shared" si="45"/>
        <v>Western</v>
      </c>
      <c r="P83" s="26" t="e">
        <f t="shared" si="46"/>
        <v>#REF!</v>
      </c>
      <c r="Q83" s="27" t="e">
        <f t="shared" si="47"/>
        <v>#VALUE!</v>
      </c>
      <c r="R83" s="27"/>
      <c r="S83" s="26">
        <f t="shared" si="48"/>
        <v>2667</v>
      </c>
      <c r="T83" s="26" t="e">
        <f t="shared" si="49"/>
        <v>#REF!</v>
      </c>
      <c r="U83" s="27" t="e">
        <f t="shared" si="50"/>
        <v>#REF!</v>
      </c>
      <c r="V83" s="27"/>
      <c r="W83" s="26">
        <f t="shared" si="51"/>
        <v>4444</v>
      </c>
      <c r="X83" s="26" t="e">
        <f t="shared" si="52"/>
        <v>#REF!</v>
      </c>
      <c r="Y83" s="27" t="e">
        <f t="shared" si="53"/>
        <v>#REF!</v>
      </c>
    </row>
    <row r="84" spans="1:25" ht="16.5" customHeight="1" x14ac:dyDescent="0.25">
      <c r="A84" s="16" t="s">
        <v>210</v>
      </c>
      <c r="B84" s="32" t="s">
        <v>211</v>
      </c>
      <c r="C84" s="25">
        <f t="shared" si="36"/>
        <v>74</v>
      </c>
      <c r="D84" s="25" t="e">
        <f t="shared" si="37"/>
        <v>#REF!</v>
      </c>
      <c r="E84" s="27" t="e">
        <f t="shared" si="38"/>
        <v>#REF!</v>
      </c>
      <c r="F84" s="27"/>
      <c r="G84" s="25">
        <f t="shared" si="39"/>
        <v>52</v>
      </c>
      <c r="H84" s="25" t="e">
        <f t="shared" si="40"/>
        <v>#REF!</v>
      </c>
      <c r="I84" s="27" t="e">
        <f t="shared" si="41"/>
        <v>#REF!</v>
      </c>
      <c r="J84" s="27"/>
      <c r="K84" s="25">
        <f t="shared" si="42"/>
        <v>410</v>
      </c>
      <c r="L84" s="25" t="e">
        <f t="shared" si="43"/>
        <v>#REF!</v>
      </c>
      <c r="M84" s="27" t="e">
        <f t="shared" si="44"/>
        <v>#REF!</v>
      </c>
      <c r="N84" s="39"/>
      <c r="O84" s="36" t="str">
        <f t="shared" si="45"/>
        <v>Western</v>
      </c>
      <c r="P84" s="26" t="e">
        <f t="shared" si="46"/>
        <v>#REF!</v>
      </c>
      <c r="Q84" s="27" t="e">
        <f t="shared" si="47"/>
        <v>#VALUE!</v>
      </c>
      <c r="R84" s="27"/>
      <c r="S84" s="26">
        <f t="shared" si="48"/>
        <v>1758</v>
      </c>
      <c r="T84" s="26" t="e">
        <f t="shared" si="49"/>
        <v>#REF!</v>
      </c>
      <c r="U84" s="27" t="e">
        <f t="shared" si="50"/>
        <v>#REF!</v>
      </c>
      <c r="V84" s="27"/>
      <c r="W84" s="26">
        <f t="shared" si="51"/>
        <v>2873</v>
      </c>
      <c r="X84" s="26" t="e">
        <f t="shared" si="52"/>
        <v>#REF!</v>
      </c>
      <c r="Y84" s="27" t="e">
        <f t="shared" si="53"/>
        <v>#REF!</v>
      </c>
    </row>
    <row r="85" spans="1:25" ht="16.5" customHeight="1" x14ac:dyDescent="0.25">
      <c r="A85" s="16" t="s">
        <v>212</v>
      </c>
      <c r="B85" s="32" t="s">
        <v>213</v>
      </c>
      <c r="C85" s="25">
        <f t="shared" si="36"/>
        <v>336</v>
      </c>
      <c r="D85" s="25" t="e">
        <f t="shared" si="37"/>
        <v>#REF!</v>
      </c>
      <c r="E85" s="27" t="e">
        <f t="shared" si="38"/>
        <v>#REF!</v>
      </c>
      <c r="F85" s="27"/>
      <c r="G85" s="25">
        <f t="shared" si="39"/>
        <v>577</v>
      </c>
      <c r="H85" s="25" t="e">
        <f t="shared" si="40"/>
        <v>#REF!</v>
      </c>
      <c r="I85" s="27" t="e">
        <f t="shared" si="41"/>
        <v>#REF!</v>
      </c>
      <c r="J85" s="27"/>
      <c r="K85" s="25">
        <f t="shared" si="42"/>
        <v>767</v>
      </c>
      <c r="L85" s="25" t="e">
        <f t="shared" si="43"/>
        <v>#REF!</v>
      </c>
      <c r="M85" s="27" t="e">
        <f t="shared" si="44"/>
        <v>#REF!</v>
      </c>
      <c r="N85" s="39"/>
      <c r="O85" s="36" t="str">
        <f t="shared" si="45"/>
        <v>Northern</v>
      </c>
      <c r="P85" s="26" t="e">
        <f t="shared" si="46"/>
        <v>#REF!</v>
      </c>
      <c r="Q85" s="27" t="e">
        <f t="shared" si="47"/>
        <v>#VALUE!</v>
      </c>
      <c r="R85" s="27"/>
      <c r="S85" s="26">
        <f t="shared" si="48"/>
        <v>3023</v>
      </c>
      <c r="T85" s="26" t="e">
        <f t="shared" si="49"/>
        <v>#REF!</v>
      </c>
      <c r="U85" s="27" t="e">
        <f t="shared" si="50"/>
        <v>#REF!</v>
      </c>
      <c r="V85" s="27"/>
      <c r="W85" s="26">
        <f t="shared" si="51"/>
        <v>3824</v>
      </c>
      <c r="X85" s="26" t="e">
        <f t="shared" si="52"/>
        <v>#REF!</v>
      </c>
      <c r="Y85" s="27" t="e">
        <f t="shared" si="53"/>
        <v>#REF!</v>
      </c>
    </row>
    <row r="86" spans="1:25" ht="16.5" customHeight="1" x14ac:dyDescent="0.25">
      <c r="A86" s="16" t="s">
        <v>214</v>
      </c>
      <c r="B86" s="32" t="s">
        <v>215</v>
      </c>
      <c r="C86" s="25">
        <f t="shared" si="36"/>
        <v>193</v>
      </c>
      <c r="D86" s="25" t="e">
        <f t="shared" si="37"/>
        <v>#REF!</v>
      </c>
      <c r="E86" s="27" t="e">
        <f t="shared" si="38"/>
        <v>#REF!</v>
      </c>
      <c r="F86" s="27"/>
      <c r="G86" s="25">
        <f t="shared" si="39"/>
        <v>70</v>
      </c>
      <c r="H86" s="25" t="e">
        <f t="shared" si="40"/>
        <v>#REF!</v>
      </c>
      <c r="I86" s="27" t="e">
        <f t="shared" si="41"/>
        <v>#REF!</v>
      </c>
      <c r="J86" s="27"/>
      <c r="K86" s="25">
        <f t="shared" si="42"/>
        <v>719</v>
      </c>
      <c r="L86" s="25" t="e">
        <f t="shared" si="43"/>
        <v>#REF!</v>
      </c>
      <c r="M86" s="27" t="e">
        <f t="shared" si="44"/>
        <v>#REF!</v>
      </c>
      <c r="N86" s="39"/>
      <c r="O86" s="36" t="str">
        <f t="shared" si="45"/>
        <v>Western</v>
      </c>
      <c r="P86" s="26" t="e">
        <f t="shared" si="46"/>
        <v>#REF!</v>
      </c>
      <c r="Q86" s="27" t="e">
        <f t="shared" si="47"/>
        <v>#VALUE!</v>
      </c>
      <c r="R86" s="27"/>
      <c r="S86" s="26">
        <f t="shared" si="48"/>
        <v>2922</v>
      </c>
      <c r="T86" s="26" t="e">
        <f t="shared" si="49"/>
        <v>#REF!</v>
      </c>
      <c r="U86" s="27" t="e">
        <f t="shared" si="50"/>
        <v>#REF!</v>
      </c>
      <c r="V86" s="27"/>
      <c r="W86" s="26">
        <f t="shared" si="51"/>
        <v>4912</v>
      </c>
      <c r="X86" s="26" t="e">
        <f t="shared" si="52"/>
        <v>#REF!</v>
      </c>
      <c r="Y86" s="27" t="e">
        <f t="shared" si="53"/>
        <v>#REF!</v>
      </c>
    </row>
    <row r="87" spans="1:25" ht="16.5" customHeight="1" x14ac:dyDescent="0.25">
      <c r="A87" s="16" t="s">
        <v>216</v>
      </c>
      <c r="B87" s="32" t="s">
        <v>217</v>
      </c>
      <c r="C87" s="25">
        <f t="shared" si="36"/>
        <v>2098</v>
      </c>
      <c r="D87" s="25" t="e">
        <f t="shared" si="37"/>
        <v>#REF!</v>
      </c>
      <c r="E87" s="27" t="e">
        <f t="shared" si="38"/>
        <v>#REF!</v>
      </c>
      <c r="F87" s="27"/>
      <c r="G87" s="25">
        <f t="shared" si="39"/>
        <v>42</v>
      </c>
      <c r="H87" s="25" t="e">
        <f t="shared" si="40"/>
        <v>#REF!</v>
      </c>
      <c r="I87" s="27" t="e">
        <f t="shared" si="41"/>
        <v>#REF!</v>
      </c>
      <c r="J87" s="27"/>
      <c r="K87" s="25">
        <f t="shared" si="42"/>
        <v>551</v>
      </c>
      <c r="L87" s="25" t="e">
        <f t="shared" si="43"/>
        <v>#REF!</v>
      </c>
      <c r="M87" s="27" t="e">
        <f t="shared" si="44"/>
        <v>#REF!</v>
      </c>
      <c r="N87" s="39"/>
      <c r="O87" s="36" t="str">
        <f t="shared" si="45"/>
        <v>Eastern</v>
      </c>
      <c r="P87" s="26" t="e">
        <f t="shared" si="46"/>
        <v>#REF!</v>
      </c>
      <c r="Q87" s="27" t="e">
        <f t="shared" si="47"/>
        <v>#VALUE!</v>
      </c>
      <c r="R87" s="27"/>
      <c r="S87" s="26">
        <f t="shared" si="48"/>
        <v>1523</v>
      </c>
      <c r="T87" s="26" t="e">
        <f t="shared" si="49"/>
        <v>#REF!</v>
      </c>
      <c r="U87" s="27" t="e">
        <f t="shared" si="50"/>
        <v>#REF!</v>
      </c>
      <c r="V87" s="27"/>
      <c r="W87" s="26">
        <f t="shared" si="51"/>
        <v>2063</v>
      </c>
      <c r="X87" s="26" t="e">
        <f t="shared" si="52"/>
        <v>#REF!</v>
      </c>
      <c r="Y87" s="27" t="e">
        <f t="shared" si="53"/>
        <v>#REF!</v>
      </c>
    </row>
    <row r="88" spans="1:25" ht="16.5" customHeight="1" x14ac:dyDescent="0.25">
      <c r="A88" s="16" t="s">
        <v>218</v>
      </c>
      <c r="B88" s="17" t="s">
        <v>219</v>
      </c>
      <c r="C88" s="25">
        <f t="shared" si="36"/>
        <v>4806</v>
      </c>
      <c r="D88" s="25" t="e">
        <f t="shared" si="37"/>
        <v>#REF!</v>
      </c>
      <c r="E88" s="27" t="e">
        <f t="shared" si="38"/>
        <v>#REF!</v>
      </c>
      <c r="F88" s="27"/>
      <c r="G88" s="25">
        <f t="shared" si="39"/>
        <v>1059</v>
      </c>
      <c r="H88" s="25" t="e">
        <f t="shared" si="40"/>
        <v>#REF!</v>
      </c>
      <c r="I88" s="27" t="e">
        <f t="shared" si="41"/>
        <v>#REF!</v>
      </c>
      <c r="J88" s="27"/>
      <c r="K88" s="25">
        <f t="shared" si="42"/>
        <v>2946</v>
      </c>
      <c r="L88" s="25" t="e">
        <f t="shared" si="43"/>
        <v>#REF!</v>
      </c>
      <c r="M88" s="27" t="e">
        <f t="shared" si="44"/>
        <v>#REF!</v>
      </c>
      <c r="N88" s="39"/>
      <c r="O88" s="36" t="str">
        <f t="shared" si="45"/>
        <v>Northern</v>
      </c>
      <c r="P88" s="26" t="e">
        <f t="shared" si="46"/>
        <v>#REF!</v>
      </c>
      <c r="Q88" s="27" t="e">
        <f t="shared" si="47"/>
        <v>#VALUE!</v>
      </c>
      <c r="R88" s="27"/>
      <c r="S88" s="26">
        <f t="shared" si="48"/>
        <v>8244</v>
      </c>
      <c r="T88" s="26" t="e">
        <f t="shared" si="49"/>
        <v>#REF!</v>
      </c>
      <c r="U88" s="27" t="e">
        <f t="shared" si="50"/>
        <v>#REF!</v>
      </c>
      <c r="V88" s="27"/>
      <c r="W88" s="26">
        <f t="shared" si="51"/>
        <v>8737</v>
      </c>
      <c r="X88" s="26" t="e">
        <f t="shared" si="52"/>
        <v>#REF!</v>
      </c>
      <c r="Y88" s="27" t="e">
        <f t="shared" si="53"/>
        <v>#REF!</v>
      </c>
    </row>
    <row r="89" spans="1:25" ht="16.5" customHeight="1" x14ac:dyDescent="0.25">
      <c r="A89" s="16" t="s">
        <v>220</v>
      </c>
      <c r="B89" s="17" t="s">
        <v>221</v>
      </c>
      <c r="C89" s="25">
        <f t="shared" si="36"/>
        <v>3968</v>
      </c>
      <c r="D89" s="25" t="e">
        <f t="shared" si="37"/>
        <v>#REF!</v>
      </c>
      <c r="E89" s="27" t="e">
        <f t="shared" si="38"/>
        <v>#REF!</v>
      </c>
      <c r="F89" s="27"/>
      <c r="G89" s="25">
        <f t="shared" si="39"/>
        <v>1221</v>
      </c>
      <c r="H89" s="25" t="e">
        <f t="shared" si="40"/>
        <v>#REF!</v>
      </c>
      <c r="I89" s="27" t="e">
        <f t="shared" si="41"/>
        <v>#REF!</v>
      </c>
      <c r="J89" s="27"/>
      <c r="K89" s="25">
        <f t="shared" si="42"/>
        <v>3108</v>
      </c>
      <c r="L89" s="25" t="e">
        <f t="shared" si="43"/>
        <v>#REF!</v>
      </c>
      <c r="M89" s="27" t="e">
        <f t="shared" si="44"/>
        <v>#REF!</v>
      </c>
      <c r="N89" s="39"/>
      <c r="O89" s="36" t="str">
        <f t="shared" si="45"/>
        <v>Northern</v>
      </c>
      <c r="P89" s="26" t="e">
        <f t="shared" si="46"/>
        <v>#REF!</v>
      </c>
      <c r="Q89" s="27" t="e">
        <f t="shared" si="47"/>
        <v>#VALUE!</v>
      </c>
      <c r="R89" s="27"/>
      <c r="S89" s="26">
        <f t="shared" si="48"/>
        <v>6928</v>
      </c>
      <c r="T89" s="26" t="e">
        <f t="shared" si="49"/>
        <v>#REF!</v>
      </c>
      <c r="U89" s="27" t="e">
        <f t="shared" si="50"/>
        <v>#REF!</v>
      </c>
      <c r="V89" s="27"/>
      <c r="W89" s="26">
        <f t="shared" si="51"/>
        <v>6785</v>
      </c>
      <c r="X89" s="26" t="e">
        <f t="shared" si="52"/>
        <v>#REF!</v>
      </c>
      <c r="Y89" s="27" t="e">
        <f t="shared" si="53"/>
        <v>#REF!</v>
      </c>
    </row>
    <row r="90" spans="1:25" ht="16.5" customHeight="1" x14ac:dyDescent="0.25">
      <c r="A90" s="16" t="s">
        <v>224</v>
      </c>
      <c r="B90" s="17" t="s">
        <v>225</v>
      </c>
      <c r="C90" s="25">
        <f t="shared" si="36"/>
        <v>804</v>
      </c>
      <c r="D90" s="25" t="e">
        <f t="shared" si="37"/>
        <v>#REF!</v>
      </c>
      <c r="E90" s="27" t="e">
        <f t="shared" si="38"/>
        <v>#REF!</v>
      </c>
      <c r="F90" s="27"/>
      <c r="G90" s="25">
        <f t="shared" si="39"/>
        <v>39</v>
      </c>
      <c r="H90" s="25" t="e">
        <f t="shared" si="40"/>
        <v>#REF!</v>
      </c>
      <c r="I90" s="27" t="e">
        <f t="shared" si="41"/>
        <v>#REF!</v>
      </c>
      <c r="J90" s="27"/>
      <c r="K90" s="25">
        <f t="shared" si="42"/>
        <v>36</v>
      </c>
      <c r="L90" s="25" t="e">
        <f t="shared" si="43"/>
        <v>#REF!</v>
      </c>
      <c r="M90" s="27" t="e">
        <f t="shared" si="44"/>
        <v>#REF!</v>
      </c>
      <c r="N90" s="39"/>
      <c r="O90" s="36" t="str">
        <f t="shared" si="45"/>
        <v>Eastern</v>
      </c>
      <c r="P90" s="26" t="e">
        <f t="shared" si="46"/>
        <v>#REF!</v>
      </c>
      <c r="Q90" s="27" t="e">
        <f t="shared" si="47"/>
        <v>#VALUE!</v>
      </c>
      <c r="R90" s="27"/>
      <c r="S90" s="26">
        <f t="shared" si="48"/>
        <v>497</v>
      </c>
      <c r="T90" s="26" t="e">
        <f t="shared" si="49"/>
        <v>#REF!</v>
      </c>
      <c r="U90" s="27" t="e">
        <f t="shared" si="50"/>
        <v>#REF!</v>
      </c>
      <c r="V90" s="27"/>
      <c r="W90" s="26">
        <f t="shared" si="51"/>
        <v>767</v>
      </c>
      <c r="X90" s="26" t="e">
        <f t="shared" si="52"/>
        <v>#REF!</v>
      </c>
      <c r="Y90" s="27" t="e">
        <f t="shared" si="53"/>
        <v>#REF!</v>
      </c>
    </row>
    <row r="91" spans="1:25" ht="16.5" customHeight="1" x14ac:dyDescent="0.25">
      <c r="A91" s="16" t="s">
        <v>226</v>
      </c>
      <c r="B91" s="32" t="s">
        <v>227</v>
      </c>
      <c r="C91" s="25">
        <f t="shared" si="36"/>
        <v>1710</v>
      </c>
      <c r="D91" s="25" t="e">
        <f t="shared" si="37"/>
        <v>#REF!</v>
      </c>
      <c r="E91" s="27" t="e">
        <f t="shared" si="38"/>
        <v>#REF!</v>
      </c>
      <c r="F91" s="27"/>
      <c r="G91" s="25">
        <f t="shared" si="39"/>
        <v>31</v>
      </c>
      <c r="H91" s="25" t="e">
        <f t="shared" si="40"/>
        <v>#REF!</v>
      </c>
      <c r="I91" s="27" t="e">
        <f t="shared" si="41"/>
        <v>#REF!</v>
      </c>
      <c r="J91" s="27"/>
      <c r="K91" s="25">
        <f t="shared" si="42"/>
        <v>375</v>
      </c>
      <c r="L91" s="25" t="e">
        <f t="shared" si="43"/>
        <v>#REF!</v>
      </c>
      <c r="M91" s="27" t="e">
        <f t="shared" si="44"/>
        <v>#REF!</v>
      </c>
      <c r="N91" s="39"/>
      <c r="O91" s="36" t="str">
        <f t="shared" si="45"/>
        <v>Eastern</v>
      </c>
      <c r="P91" s="26" t="e">
        <f t="shared" si="46"/>
        <v>#REF!</v>
      </c>
      <c r="Q91" s="27" t="e">
        <f t="shared" si="47"/>
        <v>#VALUE!</v>
      </c>
      <c r="R91" s="27"/>
      <c r="S91" s="26">
        <f t="shared" si="48"/>
        <v>1057</v>
      </c>
      <c r="T91" s="26" t="e">
        <f t="shared" si="49"/>
        <v>#REF!</v>
      </c>
      <c r="U91" s="27" t="e">
        <f t="shared" si="50"/>
        <v>#REF!</v>
      </c>
      <c r="V91" s="27"/>
      <c r="W91" s="26">
        <f t="shared" si="51"/>
        <v>1396</v>
      </c>
      <c r="X91" s="26" t="e">
        <f t="shared" si="52"/>
        <v>#REF!</v>
      </c>
      <c r="Y91" s="27" t="e">
        <f t="shared" si="53"/>
        <v>#REF!</v>
      </c>
    </row>
    <row r="92" spans="1:25" ht="16.5" customHeight="1" x14ac:dyDescent="0.25">
      <c r="A92" s="16" t="s">
        <v>228</v>
      </c>
      <c r="B92" s="32" t="s">
        <v>229</v>
      </c>
      <c r="C92" s="25">
        <f t="shared" si="36"/>
        <v>420</v>
      </c>
      <c r="D92" s="25" t="e">
        <f t="shared" si="37"/>
        <v>#REF!</v>
      </c>
      <c r="E92" s="27" t="e">
        <f t="shared" si="38"/>
        <v>#REF!</v>
      </c>
      <c r="F92" s="27"/>
      <c r="G92" s="25">
        <f t="shared" si="39"/>
        <v>91</v>
      </c>
      <c r="H92" s="25" t="e">
        <f t="shared" si="40"/>
        <v>#REF!</v>
      </c>
      <c r="I92" s="27" t="e">
        <f t="shared" si="41"/>
        <v>#REF!</v>
      </c>
      <c r="J92" s="27"/>
      <c r="K92" s="25">
        <f t="shared" si="42"/>
        <v>1149</v>
      </c>
      <c r="L92" s="25" t="e">
        <f t="shared" si="43"/>
        <v>#REF!</v>
      </c>
      <c r="M92" s="27" t="e">
        <f t="shared" si="44"/>
        <v>#REF!</v>
      </c>
      <c r="N92" s="39"/>
      <c r="O92" s="36" t="str">
        <f t="shared" si="45"/>
        <v>Western</v>
      </c>
      <c r="P92" s="26" t="e">
        <f t="shared" si="46"/>
        <v>#REF!</v>
      </c>
      <c r="Q92" s="27" t="e">
        <f t="shared" si="47"/>
        <v>#VALUE!</v>
      </c>
      <c r="R92" s="27"/>
      <c r="S92" s="26">
        <f t="shared" si="48"/>
        <v>4063</v>
      </c>
      <c r="T92" s="26" t="e">
        <f t="shared" si="49"/>
        <v>#REF!</v>
      </c>
      <c r="U92" s="27" t="e">
        <f t="shared" si="50"/>
        <v>#REF!</v>
      </c>
      <c r="V92" s="27"/>
      <c r="W92" s="26">
        <f t="shared" si="51"/>
        <v>6580</v>
      </c>
      <c r="X92" s="26" t="e">
        <f t="shared" si="52"/>
        <v>#REF!</v>
      </c>
      <c r="Y92" s="27" t="e">
        <f t="shared" si="53"/>
        <v>#REF!</v>
      </c>
    </row>
    <row r="93" spans="1:25" ht="16.5" customHeight="1" x14ac:dyDescent="0.25">
      <c r="A93" s="16" t="s">
        <v>232</v>
      </c>
      <c r="B93" s="32" t="s">
        <v>233</v>
      </c>
      <c r="C93" s="25">
        <f t="shared" si="36"/>
        <v>646</v>
      </c>
      <c r="D93" s="25" t="e">
        <f t="shared" si="37"/>
        <v>#REF!</v>
      </c>
      <c r="E93" s="27" t="e">
        <f t="shared" si="38"/>
        <v>#REF!</v>
      </c>
      <c r="F93" s="27"/>
      <c r="G93" s="25">
        <f t="shared" si="39"/>
        <v>292</v>
      </c>
      <c r="H93" s="25" t="e">
        <f t="shared" si="40"/>
        <v>#REF!</v>
      </c>
      <c r="I93" s="27" t="e">
        <f t="shared" si="41"/>
        <v>#REF!</v>
      </c>
      <c r="J93" s="27"/>
      <c r="K93" s="25">
        <f t="shared" si="42"/>
        <v>768</v>
      </c>
      <c r="L93" s="25" t="e">
        <f t="shared" si="43"/>
        <v>#REF!</v>
      </c>
      <c r="M93" s="27" t="e">
        <f t="shared" si="44"/>
        <v>#REF!</v>
      </c>
      <c r="N93" s="39"/>
      <c r="O93" s="36" t="str">
        <f t="shared" si="45"/>
        <v>Northern</v>
      </c>
      <c r="P93" s="26" t="e">
        <f t="shared" si="46"/>
        <v>#REF!</v>
      </c>
      <c r="Q93" s="27" t="e">
        <f t="shared" si="47"/>
        <v>#VALUE!</v>
      </c>
      <c r="R93" s="27"/>
      <c r="S93" s="26">
        <f t="shared" si="48"/>
        <v>2739</v>
      </c>
      <c r="T93" s="26" t="e">
        <f t="shared" si="49"/>
        <v>#REF!</v>
      </c>
      <c r="U93" s="27" t="e">
        <f t="shared" si="50"/>
        <v>#REF!</v>
      </c>
      <c r="V93" s="27"/>
      <c r="W93" s="26">
        <f t="shared" si="51"/>
        <v>3398</v>
      </c>
      <c r="X93" s="26" t="e">
        <f t="shared" si="52"/>
        <v>#REF!</v>
      </c>
      <c r="Y93" s="27" t="e">
        <f t="shared" si="53"/>
        <v>#REF!</v>
      </c>
    </row>
    <row r="94" spans="1:25" ht="16.5" customHeight="1" x14ac:dyDescent="0.25">
      <c r="A94" s="16" t="s">
        <v>234</v>
      </c>
      <c r="B94" s="17" t="s">
        <v>235</v>
      </c>
      <c r="C94" s="25">
        <f t="shared" si="36"/>
        <v>244</v>
      </c>
      <c r="D94" s="25" t="e">
        <f t="shared" si="37"/>
        <v>#REF!</v>
      </c>
      <c r="E94" s="27" t="e">
        <f t="shared" si="38"/>
        <v>#REF!</v>
      </c>
      <c r="F94" s="27"/>
      <c r="G94" s="25">
        <f t="shared" si="39"/>
        <v>148</v>
      </c>
      <c r="H94" s="25" t="e">
        <f t="shared" si="40"/>
        <v>#REF!</v>
      </c>
      <c r="I94" s="27" t="e">
        <f t="shared" si="41"/>
        <v>#REF!</v>
      </c>
      <c r="J94" s="27"/>
      <c r="K94" s="25">
        <f t="shared" si="42"/>
        <v>767</v>
      </c>
      <c r="L94" s="25" t="e">
        <f t="shared" si="43"/>
        <v>#REF!</v>
      </c>
      <c r="M94" s="27" t="e">
        <f t="shared" si="44"/>
        <v>#REF!</v>
      </c>
      <c r="N94" s="39"/>
      <c r="O94" s="36" t="str">
        <f t="shared" si="45"/>
        <v>Western</v>
      </c>
      <c r="P94" s="26" t="e">
        <f t="shared" si="46"/>
        <v>#REF!</v>
      </c>
      <c r="Q94" s="27" t="e">
        <f t="shared" si="47"/>
        <v>#VALUE!</v>
      </c>
      <c r="R94" s="27"/>
      <c r="S94" s="26">
        <f t="shared" si="48"/>
        <v>3853</v>
      </c>
      <c r="T94" s="26" t="e">
        <f t="shared" si="49"/>
        <v>#REF!</v>
      </c>
      <c r="U94" s="27" t="e">
        <f t="shared" si="50"/>
        <v>#REF!</v>
      </c>
      <c r="V94" s="27"/>
      <c r="W94" s="26">
        <f t="shared" si="51"/>
        <v>5824</v>
      </c>
      <c r="X94" s="26" t="e">
        <f t="shared" si="52"/>
        <v>#REF!</v>
      </c>
      <c r="Y94" s="27" t="e">
        <f t="shared" si="53"/>
        <v>#REF!</v>
      </c>
    </row>
    <row r="95" spans="1:25" ht="16.5" customHeight="1" x14ac:dyDescent="0.25">
      <c r="A95" s="16" t="s">
        <v>236</v>
      </c>
      <c r="B95" s="32" t="s">
        <v>237</v>
      </c>
      <c r="C95" s="25">
        <f t="shared" si="36"/>
        <v>1849</v>
      </c>
      <c r="D95" s="25" t="e">
        <f t="shared" si="37"/>
        <v>#REF!</v>
      </c>
      <c r="E95" s="27" t="e">
        <f t="shared" si="38"/>
        <v>#REF!</v>
      </c>
      <c r="F95" s="27"/>
      <c r="G95" s="25">
        <f t="shared" si="39"/>
        <v>223</v>
      </c>
      <c r="H95" s="25" t="e">
        <f t="shared" si="40"/>
        <v>#REF!</v>
      </c>
      <c r="I95" s="27" t="e">
        <f t="shared" si="41"/>
        <v>#REF!</v>
      </c>
      <c r="J95" s="27"/>
      <c r="K95" s="25">
        <f t="shared" si="42"/>
        <v>624</v>
      </c>
      <c r="L95" s="25" t="e">
        <f t="shared" si="43"/>
        <v>#REF!</v>
      </c>
      <c r="M95" s="27" t="e">
        <f t="shared" si="44"/>
        <v>#REF!</v>
      </c>
      <c r="N95" s="39"/>
      <c r="O95" s="36" t="str">
        <f t="shared" si="45"/>
        <v>Central</v>
      </c>
      <c r="P95" s="26" t="e">
        <f t="shared" si="46"/>
        <v>#REF!</v>
      </c>
      <c r="Q95" s="27" t="e">
        <f t="shared" si="47"/>
        <v>#VALUE!</v>
      </c>
      <c r="R95" s="27"/>
      <c r="S95" s="26">
        <f t="shared" si="48"/>
        <v>1888</v>
      </c>
      <c r="T95" s="26" t="e">
        <f t="shared" si="49"/>
        <v>#REF!</v>
      </c>
      <c r="U95" s="27" t="e">
        <f t="shared" si="50"/>
        <v>#REF!</v>
      </c>
      <c r="V95" s="27"/>
      <c r="W95" s="26">
        <f t="shared" si="51"/>
        <v>2363</v>
      </c>
      <c r="X95" s="26" t="e">
        <f t="shared" si="52"/>
        <v>#REF!</v>
      </c>
      <c r="Y95" s="27" t="e">
        <f t="shared" si="53"/>
        <v>#REF!</v>
      </c>
    </row>
    <row r="96" spans="1:25" ht="16.5" customHeight="1" x14ac:dyDescent="0.25">
      <c r="A96" s="16" t="s">
        <v>242</v>
      </c>
      <c r="B96" s="32" t="s">
        <v>243</v>
      </c>
      <c r="C96" s="25">
        <f t="shared" si="36"/>
        <v>254</v>
      </c>
      <c r="D96" s="25" t="e">
        <f t="shared" si="37"/>
        <v>#REF!</v>
      </c>
      <c r="E96" s="27" t="e">
        <f t="shared" si="38"/>
        <v>#REF!</v>
      </c>
      <c r="F96" s="27"/>
      <c r="G96" s="25">
        <f t="shared" si="39"/>
        <v>63</v>
      </c>
      <c r="H96" s="25" t="e">
        <f t="shared" si="40"/>
        <v>#REF!</v>
      </c>
      <c r="I96" s="27" t="e">
        <f t="shared" si="41"/>
        <v>#REF!</v>
      </c>
      <c r="J96" s="27"/>
      <c r="K96" s="25">
        <f t="shared" si="42"/>
        <v>1083</v>
      </c>
      <c r="L96" s="25" t="e">
        <f t="shared" si="43"/>
        <v>#REF!</v>
      </c>
      <c r="M96" s="27" t="e">
        <f t="shared" si="44"/>
        <v>#REF!</v>
      </c>
      <c r="N96" s="39"/>
      <c r="O96" s="36" t="str">
        <f t="shared" si="45"/>
        <v>Western</v>
      </c>
      <c r="P96" s="26" t="e">
        <f t="shared" si="46"/>
        <v>#REF!</v>
      </c>
      <c r="Q96" s="27" t="e">
        <f t="shared" si="47"/>
        <v>#VALUE!</v>
      </c>
      <c r="R96" s="27"/>
      <c r="S96" s="26">
        <f t="shared" si="48"/>
        <v>4059</v>
      </c>
      <c r="T96" s="26" t="e">
        <f t="shared" si="49"/>
        <v>#REF!</v>
      </c>
      <c r="U96" s="27" t="e">
        <f t="shared" si="50"/>
        <v>#REF!</v>
      </c>
      <c r="V96" s="27"/>
      <c r="W96" s="26">
        <f t="shared" si="51"/>
        <v>6545</v>
      </c>
      <c r="X96" s="26" t="e">
        <f t="shared" si="52"/>
        <v>#REF!</v>
      </c>
      <c r="Y96" s="27" t="e">
        <f t="shared" si="53"/>
        <v>#REF!</v>
      </c>
    </row>
    <row r="97" spans="1:25" ht="16.5" customHeight="1" x14ac:dyDescent="0.25">
      <c r="A97" s="16" t="s">
        <v>244</v>
      </c>
      <c r="B97" s="32" t="s">
        <v>245</v>
      </c>
      <c r="C97" s="25">
        <f t="shared" si="36"/>
        <v>324</v>
      </c>
      <c r="D97" s="25" t="e">
        <f t="shared" si="37"/>
        <v>#REF!</v>
      </c>
      <c r="E97" s="27" t="e">
        <f t="shared" si="38"/>
        <v>#REF!</v>
      </c>
      <c r="F97" s="27"/>
      <c r="G97" s="25">
        <f t="shared" si="39"/>
        <v>91</v>
      </c>
      <c r="H97" s="25" t="e">
        <f t="shared" si="40"/>
        <v>#REF!</v>
      </c>
      <c r="I97" s="27" t="e">
        <f t="shared" si="41"/>
        <v>#REF!</v>
      </c>
      <c r="J97" s="27"/>
      <c r="K97" s="25">
        <f t="shared" si="42"/>
        <v>565</v>
      </c>
      <c r="L97" s="25" t="e">
        <f t="shared" si="43"/>
        <v>#REF!</v>
      </c>
      <c r="M97" s="27" t="e">
        <f t="shared" si="44"/>
        <v>#REF!</v>
      </c>
      <c r="N97" s="39"/>
      <c r="O97" s="36" t="str">
        <f t="shared" si="45"/>
        <v>Western</v>
      </c>
      <c r="P97" s="26" t="e">
        <f t="shared" si="46"/>
        <v>#REF!</v>
      </c>
      <c r="Q97" s="27" t="e">
        <f t="shared" si="47"/>
        <v>#VALUE!</v>
      </c>
      <c r="R97" s="27"/>
      <c r="S97" s="26">
        <f t="shared" si="48"/>
        <v>2104</v>
      </c>
      <c r="T97" s="26" t="e">
        <f t="shared" si="49"/>
        <v>#REF!</v>
      </c>
      <c r="U97" s="27" t="e">
        <f t="shared" si="50"/>
        <v>#REF!</v>
      </c>
      <c r="V97" s="27"/>
      <c r="W97" s="26">
        <f t="shared" si="51"/>
        <v>3234</v>
      </c>
      <c r="X97" s="26" t="e">
        <f t="shared" si="52"/>
        <v>#REF!</v>
      </c>
      <c r="Y97" s="27" t="e">
        <f t="shared" si="53"/>
        <v>#REF!</v>
      </c>
    </row>
    <row r="98" spans="1:25" ht="16.5" customHeight="1" x14ac:dyDescent="0.25">
      <c r="A98" s="16" t="s">
        <v>246</v>
      </c>
      <c r="B98" s="17" t="s">
        <v>310</v>
      </c>
      <c r="C98" s="25">
        <f t="shared" si="36"/>
        <v>1563</v>
      </c>
      <c r="D98" s="25" t="e">
        <f t="shared" si="37"/>
        <v>#REF!</v>
      </c>
      <c r="E98" s="27" t="e">
        <f t="shared" si="38"/>
        <v>#REF!</v>
      </c>
      <c r="F98" s="27"/>
      <c r="G98" s="25">
        <f t="shared" si="39"/>
        <v>338</v>
      </c>
      <c r="H98" s="25" t="e">
        <f t="shared" si="40"/>
        <v>#REF!</v>
      </c>
      <c r="I98" s="27" t="e">
        <f t="shared" si="41"/>
        <v>#REF!</v>
      </c>
      <c r="J98" s="27"/>
      <c r="K98" s="25">
        <f t="shared" si="42"/>
        <v>541</v>
      </c>
      <c r="L98" s="25" t="e">
        <f t="shared" si="43"/>
        <v>#REF!</v>
      </c>
      <c r="M98" s="27" t="e">
        <f t="shared" si="44"/>
        <v>#REF!</v>
      </c>
      <c r="N98" s="39"/>
      <c r="O98" s="36" t="str">
        <f t="shared" si="45"/>
        <v>Eastern</v>
      </c>
      <c r="P98" s="26" t="e">
        <f t="shared" si="46"/>
        <v>#REF!</v>
      </c>
      <c r="Q98" s="27" t="e">
        <f t="shared" si="47"/>
        <v>#VALUE!</v>
      </c>
      <c r="R98" s="27"/>
      <c r="S98" s="26">
        <f t="shared" si="48"/>
        <v>2312</v>
      </c>
      <c r="T98" s="26" t="e">
        <f t="shared" si="49"/>
        <v>#REF!</v>
      </c>
      <c r="U98" s="27" t="e">
        <f t="shared" si="50"/>
        <v>#REF!</v>
      </c>
      <c r="V98" s="27"/>
      <c r="W98" s="26">
        <f t="shared" si="51"/>
        <v>2510</v>
      </c>
      <c r="X98" s="26" t="e">
        <f t="shared" si="52"/>
        <v>#REF!</v>
      </c>
      <c r="Y98" s="27" t="e">
        <f t="shared" si="53"/>
        <v>#REF!</v>
      </c>
    </row>
    <row r="99" spans="1:25" ht="16.5" customHeight="1" x14ac:dyDescent="0.25">
      <c r="A99" s="16" t="s">
        <v>14</v>
      </c>
      <c r="B99" s="17" t="s">
        <v>15</v>
      </c>
      <c r="C99" s="25">
        <f t="shared" si="36"/>
        <v>5234</v>
      </c>
      <c r="D99" s="25" t="e">
        <f t="shared" si="37"/>
        <v>#REF!</v>
      </c>
      <c r="E99" s="27" t="e">
        <f t="shared" si="38"/>
        <v>#REF!</v>
      </c>
      <c r="F99" s="27"/>
      <c r="G99" s="25">
        <f t="shared" si="39"/>
        <v>878</v>
      </c>
      <c r="H99" s="25" t="e">
        <f t="shared" si="40"/>
        <v>#REF!</v>
      </c>
      <c r="I99" s="27" t="e">
        <f t="shared" si="41"/>
        <v>#REF!</v>
      </c>
      <c r="J99" s="27"/>
      <c r="K99" s="25">
        <f t="shared" si="42"/>
        <v>4199</v>
      </c>
      <c r="L99" s="25" t="e">
        <f t="shared" si="43"/>
        <v>#REF!</v>
      </c>
      <c r="M99" s="27" t="e">
        <f t="shared" si="44"/>
        <v>#REF!</v>
      </c>
      <c r="N99" s="39"/>
      <c r="O99" s="36" t="str">
        <f t="shared" si="45"/>
        <v>Northern</v>
      </c>
      <c r="P99" s="26" t="e">
        <f t="shared" si="46"/>
        <v>#REF!</v>
      </c>
      <c r="Q99" s="27" t="e">
        <f t="shared" si="47"/>
        <v>#VALUE!</v>
      </c>
      <c r="R99" s="27"/>
      <c r="S99" s="26">
        <f t="shared" si="48"/>
        <v>6917</v>
      </c>
      <c r="T99" s="26" t="e">
        <f t="shared" si="49"/>
        <v>#REF!</v>
      </c>
      <c r="U99" s="27" t="e">
        <f t="shared" si="50"/>
        <v>#REF!</v>
      </c>
      <c r="V99" s="27"/>
      <c r="W99" s="26">
        <f t="shared" si="51"/>
        <v>7501</v>
      </c>
      <c r="X99" s="26" t="e">
        <f t="shared" si="52"/>
        <v>#REF!</v>
      </c>
      <c r="Y99" s="27" t="e">
        <f t="shared" si="53"/>
        <v>#REF!</v>
      </c>
    </row>
    <row r="100" spans="1:25" ht="16.5" customHeight="1" x14ac:dyDescent="0.25">
      <c r="A100" s="16" t="s">
        <v>34</v>
      </c>
      <c r="B100" s="17" t="s">
        <v>35</v>
      </c>
      <c r="C100" s="25">
        <f t="shared" ref="C100:C123" si="54">VLOOKUP(A100,SNAPClient_Demo,10,FALSE)</f>
        <v>547</v>
      </c>
      <c r="D100" s="25" t="e">
        <f t="shared" ref="D100:D123" si="55">VLOOKUP(A100,Pop,14,FALSE)</f>
        <v>#REF!</v>
      </c>
      <c r="E100" s="27" t="e">
        <f t="shared" ref="E100:E123" si="56">+C100/D100</f>
        <v>#REF!</v>
      </c>
      <c r="F100" s="27"/>
      <c r="G100" s="25">
        <f t="shared" ref="G100:G123" si="57">VLOOKUP(A100,SNAPClient_Demo,11,FALSE)</f>
        <v>142</v>
      </c>
      <c r="H100" s="25" t="e">
        <f t="shared" ref="H100:H123" si="58">VLOOKUP(A100,Pop,15,FALSE)</f>
        <v>#REF!</v>
      </c>
      <c r="I100" s="27" t="e">
        <f t="shared" ref="I100:I123" si="59">+G100/H100</f>
        <v>#REF!</v>
      </c>
      <c r="J100" s="27"/>
      <c r="K100" s="25">
        <f t="shared" ref="K100:K123" si="60">VLOOKUP(A100,SNAPClient_Demo,12,FALSE)</f>
        <v>871</v>
      </c>
      <c r="L100" s="25" t="e">
        <f t="shared" ref="L100:L123" si="61">VLOOKUP(A100,Pop,16,FALSE)</f>
        <v>#REF!</v>
      </c>
      <c r="M100" s="27" t="e">
        <f t="shared" ref="M100:M123" si="62">+K100/L100</f>
        <v>#REF!</v>
      </c>
      <c r="N100" s="39"/>
      <c r="O100" s="36" t="str">
        <f t="shared" ref="O100:O123" si="63">VLOOKUP(A100,SNAPClient_Demo,3,FALSE)</f>
        <v>Western</v>
      </c>
      <c r="P100" s="26" t="e">
        <f t="shared" ref="P100:P123" si="64">VLOOKUP(A100,Pop,8,FALSE)</f>
        <v>#REF!</v>
      </c>
      <c r="Q100" s="27" t="e">
        <f t="shared" ref="Q100:Q123" si="65">+O100/P100</f>
        <v>#VALUE!</v>
      </c>
      <c r="R100" s="27"/>
      <c r="S100" s="26">
        <f t="shared" ref="S100:S123" si="66">VLOOKUP(A100,SNAPClient_Demo,4,FALSE)</f>
        <v>2262</v>
      </c>
      <c r="T100" s="26" t="e">
        <f t="shared" ref="T100:T123" si="67">VLOOKUP(A100,Pop,9,FALSE)</f>
        <v>#REF!</v>
      </c>
      <c r="U100" s="27" t="e">
        <f t="shared" ref="U100:U123" si="68">+S100/T100</f>
        <v>#REF!</v>
      </c>
      <c r="V100" s="27"/>
      <c r="W100" s="26">
        <f t="shared" ref="W100:W123" si="69">VLOOKUP(A100,SNAPClient_Demo,5,FALSE)</f>
        <v>3481</v>
      </c>
      <c r="X100" s="26" t="e">
        <f t="shared" ref="X100:X123" si="70">VLOOKUP(A100,Pop,10,FALSE)</f>
        <v>#REF!</v>
      </c>
      <c r="Y100" s="27" t="e">
        <f t="shared" ref="Y100:Y123" si="71">+W100/X100</f>
        <v>#REF!</v>
      </c>
    </row>
    <row r="101" spans="1:25" ht="16.5" customHeight="1" x14ac:dyDescent="0.25">
      <c r="A101" s="16" t="s">
        <v>52</v>
      </c>
      <c r="B101" s="17" t="s">
        <v>53</v>
      </c>
      <c r="C101" s="25">
        <f t="shared" si="54"/>
        <v>3661</v>
      </c>
      <c r="D101" s="25" t="e">
        <f t="shared" si="55"/>
        <v>#REF!</v>
      </c>
      <c r="E101" s="27" t="e">
        <f t="shared" si="56"/>
        <v>#REF!</v>
      </c>
      <c r="F101" s="27"/>
      <c r="G101" s="25">
        <f t="shared" si="57"/>
        <v>532</v>
      </c>
      <c r="H101" s="25" t="e">
        <f t="shared" si="58"/>
        <v>#REF!</v>
      </c>
      <c r="I101" s="27" t="e">
        <f t="shared" si="59"/>
        <v>#REF!</v>
      </c>
      <c r="J101" s="27"/>
      <c r="K101" s="25">
        <f t="shared" si="60"/>
        <v>762</v>
      </c>
      <c r="L101" s="25" t="e">
        <f t="shared" si="61"/>
        <v>#REF!</v>
      </c>
      <c r="M101" s="27" t="e">
        <f t="shared" si="62"/>
        <v>#REF!</v>
      </c>
      <c r="N101" s="39"/>
      <c r="O101" s="36" t="str">
        <f t="shared" si="63"/>
        <v>Piedmont</v>
      </c>
      <c r="P101" s="26" t="e">
        <f t="shared" si="64"/>
        <v>#REF!</v>
      </c>
      <c r="Q101" s="27" t="e">
        <f t="shared" si="65"/>
        <v>#VALUE!</v>
      </c>
      <c r="R101" s="27"/>
      <c r="S101" s="26">
        <f t="shared" si="66"/>
        <v>2768</v>
      </c>
      <c r="T101" s="26" t="e">
        <f t="shared" si="67"/>
        <v>#REF!</v>
      </c>
      <c r="U101" s="27" t="e">
        <f t="shared" si="68"/>
        <v>#REF!</v>
      </c>
      <c r="V101" s="27"/>
      <c r="W101" s="26">
        <f t="shared" si="69"/>
        <v>3748</v>
      </c>
      <c r="X101" s="26" t="e">
        <f t="shared" si="70"/>
        <v>#REF!</v>
      </c>
      <c r="Y101" s="27" t="e">
        <f t="shared" si="71"/>
        <v>#REF!</v>
      </c>
    </row>
    <row r="102" spans="1:25" ht="16.5" customHeight="1" x14ac:dyDescent="0.25">
      <c r="A102" s="16" t="s">
        <v>54</v>
      </c>
      <c r="B102" s="17" t="s">
        <v>55</v>
      </c>
      <c r="C102" s="25">
        <f t="shared" si="54"/>
        <v>18080</v>
      </c>
      <c r="D102" s="25" t="e">
        <f t="shared" si="55"/>
        <v>#REF!</v>
      </c>
      <c r="E102" s="27" t="e">
        <f t="shared" si="56"/>
        <v>#REF!</v>
      </c>
      <c r="F102" s="27"/>
      <c r="G102" s="25">
        <f t="shared" si="57"/>
        <v>1191</v>
      </c>
      <c r="H102" s="25" t="e">
        <f t="shared" si="58"/>
        <v>#REF!</v>
      </c>
      <c r="I102" s="27" t="e">
        <f t="shared" si="59"/>
        <v>#REF!</v>
      </c>
      <c r="J102" s="27"/>
      <c r="K102" s="25">
        <f t="shared" si="60"/>
        <v>4439</v>
      </c>
      <c r="L102" s="25" t="e">
        <f t="shared" si="61"/>
        <v>#REF!</v>
      </c>
      <c r="M102" s="27" t="e">
        <f t="shared" si="62"/>
        <v>#REF!</v>
      </c>
      <c r="N102" s="39"/>
      <c r="O102" s="36" t="str">
        <f t="shared" si="63"/>
        <v>Eastern</v>
      </c>
      <c r="P102" s="26" t="e">
        <f t="shared" si="64"/>
        <v>#REF!</v>
      </c>
      <c r="Q102" s="27" t="e">
        <f t="shared" si="65"/>
        <v>#VALUE!</v>
      </c>
      <c r="R102" s="27"/>
      <c r="S102" s="26">
        <f t="shared" si="66"/>
        <v>15091</v>
      </c>
      <c r="T102" s="26" t="e">
        <f t="shared" si="67"/>
        <v>#REF!</v>
      </c>
      <c r="U102" s="27" t="e">
        <f t="shared" si="68"/>
        <v>#REF!</v>
      </c>
      <c r="V102" s="27"/>
      <c r="W102" s="26">
        <f t="shared" si="69"/>
        <v>16522</v>
      </c>
      <c r="X102" s="26" t="e">
        <f t="shared" si="70"/>
        <v>#REF!</v>
      </c>
      <c r="Y102" s="27" t="e">
        <f t="shared" si="71"/>
        <v>#REF!</v>
      </c>
    </row>
    <row r="103" spans="1:25" ht="16.5" customHeight="1" x14ac:dyDescent="0.25">
      <c r="A103" s="16" t="s">
        <v>66</v>
      </c>
      <c r="B103" s="32" t="s">
        <v>67</v>
      </c>
      <c r="C103" s="25">
        <f t="shared" si="54"/>
        <v>10843</v>
      </c>
      <c r="D103" s="25" t="e">
        <f t="shared" si="55"/>
        <v>#REF!</v>
      </c>
      <c r="E103" s="27" t="e">
        <f t="shared" si="56"/>
        <v>#REF!</v>
      </c>
      <c r="F103" s="27"/>
      <c r="G103" s="25">
        <f t="shared" si="57"/>
        <v>350</v>
      </c>
      <c r="H103" s="25" t="e">
        <f t="shared" si="58"/>
        <v>#REF!</v>
      </c>
      <c r="I103" s="27" t="e">
        <f t="shared" si="59"/>
        <v>#REF!</v>
      </c>
      <c r="J103" s="27"/>
      <c r="K103" s="25">
        <f t="shared" si="60"/>
        <v>1583</v>
      </c>
      <c r="L103" s="25" t="e">
        <f t="shared" si="61"/>
        <v>#REF!</v>
      </c>
      <c r="M103" s="27" t="e">
        <f t="shared" si="62"/>
        <v>#REF!</v>
      </c>
      <c r="N103" s="39"/>
      <c r="O103" s="36" t="str">
        <f t="shared" si="63"/>
        <v>Piedmont</v>
      </c>
      <c r="P103" s="26" t="e">
        <f t="shared" si="64"/>
        <v>#REF!</v>
      </c>
      <c r="Q103" s="27" t="e">
        <f t="shared" si="65"/>
        <v>#VALUE!</v>
      </c>
      <c r="R103" s="27"/>
      <c r="S103" s="26">
        <f t="shared" si="66"/>
        <v>6500</v>
      </c>
      <c r="T103" s="26" t="e">
        <f t="shared" si="67"/>
        <v>#REF!</v>
      </c>
      <c r="U103" s="27" t="e">
        <f t="shared" si="68"/>
        <v>#REF!</v>
      </c>
      <c r="V103" s="27"/>
      <c r="W103" s="26">
        <f t="shared" si="69"/>
        <v>9273</v>
      </c>
      <c r="X103" s="26" t="e">
        <f t="shared" si="70"/>
        <v>#REF!</v>
      </c>
      <c r="Y103" s="27" t="e">
        <f t="shared" si="71"/>
        <v>#REF!</v>
      </c>
    </row>
    <row r="104" spans="1:25" ht="16.5" customHeight="1" x14ac:dyDescent="0.25">
      <c r="A104" s="16" t="s">
        <v>82</v>
      </c>
      <c r="B104" s="32" t="s">
        <v>311</v>
      </c>
      <c r="C104" s="25">
        <f t="shared" si="54"/>
        <v>2645</v>
      </c>
      <c r="D104" s="25" t="e">
        <f t="shared" si="55"/>
        <v>#REF!</v>
      </c>
      <c r="E104" s="27" t="e">
        <f t="shared" si="56"/>
        <v>#REF!</v>
      </c>
      <c r="F104" s="27"/>
      <c r="G104" s="25">
        <f t="shared" si="57"/>
        <v>51</v>
      </c>
      <c r="H104" s="25" t="e">
        <f t="shared" si="58"/>
        <v>#REF!</v>
      </c>
      <c r="I104" s="27" t="e">
        <f t="shared" si="59"/>
        <v>#REF!</v>
      </c>
      <c r="J104" s="27"/>
      <c r="K104" s="25">
        <f t="shared" si="60"/>
        <v>335</v>
      </c>
      <c r="L104" s="25" t="e">
        <f t="shared" si="61"/>
        <v>#REF!</v>
      </c>
      <c r="M104" s="27" t="e">
        <f t="shared" si="62"/>
        <v>#REF!</v>
      </c>
      <c r="N104" s="39"/>
      <c r="O104" s="36" t="str">
        <f t="shared" si="63"/>
        <v>Eastern</v>
      </c>
      <c r="P104" s="26" t="e">
        <f t="shared" si="64"/>
        <v>#REF!</v>
      </c>
      <c r="Q104" s="27" t="e">
        <f t="shared" si="65"/>
        <v>#VALUE!</v>
      </c>
      <c r="R104" s="27"/>
      <c r="S104" s="26">
        <f t="shared" si="66"/>
        <v>1326</v>
      </c>
      <c r="T104" s="26" t="e">
        <f t="shared" si="67"/>
        <v>#REF!</v>
      </c>
      <c r="U104" s="27" t="e">
        <f t="shared" si="68"/>
        <v>#REF!</v>
      </c>
      <c r="V104" s="27"/>
      <c r="W104" s="26">
        <f t="shared" si="69"/>
        <v>1848</v>
      </c>
      <c r="X104" s="26" t="e">
        <f t="shared" si="70"/>
        <v>#REF!</v>
      </c>
      <c r="Y104" s="27" t="e">
        <f t="shared" si="71"/>
        <v>#REF!</v>
      </c>
    </row>
    <row r="105" spans="1:25" ht="16.5" customHeight="1" x14ac:dyDescent="0.25">
      <c r="A105" s="16" t="s">
        <v>88</v>
      </c>
      <c r="B105" s="17" t="s">
        <v>89</v>
      </c>
      <c r="C105" s="25">
        <f t="shared" si="54"/>
        <v>2577</v>
      </c>
      <c r="D105" s="25" t="e">
        <f t="shared" si="55"/>
        <v>#REF!</v>
      </c>
      <c r="E105" s="27" t="e">
        <f t="shared" si="56"/>
        <v>#REF!</v>
      </c>
      <c r="F105" s="27"/>
      <c r="G105" s="25">
        <f t="shared" si="57"/>
        <v>689</v>
      </c>
      <c r="H105" s="25" t="e">
        <f t="shared" si="58"/>
        <v>#REF!</v>
      </c>
      <c r="I105" s="27" t="e">
        <f t="shared" si="59"/>
        <v>#REF!</v>
      </c>
      <c r="J105" s="27"/>
      <c r="K105" s="25">
        <f t="shared" si="60"/>
        <v>1210</v>
      </c>
      <c r="L105" s="25" t="e">
        <f t="shared" si="61"/>
        <v>#REF!</v>
      </c>
      <c r="M105" s="27" t="e">
        <f t="shared" si="62"/>
        <v>#REF!</v>
      </c>
      <c r="N105" s="39"/>
      <c r="O105" s="36" t="str">
        <f t="shared" si="63"/>
        <v>Northern</v>
      </c>
      <c r="P105" s="26" t="e">
        <f t="shared" si="64"/>
        <v>#REF!</v>
      </c>
      <c r="Q105" s="27" t="e">
        <f t="shared" si="65"/>
        <v>#VALUE!</v>
      </c>
      <c r="R105" s="27"/>
      <c r="S105" s="26">
        <f t="shared" si="66"/>
        <v>2820</v>
      </c>
      <c r="T105" s="26" t="e">
        <f t="shared" si="67"/>
        <v>#REF!</v>
      </c>
      <c r="U105" s="27" t="e">
        <f t="shared" si="68"/>
        <v>#REF!</v>
      </c>
      <c r="V105" s="27"/>
      <c r="W105" s="26">
        <f t="shared" si="69"/>
        <v>3476</v>
      </c>
      <c r="X105" s="26" t="e">
        <f t="shared" si="70"/>
        <v>#REF!</v>
      </c>
      <c r="Y105" s="27" t="e">
        <f t="shared" si="71"/>
        <v>#REF!</v>
      </c>
    </row>
    <row r="106" spans="1:25" ht="16.5" customHeight="1" x14ac:dyDescent="0.25">
      <c r="A106" s="16" t="s">
        <v>90</v>
      </c>
      <c r="B106" s="17" t="s">
        <v>91</v>
      </c>
      <c r="C106" s="25">
        <f t="shared" si="54"/>
        <v>298</v>
      </c>
      <c r="D106" s="25" t="e">
        <f t="shared" si="55"/>
        <v>#REF!</v>
      </c>
      <c r="E106" s="27" t="e">
        <f t="shared" si="56"/>
        <v>#REF!</v>
      </c>
      <c r="F106" s="27"/>
      <c r="G106" s="25">
        <f t="shared" si="57"/>
        <v>52</v>
      </c>
      <c r="H106" s="25" t="e">
        <f t="shared" si="58"/>
        <v>#REF!</v>
      </c>
      <c r="I106" s="27" t="e">
        <f t="shared" si="59"/>
        <v>#REF!</v>
      </c>
      <c r="J106" s="27"/>
      <c r="K106" s="25">
        <f t="shared" si="60"/>
        <v>289</v>
      </c>
      <c r="L106" s="25" t="e">
        <f t="shared" si="61"/>
        <v>#REF!</v>
      </c>
      <c r="M106" s="27" t="e">
        <f t="shared" si="62"/>
        <v>#REF!</v>
      </c>
      <c r="N106" s="39"/>
      <c r="O106" s="36" t="str">
        <f t="shared" si="63"/>
        <v>Western</v>
      </c>
      <c r="P106" s="26" t="e">
        <f t="shared" si="64"/>
        <v>#REF!</v>
      </c>
      <c r="Q106" s="27" t="e">
        <f t="shared" si="65"/>
        <v>#VALUE!</v>
      </c>
      <c r="R106" s="27"/>
      <c r="S106" s="26">
        <f t="shared" si="66"/>
        <v>1059</v>
      </c>
      <c r="T106" s="26" t="e">
        <f t="shared" si="67"/>
        <v>#REF!</v>
      </c>
      <c r="U106" s="27" t="e">
        <f t="shared" si="68"/>
        <v>#REF!</v>
      </c>
      <c r="V106" s="27"/>
      <c r="W106" s="26">
        <f t="shared" si="69"/>
        <v>1495</v>
      </c>
      <c r="X106" s="26" t="e">
        <f t="shared" si="70"/>
        <v>#REF!</v>
      </c>
      <c r="Y106" s="27" t="e">
        <f t="shared" si="71"/>
        <v>#REF!</v>
      </c>
    </row>
    <row r="107" spans="1:25" ht="16.5" customHeight="1" x14ac:dyDescent="0.25">
      <c r="A107" s="16" t="s">
        <v>106</v>
      </c>
      <c r="B107" s="17" t="s">
        <v>107</v>
      </c>
      <c r="C107" s="25">
        <f t="shared" si="54"/>
        <v>19151</v>
      </c>
      <c r="D107" s="25" t="e">
        <f t="shared" si="55"/>
        <v>#REF!</v>
      </c>
      <c r="E107" s="27" t="e">
        <f t="shared" si="56"/>
        <v>#REF!</v>
      </c>
      <c r="F107" s="27"/>
      <c r="G107" s="25">
        <f t="shared" si="57"/>
        <v>857</v>
      </c>
      <c r="H107" s="25" t="e">
        <f t="shared" si="58"/>
        <v>#REF!</v>
      </c>
      <c r="I107" s="27" t="e">
        <f t="shared" si="59"/>
        <v>#REF!</v>
      </c>
      <c r="J107" s="27"/>
      <c r="K107" s="25">
        <f t="shared" si="60"/>
        <v>4874</v>
      </c>
      <c r="L107" s="25" t="e">
        <f t="shared" si="61"/>
        <v>#REF!</v>
      </c>
      <c r="M107" s="27" t="e">
        <f t="shared" si="62"/>
        <v>#REF!</v>
      </c>
      <c r="N107" s="39"/>
      <c r="O107" s="36" t="str">
        <f t="shared" si="63"/>
        <v>Eastern</v>
      </c>
      <c r="P107" s="26" t="e">
        <f t="shared" si="64"/>
        <v>#REF!</v>
      </c>
      <c r="Q107" s="27" t="e">
        <f t="shared" si="65"/>
        <v>#VALUE!</v>
      </c>
      <c r="R107" s="27"/>
      <c r="S107" s="26">
        <f t="shared" si="66"/>
        <v>13298</v>
      </c>
      <c r="T107" s="26" t="e">
        <f t="shared" si="67"/>
        <v>#REF!</v>
      </c>
      <c r="U107" s="27" t="e">
        <f t="shared" si="68"/>
        <v>#REF!</v>
      </c>
      <c r="V107" s="27"/>
      <c r="W107" s="26">
        <f t="shared" si="69"/>
        <v>15934</v>
      </c>
      <c r="X107" s="26" t="e">
        <f t="shared" si="70"/>
        <v>#REF!</v>
      </c>
      <c r="Y107" s="27" t="e">
        <f t="shared" si="71"/>
        <v>#REF!</v>
      </c>
    </row>
    <row r="108" spans="1:25" ht="16.5" customHeight="1" x14ac:dyDescent="0.25">
      <c r="A108" s="16" t="s">
        <v>116</v>
      </c>
      <c r="B108" s="32" t="s">
        <v>117</v>
      </c>
      <c r="C108" s="25">
        <f t="shared" si="54"/>
        <v>4948</v>
      </c>
      <c r="D108" s="25" t="e">
        <f t="shared" si="55"/>
        <v>#REF!</v>
      </c>
      <c r="E108" s="27" t="e">
        <f t="shared" si="56"/>
        <v>#REF!</v>
      </c>
      <c r="F108" s="27"/>
      <c r="G108" s="25">
        <f t="shared" si="57"/>
        <v>220</v>
      </c>
      <c r="H108" s="25" t="e">
        <f t="shared" si="58"/>
        <v>#REF!</v>
      </c>
      <c r="I108" s="27" t="e">
        <f t="shared" si="59"/>
        <v>#REF!</v>
      </c>
      <c r="J108" s="27"/>
      <c r="K108" s="25">
        <f t="shared" si="60"/>
        <v>1492</v>
      </c>
      <c r="L108" s="25" t="e">
        <f t="shared" si="61"/>
        <v>#REF!</v>
      </c>
      <c r="M108" s="27" t="e">
        <f t="shared" si="62"/>
        <v>#REF!</v>
      </c>
      <c r="N108" s="39"/>
      <c r="O108" s="36" t="str">
        <f t="shared" si="63"/>
        <v>Central</v>
      </c>
      <c r="P108" s="26" t="e">
        <f t="shared" si="64"/>
        <v>#REF!</v>
      </c>
      <c r="Q108" s="27" t="e">
        <f t="shared" si="65"/>
        <v>#VALUE!</v>
      </c>
      <c r="R108" s="27"/>
      <c r="S108" s="26">
        <f t="shared" si="66"/>
        <v>4352</v>
      </c>
      <c r="T108" s="26" t="e">
        <f t="shared" si="67"/>
        <v>#REF!</v>
      </c>
      <c r="U108" s="27" t="e">
        <f t="shared" si="68"/>
        <v>#REF!</v>
      </c>
      <c r="V108" s="27"/>
      <c r="W108" s="26">
        <f t="shared" si="69"/>
        <v>5132</v>
      </c>
      <c r="X108" s="26" t="e">
        <f t="shared" si="70"/>
        <v>#REF!</v>
      </c>
      <c r="Y108" s="27" t="e">
        <f t="shared" si="71"/>
        <v>#REF!</v>
      </c>
    </row>
    <row r="109" spans="1:25" ht="16.5" customHeight="1" x14ac:dyDescent="0.25">
      <c r="A109" s="16" t="s">
        <v>138</v>
      </c>
      <c r="B109" s="17" t="s">
        <v>139</v>
      </c>
      <c r="C109" s="25">
        <f t="shared" si="54"/>
        <v>9632</v>
      </c>
      <c r="D109" s="25" t="e">
        <f t="shared" si="55"/>
        <v>#REF!</v>
      </c>
      <c r="E109" s="27" t="e">
        <f t="shared" si="56"/>
        <v>#REF!</v>
      </c>
      <c r="F109" s="27"/>
      <c r="G109" s="25">
        <f t="shared" si="57"/>
        <v>397</v>
      </c>
      <c r="H109" s="25" t="e">
        <f t="shared" si="58"/>
        <v>#REF!</v>
      </c>
      <c r="I109" s="27" t="e">
        <f t="shared" si="59"/>
        <v>#REF!</v>
      </c>
      <c r="J109" s="27"/>
      <c r="K109" s="25">
        <f t="shared" si="60"/>
        <v>2474</v>
      </c>
      <c r="L109" s="25" t="e">
        <f t="shared" si="61"/>
        <v>#REF!</v>
      </c>
      <c r="M109" s="27" t="e">
        <f t="shared" si="62"/>
        <v>#REF!</v>
      </c>
      <c r="N109" s="39"/>
      <c r="O109" s="36" t="str">
        <f t="shared" si="63"/>
        <v>Piedmont</v>
      </c>
      <c r="P109" s="26" t="e">
        <f t="shared" si="64"/>
        <v>#REF!</v>
      </c>
      <c r="Q109" s="27" t="e">
        <f t="shared" si="65"/>
        <v>#VALUE!</v>
      </c>
      <c r="R109" s="27"/>
      <c r="S109" s="26">
        <f t="shared" si="66"/>
        <v>7256</v>
      </c>
      <c r="T109" s="26" t="e">
        <f t="shared" si="67"/>
        <v>#REF!</v>
      </c>
      <c r="U109" s="27" t="e">
        <f t="shared" si="68"/>
        <v>#REF!</v>
      </c>
      <c r="V109" s="27"/>
      <c r="W109" s="26">
        <f t="shared" si="69"/>
        <v>9030</v>
      </c>
      <c r="X109" s="26" t="e">
        <f t="shared" si="70"/>
        <v>#REF!</v>
      </c>
      <c r="Y109" s="27" t="e">
        <f t="shared" si="71"/>
        <v>#REF!</v>
      </c>
    </row>
    <row r="110" spans="1:25" ht="16.5" customHeight="1" x14ac:dyDescent="0.25">
      <c r="A110" s="16" t="s">
        <v>142</v>
      </c>
      <c r="B110" s="32" t="s">
        <v>143</v>
      </c>
      <c r="C110" s="25">
        <f t="shared" si="54"/>
        <v>1257</v>
      </c>
      <c r="D110" s="25" t="e">
        <f t="shared" si="55"/>
        <v>#REF!</v>
      </c>
      <c r="E110" s="27" t="e">
        <f t="shared" si="56"/>
        <v>#REF!</v>
      </c>
      <c r="F110" s="27"/>
      <c r="G110" s="25">
        <f t="shared" si="57"/>
        <v>833</v>
      </c>
      <c r="H110" s="25" t="e">
        <f t="shared" si="58"/>
        <v>#REF!</v>
      </c>
      <c r="I110" s="27" t="e">
        <f t="shared" si="59"/>
        <v>#REF!</v>
      </c>
      <c r="J110" s="27"/>
      <c r="K110" s="25">
        <f t="shared" si="60"/>
        <v>2001</v>
      </c>
      <c r="L110" s="25" t="e">
        <f t="shared" si="61"/>
        <v>#REF!</v>
      </c>
      <c r="M110" s="27" t="e">
        <f t="shared" si="62"/>
        <v>#REF!</v>
      </c>
      <c r="N110" s="39"/>
      <c r="O110" s="36" t="str">
        <f t="shared" si="63"/>
        <v>Northern</v>
      </c>
      <c r="P110" s="26" t="e">
        <f t="shared" si="64"/>
        <v>#REF!</v>
      </c>
      <c r="Q110" s="27" t="e">
        <f t="shared" si="65"/>
        <v>#VALUE!</v>
      </c>
      <c r="R110" s="27"/>
      <c r="S110" s="26">
        <f t="shared" si="66"/>
        <v>3687</v>
      </c>
      <c r="T110" s="26" t="e">
        <f t="shared" si="67"/>
        <v>#REF!</v>
      </c>
      <c r="U110" s="27" t="e">
        <f t="shared" si="68"/>
        <v>#REF!</v>
      </c>
      <c r="V110" s="27"/>
      <c r="W110" s="26">
        <f t="shared" si="69"/>
        <v>3204</v>
      </c>
      <c r="X110" s="26" t="e">
        <f t="shared" si="70"/>
        <v>#REF!</v>
      </c>
      <c r="Y110" s="27" t="e">
        <f t="shared" si="71"/>
        <v>#REF!</v>
      </c>
    </row>
    <row r="111" spans="1:25" ht="16.5" customHeight="1" x14ac:dyDescent="0.25">
      <c r="A111" s="16" t="s">
        <v>144</v>
      </c>
      <c r="B111" s="17" t="s">
        <v>145</v>
      </c>
      <c r="C111" s="25">
        <f t="shared" si="54"/>
        <v>296</v>
      </c>
      <c r="D111" s="25" t="e">
        <f t="shared" si="55"/>
        <v>#REF!</v>
      </c>
      <c r="E111" s="27" t="e">
        <f t="shared" si="56"/>
        <v>#REF!</v>
      </c>
      <c r="F111" s="27"/>
      <c r="G111" s="25">
        <f t="shared" si="57"/>
        <v>499</v>
      </c>
      <c r="H111" s="25" t="e">
        <f t="shared" si="58"/>
        <v>#REF!</v>
      </c>
      <c r="I111" s="27" t="e">
        <f t="shared" si="59"/>
        <v>#REF!</v>
      </c>
      <c r="J111" s="27"/>
      <c r="K111" s="25">
        <f t="shared" si="60"/>
        <v>486</v>
      </c>
      <c r="L111" s="25" t="e">
        <f t="shared" si="61"/>
        <v>#REF!</v>
      </c>
      <c r="M111" s="27" t="e">
        <f t="shared" si="62"/>
        <v>#REF!</v>
      </c>
      <c r="N111" s="39"/>
      <c r="O111" s="36" t="str">
        <f t="shared" si="63"/>
        <v>Northern</v>
      </c>
      <c r="P111" s="26" t="e">
        <f t="shared" si="64"/>
        <v>#REF!</v>
      </c>
      <c r="Q111" s="27" t="e">
        <f t="shared" si="65"/>
        <v>#VALUE!</v>
      </c>
      <c r="R111" s="27"/>
      <c r="S111" s="26">
        <f t="shared" si="66"/>
        <v>1105</v>
      </c>
      <c r="T111" s="26" t="e">
        <f t="shared" si="67"/>
        <v>#REF!</v>
      </c>
      <c r="U111" s="27" t="e">
        <f t="shared" si="68"/>
        <v>#REF!</v>
      </c>
      <c r="V111" s="27"/>
      <c r="W111" s="26">
        <f t="shared" si="69"/>
        <v>974</v>
      </c>
      <c r="X111" s="26" t="e">
        <f t="shared" si="70"/>
        <v>#REF!</v>
      </c>
      <c r="Y111" s="27" t="e">
        <f t="shared" si="71"/>
        <v>#REF!</v>
      </c>
    </row>
    <row r="112" spans="1:25" ht="16.5" customHeight="1" x14ac:dyDescent="0.25">
      <c r="A112" s="16" t="s">
        <v>158</v>
      </c>
      <c r="B112" s="17" t="s">
        <v>159</v>
      </c>
      <c r="C112" s="25">
        <f t="shared" si="54"/>
        <v>31139</v>
      </c>
      <c r="D112" s="25" t="e">
        <f t="shared" si="55"/>
        <v>#REF!</v>
      </c>
      <c r="E112" s="27" t="e">
        <f t="shared" si="56"/>
        <v>#REF!</v>
      </c>
      <c r="F112" s="27"/>
      <c r="G112" s="25">
        <f t="shared" si="57"/>
        <v>2528</v>
      </c>
      <c r="H112" s="25" t="e">
        <f t="shared" si="58"/>
        <v>#REF!</v>
      </c>
      <c r="I112" s="27" t="e">
        <f t="shared" si="59"/>
        <v>#REF!</v>
      </c>
      <c r="J112" s="27"/>
      <c r="K112" s="25">
        <f t="shared" si="60"/>
        <v>6460</v>
      </c>
      <c r="L112" s="25" t="e">
        <f t="shared" si="61"/>
        <v>#REF!</v>
      </c>
      <c r="M112" s="27" t="e">
        <f t="shared" si="62"/>
        <v>#REF!</v>
      </c>
      <c r="N112" s="39"/>
      <c r="O112" s="36" t="str">
        <f t="shared" si="63"/>
        <v>Eastern</v>
      </c>
      <c r="P112" s="26" t="e">
        <f t="shared" si="64"/>
        <v>#REF!</v>
      </c>
      <c r="Q112" s="27" t="e">
        <f t="shared" si="65"/>
        <v>#VALUE!</v>
      </c>
      <c r="R112" s="27"/>
      <c r="S112" s="26">
        <f t="shared" si="66"/>
        <v>21636</v>
      </c>
      <c r="T112" s="26" t="e">
        <f t="shared" si="67"/>
        <v>#REF!</v>
      </c>
      <c r="U112" s="27" t="e">
        <f t="shared" si="68"/>
        <v>#REF!</v>
      </c>
      <c r="V112" s="27"/>
      <c r="W112" s="26">
        <f t="shared" si="69"/>
        <v>25310</v>
      </c>
      <c r="X112" s="26" t="e">
        <f t="shared" si="70"/>
        <v>#REF!</v>
      </c>
      <c r="Y112" s="27" t="e">
        <f t="shared" si="71"/>
        <v>#REF!</v>
      </c>
    </row>
    <row r="113" spans="1:25" ht="16.5" customHeight="1" x14ac:dyDescent="0.25">
      <c r="A113" s="16" t="s">
        <v>160</v>
      </c>
      <c r="B113" s="17" t="s">
        <v>161</v>
      </c>
      <c r="C113" s="25">
        <f t="shared" si="54"/>
        <v>42048</v>
      </c>
      <c r="D113" s="25" t="e">
        <f t="shared" si="55"/>
        <v>#REF!</v>
      </c>
      <c r="E113" s="27" t="e">
        <f t="shared" si="56"/>
        <v>#REF!</v>
      </c>
      <c r="F113" s="27"/>
      <c r="G113" s="25">
        <f t="shared" si="57"/>
        <v>2131</v>
      </c>
      <c r="H113" s="25" t="e">
        <f t="shared" si="58"/>
        <v>#REF!</v>
      </c>
      <c r="I113" s="27" t="e">
        <f t="shared" si="59"/>
        <v>#REF!</v>
      </c>
      <c r="J113" s="27"/>
      <c r="K113" s="25">
        <f t="shared" si="60"/>
        <v>8279</v>
      </c>
      <c r="L113" s="25" t="e">
        <f t="shared" si="61"/>
        <v>#REF!</v>
      </c>
      <c r="M113" s="27" t="e">
        <f t="shared" si="62"/>
        <v>#REF!</v>
      </c>
      <c r="N113" s="39"/>
      <c r="O113" s="36" t="str">
        <f t="shared" si="63"/>
        <v>Eastern</v>
      </c>
      <c r="P113" s="26" t="e">
        <f t="shared" si="64"/>
        <v>#REF!</v>
      </c>
      <c r="Q113" s="27" t="e">
        <f t="shared" si="65"/>
        <v>#VALUE!</v>
      </c>
      <c r="R113" s="27"/>
      <c r="S113" s="26">
        <f t="shared" si="66"/>
        <v>26506</v>
      </c>
      <c r="T113" s="26" t="e">
        <f t="shared" si="67"/>
        <v>#REF!</v>
      </c>
      <c r="U113" s="27" t="e">
        <f t="shared" si="68"/>
        <v>#REF!</v>
      </c>
      <c r="V113" s="27"/>
      <c r="W113" s="26">
        <f t="shared" si="69"/>
        <v>32279</v>
      </c>
      <c r="X113" s="26" t="e">
        <f t="shared" si="70"/>
        <v>#REF!</v>
      </c>
      <c r="Y113" s="27" t="e">
        <f t="shared" si="71"/>
        <v>#REF!</v>
      </c>
    </row>
    <row r="114" spans="1:25" ht="16.5" customHeight="1" x14ac:dyDescent="0.25">
      <c r="A114" s="16" t="s">
        <v>166</v>
      </c>
      <c r="B114" s="32" t="s">
        <v>167</v>
      </c>
      <c r="C114" s="25">
        <f t="shared" si="54"/>
        <v>114</v>
      </c>
      <c r="D114" s="25" t="e">
        <f t="shared" si="55"/>
        <v>#REF!</v>
      </c>
      <c r="E114" s="27" t="e">
        <f t="shared" si="56"/>
        <v>#REF!</v>
      </c>
      <c r="F114" s="27"/>
      <c r="G114" s="25">
        <f t="shared" si="57"/>
        <v>47</v>
      </c>
      <c r="H114" s="25" t="e">
        <f t="shared" si="58"/>
        <v>#REF!</v>
      </c>
      <c r="I114" s="27" t="e">
        <f t="shared" si="59"/>
        <v>#REF!</v>
      </c>
      <c r="J114" s="27"/>
      <c r="K114" s="25">
        <f t="shared" si="60"/>
        <v>98</v>
      </c>
      <c r="L114" s="25" t="e">
        <f t="shared" si="61"/>
        <v>#REF!</v>
      </c>
      <c r="M114" s="27" t="e">
        <f t="shared" si="62"/>
        <v>#REF!</v>
      </c>
      <c r="N114" s="39"/>
      <c r="O114" s="36" t="str">
        <f t="shared" si="63"/>
        <v>Western</v>
      </c>
      <c r="P114" s="26" t="e">
        <f t="shared" si="64"/>
        <v>#REF!</v>
      </c>
      <c r="Q114" s="27" t="e">
        <f t="shared" si="65"/>
        <v>#VALUE!</v>
      </c>
      <c r="R114" s="27"/>
      <c r="S114" s="26">
        <f t="shared" si="66"/>
        <v>552</v>
      </c>
      <c r="T114" s="26" t="e">
        <f t="shared" si="67"/>
        <v>#REF!</v>
      </c>
      <c r="U114" s="27" t="e">
        <f t="shared" si="68"/>
        <v>#REF!</v>
      </c>
      <c r="V114" s="27"/>
      <c r="W114" s="26">
        <f t="shared" si="69"/>
        <v>858</v>
      </c>
      <c r="X114" s="26" t="e">
        <f t="shared" si="70"/>
        <v>#REF!</v>
      </c>
      <c r="Y114" s="27" t="e">
        <f t="shared" si="71"/>
        <v>#REF!</v>
      </c>
    </row>
    <row r="115" spans="1:25" ht="16.5" customHeight="1" x14ac:dyDescent="0.25">
      <c r="A115" s="16" t="s">
        <v>176</v>
      </c>
      <c r="B115" s="32" t="s">
        <v>177</v>
      </c>
      <c r="C115" s="25">
        <f t="shared" si="54"/>
        <v>11501</v>
      </c>
      <c r="D115" s="25" t="e">
        <f t="shared" si="55"/>
        <v>#REF!</v>
      </c>
      <c r="E115" s="27" t="e">
        <f t="shared" si="56"/>
        <v>#REF!</v>
      </c>
      <c r="F115" s="27"/>
      <c r="G115" s="25">
        <f t="shared" si="57"/>
        <v>345</v>
      </c>
      <c r="H115" s="25" t="e">
        <f t="shared" si="58"/>
        <v>#REF!</v>
      </c>
      <c r="I115" s="27" t="e">
        <f t="shared" si="59"/>
        <v>#REF!</v>
      </c>
      <c r="J115" s="27"/>
      <c r="K115" s="25">
        <f t="shared" si="60"/>
        <v>1350</v>
      </c>
      <c r="L115" s="25" t="e">
        <f t="shared" si="61"/>
        <v>#REF!</v>
      </c>
      <c r="M115" s="27" t="e">
        <f t="shared" si="62"/>
        <v>#REF!</v>
      </c>
      <c r="N115" s="39"/>
      <c r="O115" s="36" t="str">
        <f t="shared" si="63"/>
        <v>Central</v>
      </c>
      <c r="P115" s="26" t="e">
        <f t="shared" si="64"/>
        <v>#REF!</v>
      </c>
      <c r="Q115" s="27" t="e">
        <f t="shared" si="65"/>
        <v>#VALUE!</v>
      </c>
      <c r="R115" s="27"/>
      <c r="S115" s="26">
        <f t="shared" si="66"/>
        <v>5375</v>
      </c>
      <c r="T115" s="26" t="e">
        <f t="shared" si="67"/>
        <v>#REF!</v>
      </c>
      <c r="U115" s="27" t="e">
        <f t="shared" si="68"/>
        <v>#REF!</v>
      </c>
      <c r="V115" s="27"/>
      <c r="W115" s="26">
        <f t="shared" si="69"/>
        <v>8228</v>
      </c>
      <c r="X115" s="26" t="e">
        <f t="shared" si="70"/>
        <v>#REF!</v>
      </c>
      <c r="Y115" s="27" t="e">
        <f t="shared" si="71"/>
        <v>#REF!</v>
      </c>
    </row>
    <row r="116" spans="1:25" ht="16.5" customHeight="1" x14ac:dyDescent="0.25">
      <c r="A116" s="16" t="s">
        <v>180</v>
      </c>
      <c r="B116" s="17" t="s">
        <v>181</v>
      </c>
      <c r="C116" s="25">
        <f t="shared" si="54"/>
        <v>22029</v>
      </c>
      <c r="D116" s="25" t="e">
        <f t="shared" si="55"/>
        <v>#REF!</v>
      </c>
      <c r="E116" s="27" t="e">
        <f t="shared" si="56"/>
        <v>#REF!</v>
      </c>
      <c r="F116" s="27"/>
      <c r="G116" s="25">
        <f t="shared" si="57"/>
        <v>403</v>
      </c>
      <c r="H116" s="25" t="e">
        <f t="shared" si="58"/>
        <v>#REF!</v>
      </c>
      <c r="I116" s="27" t="e">
        <f t="shared" si="59"/>
        <v>#REF!</v>
      </c>
      <c r="J116" s="27"/>
      <c r="K116" s="25">
        <f t="shared" si="60"/>
        <v>3572</v>
      </c>
      <c r="L116" s="25" t="e">
        <f t="shared" si="61"/>
        <v>#REF!</v>
      </c>
      <c r="M116" s="27" t="e">
        <f t="shared" si="62"/>
        <v>#REF!</v>
      </c>
      <c r="N116" s="39"/>
      <c r="O116" s="36" t="str">
        <f t="shared" si="63"/>
        <v>Eastern</v>
      </c>
      <c r="P116" s="26" t="e">
        <f t="shared" si="64"/>
        <v>#REF!</v>
      </c>
      <c r="Q116" s="27" t="e">
        <f t="shared" si="65"/>
        <v>#VALUE!</v>
      </c>
      <c r="R116" s="27"/>
      <c r="S116" s="26">
        <f t="shared" si="66"/>
        <v>13414</v>
      </c>
      <c r="T116" s="26" t="e">
        <f t="shared" si="67"/>
        <v>#REF!</v>
      </c>
      <c r="U116" s="27" t="e">
        <f t="shared" si="68"/>
        <v>#REF!</v>
      </c>
      <c r="V116" s="27"/>
      <c r="W116" s="26">
        <f t="shared" si="69"/>
        <v>15699</v>
      </c>
      <c r="X116" s="26" t="e">
        <f t="shared" si="70"/>
        <v>#REF!</v>
      </c>
      <c r="Y116" s="27" t="e">
        <f t="shared" si="71"/>
        <v>#REF!</v>
      </c>
    </row>
    <row r="117" spans="1:25" ht="16.5" customHeight="1" x14ac:dyDescent="0.25">
      <c r="A117" s="16" t="s">
        <v>192</v>
      </c>
      <c r="B117" s="17" t="s">
        <v>193</v>
      </c>
      <c r="C117" s="25">
        <f t="shared" si="54"/>
        <v>427</v>
      </c>
      <c r="D117" s="25" t="e">
        <f t="shared" si="55"/>
        <v>#REF!</v>
      </c>
      <c r="E117" s="27" t="e">
        <f t="shared" si="56"/>
        <v>#REF!</v>
      </c>
      <c r="F117" s="27"/>
      <c r="G117" s="25">
        <f t="shared" si="57"/>
        <v>68</v>
      </c>
      <c r="H117" s="25" t="e">
        <f t="shared" si="58"/>
        <v>#REF!</v>
      </c>
      <c r="I117" s="27" t="e">
        <f t="shared" si="59"/>
        <v>#REF!</v>
      </c>
      <c r="J117" s="27"/>
      <c r="K117" s="25">
        <f t="shared" si="60"/>
        <v>289</v>
      </c>
      <c r="L117" s="25" t="e">
        <f t="shared" si="61"/>
        <v>#REF!</v>
      </c>
      <c r="M117" s="27" t="e">
        <f t="shared" si="62"/>
        <v>#REF!</v>
      </c>
      <c r="N117" s="39"/>
      <c r="O117" s="36" t="str">
        <f t="shared" si="63"/>
        <v>Western</v>
      </c>
      <c r="P117" s="26" t="e">
        <f t="shared" si="64"/>
        <v>#REF!</v>
      </c>
      <c r="Q117" s="27" t="e">
        <f t="shared" si="65"/>
        <v>#VALUE!</v>
      </c>
      <c r="R117" s="27"/>
      <c r="S117" s="26">
        <f t="shared" si="66"/>
        <v>965</v>
      </c>
      <c r="T117" s="26" t="e">
        <f t="shared" si="67"/>
        <v>#REF!</v>
      </c>
      <c r="U117" s="27" t="e">
        <f t="shared" si="68"/>
        <v>#REF!</v>
      </c>
      <c r="V117" s="27"/>
      <c r="W117" s="26">
        <f t="shared" si="69"/>
        <v>1374</v>
      </c>
      <c r="X117" s="26" t="e">
        <f t="shared" si="70"/>
        <v>#REF!</v>
      </c>
      <c r="Y117" s="27" t="e">
        <f t="shared" si="71"/>
        <v>#REF!</v>
      </c>
    </row>
    <row r="118" spans="1:25" ht="16.5" customHeight="1" x14ac:dyDescent="0.25">
      <c r="A118" s="16" t="s">
        <v>196</v>
      </c>
      <c r="B118" s="32" t="s">
        <v>312</v>
      </c>
      <c r="C118" s="25">
        <f t="shared" si="54"/>
        <v>48099</v>
      </c>
      <c r="D118" s="25" t="e">
        <f t="shared" si="55"/>
        <v>#REF!</v>
      </c>
      <c r="E118" s="27" t="e">
        <f t="shared" si="56"/>
        <v>#REF!</v>
      </c>
      <c r="F118" s="27"/>
      <c r="G118" s="25">
        <f t="shared" si="57"/>
        <v>3036</v>
      </c>
      <c r="H118" s="25" t="e">
        <f t="shared" si="58"/>
        <v>#REF!</v>
      </c>
      <c r="I118" s="27" t="e">
        <f t="shared" si="59"/>
        <v>#REF!</v>
      </c>
      <c r="J118" s="27"/>
      <c r="K118" s="25">
        <f t="shared" si="60"/>
        <v>7981</v>
      </c>
      <c r="L118" s="25" t="e">
        <f t="shared" si="61"/>
        <v>#REF!</v>
      </c>
      <c r="M118" s="27" t="e">
        <f t="shared" si="62"/>
        <v>#REF!</v>
      </c>
      <c r="N118" s="39"/>
      <c r="O118" s="36" t="str">
        <f t="shared" si="63"/>
        <v>Central</v>
      </c>
      <c r="P118" s="26" t="e">
        <f t="shared" si="64"/>
        <v>#REF!</v>
      </c>
      <c r="Q118" s="27" t="e">
        <f t="shared" si="65"/>
        <v>#VALUE!</v>
      </c>
      <c r="R118" s="27"/>
      <c r="S118" s="26">
        <f t="shared" si="66"/>
        <v>26220</v>
      </c>
      <c r="T118" s="26" t="e">
        <f t="shared" si="67"/>
        <v>#REF!</v>
      </c>
      <c r="U118" s="27" t="e">
        <f t="shared" si="68"/>
        <v>#REF!</v>
      </c>
      <c r="V118" s="27"/>
      <c r="W118" s="26">
        <f t="shared" si="69"/>
        <v>36040</v>
      </c>
      <c r="X118" s="26" t="e">
        <f t="shared" si="70"/>
        <v>#REF!</v>
      </c>
      <c r="Y118" s="27" t="e">
        <f t="shared" si="71"/>
        <v>#REF!</v>
      </c>
    </row>
    <row r="119" spans="1:25" ht="16.5" customHeight="1" x14ac:dyDescent="0.25">
      <c r="A119" s="16" t="s">
        <v>200</v>
      </c>
      <c r="B119" s="32" t="s">
        <v>313</v>
      </c>
      <c r="C119" s="25">
        <f t="shared" si="54"/>
        <v>13363</v>
      </c>
      <c r="D119" s="25" t="e">
        <f t="shared" si="55"/>
        <v>#REF!</v>
      </c>
      <c r="E119" s="27" t="e">
        <f t="shared" si="56"/>
        <v>#REF!</v>
      </c>
      <c r="F119" s="27"/>
      <c r="G119" s="25">
        <f t="shared" si="57"/>
        <v>2156</v>
      </c>
      <c r="H119" s="25" t="e">
        <f t="shared" si="58"/>
        <v>#REF!</v>
      </c>
      <c r="I119" s="27" t="e">
        <f t="shared" si="59"/>
        <v>#REF!</v>
      </c>
      <c r="J119" s="27"/>
      <c r="K119" s="25">
        <f t="shared" si="60"/>
        <v>2862</v>
      </c>
      <c r="L119" s="25" t="e">
        <f t="shared" si="61"/>
        <v>#REF!</v>
      </c>
      <c r="M119" s="27" t="e">
        <f t="shared" si="62"/>
        <v>#REF!</v>
      </c>
      <c r="N119" s="39"/>
      <c r="O119" s="36" t="str">
        <f t="shared" si="63"/>
        <v>Piedmont</v>
      </c>
      <c r="P119" s="26" t="e">
        <f t="shared" si="64"/>
        <v>#REF!</v>
      </c>
      <c r="Q119" s="27" t="e">
        <f t="shared" si="65"/>
        <v>#VALUE!</v>
      </c>
      <c r="R119" s="27"/>
      <c r="S119" s="26">
        <f t="shared" si="66"/>
        <v>13056</v>
      </c>
      <c r="T119" s="26" t="e">
        <f t="shared" si="67"/>
        <v>#REF!</v>
      </c>
      <c r="U119" s="27" t="e">
        <f t="shared" si="68"/>
        <v>#REF!</v>
      </c>
      <c r="V119" s="27"/>
      <c r="W119" s="26">
        <f t="shared" si="69"/>
        <v>16794</v>
      </c>
      <c r="X119" s="26" t="e">
        <f t="shared" si="70"/>
        <v>#REF!</v>
      </c>
      <c r="Y119" s="27" t="e">
        <f t="shared" si="71"/>
        <v>#REF!</v>
      </c>
    </row>
    <row r="120" spans="1:25" ht="16.5" customHeight="1" x14ac:dyDescent="0.25">
      <c r="A120" s="16" t="s">
        <v>222</v>
      </c>
      <c r="B120" s="17" t="s">
        <v>223</v>
      </c>
      <c r="C120" s="25">
        <f t="shared" si="54"/>
        <v>11751</v>
      </c>
      <c r="D120" s="25" t="e">
        <f t="shared" si="55"/>
        <v>#REF!</v>
      </c>
      <c r="E120" s="27" t="e">
        <f t="shared" si="56"/>
        <v>#REF!</v>
      </c>
      <c r="F120" s="27"/>
      <c r="G120" s="25">
        <f t="shared" si="57"/>
        <v>319</v>
      </c>
      <c r="H120" s="25" t="e">
        <f t="shared" si="58"/>
        <v>#REF!</v>
      </c>
      <c r="I120" s="27" t="e">
        <f t="shared" si="59"/>
        <v>#REF!</v>
      </c>
      <c r="J120" s="27"/>
      <c r="K120" s="25">
        <f t="shared" si="60"/>
        <v>1685</v>
      </c>
      <c r="L120" s="25" t="e">
        <f t="shared" si="61"/>
        <v>#REF!</v>
      </c>
      <c r="M120" s="27" t="e">
        <f t="shared" si="62"/>
        <v>#REF!</v>
      </c>
      <c r="N120" s="39"/>
      <c r="O120" s="36" t="str">
        <f t="shared" si="63"/>
        <v>Eastern</v>
      </c>
      <c r="P120" s="26" t="e">
        <f t="shared" si="64"/>
        <v>#REF!</v>
      </c>
      <c r="Q120" s="27" t="e">
        <f t="shared" si="65"/>
        <v>#VALUE!</v>
      </c>
      <c r="R120" s="27"/>
      <c r="S120" s="26">
        <f t="shared" si="66"/>
        <v>7334</v>
      </c>
      <c r="T120" s="26" t="e">
        <f t="shared" si="67"/>
        <v>#REF!</v>
      </c>
      <c r="U120" s="27" t="e">
        <f t="shared" si="68"/>
        <v>#REF!</v>
      </c>
      <c r="V120" s="27"/>
      <c r="W120" s="26">
        <f t="shared" si="69"/>
        <v>8700</v>
      </c>
      <c r="X120" s="26" t="e">
        <f t="shared" si="70"/>
        <v>#REF!</v>
      </c>
      <c r="Y120" s="27" t="e">
        <f t="shared" si="71"/>
        <v>#REF!</v>
      </c>
    </row>
    <row r="121" spans="1:25" ht="16.5" customHeight="1" x14ac:dyDescent="0.25">
      <c r="A121" s="16" t="s">
        <v>230</v>
      </c>
      <c r="B121" s="17" t="s">
        <v>231</v>
      </c>
      <c r="C121" s="25">
        <f t="shared" si="54"/>
        <v>20796</v>
      </c>
      <c r="D121" s="25" t="e">
        <f t="shared" si="55"/>
        <v>#REF!</v>
      </c>
      <c r="E121" s="27" t="e">
        <f t="shared" si="56"/>
        <v>#REF!</v>
      </c>
      <c r="F121" s="27"/>
      <c r="G121" s="25">
        <f t="shared" si="57"/>
        <v>3362</v>
      </c>
      <c r="H121" s="25" t="e">
        <f t="shared" si="58"/>
        <v>#REF!</v>
      </c>
      <c r="I121" s="27" t="e">
        <f t="shared" si="59"/>
        <v>#REF!</v>
      </c>
      <c r="J121" s="27"/>
      <c r="K121" s="25">
        <f t="shared" si="60"/>
        <v>10153</v>
      </c>
      <c r="L121" s="25" t="e">
        <f t="shared" si="61"/>
        <v>#REF!</v>
      </c>
      <c r="M121" s="27" t="e">
        <f t="shared" si="62"/>
        <v>#REF!</v>
      </c>
      <c r="N121" s="39"/>
      <c r="O121" s="36" t="str">
        <f t="shared" si="63"/>
        <v>Eastern</v>
      </c>
      <c r="P121" s="26" t="e">
        <f t="shared" si="64"/>
        <v>#REF!</v>
      </c>
      <c r="Q121" s="27" t="e">
        <f t="shared" si="65"/>
        <v>#VALUE!</v>
      </c>
      <c r="R121" s="27"/>
      <c r="S121" s="26">
        <f t="shared" si="66"/>
        <v>22050</v>
      </c>
      <c r="T121" s="26" t="e">
        <f t="shared" si="67"/>
        <v>#REF!</v>
      </c>
      <c r="U121" s="27" t="e">
        <f t="shared" si="68"/>
        <v>#REF!</v>
      </c>
      <c r="V121" s="27"/>
      <c r="W121" s="26">
        <f t="shared" si="69"/>
        <v>25568</v>
      </c>
      <c r="X121" s="26" t="e">
        <f t="shared" si="70"/>
        <v>#REF!</v>
      </c>
      <c r="Y121" s="27" t="e">
        <f t="shared" si="71"/>
        <v>#REF!</v>
      </c>
    </row>
    <row r="122" spans="1:25" ht="16.5" customHeight="1" x14ac:dyDescent="0.25">
      <c r="A122" s="16" t="s">
        <v>238</v>
      </c>
      <c r="B122" s="17" t="s">
        <v>239</v>
      </c>
      <c r="C122" s="25">
        <f t="shared" si="54"/>
        <v>951</v>
      </c>
      <c r="D122" s="25" t="e">
        <f t="shared" si="55"/>
        <v>#REF!</v>
      </c>
      <c r="E122" s="27" t="e">
        <f t="shared" si="56"/>
        <v>#REF!</v>
      </c>
      <c r="F122" s="27"/>
      <c r="G122" s="25">
        <f t="shared" si="57"/>
        <v>194</v>
      </c>
      <c r="H122" s="25" t="e">
        <f t="shared" si="58"/>
        <v>#REF!</v>
      </c>
      <c r="I122" s="27" t="e">
        <f t="shared" si="59"/>
        <v>#REF!</v>
      </c>
      <c r="J122" s="27"/>
      <c r="K122" s="25">
        <f t="shared" si="60"/>
        <v>88</v>
      </c>
      <c r="L122" s="25" t="e">
        <f t="shared" si="61"/>
        <v>#REF!</v>
      </c>
      <c r="M122" s="27" t="e">
        <f t="shared" si="62"/>
        <v>#REF!</v>
      </c>
      <c r="N122" s="39"/>
      <c r="O122" s="36" t="str">
        <f t="shared" si="63"/>
        <v>Eastern</v>
      </c>
      <c r="P122" s="26" t="e">
        <f t="shared" si="64"/>
        <v>#REF!</v>
      </c>
      <c r="Q122" s="27" t="e">
        <f t="shared" si="65"/>
        <v>#VALUE!</v>
      </c>
      <c r="R122" s="27"/>
      <c r="S122" s="26">
        <f t="shared" si="66"/>
        <v>820</v>
      </c>
      <c r="T122" s="26" t="e">
        <f t="shared" si="67"/>
        <v>#REF!</v>
      </c>
      <c r="U122" s="27" t="e">
        <f t="shared" si="68"/>
        <v>#REF!</v>
      </c>
      <c r="V122" s="27"/>
      <c r="W122" s="26">
        <f t="shared" si="69"/>
        <v>1078</v>
      </c>
      <c r="X122" s="26" t="e">
        <f t="shared" si="70"/>
        <v>#REF!</v>
      </c>
      <c r="Y122" s="27" t="e">
        <f t="shared" si="71"/>
        <v>#REF!</v>
      </c>
    </row>
    <row r="123" spans="1:25" ht="16.5" customHeight="1" x14ac:dyDescent="0.25">
      <c r="A123" s="16" t="s">
        <v>240</v>
      </c>
      <c r="B123" s="32" t="s">
        <v>241</v>
      </c>
      <c r="C123" s="25">
        <f t="shared" si="54"/>
        <v>1233</v>
      </c>
      <c r="D123" s="25" t="e">
        <f t="shared" si="55"/>
        <v>#REF!</v>
      </c>
      <c r="E123" s="27" t="e">
        <f t="shared" si="56"/>
        <v>#REF!</v>
      </c>
      <c r="F123" s="27"/>
      <c r="G123" s="25">
        <f t="shared" si="57"/>
        <v>223</v>
      </c>
      <c r="H123" s="25" t="e">
        <f t="shared" si="58"/>
        <v>#REF!</v>
      </c>
      <c r="I123" s="27" t="e">
        <f t="shared" si="59"/>
        <v>#REF!</v>
      </c>
      <c r="J123" s="27"/>
      <c r="K123" s="25">
        <f t="shared" si="60"/>
        <v>799</v>
      </c>
      <c r="L123" s="25" t="e">
        <f t="shared" si="61"/>
        <v>#REF!</v>
      </c>
      <c r="M123" s="27" t="e">
        <f t="shared" si="62"/>
        <v>#REF!</v>
      </c>
      <c r="N123" s="39"/>
      <c r="O123" s="36" t="str">
        <f t="shared" si="63"/>
        <v>Northern</v>
      </c>
      <c r="P123" s="26" t="e">
        <f t="shared" si="64"/>
        <v>#REF!</v>
      </c>
      <c r="Q123" s="27" t="e">
        <f t="shared" si="65"/>
        <v>#VALUE!</v>
      </c>
      <c r="R123" s="27"/>
      <c r="S123" s="26">
        <f t="shared" si="66"/>
        <v>2876</v>
      </c>
      <c r="T123" s="26" t="e">
        <f t="shared" si="67"/>
        <v>#REF!</v>
      </c>
      <c r="U123" s="27" t="e">
        <f t="shared" si="68"/>
        <v>#REF!</v>
      </c>
      <c r="V123" s="27"/>
      <c r="W123" s="26">
        <f t="shared" si="69"/>
        <v>3315</v>
      </c>
      <c r="X123" s="26" t="e">
        <f t="shared" si="70"/>
        <v>#REF!</v>
      </c>
      <c r="Y123" s="27" t="e">
        <f t="shared" si="71"/>
        <v>#REF!</v>
      </c>
    </row>
    <row r="124" spans="1:25" x14ac:dyDescent="0.2">
      <c r="C124" s="28">
        <f>SUM(C4:C123)</f>
        <v>473902</v>
      </c>
      <c r="D124" s="28"/>
      <c r="E124" s="28"/>
      <c r="F124" s="28"/>
      <c r="G124" s="28"/>
      <c r="H124" s="28"/>
      <c r="I124" s="28"/>
      <c r="J124" s="28"/>
      <c r="K124" s="28"/>
      <c r="L124" s="28"/>
    </row>
    <row r="125" spans="1:25" x14ac:dyDescent="0.2">
      <c r="C125" s="28">
        <f>+C124/12</f>
        <v>39491.833333333336</v>
      </c>
      <c r="D125" s="28"/>
      <c r="E125" s="28"/>
      <c r="F125" s="28"/>
      <c r="G125" s="28"/>
      <c r="H125" s="28"/>
      <c r="I125" s="28"/>
      <c r="J125" s="28"/>
      <c r="K125" s="28"/>
      <c r="L125" s="28"/>
    </row>
    <row r="126" spans="1:25" ht="12.75" customHeight="1" x14ac:dyDescent="0.2">
      <c r="A126" s="2296" t="s">
        <v>570</v>
      </c>
      <c r="B126" s="2296"/>
      <c r="C126" s="2297"/>
      <c r="D126" s="19"/>
      <c r="E126" s="19"/>
      <c r="F126" s="19"/>
      <c r="G126" s="19"/>
      <c r="H126" s="19"/>
      <c r="I126" s="19"/>
      <c r="J126" s="19"/>
      <c r="K126" s="19"/>
      <c r="L126" s="19"/>
    </row>
    <row r="127" spans="1:25" x14ac:dyDescent="0.2">
      <c r="A127" s="18" t="s">
        <v>571</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x14ac:dyDescent="0.2"/>
  <cols>
    <col min="1" max="1" width="12.25" style="18" customWidth="1"/>
    <col min="2" max="2" width="21.5" style="18" customWidth="1"/>
    <col min="3" max="3" width="10.5" style="18" customWidth="1"/>
    <col min="4" max="4" width="10.625" style="18" customWidth="1"/>
    <col min="5" max="5" width="9.75" style="18" customWidth="1"/>
    <col min="6" max="6" width="2.625" style="18" customWidth="1"/>
    <col min="7" max="7" width="10.25" style="18" customWidth="1"/>
    <col min="8" max="8" width="10.125" style="18" customWidth="1"/>
    <col min="9" max="9" width="10.875" style="18" customWidth="1"/>
    <col min="10" max="10" width="2.625" style="18" customWidth="1"/>
    <col min="11" max="11" width="11.625" style="18" customWidth="1"/>
    <col min="12" max="12" width="11.375" style="18" customWidth="1"/>
    <col min="13" max="13" width="10.25" style="18" customWidth="1"/>
    <col min="14" max="14" width="2.625" style="18" customWidth="1"/>
    <col min="15" max="15" width="10.125" style="18" customWidth="1"/>
    <col min="16" max="17" width="10" style="18" customWidth="1"/>
    <col min="18" max="18" width="2.625" style="18" customWidth="1"/>
    <col min="19" max="19" width="10.625" style="18" customWidth="1"/>
    <col min="20" max="20" width="10.5" style="18" customWidth="1"/>
    <col min="21" max="21" width="10.125" style="18" customWidth="1"/>
    <col min="22" max="22" width="2.625" style="18" customWidth="1"/>
    <col min="23" max="23" width="10.125" style="18" customWidth="1"/>
    <col min="24" max="24" width="11.5" style="18" customWidth="1"/>
    <col min="25" max="25" width="11" style="18" customWidth="1"/>
    <col min="26" max="16384" width="9" style="18"/>
  </cols>
  <sheetData>
    <row r="1" spans="1:25" ht="15.75" x14ac:dyDescent="0.25">
      <c r="C1" s="2298" t="s">
        <v>576</v>
      </c>
      <c r="D1" s="2298"/>
      <c r="E1" s="2298"/>
      <c r="F1" s="2298"/>
      <c r="G1" s="2298"/>
      <c r="H1" s="2298"/>
      <c r="I1" s="2298"/>
      <c r="J1" s="2298"/>
      <c r="K1" s="2298"/>
      <c r="L1" s="2298"/>
      <c r="M1" s="2298"/>
      <c r="O1" s="2298" t="s">
        <v>577</v>
      </c>
      <c r="P1" s="2298"/>
      <c r="Q1" s="2298"/>
      <c r="R1" s="2298"/>
      <c r="S1" s="2298"/>
      <c r="T1" s="2298"/>
      <c r="U1" s="2298"/>
      <c r="V1" s="2298"/>
      <c r="W1" s="2298"/>
      <c r="X1" s="2298"/>
      <c r="Y1" s="2298"/>
    </row>
    <row r="2" spans="1:25" x14ac:dyDescent="0.2">
      <c r="C2" s="2294" t="s">
        <v>2</v>
      </c>
      <c r="D2" s="2294"/>
      <c r="E2" s="2294"/>
      <c r="G2" s="2294" t="s">
        <v>445</v>
      </c>
      <c r="H2" s="2294"/>
      <c r="I2" s="2294"/>
      <c r="K2" s="2294" t="s">
        <v>447</v>
      </c>
      <c r="L2" s="2294"/>
      <c r="M2" s="2294"/>
      <c r="N2" s="46"/>
      <c r="O2" s="2294" t="s">
        <v>2</v>
      </c>
      <c r="P2" s="2294"/>
      <c r="Q2" s="2294"/>
      <c r="S2" s="2294" t="s">
        <v>445</v>
      </c>
      <c r="T2" s="2294"/>
      <c r="U2" s="2294"/>
      <c r="W2" s="2294" t="s">
        <v>447</v>
      </c>
      <c r="X2" s="2294"/>
      <c r="Y2" s="2294"/>
    </row>
    <row r="3" spans="1:25" s="21" customFormat="1" ht="71.25" customHeight="1" x14ac:dyDescent="0.25">
      <c r="A3" s="20" t="s">
        <v>305</v>
      </c>
      <c r="B3" s="20" t="s">
        <v>306</v>
      </c>
      <c r="C3" s="23" t="s">
        <v>578</v>
      </c>
      <c r="D3" s="23" t="s">
        <v>579</v>
      </c>
      <c r="E3" s="34" t="s">
        <v>580</v>
      </c>
      <c r="F3" s="38"/>
      <c r="G3" s="23" t="s">
        <v>578</v>
      </c>
      <c r="H3" s="23" t="s">
        <v>579</v>
      </c>
      <c r="I3" s="34" t="s">
        <v>580</v>
      </c>
      <c r="J3" s="38"/>
      <c r="K3" s="23" t="s">
        <v>578</v>
      </c>
      <c r="L3" s="23" t="s">
        <v>579</v>
      </c>
      <c r="M3" s="34" t="s">
        <v>580</v>
      </c>
      <c r="N3" s="38"/>
      <c r="O3" s="23" t="s">
        <v>578</v>
      </c>
      <c r="P3" s="23" t="s">
        <v>579</v>
      </c>
      <c r="Q3" s="34" t="s">
        <v>580</v>
      </c>
      <c r="R3" s="38"/>
      <c r="S3" s="23" t="s">
        <v>578</v>
      </c>
      <c r="T3" s="23" t="s">
        <v>579</v>
      </c>
      <c r="U3" s="34" t="s">
        <v>580</v>
      </c>
      <c r="V3" s="38"/>
      <c r="W3" s="23" t="s">
        <v>578</v>
      </c>
      <c r="X3" s="23" t="s">
        <v>579</v>
      </c>
      <c r="Y3" s="34" t="s">
        <v>580</v>
      </c>
    </row>
    <row r="4" spans="1:25" ht="16.5" customHeight="1" x14ac:dyDescent="0.25">
      <c r="A4" s="16" t="s">
        <v>10</v>
      </c>
      <c r="B4" s="16" t="s">
        <v>11</v>
      </c>
      <c r="C4" s="25">
        <f t="shared" ref="C4:C35" si="0">VLOOKUP(A4,TANFClient_Demo,7,FALSE)</f>
        <v>451</v>
      </c>
      <c r="D4" s="25" t="e">
        <f t="shared" ref="D4:D35" si="1">VLOOKUP(A4,Pop,14,FALSE)</f>
        <v>#REF!</v>
      </c>
      <c r="E4" s="27" t="e">
        <f t="shared" ref="E4:E35" si="2">+C4/D4</f>
        <v>#REF!</v>
      </c>
      <c r="F4" s="42"/>
      <c r="G4" s="25">
        <f t="shared" ref="G4:G35" si="3">VLOOKUP(A4,TANFClient_Demo,8,FALSE)</f>
        <v>308</v>
      </c>
      <c r="H4" s="25" t="e">
        <f t="shared" ref="H4:H35" si="4">VLOOKUP(A4,Pop,15,FALSE)</f>
        <v>#REF!</v>
      </c>
      <c r="I4" s="27" t="e">
        <f t="shared" ref="I4:I35" si="5">+G4/H4</f>
        <v>#REF!</v>
      </c>
      <c r="J4" s="42"/>
      <c r="K4" s="25">
        <f t="shared" ref="K4:K35" si="6">VLOOKUP(A4,TANFClient_Demo,9,FALSE)</f>
        <v>267</v>
      </c>
      <c r="L4" s="25" t="e">
        <f t="shared" ref="L4:L35" si="7">VLOOKUP(A4,Pop,16,FALSE)</f>
        <v>#REF!</v>
      </c>
      <c r="M4" s="27" t="e">
        <f t="shared" ref="M4:M35" si="8">+K4/L4</f>
        <v>#REF!</v>
      </c>
      <c r="N4" s="27"/>
      <c r="O4" s="26" t="str">
        <f t="shared" ref="O4:O35" si="9">VLOOKUP(A4,TANFClient_Demo,3,FALSE)</f>
        <v>Eastern</v>
      </c>
      <c r="P4" s="26" t="e">
        <f t="shared" ref="P4:P35" si="10">VLOOKUP(A4,Pop,8,FALSE)</f>
        <v>#REF!</v>
      </c>
      <c r="Q4" s="27" t="e">
        <f t="shared" ref="Q4:Q35" si="11">+O4/P4</f>
        <v>#VALUE!</v>
      </c>
      <c r="R4" s="27"/>
      <c r="S4" s="26">
        <f t="shared" ref="S4:S35" si="12">VLOOKUP(A4,TANFClient_Demo,4,FALSE)</f>
        <v>496</v>
      </c>
      <c r="T4" s="26" t="e">
        <f t="shared" ref="T4:T35" si="13">VLOOKUP(A4,Pop,9,FALSE)</f>
        <v>#REF!</v>
      </c>
      <c r="U4" s="27" t="e">
        <f t="shared" ref="U4:U35" si="14">+S4/T4</f>
        <v>#REF!</v>
      </c>
      <c r="V4" s="27"/>
      <c r="W4" s="26">
        <f t="shared" ref="W4:W35" si="15">VLOOKUP(A4,TANFClient_Demo,5,FALSE)</f>
        <v>262</v>
      </c>
      <c r="X4" s="26" t="e">
        <f t="shared" ref="X4:X35" si="16">VLOOKUP(A4,Pop,10,FALSE)</f>
        <v>#REF!</v>
      </c>
      <c r="Y4" s="27" t="e">
        <f t="shared" ref="Y4:Y35" si="17">+W4/X4</f>
        <v>#REF!</v>
      </c>
    </row>
    <row r="5" spans="1:25" ht="16.5" customHeight="1" x14ac:dyDescent="0.25">
      <c r="A5" s="16" t="s">
        <v>12</v>
      </c>
      <c r="B5" s="16" t="s">
        <v>13</v>
      </c>
      <c r="C5" s="25">
        <f t="shared" si="0"/>
        <v>427</v>
      </c>
      <c r="D5" s="25" t="e">
        <f t="shared" si="1"/>
        <v>#REF!</v>
      </c>
      <c r="E5" s="27" t="e">
        <f t="shared" si="2"/>
        <v>#REF!</v>
      </c>
      <c r="F5" s="25"/>
      <c r="G5" s="25">
        <f t="shared" si="3"/>
        <v>274</v>
      </c>
      <c r="H5" s="25" t="e">
        <f t="shared" si="4"/>
        <v>#REF!</v>
      </c>
      <c r="I5" s="27" t="e">
        <f t="shared" si="5"/>
        <v>#REF!</v>
      </c>
      <c r="J5" s="25"/>
      <c r="K5" s="25">
        <f t="shared" si="6"/>
        <v>194</v>
      </c>
      <c r="L5" s="25" t="e">
        <f t="shared" si="7"/>
        <v>#REF!</v>
      </c>
      <c r="M5" s="27" t="e">
        <f t="shared" si="8"/>
        <v>#REF!</v>
      </c>
      <c r="N5" s="27"/>
      <c r="O5" s="26" t="str">
        <f t="shared" si="9"/>
        <v>Piedmont</v>
      </c>
      <c r="P5" s="26" t="e">
        <f t="shared" si="10"/>
        <v>#REF!</v>
      </c>
      <c r="Q5" s="27" t="e">
        <f t="shared" si="11"/>
        <v>#VALUE!</v>
      </c>
      <c r="R5" s="27"/>
      <c r="S5" s="26">
        <f t="shared" si="12"/>
        <v>434</v>
      </c>
      <c r="T5" s="26" t="e">
        <f t="shared" si="13"/>
        <v>#REF!</v>
      </c>
      <c r="U5" s="27" t="e">
        <f t="shared" si="14"/>
        <v>#REF!</v>
      </c>
      <c r="V5" s="27"/>
      <c r="W5" s="26">
        <f t="shared" si="15"/>
        <v>266</v>
      </c>
      <c r="X5" s="26" t="e">
        <f t="shared" si="16"/>
        <v>#REF!</v>
      </c>
      <c r="Y5" s="27" t="e">
        <f t="shared" si="17"/>
        <v>#REF!</v>
      </c>
    </row>
    <row r="6" spans="1:25" ht="16.5" customHeight="1" x14ac:dyDescent="0.25">
      <c r="A6" s="16" t="s">
        <v>16</v>
      </c>
      <c r="B6" s="16" t="s">
        <v>297</v>
      </c>
      <c r="C6" s="25">
        <f t="shared" si="0"/>
        <v>242</v>
      </c>
      <c r="D6" s="25" t="e">
        <f t="shared" si="1"/>
        <v>#REF!</v>
      </c>
      <c r="E6" s="27" t="e">
        <f t="shared" si="2"/>
        <v>#REF!</v>
      </c>
      <c r="F6" s="25"/>
      <c r="G6" s="25">
        <f t="shared" si="3"/>
        <v>183</v>
      </c>
      <c r="H6" s="25" t="e">
        <f t="shared" si="4"/>
        <v>#REF!</v>
      </c>
      <c r="I6" s="27" t="e">
        <f t="shared" si="5"/>
        <v>#REF!</v>
      </c>
      <c r="J6" s="25"/>
      <c r="K6" s="25">
        <f t="shared" si="6"/>
        <v>297</v>
      </c>
      <c r="L6" s="25" t="e">
        <f t="shared" si="7"/>
        <v>#REF!</v>
      </c>
      <c r="M6" s="27" t="e">
        <f t="shared" si="8"/>
        <v>#REF!</v>
      </c>
      <c r="N6" s="27"/>
      <c r="O6" s="26" t="str">
        <f t="shared" si="9"/>
        <v>Piedmont</v>
      </c>
      <c r="P6" s="26" t="e">
        <f t="shared" si="10"/>
        <v>#REF!</v>
      </c>
      <c r="Q6" s="27" t="e">
        <f t="shared" si="11"/>
        <v>#VALUE!</v>
      </c>
      <c r="R6" s="27"/>
      <c r="S6" s="26">
        <f t="shared" si="12"/>
        <v>263</v>
      </c>
      <c r="T6" s="26" t="e">
        <f t="shared" si="13"/>
        <v>#REF!</v>
      </c>
      <c r="U6" s="27" t="e">
        <f t="shared" si="14"/>
        <v>#REF!</v>
      </c>
      <c r="V6" s="27"/>
      <c r="W6" s="26">
        <f t="shared" si="15"/>
        <v>162</v>
      </c>
      <c r="X6" s="26" t="e">
        <f t="shared" si="16"/>
        <v>#REF!</v>
      </c>
      <c r="Y6" s="27" t="e">
        <f t="shared" si="17"/>
        <v>#REF!</v>
      </c>
    </row>
    <row r="7" spans="1:25" ht="16.5" customHeight="1" x14ac:dyDescent="0.25">
      <c r="A7" s="49" t="s">
        <v>18</v>
      </c>
      <c r="B7" s="48" t="s">
        <v>19</v>
      </c>
      <c r="C7" s="25">
        <f t="shared" si="0"/>
        <v>67</v>
      </c>
      <c r="D7" s="25" t="e">
        <f t="shared" si="1"/>
        <v>#REF!</v>
      </c>
      <c r="E7" s="27" t="e">
        <f t="shared" si="2"/>
        <v>#REF!</v>
      </c>
      <c r="F7" s="25"/>
      <c r="G7" s="25">
        <f t="shared" si="3"/>
        <v>51</v>
      </c>
      <c r="H7" s="25" t="e">
        <f t="shared" si="4"/>
        <v>#REF!</v>
      </c>
      <c r="I7" s="27" t="e">
        <f t="shared" si="5"/>
        <v>#REF!</v>
      </c>
      <c r="J7" s="25"/>
      <c r="K7" s="25">
        <f t="shared" si="6"/>
        <v>62</v>
      </c>
      <c r="L7" s="25" t="e">
        <f t="shared" si="7"/>
        <v>#REF!</v>
      </c>
      <c r="M7" s="27" t="e">
        <f t="shared" si="8"/>
        <v>#REF!</v>
      </c>
      <c r="N7" s="27"/>
      <c r="O7" s="26" t="str">
        <f t="shared" si="9"/>
        <v>Central</v>
      </c>
      <c r="P7" s="26" t="e">
        <f t="shared" si="10"/>
        <v>#REF!</v>
      </c>
      <c r="Q7" s="27" t="e">
        <f t="shared" si="11"/>
        <v>#VALUE!</v>
      </c>
      <c r="R7" s="27"/>
      <c r="S7" s="26">
        <f t="shared" si="12"/>
        <v>78</v>
      </c>
      <c r="T7" s="26" t="e">
        <f t="shared" si="13"/>
        <v>#REF!</v>
      </c>
      <c r="U7" s="27" t="e">
        <f t="shared" si="14"/>
        <v>#REF!</v>
      </c>
      <c r="V7" s="27"/>
      <c r="W7" s="26">
        <f t="shared" si="15"/>
        <v>40</v>
      </c>
      <c r="X7" s="26" t="e">
        <f t="shared" si="16"/>
        <v>#REF!</v>
      </c>
      <c r="Y7" s="27" t="e">
        <f t="shared" si="17"/>
        <v>#REF!</v>
      </c>
    </row>
    <row r="8" spans="1:25" ht="16.5" customHeight="1" x14ac:dyDescent="0.25">
      <c r="A8" s="16" t="s">
        <v>20</v>
      </c>
      <c r="B8" s="16" t="s">
        <v>21</v>
      </c>
      <c r="C8" s="25">
        <f t="shared" si="0"/>
        <v>232</v>
      </c>
      <c r="D8" s="25" t="e">
        <f t="shared" si="1"/>
        <v>#REF!</v>
      </c>
      <c r="E8" s="27" t="e">
        <f t="shared" si="2"/>
        <v>#REF!</v>
      </c>
      <c r="F8" s="25"/>
      <c r="G8" s="25">
        <f t="shared" si="3"/>
        <v>172</v>
      </c>
      <c r="H8" s="25" t="e">
        <f t="shared" si="4"/>
        <v>#REF!</v>
      </c>
      <c r="I8" s="27" t="e">
        <f t="shared" si="5"/>
        <v>#REF!</v>
      </c>
      <c r="J8" s="25"/>
      <c r="K8" s="25">
        <f t="shared" si="6"/>
        <v>228</v>
      </c>
      <c r="L8" s="25" t="e">
        <f t="shared" si="7"/>
        <v>#REF!</v>
      </c>
      <c r="M8" s="27" t="e">
        <f t="shared" si="8"/>
        <v>#REF!</v>
      </c>
      <c r="N8" s="27"/>
      <c r="O8" s="26" t="str">
        <f t="shared" si="9"/>
        <v>Piedmont</v>
      </c>
      <c r="P8" s="26" t="e">
        <f t="shared" si="10"/>
        <v>#REF!</v>
      </c>
      <c r="Q8" s="27" t="e">
        <f t="shared" si="11"/>
        <v>#VALUE!</v>
      </c>
      <c r="R8" s="27"/>
      <c r="S8" s="26">
        <f t="shared" si="12"/>
        <v>271</v>
      </c>
      <c r="T8" s="26" t="e">
        <f t="shared" si="13"/>
        <v>#REF!</v>
      </c>
      <c r="U8" s="27" t="e">
        <f t="shared" si="14"/>
        <v>#REF!</v>
      </c>
      <c r="V8" s="27"/>
      <c r="W8" s="26">
        <f t="shared" si="15"/>
        <v>133</v>
      </c>
      <c r="X8" s="26" t="e">
        <f t="shared" si="16"/>
        <v>#REF!</v>
      </c>
      <c r="Y8" s="27" t="e">
        <f t="shared" si="17"/>
        <v>#REF!</v>
      </c>
    </row>
    <row r="9" spans="1:25" ht="16.5" customHeight="1" x14ac:dyDescent="0.25">
      <c r="A9" s="16" t="s">
        <v>22</v>
      </c>
      <c r="B9" s="16" t="s">
        <v>23</v>
      </c>
      <c r="C9" s="25">
        <f t="shared" si="0"/>
        <v>196</v>
      </c>
      <c r="D9" s="25" t="e">
        <f t="shared" si="1"/>
        <v>#REF!</v>
      </c>
      <c r="E9" s="27" t="e">
        <f t="shared" si="2"/>
        <v>#REF!</v>
      </c>
      <c r="F9" s="25"/>
      <c r="G9" s="25">
        <f t="shared" si="3"/>
        <v>133</v>
      </c>
      <c r="H9" s="25" t="e">
        <f t="shared" si="4"/>
        <v>#REF!</v>
      </c>
      <c r="I9" s="27" t="e">
        <f t="shared" si="5"/>
        <v>#REF!</v>
      </c>
      <c r="J9" s="25"/>
      <c r="K9" s="25">
        <f t="shared" si="6"/>
        <v>129</v>
      </c>
      <c r="L9" s="25" t="e">
        <f t="shared" si="7"/>
        <v>#REF!</v>
      </c>
      <c r="M9" s="27" t="e">
        <f t="shared" si="8"/>
        <v>#REF!</v>
      </c>
      <c r="N9" s="27"/>
      <c r="O9" s="26" t="str">
        <f t="shared" si="9"/>
        <v>Piedmont</v>
      </c>
      <c r="P9" s="26" t="e">
        <f t="shared" si="10"/>
        <v>#REF!</v>
      </c>
      <c r="Q9" s="27" t="e">
        <f t="shared" si="11"/>
        <v>#VALUE!</v>
      </c>
      <c r="R9" s="27"/>
      <c r="S9" s="26">
        <f t="shared" si="12"/>
        <v>208</v>
      </c>
      <c r="T9" s="26" t="e">
        <f t="shared" si="13"/>
        <v>#REF!</v>
      </c>
      <c r="U9" s="27" t="e">
        <f t="shared" si="14"/>
        <v>#REF!</v>
      </c>
      <c r="V9" s="27"/>
      <c r="W9" s="26">
        <f t="shared" si="15"/>
        <v>121</v>
      </c>
      <c r="X9" s="26" t="e">
        <f t="shared" si="16"/>
        <v>#REF!</v>
      </c>
      <c r="Y9" s="27" t="e">
        <f t="shared" si="17"/>
        <v>#REF!</v>
      </c>
    </row>
    <row r="10" spans="1:25" ht="16.5" customHeight="1" x14ac:dyDescent="0.25">
      <c r="A10" s="16" t="s">
        <v>24</v>
      </c>
      <c r="B10" s="16" t="s">
        <v>25</v>
      </c>
      <c r="C10" s="25">
        <f t="shared" si="0"/>
        <v>595</v>
      </c>
      <c r="D10" s="25" t="e">
        <f t="shared" si="1"/>
        <v>#REF!</v>
      </c>
      <c r="E10" s="27" t="e">
        <f t="shared" si="2"/>
        <v>#REF!</v>
      </c>
      <c r="F10" s="25"/>
      <c r="G10" s="25">
        <f t="shared" si="3"/>
        <v>383</v>
      </c>
      <c r="H10" s="25" t="e">
        <f t="shared" si="4"/>
        <v>#REF!</v>
      </c>
      <c r="I10" s="27" t="e">
        <f t="shared" si="5"/>
        <v>#REF!</v>
      </c>
      <c r="J10" s="25"/>
      <c r="K10" s="25">
        <f t="shared" si="6"/>
        <v>275</v>
      </c>
      <c r="L10" s="25" t="e">
        <f t="shared" si="7"/>
        <v>#REF!</v>
      </c>
      <c r="M10" s="27" t="e">
        <f t="shared" si="8"/>
        <v>#REF!</v>
      </c>
      <c r="N10" s="27"/>
      <c r="O10" s="26" t="str">
        <f t="shared" si="9"/>
        <v>Northern</v>
      </c>
      <c r="P10" s="26" t="e">
        <f t="shared" si="10"/>
        <v>#REF!</v>
      </c>
      <c r="Q10" s="27" t="e">
        <f t="shared" si="11"/>
        <v>#VALUE!</v>
      </c>
      <c r="R10" s="27"/>
      <c r="S10" s="26">
        <f t="shared" si="12"/>
        <v>585</v>
      </c>
      <c r="T10" s="26" t="e">
        <f t="shared" si="13"/>
        <v>#REF!</v>
      </c>
      <c r="U10" s="27" t="e">
        <f t="shared" si="14"/>
        <v>#REF!</v>
      </c>
      <c r="V10" s="27"/>
      <c r="W10" s="26">
        <f t="shared" si="15"/>
        <v>390</v>
      </c>
      <c r="X10" s="26" t="e">
        <f t="shared" si="16"/>
        <v>#REF!</v>
      </c>
      <c r="Y10" s="27" t="e">
        <f t="shared" si="17"/>
        <v>#REF!</v>
      </c>
    </row>
    <row r="11" spans="1:25" ht="16.5" customHeight="1" x14ac:dyDescent="0.25">
      <c r="A11" s="16" t="s">
        <v>26</v>
      </c>
      <c r="B11" s="16" t="s">
        <v>298</v>
      </c>
      <c r="C11" s="25">
        <f t="shared" si="0"/>
        <v>1091</v>
      </c>
      <c r="D11" s="25" t="e">
        <f t="shared" si="1"/>
        <v>#REF!</v>
      </c>
      <c r="E11" s="27" t="e">
        <f t="shared" si="2"/>
        <v>#REF!</v>
      </c>
      <c r="F11" s="25"/>
      <c r="G11" s="25">
        <f t="shared" si="3"/>
        <v>736</v>
      </c>
      <c r="H11" s="25" t="e">
        <f t="shared" si="4"/>
        <v>#REF!</v>
      </c>
      <c r="I11" s="27" t="e">
        <f t="shared" si="5"/>
        <v>#REF!</v>
      </c>
      <c r="J11" s="25"/>
      <c r="K11" s="25">
        <f t="shared" si="6"/>
        <v>1185</v>
      </c>
      <c r="L11" s="25" t="e">
        <f t="shared" si="7"/>
        <v>#REF!</v>
      </c>
      <c r="M11" s="27" t="e">
        <f t="shared" si="8"/>
        <v>#REF!</v>
      </c>
      <c r="N11" s="27"/>
      <c r="O11" s="26" t="str">
        <f t="shared" si="9"/>
        <v>Piedmont</v>
      </c>
      <c r="P11" s="26" t="e">
        <f t="shared" si="10"/>
        <v>#REF!</v>
      </c>
      <c r="Q11" s="27" t="e">
        <f t="shared" si="11"/>
        <v>#VALUE!</v>
      </c>
      <c r="R11" s="27"/>
      <c r="S11" s="26">
        <f t="shared" si="12"/>
        <v>1192</v>
      </c>
      <c r="T11" s="26" t="e">
        <f t="shared" si="13"/>
        <v>#REF!</v>
      </c>
      <c r="U11" s="27" t="e">
        <f t="shared" si="14"/>
        <v>#REF!</v>
      </c>
      <c r="V11" s="27"/>
      <c r="W11" s="26">
        <f t="shared" si="15"/>
        <v>635</v>
      </c>
      <c r="X11" s="26" t="e">
        <f t="shared" si="16"/>
        <v>#REF!</v>
      </c>
      <c r="Y11" s="27" t="e">
        <f t="shared" si="17"/>
        <v>#REF!</v>
      </c>
    </row>
    <row r="12" spans="1:25" ht="16.5" customHeight="1" x14ac:dyDescent="0.25">
      <c r="A12" s="16" t="s">
        <v>27</v>
      </c>
      <c r="B12" s="16" t="s">
        <v>28</v>
      </c>
      <c r="C12" s="25">
        <f t="shared" si="0"/>
        <v>4</v>
      </c>
      <c r="D12" s="25" t="e">
        <f t="shared" si="1"/>
        <v>#REF!</v>
      </c>
      <c r="E12" s="27" t="e">
        <f t="shared" si="2"/>
        <v>#REF!</v>
      </c>
      <c r="F12" s="25"/>
      <c r="G12" s="25">
        <f t="shared" si="3"/>
        <v>6</v>
      </c>
      <c r="H12" s="25" t="e">
        <f t="shared" si="4"/>
        <v>#REF!</v>
      </c>
      <c r="I12" s="27" t="e">
        <f t="shared" si="5"/>
        <v>#REF!</v>
      </c>
      <c r="J12" s="25"/>
      <c r="K12" s="25">
        <f t="shared" si="6"/>
        <v>8</v>
      </c>
      <c r="L12" s="25" t="e">
        <f t="shared" si="7"/>
        <v>#REF!</v>
      </c>
      <c r="M12" s="27" t="e">
        <f t="shared" si="8"/>
        <v>#REF!</v>
      </c>
      <c r="N12" s="27"/>
      <c r="O12" s="26" t="str">
        <f t="shared" si="9"/>
        <v>Piedmont</v>
      </c>
      <c r="P12" s="26" t="e">
        <f t="shared" si="10"/>
        <v>#REF!</v>
      </c>
      <c r="Q12" s="27" t="e">
        <f t="shared" si="11"/>
        <v>#VALUE!</v>
      </c>
      <c r="R12" s="27"/>
      <c r="S12" s="26">
        <f t="shared" si="12"/>
        <v>9</v>
      </c>
      <c r="T12" s="26" t="e">
        <f t="shared" si="13"/>
        <v>#REF!</v>
      </c>
      <c r="U12" s="27" t="e">
        <f t="shared" si="14"/>
        <v>#REF!</v>
      </c>
      <c r="V12" s="27"/>
      <c r="W12" s="26">
        <f t="shared" si="15"/>
        <v>1</v>
      </c>
      <c r="X12" s="26" t="e">
        <f t="shared" si="16"/>
        <v>#REF!</v>
      </c>
      <c r="Y12" s="27" t="e">
        <f t="shared" si="17"/>
        <v>#REF!</v>
      </c>
    </row>
    <row r="13" spans="1:25" ht="16.5" customHeight="1" x14ac:dyDescent="0.25">
      <c r="A13" s="16" t="s">
        <v>29</v>
      </c>
      <c r="B13" s="16" t="s">
        <v>307</v>
      </c>
      <c r="C13" s="25">
        <f t="shared" si="0"/>
        <v>450</v>
      </c>
      <c r="D13" s="25" t="e">
        <f t="shared" si="1"/>
        <v>#REF!</v>
      </c>
      <c r="E13" s="27" t="e">
        <f t="shared" si="2"/>
        <v>#REF!</v>
      </c>
      <c r="F13" s="25"/>
      <c r="G13" s="25">
        <f t="shared" si="3"/>
        <v>319</v>
      </c>
      <c r="H13" s="25" t="e">
        <f t="shared" si="4"/>
        <v>#REF!</v>
      </c>
      <c r="I13" s="27" t="e">
        <f t="shared" si="5"/>
        <v>#REF!</v>
      </c>
      <c r="J13" s="25"/>
      <c r="K13" s="25">
        <f t="shared" si="6"/>
        <v>532</v>
      </c>
      <c r="L13" s="25" t="e">
        <f t="shared" si="7"/>
        <v>#REF!</v>
      </c>
      <c r="M13" s="27" t="e">
        <f t="shared" si="8"/>
        <v>#REF!</v>
      </c>
      <c r="N13" s="27"/>
      <c r="O13" s="26" t="str">
        <f t="shared" si="9"/>
        <v>Piedmont</v>
      </c>
      <c r="P13" s="26" t="e">
        <f t="shared" si="10"/>
        <v>#REF!</v>
      </c>
      <c r="Q13" s="27" t="e">
        <f t="shared" si="11"/>
        <v>#VALUE!</v>
      </c>
      <c r="R13" s="27"/>
      <c r="S13" s="26">
        <f t="shared" si="12"/>
        <v>493</v>
      </c>
      <c r="T13" s="26" t="e">
        <f t="shared" si="13"/>
        <v>#REF!</v>
      </c>
      <c r="U13" s="27" t="e">
        <f t="shared" si="14"/>
        <v>#REF!</v>
      </c>
      <c r="V13" s="27"/>
      <c r="W13" s="26">
        <f t="shared" si="15"/>
        <v>274</v>
      </c>
      <c r="X13" s="26" t="e">
        <f t="shared" si="16"/>
        <v>#REF!</v>
      </c>
      <c r="Y13" s="27" t="e">
        <f t="shared" si="17"/>
        <v>#REF!</v>
      </c>
    </row>
    <row r="14" spans="1:25" ht="16.5" customHeight="1" x14ac:dyDescent="0.25">
      <c r="A14" s="16" t="s">
        <v>30</v>
      </c>
      <c r="B14" s="16" t="s">
        <v>31</v>
      </c>
      <c r="C14" s="25">
        <f t="shared" si="0"/>
        <v>54</v>
      </c>
      <c r="D14" s="25" t="e">
        <f t="shared" si="1"/>
        <v>#REF!</v>
      </c>
      <c r="E14" s="27" t="e">
        <f t="shared" si="2"/>
        <v>#REF!</v>
      </c>
      <c r="F14" s="25"/>
      <c r="G14" s="25">
        <f t="shared" si="3"/>
        <v>28</v>
      </c>
      <c r="H14" s="25" t="e">
        <f t="shared" si="4"/>
        <v>#REF!</v>
      </c>
      <c r="I14" s="27" t="e">
        <f t="shared" si="5"/>
        <v>#REF!</v>
      </c>
      <c r="J14" s="25"/>
      <c r="K14" s="25">
        <f t="shared" si="6"/>
        <v>67</v>
      </c>
      <c r="L14" s="25" t="e">
        <f t="shared" si="7"/>
        <v>#REF!</v>
      </c>
      <c r="M14" s="27" t="e">
        <f t="shared" si="8"/>
        <v>#REF!</v>
      </c>
      <c r="N14" s="27"/>
      <c r="O14" s="26" t="str">
        <f t="shared" si="9"/>
        <v>Western</v>
      </c>
      <c r="P14" s="26" t="e">
        <f t="shared" si="10"/>
        <v>#REF!</v>
      </c>
      <c r="Q14" s="27" t="e">
        <f t="shared" si="11"/>
        <v>#VALUE!</v>
      </c>
      <c r="R14" s="27"/>
      <c r="S14" s="26">
        <f t="shared" si="12"/>
        <v>54</v>
      </c>
      <c r="T14" s="26" t="e">
        <f t="shared" si="13"/>
        <v>#REF!</v>
      </c>
      <c r="U14" s="27" t="e">
        <f t="shared" si="14"/>
        <v>#REF!</v>
      </c>
      <c r="V14" s="27"/>
      <c r="W14" s="26">
        <f t="shared" si="15"/>
        <v>28</v>
      </c>
      <c r="X14" s="26" t="e">
        <f t="shared" si="16"/>
        <v>#REF!</v>
      </c>
      <c r="Y14" s="27" t="e">
        <f t="shared" si="17"/>
        <v>#REF!</v>
      </c>
    </row>
    <row r="15" spans="1:25" ht="16.5" customHeight="1" x14ac:dyDescent="0.25">
      <c r="A15" s="16" t="s">
        <v>32</v>
      </c>
      <c r="B15" s="16" t="s">
        <v>33</v>
      </c>
      <c r="C15" s="25">
        <f t="shared" si="0"/>
        <v>105</v>
      </c>
      <c r="D15" s="25" t="e">
        <f t="shared" si="1"/>
        <v>#REF!</v>
      </c>
      <c r="E15" s="27" t="e">
        <f t="shared" si="2"/>
        <v>#REF!</v>
      </c>
      <c r="F15" s="25"/>
      <c r="G15" s="25">
        <f t="shared" si="3"/>
        <v>79</v>
      </c>
      <c r="H15" s="25" t="e">
        <f t="shared" si="4"/>
        <v>#REF!</v>
      </c>
      <c r="I15" s="27" t="e">
        <f t="shared" si="5"/>
        <v>#REF!</v>
      </c>
      <c r="J15" s="25"/>
      <c r="K15" s="25">
        <f t="shared" si="6"/>
        <v>148</v>
      </c>
      <c r="L15" s="25" t="e">
        <f t="shared" si="7"/>
        <v>#REF!</v>
      </c>
      <c r="M15" s="27" t="e">
        <f t="shared" si="8"/>
        <v>#REF!</v>
      </c>
      <c r="N15" s="27"/>
      <c r="O15" s="26" t="str">
        <f t="shared" si="9"/>
        <v>Piedmont</v>
      </c>
      <c r="P15" s="26" t="e">
        <f t="shared" si="10"/>
        <v>#REF!</v>
      </c>
      <c r="Q15" s="27" t="e">
        <f t="shared" si="11"/>
        <v>#VALUE!</v>
      </c>
      <c r="R15" s="27"/>
      <c r="S15" s="26">
        <f t="shared" si="12"/>
        <v>117</v>
      </c>
      <c r="T15" s="26" t="e">
        <f t="shared" si="13"/>
        <v>#REF!</v>
      </c>
      <c r="U15" s="27" t="e">
        <f t="shared" si="14"/>
        <v>#REF!</v>
      </c>
      <c r="V15" s="27"/>
      <c r="W15" s="26">
        <f t="shared" si="15"/>
        <v>66</v>
      </c>
      <c r="X15" s="26" t="e">
        <f t="shared" si="16"/>
        <v>#REF!</v>
      </c>
      <c r="Y15" s="27" t="e">
        <f t="shared" si="17"/>
        <v>#REF!</v>
      </c>
    </row>
    <row r="16" spans="1:25" ht="16.5" customHeight="1" x14ac:dyDescent="0.25">
      <c r="A16" s="16" t="s">
        <v>36</v>
      </c>
      <c r="B16" s="16" t="s">
        <v>37</v>
      </c>
      <c r="C16" s="25">
        <f t="shared" si="0"/>
        <v>244</v>
      </c>
      <c r="D16" s="25" t="e">
        <f t="shared" si="1"/>
        <v>#REF!</v>
      </c>
      <c r="E16" s="27" t="e">
        <f t="shared" si="2"/>
        <v>#REF!</v>
      </c>
      <c r="F16" s="25"/>
      <c r="G16" s="25">
        <f t="shared" si="3"/>
        <v>127</v>
      </c>
      <c r="H16" s="25" t="e">
        <f t="shared" si="4"/>
        <v>#REF!</v>
      </c>
      <c r="I16" s="27" t="e">
        <f t="shared" si="5"/>
        <v>#REF!</v>
      </c>
      <c r="J16" s="25"/>
      <c r="K16" s="25">
        <f t="shared" si="6"/>
        <v>61</v>
      </c>
      <c r="L16" s="25" t="e">
        <f t="shared" si="7"/>
        <v>#REF!</v>
      </c>
      <c r="M16" s="27" t="e">
        <f t="shared" si="8"/>
        <v>#REF!</v>
      </c>
      <c r="N16" s="27"/>
      <c r="O16" s="26" t="str">
        <f t="shared" si="9"/>
        <v>Eastern</v>
      </c>
      <c r="P16" s="26" t="e">
        <f t="shared" si="10"/>
        <v>#REF!</v>
      </c>
      <c r="Q16" s="27" t="e">
        <f t="shared" si="11"/>
        <v>#VALUE!</v>
      </c>
      <c r="R16" s="27"/>
      <c r="S16" s="26">
        <f t="shared" si="12"/>
        <v>246</v>
      </c>
      <c r="T16" s="26" t="e">
        <f t="shared" si="13"/>
        <v>#REF!</v>
      </c>
      <c r="U16" s="27" t="e">
        <f t="shared" si="14"/>
        <v>#REF!</v>
      </c>
      <c r="V16" s="27"/>
      <c r="W16" s="26">
        <f t="shared" si="15"/>
        <v>123</v>
      </c>
      <c r="X16" s="26" t="e">
        <f t="shared" si="16"/>
        <v>#REF!</v>
      </c>
      <c r="Y16" s="27" t="e">
        <f t="shared" si="17"/>
        <v>#REF!</v>
      </c>
    </row>
    <row r="17" spans="1:25" ht="16.5" customHeight="1" x14ac:dyDescent="0.25">
      <c r="A17" s="16" t="s">
        <v>38</v>
      </c>
      <c r="B17" s="16" t="s">
        <v>39</v>
      </c>
      <c r="C17" s="25">
        <f t="shared" si="0"/>
        <v>306</v>
      </c>
      <c r="D17" s="25" t="e">
        <f t="shared" si="1"/>
        <v>#REF!</v>
      </c>
      <c r="E17" s="27" t="e">
        <f t="shared" si="2"/>
        <v>#REF!</v>
      </c>
      <c r="F17" s="25"/>
      <c r="G17" s="25">
        <f t="shared" si="3"/>
        <v>239</v>
      </c>
      <c r="H17" s="25" t="e">
        <f t="shared" si="4"/>
        <v>#REF!</v>
      </c>
      <c r="I17" s="27" t="e">
        <f t="shared" si="5"/>
        <v>#REF!</v>
      </c>
      <c r="J17" s="25"/>
      <c r="K17" s="25">
        <f t="shared" si="6"/>
        <v>512</v>
      </c>
      <c r="L17" s="25" t="e">
        <f t="shared" si="7"/>
        <v>#REF!</v>
      </c>
      <c r="M17" s="27" t="e">
        <f t="shared" si="8"/>
        <v>#REF!</v>
      </c>
      <c r="N17" s="27"/>
      <c r="O17" s="26" t="str">
        <f t="shared" si="9"/>
        <v>Western</v>
      </c>
      <c r="P17" s="26" t="e">
        <f t="shared" si="10"/>
        <v>#REF!</v>
      </c>
      <c r="Q17" s="27" t="e">
        <f t="shared" si="11"/>
        <v>#VALUE!</v>
      </c>
      <c r="R17" s="27"/>
      <c r="S17" s="26">
        <f t="shared" si="12"/>
        <v>304</v>
      </c>
      <c r="T17" s="26" t="e">
        <f t="shared" si="13"/>
        <v>#REF!</v>
      </c>
      <c r="U17" s="27" t="e">
        <f t="shared" si="14"/>
        <v>#REF!</v>
      </c>
      <c r="V17" s="27"/>
      <c r="W17" s="26">
        <f t="shared" si="15"/>
        <v>239</v>
      </c>
      <c r="X17" s="26" t="e">
        <f t="shared" si="16"/>
        <v>#REF!</v>
      </c>
      <c r="Y17" s="27" t="e">
        <f t="shared" si="17"/>
        <v>#REF!</v>
      </c>
    </row>
    <row r="18" spans="1:25" ht="16.5" customHeight="1" x14ac:dyDescent="0.25">
      <c r="A18" s="16" t="s">
        <v>40</v>
      </c>
      <c r="B18" s="16" t="s">
        <v>41</v>
      </c>
      <c r="C18" s="25">
        <f t="shared" si="0"/>
        <v>179</v>
      </c>
      <c r="D18" s="25" t="e">
        <f t="shared" si="1"/>
        <v>#REF!</v>
      </c>
      <c r="E18" s="27" t="e">
        <f t="shared" si="2"/>
        <v>#REF!</v>
      </c>
      <c r="F18" s="25"/>
      <c r="G18" s="25">
        <f t="shared" si="3"/>
        <v>118</v>
      </c>
      <c r="H18" s="25" t="e">
        <f t="shared" si="4"/>
        <v>#REF!</v>
      </c>
      <c r="I18" s="27" t="e">
        <f t="shared" si="5"/>
        <v>#REF!</v>
      </c>
      <c r="J18" s="25"/>
      <c r="K18" s="25">
        <f t="shared" si="6"/>
        <v>127</v>
      </c>
      <c r="L18" s="25" t="e">
        <f t="shared" si="7"/>
        <v>#REF!</v>
      </c>
      <c r="M18" s="27" t="e">
        <f t="shared" si="8"/>
        <v>#REF!</v>
      </c>
      <c r="N18" s="27"/>
      <c r="O18" s="26" t="str">
        <f t="shared" si="9"/>
        <v>Central</v>
      </c>
      <c r="P18" s="26" t="e">
        <f t="shared" si="10"/>
        <v>#REF!</v>
      </c>
      <c r="Q18" s="27" t="e">
        <f t="shared" si="11"/>
        <v>#VALUE!</v>
      </c>
      <c r="R18" s="27"/>
      <c r="S18" s="26">
        <f t="shared" si="12"/>
        <v>196</v>
      </c>
      <c r="T18" s="26" t="e">
        <f t="shared" si="13"/>
        <v>#REF!</v>
      </c>
      <c r="U18" s="27" t="e">
        <f t="shared" si="14"/>
        <v>#REF!</v>
      </c>
      <c r="V18" s="27"/>
      <c r="W18" s="26">
        <f t="shared" si="15"/>
        <v>100</v>
      </c>
      <c r="X18" s="26" t="e">
        <f t="shared" si="16"/>
        <v>#REF!</v>
      </c>
      <c r="Y18" s="27" t="e">
        <f t="shared" si="17"/>
        <v>#REF!</v>
      </c>
    </row>
    <row r="19" spans="1:25" ht="16.5" customHeight="1" x14ac:dyDescent="0.25">
      <c r="A19" s="16" t="s">
        <v>42</v>
      </c>
      <c r="B19" s="16" t="s">
        <v>43</v>
      </c>
      <c r="C19" s="25">
        <f t="shared" si="0"/>
        <v>593</v>
      </c>
      <c r="D19" s="25" t="e">
        <f t="shared" si="1"/>
        <v>#REF!</v>
      </c>
      <c r="E19" s="27" t="e">
        <f t="shared" si="2"/>
        <v>#REF!</v>
      </c>
      <c r="F19" s="25"/>
      <c r="G19" s="25">
        <f t="shared" si="3"/>
        <v>398</v>
      </c>
      <c r="H19" s="25" t="e">
        <f t="shared" si="4"/>
        <v>#REF!</v>
      </c>
      <c r="I19" s="27" t="e">
        <f t="shared" si="5"/>
        <v>#REF!</v>
      </c>
      <c r="J19" s="25"/>
      <c r="K19" s="25">
        <f t="shared" si="6"/>
        <v>600</v>
      </c>
      <c r="L19" s="25" t="e">
        <f t="shared" si="7"/>
        <v>#REF!</v>
      </c>
      <c r="M19" s="27" t="e">
        <f t="shared" si="8"/>
        <v>#REF!</v>
      </c>
      <c r="N19" s="27"/>
      <c r="O19" s="26" t="str">
        <f t="shared" si="9"/>
        <v>Piedmont</v>
      </c>
      <c r="P19" s="26" t="e">
        <f t="shared" si="10"/>
        <v>#REF!</v>
      </c>
      <c r="Q19" s="27" t="e">
        <f t="shared" si="11"/>
        <v>#VALUE!</v>
      </c>
      <c r="R19" s="27"/>
      <c r="S19" s="26">
        <f t="shared" si="12"/>
        <v>625</v>
      </c>
      <c r="T19" s="26" t="e">
        <f t="shared" si="13"/>
        <v>#REF!</v>
      </c>
      <c r="U19" s="27" t="e">
        <f t="shared" si="14"/>
        <v>#REF!</v>
      </c>
      <c r="V19" s="27"/>
      <c r="W19" s="26">
        <f t="shared" si="15"/>
        <v>366</v>
      </c>
      <c r="X19" s="26" t="e">
        <f t="shared" si="16"/>
        <v>#REF!</v>
      </c>
      <c r="Y19" s="27" t="e">
        <f t="shared" si="17"/>
        <v>#REF!</v>
      </c>
    </row>
    <row r="20" spans="1:25" ht="16.5" customHeight="1" x14ac:dyDescent="0.25">
      <c r="A20" s="16" t="s">
        <v>44</v>
      </c>
      <c r="B20" s="16" t="s">
        <v>45</v>
      </c>
      <c r="C20" s="25">
        <f t="shared" si="0"/>
        <v>344</v>
      </c>
      <c r="D20" s="25" t="e">
        <f t="shared" si="1"/>
        <v>#REF!</v>
      </c>
      <c r="E20" s="27" t="e">
        <f t="shared" si="2"/>
        <v>#REF!</v>
      </c>
      <c r="F20" s="25"/>
      <c r="G20" s="25">
        <f t="shared" si="3"/>
        <v>264</v>
      </c>
      <c r="H20" s="25" t="e">
        <f t="shared" si="4"/>
        <v>#REF!</v>
      </c>
      <c r="I20" s="27" t="e">
        <f t="shared" si="5"/>
        <v>#REF!</v>
      </c>
      <c r="J20" s="25"/>
      <c r="K20" s="25">
        <f t="shared" si="6"/>
        <v>271</v>
      </c>
      <c r="L20" s="25" t="e">
        <f t="shared" si="7"/>
        <v>#REF!</v>
      </c>
      <c r="M20" s="27" t="e">
        <f t="shared" si="8"/>
        <v>#REF!</v>
      </c>
      <c r="N20" s="27"/>
      <c r="O20" s="26" t="str">
        <f t="shared" si="9"/>
        <v>Central</v>
      </c>
      <c r="P20" s="26" t="e">
        <f t="shared" si="10"/>
        <v>#REF!</v>
      </c>
      <c r="Q20" s="27" t="e">
        <f t="shared" si="11"/>
        <v>#VALUE!</v>
      </c>
      <c r="R20" s="27"/>
      <c r="S20" s="26">
        <f t="shared" si="12"/>
        <v>394</v>
      </c>
      <c r="T20" s="26" t="e">
        <f t="shared" si="13"/>
        <v>#REF!</v>
      </c>
      <c r="U20" s="27" t="e">
        <f t="shared" si="14"/>
        <v>#REF!</v>
      </c>
      <c r="V20" s="27"/>
      <c r="W20" s="26">
        <f t="shared" si="15"/>
        <v>213</v>
      </c>
      <c r="X20" s="26" t="e">
        <f t="shared" si="16"/>
        <v>#REF!</v>
      </c>
      <c r="Y20" s="27" t="e">
        <f t="shared" si="17"/>
        <v>#REF!</v>
      </c>
    </row>
    <row r="21" spans="1:25" ht="16.5" customHeight="1" x14ac:dyDescent="0.25">
      <c r="A21" s="16" t="s">
        <v>46</v>
      </c>
      <c r="B21" s="16" t="s">
        <v>47</v>
      </c>
      <c r="C21" s="25">
        <f t="shared" si="0"/>
        <v>204</v>
      </c>
      <c r="D21" s="25" t="e">
        <f t="shared" si="1"/>
        <v>#REF!</v>
      </c>
      <c r="E21" s="27" t="e">
        <f t="shared" si="2"/>
        <v>#REF!</v>
      </c>
      <c r="F21" s="25"/>
      <c r="G21" s="25">
        <f t="shared" si="3"/>
        <v>144</v>
      </c>
      <c r="H21" s="25" t="e">
        <f t="shared" si="4"/>
        <v>#REF!</v>
      </c>
      <c r="I21" s="27" t="e">
        <f t="shared" si="5"/>
        <v>#REF!</v>
      </c>
      <c r="J21" s="25"/>
      <c r="K21" s="25">
        <f t="shared" si="6"/>
        <v>321</v>
      </c>
      <c r="L21" s="25" t="e">
        <f t="shared" si="7"/>
        <v>#REF!</v>
      </c>
      <c r="M21" s="27" t="e">
        <f t="shared" si="8"/>
        <v>#REF!</v>
      </c>
      <c r="N21" s="27"/>
      <c r="O21" s="26" t="str">
        <f t="shared" si="9"/>
        <v>Western</v>
      </c>
      <c r="P21" s="26" t="e">
        <f t="shared" si="10"/>
        <v>#REF!</v>
      </c>
      <c r="Q21" s="27" t="e">
        <f t="shared" si="11"/>
        <v>#VALUE!</v>
      </c>
      <c r="R21" s="27"/>
      <c r="S21" s="26">
        <f t="shared" si="12"/>
        <v>230</v>
      </c>
      <c r="T21" s="26" t="e">
        <f t="shared" si="13"/>
        <v>#REF!</v>
      </c>
      <c r="U21" s="27" t="e">
        <f t="shared" si="14"/>
        <v>#REF!</v>
      </c>
      <c r="V21" s="27"/>
      <c r="W21" s="26">
        <f t="shared" si="15"/>
        <v>118</v>
      </c>
      <c r="X21" s="26" t="e">
        <f t="shared" si="16"/>
        <v>#REF!</v>
      </c>
      <c r="Y21" s="27" t="e">
        <f t="shared" si="17"/>
        <v>#REF!</v>
      </c>
    </row>
    <row r="22" spans="1:25" ht="16.5" customHeight="1" x14ac:dyDescent="0.25">
      <c r="A22" s="16" t="s">
        <v>48</v>
      </c>
      <c r="B22" s="16" t="s">
        <v>269</v>
      </c>
      <c r="C22" s="25">
        <f t="shared" si="0"/>
        <v>45</v>
      </c>
      <c r="D22" s="25" t="e">
        <f t="shared" si="1"/>
        <v>#REF!</v>
      </c>
      <c r="E22" s="27" t="e">
        <f t="shared" si="2"/>
        <v>#REF!</v>
      </c>
      <c r="F22" s="25"/>
      <c r="G22" s="25">
        <f t="shared" si="3"/>
        <v>24</v>
      </c>
      <c r="H22" s="25" t="e">
        <f t="shared" si="4"/>
        <v>#REF!</v>
      </c>
      <c r="I22" s="27" t="e">
        <f t="shared" si="5"/>
        <v>#REF!</v>
      </c>
      <c r="J22" s="25"/>
      <c r="K22" s="25">
        <f t="shared" si="6"/>
        <v>26</v>
      </c>
      <c r="L22" s="25" t="e">
        <f t="shared" si="7"/>
        <v>#REF!</v>
      </c>
      <c r="M22" s="27" t="e">
        <f t="shared" si="8"/>
        <v>#REF!</v>
      </c>
      <c r="N22" s="27"/>
      <c r="O22" s="26" t="str">
        <f t="shared" si="9"/>
        <v>Central</v>
      </c>
      <c r="P22" s="26" t="e">
        <f t="shared" si="10"/>
        <v>#REF!</v>
      </c>
      <c r="Q22" s="27" t="e">
        <f t="shared" si="11"/>
        <v>#VALUE!</v>
      </c>
      <c r="R22" s="27"/>
      <c r="S22" s="26">
        <f t="shared" si="12"/>
        <v>45</v>
      </c>
      <c r="T22" s="26" t="e">
        <f t="shared" si="13"/>
        <v>#REF!</v>
      </c>
      <c r="U22" s="27" t="e">
        <f t="shared" si="14"/>
        <v>#REF!</v>
      </c>
      <c r="V22" s="27"/>
      <c r="W22" s="26">
        <f t="shared" si="15"/>
        <v>24</v>
      </c>
      <c r="X22" s="26" t="e">
        <f t="shared" si="16"/>
        <v>#REF!</v>
      </c>
      <c r="Y22" s="27" t="e">
        <f t="shared" si="17"/>
        <v>#REF!</v>
      </c>
    </row>
    <row r="23" spans="1:25" ht="16.5" customHeight="1" x14ac:dyDescent="0.25">
      <c r="A23" s="16" t="s">
        <v>50</v>
      </c>
      <c r="B23" s="16" t="s">
        <v>51</v>
      </c>
      <c r="C23" s="25">
        <f t="shared" si="0"/>
        <v>150</v>
      </c>
      <c r="D23" s="25" t="e">
        <f t="shared" si="1"/>
        <v>#REF!</v>
      </c>
      <c r="E23" s="27" t="e">
        <f t="shared" si="2"/>
        <v>#REF!</v>
      </c>
      <c r="F23" s="25"/>
      <c r="G23" s="25">
        <f t="shared" si="3"/>
        <v>115</v>
      </c>
      <c r="H23" s="25" t="e">
        <f t="shared" si="4"/>
        <v>#REF!</v>
      </c>
      <c r="I23" s="27" t="e">
        <f t="shared" si="5"/>
        <v>#REF!</v>
      </c>
      <c r="J23" s="25"/>
      <c r="K23" s="25">
        <f t="shared" si="6"/>
        <v>120</v>
      </c>
      <c r="L23" s="25" t="e">
        <f t="shared" si="7"/>
        <v>#REF!</v>
      </c>
      <c r="M23" s="27" t="e">
        <f t="shared" si="8"/>
        <v>#REF!</v>
      </c>
      <c r="N23" s="27"/>
      <c r="O23" s="26" t="str">
        <f t="shared" si="9"/>
        <v>Piedmont</v>
      </c>
      <c r="P23" s="26" t="e">
        <f t="shared" si="10"/>
        <v>#REF!</v>
      </c>
      <c r="Q23" s="27" t="e">
        <f t="shared" si="11"/>
        <v>#VALUE!</v>
      </c>
      <c r="R23" s="27"/>
      <c r="S23" s="26">
        <f t="shared" si="12"/>
        <v>168</v>
      </c>
      <c r="T23" s="26" t="e">
        <f t="shared" si="13"/>
        <v>#REF!</v>
      </c>
      <c r="U23" s="27" t="e">
        <f t="shared" si="14"/>
        <v>#REF!</v>
      </c>
      <c r="V23" s="27"/>
      <c r="W23" s="26">
        <f t="shared" si="15"/>
        <v>97</v>
      </c>
      <c r="X23" s="26" t="e">
        <f t="shared" si="16"/>
        <v>#REF!</v>
      </c>
      <c r="Y23" s="27" t="e">
        <f t="shared" si="17"/>
        <v>#REF!</v>
      </c>
    </row>
    <row r="24" spans="1:25" ht="16.5" customHeight="1" x14ac:dyDescent="0.25">
      <c r="A24" s="16" t="s">
        <v>56</v>
      </c>
      <c r="B24" s="16" t="s">
        <v>295</v>
      </c>
      <c r="C24" s="25">
        <f t="shared" si="0"/>
        <v>1887</v>
      </c>
      <c r="D24" s="25" t="e">
        <f t="shared" si="1"/>
        <v>#REF!</v>
      </c>
      <c r="E24" s="27" t="e">
        <f t="shared" si="2"/>
        <v>#REF!</v>
      </c>
      <c r="F24" s="25"/>
      <c r="G24" s="25">
        <f t="shared" si="3"/>
        <v>1254</v>
      </c>
      <c r="H24" s="25" t="e">
        <f t="shared" si="4"/>
        <v>#REF!</v>
      </c>
      <c r="I24" s="27" t="e">
        <f t="shared" si="5"/>
        <v>#REF!</v>
      </c>
      <c r="J24" s="25"/>
      <c r="K24" s="25">
        <f t="shared" si="6"/>
        <v>925</v>
      </c>
      <c r="L24" s="25" t="e">
        <f t="shared" si="7"/>
        <v>#REF!</v>
      </c>
      <c r="M24" s="27" t="e">
        <f t="shared" si="8"/>
        <v>#REF!</v>
      </c>
      <c r="N24" s="27"/>
      <c r="O24" s="26" t="str">
        <f t="shared" si="9"/>
        <v>Central</v>
      </c>
      <c r="P24" s="26" t="e">
        <f t="shared" si="10"/>
        <v>#REF!</v>
      </c>
      <c r="Q24" s="27" t="e">
        <f t="shared" si="11"/>
        <v>#VALUE!</v>
      </c>
      <c r="R24" s="27"/>
      <c r="S24" s="26">
        <f t="shared" si="12"/>
        <v>2058</v>
      </c>
      <c r="T24" s="26" t="e">
        <f t="shared" si="13"/>
        <v>#REF!</v>
      </c>
      <c r="U24" s="27" t="e">
        <f t="shared" si="14"/>
        <v>#REF!</v>
      </c>
      <c r="V24" s="27"/>
      <c r="W24" s="26">
        <f t="shared" si="15"/>
        <v>1080</v>
      </c>
      <c r="X24" s="26" t="e">
        <f t="shared" si="16"/>
        <v>#REF!</v>
      </c>
      <c r="Y24" s="27" t="e">
        <f t="shared" si="17"/>
        <v>#REF!</v>
      </c>
    </row>
    <row r="25" spans="1:25" ht="16.5" customHeight="1" x14ac:dyDescent="0.25">
      <c r="A25" s="16" t="s">
        <v>58</v>
      </c>
      <c r="B25" s="16" t="s">
        <v>59</v>
      </c>
      <c r="C25" s="25">
        <f t="shared" si="0"/>
        <v>20</v>
      </c>
      <c r="D25" s="25" t="e">
        <f t="shared" si="1"/>
        <v>#REF!</v>
      </c>
      <c r="E25" s="27" t="e">
        <f t="shared" si="2"/>
        <v>#REF!</v>
      </c>
      <c r="F25" s="25"/>
      <c r="G25" s="25">
        <f t="shared" si="3"/>
        <v>19</v>
      </c>
      <c r="H25" s="25" t="e">
        <f t="shared" si="4"/>
        <v>#REF!</v>
      </c>
      <c r="I25" s="27" t="e">
        <f t="shared" si="5"/>
        <v>#REF!</v>
      </c>
      <c r="J25" s="25"/>
      <c r="K25" s="25">
        <f t="shared" si="6"/>
        <v>29</v>
      </c>
      <c r="L25" s="25" t="e">
        <f t="shared" si="7"/>
        <v>#REF!</v>
      </c>
      <c r="M25" s="27" t="e">
        <f t="shared" si="8"/>
        <v>#REF!</v>
      </c>
      <c r="N25" s="27"/>
      <c r="O25" s="26" t="str">
        <f t="shared" si="9"/>
        <v>Northern</v>
      </c>
      <c r="P25" s="26" t="e">
        <f t="shared" si="10"/>
        <v>#REF!</v>
      </c>
      <c r="Q25" s="27" t="e">
        <f t="shared" si="11"/>
        <v>#VALUE!</v>
      </c>
      <c r="R25" s="27"/>
      <c r="S25" s="26">
        <f t="shared" si="12"/>
        <v>30</v>
      </c>
      <c r="T25" s="26" t="e">
        <f t="shared" si="13"/>
        <v>#REF!</v>
      </c>
      <c r="U25" s="27" t="e">
        <f t="shared" si="14"/>
        <v>#REF!</v>
      </c>
      <c r="V25" s="27"/>
      <c r="W25" s="26">
        <f t="shared" si="15"/>
        <v>9</v>
      </c>
      <c r="X25" s="26" t="e">
        <f t="shared" si="16"/>
        <v>#REF!</v>
      </c>
      <c r="Y25" s="27" t="e">
        <f t="shared" si="17"/>
        <v>#REF!</v>
      </c>
    </row>
    <row r="26" spans="1:25" ht="16.5" customHeight="1" x14ac:dyDescent="0.25">
      <c r="A26" s="16" t="s">
        <v>60</v>
      </c>
      <c r="B26" s="16" t="s">
        <v>61</v>
      </c>
      <c r="C26" s="25">
        <f t="shared" si="0"/>
        <v>38</v>
      </c>
      <c r="D26" s="25" t="e">
        <f t="shared" si="1"/>
        <v>#REF!</v>
      </c>
      <c r="E26" s="27" t="e">
        <f t="shared" si="2"/>
        <v>#REF!</v>
      </c>
      <c r="F26" s="25"/>
      <c r="G26" s="25">
        <f t="shared" si="3"/>
        <v>26</v>
      </c>
      <c r="H26" s="25" t="e">
        <f t="shared" si="4"/>
        <v>#REF!</v>
      </c>
      <c r="I26" s="27" t="e">
        <f t="shared" si="5"/>
        <v>#REF!</v>
      </c>
      <c r="J26" s="25"/>
      <c r="K26" s="25">
        <f t="shared" si="6"/>
        <v>56</v>
      </c>
      <c r="L26" s="25" t="e">
        <f t="shared" si="7"/>
        <v>#REF!</v>
      </c>
      <c r="M26" s="27" t="e">
        <f t="shared" si="8"/>
        <v>#REF!</v>
      </c>
      <c r="N26" s="27"/>
      <c r="O26" s="26" t="str">
        <f t="shared" si="9"/>
        <v>Piedmont</v>
      </c>
      <c r="P26" s="26" t="e">
        <f t="shared" si="10"/>
        <v>#REF!</v>
      </c>
      <c r="Q26" s="27" t="e">
        <f t="shared" si="11"/>
        <v>#VALUE!</v>
      </c>
      <c r="R26" s="27"/>
      <c r="S26" s="26">
        <f t="shared" si="12"/>
        <v>40</v>
      </c>
      <c r="T26" s="26" t="e">
        <f t="shared" si="13"/>
        <v>#REF!</v>
      </c>
      <c r="U26" s="27" t="e">
        <f t="shared" si="14"/>
        <v>#REF!</v>
      </c>
      <c r="V26" s="27"/>
      <c r="W26" s="26">
        <f t="shared" si="15"/>
        <v>23</v>
      </c>
      <c r="X26" s="26" t="e">
        <f t="shared" si="16"/>
        <v>#REF!</v>
      </c>
      <c r="Y26" s="27" t="e">
        <f t="shared" si="17"/>
        <v>#REF!</v>
      </c>
    </row>
    <row r="27" spans="1:25" ht="16.5" customHeight="1" x14ac:dyDescent="0.25">
      <c r="A27" s="16" t="s">
        <v>62</v>
      </c>
      <c r="B27" s="16" t="s">
        <v>63</v>
      </c>
      <c r="C27" s="25">
        <f t="shared" si="0"/>
        <v>396</v>
      </c>
      <c r="D27" s="25" t="e">
        <f t="shared" si="1"/>
        <v>#REF!</v>
      </c>
      <c r="E27" s="27" t="e">
        <f t="shared" si="2"/>
        <v>#REF!</v>
      </c>
      <c r="F27" s="25"/>
      <c r="G27" s="25">
        <f t="shared" si="3"/>
        <v>240</v>
      </c>
      <c r="H27" s="25" t="e">
        <f t="shared" si="4"/>
        <v>#REF!</v>
      </c>
      <c r="I27" s="27" t="e">
        <f t="shared" si="5"/>
        <v>#REF!</v>
      </c>
      <c r="J27" s="25"/>
      <c r="K27" s="25">
        <f t="shared" si="6"/>
        <v>304</v>
      </c>
      <c r="L27" s="25" t="e">
        <f t="shared" si="7"/>
        <v>#REF!</v>
      </c>
      <c r="M27" s="27" t="e">
        <f t="shared" si="8"/>
        <v>#REF!</v>
      </c>
      <c r="N27" s="27"/>
      <c r="O27" s="26" t="str">
        <f t="shared" si="9"/>
        <v>Northern</v>
      </c>
      <c r="P27" s="26" t="e">
        <f t="shared" si="10"/>
        <v>#REF!</v>
      </c>
      <c r="Q27" s="27" t="e">
        <f t="shared" si="11"/>
        <v>#VALUE!</v>
      </c>
      <c r="R27" s="27"/>
      <c r="S27" s="26">
        <f t="shared" si="12"/>
        <v>420</v>
      </c>
      <c r="T27" s="26" t="e">
        <f t="shared" si="13"/>
        <v>#REF!</v>
      </c>
      <c r="U27" s="27" t="e">
        <f t="shared" si="14"/>
        <v>#REF!</v>
      </c>
      <c r="V27" s="27"/>
      <c r="W27" s="26">
        <f t="shared" si="15"/>
        <v>215</v>
      </c>
      <c r="X27" s="26" t="e">
        <f t="shared" si="16"/>
        <v>#REF!</v>
      </c>
      <c r="Y27" s="27" t="e">
        <f t="shared" si="17"/>
        <v>#REF!</v>
      </c>
    </row>
    <row r="28" spans="1:25" ht="16.5" customHeight="1" x14ac:dyDescent="0.25">
      <c r="A28" s="16" t="s">
        <v>64</v>
      </c>
      <c r="B28" s="16" t="s">
        <v>65</v>
      </c>
      <c r="C28" s="25">
        <f t="shared" si="0"/>
        <v>133</v>
      </c>
      <c r="D28" s="25" t="e">
        <f t="shared" si="1"/>
        <v>#REF!</v>
      </c>
      <c r="E28" s="27" t="e">
        <f t="shared" si="2"/>
        <v>#REF!</v>
      </c>
      <c r="F28" s="25"/>
      <c r="G28" s="25">
        <f t="shared" si="3"/>
        <v>104</v>
      </c>
      <c r="H28" s="25" t="e">
        <f t="shared" si="4"/>
        <v>#REF!</v>
      </c>
      <c r="I28" s="27" t="e">
        <f t="shared" si="5"/>
        <v>#REF!</v>
      </c>
      <c r="J28" s="25"/>
      <c r="K28" s="25">
        <f t="shared" si="6"/>
        <v>90</v>
      </c>
      <c r="L28" s="25" t="e">
        <f t="shared" si="7"/>
        <v>#REF!</v>
      </c>
      <c r="M28" s="27" t="e">
        <f t="shared" si="8"/>
        <v>#REF!</v>
      </c>
      <c r="N28" s="27"/>
      <c r="O28" s="26" t="str">
        <f t="shared" si="9"/>
        <v>Central</v>
      </c>
      <c r="P28" s="26" t="e">
        <f t="shared" si="10"/>
        <v>#REF!</v>
      </c>
      <c r="Q28" s="27" t="e">
        <f t="shared" si="11"/>
        <v>#VALUE!</v>
      </c>
      <c r="R28" s="27"/>
      <c r="S28" s="26">
        <f t="shared" si="12"/>
        <v>146</v>
      </c>
      <c r="T28" s="26" t="e">
        <f t="shared" si="13"/>
        <v>#REF!</v>
      </c>
      <c r="U28" s="27" t="e">
        <f t="shared" si="14"/>
        <v>#REF!</v>
      </c>
      <c r="V28" s="27"/>
      <c r="W28" s="26">
        <f t="shared" si="15"/>
        <v>90</v>
      </c>
      <c r="X28" s="26" t="e">
        <f t="shared" si="16"/>
        <v>#REF!</v>
      </c>
      <c r="Y28" s="27" t="e">
        <f t="shared" si="17"/>
        <v>#REF!</v>
      </c>
    </row>
    <row r="29" spans="1:25" ht="16.5" customHeight="1" x14ac:dyDescent="0.25">
      <c r="A29" s="16" t="s">
        <v>68</v>
      </c>
      <c r="B29" s="16" t="s">
        <v>69</v>
      </c>
      <c r="C29" s="25">
        <f t="shared" si="0"/>
        <v>143</v>
      </c>
      <c r="D29" s="25" t="e">
        <f t="shared" si="1"/>
        <v>#REF!</v>
      </c>
      <c r="E29" s="27" t="e">
        <f t="shared" si="2"/>
        <v>#REF!</v>
      </c>
      <c r="F29" s="25"/>
      <c r="G29" s="25">
        <f t="shared" si="3"/>
        <v>98</v>
      </c>
      <c r="H29" s="25" t="e">
        <f t="shared" si="4"/>
        <v>#REF!</v>
      </c>
      <c r="I29" s="27" t="e">
        <f t="shared" si="5"/>
        <v>#REF!</v>
      </c>
      <c r="J29" s="25"/>
      <c r="K29" s="25">
        <f t="shared" si="6"/>
        <v>239</v>
      </c>
      <c r="L29" s="25" t="e">
        <f t="shared" si="7"/>
        <v>#REF!</v>
      </c>
      <c r="M29" s="27" t="e">
        <f t="shared" si="8"/>
        <v>#REF!</v>
      </c>
      <c r="N29" s="27"/>
      <c r="O29" s="26" t="str">
        <f t="shared" si="9"/>
        <v>Western</v>
      </c>
      <c r="P29" s="26" t="e">
        <f t="shared" si="10"/>
        <v>#REF!</v>
      </c>
      <c r="Q29" s="27" t="e">
        <f t="shared" si="11"/>
        <v>#VALUE!</v>
      </c>
      <c r="R29" s="27"/>
      <c r="S29" s="26">
        <f t="shared" si="12"/>
        <v>145</v>
      </c>
      <c r="T29" s="26" t="e">
        <f t="shared" si="13"/>
        <v>#REF!</v>
      </c>
      <c r="U29" s="27" t="e">
        <f t="shared" si="14"/>
        <v>#REF!</v>
      </c>
      <c r="V29" s="27"/>
      <c r="W29" s="26">
        <f t="shared" si="15"/>
        <v>95</v>
      </c>
      <c r="X29" s="26" t="e">
        <f t="shared" si="16"/>
        <v>#REF!</v>
      </c>
      <c r="Y29" s="27" t="e">
        <f t="shared" si="17"/>
        <v>#REF!</v>
      </c>
    </row>
    <row r="30" spans="1:25" ht="16.5" customHeight="1" x14ac:dyDescent="0.25">
      <c r="A30" s="16" t="s">
        <v>70</v>
      </c>
      <c r="B30" s="16" t="s">
        <v>71</v>
      </c>
      <c r="C30" s="25">
        <f t="shared" si="0"/>
        <v>263</v>
      </c>
      <c r="D30" s="25" t="e">
        <f t="shared" si="1"/>
        <v>#REF!</v>
      </c>
      <c r="E30" s="27" t="e">
        <f t="shared" si="2"/>
        <v>#REF!</v>
      </c>
      <c r="F30" s="25"/>
      <c r="G30" s="25">
        <f t="shared" si="3"/>
        <v>213</v>
      </c>
      <c r="H30" s="25" t="e">
        <f t="shared" si="4"/>
        <v>#REF!</v>
      </c>
      <c r="I30" s="27" t="e">
        <f t="shared" si="5"/>
        <v>#REF!</v>
      </c>
      <c r="J30" s="25"/>
      <c r="K30" s="25">
        <f t="shared" si="6"/>
        <v>207</v>
      </c>
      <c r="L30" s="25" t="e">
        <f t="shared" si="7"/>
        <v>#REF!</v>
      </c>
      <c r="M30" s="27" t="e">
        <f t="shared" si="8"/>
        <v>#REF!</v>
      </c>
      <c r="N30" s="27"/>
      <c r="O30" s="26" t="str">
        <f t="shared" si="9"/>
        <v>Eastern</v>
      </c>
      <c r="P30" s="26" t="e">
        <f t="shared" si="10"/>
        <v>#REF!</v>
      </c>
      <c r="Q30" s="27" t="e">
        <f t="shared" si="11"/>
        <v>#VALUE!</v>
      </c>
      <c r="R30" s="27"/>
      <c r="S30" s="26">
        <f t="shared" si="12"/>
        <v>314</v>
      </c>
      <c r="T30" s="26" t="e">
        <f t="shared" si="13"/>
        <v>#REF!</v>
      </c>
      <c r="U30" s="27" t="e">
        <f t="shared" si="14"/>
        <v>#REF!</v>
      </c>
      <c r="V30" s="27"/>
      <c r="W30" s="26">
        <f t="shared" si="15"/>
        <v>161</v>
      </c>
      <c r="X30" s="26" t="e">
        <f t="shared" si="16"/>
        <v>#REF!</v>
      </c>
      <c r="Y30" s="27" t="e">
        <f t="shared" si="17"/>
        <v>#REF!</v>
      </c>
    </row>
    <row r="31" spans="1:25" ht="16.5" customHeight="1" x14ac:dyDescent="0.25">
      <c r="A31" s="16" t="s">
        <v>72</v>
      </c>
      <c r="B31" s="16" t="s">
        <v>73</v>
      </c>
      <c r="C31" s="25">
        <f t="shared" si="0"/>
        <v>197</v>
      </c>
      <c r="D31" s="25" t="e">
        <f t="shared" si="1"/>
        <v>#REF!</v>
      </c>
      <c r="E31" s="27" t="e">
        <f t="shared" si="2"/>
        <v>#REF!</v>
      </c>
      <c r="F31" s="25"/>
      <c r="G31" s="25">
        <f t="shared" si="3"/>
        <v>118</v>
      </c>
      <c r="H31" s="25" t="e">
        <f t="shared" si="4"/>
        <v>#REF!</v>
      </c>
      <c r="I31" s="27" t="e">
        <f t="shared" si="5"/>
        <v>#REF!</v>
      </c>
      <c r="J31" s="25"/>
      <c r="K31" s="25">
        <f t="shared" si="6"/>
        <v>69</v>
      </c>
      <c r="L31" s="25" t="e">
        <f t="shared" si="7"/>
        <v>#REF!</v>
      </c>
      <c r="M31" s="27" t="e">
        <f t="shared" si="8"/>
        <v>#REF!</v>
      </c>
      <c r="N31" s="27"/>
      <c r="O31" s="26" t="str">
        <f t="shared" si="9"/>
        <v>Central</v>
      </c>
      <c r="P31" s="26" t="e">
        <f t="shared" si="10"/>
        <v>#REF!</v>
      </c>
      <c r="Q31" s="27" t="e">
        <f t="shared" si="11"/>
        <v>#VALUE!</v>
      </c>
      <c r="R31" s="27"/>
      <c r="S31" s="26">
        <f t="shared" si="12"/>
        <v>197</v>
      </c>
      <c r="T31" s="26" t="e">
        <f t="shared" si="13"/>
        <v>#REF!</v>
      </c>
      <c r="U31" s="27" t="e">
        <f t="shared" si="14"/>
        <v>#REF!</v>
      </c>
      <c r="V31" s="27"/>
      <c r="W31" s="26">
        <f t="shared" si="15"/>
        <v>117</v>
      </c>
      <c r="X31" s="26" t="e">
        <f t="shared" si="16"/>
        <v>#REF!</v>
      </c>
      <c r="Y31" s="27" t="e">
        <f t="shared" si="17"/>
        <v>#REF!</v>
      </c>
    </row>
    <row r="32" spans="1:25" ht="16.5" customHeight="1" x14ac:dyDescent="0.25">
      <c r="A32" s="16" t="s">
        <v>74</v>
      </c>
      <c r="B32" s="16" t="s">
        <v>302</v>
      </c>
      <c r="C32" s="25">
        <f t="shared" si="0"/>
        <v>3503</v>
      </c>
      <c r="D32" s="25" t="e">
        <f t="shared" si="1"/>
        <v>#REF!</v>
      </c>
      <c r="E32" s="27" t="e">
        <f t="shared" si="2"/>
        <v>#REF!</v>
      </c>
      <c r="F32" s="25"/>
      <c r="G32" s="25">
        <f t="shared" si="3"/>
        <v>2381</v>
      </c>
      <c r="H32" s="25" t="e">
        <f t="shared" si="4"/>
        <v>#REF!</v>
      </c>
      <c r="I32" s="27" t="e">
        <f t="shared" si="5"/>
        <v>#REF!</v>
      </c>
      <c r="J32" s="25"/>
      <c r="K32" s="25">
        <f t="shared" si="6"/>
        <v>1829</v>
      </c>
      <c r="L32" s="25" t="e">
        <f t="shared" si="7"/>
        <v>#REF!</v>
      </c>
      <c r="M32" s="27" t="e">
        <f t="shared" si="8"/>
        <v>#REF!</v>
      </c>
      <c r="N32" s="27"/>
      <c r="O32" s="26" t="str">
        <f t="shared" si="9"/>
        <v>Northern</v>
      </c>
      <c r="P32" s="26" t="e">
        <f t="shared" si="10"/>
        <v>#REF!</v>
      </c>
      <c r="Q32" s="27" t="e">
        <f t="shared" si="11"/>
        <v>#VALUE!</v>
      </c>
      <c r="R32" s="27"/>
      <c r="S32" s="26">
        <f t="shared" si="12"/>
        <v>3527</v>
      </c>
      <c r="T32" s="26" t="e">
        <f t="shared" si="13"/>
        <v>#REF!</v>
      </c>
      <c r="U32" s="27" t="e">
        <f t="shared" si="14"/>
        <v>#REF!</v>
      </c>
      <c r="V32" s="27"/>
      <c r="W32" s="26">
        <f t="shared" si="15"/>
        <v>2343</v>
      </c>
      <c r="X32" s="26" t="e">
        <f t="shared" si="16"/>
        <v>#REF!</v>
      </c>
      <c r="Y32" s="27" t="e">
        <f t="shared" si="17"/>
        <v>#REF!</v>
      </c>
    </row>
    <row r="33" spans="1:25" ht="16.5" customHeight="1" x14ac:dyDescent="0.25">
      <c r="A33" s="16" t="s">
        <v>76</v>
      </c>
      <c r="B33" s="16" t="s">
        <v>77</v>
      </c>
      <c r="C33" s="25">
        <f t="shared" si="0"/>
        <v>231</v>
      </c>
      <c r="D33" s="25" t="e">
        <f t="shared" si="1"/>
        <v>#REF!</v>
      </c>
      <c r="E33" s="27" t="e">
        <f t="shared" si="2"/>
        <v>#REF!</v>
      </c>
      <c r="F33" s="25"/>
      <c r="G33" s="25">
        <f t="shared" si="3"/>
        <v>151</v>
      </c>
      <c r="H33" s="25" t="e">
        <f t="shared" si="4"/>
        <v>#REF!</v>
      </c>
      <c r="I33" s="27" t="e">
        <f t="shared" si="5"/>
        <v>#REF!</v>
      </c>
      <c r="J33" s="25"/>
      <c r="K33" s="25">
        <f t="shared" si="6"/>
        <v>195</v>
      </c>
      <c r="L33" s="25" t="e">
        <f t="shared" si="7"/>
        <v>#REF!</v>
      </c>
      <c r="M33" s="27" t="e">
        <f t="shared" si="8"/>
        <v>#REF!</v>
      </c>
      <c r="N33" s="27"/>
      <c r="O33" s="26" t="str">
        <f t="shared" si="9"/>
        <v>Northern</v>
      </c>
      <c r="P33" s="26" t="e">
        <f t="shared" si="10"/>
        <v>#REF!</v>
      </c>
      <c r="Q33" s="27" t="e">
        <f t="shared" si="11"/>
        <v>#VALUE!</v>
      </c>
      <c r="R33" s="27"/>
      <c r="S33" s="26">
        <f t="shared" si="12"/>
        <v>249</v>
      </c>
      <c r="T33" s="26" t="e">
        <f t="shared" si="13"/>
        <v>#REF!</v>
      </c>
      <c r="U33" s="27" t="e">
        <f t="shared" si="14"/>
        <v>#REF!</v>
      </c>
      <c r="V33" s="27"/>
      <c r="W33" s="26">
        <f t="shared" si="15"/>
        <v>133</v>
      </c>
      <c r="X33" s="26" t="e">
        <f t="shared" si="16"/>
        <v>#REF!</v>
      </c>
      <c r="Y33" s="27" t="e">
        <f t="shared" si="17"/>
        <v>#REF!</v>
      </c>
    </row>
    <row r="34" spans="1:25" ht="16.5" customHeight="1" x14ac:dyDescent="0.25">
      <c r="A34" s="16" t="s">
        <v>78</v>
      </c>
      <c r="B34" s="16" t="s">
        <v>79</v>
      </c>
      <c r="C34" s="25">
        <f t="shared" si="0"/>
        <v>109</v>
      </c>
      <c r="D34" s="25" t="e">
        <f t="shared" si="1"/>
        <v>#REF!</v>
      </c>
      <c r="E34" s="27" t="e">
        <f t="shared" si="2"/>
        <v>#REF!</v>
      </c>
      <c r="F34" s="25"/>
      <c r="G34" s="25">
        <f t="shared" si="3"/>
        <v>82</v>
      </c>
      <c r="H34" s="25" t="e">
        <f t="shared" si="4"/>
        <v>#REF!</v>
      </c>
      <c r="I34" s="27" t="e">
        <f t="shared" si="5"/>
        <v>#REF!</v>
      </c>
      <c r="J34" s="25"/>
      <c r="K34" s="25">
        <f t="shared" si="6"/>
        <v>161</v>
      </c>
      <c r="L34" s="25" t="e">
        <f t="shared" si="7"/>
        <v>#REF!</v>
      </c>
      <c r="M34" s="27" t="e">
        <f t="shared" si="8"/>
        <v>#REF!</v>
      </c>
      <c r="N34" s="27"/>
      <c r="O34" s="26" t="str">
        <f t="shared" si="9"/>
        <v>Western</v>
      </c>
      <c r="P34" s="26" t="e">
        <f t="shared" si="10"/>
        <v>#REF!</v>
      </c>
      <c r="Q34" s="27" t="e">
        <f t="shared" si="11"/>
        <v>#VALUE!</v>
      </c>
      <c r="R34" s="27"/>
      <c r="S34" s="26">
        <f t="shared" si="12"/>
        <v>127</v>
      </c>
      <c r="T34" s="26" t="e">
        <f t="shared" si="13"/>
        <v>#REF!</v>
      </c>
      <c r="U34" s="27" t="e">
        <f t="shared" si="14"/>
        <v>#REF!</v>
      </c>
      <c r="V34" s="27"/>
      <c r="W34" s="26">
        <f t="shared" si="15"/>
        <v>64</v>
      </c>
      <c r="X34" s="26" t="e">
        <f t="shared" si="16"/>
        <v>#REF!</v>
      </c>
      <c r="Y34" s="27" t="e">
        <f t="shared" si="17"/>
        <v>#REF!</v>
      </c>
    </row>
    <row r="35" spans="1:25" ht="16.5" customHeight="1" x14ac:dyDescent="0.25">
      <c r="A35" s="16" t="s">
        <v>80</v>
      </c>
      <c r="B35" s="16" t="s">
        <v>81</v>
      </c>
      <c r="C35" s="25">
        <f t="shared" si="0"/>
        <v>100</v>
      </c>
      <c r="D35" s="25" t="e">
        <f t="shared" si="1"/>
        <v>#REF!</v>
      </c>
      <c r="E35" s="27" t="e">
        <f t="shared" si="2"/>
        <v>#REF!</v>
      </c>
      <c r="F35" s="25"/>
      <c r="G35" s="25">
        <f t="shared" si="3"/>
        <v>78</v>
      </c>
      <c r="H35" s="25" t="e">
        <f t="shared" si="4"/>
        <v>#REF!</v>
      </c>
      <c r="I35" s="27" t="e">
        <f t="shared" si="5"/>
        <v>#REF!</v>
      </c>
      <c r="J35" s="25"/>
      <c r="K35" s="25">
        <f t="shared" si="6"/>
        <v>111</v>
      </c>
      <c r="L35" s="25" t="e">
        <f t="shared" si="7"/>
        <v>#REF!</v>
      </c>
      <c r="M35" s="27" t="e">
        <f t="shared" si="8"/>
        <v>#REF!</v>
      </c>
      <c r="N35" s="27"/>
      <c r="O35" s="26" t="str">
        <f t="shared" si="9"/>
        <v>Central</v>
      </c>
      <c r="P35" s="26" t="e">
        <f t="shared" si="10"/>
        <v>#REF!</v>
      </c>
      <c r="Q35" s="27" t="e">
        <f t="shared" si="11"/>
        <v>#VALUE!</v>
      </c>
      <c r="R35" s="27"/>
      <c r="S35" s="26">
        <f t="shared" si="12"/>
        <v>126</v>
      </c>
      <c r="T35" s="26" t="e">
        <f t="shared" si="13"/>
        <v>#REF!</v>
      </c>
      <c r="U35" s="27" t="e">
        <f t="shared" si="14"/>
        <v>#REF!</v>
      </c>
      <c r="V35" s="27"/>
      <c r="W35" s="26">
        <f t="shared" si="15"/>
        <v>50</v>
      </c>
      <c r="X35" s="26" t="e">
        <f t="shared" si="16"/>
        <v>#REF!</v>
      </c>
      <c r="Y35" s="27" t="e">
        <f t="shared" si="17"/>
        <v>#REF!</v>
      </c>
    </row>
    <row r="36" spans="1:25" ht="16.5" customHeight="1" x14ac:dyDescent="0.25">
      <c r="A36" s="16" t="s">
        <v>84</v>
      </c>
      <c r="B36" s="16" t="s">
        <v>308</v>
      </c>
      <c r="C36" s="25">
        <f t="shared" ref="C36:C67" si="18">VLOOKUP(A36,TANFClient_Demo,7,FALSE)</f>
        <v>461</v>
      </c>
      <c r="D36" s="25" t="e">
        <f t="shared" ref="D36:D67" si="19">VLOOKUP(A36,Pop,14,FALSE)</f>
        <v>#REF!</v>
      </c>
      <c r="E36" s="27" t="e">
        <f t="shared" ref="E36:E67" si="20">+C36/D36</f>
        <v>#REF!</v>
      </c>
      <c r="F36" s="25"/>
      <c r="G36" s="25">
        <f t="shared" ref="G36:G67" si="21">VLOOKUP(A36,TANFClient_Demo,8,FALSE)</f>
        <v>338</v>
      </c>
      <c r="H36" s="25" t="e">
        <f t="shared" ref="H36:H67" si="22">VLOOKUP(A36,Pop,15,FALSE)</f>
        <v>#REF!</v>
      </c>
      <c r="I36" s="27" t="e">
        <f t="shared" ref="I36:I67" si="23">+G36/H36</f>
        <v>#REF!</v>
      </c>
      <c r="J36" s="25"/>
      <c r="K36" s="25">
        <f t="shared" ref="K36:K67" si="24">VLOOKUP(A36,TANFClient_Demo,9,FALSE)</f>
        <v>544</v>
      </c>
      <c r="L36" s="25" t="e">
        <f t="shared" ref="L36:L67" si="25">VLOOKUP(A36,Pop,16,FALSE)</f>
        <v>#REF!</v>
      </c>
      <c r="M36" s="27" t="e">
        <f t="shared" ref="M36:M67" si="26">+K36/L36</f>
        <v>#REF!</v>
      </c>
      <c r="N36" s="27"/>
      <c r="O36" s="26" t="str">
        <f t="shared" ref="O36:O67" si="27">VLOOKUP(A36,TANFClient_Demo,3,FALSE)</f>
        <v>Piedmont</v>
      </c>
      <c r="P36" s="26" t="e">
        <f t="shared" ref="P36:P67" si="28">VLOOKUP(A36,Pop,8,FALSE)</f>
        <v>#REF!</v>
      </c>
      <c r="Q36" s="27" t="e">
        <f t="shared" ref="Q36:Q67" si="29">+O36/P36</f>
        <v>#VALUE!</v>
      </c>
      <c r="R36" s="27"/>
      <c r="S36" s="26">
        <f t="shared" ref="S36:S67" si="30">VLOOKUP(A36,TANFClient_Demo,4,FALSE)</f>
        <v>526</v>
      </c>
      <c r="T36" s="26" t="e">
        <f t="shared" ref="T36:T67" si="31">VLOOKUP(A36,Pop,9,FALSE)</f>
        <v>#REF!</v>
      </c>
      <c r="U36" s="27" t="e">
        <f t="shared" ref="U36:U67" si="32">+S36/T36</f>
        <v>#REF!</v>
      </c>
      <c r="V36" s="27"/>
      <c r="W36" s="26">
        <f t="shared" ref="W36:W67" si="33">VLOOKUP(A36,TANFClient_Demo,5,FALSE)</f>
        <v>272</v>
      </c>
      <c r="X36" s="26" t="e">
        <f t="shared" ref="X36:X67" si="34">VLOOKUP(A36,Pop,10,FALSE)</f>
        <v>#REF!</v>
      </c>
      <c r="Y36" s="27" t="e">
        <f t="shared" ref="Y36:Y67" si="35">+W36/X36</f>
        <v>#REF!</v>
      </c>
    </row>
    <row r="37" spans="1:25" ht="16.5" customHeight="1" x14ac:dyDescent="0.25">
      <c r="A37" s="16" t="s">
        <v>86</v>
      </c>
      <c r="B37" s="16" t="s">
        <v>87</v>
      </c>
      <c r="C37" s="25">
        <f t="shared" si="18"/>
        <v>247</v>
      </c>
      <c r="D37" s="25" t="e">
        <f t="shared" si="19"/>
        <v>#REF!</v>
      </c>
      <c r="E37" s="27" t="e">
        <f t="shared" si="20"/>
        <v>#REF!</v>
      </c>
      <c r="F37" s="25"/>
      <c r="G37" s="25">
        <f t="shared" si="21"/>
        <v>154</v>
      </c>
      <c r="H37" s="25" t="e">
        <f t="shared" si="22"/>
        <v>#REF!</v>
      </c>
      <c r="I37" s="27" t="e">
        <f t="shared" si="23"/>
        <v>#REF!</v>
      </c>
      <c r="J37" s="25"/>
      <c r="K37" s="25">
        <f t="shared" si="24"/>
        <v>255</v>
      </c>
      <c r="L37" s="25" t="e">
        <f t="shared" si="25"/>
        <v>#REF!</v>
      </c>
      <c r="M37" s="27" t="e">
        <f t="shared" si="26"/>
        <v>#REF!</v>
      </c>
      <c r="N37" s="27"/>
      <c r="O37" s="26" t="str">
        <f t="shared" si="27"/>
        <v>Northern</v>
      </c>
      <c r="P37" s="26" t="e">
        <f t="shared" si="28"/>
        <v>#REF!</v>
      </c>
      <c r="Q37" s="27" t="e">
        <f t="shared" si="29"/>
        <v>#VALUE!</v>
      </c>
      <c r="R37" s="27"/>
      <c r="S37" s="26">
        <f t="shared" si="30"/>
        <v>259</v>
      </c>
      <c r="T37" s="26" t="e">
        <f t="shared" si="31"/>
        <v>#REF!</v>
      </c>
      <c r="U37" s="27" t="e">
        <f t="shared" si="32"/>
        <v>#REF!</v>
      </c>
      <c r="V37" s="27"/>
      <c r="W37" s="26">
        <f t="shared" si="33"/>
        <v>142</v>
      </c>
      <c r="X37" s="26" t="e">
        <f t="shared" si="34"/>
        <v>#REF!</v>
      </c>
      <c r="Y37" s="27" t="e">
        <f t="shared" si="35"/>
        <v>#REF!</v>
      </c>
    </row>
    <row r="38" spans="1:25" ht="16.5" customHeight="1" x14ac:dyDescent="0.25">
      <c r="A38" s="16" t="s">
        <v>92</v>
      </c>
      <c r="B38" s="16" t="s">
        <v>93</v>
      </c>
      <c r="C38" s="25">
        <f t="shared" si="18"/>
        <v>127</v>
      </c>
      <c r="D38" s="25" t="e">
        <f t="shared" si="19"/>
        <v>#REF!</v>
      </c>
      <c r="E38" s="27" t="e">
        <f t="shared" si="20"/>
        <v>#REF!</v>
      </c>
      <c r="F38" s="25"/>
      <c r="G38" s="25">
        <f t="shared" si="21"/>
        <v>73</v>
      </c>
      <c r="H38" s="25" t="e">
        <f t="shared" si="22"/>
        <v>#REF!</v>
      </c>
      <c r="I38" s="27" t="e">
        <f t="shared" si="23"/>
        <v>#REF!</v>
      </c>
      <c r="J38" s="25"/>
      <c r="K38" s="25">
        <f t="shared" si="24"/>
        <v>181</v>
      </c>
      <c r="L38" s="25" t="e">
        <f t="shared" si="25"/>
        <v>#REF!</v>
      </c>
      <c r="M38" s="27" t="e">
        <f t="shared" si="26"/>
        <v>#REF!</v>
      </c>
      <c r="N38" s="27"/>
      <c r="O38" s="26" t="str">
        <f t="shared" si="27"/>
        <v>Western</v>
      </c>
      <c r="P38" s="26" t="e">
        <f t="shared" si="28"/>
        <v>#REF!</v>
      </c>
      <c r="Q38" s="27" t="e">
        <f t="shared" si="29"/>
        <v>#VALUE!</v>
      </c>
      <c r="R38" s="27"/>
      <c r="S38" s="26">
        <f t="shared" si="30"/>
        <v>139</v>
      </c>
      <c r="T38" s="26" t="e">
        <f t="shared" si="31"/>
        <v>#REF!</v>
      </c>
      <c r="U38" s="27" t="e">
        <f t="shared" si="32"/>
        <v>#REF!</v>
      </c>
      <c r="V38" s="27"/>
      <c r="W38" s="26">
        <f t="shared" si="33"/>
        <v>61</v>
      </c>
      <c r="X38" s="26" t="e">
        <f t="shared" si="34"/>
        <v>#REF!</v>
      </c>
      <c r="Y38" s="27" t="e">
        <f t="shared" si="35"/>
        <v>#REF!</v>
      </c>
    </row>
    <row r="39" spans="1:25" ht="16.5" customHeight="1" x14ac:dyDescent="0.25">
      <c r="A39" s="16" t="s">
        <v>94</v>
      </c>
      <c r="B39" s="16" t="s">
        <v>95</v>
      </c>
      <c r="C39" s="25">
        <f t="shared" si="18"/>
        <v>248</v>
      </c>
      <c r="D39" s="25" t="e">
        <f t="shared" si="19"/>
        <v>#REF!</v>
      </c>
      <c r="E39" s="27" t="e">
        <f t="shared" si="20"/>
        <v>#REF!</v>
      </c>
      <c r="F39" s="25"/>
      <c r="G39" s="25">
        <f t="shared" si="21"/>
        <v>186</v>
      </c>
      <c r="H39" s="25" t="e">
        <f t="shared" si="22"/>
        <v>#REF!</v>
      </c>
      <c r="I39" s="27" t="e">
        <f t="shared" si="23"/>
        <v>#REF!</v>
      </c>
      <c r="J39" s="25"/>
      <c r="K39" s="25">
        <f t="shared" si="24"/>
        <v>302</v>
      </c>
      <c r="L39" s="25" t="e">
        <f t="shared" si="25"/>
        <v>#REF!</v>
      </c>
      <c r="M39" s="27" t="e">
        <f t="shared" si="26"/>
        <v>#REF!</v>
      </c>
      <c r="N39" s="27"/>
      <c r="O39" s="26" t="str">
        <f t="shared" si="27"/>
        <v>Eastern</v>
      </c>
      <c r="P39" s="26" t="e">
        <f t="shared" si="28"/>
        <v>#REF!</v>
      </c>
      <c r="Q39" s="27" t="e">
        <f t="shared" si="29"/>
        <v>#VALUE!</v>
      </c>
      <c r="R39" s="27"/>
      <c r="S39" s="26">
        <f t="shared" si="30"/>
        <v>281</v>
      </c>
      <c r="T39" s="26" t="e">
        <f t="shared" si="31"/>
        <v>#REF!</v>
      </c>
      <c r="U39" s="27" t="e">
        <f t="shared" si="32"/>
        <v>#REF!</v>
      </c>
      <c r="V39" s="27"/>
      <c r="W39" s="26">
        <f t="shared" si="33"/>
        <v>153</v>
      </c>
      <c r="X39" s="26" t="e">
        <f t="shared" si="34"/>
        <v>#REF!</v>
      </c>
      <c r="Y39" s="27" t="e">
        <f t="shared" si="35"/>
        <v>#REF!</v>
      </c>
    </row>
    <row r="40" spans="1:25" ht="16.5" customHeight="1" x14ac:dyDescent="0.25">
      <c r="A40" s="16" t="s">
        <v>96</v>
      </c>
      <c r="B40" s="16" t="s">
        <v>97</v>
      </c>
      <c r="C40" s="25">
        <f t="shared" si="18"/>
        <v>77</v>
      </c>
      <c r="D40" s="25" t="e">
        <f t="shared" si="19"/>
        <v>#REF!</v>
      </c>
      <c r="E40" s="27" t="e">
        <f t="shared" si="20"/>
        <v>#REF!</v>
      </c>
      <c r="F40" s="25"/>
      <c r="G40" s="25">
        <f t="shared" si="21"/>
        <v>32</v>
      </c>
      <c r="H40" s="25" t="e">
        <f t="shared" si="22"/>
        <v>#REF!</v>
      </c>
      <c r="I40" s="27" t="e">
        <f t="shared" si="23"/>
        <v>#REF!</v>
      </c>
      <c r="J40" s="25"/>
      <c r="K40" s="25">
        <f t="shared" si="24"/>
        <v>59</v>
      </c>
      <c r="L40" s="25" t="e">
        <f t="shared" si="25"/>
        <v>#REF!</v>
      </c>
      <c r="M40" s="27" t="e">
        <f t="shared" si="26"/>
        <v>#REF!</v>
      </c>
      <c r="N40" s="27"/>
      <c r="O40" s="26" t="str">
        <f t="shared" si="27"/>
        <v>Central</v>
      </c>
      <c r="P40" s="26" t="e">
        <f t="shared" si="28"/>
        <v>#REF!</v>
      </c>
      <c r="Q40" s="27" t="e">
        <f t="shared" si="29"/>
        <v>#VALUE!</v>
      </c>
      <c r="R40" s="27"/>
      <c r="S40" s="26">
        <f t="shared" si="30"/>
        <v>66</v>
      </c>
      <c r="T40" s="26" t="e">
        <f t="shared" si="31"/>
        <v>#REF!</v>
      </c>
      <c r="U40" s="27" t="e">
        <f t="shared" si="32"/>
        <v>#REF!</v>
      </c>
      <c r="V40" s="27"/>
      <c r="W40" s="26">
        <f t="shared" si="33"/>
        <v>43</v>
      </c>
      <c r="X40" s="26" t="e">
        <f t="shared" si="34"/>
        <v>#REF!</v>
      </c>
      <c r="Y40" s="27" t="e">
        <f t="shared" si="35"/>
        <v>#REF!</v>
      </c>
    </row>
    <row r="41" spans="1:25" ht="16.5" customHeight="1" x14ac:dyDescent="0.25">
      <c r="A41" s="16" t="s">
        <v>98</v>
      </c>
      <c r="B41" s="16" t="s">
        <v>99</v>
      </c>
      <c r="C41" s="25">
        <f t="shared" si="18"/>
        <v>78</v>
      </c>
      <c r="D41" s="25" t="e">
        <f t="shared" si="19"/>
        <v>#REF!</v>
      </c>
      <c r="E41" s="27" t="e">
        <f t="shared" si="20"/>
        <v>#REF!</v>
      </c>
      <c r="F41" s="25"/>
      <c r="G41" s="25">
        <f t="shared" si="21"/>
        <v>61</v>
      </c>
      <c r="H41" s="25" t="e">
        <f t="shared" si="22"/>
        <v>#REF!</v>
      </c>
      <c r="I41" s="27" t="e">
        <f t="shared" si="23"/>
        <v>#REF!</v>
      </c>
      <c r="J41" s="25"/>
      <c r="K41" s="25">
        <f t="shared" si="24"/>
        <v>121</v>
      </c>
      <c r="L41" s="25" t="e">
        <f t="shared" si="25"/>
        <v>#REF!</v>
      </c>
      <c r="M41" s="27" t="e">
        <f t="shared" si="26"/>
        <v>#REF!</v>
      </c>
      <c r="N41" s="27"/>
      <c r="O41" s="26" t="str">
        <f t="shared" si="27"/>
        <v>Western</v>
      </c>
      <c r="P41" s="26" t="e">
        <f t="shared" si="28"/>
        <v>#REF!</v>
      </c>
      <c r="Q41" s="27" t="e">
        <f t="shared" si="29"/>
        <v>#VALUE!</v>
      </c>
      <c r="R41" s="27"/>
      <c r="S41" s="26">
        <f t="shared" si="30"/>
        <v>90</v>
      </c>
      <c r="T41" s="26" t="e">
        <f t="shared" si="31"/>
        <v>#REF!</v>
      </c>
      <c r="U41" s="27" t="e">
        <f t="shared" si="32"/>
        <v>#REF!</v>
      </c>
      <c r="V41" s="27"/>
      <c r="W41" s="26">
        <f t="shared" si="33"/>
        <v>47</v>
      </c>
      <c r="X41" s="26" t="e">
        <f t="shared" si="34"/>
        <v>#REF!</v>
      </c>
      <c r="Y41" s="27" t="e">
        <f t="shared" si="35"/>
        <v>#REF!</v>
      </c>
    </row>
    <row r="42" spans="1:25" ht="16.5" customHeight="1" x14ac:dyDescent="0.25">
      <c r="A42" s="16" t="s">
        <v>100</v>
      </c>
      <c r="B42" s="16" t="s">
        <v>101</v>
      </c>
      <c r="C42" s="25">
        <f t="shared" si="18"/>
        <v>146</v>
      </c>
      <c r="D42" s="25" t="e">
        <f t="shared" si="19"/>
        <v>#REF!</v>
      </c>
      <c r="E42" s="27" t="e">
        <f t="shared" si="20"/>
        <v>#REF!</v>
      </c>
      <c r="F42" s="25"/>
      <c r="G42" s="25">
        <f t="shared" si="21"/>
        <v>120</v>
      </c>
      <c r="H42" s="25" t="e">
        <f t="shared" si="22"/>
        <v>#REF!</v>
      </c>
      <c r="I42" s="27" t="e">
        <f t="shared" si="23"/>
        <v>#REF!</v>
      </c>
      <c r="J42" s="25"/>
      <c r="K42" s="25">
        <f t="shared" si="24"/>
        <v>165</v>
      </c>
      <c r="L42" s="25" t="e">
        <f t="shared" si="25"/>
        <v>#REF!</v>
      </c>
      <c r="M42" s="27" t="e">
        <f t="shared" si="26"/>
        <v>#REF!</v>
      </c>
      <c r="N42" s="27"/>
      <c r="O42" s="26" t="str">
        <f t="shared" si="27"/>
        <v>Northern</v>
      </c>
      <c r="P42" s="26" t="e">
        <f t="shared" si="28"/>
        <v>#REF!</v>
      </c>
      <c r="Q42" s="27" t="e">
        <f t="shared" si="29"/>
        <v>#VALUE!</v>
      </c>
      <c r="R42" s="27"/>
      <c r="S42" s="26">
        <f t="shared" si="30"/>
        <v>170</v>
      </c>
      <c r="T42" s="26" t="e">
        <f t="shared" si="31"/>
        <v>#REF!</v>
      </c>
      <c r="U42" s="27" t="e">
        <f t="shared" si="32"/>
        <v>#REF!</v>
      </c>
      <c r="V42" s="27"/>
      <c r="W42" s="26">
        <f t="shared" si="33"/>
        <v>96</v>
      </c>
      <c r="X42" s="26" t="e">
        <f t="shared" si="34"/>
        <v>#REF!</v>
      </c>
      <c r="Y42" s="27" t="e">
        <f t="shared" si="35"/>
        <v>#REF!</v>
      </c>
    </row>
    <row r="43" spans="1:25" ht="16.5" customHeight="1" x14ac:dyDescent="0.25">
      <c r="A43" s="16" t="s">
        <v>102</v>
      </c>
      <c r="B43" s="16" t="s">
        <v>103</v>
      </c>
      <c r="C43" s="25">
        <f t="shared" si="18"/>
        <v>366</v>
      </c>
      <c r="D43" s="25" t="e">
        <f t="shared" si="19"/>
        <v>#REF!</v>
      </c>
      <c r="E43" s="27" t="e">
        <f t="shared" si="20"/>
        <v>#REF!</v>
      </c>
      <c r="F43" s="25"/>
      <c r="G43" s="25">
        <f t="shared" si="21"/>
        <v>229</v>
      </c>
      <c r="H43" s="25" t="e">
        <f t="shared" si="22"/>
        <v>#REF!</v>
      </c>
      <c r="I43" s="27" t="e">
        <f t="shared" si="23"/>
        <v>#REF!</v>
      </c>
      <c r="J43" s="25"/>
      <c r="K43" s="25">
        <f t="shared" si="24"/>
        <v>47</v>
      </c>
      <c r="L43" s="25" t="e">
        <f t="shared" si="25"/>
        <v>#REF!</v>
      </c>
      <c r="M43" s="27" t="e">
        <f t="shared" si="26"/>
        <v>#REF!</v>
      </c>
      <c r="N43" s="27"/>
      <c r="O43" s="26" t="str">
        <f t="shared" si="27"/>
        <v>Eastern</v>
      </c>
      <c r="P43" s="26" t="e">
        <f t="shared" si="28"/>
        <v>#REF!</v>
      </c>
      <c r="Q43" s="27" t="e">
        <f t="shared" si="29"/>
        <v>#VALUE!</v>
      </c>
      <c r="R43" s="27"/>
      <c r="S43" s="26">
        <f t="shared" si="30"/>
        <v>383</v>
      </c>
      <c r="T43" s="26" t="e">
        <f t="shared" si="31"/>
        <v>#REF!</v>
      </c>
      <c r="U43" s="27" t="e">
        <f t="shared" si="32"/>
        <v>#REF!</v>
      </c>
      <c r="V43" s="27"/>
      <c r="W43" s="26">
        <f t="shared" si="33"/>
        <v>211</v>
      </c>
      <c r="X43" s="26" t="e">
        <f t="shared" si="34"/>
        <v>#REF!</v>
      </c>
      <c r="Y43" s="27" t="e">
        <f t="shared" si="35"/>
        <v>#REF!</v>
      </c>
    </row>
    <row r="44" spans="1:25" ht="16.5" customHeight="1" x14ac:dyDescent="0.25">
      <c r="A44" s="16" t="s">
        <v>104</v>
      </c>
      <c r="B44" s="16" t="s">
        <v>309</v>
      </c>
      <c r="C44" s="25">
        <f t="shared" si="18"/>
        <v>480</v>
      </c>
      <c r="D44" s="25" t="e">
        <f t="shared" si="19"/>
        <v>#REF!</v>
      </c>
      <c r="E44" s="27" t="e">
        <f t="shared" si="20"/>
        <v>#REF!</v>
      </c>
      <c r="F44" s="25"/>
      <c r="G44" s="25">
        <f t="shared" si="21"/>
        <v>300</v>
      </c>
      <c r="H44" s="25" t="e">
        <f t="shared" si="22"/>
        <v>#REF!</v>
      </c>
      <c r="I44" s="27" t="e">
        <f t="shared" si="23"/>
        <v>#REF!</v>
      </c>
      <c r="J44" s="25"/>
      <c r="K44" s="25">
        <f t="shared" si="24"/>
        <v>221</v>
      </c>
      <c r="L44" s="25" t="e">
        <f t="shared" si="25"/>
        <v>#REF!</v>
      </c>
      <c r="M44" s="27" t="e">
        <f t="shared" si="26"/>
        <v>#REF!</v>
      </c>
      <c r="N44" s="27"/>
      <c r="O44" s="26" t="str">
        <f t="shared" si="27"/>
        <v>Piedmont</v>
      </c>
      <c r="P44" s="26" t="e">
        <f t="shared" si="28"/>
        <v>#REF!</v>
      </c>
      <c r="Q44" s="27" t="e">
        <f t="shared" si="29"/>
        <v>#VALUE!</v>
      </c>
      <c r="R44" s="27"/>
      <c r="S44" s="26">
        <f t="shared" si="30"/>
        <v>502</v>
      </c>
      <c r="T44" s="26" t="e">
        <f t="shared" si="31"/>
        <v>#REF!</v>
      </c>
      <c r="U44" s="27" t="e">
        <f t="shared" si="32"/>
        <v>#REF!</v>
      </c>
      <c r="V44" s="27"/>
      <c r="W44" s="26">
        <f t="shared" si="33"/>
        <v>276</v>
      </c>
      <c r="X44" s="26" t="e">
        <f t="shared" si="34"/>
        <v>#REF!</v>
      </c>
      <c r="Y44" s="27" t="e">
        <f t="shared" si="35"/>
        <v>#REF!</v>
      </c>
    </row>
    <row r="45" spans="1:25" ht="16.5" customHeight="1" x14ac:dyDescent="0.25">
      <c r="A45" s="16" t="s">
        <v>108</v>
      </c>
      <c r="B45" s="16" t="s">
        <v>109</v>
      </c>
      <c r="C45" s="25">
        <f t="shared" si="18"/>
        <v>268</v>
      </c>
      <c r="D45" s="25" t="e">
        <f t="shared" si="19"/>
        <v>#REF!</v>
      </c>
      <c r="E45" s="27" t="e">
        <f t="shared" si="20"/>
        <v>#REF!</v>
      </c>
      <c r="F45" s="25"/>
      <c r="G45" s="25">
        <f t="shared" si="21"/>
        <v>230</v>
      </c>
      <c r="H45" s="25" t="e">
        <f t="shared" si="22"/>
        <v>#REF!</v>
      </c>
      <c r="I45" s="27" t="e">
        <f t="shared" si="23"/>
        <v>#REF!</v>
      </c>
      <c r="J45" s="25"/>
      <c r="K45" s="25">
        <f t="shared" si="24"/>
        <v>224</v>
      </c>
      <c r="L45" s="25" t="e">
        <f t="shared" si="25"/>
        <v>#REF!</v>
      </c>
      <c r="M45" s="27" t="e">
        <f t="shared" si="26"/>
        <v>#REF!</v>
      </c>
      <c r="N45" s="27"/>
      <c r="O45" s="26" t="str">
        <f t="shared" si="27"/>
        <v>Central</v>
      </c>
      <c r="P45" s="26" t="e">
        <f t="shared" si="28"/>
        <v>#REF!</v>
      </c>
      <c r="Q45" s="27" t="e">
        <f t="shared" si="29"/>
        <v>#VALUE!</v>
      </c>
      <c r="R45" s="27"/>
      <c r="S45" s="26">
        <f t="shared" si="30"/>
        <v>316</v>
      </c>
      <c r="T45" s="26" t="e">
        <f t="shared" si="31"/>
        <v>#REF!</v>
      </c>
      <c r="U45" s="27" t="e">
        <f t="shared" si="32"/>
        <v>#REF!</v>
      </c>
      <c r="V45" s="27"/>
      <c r="W45" s="26">
        <f t="shared" si="33"/>
        <v>181</v>
      </c>
      <c r="X45" s="26" t="e">
        <f t="shared" si="34"/>
        <v>#REF!</v>
      </c>
      <c r="Y45" s="27" t="e">
        <f t="shared" si="35"/>
        <v>#REF!</v>
      </c>
    </row>
    <row r="46" spans="1:25" ht="16.5" customHeight="1" x14ac:dyDescent="0.25">
      <c r="A46" s="16" t="s">
        <v>110</v>
      </c>
      <c r="B46" s="16" t="s">
        <v>111</v>
      </c>
      <c r="C46" s="25">
        <f t="shared" si="18"/>
        <v>3044</v>
      </c>
      <c r="D46" s="25" t="e">
        <f t="shared" si="19"/>
        <v>#REF!</v>
      </c>
      <c r="E46" s="27" t="e">
        <f t="shared" si="20"/>
        <v>#REF!</v>
      </c>
      <c r="F46" s="25"/>
      <c r="G46" s="25">
        <f t="shared" si="21"/>
        <v>1835</v>
      </c>
      <c r="H46" s="25" t="e">
        <f t="shared" si="22"/>
        <v>#REF!</v>
      </c>
      <c r="I46" s="27" t="e">
        <f t="shared" si="23"/>
        <v>#REF!</v>
      </c>
      <c r="J46" s="25"/>
      <c r="K46" s="25">
        <f t="shared" si="24"/>
        <v>756</v>
      </c>
      <c r="L46" s="25" t="e">
        <f t="shared" si="25"/>
        <v>#REF!</v>
      </c>
      <c r="M46" s="27" t="e">
        <f t="shared" si="26"/>
        <v>#REF!</v>
      </c>
      <c r="N46" s="27"/>
      <c r="O46" s="26" t="str">
        <f t="shared" si="27"/>
        <v>Central</v>
      </c>
      <c r="P46" s="26" t="e">
        <f t="shared" si="28"/>
        <v>#REF!</v>
      </c>
      <c r="Q46" s="27" t="e">
        <f t="shared" si="29"/>
        <v>#VALUE!</v>
      </c>
      <c r="R46" s="27"/>
      <c r="S46" s="26">
        <f t="shared" si="30"/>
        <v>3105</v>
      </c>
      <c r="T46" s="26" t="e">
        <f t="shared" si="31"/>
        <v>#REF!</v>
      </c>
      <c r="U46" s="27" t="e">
        <f t="shared" si="32"/>
        <v>#REF!</v>
      </c>
      <c r="V46" s="27"/>
      <c r="W46" s="26">
        <f t="shared" si="33"/>
        <v>1768</v>
      </c>
      <c r="X46" s="26" t="e">
        <f t="shared" si="34"/>
        <v>#REF!</v>
      </c>
      <c r="Y46" s="27" t="e">
        <f t="shared" si="35"/>
        <v>#REF!</v>
      </c>
    </row>
    <row r="47" spans="1:25" ht="16.5" customHeight="1" x14ac:dyDescent="0.25">
      <c r="A47" s="16" t="s">
        <v>112</v>
      </c>
      <c r="B47" s="16" t="s">
        <v>300</v>
      </c>
      <c r="C47" s="25">
        <f t="shared" si="18"/>
        <v>1069</v>
      </c>
      <c r="D47" s="25" t="e">
        <f t="shared" si="19"/>
        <v>#REF!</v>
      </c>
      <c r="E47" s="27" t="e">
        <f t="shared" si="20"/>
        <v>#REF!</v>
      </c>
      <c r="F47" s="25"/>
      <c r="G47" s="25">
        <f t="shared" si="21"/>
        <v>761</v>
      </c>
      <c r="H47" s="25" t="e">
        <f t="shared" si="22"/>
        <v>#REF!</v>
      </c>
      <c r="I47" s="27" t="e">
        <f t="shared" si="23"/>
        <v>#REF!</v>
      </c>
      <c r="J47" s="25"/>
      <c r="K47" s="25">
        <f t="shared" si="24"/>
        <v>712</v>
      </c>
      <c r="L47" s="25" t="e">
        <f t="shared" si="25"/>
        <v>#REF!</v>
      </c>
      <c r="M47" s="27" t="e">
        <f t="shared" si="26"/>
        <v>#REF!</v>
      </c>
      <c r="N47" s="27"/>
      <c r="O47" s="26" t="str">
        <f t="shared" si="27"/>
        <v>Piedmont</v>
      </c>
      <c r="P47" s="26" t="e">
        <f t="shared" si="28"/>
        <v>#REF!</v>
      </c>
      <c r="Q47" s="27" t="e">
        <f t="shared" si="29"/>
        <v>#VALUE!</v>
      </c>
      <c r="R47" s="27"/>
      <c r="S47" s="26">
        <f t="shared" si="30"/>
        <v>1206</v>
      </c>
      <c r="T47" s="26" t="e">
        <f t="shared" si="31"/>
        <v>#REF!</v>
      </c>
      <c r="U47" s="27" t="e">
        <f t="shared" si="32"/>
        <v>#REF!</v>
      </c>
      <c r="V47" s="27"/>
      <c r="W47" s="26">
        <f t="shared" si="33"/>
        <v>624</v>
      </c>
      <c r="X47" s="26" t="e">
        <f t="shared" si="34"/>
        <v>#REF!</v>
      </c>
      <c r="Y47" s="27" t="e">
        <f t="shared" si="35"/>
        <v>#REF!</v>
      </c>
    </row>
    <row r="48" spans="1:25" ht="16.5" customHeight="1" x14ac:dyDescent="0.25">
      <c r="A48" s="16" t="s">
        <v>114</v>
      </c>
      <c r="B48" s="16" t="s">
        <v>115</v>
      </c>
      <c r="C48" s="25">
        <f t="shared" si="18"/>
        <v>8</v>
      </c>
      <c r="D48" s="25" t="e">
        <f t="shared" si="19"/>
        <v>#REF!</v>
      </c>
      <c r="E48" s="27" t="e">
        <f t="shared" si="20"/>
        <v>#REF!</v>
      </c>
      <c r="F48" s="25"/>
      <c r="G48" s="25">
        <f t="shared" si="21"/>
        <v>4</v>
      </c>
      <c r="H48" s="25" t="e">
        <f t="shared" si="22"/>
        <v>#REF!</v>
      </c>
      <c r="I48" s="27" t="e">
        <f t="shared" si="23"/>
        <v>#REF!</v>
      </c>
      <c r="J48" s="25"/>
      <c r="K48" s="25">
        <f t="shared" si="24"/>
        <v>8</v>
      </c>
      <c r="L48" s="25" t="e">
        <f t="shared" si="25"/>
        <v>#REF!</v>
      </c>
      <c r="M48" s="27" t="e">
        <f t="shared" si="26"/>
        <v>#REF!</v>
      </c>
      <c r="N48" s="27"/>
      <c r="O48" s="26" t="str">
        <f t="shared" si="27"/>
        <v>Piedmont</v>
      </c>
      <c r="P48" s="26" t="e">
        <f t="shared" si="28"/>
        <v>#REF!</v>
      </c>
      <c r="Q48" s="27" t="e">
        <f t="shared" si="29"/>
        <v>#VALUE!</v>
      </c>
      <c r="R48" s="27"/>
      <c r="S48" s="26">
        <f t="shared" si="30"/>
        <v>8</v>
      </c>
      <c r="T48" s="26" t="e">
        <f t="shared" si="31"/>
        <v>#REF!</v>
      </c>
      <c r="U48" s="27" t="e">
        <f t="shared" si="32"/>
        <v>#REF!</v>
      </c>
      <c r="V48" s="27"/>
      <c r="W48" s="26">
        <f t="shared" si="33"/>
        <v>4</v>
      </c>
      <c r="X48" s="26" t="e">
        <f t="shared" si="34"/>
        <v>#REF!</v>
      </c>
      <c r="Y48" s="27" t="e">
        <f t="shared" si="35"/>
        <v>#REF!</v>
      </c>
    </row>
    <row r="49" spans="1:25" ht="16.5" customHeight="1" x14ac:dyDescent="0.25">
      <c r="A49" s="16" t="s">
        <v>118</v>
      </c>
      <c r="B49" s="16" t="s">
        <v>119</v>
      </c>
      <c r="C49" s="25">
        <f t="shared" si="18"/>
        <v>281</v>
      </c>
      <c r="D49" s="25" t="e">
        <f t="shared" si="19"/>
        <v>#REF!</v>
      </c>
      <c r="E49" s="27" t="e">
        <f t="shared" si="20"/>
        <v>#REF!</v>
      </c>
      <c r="F49" s="25"/>
      <c r="G49" s="25">
        <f t="shared" si="21"/>
        <v>179</v>
      </c>
      <c r="H49" s="25" t="e">
        <f t="shared" si="22"/>
        <v>#REF!</v>
      </c>
      <c r="I49" s="27" t="e">
        <f t="shared" si="23"/>
        <v>#REF!</v>
      </c>
      <c r="J49" s="25"/>
      <c r="K49" s="25">
        <f t="shared" si="24"/>
        <v>173</v>
      </c>
      <c r="L49" s="25" t="e">
        <f t="shared" si="25"/>
        <v>#REF!</v>
      </c>
      <c r="M49" s="27" t="e">
        <f t="shared" si="26"/>
        <v>#REF!</v>
      </c>
      <c r="N49" s="27"/>
      <c r="O49" s="26" t="str">
        <f t="shared" si="27"/>
        <v>Eastern</v>
      </c>
      <c r="P49" s="26" t="e">
        <f t="shared" si="28"/>
        <v>#REF!</v>
      </c>
      <c r="Q49" s="27" t="e">
        <f t="shared" si="29"/>
        <v>#VALUE!</v>
      </c>
      <c r="R49" s="27"/>
      <c r="S49" s="26">
        <f t="shared" si="30"/>
        <v>298</v>
      </c>
      <c r="T49" s="26" t="e">
        <f t="shared" si="31"/>
        <v>#REF!</v>
      </c>
      <c r="U49" s="27" t="e">
        <f t="shared" si="32"/>
        <v>#REF!</v>
      </c>
      <c r="V49" s="27"/>
      <c r="W49" s="26">
        <f t="shared" si="33"/>
        <v>162</v>
      </c>
      <c r="X49" s="26" t="e">
        <f t="shared" si="34"/>
        <v>#REF!</v>
      </c>
      <c r="Y49" s="27" t="e">
        <f t="shared" si="35"/>
        <v>#REF!</v>
      </c>
    </row>
    <row r="50" spans="1:25" ht="16.5" customHeight="1" x14ac:dyDescent="0.25">
      <c r="A50" s="16" t="s">
        <v>120</v>
      </c>
      <c r="B50" s="16" t="s">
        <v>121</v>
      </c>
      <c r="C50" s="25">
        <f t="shared" si="18"/>
        <v>446</v>
      </c>
      <c r="D50" s="25" t="e">
        <f t="shared" si="19"/>
        <v>#REF!</v>
      </c>
      <c r="E50" s="27" t="e">
        <f t="shared" si="20"/>
        <v>#REF!</v>
      </c>
      <c r="F50" s="25"/>
      <c r="G50" s="25">
        <f t="shared" si="21"/>
        <v>279</v>
      </c>
      <c r="H50" s="25" t="e">
        <f t="shared" si="22"/>
        <v>#REF!</v>
      </c>
      <c r="I50" s="27" t="e">
        <f t="shared" si="23"/>
        <v>#REF!</v>
      </c>
      <c r="J50" s="25"/>
      <c r="K50" s="25">
        <f t="shared" si="24"/>
        <v>254</v>
      </c>
      <c r="L50" s="25" t="e">
        <f t="shared" si="25"/>
        <v>#REF!</v>
      </c>
      <c r="M50" s="27" t="e">
        <f t="shared" si="26"/>
        <v>#REF!</v>
      </c>
      <c r="N50" s="27"/>
      <c r="O50" s="26" t="str">
        <f t="shared" si="27"/>
        <v>Eastern</v>
      </c>
      <c r="P50" s="26" t="e">
        <f t="shared" si="28"/>
        <v>#REF!</v>
      </c>
      <c r="Q50" s="27" t="e">
        <f t="shared" si="29"/>
        <v>#VALUE!</v>
      </c>
      <c r="R50" s="27"/>
      <c r="S50" s="26">
        <f t="shared" si="30"/>
        <v>465</v>
      </c>
      <c r="T50" s="26" t="e">
        <f t="shared" si="31"/>
        <v>#REF!</v>
      </c>
      <c r="U50" s="27" t="e">
        <f t="shared" si="32"/>
        <v>#REF!</v>
      </c>
      <c r="V50" s="27"/>
      <c r="W50" s="26">
        <f t="shared" si="33"/>
        <v>260</v>
      </c>
      <c r="X50" s="26" t="e">
        <f t="shared" si="34"/>
        <v>#REF!</v>
      </c>
      <c r="Y50" s="27" t="e">
        <f t="shared" si="35"/>
        <v>#REF!</v>
      </c>
    </row>
    <row r="51" spans="1:25" ht="16.5" customHeight="1" x14ac:dyDescent="0.25">
      <c r="A51" s="16" t="s">
        <v>122</v>
      </c>
      <c r="B51" s="16" t="s">
        <v>271</v>
      </c>
      <c r="C51" s="25">
        <f t="shared" si="18"/>
        <v>83</v>
      </c>
      <c r="D51" s="25" t="e">
        <f t="shared" si="19"/>
        <v>#REF!</v>
      </c>
      <c r="E51" s="27" t="e">
        <f t="shared" si="20"/>
        <v>#REF!</v>
      </c>
      <c r="F51" s="25"/>
      <c r="G51" s="25">
        <f t="shared" si="21"/>
        <v>51</v>
      </c>
      <c r="H51" s="25" t="e">
        <f t="shared" si="22"/>
        <v>#REF!</v>
      </c>
      <c r="I51" s="27" t="e">
        <f t="shared" si="23"/>
        <v>#REF!</v>
      </c>
      <c r="J51" s="25"/>
      <c r="K51" s="25">
        <f t="shared" si="24"/>
        <v>47</v>
      </c>
      <c r="L51" s="25" t="e">
        <f t="shared" si="25"/>
        <v>#REF!</v>
      </c>
      <c r="M51" s="27" t="e">
        <f t="shared" si="26"/>
        <v>#REF!</v>
      </c>
      <c r="N51" s="27"/>
      <c r="O51" s="26" t="str">
        <f t="shared" si="27"/>
        <v>Central</v>
      </c>
      <c r="P51" s="26" t="e">
        <f t="shared" si="28"/>
        <v>#REF!</v>
      </c>
      <c r="Q51" s="27" t="e">
        <f t="shared" si="29"/>
        <v>#VALUE!</v>
      </c>
      <c r="R51" s="27"/>
      <c r="S51" s="26">
        <f t="shared" si="30"/>
        <v>90</v>
      </c>
      <c r="T51" s="26" t="e">
        <f t="shared" si="31"/>
        <v>#REF!</v>
      </c>
      <c r="U51" s="27" t="e">
        <f t="shared" si="32"/>
        <v>#REF!</v>
      </c>
      <c r="V51" s="27"/>
      <c r="W51" s="26">
        <f t="shared" si="33"/>
        <v>44</v>
      </c>
      <c r="X51" s="26" t="e">
        <f t="shared" si="34"/>
        <v>#REF!</v>
      </c>
      <c r="Y51" s="27" t="e">
        <f t="shared" si="35"/>
        <v>#REF!</v>
      </c>
    </row>
    <row r="52" spans="1:25" ht="16.5" customHeight="1" x14ac:dyDescent="0.25">
      <c r="A52" s="16" t="s">
        <v>124</v>
      </c>
      <c r="B52" s="16" t="s">
        <v>125</v>
      </c>
      <c r="C52" s="25">
        <f t="shared" si="18"/>
        <v>185</v>
      </c>
      <c r="D52" s="25" t="e">
        <f t="shared" si="19"/>
        <v>#REF!</v>
      </c>
      <c r="E52" s="27" t="e">
        <f t="shared" si="20"/>
        <v>#REF!</v>
      </c>
      <c r="F52" s="25"/>
      <c r="G52" s="25">
        <f t="shared" si="21"/>
        <v>108</v>
      </c>
      <c r="H52" s="25" t="e">
        <f t="shared" si="22"/>
        <v>#REF!</v>
      </c>
      <c r="I52" s="27" t="e">
        <f t="shared" si="23"/>
        <v>#REF!</v>
      </c>
      <c r="J52" s="25"/>
      <c r="K52" s="25">
        <f t="shared" si="24"/>
        <v>129</v>
      </c>
      <c r="L52" s="25" t="e">
        <f t="shared" si="25"/>
        <v>#REF!</v>
      </c>
      <c r="M52" s="27" t="e">
        <f t="shared" si="26"/>
        <v>#REF!</v>
      </c>
      <c r="N52" s="27"/>
      <c r="O52" s="26" t="str">
        <f t="shared" si="27"/>
        <v>Northern</v>
      </c>
      <c r="P52" s="26" t="e">
        <f t="shared" si="28"/>
        <v>#REF!</v>
      </c>
      <c r="Q52" s="27" t="e">
        <f t="shared" si="29"/>
        <v>#VALUE!</v>
      </c>
      <c r="R52" s="27"/>
      <c r="S52" s="26">
        <f t="shared" si="30"/>
        <v>197</v>
      </c>
      <c r="T52" s="26" t="e">
        <f t="shared" si="31"/>
        <v>#REF!</v>
      </c>
      <c r="U52" s="27" t="e">
        <f t="shared" si="32"/>
        <v>#REF!</v>
      </c>
      <c r="V52" s="27"/>
      <c r="W52" s="26">
        <f t="shared" si="33"/>
        <v>96</v>
      </c>
      <c r="X52" s="26" t="e">
        <f t="shared" si="34"/>
        <v>#REF!</v>
      </c>
      <c r="Y52" s="27" t="e">
        <f t="shared" si="35"/>
        <v>#REF!</v>
      </c>
    </row>
    <row r="53" spans="1:25" ht="16.5" customHeight="1" x14ac:dyDescent="0.25">
      <c r="A53" s="16" t="s">
        <v>126</v>
      </c>
      <c r="B53" s="16" t="s">
        <v>127</v>
      </c>
      <c r="C53" s="25">
        <f t="shared" si="18"/>
        <v>73</v>
      </c>
      <c r="D53" s="25" t="e">
        <f t="shared" si="19"/>
        <v>#REF!</v>
      </c>
      <c r="E53" s="27" t="e">
        <f t="shared" si="20"/>
        <v>#REF!</v>
      </c>
      <c r="F53" s="25"/>
      <c r="G53" s="25">
        <f t="shared" si="21"/>
        <v>54</v>
      </c>
      <c r="H53" s="25" t="e">
        <f t="shared" si="22"/>
        <v>#REF!</v>
      </c>
      <c r="I53" s="27" t="e">
        <f t="shared" si="23"/>
        <v>#REF!</v>
      </c>
      <c r="J53" s="25"/>
      <c r="K53" s="25">
        <f t="shared" si="24"/>
        <v>59</v>
      </c>
      <c r="L53" s="25" t="e">
        <f t="shared" si="25"/>
        <v>#REF!</v>
      </c>
      <c r="M53" s="27" t="e">
        <f t="shared" si="26"/>
        <v>#REF!</v>
      </c>
      <c r="N53" s="27"/>
      <c r="O53" s="26" t="str">
        <f t="shared" si="27"/>
        <v>Central</v>
      </c>
      <c r="P53" s="26" t="e">
        <f t="shared" si="28"/>
        <v>#REF!</v>
      </c>
      <c r="Q53" s="27" t="e">
        <f t="shared" si="29"/>
        <v>#VALUE!</v>
      </c>
      <c r="R53" s="27"/>
      <c r="S53" s="26">
        <f t="shared" si="30"/>
        <v>82</v>
      </c>
      <c r="T53" s="26" t="e">
        <f t="shared" si="31"/>
        <v>#REF!</v>
      </c>
      <c r="U53" s="27" t="e">
        <f t="shared" si="32"/>
        <v>#REF!</v>
      </c>
      <c r="V53" s="27"/>
      <c r="W53" s="26">
        <f t="shared" si="33"/>
        <v>45</v>
      </c>
      <c r="X53" s="26" t="e">
        <f t="shared" si="34"/>
        <v>#REF!</v>
      </c>
      <c r="Y53" s="27" t="e">
        <f t="shared" si="35"/>
        <v>#REF!</v>
      </c>
    </row>
    <row r="54" spans="1:25" ht="16.5" customHeight="1" x14ac:dyDescent="0.25">
      <c r="A54" s="16" t="s">
        <v>128</v>
      </c>
      <c r="B54" s="16" t="s">
        <v>129</v>
      </c>
      <c r="C54" s="25">
        <f t="shared" si="18"/>
        <v>118</v>
      </c>
      <c r="D54" s="25" t="e">
        <f t="shared" si="19"/>
        <v>#REF!</v>
      </c>
      <c r="E54" s="27" t="e">
        <f t="shared" si="20"/>
        <v>#REF!</v>
      </c>
      <c r="F54" s="25"/>
      <c r="G54" s="25">
        <f t="shared" si="21"/>
        <v>68</v>
      </c>
      <c r="H54" s="25" t="e">
        <f t="shared" si="22"/>
        <v>#REF!</v>
      </c>
      <c r="I54" s="27" t="e">
        <f t="shared" si="23"/>
        <v>#REF!</v>
      </c>
      <c r="J54" s="25"/>
      <c r="K54" s="25">
        <f t="shared" si="24"/>
        <v>62</v>
      </c>
      <c r="L54" s="25" t="e">
        <f t="shared" si="25"/>
        <v>#REF!</v>
      </c>
      <c r="M54" s="27" t="e">
        <f t="shared" si="26"/>
        <v>#REF!</v>
      </c>
      <c r="N54" s="27"/>
      <c r="O54" s="26" t="str">
        <f t="shared" si="27"/>
        <v>Central</v>
      </c>
      <c r="P54" s="26" t="e">
        <f t="shared" si="28"/>
        <v>#REF!</v>
      </c>
      <c r="Q54" s="27" t="e">
        <f t="shared" si="29"/>
        <v>#VALUE!</v>
      </c>
      <c r="R54" s="27"/>
      <c r="S54" s="26">
        <f t="shared" si="30"/>
        <v>123</v>
      </c>
      <c r="T54" s="26" t="e">
        <f t="shared" si="31"/>
        <v>#REF!</v>
      </c>
      <c r="U54" s="27" t="e">
        <f t="shared" si="32"/>
        <v>#REF!</v>
      </c>
      <c r="V54" s="27"/>
      <c r="W54" s="26">
        <f t="shared" si="33"/>
        <v>63</v>
      </c>
      <c r="X54" s="26" t="e">
        <f t="shared" si="34"/>
        <v>#REF!</v>
      </c>
      <c r="Y54" s="27" t="e">
        <f t="shared" si="35"/>
        <v>#REF!</v>
      </c>
    </row>
    <row r="55" spans="1:25" ht="16.5" customHeight="1" x14ac:dyDescent="0.25">
      <c r="A55" s="16" t="s">
        <v>130</v>
      </c>
      <c r="B55" s="16" t="s">
        <v>131</v>
      </c>
      <c r="C55" s="25">
        <f t="shared" si="18"/>
        <v>588</v>
      </c>
      <c r="D55" s="25" t="e">
        <f t="shared" si="19"/>
        <v>#REF!</v>
      </c>
      <c r="E55" s="27" t="e">
        <f t="shared" si="20"/>
        <v>#REF!</v>
      </c>
      <c r="F55" s="25"/>
      <c r="G55" s="25">
        <f t="shared" si="21"/>
        <v>454</v>
      </c>
      <c r="H55" s="25" t="e">
        <f t="shared" si="22"/>
        <v>#REF!</v>
      </c>
      <c r="I55" s="27" t="e">
        <f t="shared" si="23"/>
        <v>#REF!</v>
      </c>
      <c r="J55" s="25"/>
      <c r="K55" s="25">
        <f t="shared" si="24"/>
        <v>989</v>
      </c>
      <c r="L55" s="25" t="e">
        <f t="shared" si="25"/>
        <v>#REF!</v>
      </c>
      <c r="M55" s="27" t="e">
        <f t="shared" si="26"/>
        <v>#REF!</v>
      </c>
      <c r="N55" s="27"/>
      <c r="O55" s="26" t="str">
        <f t="shared" si="27"/>
        <v>Western</v>
      </c>
      <c r="P55" s="26" t="e">
        <f t="shared" si="28"/>
        <v>#REF!</v>
      </c>
      <c r="Q55" s="27" t="e">
        <f t="shared" si="29"/>
        <v>#VALUE!</v>
      </c>
      <c r="R55" s="27"/>
      <c r="S55" s="26">
        <f t="shared" si="30"/>
        <v>626</v>
      </c>
      <c r="T55" s="26" t="e">
        <f t="shared" si="31"/>
        <v>#REF!</v>
      </c>
      <c r="U55" s="27" t="e">
        <f t="shared" si="32"/>
        <v>#REF!</v>
      </c>
      <c r="V55" s="27"/>
      <c r="W55" s="26">
        <f t="shared" si="33"/>
        <v>416</v>
      </c>
      <c r="X55" s="26" t="e">
        <f t="shared" si="34"/>
        <v>#REF!</v>
      </c>
      <c r="Y55" s="27" t="e">
        <f t="shared" si="35"/>
        <v>#REF!</v>
      </c>
    </row>
    <row r="56" spans="1:25" ht="16.5" customHeight="1" x14ac:dyDescent="0.25">
      <c r="A56" s="16" t="s">
        <v>132</v>
      </c>
      <c r="B56" s="16" t="s">
        <v>133</v>
      </c>
      <c r="C56" s="25">
        <f t="shared" si="18"/>
        <v>762</v>
      </c>
      <c r="D56" s="25" t="e">
        <f t="shared" si="19"/>
        <v>#REF!</v>
      </c>
      <c r="E56" s="27" t="e">
        <f t="shared" si="20"/>
        <v>#REF!</v>
      </c>
      <c r="F56" s="25"/>
      <c r="G56" s="25">
        <f t="shared" si="21"/>
        <v>509</v>
      </c>
      <c r="H56" s="25" t="e">
        <f t="shared" si="22"/>
        <v>#REF!</v>
      </c>
      <c r="I56" s="27" t="e">
        <f t="shared" si="23"/>
        <v>#REF!</v>
      </c>
      <c r="J56" s="25"/>
      <c r="K56" s="25">
        <f t="shared" si="24"/>
        <v>420</v>
      </c>
      <c r="L56" s="25" t="e">
        <f t="shared" si="25"/>
        <v>#REF!</v>
      </c>
      <c r="M56" s="27" t="e">
        <f t="shared" si="26"/>
        <v>#REF!</v>
      </c>
      <c r="N56" s="27"/>
      <c r="O56" s="26" t="str">
        <f t="shared" si="27"/>
        <v>Northern</v>
      </c>
      <c r="P56" s="26" t="e">
        <f t="shared" si="28"/>
        <v>#REF!</v>
      </c>
      <c r="Q56" s="27" t="e">
        <f t="shared" si="29"/>
        <v>#VALUE!</v>
      </c>
      <c r="R56" s="27"/>
      <c r="S56" s="26">
        <f t="shared" si="30"/>
        <v>735</v>
      </c>
      <c r="T56" s="26" t="e">
        <f t="shared" si="31"/>
        <v>#REF!</v>
      </c>
      <c r="U56" s="27" t="e">
        <f t="shared" si="32"/>
        <v>#REF!</v>
      </c>
      <c r="V56" s="27"/>
      <c r="W56" s="26">
        <f t="shared" si="33"/>
        <v>532</v>
      </c>
      <c r="X56" s="26" t="e">
        <f t="shared" si="34"/>
        <v>#REF!</v>
      </c>
      <c r="Y56" s="27" t="e">
        <f t="shared" si="35"/>
        <v>#REF!</v>
      </c>
    </row>
    <row r="57" spans="1:25" ht="16.5" customHeight="1" x14ac:dyDescent="0.25">
      <c r="A57" s="16" t="s">
        <v>134</v>
      </c>
      <c r="B57" s="16" t="s">
        <v>135</v>
      </c>
      <c r="C57" s="25">
        <f t="shared" si="18"/>
        <v>255</v>
      </c>
      <c r="D57" s="25" t="e">
        <f t="shared" si="19"/>
        <v>#REF!</v>
      </c>
      <c r="E57" s="27" t="e">
        <f t="shared" si="20"/>
        <v>#REF!</v>
      </c>
      <c r="F57" s="25"/>
      <c r="G57" s="25">
        <f t="shared" si="21"/>
        <v>156</v>
      </c>
      <c r="H57" s="25" t="e">
        <f t="shared" si="22"/>
        <v>#REF!</v>
      </c>
      <c r="I57" s="27" t="e">
        <f t="shared" si="23"/>
        <v>#REF!</v>
      </c>
      <c r="J57" s="25"/>
      <c r="K57" s="25">
        <f t="shared" si="24"/>
        <v>213</v>
      </c>
      <c r="L57" s="25" t="e">
        <f t="shared" si="25"/>
        <v>#REF!</v>
      </c>
      <c r="M57" s="27" t="e">
        <f t="shared" si="26"/>
        <v>#REF!</v>
      </c>
      <c r="N57" s="27"/>
      <c r="O57" s="26" t="str">
        <f t="shared" si="27"/>
        <v>Northern</v>
      </c>
      <c r="P57" s="26" t="e">
        <f t="shared" si="28"/>
        <v>#REF!</v>
      </c>
      <c r="Q57" s="27" t="e">
        <f t="shared" si="29"/>
        <v>#VALUE!</v>
      </c>
      <c r="R57" s="27"/>
      <c r="S57" s="26">
        <f t="shared" si="30"/>
        <v>268</v>
      </c>
      <c r="T57" s="26" t="e">
        <f t="shared" si="31"/>
        <v>#REF!</v>
      </c>
      <c r="U57" s="27" t="e">
        <f t="shared" si="32"/>
        <v>#REF!</v>
      </c>
      <c r="V57" s="27"/>
      <c r="W57" s="26">
        <f t="shared" si="33"/>
        <v>142</v>
      </c>
      <c r="X57" s="26" t="e">
        <f t="shared" si="34"/>
        <v>#REF!</v>
      </c>
      <c r="Y57" s="27" t="e">
        <f t="shared" si="35"/>
        <v>#REF!</v>
      </c>
    </row>
    <row r="58" spans="1:25" ht="16.5" customHeight="1" x14ac:dyDescent="0.25">
      <c r="A58" s="16" t="s">
        <v>136</v>
      </c>
      <c r="B58" s="16" t="s">
        <v>137</v>
      </c>
      <c r="C58" s="25">
        <f t="shared" si="18"/>
        <v>102</v>
      </c>
      <c r="D58" s="25" t="e">
        <f t="shared" si="19"/>
        <v>#REF!</v>
      </c>
      <c r="E58" s="27" t="e">
        <f t="shared" si="20"/>
        <v>#REF!</v>
      </c>
      <c r="F58" s="25"/>
      <c r="G58" s="25">
        <f t="shared" si="21"/>
        <v>68</v>
      </c>
      <c r="H58" s="25" t="e">
        <f t="shared" si="22"/>
        <v>#REF!</v>
      </c>
      <c r="I58" s="27" t="e">
        <f t="shared" si="23"/>
        <v>#REF!</v>
      </c>
      <c r="J58" s="25"/>
      <c r="K58" s="25">
        <f t="shared" si="24"/>
        <v>55</v>
      </c>
      <c r="L58" s="25" t="e">
        <f t="shared" si="25"/>
        <v>#REF!</v>
      </c>
      <c r="M58" s="27" t="e">
        <f t="shared" si="26"/>
        <v>#REF!</v>
      </c>
      <c r="N58" s="27"/>
      <c r="O58" s="26" t="str">
        <f t="shared" si="27"/>
        <v>Central</v>
      </c>
      <c r="P58" s="26" t="e">
        <f t="shared" si="28"/>
        <v>#REF!</v>
      </c>
      <c r="Q58" s="27" t="e">
        <f t="shared" si="29"/>
        <v>#VALUE!</v>
      </c>
      <c r="R58" s="27"/>
      <c r="S58" s="26">
        <f t="shared" si="30"/>
        <v>109</v>
      </c>
      <c r="T58" s="26" t="e">
        <f t="shared" si="31"/>
        <v>#REF!</v>
      </c>
      <c r="U58" s="27" t="e">
        <f t="shared" si="32"/>
        <v>#REF!</v>
      </c>
      <c r="V58" s="27"/>
      <c r="W58" s="26">
        <f t="shared" si="33"/>
        <v>61</v>
      </c>
      <c r="X58" s="26" t="e">
        <f t="shared" si="34"/>
        <v>#REF!</v>
      </c>
      <c r="Y58" s="27" t="e">
        <f t="shared" si="35"/>
        <v>#REF!</v>
      </c>
    </row>
    <row r="59" spans="1:25" ht="16.5" customHeight="1" x14ac:dyDescent="0.25">
      <c r="A59" s="16" t="s">
        <v>140</v>
      </c>
      <c r="B59" s="16" t="s">
        <v>141</v>
      </c>
      <c r="C59" s="25">
        <f t="shared" si="18"/>
        <v>56</v>
      </c>
      <c r="D59" s="25" t="e">
        <f t="shared" si="19"/>
        <v>#REF!</v>
      </c>
      <c r="E59" s="27" t="e">
        <f t="shared" si="20"/>
        <v>#REF!</v>
      </c>
      <c r="F59" s="25"/>
      <c r="G59" s="25">
        <f t="shared" si="21"/>
        <v>39</v>
      </c>
      <c r="H59" s="25" t="e">
        <f t="shared" si="22"/>
        <v>#REF!</v>
      </c>
      <c r="I59" s="27" t="e">
        <f t="shared" si="23"/>
        <v>#REF!</v>
      </c>
      <c r="J59" s="25"/>
      <c r="K59" s="25">
        <f t="shared" si="24"/>
        <v>68</v>
      </c>
      <c r="L59" s="25" t="e">
        <f t="shared" si="25"/>
        <v>#REF!</v>
      </c>
      <c r="M59" s="27" t="e">
        <f t="shared" si="26"/>
        <v>#REF!</v>
      </c>
      <c r="N59" s="27"/>
      <c r="O59" s="26" t="str">
        <f t="shared" si="27"/>
        <v>Northern</v>
      </c>
      <c r="P59" s="26" t="e">
        <f t="shared" si="28"/>
        <v>#REF!</v>
      </c>
      <c r="Q59" s="27" t="e">
        <f t="shared" si="29"/>
        <v>#VALUE!</v>
      </c>
      <c r="R59" s="27"/>
      <c r="S59" s="26">
        <f t="shared" si="30"/>
        <v>67</v>
      </c>
      <c r="T59" s="26" t="e">
        <f t="shared" si="31"/>
        <v>#REF!</v>
      </c>
      <c r="U59" s="27" t="e">
        <f t="shared" si="32"/>
        <v>#REF!</v>
      </c>
      <c r="V59" s="27"/>
      <c r="W59" s="26">
        <f t="shared" si="33"/>
        <v>28</v>
      </c>
      <c r="X59" s="26" t="e">
        <f t="shared" si="34"/>
        <v>#REF!</v>
      </c>
      <c r="Y59" s="27" t="e">
        <f t="shared" si="35"/>
        <v>#REF!</v>
      </c>
    </row>
    <row r="60" spans="1:25" ht="16.5" customHeight="1" x14ac:dyDescent="0.25">
      <c r="A60" s="16" t="s">
        <v>146</v>
      </c>
      <c r="B60" s="16" t="s">
        <v>147</v>
      </c>
      <c r="C60" s="25">
        <f t="shared" si="18"/>
        <v>48</v>
      </c>
      <c r="D60" s="25" t="e">
        <f t="shared" si="19"/>
        <v>#REF!</v>
      </c>
      <c r="E60" s="27" t="e">
        <f t="shared" si="20"/>
        <v>#REF!</v>
      </c>
      <c r="F60" s="25"/>
      <c r="G60" s="25">
        <f t="shared" si="21"/>
        <v>30</v>
      </c>
      <c r="H60" s="25" t="e">
        <f t="shared" si="22"/>
        <v>#REF!</v>
      </c>
      <c r="I60" s="27" t="e">
        <f t="shared" si="23"/>
        <v>#REF!</v>
      </c>
      <c r="J60" s="25"/>
      <c r="K60" s="25">
        <f t="shared" si="24"/>
        <v>53</v>
      </c>
      <c r="L60" s="25" t="e">
        <f t="shared" si="25"/>
        <v>#REF!</v>
      </c>
      <c r="M60" s="27" t="e">
        <f t="shared" si="26"/>
        <v>#REF!</v>
      </c>
      <c r="N60" s="27"/>
      <c r="O60" s="26" t="str">
        <f t="shared" si="27"/>
        <v>Eastern</v>
      </c>
      <c r="P60" s="26" t="e">
        <f t="shared" si="28"/>
        <v>#REF!</v>
      </c>
      <c r="Q60" s="27" t="e">
        <f t="shared" si="29"/>
        <v>#VALUE!</v>
      </c>
      <c r="R60" s="27"/>
      <c r="S60" s="26">
        <f t="shared" si="30"/>
        <v>51</v>
      </c>
      <c r="T60" s="26" t="e">
        <f t="shared" si="31"/>
        <v>#REF!</v>
      </c>
      <c r="U60" s="27" t="e">
        <f t="shared" si="32"/>
        <v>#REF!</v>
      </c>
      <c r="V60" s="27"/>
      <c r="W60" s="26">
        <f t="shared" si="33"/>
        <v>27</v>
      </c>
      <c r="X60" s="26" t="e">
        <f t="shared" si="34"/>
        <v>#REF!</v>
      </c>
      <c r="Y60" s="27" t="e">
        <f t="shared" si="35"/>
        <v>#REF!</v>
      </c>
    </row>
    <row r="61" spans="1:25" ht="16.5" customHeight="1" x14ac:dyDescent="0.25">
      <c r="A61" s="16" t="s">
        <v>148</v>
      </c>
      <c r="B61" s="16" t="s">
        <v>149</v>
      </c>
      <c r="C61" s="25">
        <f t="shared" si="18"/>
        <v>308</v>
      </c>
      <c r="D61" s="25" t="e">
        <f t="shared" si="19"/>
        <v>#REF!</v>
      </c>
      <c r="E61" s="27" t="e">
        <f t="shared" si="20"/>
        <v>#REF!</v>
      </c>
      <c r="F61" s="25"/>
      <c r="G61" s="25">
        <f t="shared" si="21"/>
        <v>198</v>
      </c>
      <c r="H61" s="25" t="e">
        <f t="shared" si="22"/>
        <v>#REF!</v>
      </c>
      <c r="I61" s="27" t="e">
        <f t="shared" si="23"/>
        <v>#REF!</v>
      </c>
      <c r="J61" s="25"/>
      <c r="K61" s="25">
        <f t="shared" si="24"/>
        <v>100</v>
      </c>
      <c r="L61" s="25" t="e">
        <f t="shared" si="25"/>
        <v>#REF!</v>
      </c>
      <c r="M61" s="27" t="e">
        <f t="shared" si="26"/>
        <v>#REF!</v>
      </c>
      <c r="N61" s="27"/>
      <c r="O61" s="26" t="str">
        <f t="shared" si="27"/>
        <v>Piedmont</v>
      </c>
      <c r="P61" s="26" t="e">
        <f t="shared" si="28"/>
        <v>#REF!</v>
      </c>
      <c r="Q61" s="27" t="e">
        <f t="shared" si="29"/>
        <v>#VALUE!</v>
      </c>
      <c r="R61" s="27"/>
      <c r="S61" s="26">
        <f t="shared" si="30"/>
        <v>342</v>
      </c>
      <c r="T61" s="26" t="e">
        <f t="shared" si="31"/>
        <v>#REF!</v>
      </c>
      <c r="U61" s="27" t="e">
        <f t="shared" si="32"/>
        <v>#REF!</v>
      </c>
      <c r="V61" s="27"/>
      <c r="W61" s="26">
        <f t="shared" si="33"/>
        <v>164</v>
      </c>
      <c r="X61" s="26" t="e">
        <f t="shared" si="34"/>
        <v>#REF!</v>
      </c>
      <c r="Y61" s="27" t="e">
        <f t="shared" si="35"/>
        <v>#REF!</v>
      </c>
    </row>
    <row r="62" spans="1:25" ht="16.5" customHeight="1" x14ac:dyDescent="0.25">
      <c r="A62" s="16" t="s">
        <v>150</v>
      </c>
      <c r="B62" s="16" t="s">
        <v>151</v>
      </c>
      <c r="C62" s="25">
        <f t="shared" si="18"/>
        <v>139</v>
      </c>
      <c r="D62" s="25" t="e">
        <f t="shared" si="19"/>
        <v>#REF!</v>
      </c>
      <c r="E62" s="27" t="e">
        <f t="shared" si="20"/>
        <v>#REF!</v>
      </c>
      <c r="F62" s="25"/>
      <c r="G62" s="25">
        <f t="shared" si="21"/>
        <v>93</v>
      </c>
      <c r="H62" s="25" t="e">
        <f t="shared" si="22"/>
        <v>#REF!</v>
      </c>
      <c r="I62" s="27" t="e">
        <f t="shared" si="23"/>
        <v>#REF!</v>
      </c>
      <c r="J62" s="25"/>
      <c r="K62" s="25">
        <f t="shared" si="24"/>
        <v>129</v>
      </c>
      <c r="L62" s="25" t="e">
        <f t="shared" si="25"/>
        <v>#REF!</v>
      </c>
      <c r="M62" s="27" t="e">
        <f t="shared" si="26"/>
        <v>#REF!</v>
      </c>
      <c r="N62" s="27"/>
      <c r="O62" s="26" t="str">
        <f t="shared" si="27"/>
        <v>Central</v>
      </c>
      <c r="P62" s="26" t="e">
        <f t="shared" si="28"/>
        <v>#REF!</v>
      </c>
      <c r="Q62" s="27" t="e">
        <f t="shared" si="29"/>
        <v>#VALUE!</v>
      </c>
      <c r="R62" s="27"/>
      <c r="S62" s="26">
        <f t="shared" si="30"/>
        <v>140</v>
      </c>
      <c r="T62" s="26" t="e">
        <f t="shared" si="31"/>
        <v>#REF!</v>
      </c>
      <c r="U62" s="27" t="e">
        <f t="shared" si="32"/>
        <v>#REF!</v>
      </c>
      <c r="V62" s="27"/>
      <c r="W62" s="26">
        <f t="shared" si="33"/>
        <v>92</v>
      </c>
      <c r="X62" s="26" t="e">
        <f t="shared" si="34"/>
        <v>#REF!</v>
      </c>
      <c r="Y62" s="27" t="e">
        <f t="shared" si="35"/>
        <v>#REF!</v>
      </c>
    </row>
    <row r="63" spans="1:25" ht="16.5" customHeight="1" x14ac:dyDescent="0.25">
      <c r="A63" s="16" t="s">
        <v>152</v>
      </c>
      <c r="B63" s="16" t="s">
        <v>153</v>
      </c>
      <c r="C63" s="25">
        <f t="shared" si="18"/>
        <v>613</v>
      </c>
      <c r="D63" s="25" t="e">
        <f t="shared" si="19"/>
        <v>#REF!</v>
      </c>
      <c r="E63" s="27" t="e">
        <f t="shared" si="20"/>
        <v>#REF!</v>
      </c>
      <c r="F63" s="25"/>
      <c r="G63" s="25">
        <f t="shared" si="21"/>
        <v>469</v>
      </c>
      <c r="H63" s="25" t="e">
        <f t="shared" si="22"/>
        <v>#REF!</v>
      </c>
      <c r="I63" s="27" t="e">
        <f t="shared" si="23"/>
        <v>#REF!</v>
      </c>
      <c r="J63" s="25"/>
      <c r="K63" s="25">
        <f t="shared" si="24"/>
        <v>832</v>
      </c>
      <c r="L63" s="25" t="e">
        <f t="shared" si="25"/>
        <v>#REF!</v>
      </c>
      <c r="M63" s="27" t="e">
        <f t="shared" si="26"/>
        <v>#REF!</v>
      </c>
      <c r="N63" s="27"/>
      <c r="O63" s="26" t="str">
        <f t="shared" si="27"/>
        <v>Western</v>
      </c>
      <c r="P63" s="26" t="e">
        <f t="shared" si="28"/>
        <v>#REF!</v>
      </c>
      <c r="Q63" s="27" t="e">
        <f t="shared" si="29"/>
        <v>#VALUE!</v>
      </c>
      <c r="R63" s="27"/>
      <c r="S63" s="26">
        <f t="shared" si="30"/>
        <v>704</v>
      </c>
      <c r="T63" s="26" t="e">
        <f t="shared" si="31"/>
        <v>#REF!</v>
      </c>
      <c r="U63" s="27" t="e">
        <f t="shared" si="32"/>
        <v>#REF!</v>
      </c>
      <c r="V63" s="27"/>
      <c r="W63" s="26">
        <f t="shared" si="33"/>
        <v>378</v>
      </c>
      <c r="X63" s="26" t="e">
        <f t="shared" si="34"/>
        <v>#REF!</v>
      </c>
      <c r="Y63" s="27" t="e">
        <f t="shared" si="35"/>
        <v>#REF!</v>
      </c>
    </row>
    <row r="64" spans="1:25" ht="16.5" customHeight="1" x14ac:dyDescent="0.25">
      <c r="A64" s="16" t="s">
        <v>154</v>
      </c>
      <c r="B64" s="16" t="s">
        <v>155</v>
      </c>
      <c r="C64" s="25">
        <f t="shared" si="18"/>
        <v>130</v>
      </c>
      <c r="D64" s="25" t="e">
        <f t="shared" si="19"/>
        <v>#REF!</v>
      </c>
      <c r="E64" s="27" t="e">
        <f t="shared" si="20"/>
        <v>#REF!</v>
      </c>
      <c r="F64" s="25"/>
      <c r="G64" s="25">
        <f t="shared" si="21"/>
        <v>90</v>
      </c>
      <c r="H64" s="25" t="e">
        <f t="shared" si="22"/>
        <v>#REF!</v>
      </c>
      <c r="I64" s="27" t="e">
        <f t="shared" si="23"/>
        <v>#REF!</v>
      </c>
      <c r="J64" s="25"/>
      <c r="K64" s="25">
        <f t="shared" si="24"/>
        <v>131</v>
      </c>
      <c r="L64" s="25" t="e">
        <f t="shared" si="25"/>
        <v>#REF!</v>
      </c>
      <c r="M64" s="27" t="e">
        <f t="shared" si="26"/>
        <v>#REF!</v>
      </c>
      <c r="N64" s="27"/>
      <c r="O64" s="26" t="str">
        <f t="shared" si="27"/>
        <v>Piedmont</v>
      </c>
      <c r="P64" s="26" t="e">
        <f t="shared" si="28"/>
        <v>#REF!</v>
      </c>
      <c r="Q64" s="27" t="e">
        <f t="shared" si="29"/>
        <v>#VALUE!</v>
      </c>
      <c r="R64" s="27"/>
      <c r="S64" s="26">
        <f t="shared" si="30"/>
        <v>142</v>
      </c>
      <c r="T64" s="26" t="e">
        <f t="shared" si="31"/>
        <v>#REF!</v>
      </c>
      <c r="U64" s="27" t="e">
        <f t="shared" si="32"/>
        <v>#REF!</v>
      </c>
      <c r="V64" s="27"/>
      <c r="W64" s="26">
        <f t="shared" si="33"/>
        <v>78</v>
      </c>
      <c r="X64" s="26" t="e">
        <f t="shared" si="34"/>
        <v>#REF!</v>
      </c>
      <c r="Y64" s="27" t="e">
        <f t="shared" si="35"/>
        <v>#REF!</v>
      </c>
    </row>
    <row r="65" spans="1:25" ht="16.5" customHeight="1" x14ac:dyDescent="0.25">
      <c r="A65" s="16" t="s">
        <v>156</v>
      </c>
      <c r="B65" s="16" t="s">
        <v>157</v>
      </c>
      <c r="C65" s="25">
        <f t="shared" si="18"/>
        <v>115</v>
      </c>
      <c r="D65" s="25" t="e">
        <f t="shared" si="19"/>
        <v>#REF!</v>
      </c>
      <c r="E65" s="27" t="e">
        <f t="shared" si="20"/>
        <v>#REF!</v>
      </c>
      <c r="F65" s="25"/>
      <c r="G65" s="25">
        <f t="shared" si="21"/>
        <v>95</v>
      </c>
      <c r="H65" s="25" t="e">
        <f t="shared" si="22"/>
        <v>#REF!</v>
      </c>
      <c r="I65" s="27" t="e">
        <f t="shared" si="23"/>
        <v>#REF!</v>
      </c>
      <c r="J65" s="25"/>
      <c r="K65" s="25">
        <f t="shared" si="24"/>
        <v>119</v>
      </c>
      <c r="L65" s="25" t="e">
        <f t="shared" si="25"/>
        <v>#REF!</v>
      </c>
      <c r="M65" s="27" t="e">
        <f t="shared" si="26"/>
        <v>#REF!</v>
      </c>
      <c r="N65" s="27"/>
      <c r="O65" s="26" t="str">
        <f t="shared" si="27"/>
        <v>Central</v>
      </c>
      <c r="P65" s="26" t="e">
        <f t="shared" si="28"/>
        <v>#REF!</v>
      </c>
      <c r="Q65" s="27" t="e">
        <f t="shared" si="29"/>
        <v>#VALUE!</v>
      </c>
      <c r="R65" s="27"/>
      <c r="S65" s="26">
        <f t="shared" si="30"/>
        <v>138</v>
      </c>
      <c r="T65" s="26" t="e">
        <f t="shared" si="31"/>
        <v>#REF!</v>
      </c>
      <c r="U65" s="27" t="e">
        <f t="shared" si="32"/>
        <v>#REF!</v>
      </c>
      <c r="V65" s="27"/>
      <c r="W65" s="26">
        <f t="shared" si="33"/>
        <v>72</v>
      </c>
      <c r="X65" s="26" t="e">
        <f t="shared" si="34"/>
        <v>#REF!</v>
      </c>
      <c r="Y65" s="27" t="e">
        <f t="shared" si="35"/>
        <v>#REF!</v>
      </c>
    </row>
    <row r="66" spans="1:25" ht="16.5" customHeight="1" x14ac:dyDescent="0.25">
      <c r="A66" s="16" t="s">
        <v>162</v>
      </c>
      <c r="B66" s="16" t="s">
        <v>163</v>
      </c>
      <c r="C66" s="25">
        <f t="shared" si="18"/>
        <v>162</v>
      </c>
      <c r="D66" s="25" t="e">
        <f t="shared" si="19"/>
        <v>#REF!</v>
      </c>
      <c r="E66" s="27" t="e">
        <f t="shared" si="20"/>
        <v>#REF!</v>
      </c>
      <c r="F66" s="25"/>
      <c r="G66" s="25">
        <f t="shared" si="21"/>
        <v>105</v>
      </c>
      <c r="H66" s="25" t="e">
        <f t="shared" si="22"/>
        <v>#REF!</v>
      </c>
      <c r="I66" s="27" t="e">
        <f t="shared" si="23"/>
        <v>#REF!</v>
      </c>
      <c r="J66" s="25"/>
      <c r="K66" s="25">
        <f t="shared" si="24"/>
        <v>46</v>
      </c>
      <c r="L66" s="25" t="e">
        <f t="shared" si="25"/>
        <v>#REF!</v>
      </c>
      <c r="M66" s="27" t="e">
        <f t="shared" si="26"/>
        <v>#REF!</v>
      </c>
      <c r="N66" s="27"/>
      <c r="O66" s="26" t="str">
        <f t="shared" si="27"/>
        <v>Eastern</v>
      </c>
      <c r="P66" s="26" t="e">
        <f t="shared" si="28"/>
        <v>#REF!</v>
      </c>
      <c r="Q66" s="27" t="e">
        <f t="shared" si="29"/>
        <v>#VALUE!</v>
      </c>
      <c r="R66" s="27"/>
      <c r="S66" s="26">
        <f t="shared" si="30"/>
        <v>175</v>
      </c>
      <c r="T66" s="26" t="e">
        <f t="shared" si="31"/>
        <v>#REF!</v>
      </c>
      <c r="U66" s="27" t="e">
        <f t="shared" si="32"/>
        <v>#REF!</v>
      </c>
      <c r="V66" s="27"/>
      <c r="W66" s="26">
        <f t="shared" si="33"/>
        <v>92</v>
      </c>
      <c r="X66" s="26" t="e">
        <f t="shared" si="34"/>
        <v>#REF!</v>
      </c>
      <c r="Y66" s="27" t="e">
        <f t="shared" si="35"/>
        <v>#REF!</v>
      </c>
    </row>
    <row r="67" spans="1:25" ht="16.5" customHeight="1" x14ac:dyDescent="0.25">
      <c r="A67" s="16" t="s">
        <v>164</v>
      </c>
      <c r="B67" s="16" t="s">
        <v>165</v>
      </c>
      <c r="C67" s="25">
        <f t="shared" si="18"/>
        <v>92</v>
      </c>
      <c r="D67" s="25" t="e">
        <f t="shared" si="19"/>
        <v>#REF!</v>
      </c>
      <c r="E67" s="27" t="e">
        <f t="shared" si="20"/>
        <v>#REF!</v>
      </c>
      <c r="F67" s="25"/>
      <c r="G67" s="25">
        <f t="shared" si="21"/>
        <v>58</v>
      </c>
      <c r="H67" s="25" t="e">
        <f t="shared" si="22"/>
        <v>#REF!</v>
      </c>
      <c r="I67" s="27" t="e">
        <f t="shared" si="23"/>
        <v>#REF!</v>
      </c>
      <c r="J67" s="25"/>
      <c r="K67" s="25">
        <f t="shared" si="24"/>
        <v>60</v>
      </c>
      <c r="L67" s="25" t="e">
        <f t="shared" si="25"/>
        <v>#REF!</v>
      </c>
      <c r="M67" s="27" t="e">
        <f t="shared" si="26"/>
        <v>#REF!</v>
      </c>
      <c r="N67" s="27"/>
      <c r="O67" s="26" t="str">
        <f t="shared" si="27"/>
        <v>Central</v>
      </c>
      <c r="P67" s="26" t="e">
        <f t="shared" si="28"/>
        <v>#REF!</v>
      </c>
      <c r="Q67" s="27" t="e">
        <f t="shared" si="29"/>
        <v>#VALUE!</v>
      </c>
      <c r="R67" s="27"/>
      <c r="S67" s="26">
        <f t="shared" si="30"/>
        <v>95</v>
      </c>
      <c r="T67" s="26" t="e">
        <f t="shared" si="31"/>
        <v>#REF!</v>
      </c>
      <c r="U67" s="27" t="e">
        <f t="shared" si="32"/>
        <v>#REF!</v>
      </c>
      <c r="V67" s="27"/>
      <c r="W67" s="26">
        <f t="shared" si="33"/>
        <v>54</v>
      </c>
      <c r="X67" s="26" t="e">
        <f t="shared" si="34"/>
        <v>#REF!</v>
      </c>
      <c r="Y67" s="27" t="e">
        <f t="shared" si="35"/>
        <v>#REF!</v>
      </c>
    </row>
    <row r="68" spans="1:25" ht="16.5" customHeight="1" x14ac:dyDescent="0.25">
      <c r="A68" s="16" t="s">
        <v>168</v>
      </c>
      <c r="B68" s="16" t="s">
        <v>169</v>
      </c>
      <c r="C68" s="25">
        <f t="shared" ref="C68:C99" si="36">VLOOKUP(A68,TANFClient_Demo,7,FALSE)</f>
        <v>236</v>
      </c>
      <c r="D68" s="25" t="e">
        <f t="shared" ref="D68:D99" si="37">VLOOKUP(A68,Pop,14,FALSE)</f>
        <v>#REF!</v>
      </c>
      <c r="E68" s="27" t="e">
        <f t="shared" ref="E68:E99" si="38">+C68/D68</f>
        <v>#REF!</v>
      </c>
      <c r="F68" s="25"/>
      <c r="G68" s="25">
        <f t="shared" ref="G68:G99" si="39">VLOOKUP(A68,TANFClient_Demo,8,FALSE)</f>
        <v>157</v>
      </c>
      <c r="H68" s="25" t="e">
        <f t="shared" ref="H68:H99" si="40">VLOOKUP(A68,Pop,15,FALSE)</f>
        <v>#REF!</v>
      </c>
      <c r="I68" s="27" t="e">
        <f t="shared" ref="I68:I99" si="41">+G68/H68</f>
        <v>#REF!</v>
      </c>
      <c r="J68" s="25"/>
      <c r="K68" s="25">
        <f t="shared" ref="K68:K99" si="42">VLOOKUP(A68,TANFClient_Demo,9,FALSE)</f>
        <v>95</v>
      </c>
      <c r="L68" s="25" t="e">
        <f t="shared" ref="L68:L99" si="43">VLOOKUP(A68,Pop,16,FALSE)</f>
        <v>#REF!</v>
      </c>
      <c r="M68" s="27" t="e">
        <f t="shared" ref="M68:M99" si="44">+K68/L68</f>
        <v>#REF!</v>
      </c>
      <c r="N68" s="27"/>
      <c r="O68" s="26" t="str">
        <f t="shared" ref="O68:O99" si="45">VLOOKUP(A68,TANFClient_Demo,3,FALSE)</f>
        <v>Central</v>
      </c>
      <c r="P68" s="26" t="e">
        <f t="shared" ref="P68:P99" si="46">VLOOKUP(A68,Pop,8,FALSE)</f>
        <v>#REF!</v>
      </c>
      <c r="Q68" s="27" t="e">
        <f t="shared" ref="Q68:Q99" si="47">+O68/P68</f>
        <v>#VALUE!</v>
      </c>
      <c r="R68" s="27"/>
      <c r="S68" s="26">
        <f t="shared" ref="S68:S99" si="48">VLOOKUP(A68,TANFClient_Demo,4,FALSE)</f>
        <v>257</v>
      </c>
      <c r="T68" s="26" t="e">
        <f t="shared" ref="T68:T99" si="49">VLOOKUP(A68,Pop,9,FALSE)</f>
        <v>#REF!</v>
      </c>
      <c r="U68" s="27" t="e">
        <f t="shared" ref="U68:U99" si="50">+S68/T68</f>
        <v>#REF!</v>
      </c>
      <c r="V68" s="27"/>
      <c r="W68" s="26">
        <f t="shared" ref="W68:W99" si="51">VLOOKUP(A68,TANFClient_Demo,5,FALSE)</f>
        <v>136</v>
      </c>
      <c r="X68" s="26" t="e">
        <f t="shared" ref="X68:X99" si="52">VLOOKUP(A68,Pop,10,FALSE)</f>
        <v>#REF!</v>
      </c>
      <c r="Y68" s="27" t="e">
        <f t="shared" ref="Y68:Y99" si="53">+W68/X68</f>
        <v>#REF!</v>
      </c>
    </row>
    <row r="69" spans="1:25" ht="16.5" customHeight="1" x14ac:dyDescent="0.25">
      <c r="A69" s="16" t="s">
        <v>170</v>
      </c>
      <c r="B69" s="16" t="s">
        <v>171</v>
      </c>
      <c r="C69" s="25">
        <f t="shared" si="36"/>
        <v>260</v>
      </c>
      <c r="D69" s="25" t="e">
        <f t="shared" si="37"/>
        <v>#REF!</v>
      </c>
      <c r="E69" s="27" t="e">
        <f t="shared" si="38"/>
        <v>#REF!</v>
      </c>
      <c r="F69" s="25"/>
      <c r="G69" s="25">
        <f t="shared" si="39"/>
        <v>177</v>
      </c>
      <c r="H69" s="25" t="e">
        <f t="shared" si="40"/>
        <v>#REF!</v>
      </c>
      <c r="I69" s="27" t="e">
        <f t="shared" si="41"/>
        <v>#REF!</v>
      </c>
      <c r="J69" s="25"/>
      <c r="K69" s="25">
        <f t="shared" si="42"/>
        <v>219</v>
      </c>
      <c r="L69" s="25" t="e">
        <f t="shared" si="43"/>
        <v>#REF!</v>
      </c>
      <c r="M69" s="27" t="e">
        <f t="shared" si="44"/>
        <v>#REF!</v>
      </c>
      <c r="N69" s="27"/>
      <c r="O69" s="26" t="str">
        <f t="shared" si="45"/>
        <v>Northern</v>
      </c>
      <c r="P69" s="26" t="e">
        <f t="shared" si="46"/>
        <v>#REF!</v>
      </c>
      <c r="Q69" s="27" t="e">
        <f t="shared" si="47"/>
        <v>#VALUE!</v>
      </c>
      <c r="R69" s="27"/>
      <c r="S69" s="26">
        <f t="shared" si="48"/>
        <v>291</v>
      </c>
      <c r="T69" s="26" t="e">
        <f t="shared" si="49"/>
        <v>#REF!</v>
      </c>
      <c r="U69" s="27" t="e">
        <f t="shared" si="50"/>
        <v>#REF!</v>
      </c>
      <c r="V69" s="27"/>
      <c r="W69" s="26">
        <f t="shared" si="51"/>
        <v>146</v>
      </c>
      <c r="X69" s="26" t="e">
        <f t="shared" si="52"/>
        <v>#REF!</v>
      </c>
      <c r="Y69" s="27" t="e">
        <f t="shared" si="53"/>
        <v>#REF!</v>
      </c>
    </row>
    <row r="70" spans="1:25" ht="16.5" customHeight="1" x14ac:dyDescent="0.25">
      <c r="A70" s="16" t="s">
        <v>172</v>
      </c>
      <c r="B70" s="16" t="s">
        <v>173</v>
      </c>
      <c r="C70" s="25">
        <f t="shared" si="36"/>
        <v>131</v>
      </c>
      <c r="D70" s="25" t="e">
        <f t="shared" si="37"/>
        <v>#REF!</v>
      </c>
      <c r="E70" s="27" t="e">
        <f t="shared" si="38"/>
        <v>#REF!</v>
      </c>
      <c r="F70" s="25"/>
      <c r="G70" s="25">
        <f t="shared" si="39"/>
        <v>82</v>
      </c>
      <c r="H70" s="25" t="e">
        <f t="shared" si="40"/>
        <v>#REF!</v>
      </c>
      <c r="I70" s="27" t="e">
        <f t="shared" si="41"/>
        <v>#REF!</v>
      </c>
      <c r="J70" s="25"/>
      <c r="K70" s="25">
        <f t="shared" si="42"/>
        <v>185</v>
      </c>
      <c r="L70" s="25" t="e">
        <f t="shared" si="43"/>
        <v>#REF!</v>
      </c>
      <c r="M70" s="27" t="e">
        <f t="shared" si="44"/>
        <v>#REF!</v>
      </c>
      <c r="N70" s="27"/>
      <c r="O70" s="26" t="str">
        <f t="shared" si="45"/>
        <v>Northern</v>
      </c>
      <c r="P70" s="26" t="e">
        <f t="shared" si="46"/>
        <v>#REF!</v>
      </c>
      <c r="Q70" s="27" t="e">
        <f t="shared" si="47"/>
        <v>#VALUE!</v>
      </c>
      <c r="R70" s="27"/>
      <c r="S70" s="26">
        <f t="shared" si="48"/>
        <v>142</v>
      </c>
      <c r="T70" s="26" t="e">
        <f t="shared" si="49"/>
        <v>#REF!</v>
      </c>
      <c r="U70" s="27" t="e">
        <f t="shared" si="50"/>
        <v>#REF!</v>
      </c>
      <c r="V70" s="27"/>
      <c r="W70" s="26">
        <f t="shared" si="51"/>
        <v>70</v>
      </c>
      <c r="X70" s="26" t="e">
        <f t="shared" si="52"/>
        <v>#REF!</v>
      </c>
      <c r="Y70" s="27" t="e">
        <f t="shared" si="53"/>
        <v>#REF!</v>
      </c>
    </row>
    <row r="71" spans="1:25" ht="16.5" customHeight="1" x14ac:dyDescent="0.25">
      <c r="A71" s="16" t="s">
        <v>174</v>
      </c>
      <c r="B71" s="16" t="s">
        <v>175</v>
      </c>
      <c r="C71" s="25">
        <f t="shared" si="36"/>
        <v>232</v>
      </c>
      <c r="D71" s="25" t="e">
        <f t="shared" si="37"/>
        <v>#REF!</v>
      </c>
      <c r="E71" s="27" t="e">
        <f t="shared" si="38"/>
        <v>#REF!</v>
      </c>
      <c r="F71" s="25"/>
      <c r="G71" s="25">
        <f t="shared" si="39"/>
        <v>184</v>
      </c>
      <c r="H71" s="25" t="e">
        <f t="shared" si="40"/>
        <v>#REF!</v>
      </c>
      <c r="I71" s="27" t="e">
        <f t="shared" si="41"/>
        <v>#REF!</v>
      </c>
      <c r="J71" s="25"/>
      <c r="K71" s="25">
        <f t="shared" si="42"/>
        <v>347</v>
      </c>
      <c r="L71" s="25" t="e">
        <f t="shared" si="43"/>
        <v>#REF!</v>
      </c>
      <c r="M71" s="27" t="e">
        <f t="shared" si="44"/>
        <v>#REF!</v>
      </c>
      <c r="N71" s="27"/>
      <c r="O71" s="26" t="str">
        <f t="shared" si="45"/>
        <v>Western</v>
      </c>
      <c r="P71" s="26" t="e">
        <f t="shared" si="46"/>
        <v>#REF!</v>
      </c>
      <c r="Q71" s="27" t="e">
        <f t="shared" si="47"/>
        <v>#VALUE!</v>
      </c>
      <c r="R71" s="27"/>
      <c r="S71" s="26">
        <f t="shared" si="48"/>
        <v>246</v>
      </c>
      <c r="T71" s="26" t="e">
        <f t="shared" si="49"/>
        <v>#REF!</v>
      </c>
      <c r="U71" s="27" t="e">
        <f t="shared" si="50"/>
        <v>#REF!</v>
      </c>
      <c r="V71" s="27"/>
      <c r="W71" s="26">
        <f t="shared" si="51"/>
        <v>170</v>
      </c>
      <c r="X71" s="26" t="e">
        <f t="shared" si="52"/>
        <v>#REF!</v>
      </c>
      <c r="Y71" s="27" t="e">
        <f t="shared" si="53"/>
        <v>#REF!</v>
      </c>
    </row>
    <row r="72" spans="1:25" ht="16.5" customHeight="1" x14ac:dyDescent="0.25">
      <c r="A72" s="16" t="s">
        <v>178</v>
      </c>
      <c r="B72" s="16" t="s">
        <v>179</v>
      </c>
      <c r="C72" s="25">
        <f t="shared" si="36"/>
        <v>553</v>
      </c>
      <c r="D72" s="25" t="e">
        <f t="shared" si="37"/>
        <v>#REF!</v>
      </c>
      <c r="E72" s="27" t="e">
        <f t="shared" si="38"/>
        <v>#REF!</v>
      </c>
      <c r="F72" s="25"/>
      <c r="G72" s="25">
        <f t="shared" si="39"/>
        <v>359</v>
      </c>
      <c r="H72" s="25" t="e">
        <f t="shared" si="40"/>
        <v>#REF!</v>
      </c>
      <c r="I72" s="27" t="e">
        <f t="shared" si="41"/>
        <v>#REF!</v>
      </c>
      <c r="J72" s="25"/>
      <c r="K72" s="25">
        <f t="shared" si="42"/>
        <v>464</v>
      </c>
      <c r="L72" s="25" t="e">
        <f t="shared" si="43"/>
        <v>#REF!</v>
      </c>
      <c r="M72" s="27" t="e">
        <f t="shared" si="44"/>
        <v>#REF!</v>
      </c>
      <c r="N72" s="27"/>
      <c r="O72" s="26" t="str">
        <f t="shared" si="45"/>
        <v>Piedmont</v>
      </c>
      <c r="P72" s="26" t="e">
        <f t="shared" si="46"/>
        <v>#REF!</v>
      </c>
      <c r="Q72" s="27" t="e">
        <f t="shared" si="47"/>
        <v>#VALUE!</v>
      </c>
      <c r="R72" s="27"/>
      <c r="S72" s="26">
        <f t="shared" si="48"/>
        <v>591</v>
      </c>
      <c r="T72" s="26" t="e">
        <f t="shared" si="49"/>
        <v>#REF!</v>
      </c>
      <c r="U72" s="27" t="e">
        <f t="shared" si="50"/>
        <v>#REF!</v>
      </c>
      <c r="V72" s="27"/>
      <c r="W72" s="26">
        <f t="shared" si="51"/>
        <v>319</v>
      </c>
      <c r="X72" s="26" t="e">
        <f t="shared" si="52"/>
        <v>#REF!</v>
      </c>
      <c r="Y72" s="27" t="e">
        <f t="shared" si="53"/>
        <v>#REF!</v>
      </c>
    </row>
    <row r="73" spans="1:25" ht="16.5" customHeight="1" x14ac:dyDescent="0.25">
      <c r="A73" s="16" t="s">
        <v>182</v>
      </c>
      <c r="B73" s="16" t="s">
        <v>183</v>
      </c>
      <c r="C73" s="25">
        <f t="shared" si="36"/>
        <v>94</v>
      </c>
      <c r="D73" s="25" t="e">
        <f t="shared" si="37"/>
        <v>#REF!</v>
      </c>
      <c r="E73" s="27" t="e">
        <f t="shared" si="38"/>
        <v>#REF!</v>
      </c>
      <c r="F73" s="25"/>
      <c r="G73" s="25">
        <f t="shared" si="39"/>
        <v>69</v>
      </c>
      <c r="H73" s="25" t="e">
        <f t="shared" si="40"/>
        <v>#REF!</v>
      </c>
      <c r="I73" s="27" t="e">
        <f t="shared" si="41"/>
        <v>#REF!</v>
      </c>
      <c r="J73" s="25"/>
      <c r="K73" s="25">
        <f t="shared" si="42"/>
        <v>131</v>
      </c>
      <c r="L73" s="25" t="e">
        <f t="shared" si="43"/>
        <v>#REF!</v>
      </c>
      <c r="M73" s="27" t="e">
        <f t="shared" si="44"/>
        <v>#REF!</v>
      </c>
      <c r="N73" s="27"/>
      <c r="O73" s="26" t="str">
        <f t="shared" si="45"/>
        <v>Central</v>
      </c>
      <c r="P73" s="26" t="e">
        <f t="shared" si="46"/>
        <v>#REF!</v>
      </c>
      <c r="Q73" s="27" t="e">
        <f t="shared" si="47"/>
        <v>#VALUE!</v>
      </c>
      <c r="R73" s="27"/>
      <c r="S73" s="26">
        <f t="shared" si="48"/>
        <v>104</v>
      </c>
      <c r="T73" s="26" t="e">
        <f t="shared" si="49"/>
        <v>#REF!</v>
      </c>
      <c r="U73" s="27" t="e">
        <f t="shared" si="50"/>
        <v>#REF!</v>
      </c>
      <c r="V73" s="27"/>
      <c r="W73" s="26">
        <f t="shared" si="51"/>
        <v>59</v>
      </c>
      <c r="X73" s="26" t="e">
        <f t="shared" si="52"/>
        <v>#REF!</v>
      </c>
      <c r="Y73" s="27" t="e">
        <f t="shared" si="53"/>
        <v>#REF!</v>
      </c>
    </row>
    <row r="74" spans="1:25" ht="16.5" customHeight="1" x14ac:dyDescent="0.25">
      <c r="A74" s="16" t="s">
        <v>184</v>
      </c>
      <c r="B74" s="16" t="s">
        <v>185</v>
      </c>
      <c r="C74" s="25">
        <f t="shared" si="36"/>
        <v>315</v>
      </c>
      <c r="D74" s="25" t="e">
        <f t="shared" si="37"/>
        <v>#REF!</v>
      </c>
      <c r="E74" s="27" t="e">
        <f t="shared" si="38"/>
        <v>#REF!</v>
      </c>
      <c r="F74" s="25"/>
      <c r="G74" s="25">
        <f t="shared" si="39"/>
        <v>180</v>
      </c>
      <c r="H74" s="25" t="e">
        <f t="shared" si="40"/>
        <v>#REF!</v>
      </c>
      <c r="I74" s="27" t="e">
        <f t="shared" si="41"/>
        <v>#REF!</v>
      </c>
      <c r="J74" s="25"/>
      <c r="K74" s="25">
        <f t="shared" si="42"/>
        <v>96</v>
      </c>
      <c r="L74" s="25" t="e">
        <f t="shared" si="43"/>
        <v>#REF!</v>
      </c>
      <c r="M74" s="27" t="e">
        <f t="shared" si="44"/>
        <v>#REF!</v>
      </c>
      <c r="N74" s="27"/>
      <c r="O74" s="26" t="str">
        <f t="shared" si="45"/>
        <v>Central</v>
      </c>
      <c r="P74" s="26" t="e">
        <f t="shared" si="46"/>
        <v>#REF!</v>
      </c>
      <c r="Q74" s="27" t="e">
        <f t="shared" si="47"/>
        <v>#VALUE!</v>
      </c>
      <c r="R74" s="27"/>
      <c r="S74" s="26">
        <f t="shared" si="48"/>
        <v>319</v>
      </c>
      <c r="T74" s="26" t="e">
        <f t="shared" si="49"/>
        <v>#REF!</v>
      </c>
      <c r="U74" s="27" t="e">
        <f t="shared" si="50"/>
        <v>#REF!</v>
      </c>
      <c r="V74" s="27"/>
      <c r="W74" s="26">
        <f t="shared" si="51"/>
        <v>176</v>
      </c>
      <c r="X74" s="26" t="e">
        <f t="shared" si="52"/>
        <v>#REF!</v>
      </c>
      <c r="Y74" s="27" t="e">
        <f t="shared" si="53"/>
        <v>#REF!</v>
      </c>
    </row>
    <row r="75" spans="1:25" ht="16.5" customHeight="1" x14ac:dyDescent="0.25">
      <c r="A75" s="16" t="s">
        <v>186</v>
      </c>
      <c r="B75" s="16" t="s">
        <v>187</v>
      </c>
      <c r="C75" s="25">
        <f t="shared" si="36"/>
        <v>267</v>
      </c>
      <c r="D75" s="25" t="e">
        <f t="shared" si="37"/>
        <v>#REF!</v>
      </c>
      <c r="E75" s="27" t="e">
        <f t="shared" si="38"/>
        <v>#REF!</v>
      </c>
      <c r="F75" s="25"/>
      <c r="G75" s="25">
        <f t="shared" si="39"/>
        <v>185</v>
      </c>
      <c r="H75" s="25" t="e">
        <f t="shared" si="40"/>
        <v>#REF!</v>
      </c>
      <c r="I75" s="27" t="e">
        <f t="shared" si="41"/>
        <v>#REF!</v>
      </c>
      <c r="J75" s="25"/>
      <c r="K75" s="25">
        <f t="shared" si="42"/>
        <v>185</v>
      </c>
      <c r="L75" s="25" t="e">
        <f t="shared" si="43"/>
        <v>#REF!</v>
      </c>
      <c r="M75" s="27" t="e">
        <f t="shared" si="44"/>
        <v>#REF!</v>
      </c>
      <c r="N75" s="27"/>
      <c r="O75" s="26" t="str">
        <f t="shared" si="45"/>
        <v>Eastern</v>
      </c>
      <c r="P75" s="26" t="e">
        <f t="shared" si="46"/>
        <v>#REF!</v>
      </c>
      <c r="Q75" s="27" t="e">
        <f t="shared" si="47"/>
        <v>#VALUE!</v>
      </c>
      <c r="R75" s="27"/>
      <c r="S75" s="26">
        <f t="shared" si="48"/>
        <v>293</v>
      </c>
      <c r="T75" s="26" t="e">
        <f t="shared" si="49"/>
        <v>#REF!</v>
      </c>
      <c r="U75" s="27" t="e">
        <f t="shared" si="50"/>
        <v>#REF!</v>
      </c>
      <c r="V75" s="27"/>
      <c r="W75" s="26">
        <f t="shared" si="51"/>
        <v>159</v>
      </c>
      <c r="X75" s="26" t="e">
        <f t="shared" si="52"/>
        <v>#REF!</v>
      </c>
      <c r="Y75" s="27" t="e">
        <f t="shared" si="53"/>
        <v>#REF!</v>
      </c>
    </row>
    <row r="76" spans="1:25" ht="16.5" customHeight="1" x14ac:dyDescent="0.25">
      <c r="A76" s="16" t="s">
        <v>188</v>
      </c>
      <c r="B76" s="16" t="s">
        <v>189</v>
      </c>
      <c r="C76" s="25">
        <f t="shared" si="36"/>
        <v>2753</v>
      </c>
      <c r="D76" s="25" t="e">
        <f t="shared" si="37"/>
        <v>#REF!</v>
      </c>
      <c r="E76" s="27" t="e">
        <f t="shared" si="38"/>
        <v>#REF!</v>
      </c>
      <c r="F76" s="25"/>
      <c r="G76" s="25">
        <f t="shared" si="39"/>
        <v>1812</v>
      </c>
      <c r="H76" s="25" t="e">
        <f t="shared" si="40"/>
        <v>#REF!</v>
      </c>
      <c r="I76" s="27" t="e">
        <f t="shared" si="41"/>
        <v>#REF!</v>
      </c>
      <c r="J76" s="25"/>
      <c r="K76" s="25">
        <f t="shared" si="42"/>
        <v>1402</v>
      </c>
      <c r="L76" s="25" t="e">
        <f t="shared" si="43"/>
        <v>#REF!</v>
      </c>
      <c r="M76" s="27" t="e">
        <f t="shared" si="44"/>
        <v>#REF!</v>
      </c>
      <c r="N76" s="27"/>
      <c r="O76" s="26" t="str">
        <f t="shared" si="45"/>
        <v>Northern</v>
      </c>
      <c r="P76" s="26" t="e">
        <f t="shared" si="46"/>
        <v>#REF!</v>
      </c>
      <c r="Q76" s="27" t="e">
        <f t="shared" si="47"/>
        <v>#VALUE!</v>
      </c>
      <c r="R76" s="27"/>
      <c r="S76" s="26">
        <f t="shared" si="48"/>
        <v>2889</v>
      </c>
      <c r="T76" s="26" t="e">
        <f t="shared" si="49"/>
        <v>#REF!</v>
      </c>
      <c r="U76" s="27" t="e">
        <f t="shared" si="50"/>
        <v>#REF!</v>
      </c>
      <c r="V76" s="27"/>
      <c r="W76" s="26">
        <f t="shared" si="51"/>
        <v>1669</v>
      </c>
      <c r="X76" s="26" t="e">
        <f t="shared" si="52"/>
        <v>#REF!</v>
      </c>
      <c r="Y76" s="27" t="e">
        <f t="shared" si="53"/>
        <v>#REF!</v>
      </c>
    </row>
    <row r="77" spans="1:25" ht="16.5" customHeight="1" x14ac:dyDescent="0.25">
      <c r="A77" s="16" t="s">
        <v>190</v>
      </c>
      <c r="B77" s="16" t="s">
        <v>191</v>
      </c>
      <c r="C77" s="25">
        <f t="shared" si="36"/>
        <v>304</v>
      </c>
      <c r="D77" s="25" t="e">
        <f t="shared" si="37"/>
        <v>#REF!</v>
      </c>
      <c r="E77" s="27" t="e">
        <f t="shared" si="38"/>
        <v>#REF!</v>
      </c>
      <c r="F77" s="25"/>
      <c r="G77" s="25">
        <f t="shared" si="39"/>
        <v>230</v>
      </c>
      <c r="H77" s="25" t="e">
        <f t="shared" si="40"/>
        <v>#REF!</v>
      </c>
      <c r="I77" s="27" t="e">
        <f t="shared" si="41"/>
        <v>#REF!</v>
      </c>
      <c r="J77" s="25"/>
      <c r="K77" s="25">
        <f t="shared" si="42"/>
        <v>391</v>
      </c>
      <c r="L77" s="25" t="e">
        <f t="shared" si="43"/>
        <v>#REF!</v>
      </c>
      <c r="M77" s="27" t="e">
        <f t="shared" si="44"/>
        <v>#REF!</v>
      </c>
      <c r="N77" s="27"/>
      <c r="O77" s="26" t="str">
        <f t="shared" si="45"/>
        <v>Western</v>
      </c>
      <c r="P77" s="26" t="e">
        <f t="shared" si="46"/>
        <v>#REF!</v>
      </c>
      <c r="Q77" s="27" t="e">
        <f t="shared" si="47"/>
        <v>#VALUE!</v>
      </c>
      <c r="R77" s="27"/>
      <c r="S77" s="26">
        <f t="shared" si="48"/>
        <v>366</v>
      </c>
      <c r="T77" s="26" t="e">
        <f t="shared" si="49"/>
        <v>#REF!</v>
      </c>
      <c r="U77" s="27" t="e">
        <f t="shared" si="50"/>
        <v>#REF!</v>
      </c>
      <c r="V77" s="27"/>
      <c r="W77" s="26">
        <f t="shared" si="51"/>
        <v>168</v>
      </c>
      <c r="X77" s="26" t="e">
        <f t="shared" si="52"/>
        <v>#REF!</v>
      </c>
      <c r="Y77" s="27" t="e">
        <f t="shared" si="53"/>
        <v>#REF!</v>
      </c>
    </row>
    <row r="78" spans="1:25" ht="16.5" customHeight="1" x14ac:dyDescent="0.25">
      <c r="A78" s="16" t="s">
        <v>194</v>
      </c>
      <c r="B78" s="16" t="s">
        <v>195</v>
      </c>
      <c r="C78" s="25">
        <f t="shared" si="36"/>
        <v>21</v>
      </c>
      <c r="D78" s="25" t="e">
        <f t="shared" si="37"/>
        <v>#REF!</v>
      </c>
      <c r="E78" s="27" t="e">
        <f t="shared" si="38"/>
        <v>#REF!</v>
      </c>
      <c r="F78" s="25"/>
      <c r="G78" s="25">
        <f t="shared" si="39"/>
        <v>16</v>
      </c>
      <c r="H78" s="25" t="e">
        <f t="shared" si="40"/>
        <v>#REF!</v>
      </c>
      <c r="I78" s="27" t="e">
        <f t="shared" si="41"/>
        <v>#REF!</v>
      </c>
      <c r="J78" s="25"/>
      <c r="K78" s="25">
        <f t="shared" si="42"/>
        <v>31</v>
      </c>
      <c r="L78" s="25" t="e">
        <f t="shared" si="43"/>
        <v>#REF!</v>
      </c>
      <c r="M78" s="27" t="e">
        <f t="shared" si="44"/>
        <v>#REF!</v>
      </c>
      <c r="N78" s="27"/>
      <c r="O78" s="26" t="str">
        <f t="shared" si="45"/>
        <v>Northern</v>
      </c>
      <c r="P78" s="26" t="e">
        <f t="shared" si="46"/>
        <v>#REF!</v>
      </c>
      <c r="Q78" s="27" t="e">
        <f t="shared" si="47"/>
        <v>#VALUE!</v>
      </c>
      <c r="R78" s="27"/>
      <c r="S78" s="26">
        <f t="shared" si="48"/>
        <v>23</v>
      </c>
      <c r="T78" s="26" t="e">
        <f t="shared" si="49"/>
        <v>#REF!</v>
      </c>
      <c r="U78" s="27" t="e">
        <f t="shared" si="50"/>
        <v>#REF!</v>
      </c>
      <c r="V78" s="27"/>
      <c r="W78" s="26">
        <f t="shared" si="51"/>
        <v>14</v>
      </c>
      <c r="X78" s="26" t="e">
        <f t="shared" si="52"/>
        <v>#REF!</v>
      </c>
      <c r="Y78" s="27" t="e">
        <f t="shared" si="53"/>
        <v>#REF!</v>
      </c>
    </row>
    <row r="79" spans="1:25" ht="16.5" customHeight="1" x14ac:dyDescent="0.25">
      <c r="A79" s="16" t="s">
        <v>198</v>
      </c>
      <c r="B79" s="16" t="s">
        <v>199</v>
      </c>
      <c r="C79" s="25">
        <f t="shared" si="36"/>
        <v>127</v>
      </c>
      <c r="D79" s="25" t="e">
        <f t="shared" si="37"/>
        <v>#REF!</v>
      </c>
      <c r="E79" s="27" t="e">
        <f t="shared" si="38"/>
        <v>#REF!</v>
      </c>
      <c r="F79" s="25"/>
      <c r="G79" s="25">
        <f t="shared" si="39"/>
        <v>64</v>
      </c>
      <c r="H79" s="25" t="e">
        <f t="shared" si="40"/>
        <v>#REF!</v>
      </c>
      <c r="I79" s="27" t="e">
        <f t="shared" si="41"/>
        <v>#REF!</v>
      </c>
      <c r="J79" s="25"/>
      <c r="K79" s="25">
        <f t="shared" si="42"/>
        <v>53</v>
      </c>
      <c r="L79" s="25" t="e">
        <f t="shared" si="43"/>
        <v>#REF!</v>
      </c>
      <c r="M79" s="27" t="e">
        <f t="shared" si="44"/>
        <v>#REF!</v>
      </c>
      <c r="N79" s="27"/>
      <c r="O79" s="26" t="str">
        <f t="shared" si="45"/>
        <v>Central</v>
      </c>
      <c r="P79" s="26" t="e">
        <f t="shared" si="46"/>
        <v>#REF!</v>
      </c>
      <c r="Q79" s="27" t="e">
        <f t="shared" si="47"/>
        <v>#VALUE!</v>
      </c>
      <c r="R79" s="27"/>
      <c r="S79" s="26">
        <f t="shared" si="48"/>
        <v>123</v>
      </c>
      <c r="T79" s="26" t="e">
        <f t="shared" si="49"/>
        <v>#REF!</v>
      </c>
      <c r="U79" s="27" t="e">
        <f t="shared" si="50"/>
        <v>#REF!</v>
      </c>
      <c r="V79" s="27"/>
      <c r="W79" s="26">
        <f t="shared" si="51"/>
        <v>68</v>
      </c>
      <c r="X79" s="26" t="e">
        <f t="shared" si="52"/>
        <v>#REF!</v>
      </c>
      <c r="Y79" s="27" t="e">
        <f t="shared" si="53"/>
        <v>#REF!</v>
      </c>
    </row>
    <row r="80" spans="1:25" ht="16.5" customHeight="1" x14ac:dyDescent="0.25">
      <c r="A80" s="16" t="s">
        <v>202</v>
      </c>
      <c r="B80" s="16" t="s">
        <v>203</v>
      </c>
      <c r="C80" s="25">
        <f t="shared" si="36"/>
        <v>567</v>
      </c>
      <c r="D80" s="25" t="e">
        <f t="shared" si="37"/>
        <v>#REF!</v>
      </c>
      <c r="E80" s="27" t="e">
        <f t="shared" si="38"/>
        <v>#REF!</v>
      </c>
      <c r="F80" s="25"/>
      <c r="G80" s="25">
        <f t="shared" si="39"/>
        <v>398</v>
      </c>
      <c r="H80" s="25" t="e">
        <f t="shared" si="40"/>
        <v>#REF!</v>
      </c>
      <c r="I80" s="27" t="e">
        <f t="shared" si="41"/>
        <v>#REF!</v>
      </c>
      <c r="J80" s="25"/>
      <c r="K80" s="25">
        <f t="shared" si="42"/>
        <v>602</v>
      </c>
      <c r="L80" s="25" t="e">
        <f t="shared" si="43"/>
        <v>#REF!</v>
      </c>
      <c r="M80" s="27" t="e">
        <f t="shared" si="44"/>
        <v>#REF!</v>
      </c>
      <c r="N80" s="27"/>
      <c r="O80" s="26" t="str">
        <f t="shared" si="45"/>
        <v>Piedmont</v>
      </c>
      <c r="P80" s="26" t="e">
        <f t="shared" si="46"/>
        <v>#REF!</v>
      </c>
      <c r="Q80" s="27" t="e">
        <f t="shared" si="47"/>
        <v>#VALUE!</v>
      </c>
      <c r="R80" s="27"/>
      <c r="S80" s="26">
        <f t="shared" si="48"/>
        <v>662</v>
      </c>
      <c r="T80" s="26" t="e">
        <f t="shared" si="49"/>
        <v>#REF!</v>
      </c>
      <c r="U80" s="27" t="e">
        <f t="shared" si="50"/>
        <v>#REF!</v>
      </c>
      <c r="V80" s="27"/>
      <c r="W80" s="26">
        <f t="shared" si="51"/>
        <v>303</v>
      </c>
      <c r="X80" s="26" t="e">
        <f t="shared" si="52"/>
        <v>#REF!</v>
      </c>
      <c r="Y80" s="27" t="e">
        <f t="shared" si="53"/>
        <v>#REF!</v>
      </c>
    </row>
    <row r="81" spans="1:25" ht="16.5" customHeight="1" x14ac:dyDescent="0.25">
      <c r="A81" s="16" t="s">
        <v>204</v>
      </c>
      <c r="B81" s="16" t="s">
        <v>205</v>
      </c>
      <c r="C81" s="25">
        <f t="shared" si="36"/>
        <v>166</v>
      </c>
      <c r="D81" s="25" t="e">
        <f t="shared" si="37"/>
        <v>#REF!</v>
      </c>
      <c r="E81" s="27" t="e">
        <f t="shared" si="38"/>
        <v>#REF!</v>
      </c>
      <c r="F81" s="25"/>
      <c r="G81" s="25">
        <f t="shared" si="39"/>
        <v>111</v>
      </c>
      <c r="H81" s="25" t="e">
        <f t="shared" si="40"/>
        <v>#REF!</v>
      </c>
      <c r="I81" s="27" t="e">
        <f t="shared" si="41"/>
        <v>#REF!</v>
      </c>
      <c r="J81" s="25"/>
      <c r="K81" s="25">
        <f t="shared" si="42"/>
        <v>213</v>
      </c>
      <c r="L81" s="25" t="e">
        <f t="shared" si="43"/>
        <v>#REF!</v>
      </c>
      <c r="M81" s="27" t="e">
        <f t="shared" si="44"/>
        <v>#REF!</v>
      </c>
      <c r="N81" s="27"/>
      <c r="O81" s="26" t="str">
        <f t="shared" si="45"/>
        <v>Piedmont</v>
      </c>
      <c r="P81" s="26" t="e">
        <f t="shared" si="46"/>
        <v>#REF!</v>
      </c>
      <c r="Q81" s="27" t="e">
        <f t="shared" si="47"/>
        <v>#VALUE!</v>
      </c>
      <c r="R81" s="27"/>
      <c r="S81" s="26">
        <f t="shared" si="48"/>
        <v>180</v>
      </c>
      <c r="T81" s="26" t="e">
        <f t="shared" si="49"/>
        <v>#REF!</v>
      </c>
      <c r="U81" s="27" t="e">
        <f t="shared" si="50"/>
        <v>#REF!</v>
      </c>
      <c r="V81" s="27"/>
      <c r="W81" s="26">
        <f t="shared" si="51"/>
        <v>97</v>
      </c>
      <c r="X81" s="26" t="e">
        <f t="shared" si="52"/>
        <v>#REF!</v>
      </c>
      <c r="Y81" s="27" t="e">
        <f t="shared" si="53"/>
        <v>#REF!</v>
      </c>
    </row>
    <row r="82" spans="1:25" ht="16.5" customHeight="1" x14ac:dyDescent="0.25">
      <c r="A82" s="16" t="s">
        <v>206</v>
      </c>
      <c r="B82" s="16" t="s">
        <v>207</v>
      </c>
      <c r="C82" s="25">
        <f t="shared" si="36"/>
        <v>772</v>
      </c>
      <c r="D82" s="25" t="e">
        <f t="shared" si="37"/>
        <v>#REF!</v>
      </c>
      <c r="E82" s="27" t="e">
        <f t="shared" si="38"/>
        <v>#REF!</v>
      </c>
      <c r="F82" s="25"/>
      <c r="G82" s="25">
        <f t="shared" si="39"/>
        <v>551</v>
      </c>
      <c r="H82" s="25" t="e">
        <f t="shared" si="40"/>
        <v>#REF!</v>
      </c>
      <c r="I82" s="27" t="e">
        <f t="shared" si="41"/>
        <v>#REF!</v>
      </c>
      <c r="J82" s="25"/>
      <c r="K82" s="25">
        <f t="shared" si="42"/>
        <v>745</v>
      </c>
      <c r="L82" s="25" t="e">
        <f t="shared" si="43"/>
        <v>#REF!</v>
      </c>
      <c r="M82" s="27" t="e">
        <f t="shared" si="44"/>
        <v>#REF!</v>
      </c>
      <c r="N82" s="27"/>
      <c r="O82" s="26" t="str">
        <f t="shared" si="45"/>
        <v>Northern</v>
      </c>
      <c r="P82" s="26" t="e">
        <f t="shared" si="46"/>
        <v>#REF!</v>
      </c>
      <c r="Q82" s="27" t="e">
        <f t="shared" si="47"/>
        <v>#VALUE!</v>
      </c>
      <c r="R82" s="27"/>
      <c r="S82" s="26">
        <f t="shared" si="48"/>
        <v>846</v>
      </c>
      <c r="T82" s="26" t="e">
        <f t="shared" si="49"/>
        <v>#REF!</v>
      </c>
      <c r="U82" s="27" t="e">
        <f t="shared" si="50"/>
        <v>#REF!</v>
      </c>
      <c r="V82" s="27"/>
      <c r="W82" s="26">
        <f t="shared" si="51"/>
        <v>476</v>
      </c>
      <c r="X82" s="26" t="e">
        <f t="shared" si="52"/>
        <v>#REF!</v>
      </c>
      <c r="Y82" s="27" t="e">
        <f t="shared" si="53"/>
        <v>#REF!</v>
      </c>
    </row>
    <row r="83" spans="1:25" ht="16.5" customHeight="1" x14ac:dyDescent="0.25">
      <c r="A83" s="16" t="s">
        <v>208</v>
      </c>
      <c r="B83" s="29" t="s">
        <v>209</v>
      </c>
      <c r="C83" s="25">
        <f t="shared" si="36"/>
        <v>423</v>
      </c>
      <c r="D83" s="25" t="e">
        <f t="shared" si="37"/>
        <v>#REF!</v>
      </c>
      <c r="E83" s="27" t="e">
        <f t="shared" si="38"/>
        <v>#REF!</v>
      </c>
      <c r="F83" s="25"/>
      <c r="G83" s="25">
        <f t="shared" si="39"/>
        <v>317</v>
      </c>
      <c r="H83" s="25" t="e">
        <f t="shared" si="40"/>
        <v>#REF!</v>
      </c>
      <c r="I83" s="27" t="e">
        <f t="shared" si="41"/>
        <v>#REF!</v>
      </c>
      <c r="J83" s="25"/>
      <c r="K83" s="25">
        <f t="shared" si="42"/>
        <v>675</v>
      </c>
      <c r="L83" s="25" t="e">
        <f t="shared" si="43"/>
        <v>#REF!</v>
      </c>
      <c r="M83" s="27" t="e">
        <f t="shared" si="44"/>
        <v>#REF!</v>
      </c>
      <c r="N83" s="27"/>
      <c r="O83" s="26" t="str">
        <f t="shared" si="45"/>
        <v>Western</v>
      </c>
      <c r="P83" s="26" t="e">
        <f t="shared" si="46"/>
        <v>#REF!</v>
      </c>
      <c r="Q83" s="27" t="e">
        <f t="shared" si="47"/>
        <v>#VALUE!</v>
      </c>
      <c r="R83" s="27"/>
      <c r="S83" s="26">
        <f t="shared" si="48"/>
        <v>450</v>
      </c>
      <c r="T83" s="26" t="e">
        <f t="shared" si="49"/>
        <v>#REF!</v>
      </c>
      <c r="U83" s="27" t="e">
        <f t="shared" si="50"/>
        <v>#REF!</v>
      </c>
      <c r="V83" s="27"/>
      <c r="W83" s="26">
        <f t="shared" si="51"/>
        <v>288</v>
      </c>
      <c r="X83" s="26" t="e">
        <f t="shared" si="52"/>
        <v>#REF!</v>
      </c>
      <c r="Y83" s="27" t="e">
        <f t="shared" si="53"/>
        <v>#REF!</v>
      </c>
    </row>
    <row r="84" spans="1:25" ht="16.5" customHeight="1" x14ac:dyDescent="0.25">
      <c r="A84" s="16" t="s">
        <v>210</v>
      </c>
      <c r="B84" s="16" t="s">
        <v>211</v>
      </c>
      <c r="C84" s="25">
        <f t="shared" si="36"/>
        <v>350</v>
      </c>
      <c r="D84" s="25" t="e">
        <f t="shared" si="37"/>
        <v>#REF!</v>
      </c>
      <c r="E84" s="27" t="e">
        <f t="shared" si="38"/>
        <v>#REF!</v>
      </c>
      <c r="F84" s="25"/>
      <c r="G84" s="25">
        <f t="shared" si="39"/>
        <v>258</v>
      </c>
      <c r="H84" s="25" t="e">
        <f t="shared" si="40"/>
        <v>#REF!</v>
      </c>
      <c r="I84" s="27" t="e">
        <f t="shared" si="41"/>
        <v>#REF!</v>
      </c>
      <c r="J84" s="25"/>
      <c r="K84" s="25">
        <f t="shared" si="42"/>
        <v>531</v>
      </c>
      <c r="L84" s="25" t="e">
        <f t="shared" si="43"/>
        <v>#REF!</v>
      </c>
      <c r="M84" s="27" t="e">
        <f t="shared" si="44"/>
        <v>#REF!</v>
      </c>
      <c r="N84" s="27"/>
      <c r="O84" s="26" t="str">
        <f t="shared" si="45"/>
        <v>Western</v>
      </c>
      <c r="P84" s="26" t="e">
        <f t="shared" si="46"/>
        <v>#REF!</v>
      </c>
      <c r="Q84" s="27" t="e">
        <f t="shared" si="47"/>
        <v>#VALUE!</v>
      </c>
      <c r="R84" s="27"/>
      <c r="S84" s="26">
        <f t="shared" si="48"/>
        <v>373</v>
      </c>
      <c r="T84" s="26" t="e">
        <f t="shared" si="49"/>
        <v>#REF!</v>
      </c>
      <c r="U84" s="27" t="e">
        <f t="shared" si="50"/>
        <v>#REF!</v>
      </c>
      <c r="V84" s="27"/>
      <c r="W84" s="26">
        <f t="shared" si="51"/>
        <v>234</v>
      </c>
      <c r="X84" s="26" t="e">
        <f t="shared" si="52"/>
        <v>#REF!</v>
      </c>
      <c r="Y84" s="27" t="e">
        <f t="shared" si="53"/>
        <v>#REF!</v>
      </c>
    </row>
    <row r="85" spans="1:25" ht="16.5" customHeight="1" x14ac:dyDescent="0.25">
      <c r="A85" s="16" t="s">
        <v>212</v>
      </c>
      <c r="B85" s="16" t="s">
        <v>213</v>
      </c>
      <c r="C85" s="25">
        <f t="shared" si="36"/>
        <v>154</v>
      </c>
      <c r="D85" s="25" t="e">
        <f t="shared" si="37"/>
        <v>#REF!</v>
      </c>
      <c r="E85" s="27" t="e">
        <f t="shared" si="38"/>
        <v>#REF!</v>
      </c>
      <c r="F85" s="25"/>
      <c r="G85" s="25">
        <f t="shared" si="39"/>
        <v>120</v>
      </c>
      <c r="H85" s="25" t="e">
        <f t="shared" si="40"/>
        <v>#REF!</v>
      </c>
      <c r="I85" s="27" t="e">
        <f t="shared" si="41"/>
        <v>#REF!</v>
      </c>
      <c r="J85" s="25"/>
      <c r="K85" s="25">
        <f t="shared" si="42"/>
        <v>201</v>
      </c>
      <c r="L85" s="25" t="e">
        <f t="shared" si="43"/>
        <v>#REF!</v>
      </c>
      <c r="M85" s="27" t="e">
        <f t="shared" si="44"/>
        <v>#REF!</v>
      </c>
      <c r="N85" s="27"/>
      <c r="O85" s="26" t="str">
        <f t="shared" si="45"/>
        <v>Northern</v>
      </c>
      <c r="P85" s="26" t="e">
        <f t="shared" si="46"/>
        <v>#REF!</v>
      </c>
      <c r="Q85" s="27" t="e">
        <f t="shared" si="47"/>
        <v>#VALUE!</v>
      </c>
      <c r="R85" s="27"/>
      <c r="S85" s="26">
        <f t="shared" si="48"/>
        <v>184</v>
      </c>
      <c r="T85" s="26" t="e">
        <f t="shared" si="49"/>
        <v>#REF!</v>
      </c>
      <c r="U85" s="27" t="e">
        <f t="shared" si="50"/>
        <v>#REF!</v>
      </c>
      <c r="V85" s="27"/>
      <c r="W85" s="26">
        <f t="shared" si="51"/>
        <v>90</v>
      </c>
      <c r="X85" s="26" t="e">
        <f t="shared" si="52"/>
        <v>#REF!</v>
      </c>
      <c r="Y85" s="27" t="e">
        <f t="shared" si="53"/>
        <v>#REF!</v>
      </c>
    </row>
    <row r="86" spans="1:25" ht="16.5" customHeight="1" x14ac:dyDescent="0.25">
      <c r="A86" s="16" t="s">
        <v>214</v>
      </c>
      <c r="B86" s="16" t="s">
        <v>215</v>
      </c>
      <c r="C86" s="25">
        <f t="shared" si="36"/>
        <v>421</v>
      </c>
      <c r="D86" s="25" t="e">
        <f t="shared" si="37"/>
        <v>#REF!</v>
      </c>
      <c r="E86" s="27" t="e">
        <f t="shared" si="38"/>
        <v>#REF!</v>
      </c>
      <c r="F86" s="25"/>
      <c r="G86" s="25">
        <f t="shared" si="39"/>
        <v>323</v>
      </c>
      <c r="H86" s="25" t="e">
        <f t="shared" si="40"/>
        <v>#REF!</v>
      </c>
      <c r="I86" s="27" t="e">
        <f t="shared" si="41"/>
        <v>#REF!</v>
      </c>
      <c r="J86" s="25"/>
      <c r="K86" s="25">
        <f t="shared" si="42"/>
        <v>679</v>
      </c>
      <c r="L86" s="25" t="e">
        <f t="shared" si="43"/>
        <v>#REF!</v>
      </c>
      <c r="M86" s="27" t="e">
        <f t="shared" si="44"/>
        <v>#REF!</v>
      </c>
      <c r="N86" s="27"/>
      <c r="O86" s="26" t="str">
        <f t="shared" si="45"/>
        <v>Western</v>
      </c>
      <c r="P86" s="26" t="e">
        <f t="shared" si="46"/>
        <v>#REF!</v>
      </c>
      <c r="Q86" s="27" t="e">
        <f t="shared" si="47"/>
        <v>#VALUE!</v>
      </c>
      <c r="R86" s="27"/>
      <c r="S86" s="26">
        <f t="shared" si="48"/>
        <v>466</v>
      </c>
      <c r="T86" s="26" t="e">
        <f t="shared" si="49"/>
        <v>#REF!</v>
      </c>
      <c r="U86" s="27" t="e">
        <f t="shared" si="50"/>
        <v>#REF!</v>
      </c>
      <c r="V86" s="27"/>
      <c r="W86" s="26">
        <f t="shared" si="51"/>
        <v>277</v>
      </c>
      <c r="X86" s="26" t="e">
        <f t="shared" si="52"/>
        <v>#REF!</v>
      </c>
      <c r="Y86" s="27" t="e">
        <f t="shared" si="53"/>
        <v>#REF!</v>
      </c>
    </row>
    <row r="87" spans="1:25" ht="16.5" customHeight="1" x14ac:dyDescent="0.25">
      <c r="A87" s="16" t="s">
        <v>216</v>
      </c>
      <c r="B87" s="16" t="s">
        <v>217</v>
      </c>
      <c r="C87" s="25">
        <f t="shared" si="36"/>
        <v>230</v>
      </c>
      <c r="D87" s="25" t="e">
        <f t="shared" si="37"/>
        <v>#REF!</v>
      </c>
      <c r="E87" s="27" t="e">
        <f t="shared" si="38"/>
        <v>#REF!</v>
      </c>
      <c r="F87" s="25"/>
      <c r="G87" s="25">
        <f t="shared" si="39"/>
        <v>156</v>
      </c>
      <c r="H87" s="25" t="e">
        <f t="shared" si="40"/>
        <v>#REF!</v>
      </c>
      <c r="I87" s="27" t="e">
        <f t="shared" si="41"/>
        <v>#REF!</v>
      </c>
      <c r="J87" s="25"/>
      <c r="K87" s="25">
        <f t="shared" si="42"/>
        <v>97</v>
      </c>
      <c r="L87" s="25" t="e">
        <f t="shared" si="43"/>
        <v>#REF!</v>
      </c>
      <c r="M87" s="27" t="e">
        <f t="shared" si="44"/>
        <v>#REF!</v>
      </c>
      <c r="N87" s="27"/>
      <c r="O87" s="26" t="str">
        <f t="shared" si="45"/>
        <v>Eastern</v>
      </c>
      <c r="P87" s="26" t="e">
        <f t="shared" si="46"/>
        <v>#REF!</v>
      </c>
      <c r="Q87" s="27" t="e">
        <f t="shared" si="47"/>
        <v>#VALUE!</v>
      </c>
      <c r="R87" s="27"/>
      <c r="S87" s="26">
        <f t="shared" si="48"/>
        <v>231</v>
      </c>
      <c r="T87" s="26" t="e">
        <f t="shared" si="49"/>
        <v>#REF!</v>
      </c>
      <c r="U87" s="27" t="e">
        <f t="shared" si="50"/>
        <v>#REF!</v>
      </c>
      <c r="V87" s="27"/>
      <c r="W87" s="26">
        <f t="shared" si="51"/>
        <v>151</v>
      </c>
      <c r="X87" s="26" t="e">
        <f t="shared" si="52"/>
        <v>#REF!</v>
      </c>
      <c r="Y87" s="27" t="e">
        <f t="shared" si="53"/>
        <v>#REF!</v>
      </c>
    </row>
    <row r="88" spans="1:25" ht="16.5" customHeight="1" x14ac:dyDescent="0.25">
      <c r="A88" s="16" t="s">
        <v>218</v>
      </c>
      <c r="B88" s="16" t="s">
        <v>219</v>
      </c>
      <c r="C88" s="25">
        <f t="shared" si="36"/>
        <v>1096</v>
      </c>
      <c r="D88" s="25" t="e">
        <f t="shared" si="37"/>
        <v>#REF!</v>
      </c>
      <c r="E88" s="27" t="e">
        <f t="shared" si="38"/>
        <v>#REF!</v>
      </c>
      <c r="F88" s="25"/>
      <c r="G88" s="25">
        <f t="shared" si="39"/>
        <v>755</v>
      </c>
      <c r="H88" s="25" t="e">
        <f t="shared" si="40"/>
        <v>#REF!</v>
      </c>
      <c r="I88" s="27" t="e">
        <f t="shared" si="41"/>
        <v>#REF!</v>
      </c>
      <c r="J88" s="25"/>
      <c r="K88" s="25">
        <f t="shared" si="42"/>
        <v>877</v>
      </c>
      <c r="L88" s="25" t="e">
        <f t="shared" si="43"/>
        <v>#REF!</v>
      </c>
      <c r="M88" s="27" t="e">
        <f t="shared" si="44"/>
        <v>#REF!</v>
      </c>
      <c r="N88" s="27"/>
      <c r="O88" s="26" t="str">
        <f t="shared" si="45"/>
        <v>Northern</v>
      </c>
      <c r="P88" s="26" t="e">
        <f t="shared" si="46"/>
        <v>#REF!</v>
      </c>
      <c r="Q88" s="27" t="e">
        <f t="shared" si="47"/>
        <v>#VALUE!</v>
      </c>
      <c r="R88" s="27"/>
      <c r="S88" s="26">
        <f t="shared" si="48"/>
        <v>1199</v>
      </c>
      <c r="T88" s="26" t="e">
        <f t="shared" si="49"/>
        <v>#REF!</v>
      </c>
      <c r="U88" s="27" t="e">
        <f t="shared" si="50"/>
        <v>#REF!</v>
      </c>
      <c r="V88" s="27"/>
      <c r="W88" s="26">
        <f t="shared" si="51"/>
        <v>652</v>
      </c>
      <c r="X88" s="26" t="e">
        <f t="shared" si="52"/>
        <v>#REF!</v>
      </c>
      <c r="Y88" s="27" t="e">
        <f t="shared" si="53"/>
        <v>#REF!</v>
      </c>
    </row>
    <row r="89" spans="1:25" ht="16.5" customHeight="1" x14ac:dyDescent="0.25">
      <c r="A89" s="16" t="s">
        <v>220</v>
      </c>
      <c r="B89" s="16" t="s">
        <v>221</v>
      </c>
      <c r="C89" s="25">
        <f t="shared" si="36"/>
        <v>896</v>
      </c>
      <c r="D89" s="25" t="e">
        <f t="shared" si="37"/>
        <v>#REF!</v>
      </c>
      <c r="E89" s="27" t="e">
        <f t="shared" si="38"/>
        <v>#REF!</v>
      </c>
      <c r="F89" s="25"/>
      <c r="G89" s="25">
        <f t="shared" si="39"/>
        <v>608</v>
      </c>
      <c r="H89" s="25" t="e">
        <f t="shared" si="40"/>
        <v>#REF!</v>
      </c>
      <c r="I89" s="27" t="e">
        <f t="shared" si="41"/>
        <v>#REF!</v>
      </c>
      <c r="J89" s="25"/>
      <c r="K89" s="25">
        <f t="shared" si="42"/>
        <v>516</v>
      </c>
      <c r="L89" s="25" t="e">
        <f t="shared" si="43"/>
        <v>#REF!</v>
      </c>
      <c r="M89" s="27" t="e">
        <f t="shared" si="44"/>
        <v>#REF!</v>
      </c>
      <c r="N89" s="27"/>
      <c r="O89" s="26" t="str">
        <f t="shared" si="45"/>
        <v>Northern</v>
      </c>
      <c r="P89" s="26" t="e">
        <f t="shared" si="46"/>
        <v>#REF!</v>
      </c>
      <c r="Q89" s="27" t="e">
        <f t="shared" si="47"/>
        <v>#VALUE!</v>
      </c>
      <c r="R89" s="27"/>
      <c r="S89" s="26">
        <f t="shared" si="48"/>
        <v>964</v>
      </c>
      <c r="T89" s="26" t="e">
        <f t="shared" si="49"/>
        <v>#REF!</v>
      </c>
      <c r="U89" s="27" t="e">
        <f t="shared" si="50"/>
        <v>#REF!</v>
      </c>
      <c r="V89" s="27"/>
      <c r="W89" s="26">
        <f t="shared" si="51"/>
        <v>537</v>
      </c>
      <c r="X89" s="26" t="e">
        <f t="shared" si="52"/>
        <v>#REF!</v>
      </c>
      <c r="Y89" s="27" t="e">
        <f t="shared" si="53"/>
        <v>#REF!</v>
      </c>
    </row>
    <row r="90" spans="1:25" ht="16.5" customHeight="1" x14ac:dyDescent="0.25">
      <c r="A90" s="16" t="s">
        <v>224</v>
      </c>
      <c r="B90" s="16" t="s">
        <v>225</v>
      </c>
      <c r="C90" s="25">
        <f t="shared" si="36"/>
        <v>88</v>
      </c>
      <c r="D90" s="25" t="e">
        <f t="shared" si="37"/>
        <v>#REF!</v>
      </c>
      <c r="E90" s="27" t="e">
        <f t="shared" si="38"/>
        <v>#REF!</v>
      </c>
      <c r="F90" s="25"/>
      <c r="G90" s="25">
        <f t="shared" si="39"/>
        <v>54</v>
      </c>
      <c r="H90" s="25" t="e">
        <f t="shared" si="40"/>
        <v>#REF!</v>
      </c>
      <c r="I90" s="27" t="e">
        <f t="shared" si="41"/>
        <v>#REF!</v>
      </c>
      <c r="J90" s="25"/>
      <c r="K90" s="25">
        <f t="shared" si="42"/>
        <v>28</v>
      </c>
      <c r="L90" s="25" t="e">
        <f t="shared" si="43"/>
        <v>#REF!</v>
      </c>
      <c r="M90" s="27" t="e">
        <f t="shared" si="44"/>
        <v>#REF!</v>
      </c>
      <c r="N90" s="27"/>
      <c r="O90" s="26" t="str">
        <f t="shared" si="45"/>
        <v>Eastern</v>
      </c>
      <c r="P90" s="26" t="e">
        <f t="shared" si="46"/>
        <v>#REF!</v>
      </c>
      <c r="Q90" s="27" t="e">
        <f t="shared" si="47"/>
        <v>#VALUE!</v>
      </c>
      <c r="R90" s="27"/>
      <c r="S90" s="26">
        <f t="shared" si="48"/>
        <v>87</v>
      </c>
      <c r="T90" s="26" t="e">
        <f t="shared" si="49"/>
        <v>#REF!</v>
      </c>
      <c r="U90" s="27" t="e">
        <f t="shared" si="50"/>
        <v>#REF!</v>
      </c>
      <c r="V90" s="27"/>
      <c r="W90" s="26">
        <f t="shared" si="51"/>
        <v>55</v>
      </c>
      <c r="X90" s="26" t="e">
        <f t="shared" si="52"/>
        <v>#REF!</v>
      </c>
      <c r="Y90" s="27" t="e">
        <f t="shared" si="53"/>
        <v>#REF!</v>
      </c>
    </row>
    <row r="91" spans="1:25" ht="16.5" customHeight="1" x14ac:dyDescent="0.25">
      <c r="A91" s="16" t="s">
        <v>226</v>
      </c>
      <c r="B91" s="16" t="s">
        <v>227</v>
      </c>
      <c r="C91" s="25">
        <f t="shared" si="36"/>
        <v>224</v>
      </c>
      <c r="D91" s="25" t="e">
        <f t="shared" si="37"/>
        <v>#REF!</v>
      </c>
      <c r="E91" s="27" t="e">
        <f t="shared" si="38"/>
        <v>#REF!</v>
      </c>
      <c r="F91" s="25"/>
      <c r="G91" s="25">
        <f t="shared" si="39"/>
        <v>118</v>
      </c>
      <c r="H91" s="25" t="e">
        <f t="shared" si="40"/>
        <v>#REF!</v>
      </c>
      <c r="I91" s="27" t="e">
        <f t="shared" si="41"/>
        <v>#REF!</v>
      </c>
      <c r="J91" s="25"/>
      <c r="K91" s="25">
        <f t="shared" si="42"/>
        <v>53</v>
      </c>
      <c r="L91" s="25" t="e">
        <f t="shared" si="43"/>
        <v>#REF!</v>
      </c>
      <c r="M91" s="27" t="e">
        <f t="shared" si="44"/>
        <v>#REF!</v>
      </c>
      <c r="N91" s="27"/>
      <c r="O91" s="26" t="str">
        <f t="shared" si="45"/>
        <v>Eastern</v>
      </c>
      <c r="P91" s="26" t="e">
        <f t="shared" si="46"/>
        <v>#REF!</v>
      </c>
      <c r="Q91" s="27" t="e">
        <f t="shared" si="47"/>
        <v>#VALUE!</v>
      </c>
      <c r="R91" s="27"/>
      <c r="S91" s="26">
        <f t="shared" si="48"/>
        <v>223</v>
      </c>
      <c r="T91" s="26" t="e">
        <f t="shared" si="49"/>
        <v>#REF!</v>
      </c>
      <c r="U91" s="27" t="e">
        <f t="shared" si="50"/>
        <v>#REF!</v>
      </c>
      <c r="V91" s="27"/>
      <c r="W91" s="26">
        <f t="shared" si="51"/>
        <v>119</v>
      </c>
      <c r="X91" s="26" t="e">
        <f t="shared" si="52"/>
        <v>#REF!</v>
      </c>
      <c r="Y91" s="27" t="e">
        <f t="shared" si="53"/>
        <v>#REF!</v>
      </c>
    </row>
    <row r="92" spans="1:25" ht="16.5" customHeight="1" x14ac:dyDescent="0.25">
      <c r="A92" s="16" t="s">
        <v>228</v>
      </c>
      <c r="B92" s="16" t="s">
        <v>229</v>
      </c>
      <c r="C92" s="25">
        <f t="shared" si="36"/>
        <v>514</v>
      </c>
      <c r="D92" s="25" t="e">
        <f t="shared" si="37"/>
        <v>#REF!</v>
      </c>
      <c r="E92" s="27" t="e">
        <f t="shared" si="38"/>
        <v>#REF!</v>
      </c>
      <c r="F92" s="25"/>
      <c r="G92" s="25">
        <f t="shared" si="39"/>
        <v>360</v>
      </c>
      <c r="H92" s="25" t="e">
        <f t="shared" si="40"/>
        <v>#REF!</v>
      </c>
      <c r="I92" s="27" t="e">
        <f t="shared" si="41"/>
        <v>#REF!</v>
      </c>
      <c r="J92" s="25"/>
      <c r="K92" s="25">
        <f t="shared" si="42"/>
        <v>742</v>
      </c>
      <c r="L92" s="25" t="e">
        <f t="shared" si="43"/>
        <v>#REF!</v>
      </c>
      <c r="M92" s="27" t="e">
        <f t="shared" si="44"/>
        <v>#REF!</v>
      </c>
      <c r="N92" s="27"/>
      <c r="O92" s="26" t="str">
        <f t="shared" si="45"/>
        <v>Western</v>
      </c>
      <c r="P92" s="26" t="e">
        <f t="shared" si="46"/>
        <v>#REF!</v>
      </c>
      <c r="Q92" s="27" t="e">
        <f t="shared" si="47"/>
        <v>#VALUE!</v>
      </c>
      <c r="R92" s="27"/>
      <c r="S92" s="26">
        <f t="shared" si="48"/>
        <v>554</v>
      </c>
      <c r="T92" s="26" t="e">
        <f t="shared" si="49"/>
        <v>#REF!</v>
      </c>
      <c r="U92" s="27" t="e">
        <f t="shared" si="50"/>
        <v>#REF!</v>
      </c>
      <c r="V92" s="27"/>
      <c r="W92" s="26">
        <f t="shared" si="51"/>
        <v>320</v>
      </c>
      <c r="X92" s="26" t="e">
        <f t="shared" si="52"/>
        <v>#REF!</v>
      </c>
      <c r="Y92" s="27" t="e">
        <f t="shared" si="53"/>
        <v>#REF!</v>
      </c>
    </row>
    <row r="93" spans="1:25" ht="16.5" customHeight="1" x14ac:dyDescent="0.25">
      <c r="A93" s="16" t="s">
        <v>232</v>
      </c>
      <c r="B93" s="16" t="s">
        <v>233</v>
      </c>
      <c r="C93" s="25">
        <f t="shared" si="36"/>
        <v>299</v>
      </c>
      <c r="D93" s="25" t="e">
        <f t="shared" si="37"/>
        <v>#REF!</v>
      </c>
      <c r="E93" s="27" t="e">
        <f t="shared" si="38"/>
        <v>#REF!</v>
      </c>
      <c r="F93" s="25"/>
      <c r="G93" s="25">
        <f t="shared" si="39"/>
        <v>209</v>
      </c>
      <c r="H93" s="25" t="e">
        <f t="shared" si="40"/>
        <v>#REF!</v>
      </c>
      <c r="I93" s="27" t="e">
        <f t="shared" si="41"/>
        <v>#REF!</v>
      </c>
      <c r="J93" s="25"/>
      <c r="K93" s="25">
        <f t="shared" si="42"/>
        <v>352</v>
      </c>
      <c r="L93" s="25" t="e">
        <f t="shared" si="43"/>
        <v>#REF!</v>
      </c>
      <c r="M93" s="27" t="e">
        <f t="shared" si="44"/>
        <v>#REF!</v>
      </c>
      <c r="N93" s="27"/>
      <c r="O93" s="26" t="str">
        <f t="shared" si="45"/>
        <v>Northern</v>
      </c>
      <c r="P93" s="26" t="e">
        <f t="shared" si="46"/>
        <v>#REF!</v>
      </c>
      <c r="Q93" s="27" t="e">
        <f t="shared" si="47"/>
        <v>#VALUE!</v>
      </c>
      <c r="R93" s="27"/>
      <c r="S93" s="26">
        <f t="shared" si="48"/>
        <v>334</v>
      </c>
      <c r="T93" s="26" t="e">
        <f t="shared" si="49"/>
        <v>#REF!</v>
      </c>
      <c r="U93" s="27" t="e">
        <f t="shared" si="50"/>
        <v>#REF!</v>
      </c>
      <c r="V93" s="27"/>
      <c r="W93" s="26">
        <f t="shared" si="51"/>
        <v>174</v>
      </c>
      <c r="X93" s="26" t="e">
        <f t="shared" si="52"/>
        <v>#REF!</v>
      </c>
      <c r="Y93" s="27" t="e">
        <f t="shared" si="53"/>
        <v>#REF!</v>
      </c>
    </row>
    <row r="94" spans="1:25" ht="16.5" customHeight="1" x14ac:dyDescent="0.25">
      <c r="A94" s="16" t="s">
        <v>234</v>
      </c>
      <c r="B94" s="16" t="s">
        <v>235</v>
      </c>
      <c r="C94" s="25">
        <f t="shared" si="36"/>
        <v>488</v>
      </c>
      <c r="D94" s="25" t="e">
        <f t="shared" si="37"/>
        <v>#REF!</v>
      </c>
      <c r="E94" s="27" t="e">
        <f t="shared" si="38"/>
        <v>#REF!</v>
      </c>
      <c r="F94" s="25"/>
      <c r="G94" s="25">
        <f t="shared" si="39"/>
        <v>378</v>
      </c>
      <c r="H94" s="25" t="e">
        <f t="shared" si="40"/>
        <v>#REF!</v>
      </c>
      <c r="I94" s="27" t="e">
        <f t="shared" si="41"/>
        <v>#REF!</v>
      </c>
      <c r="J94" s="25"/>
      <c r="K94" s="25">
        <f t="shared" si="42"/>
        <v>776</v>
      </c>
      <c r="L94" s="25" t="e">
        <f t="shared" si="43"/>
        <v>#REF!</v>
      </c>
      <c r="M94" s="27" t="e">
        <f t="shared" si="44"/>
        <v>#REF!</v>
      </c>
      <c r="N94" s="27"/>
      <c r="O94" s="26" t="str">
        <f t="shared" si="45"/>
        <v>Western</v>
      </c>
      <c r="P94" s="26" t="e">
        <f t="shared" si="46"/>
        <v>#REF!</v>
      </c>
      <c r="Q94" s="27" t="e">
        <f t="shared" si="47"/>
        <v>#VALUE!</v>
      </c>
      <c r="R94" s="27"/>
      <c r="S94" s="26">
        <f t="shared" si="48"/>
        <v>557</v>
      </c>
      <c r="T94" s="26" t="e">
        <f t="shared" si="49"/>
        <v>#REF!</v>
      </c>
      <c r="U94" s="27" t="e">
        <f t="shared" si="50"/>
        <v>#REF!</v>
      </c>
      <c r="V94" s="27"/>
      <c r="W94" s="26">
        <f t="shared" si="51"/>
        <v>308</v>
      </c>
      <c r="X94" s="26" t="e">
        <f t="shared" si="52"/>
        <v>#REF!</v>
      </c>
      <c r="Y94" s="27" t="e">
        <f t="shared" si="53"/>
        <v>#REF!</v>
      </c>
    </row>
    <row r="95" spans="1:25" ht="16.5" customHeight="1" x14ac:dyDescent="0.25">
      <c r="A95" s="16" t="s">
        <v>236</v>
      </c>
      <c r="B95" s="16" t="s">
        <v>237</v>
      </c>
      <c r="C95" s="25">
        <f t="shared" si="36"/>
        <v>251</v>
      </c>
      <c r="D95" s="25" t="e">
        <f t="shared" si="37"/>
        <v>#REF!</v>
      </c>
      <c r="E95" s="27" t="e">
        <f t="shared" si="38"/>
        <v>#REF!</v>
      </c>
      <c r="F95" s="25"/>
      <c r="G95" s="25">
        <f t="shared" si="39"/>
        <v>168</v>
      </c>
      <c r="H95" s="25" t="e">
        <f t="shared" si="40"/>
        <v>#REF!</v>
      </c>
      <c r="I95" s="27" t="e">
        <f t="shared" si="41"/>
        <v>#REF!</v>
      </c>
      <c r="J95" s="25"/>
      <c r="K95" s="25">
        <f t="shared" si="42"/>
        <v>130</v>
      </c>
      <c r="L95" s="25" t="e">
        <f t="shared" si="43"/>
        <v>#REF!</v>
      </c>
      <c r="M95" s="27" t="e">
        <f t="shared" si="44"/>
        <v>#REF!</v>
      </c>
      <c r="N95" s="27"/>
      <c r="O95" s="26" t="str">
        <f t="shared" si="45"/>
        <v>Central</v>
      </c>
      <c r="P95" s="26" t="e">
        <f t="shared" si="46"/>
        <v>#REF!</v>
      </c>
      <c r="Q95" s="27" t="e">
        <f t="shared" si="47"/>
        <v>#VALUE!</v>
      </c>
      <c r="R95" s="27"/>
      <c r="S95" s="26">
        <f t="shared" si="48"/>
        <v>276</v>
      </c>
      <c r="T95" s="26" t="e">
        <f t="shared" si="49"/>
        <v>#REF!</v>
      </c>
      <c r="U95" s="27" t="e">
        <f t="shared" si="50"/>
        <v>#REF!</v>
      </c>
      <c r="V95" s="27"/>
      <c r="W95" s="26">
        <f t="shared" si="51"/>
        <v>143</v>
      </c>
      <c r="X95" s="26" t="e">
        <f t="shared" si="52"/>
        <v>#REF!</v>
      </c>
      <c r="Y95" s="27" t="e">
        <f t="shared" si="53"/>
        <v>#REF!</v>
      </c>
    </row>
    <row r="96" spans="1:25" ht="16.5" customHeight="1" x14ac:dyDescent="0.25">
      <c r="A96" s="16" t="s">
        <v>242</v>
      </c>
      <c r="B96" s="16" t="s">
        <v>243</v>
      </c>
      <c r="C96" s="25">
        <f t="shared" si="36"/>
        <v>805</v>
      </c>
      <c r="D96" s="25" t="e">
        <f t="shared" si="37"/>
        <v>#REF!</v>
      </c>
      <c r="E96" s="27" t="e">
        <f t="shared" si="38"/>
        <v>#REF!</v>
      </c>
      <c r="F96" s="25"/>
      <c r="G96" s="25">
        <f t="shared" si="39"/>
        <v>573</v>
      </c>
      <c r="H96" s="25" t="e">
        <f t="shared" si="40"/>
        <v>#REF!</v>
      </c>
      <c r="I96" s="27" t="e">
        <f t="shared" si="41"/>
        <v>#REF!</v>
      </c>
      <c r="J96" s="25"/>
      <c r="K96" s="25">
        <f t="shared" si="42"/>
        <v>1226</v>
      </c>
      <c r="L96" s="25" t="e">
        <f t="shared" si="43"/>
        <v>#REF!</v>
      </c>
      <c r="M96" s="27" t="e">
        <f t="shared" si="44"/>
        <v>#REF!</v>
      </c>
      <c r="N96" s="27"/>
      <c r="O96" s="26" t="str">
        <f t="shared" si="45"/>
        <v>Western</v>
      </c>
      <c r="P96" s="26" t="e">
        <f t="shared" si="46"/>
        <v>#REF!</v>
      </c>
      <c r="Q96" s="27" t="e">
        <f t="shared" si="47"/>
        <v>#VALUE!</v>
      </c>
      <c r="R96" s="27"/>
      <c r="S96" s="26">
        <f t="shared" si="48"/>
        <v>852</v>
      </c>
      <c r="T96" s="26" t="e">
        <f t="shared" si="49"/>
        <v>#REF!</v>
      </c>
      <c r="U96" s="27" t="e">
        <f t="shared" si="50"/>
        <v>#REF!</v>
      </c>
      <c r="V96" s="27"/>
      <c r="W96" s="26">
        <f t="shared" si="51"/>
        <v>525</v>
      </c>
      <c r="X96" s="26" t="e">
        <f t="shared" si="52"/>
        <v>#REF!</v>
      </c>
      <c r="Y96" s="27" t="e">
        <f t="shared" si="53"/>
        <v>#REF!</v>
      </c>
    </row>
    <row r="97" spans="1:25" ht="16.5" customHeight="1" x14ac:dyDescent="0.25">
      <c r="A97" s="16" t="s">
        <v>244</v>
      </c>
      <c r="B97" s="16" t="s">
        <v>245</v>
      </c>
      <c r="C97" s="25">
        <f t="shared" si="36"/>
        <v>221</v>
      </c>
      <c r="D97" s="25" t="e">
        <f t="shared" si="37"/>
        <v>#REF!</v>
      </c>
      <c r="E97" s="27" t="e">
        <f t="shared" si="38"/>
        <v>#REF!</v>
      </c>
      <c r="F97" s="25"/>
      <c r="G97" s="25">
        <f t="shared" si="39"/>
        <v>160</v>
      </c>
      <c r="H97" s="25" t="e">
        <f t="shared" si="40"/>
        <v>#REF!</v>
      </c>
      <c r="I97" s="27" t="e">
        <f t="shared" si="41"/>
        <v>#REF!</v>
      </c>
      <c r="J97" s="25"/>
      <c r="K97" s="25">
        <f t="shared" si="42"/>
        <v>317</v>
      </c>
      <c r="L97" s="25" t="e">
        <f t="shared" si="43"/>
        <v>#REF!</v>
      </c>
      <c r="M97" s="27" t="e">
        <f t="shared" si="44"/>
        <v>#REF!</v>
      </c>
      <c r="N97" s="27"/>
      <c r="O97" s="26" t="str">
        <f t="shared" si="45"/>
        <v>Western</v>
      </c>
      <c r="P97" s="26" t="e">
        <f t="shared" si="46"/>
        <v>#REF!</v>
      </c>
      <c r="Q97" s="27" t="e">
        <f t="shared" si="47"/>
        <v>#VALUE!</v>
      </c>
      <c r="R97" s="27"/>
      <c r="S97" s="26">
        <f t="shared" si="48"/>
        <v>250</v>
      </c>
      <c r="T97" s="26" t="e">
        <f t="shared" si="49"/>
        <v>#REF!</v>
      </c>
      <c r="U97" s="27" t="e">
        <f t="shared" si="50"/>
        <v>#REF!</v>
      </c>
      <c r="V97" s="27"/>
      <c r="W97" s="26">
        <f t="shared" si="51"/>
        <v>131</v>
      </c>
      <c r="X97" s="26" t="e">
        <f t="shared" si="52"/>
        <v>#REF!</v>
      </c>
      <c r="Y97" s="27" t="e">
        <f t="shared" si="53"/>
        <v>#REF!</v>
      </c>
    </row>
    <row r="98" spans="1:25" ht="16.5" customHeight="1" x14ac:dyDescent="0.25">
      <c r="A98" s="16" t="s">
        <v>246</v>
      </c>
      <c r="B98" s="16" t="s">
        <v>310</v>
      </c>
      <c r="C98" s="25">
        <f t="shared" si="36"/>
        <v>368</v>
      </c>
      <c r="D98" s="25" t="e">
        <f t="shared" si="37"/>
        <v>#REF!</v>
      </c>
      <c r="E98" s="27" t="e">
        <f t="shared" si="38"/>
        <v>#REF!</v>
      </c>
      <c r="F98" s="25"/>
      <c r="G98" s="25">
        <f t="shared" si="39"/>
        <v>221</v>
      </c>
      <c r="H98" s="25" t="e">
        <f t="shared" si="40"/>
        <v>#REF!</v>
      </c>
      <c r="I98" s="27" t="e">
        <f t="shared" si="41"/>
        <v>#REF!</v>
      </c>
      <c r="J98" s="25"/>
      <c r="K98" s="25">
        <f t="shared" si="42"/>
        <v>265</v>
      </c>
      <c r="L98" s="25" t="e">
        <f t="shared" si="43"/>
        <v>#REF!</v>
      </c>
      <c r="M98" s="27" t="e">
        <f t="shared" si="44"/>
        <v>#REF!</v>
      </c>
      <c r="N98" s="27"/>
      <c r="O98" s="26" t="str">
        <f t="shared" si="45"/>
        <v>Eastern</v>
      </c>
      <c r="P98" s="26" t="e">
        <f t="shared" si="46"/>
        <v>#REF!</v>
      </c>
      <c r="Q98" s="27" t="e">
        <f t="shared" si="47"/>
        <v>#VALUE!</v>
      </c>
      <c r="R98" s="27"/>
      <c r="S98" s="26">
        <f t="shared" si="48"/>
        <v>378</v>
      </c>
      <c r="T98" s="26" t="e">
        <f t="shared" si="49"/>
        <v>#REF!</v>
      </c>
      <c r="U98" s="27" t="e">
        <f t="shared" si="50"/>
        <v>#REF!</v>
      </c>
      <c r="V98" s="27"/>
      <c r="W98" s="26">
        <f t="shared" si="51"/>
        <v>211</v>
      </c>
      <c r="X98" s="26" t="e">
        <f t="shared" si="52"/>
        <v>#REF!</v>
      </c>
      <c r="Y98" s="27" t="e">
        <f t="shared" si="53"/>
        <v>#REF!</v>
      </c>
    </row>
    <row r="99" spans="1:25" ht="16.5" customHeight="1" x14ac:dyDescent="0.25">
      <c r="A99" s="16" t="s">
        <v>14</v>
      </c>
      <c r="B99" s="16" t="s">
        <v>15</v>
      </c>
      <c r="C99" s="25">
        <f t="shared" si="36"/>
        <v>1353</v>
      </c>
      <c r="D99" s="25" t="e">
        <f t="shared" si="37"/>
        <v>#REF!</v>
      </c>
      <c r="E99" s="27" t="e">
        <f t="shared" si="38"/>
        <v>#REF!</v>
      </c>
      <c r="F99" s="25"/>
      <c r="G99" s="25">
        <f t="shared" si="39"/>
        <v>920</v>
      </c>
      <c r="H99" s="25" t="e">
        <f t="shared" si="40"/>
        <v>#REF!</v>
      </c>
      <c r="I99" s="27" t="e">
        <f t="shared" si="41"/>
        <v>#REF!</v>
      </c>
      <c r="J99" s="25"/>
      <c r="K99" s="25">
        <f t="shared" si="42"/>
        <v>676</v>
      </c>
      <c r="L99" s="25" t="e">
        <f t="shared" si="43"/>
        <v>#REF!</v>
      </c>
      <c r="M99" s="27" t="e">
        <f t="shared" si="44"/>
        <v>#REF!</v>
      </c>
      <c r="N99" s="27"/>
      <c r="O99" s="26" t="str">
        <f t="shared" si="45"/>
        <v>Northern</v>
      </c>
      <c r="P99" s="26" t="e">
        <f t="shared" si="46"/>
        <v>#REF!</v>
      </c>
      <c r="Q99" s="27" t="e">
        <f t="shared" si="47"/>
        <v>#VALUE!</v>
      </c>
      <c r="R99" s="27"/>
      <c r="S99" s="26">
        <f t="shared" si="48"/>
        <v>1365</v>
      </c>
      <c r="T99" s="26" t="e">
        <f t="shared" si="49"/>
        <v>#REF!</v>
      </c>
      <c r="U99" s="27" t="e">
        <f t="shared" si="50"/>
        <v>#REF!</v>
      </c>
      <c r="V99" s="27"/>
      <c r="W99" s="26">
        <f t="shared" si="51"/>
        <v>904</v>
      </c>
      <c r="X99" s="26" t="e">
        <f t="shared" si="52"/>
        <v>#REF!</v>
      </c>
      <c r="Y99" s="27" t="e">
        <f t="shared" si="53"/>
        <v>#REF!</v>
      </c>
    </row>
    <row r="100" spans="1:25" ht="16.5" customHeight="1" x14ac:dyDescent="0.25">
      <c r="A100" s="16" t="s">
        <v>34</v>
      </c>
      <c r="B100" s="16" t="s">
        <v>35</v>
      </c>
      <c r="C100" s="25">
        <f t="shared" ref="C100:C123" si="54">VLOOKUP(A100,TANFClient_Demo,7,FALSE)</f>
        <v>521</v>
      </c>
      <c r="D100" s="25" t="e">
        <f t="shared" ref="D100:D123" si="55">VLOOKUP(A100,Pop,14,FALSE)</f>
        <v>#REF!</v>
      </c>
      <c r="E100" s="27" t="e">
        <f t="shared" ref="E100:E123" si="56">+C100/D100</f>
        <v>#REF!</v>
      </c>
      <c r="F100" s="25"/>
      <c r="G100" s="25">
        <f t="shared" ref="G100:G123" si="57">VLOOKUP(A100,TANFClient_Demo,8,FALSE)</f>
        <v>376</v>
      </c>
      <c r="H100" s="25" t="e">
        <f t="shared" ref="H100:H123" si="58">VLOOKUP(A100,Pop,15,FALSE)</f>
        <v>#REF!</v>
      </c>
      <c r="I100" s="27" t="e">
        <f t="shared" ref="I100:I123" si="59">+G100/H100</f>
        <v>#REF!</v>
      </c>
      <c r="J100" s="25"/>
      <c r="K100" s="25">
        <f t="shared" ref="K100:K123" si="60">VLOOKUP(A100,TANFClient_Demo,9,FALSE)</f>
        <v>632</v>
      </c>
      <c r="L100" s="25" t="e">
        <f t="shared" ref="L100:L123" si="61">VLOOKUP(A100,Pop,16,FALSE)</f>
        <v>#REF!</v>
      </c>
      <c r="M100" s="27" t="e">
        <f t="shared" ref="M100:M123" si="62">+K100/L100</f>
        <v>#REF!</v>
      </c>
      <c r="N100" s="27"/>
      <c r="O100" s="26" t="str">
        <f t="shared" ref="O100:O123" si="63">VLOOKUP(A100,TANFClient_Demo,3,FALSE)</f>
        <v>Western</v>
      </c>
      <c r="P100" s="26" t="e">
        <f t="shared" ref="P100:P123" si="64">VLOOKUP(A100,Pop,8,FALSE)</f>
        <v>#REF!</v>
      </c>
      <c r="Q100" s="27" t="e">
        <f t="shared" ref="Q100:Q123" si="65">+O100/P100</f>
        <v>#VALUE!</v>
      </c>
      <c r="R100" s="27"/>
      <c r="S100" s="26">
        <f t="shared" ref="S100:S123" si="66">VLOOKUP(A100,TANFClient_Demo,4,FALSE)</f>
        <v>550</v>
      </c>
      <c r="T100" s="26" t="e">
        <f t="shared" ref="T100:T123" si="67">VLOOKUP(A100,Pop,9,FALSE)</f>
        <v>#REF!</v>
      </c>
      <c r="U100" s="27" t="e">
        <f t="shared" ref="U100:U123" si="68">+S100/T100</f>
        <v>#REF!</v>
      </c>
      <c r="V100" s="27"/>
      <c r="W100" s="26">
        <f t="shared" ref="W100:W123" si="69">VLOOKUP(A100,TANFClient_Demo,5,FALSE)</f>
        <v>347</v>
      </c>
      <c r="X100" s="26" t="e">
        <f t="shared" ref="X100:X123" si="70">VLOOKUP(A100,Pop,10,FALSE)</f>
        <v>#REF!</v>
      </c>
      <c r="Y100" s="27" t="e">
        <f t="shared" ref="Y100:Y123" si="71">+W100/X100</f>
        <v>#REF!</v>
      </c>
    </row>
    <row r="101" spans="1:25" ht="16.5" customHeight="1" x14ac:dyDescent="0.25">
      <c r="A101" s="16" t="s">
        <v>52</v>
      </c>
      <c r="B101" s="16" t="s">
        <v>53</v>
      </c>
      <c r="C101" s="25">
        <f t="shared" si="54"/>
        <v>693</v>
      </c>
      <c r="D101" s="25" t="e">
        <f t="shared" si="55"/>
        <v>#REF!</v>
      </c>
      <c r="E101" s="27" t="e">
        <f t="shared" si="56"/>
        <v>#REF!</v>
      </c>
      <c r="F101" s="25"/>
      <c r="G101" s="25">
        <f t="shared" si="57"/>
        <v>475</v>
      </c>
      <c r="H101" s="25" t="e">
        <f t="shared" si="58"/>
        <v>#REF!</v>
      </c>
      <c r="I101" s="27" t="e">
        <f t="shared" si="59"/>
        <v>#REF!</v>
      </c>
      <c r="J101" s="25"/>
      <c r="K101" s="25">
        <f t="shared" si="60"/>
        <v>181</v>
      </c>
      <c r="L101" s="25" t="e">
        <f t="shared" si="61"/>
        <v>#REF!</v>
      </c>
      <c r="M101" s="27" t="e">
        <f t="shared" si="62"/>
        <v>#REF!</v>
      </c>
      <c r="N101" s="27"/>
      <c r="O101" s="26" t="str">
        <f t="shared" si="63"/>
        <v>Piedmont</v>
      </c>
      <c r="P101" s="26" t="e">
        <f t="shared" si="64"/>
        <v>#REF!</v>
      </c>
      <c r="Q101" s="27" t="e">
        <f t="shared" si="65"/>
        <v>#VALUE!</v>
      </c>
      <c r="R101" s="27"/>
      <c r="S101" s="26">
        <f t="shared" si="66"/>
        <v>737</v>
      </c>
      <c r="T101" s="26" t="e">
        <f t="shared" si="67"/>
        <v>#REF!</v>
      </c>
      <c r="U101" s="27" t="e">
        <f t="shared" si="68"/>
        <v>#REF!</v>
      </c>
      <c r="V101" s="27"/>
      <c r="W101" s="26">
        <f t="shared" si="69"/>
        <v>429</v>
      </c>
      <c r="X101" s="26" t="e">
        <f t="shared" si="70"/>
        <v>#REF!</v>
      </c>
      <c r="Y101" s="27" t="e">
        <f t="shared" si="71"/>
        <v>#REF!</v>
      </c>
    </row>
    <row r="102" spans="1:25" ht="16.5" customHeight="1" x14ac:dyDescent="0.25">
      <c r="A102" s="16" t="s">
        <v>54</v>
      </c>
      <c r="B102" s="16" t="s">
        <v>55</v>
      </c>
      <c r="C102" s="25">
        <f t="shared" si="54"/>
        <v>2294</v>
      </c>
      <c r="D102" s="25" t="e">
        <f t="shared" si="55"/>
        <v>#REF!</v>
      </c>
      <c r="E102" s="27" t="e">
        <f t="shared" si="56"/>
        <v>#REF!</v>
      </c>
      <c r="F102" s="25"/>
      <c r="G102" s="25">
        <f t="shared" si="57"/>
        <v>1344</v>
      </c>
      <c r="H102" s="25" t="e">
        <f t="shared" si="58"/>
        <v>#REF!</v>
      </c>
      <c r="I102" s="27" t="e">
        <f t="shared" si="59"/>
        <v>#REF!</v>
      </c>
      <c r="J102" s="25"/>
      <c r="K102" s="25">
        <f t="shared" si="60"/>
        <v>710</v>
      </c>
      <c r="L102" s="25" t="e">
        <f t="shared" si="61"/>
        <v>#REF!</v>
      </c>
      <c r="M102" s="27" t="e">
        <f t="shared" si="62"/>
        <v>#REF!</v>
      </c>
      <c r="N102" s="27"/>
      <c r="O102" s="26" t="str">
        <f t="shared" si="63"/>
        <v>Eastern</v>
      </c>
      <c r="P102" s="26" t="e">
        <f t="shared" si="64"/>
        <v>#REF!</v>
      </c>
      <c r="Q102" s="27" t="e">
        <f t="shared" si="65"/>
        <v>#VALUE!</v>
      </c>
      <c r="R102" s="27"/>
      <c r="S102" s="26">
        <f t="shared" si="66"/>
        <v>2411</v>
      </c>
      <c r="T102" s="26" t="e">
        <f t="shared" si="67"/>
        <v>#REF!</v>
      </c>
      <c r="U102" s="27" t="e">
        <f t="shared" si="68"/>
        <v>#REF!</v>
      </c>
      <c r="V102" s="27"/>
      <c r="W102" s="26">
        <f t="shared" si="69"/>
        <v>1226</v>
      </c>
      <c r="X102" s="26" t="e">
        <f t="shared" si="70"/>
        <v>#REF!</v>
      </c>
      <c r="Y102" s="27" t="e">
        <f t="shared" si="71"/>
        <v>#REF!</v>
      </c>
    </row>
    <row r="103" spans="1:25" ht="16.5" customHeight="1" x14ac:dyDescent="0.25">
      <c r="A103" s="16" t="s">
        <v>66</v>
      </c>
      <c r="B103" s="16" t="s">
        <v>67</v>
      </c>
      <c r="C103" s="25">
        <f t="shared" si="54"/>
        <v>1126</v>
      </c>
      <c r="D103" s="25" t="e">
        <f t="shared" si="55"/>
        <v>#REF!</v>
      </c>
      <c r="E103" s="27" t="e">
        <f t="shared" si="56"/>
        <v>#REF!</v>
      </c>
      <c r="F103" s="25"/>
      <c r="G103" s="25">
        <f t="shared" si="57"/>
        <v>675</v>
      </c>
      <c r="H103" s="25" t="e">
        <f t="shared" si="58"/>
        <v>#REF!</v>
      </c>
      <c r="I103" s="27" t="e">
        <f t="shared" si="59"/>
        <v>#REF!</v>
      </c>
      <c r="J103" s="25"/>
      <c r="K103" s="25">
        <f t="shared" si="60"/>
        <v>333</v>
      </c>
      <c r="L103" s="25" t="e">
        <f t="shared" si="61"/>
        <v>#REF!</v>
      </c>
      <c r="M103" s="27" t="e">
        <f t="shared" si="62"/>
        <v>#REF!</v>
      </c>
      <c r="N103" s="27"/>
      <c r="O103" s="26" t="str">
        <f t="shared" si="63"/>
        <v>Piedmont</v>
      </c>
      <c r="P103" s="26" t="e">
        <f t="shared" si="64"/>
        <v>#REF!</v>
      </c>
      <c r="Q103" s="27" t="e">
        <f t="shared" si="65"/>
        <v>#VALUE!</v>
      </c>
      <c r="R103" s="27"/>
      <c r="S103" s="26">
        <f t="shared" si="66"/>
        <v>1158</v>
      </c>
      <c r="T103" s="26" t="e">
        <f t="shared" si="67"/>
        <v>#REF!</v>
      </c>
      <c r="U103" s="27" t="e">
        <f t="shared" si="68"/>
        <v>#REF!</v>
      </c>
      <c r="V103" s="27"/>
      <c r="W103" s="26">
        <f t="shared" si="69"/>
        <v>640</v>
      </c>
      <c r="X103" s="26" t="e">
        <f t="shared" si="70"/>
        <v>#REF!</v>
      </c>
      <c r="Y103" s="27" t="e">
        <f t="shared" si="71"/>
        <v>#REF!</v>
      </c>
    </row>
    <row r="104" spans="1:25" ht="16.5" customHeight="1" x14ac:dyDescent="0.25">
      <c r="A104" s="16" t="s">
        <v>82</v>
      </c>
      <c r="B104" s="16" t="s">
        <v>311</v>
      </c>
      <c r="C104" s="25">
        <f t="shared" si="54"/>
        <v>204</v>
      </c>
      <c r="D104" s="25" t="e">
        <f t="shared" si="55"/>
        <v>#REF!</v>
      </c>
      <c r="E104" s="27" t="e">
        <f t="shared" si="56"/>
        <v>#REF!</v>
      </c>
      <c r="F104" s="25"/>
      <c r="G104" s="25">
        <f t="shared" si="57"/>
        <v>138</v>
      </c>
      <c r="H104" s="25" t="e">
        <f t="shared" si="58"/>
        <v>#REF!</v>
      </c>
      <c r="I104" s="27" t="e">
        <f t="shared" si="59"/>
        <v>#REF!</v>
      </c>
      <c r="J104" s="25"/>
      <c r="K104" s="25">
        <f t="shared" si="60"/>
        <v>14</v>
      </c>
      <c r="L104" s="25" t="e">
        <f t="shared" si="61"/>
        <v>#REF!</v>
      </c>
      <c r="M104" s="27" t="e">
        <f t="shared" si="62"/>
        <v>#REF!</v>
      </c>
      <c r="N104" s="27"/>
      <c r="O104" s="26" t="str">
        <f t="shared" si="63"/>
        <v>Eastern</v>
      </c>
      <c r="P104" s="26" t="e">
        <f t="shared" si="64"/>
        <v>#REF!</v>
      </c>
      <c r="Q104" s="27" t="e">
        <f t="shared" si="65"/>
        <v>#VALUE!</v>
      </c>
      <c r="R104" s="27"/>
      <c r="S104" s="26">
        <f t="shared" si="66"/>
        <v>232</v>
      </c>
      <c r="T104" s="26" t="e">
        <f t="shared" si="67"/>
        <v>#REF!</v>
      </c>
      <c r="U104" s="27" t="e">
        <f t="shared" si="68"/>
        <v>#REF!</v>
      </c>
      <c r="V104" s="27"/>
      <c r="W104" s="26">
        <f t="shared" si="69"/>
        <v>110</v>
      </c>
      <c r="X104" s="26" t="e">
        <f t="shared" si="70"/>
        <v>#REF!</v>
      </c>
      <c r="Y104" s="27" t="e">
        <f t="shared" si="71"/>
        <v>#REF!</v>
      </c>
    </row>
    <row r="105" spans="1:25" ht="16.5" customHeight="1" x14ac:dyDescent="0.25">
      <c r="A105" s="16" t="s">
        <v>88</v>
      </c>
      <c r="B105" s="16" t="s">
        <v>89</v>
      </c>
      <c r="C105" s="25">
        <f t="shared" si="54"/>
        <v>523</v>
      </c>
      <c r="D105" s="25" t="e">
        <f t="shared" si="55"/>
        <v>#REF!</v>
      </c>
      <c r="E105" s="27" t="e">
        <f t="shared" si="56"/>
        <v>#REF!</v>
      </c>
      <c r="F105" s="25"/>
      <c r="G105" s="25">
        <f t="shared" si="57"/>
        <v>305</v>
      </c>
      <c r="H105" s="25" t="e">
        <f t="shared" si="58"/>
        <v>#REF!</v>
      </c>
      <c r="I105" s="27" t="e">
        <f t="shared" si="59"/>
        <v>#REF!</v>
      </c>
      <c r="J105" s="25"/>
      <c r="K105" s="25">
        <f t="shared" si="60"/>
        <v>262</v>
      </c>
      <c r="L105" s="25" t="e">
        <f t="shared" si="61"/>
        <v>#REF!</v>
      </c>
      <c r="M105" s="27" t="e">
        <f t="shared" si="62"/>
        <v>#REF!</v>
      </c>
      <c r="N105" s="27"/>
      <c r="O105" s="26" t="str">
        <f t="shared" si="63"/>
        <v>Northern</v>
      </c>
      <c r="P105" s="26" t="e">
        <f t="shared" si="64"/>
        <v>#REF!</v>
      </c>
      <c r="Q105" s="27" t="e">
        <f t="shared" si="65"/>
        <v>#VALUE!</v>
      </c>
      <c r="R105" s="27"/>
      <c r="S105" s="26">
        <f t="shared" si="66"/>
        <v>513</v>
      </c>
      <c r="T105" s="26" t="e">
        <f t="shared" si="67"/>
        <v>#REF!</v>
      </c>
      <c r="U105" s="27" t="e">
        <f t="shared" si="68"/>
        <v>#REF!</v>
      </c>
      <c r="V105" s="27"/>
      <c r="W105" s="26">
        <f t="shared" si="69"/>
        <v>315</v>
      </c>
      <c r="X105" s="26" t="e">
        <f t="shared" si="70"/>
        <v>#REF!</v>
      </c>
      <c r="Y105" s="27" t="e">
        <f t="shared" si="71"/>
        <v>#REF!</v>
      </c>
    </row>
    <row r="106" spans="1:25" ht="16.5" customHeight="1" x14ac:dyDescent="0.25">
      <c r="A106" s="16" t="s">
        <v>90</v>
      </c>
      <c r="B106" s="16" t="s">
        <v>91</v>
      </c>
      <c r="C106" s="25">
        <f t="shared" si="54"/>
        <v>136</v>
      </c>
      <c r="D106" s="25" t="e">
        <f t="shared" si="55"/>
        <v>#REF!</v>
      </c>
      <c r="E106" s="27" t="e">
        <f t="shared" si="56"/>
        <v>#REF!</v>
      </c>
      <c r="F106" s="25"/>
      <c r="G106" s="25">
        <f t="shared" si="57"/>
        <v>74</v>
      </c>
      <c r="H106" s="25" t="e">
        <f t="shared" si="58"/>
        <v>#REF!</v>
      </c>
      <c r="I106" s="27" t="e">
        <f t="shared" si="59"/>
        <v>#REF!</v>
      </c>
      <c r="J106" s="25"/>
      <c r="K106" s="25">
        <f t="shared" si="60"/>
        <v>147</v>
      </c>
      <c r="L106" s="25" t="e">
        <f t="shared" si="61"/>
        <v>#REF!</v>
      </c>
      <c r="M106" s="27" t="e">
        <f t="shared" si="62"/>
        <v>#REF!</v>
      </c>
      <c r="N106" s="27"/>
      <c r="O106" s="26" t="str">
        <f t="shared" si="63"/>
        <v>Western</v>
      </c>
      <c r="P106" s="26" t="e">
        <f t="shared" si="64"/>
        <v>#REF!</v>
      </c>
      <c r="Q106" s="27" t="e">
        <f t="shared" si="65"/>
        <v>#VALUE!</v>
      </c>
      <c r="R106" s="27"/>
      <c r="S106" s="26">
        <f t="shared" si="66"/>
        <v>138</v>
      </c>
      <c r="T106" s="26" t="e">
        <f t="shared" si="67"/>
        <v>#REF!</v>
      </c>
      <c r="U106" s="27" t="e">
        <f t="shared" si="68"/>
        <v>#REF!</v>
      </c>
      <c r="V106" s="27"/>
      <c r="W106" s="26">
        <f t="shared" si="69"/>
        <v>72</v>
      </c>
      <c r="X106" s="26" t="e">
        <f t="shared" si="70"/>
        <v>#REF!</v>
      </c>
      <c r="Y106" s="27" t="e">
        <f t="shared" si="71"/>
        <v>#REF!</v>
      </c>
    </row>
    <row r="107" spans="1:25" ht="16.5" customHeight="1" x14ac:dyDescent="0.25">
      <c r="A107" s="16" t="s">
        <v>106</v>
      </c>
      <c r="B107" s="16" t="s">
        <v>107</v>
      </c>
      <c r="C107" s="25">
        <f t="shared" si="54"/>
        <v>2882</v>
      </c>
      <c r="D107" s="25" t="e">
        <f t="shared" si="55"/>
        <v>#REF!</v>
      </c>
      <c r="E107" s="27" t="e">
        <f t="shared" si="56"/>
        <v>#REF!</v>
      </c>
      <c r="F107" s="25"/>
      <c r="G107" s="25">
        <f t="shared" si="57"/>
        <v>1705</v>
      </c>
      <c r="H107" s="25" t="e">
        <f t="shared" si="58"/>
        <v>#REF!</v>
      </c>
      <c r="I107" s="27" t="e">
        <f t="shared" si="59"/>
        <v>#REF!</v>
      </c>
      <c r="J107" s="25"/>
      <c r="K107" s="25">
        <f t="shared" si="60"/>
        <v>620</v>
      </c>
      <c r="L107" s="25" t="e">
        <f t="shared" si="61"/>
        <v>#REF!</v>
      </c>
      <c r="M107" s="27" t="e">
        <f t="shared" si="62"/>
        <v>#REF!</v>
      </c>
      <c r="N107" s="27"/>
      <c r="O107" s="26" t="str">
        <f t="shared" si="63"/>
        <v>Eastern</v>
      </c>
      <c r="P107" s="26" t="e">
        <f t="shared" si="64"/>
        <v>#REF!</v>
      </c>
      <c r="Q107" s="27" t="e">
        <f t="shared" si="65"/>
        <v>#VALUE!</v>
      </c>
      <c r="R107" s="27"/>
      <c r="S107" s="26">
        <f t="shared" si="66"/>
        <v>3039</v>
      </c>
      <c r="T107" s="26" t="e">
        <f t="shared" si="67"/>
        <v>#REF!</v>
      </c>
      <c r="U107" s="27" t="e">
        <f t="shared" si="68"/>
        <v>#REF!</v>
      </c>
      <c r="V107" s="27"/>
      <c r="W107" s="26">
        <f t="shared" si="69"/>
        <v>1544</v>
      </c>
      <c r="X107" s="26" t="e">
        <f t="shared" si="70"/>
        <v>#REF!</v>
      </c>
      <c r="Y107" s="27" t="e">
        <f t="shared" si="71"/>
        <v>#REF!</v>
      </c>
    </row>
    <row r="108" spans="1:25" ht="16.5" customHeight="1" x14ac:dyDescent="0.25">
      <c r="A108" s="16" t="s">
        <v>116</v>
      </c>
      <c r="B108" s="16" t="s">
        <v>117</v>
      </c>
      <c r="C108" s="25">
        <f t="shared" si="54"/>
        <v>824</v>
      </c>
      <c r="D108" s="25" t="e">
        <f t="shared" si="55"/>
        <v>#REF!</v>
      </c>
      <c r="E108" s="27" t="e">
        <f t="shared" si="56"/>
        <v>#REF!</v>
      </c>
      <c r="F108" s="25"/>
      <c r="G108" s="25">
        <f t="shared" si="57"/>
        <v>483</v>
      </c>
      <c r="H108" s="25" t="e">
        <f t="shared" si="58"/>
        <v>#REF!</v>
      </c>
      <c r="I108" s="27" t="e">
        <f t="shared" si="59"/>
        <v>#REF!</v>
      </c>
      <c r="J108" s="25"/>
      <c r="K108" s="25">
        <f t="shared" si="60"/>
        <v>359</v>
      </c>
      <c r="L108" s="25" t="e">
        <f t="shared" si="61"/>
        <v>#REF!</v>
      </c>
      <c r="M108" s="27" t="e">
        <f t="shared" si="62"/>
        <v>#REF!</v>
      </c>
      <c r="N108" s="27"/>
      <c r="O108" s="26" t="str">
        <f t="shared" si="63"/>
        <v>Central</v>
      </c>
      <c r="P108" s="26" t="e">
        <f t="shared" si="64"/>
        <v>#REF!</v>
      </c>
      <c r="Q108" s="27" t="e">
        <f t="shared" si="65"/>
        <v>#VALUE!</v>
      </c>
      <c r="R108" s="27"/>
      <c r="S108" s="26">
        <f t="shared" si="66"/>
        <v>833</v>
      </c>
      <c r="T108" s="26" t="e">
        <f t="shared" si="67"/>
        <v>#REF!</v>
      </c>
      <c r="U108" s="27" t="e">
        <f t="shared" si="68"/>
        <v>#REF!</v>
      </c>
      <c r="V108" s="27"/>
      <c r="W108" s="26">
        <f t="shared" si="69"/>
        <v>473</v>
      </c>
      <c r="X108" s="26" t="e">
        <f t="shared" si="70"/>
        <v>#REF!</v>
      </c>
      <c r="Y108" s="27" t="e">
        <f t="shared" si="71"/>
        <v>#REF!</v>
      </c>
    </row>
    <row r="109" spans="1:25" ht="16.5" customHeight="1" x14ac:dyDescent="0.25">
      <c r="A109" s="16" t="s">
        <v>138</v>
      </c>
      <c r="B109" s="16" t="s">
        <v>139</v>
      </c>
      <c r="C109" s="25">
        <f t="shared" si="54"/>
        <v>1273</v>
      </c>
      <c r="D109" s="25" t="e">
        <f t="shared" si="55"/>
        <v>#REF!</v>
      </c>
      <c r="E109" s="27" t="e">
        <f t="shared" si="56"/>
        <v>#REF!</v>
      </c>
      <c r="F109" s="25"/>
      <c r="G109" s="25">
        <f t="shared" si="57"/>
        <v>765</v>
      </c>
      <c r="H109" s="25" t="e">
        <f t="shared" si="58"/>
        <v>#REF!</v>
      </c>
      <c r="I109" s="27" t="e">
        <f t="shared" si="59"/>
        <v>#REF!</v>
      </c>
      <c r="J109" s="25"/>
      <c r="K109" s="25">
        <f t="shared" si="60"/>
        <v>368</v>
      </c>
      <c r="L109" s="25" t="e">
        <f t="shared" si="61"/>
        <v>#REF!</v>
      </c>
      <c r="M109" s="27" t="e">
        <f t="shared" si="62"/>
        <v>#REF!</v>
      </c>
      <c r="N109" s="27"/>
      <c r="O109" s="26" t="str">
        <f t="shared" si="63"/>
        <v>Piedmont</v>
      </c>
      <c r="P109" s="26" t="e">
        <f t="shared" si="64"/>
        <v>#REF!</v>
      </c>
      <c r="Q109" s="27" t="e">
        <f t="shared" si="65"/>
        <v>#VALUE!</v>
      </c>
      <c r="R109" s="27"/>
      <c r="S109" s="26">
        <f t="shared" si="66"/>
        <v>1332</v>
      </c>
      <c r="T109" s="26" t="e">
        <f t="shared" si="67"/>
        <v>#REF!</v>
      </c>
      <c r="U109" s="27" t="e">
        <f t="shared" si="68"/>
        <v>#REF!</v>
      </c>
      <c r="V109" s="27"/>
      <c r="W109" s="26">
        <f t="shared" si="69"/>
        <v>705</v>
      </c>
      <c r="X109" s="26" t="e">
        <f t="shared" si="70"/>
        <v>#REF!</v>
      </c>
      <c r="Y109" s="27" t="e">
        <f t="shared" si="71"/>
        <v>#REF!</v>
      </c>
    </row>
    <row r="110" spans="1:25" ht="16.5" customHeight="1" x14ac:dyDescent="0.25">
      <c r="A110" s="16" t="s">
        <v>142</v>
      </c>
      <c r="B110" s="16" t="s">
        <v>143</v>
      </c>
      <c r="C110" s="25">
        <f t="shared" si="54"/>
        <v>358</v>
      </c>
      <c r="D110" s="25" t="e">
        <f t="shared" si="55"/>
        <v>#REF!</v>
      </c>
      <c r="E110" s="27" t="e">
        <f t="shared" si="56"/>
        <v>#REF!</v>
      </c>
      <c r="F110" s="25"/>
      <c r="G110" s="25">
        <f t="shared" si="57"/>
        <v>226</v>
      </c>
      <c r="H110" s="25" t="e">
        <f t="shared" si="58"/>
        <v>#REF!</v>
      </c>
      <c r="I110" s="27" t="e">
        <f t="shared" si="59"/>
        <v>#REF!</v>
      </c>
      <c r="J110" s="25"/>
      <c r="K110" s="25">
        <f t="shared" si="60"/>
        <v>251</v>
      </c>
      <c r="L110" s="25" t="e">
        <f t="shared" si="61"/>
        <v>#REF!</v>
      </c>
      <c r="M110" s="27" t="e">
        <f t="shared" si="62"/>
        <v>#REF!</v>
      </c>
      <c r="N110" s="27"/>
      <c r="O110" s="26" t="str">
        <f t="shared" si="63"/>
        <v>Northern</v>
      </c>
      <c r="P110" s="26" t="e">
        <f t="shared" si="64"/>
        <v>#REF!</v>
      </c>
      <c r="Q110" s="27" t="e">
        <f t="shared" si="65"/>
        <v>#VALUE!</v>
      </c>
      <c r="R110" s="27"/>
      <c r="S110" s="26">
        <f t="shared" si="66"/>
        <v>370</v>
      </c>
      <c r="T110" s="26" t="e">
        <f t="shared" si="67"/>
        <v>#REF!</v>
      </c>
      <c r="U110" s="27" t="e">
        <f t="shared" si="68"/>
        <v>#REF!</v>
      </c>
      <c r="V110" s="27"/>
      <c r="W110" s="26">
        <f t="shared" si="69"/>
        <v>213</v>
      </c>
      <c r="X110" s="26" t="e">
        <f t="shared" si="70"/>
        <v>#REF!</v>
      </c>
      <c r="Y110" s="27" t="e">
        <f t="shared" si="71"/>
        <v>#REF!</v>
      </c>
    </row>
    <row r="111" spans="1:25" ht="16.5" customHeight="1" x14ac:dyDescent="0.25">
      <c r="A111" s="16" t="s">
        <v>144</v>
      </c>
      <c r="B111" s="16" t="s">
        <v>145</v>
      </c>
      <c r="C111" s="25">
        <f t="shared" si="54"/>
        <v>70</v>
      </c>
      <c r="D111" s="25" t="e">
        <f t="shared" si="55"/>
        <v>#REF!</v>
      </c>
      <c r="E111" s="27" t="e">
        <f t="shared" si="56"/>
        <v>#REF!</v>
      </c>
      <c r="F111" s="25"/>
      <c r="G111" s="25">
        <f t="shared" si="57"/>
        <v>50</v>
      </c>
      <c r="H111" s="25" t="e">
        <f t="shared" si="58"/>
        <v>#REF!</v>
      </c>
      <c r="I111" s="27" t="e">
        <f t="shared" si="59"/>
        <v>#REF!</v>
      </c>
      <c r="J111" s="25"/>
      <c r="K111" s="25">
        <f t="shared" si="60"/>
        <v>62</v>
      </c>
      <c r="L111" s="25" t="e">
        <f t="shared" si="61"/>
        <v>#REF!</v>
      </c>
      <c r="M111" s="27" t="e">
        <f t="shared" si="62"/>
        <v>#REF!</v>
      </c>
      <c r="N111" s="27"/>
      <c r="O111" s="26" t="str">
        <f t="shared" si="63"/>
        <v>Northern</v>
      </c>
      <c r="P111" s="26" t="e">
        <f t="shared" si="64"/>
        <v>#REF!</v>
      </c>
      <c r="Q111" s="27" t="e">
        <f t="shared" si="65"/>
        <v>#VALUE!</v>
      </c>
      <c r="R111" s="27"/>
      <c r="S111" s="26">
        <f t="shared" si="66"/>
        <v>71</v>
      </c>
      <c r="T111" s="26" t="e">
        <f t="shared" si="67"/>
        <v>#REF!</v>
      </c>
      <c r="U111" s="27" t="e">
        <f t="shared" si="68"/>
        <v>#REF!</v>
      </c>
      <c r="V111" s="27"/>
      <c r="W111" s="26">
        <f t="shared" si="69"/>
        <v>49</v>
      </c>
      <c r="X111" s="26" t="e">
        <f t="shared" si="70"/>
        <v>#REF!</v>
      </c>
      <c r="Y111" s="27" t="e">
        <f t="shared" si="71"/>
        <v>#REF!</v>
      </c>
    </row>
    <row r="112" spans="1:25" ht="16.5" customHeight="1" x14ac:dyDescent="0.25">
      <c r="A112" s="16" t="s">
        <v>158</v>
      </c>
      <c r="B112" s="16" t="s">
        <v>159</v>
      </c>
      <c r="C112" s="25">
        <f t="shared" si="54"/>
        <v>4448</v>
      </c>
      <c r="D112" s="25" t="e">
        <f t="shared" si="55"/>
        <v>#REF!</v>
      </c>
      <c r="E112" s="27" t="e">
        <f t="shared" si="56"/>
        <v>#REF!</v>
      </c>
      <c r="F112" s="25"/>
      <c r="G112" s="25">
        <f t="shared" si="57"/>
        <v>2652</v>
      </c>
      <c r="H112" s="25" t="e">
        <f t="shared" si="58"/>
        <v>#REF!</v>
      </c>
      <c r="I112" s="27" t="e">
        <f t="shared" si="59"/>
        <v>#REF!</v>
      </c>
      <c r="J112" s="25"/>
      <c r="K112" s="25">
        <f t="shared" si="60"/>
        <v>937</v>
      </c>
      <c r="L112" s="25" t="e">
        <f t="shared" si="61"/>
        <v>#REF!</v>
      </c>
      <c r="M112" s="27" t="e">
        <f t="shared" si="62"/>
        <v>#REF!</v>
      </c>
      <c r="N112" s="27"/>
      <c r="O112" s="26" t="str">
        <f t="shared" si="63"/>
        <v>Eastern</v>
      </c>
      <c r="P112" s="26" t="e">
        <f t="shared" si="64"/>
        <v>#REF!</v>
      </c>
      <c r="Q112" s="27" t="e">
        <f t="shared" si="65"/>
        <v>#VALUE!</v>
      </c>
      <c r="R112" s="27"/>
      <c r="S112" s="26">
        <f t="shared" si="66"/>
        <v>4623</v>
      </c>
      <c r="T112" s="26" t="e">
        <f t="shared" si="67"/>
        <v>#REF!</v>
      </c>
      <c r="U112" s="27" t="e">
        <f t="shared" si="68"/>
        <v>#REF!</v>
      </c>
      <c r="V112" s="27"/>
      <c r="W112" s="26">
        <f t="shared" si="69"/>
        <v>2470</v>
      </c>
      <c r="X112" s="26" t="e">
        <f t="shared" si="70"/>
        <v>#REF!</v>
      </c>
      <c r="Y112" s="27" t="e">
        <f t="shared" si="71"/>
        <v>#REF!</v>
      </c>
    </row>
    <row r="113" spans="1:25" ht="16.5" customHeight="1" x14ac:dyDescent="0.25">
      <c r="A113" s="16" t="s">
        <v>160</v>
      </c>
      <c r="B113" s="16" t="s">
        <v>161</v>
      </c>
      <c r="C113" s="25">
        <f t="shared" si="54"/>
        <v>4600</v>
      </c>
      <c r="D113" s="25" t="e">
        <f t="shared" si="55"/>
        <v>#REF!</v>
      </c>
      <c r="E113" s="27" t="e">
        <f t="shared" si="56"/>
        <v>#REF!</v>
      </c>
      <c r="F113" s="25"/>
      <c r="G113" s="25">
        <f t="shared" si="57"/>
        <v>2649</v>
      </c>
      <c r="H113" s="25" t="e">
        <f t="shared" si="58"/>
        <v>#REF!</v>
      </c>
      <c r="I113" s="27" t="e">
        <f t="shared" si="59"/>
        <v>#REF!</v>
      </c>
      <c r="J113" s="25"/>
      <c r="K113" s="25">
        <f t="shared" si="60"/>
        <v>670</v>
      </c>
      <c r="L113" s="25" t="e">
        <f t="shared" si="61"/>
        <v>#REF!</v>
      </c>
      <c r="M113" s="27" t="e">
        <f t="shared" si="62"/>
        <v>#REF!</v>
      </c>
      <c r="N113" s="27"/>
      <c r="O113" s="26" t="str">
        <f t="shared" si="63"/>
        <v>Eastern</v>
      </c>
      <c r="P113" s="26" t="e">
        <f t="shared" si="64"/>
        <v>#REF!</v>
      </c>
      <c r="Q113" s="27" t="e">
        <f t="shared" si="65"/>
        <v>#VALUE!</v>
      </c>
      <c r="R113" s="27"/>
      <c r="S113" s="26">
        <f t="shared" si="66"/>
        <v>4792</v>
      </c>
      <c r="T113" s="26" t="e">
        <f t="shared" si="67"/>
        <v>#REF!</v>
      </c>
      <c r="U113" s="27" t="e">
        <f t="shared" si="68"/>
        <v>#REF!</v>
      </c>
      <c r="V113" s="27"/>
      <c r="W113" s="26">
        <f t="shared" si="69"/>
        <v>2448</v>
      </c>
      <c r="X113" s="26" t="e">
        <f t="shared" si="70"/>
        <v>#REF!</v>
      </c>
      <c r="Y113" s="27" t="e">
        <f t="shared" si="71"/>
        <v>#REF!</v>
      </c>
    </row>
    <row r="114" spans="1:25" ht="16.5" customHeight="1" x14ac:dyDescent="0.25">
      <c r="A114" s="16" t="s">
        <v>166</v>
      </c>
      <c r="B114" s="16" t="s">
        <v>167</v>
      </c>
      <c r="C114" s="25">
        <f t="shared" si="54"/>
        <v>131</v>
      </c>
      <c r="D114" s="25" t="e">
        <f t="shared" si="55"/>
        <v>#REF!</v>
      </c>
      <c r="E114" s="27" t="e">
        <f t="shared" si="56"/>
        <v>#REF!</v>
      </c>
      <c r="F114" s="25"/>
      <c r="G114" s="25">
        <f t="shared" si="57"/>
        <v>83</v>
      </c>
      <c r="H114" s="25" t="e">
        <f t="shared" si="58"/>
        <v>#REF!</v>
      </c>
      <c r="I114" s="27" t="e">
        <f t="shared" si="59"/>
        <v>#REF!</v>
      </c>
      <c r="J114" s="25"/>
      <c r="K114" s="25">
        <f t="shared" si="60"/>
        <v>175</v>
      </c>
      <c r="L114" s="25" t="e">
        <f t="shared" si="61"/>
        <v>#REF!</v>
      </c>
      <c r="M114" s="27" t="e">
        <f t="shared" si="62"/>
        <v>#REF!</v>
      </c>
      <c r="N114" s="27"/>
      <c r="O114" s="26" t="str">
        <f t="shared" si="63"/>
        <v>Western</v>
      </c>
      <c r="P114" s="26" t="e">
        <f t="shared" si="64"/>
        <v>#REF!</v>
      </c>
      <c r="Q114" s="27" t="e">
        <f t="shared" si="65"/>
        <v>#VALUE!</v>
      </c>
      <c r="R114" s="27"/>
      <c r="S114" s="26">
        <f t="shared" si="66"/>
        <v>132</v>
      </c>
      <c r="T114" s="26" t="e">
        <f t="shared" si="67"/>
        <v>#REF!</v>
      </c>
      <c r="U114" s="27" t="e">
        <f t="shared" si="68"/>
        <v>#REF!</v>
      </c>
      <c r="V114" s="27"/>
      <c r="W114" s="26">
        <f t="shared" si="69"/>
        <v>82</v>
      </c>
      <c r="X114" s="26" t="e">
        <f t="shared" si="70"/>
        <v>#REF!</v>
      </c>
      <c r="Y114" s="27" t="e">
        <f t="shared" si="71"/>
        <v>#REF!</v>
      </c>
    </row>
    <row r="115" spans="1:25" ht="16.5" customHeight="1" x14ac:dyDescent="0.25">
      <c r="A115" s="16" t="s">
        <v>176</v>
      </c>
      <c r="B115" s="16" t="s">
        <v>177</v>
      </c>
      <c r="C115" s="25">
        <f t="shared" si="54"/>
        <v>1377</v>
      </c>
      <c r="D115" s="25" t="e">
        <f t="shared" si="55"/>
        <v>#REF!</v>
      </c>
      <c r="E115" s="27" t="e">
        <f t="shared" si="56"/>
        <v>#REF!</v>
      </c>
      <c r="F115" s="25"/>
      <c r="G115" s="25">
        <f t="shared" si="57"/>
        <v>741</v>
      </c>
      <c r="H115" s="25" t="e">
        <f t="shared" si="58"/>
        <v>#REF!</v>
      </c>
      <c r="I115" s="27" t="e">
        <f t="shared" si="59"/>
        <v>#REF!</v>
      </c>
      <c r="J115" s="25"/>
      <c r="K115" s="25">
        <f t="shared" si="60"/>
        <v>78</v>
      </c>
      <c r="L115" s="25" t="e">
        <f t="shared" si="61"/>
        <v>#REF!</v>
      </c>
      <c r="M115" s="27" t="e">
        <f t="shared" si="62"/>
        <v>#REF!</v>
      </c>
      <c r="N115" s="27"/>
      <c r="O115" s="26" t="str">
        <f t="shared" si="63"/>
        <v>Central</v>
      </c>
      <c r="P115" s="26" t="e">
        <f t="shared" si="64"/>
        <v>#REF!</v>
      </c>
      <c r="Q115" s="27" t="e">
        <f t="shared" si="65"/>
        <v>#VALUE!</v>
      </c>
      <c r="R115" s="27"/>
      <c r="S115" s="26">
        <f t="shared" si="66"/>
        <v>1345</v>
      </c>
      <c r="T115" s="26" t="e">
        <f t="shared" si="67"/>
        <v>#REF!</v>
      </c>
      <c r="U115" s="27" t="e">
        <f t="shared" si="68"/>
        <v>#REF!</v>
      </c>
      <c r="V115" s="27"/>
      <c r="W115" s="26">
        <f t="shared" si="69"/>
        <v>772</v>
      </c>
      <c r="X115" s="26" t="e">
        <f t="shared" si="70"/>
        <v>#REF!</v>
      </c>
      <c r="Y115" s="27" t="e">
        <f t="shared" si="71"/>
        <v>#REF!</v>
      </c>
    </row>
    <row r="116" spans="1:25" ht="16.5" customHeight="1" x14ac:dyDescent="0.25">
      <c r="A116" s="16" t="s">
        <v>180</v>
      </c>
      <c r="B116" s="16" t="s">
        <v>181</v>
      </c>
      <c r="C116" s="25">
        <f t="shared" si="54"/>
        <v>2617</v>
      </c>
      <c r="D116" s="25" t="e">
        <f t="shared" si="55"/>
        <v>#REF!</v>
      </c>
      <c r="E116" s="27" t="e">
        <f t="shared" si="56"/>
        <v>#REF!</v>
      </c>
      <c r="F116" s="25"/>
      <c r="G116" s="25">
        <f t="shared" si="57"/>
        <v>1583</v>
      </c>
      <c r="H116" s="25" t="e">
        <f t="shared" si="58"/>
        <v>#REF!</v>
      </c>
      <c r="I116" s="27" t="e">
        <f t="shared" si="59"/>
        <v>#REF!</v>
      </c>
      <c r="J116" s="25"/>
      <c r="K116" s="25">
        <f t="shared" si="60"/>
        <v>429</v>
      </c>
      <c r="L116" s="25" t="e">
        <f t="shared" si="61"/>
        <v>#REF!</v>
      </c>
      <c r="M116" s="27" t="e">
        <f t="shared" si="62"/>
        <v>#REF!</v>
      </c>
      <c r="N116" s="27"/>
      <c r="O116" s="26" t="str">
        <f t="shared" si="63"/>
        <v>Eastern</v>
      </c>
      <c r="P116" s="26" t="e">
        <f t="shared" si="64"/>
        <v>#REF!</v>
      </c>
      <c r="Q116" s="27" t="e">
        <f t="shared" si="65"/>
        <v>#VALUE!</v>
      </c>
      <c r="R116" s="27"/>
      <c r="S116" s="26">
        <f t="shared" si="66"/>
        <v>2747</v>
      </c>
      <c r="T116" s="26" t="e">
        <f t="shared" si="67"/>
        <v>#REF!</v>
      </c>
      <c r="U116" s="27" t="e">
        <f t="shared" si="68"/>
        <v>#REF!</v>
      </c>
      <c r="V116" s="27"/>
      <c r="W116" s="26">
        <f t="shared" si="69"/>
        <v>1446</v>
      </c>
      <c r="X116" s="26" t="e">
        <f t="shared" si="70"/>
        <v>#REF!</v>
      </c>
      <c r="Y116" s="27" t="e">
        <f t="shared" si="71"/>
        <v>#REF!</v>
      </c>
    </row>
    <row r="117" spans="1:25" ht="16.5" customHeight="1" x14ac:dyDescent="0.25">
      <c r="A117" s="16" t="s">
        <v>192</v>
      </c>
      <c r="B117" s="16" t="s">
        <v>193</v>
      </c>
      <c r="C117" s="25">
        <f t="shared" si="54"/>
        <v>150</v>
      </c>
      <c r="D117" s="25" t="e">
        <f t="shared" si="55"/>
        <v>#REF!</v>
      </c>
      <c r="E117" s="27" t="e">
        <f t="shared" si="56"/>
        <v>#REF!</v>
      </c>
      <c r="F117" s="25"/>
      <c r="G117" s="25">
        <f t="shared" si="57"/>
        <v>118</v>
      </c>
      <c r="H117" s="25" t="e">
        <f t="shared" si="58"/>
        <v>#REF!</v>
      </c>
      <c r="I117" s="27" t="e">
        <f t="shared" si="59"/>
        <v>#REF!</v>
      </c>
      <c r="J117" s="25"/>
      <c r="K117" s="25">
        <f t="shared" si="60"/>
        <v>184</v>
      </c>
      <c r="L117" s="25" t="e">
        <f t="shared" si="61"/>
        <v>#REF!</v>
      </c>
      <c r="M117" s="27" t="e">
        <f t="shared" si="62"/>
        <v>#REF!</v>
      </c>
      <c r="N117" s="27"/>
      <c r="O117" s="26" t="str">
        <f t="shared" si="63"/>
        <v>Western</v>
      </c>
      <c r="P117" s="26" t="e">
        <f t="shared" si="64"/>
        <v>#REF!</v>
      </c>
      <c r="Q117" s="27" t="e">
        <f t="shared" si="65"/>
        <v>#VALUE!</v>
      </c>
      <c r="R117" s="27"/>
      <c r="S117" s="26">
        <f t="shared" si="66"/>
        <v>167</v>
      </c>
      <c r="T117" s="26" t="e">
        <f t="shared" si="67"/>
        <v>#REF!</v>
      </c>
      <c r="U117" s="27" t="e">
        <f t="shared" si="68"/>
        <v>#REF!</v>
      </c>
      <c r="V117" s="27"/>
      <c r="W117" s="26">
        <f t="shared" si="69"/>
        <v>101</v>
      </c>
      <c r="X117" s="26" t="e">
        <f t="shared" si="70"/>
        <v>#REF!</v>
      </c>
      <c r="Y117" s="27" t="e">
        <f t="shared" si="71"/>
        <v>#REF!</v>
      </c>
    </row>
    <row r="118" spans="1:25" ht="16.5" customHeight="1" x14ac:dyDescent="0.25">
      <c r="A118" s="16" t="s">
        <v>196</v>
      </c>
      <c r="B118" s="16" t="s">
        <v>312</v>
      </c>
      <c r="C118" s="25">
        <f t="shared" si="54"/>
        <v>5744</v>
      </c>
      <c r="D118" s="25" t="e">
        <f t="shared" si="55"/>
        <v>#REF!</v>
      </c>
      <c r="E118" s="27" t="e">
        <f t="shared" si="56"/>
        <v>#REF!</v>
      </c>
      <c r="F118" s="25"/>
      <c r="G118" s="25">
        <f t="shared" si="57"/>
        <v>3097</v>
      </c>
      <c r="H118" s="25" t="e">
        <f t="shared" si="58"/>
        <v>#REF!</v>
      </c>
      <c r="I118" s="27" t="e">
        <f t="shared" si="59"/>
        <v>#REF!</v>
      </c>
      <c r="J118" s="25"/>
      <c r="K118" s="25">
        <f t="shared" si="60"/>
        <v>428</v>
      </c>
      <c r="L118" s="25" t="e">
        <f t="shared" si="61"/>
        <v>#REF!</v>
      </c>
      <c r="M118" s="27" t="e">
        <f t="shared" si="62"/>
        <v>#REF!</v>
      </c>
      <c r="N118" s="27"/>
      <c r="O118" s="26" t="str">
        <f t="shared" si="63"/>
        <v>Central</v>
      </c>
      <c r="P118" s="26" t="e">
        <f t="shared" si="64"/>
        <v>#REF!</v>
      </c>
      <c r="Q118" s="27" t="e">
        <f t="shared" si="65"/>
        <v>#VALUE!</v>
      </c>
      <c r="R118" s="27"/>
      <c r="S118" s="26">
        <f t="shared" si="66"/>
        <v>5708</v>
      </c>
      <c r="T118" s="26" t="e">
        <f t="shared" si="67"/>
        <v>#REF!</v>
      </c>
      <c r="U118" s="27" t="e">
        <f t="shared" si="68"/>
        <v>#REF!</v>
      </c>
      <c r="V118" s="27"/>
      <c r="W118" s="26">
        <f t="shared" si="69"/>
        <v>3123</v>
      </c>
      <c r="X118" s="26" t="e">
        <f t="shared" si="70"/>
        <v>#REF!</v>
      </c>
      <c r="Y118" s="27" t="e">
        <f t="shared" si="71"/>
        <v>#REF!</v>
      </c>
    </row>
    <row r="119" spans="1:25" ht="16.5" customHeight="1" x14ac:dyDescent="0.25">
      <c r="A119" s="16" t="s">
        <v>200</v>
      </c>
      <c r="B119" s="16" t="s">
        <v>313</v>
      </c>
      <c r="C119" s="25">
        <f t="shared" si="54"/>
        <v>2755</v>
      </c>
      <c r="D119" s="25" t="e">
        <f t="shared" si="55"/>
        <v>#REF!</v>
      </c>
      <c r="E119" s="27" t="e">
        <f t="shared" si="56"/>
        <v>#REF!</v>
      </c>
      <c r="F119" s="25"/>
      <c r="G119" s="25">
        <f t="shared" si="57"/>
        <v>1767</v>
      </c>
      <c r="H119" s="25" t="e">
        <f t="shared" si="58"/>
        <v>#REF!</v>
      </c>
      <c r="I119" s="27" t="e">
        <f t="shared" si="59"/>
        <v>#REF!</v>
      </c>
      <c r="J119" s="25"/>
      <c r="K119" s="25">
        <f t="shared" si="60"/>
        <v>1490</v>
      </c>
      <c r="L119" s="25" t="e">
        <f t="shared" si="61"/>
        <v>#REF!</v>
      </c>
      <c r="M119" s="27" t="e">
        <f t="shared" si="62"/>
        <v>#REF!</v>
      </c>
      <c r="N119" s="27"/>
      <c r="O119" s="26" t="str">
        <f t="shared" si="63"/>
        <v>Piedmont</v>
      </c>
      <c r="P119" s="26" t="e">
        <f t="shared" si="64"/>
        <v>#REF!</v>
      </c>
      <c r="Q119" s="27" t="e">
        <f t="shared" si="65"/>
        <v>#VALUE!</v>
      </c>
      <c r="R119" s="27"/>
      <c r="S119" s="26">
        <f t="shared" si="66"/>
        <v>2900</v>
      </c>
      <c r="T119" s="26" t="e">
        <f t="shared" si="67"/>
        <v>#REF!</v>
      </c>
      <c r="U119" s="27" t="e">
        <f t="shared" si="68"/>
        <v>#REF!</v>
      </c>
      <c r="V119" s="27"/>
      <c r="W119" s="26">
        <f t="shared" si="69"/>
        <v>1616</v>
      </c>
      <c r="X119" s="26" t="e">
        <f t="shared" si="70"/>
        <v>#REF!</v>
      </c>
      <c r="Y119" s="27" t="e">
        <f t="shared" si="71"/>
        <v>#REF!</v>
      </c>
    </row>
    <row r="120" spans="1:25" ht="16.5" customHeight="1" x14ac:dyDescent="0.25">
      <c r="A120" s="16" t="s">
        <v>222</v>
      </c>
      <c r="B120" s="16" t="s">
        <v>223</v>
      </c>
      <c r="C120" s="25">
        <f t="shared" si="54"/>
        <v>1097</v>
      </c>
      <c r="D120" s="25" t="e">
        <f t="shared" si="55"/>
        <v>#REF!</v>
      </c>
      <c r="E120" s="27" t="e">
        <f t="shared" si="56"/>
        <v>#REF!</v>
      </c>
      <c r="F120" s="25"/>
      <c r="G120" s="25">
        <f t="shared" si="57"/>
        <v>663</v>
      </c>
      <c r="H120" s="25" t="e">
        <f t="shared" si="58"/>
        <v>#REF!</v>
      </c>
      <c r="I120" s="27" t="e">
        <f t="shared" si="59"/>
        <v>#REF!</v>
      </c>
      <c r="J120" s="25"/>
      <c r="K120" s="25">
        <f t="shared" si="60"/>
        <v>235</v>
      </c>
      <c r="L120" s="25" t="e">
        <f t="shared" si="61"/>
        <v>#REF!</v>
      </c>
      <c r="M120" s="27" t="e">
        <f t="shared" si="62"/>
        <v>#REF!</v>
      </c>
      <c r="N120" s="27"/>
      <c r="O120" s="26" t="str">
        <f t="shared" si="63"/>
        <v>Eastern</v>
      </c>
      <c r="P120" s="26" t="e">
        <f t="shared" si="64"/>
        <v>#REF!</v>
      </c>
      <c r="Q120" s="27" t="e">
        <f t="shared" si="65"/>
        <v>#VALUE!</v>
      </c>
      <c r="R120" s="27"/>
      <c r="S120" s="26">
        <f t="shared" si="66"/>
        <v>1183</v>
      </c>
      <c r="T120" s="26" t="e">
        <f t="shared" si="67"/>
        <v>#REF!</v>
      </c>
      <c r="U120" s="27" t="e">
        <f t="shared" si="68"/>
        <v>#REF!</v>
      </c>
      <c r="V120" s="27"/>
      <c r="W120" s="26">
        <f t="shared" si="69"/>
        <v>576</v>
      </c>
      <c r="X120" s="26" t="e">
        <f t="shared" si="70"/>
        <v>#REF!</v>
      </c>
      <c r="Y120" s="27" t="e">
        <f t="shared" si="71"/>
        <v>#REF!</v>
      </c>
    </row>
    <row r="121" spans="1:25" ht="16.5" customHeight="1" x14ac:dyDescent="0.25">
      <c r="A121" s="16" t="s">
        <v>230</v>
      </c>
      <c r="B121" s="16" t="s">
        <v>231</v>
      </c>
      <c r="C121" s="25">
        <f t="shared" si="54"/>
        <v>2130</v>
      </c>
      <c r="D121" s="25" t="e">
        <f t="shared" si="55"/>
        <v>#REF!</v>
      </c>
      <c r="E121" s="27" t="e">
        <f t="shared" si="56"/>
        <v>#REF!</v>
      </c>
      <c r="F121" s="25"/>
      <c r="G121" s="25">
        <f t="shared" si="57"/>
        <v>1233</v>
      </c>
      <c r="H121" s="25" t="e">
        <f t="shared" si="58"/>
        <v>#REF!</v>
      </c>
      <c r="I121" s="27" t="e">
        <f t="shared" si="59"/>
        <v>#REF!</v>
      </c>
      <c r="J121" s="25"/>
      <c r="K121" s="25">
        <f t="shared" si="60"/>
        <v>778</v>
      </c>
      <c r="L121" s="25" t="e">
        <f t="shared" si="61"/>
        <v>#REF!</v>
      </c>
      <c r="M121" s="27" t="e">
        <f t="shared" si="62"/>
        <v>#REF!</v>
      </c>
      <c r="N121" s="27"/>
      <c r="O121" s="26" t="str">
        <f t="shared" si="63"/>
        <v>Eastern</v>
      </c>
      <c r="P121" s="26" t="e">
        <f t="shared" si="64"/>
        <v>#REF!</v>
      </c>
      <c r="Q121" s="27" t="e">
        <f t="shared" si="65"/>
        <v>#VALUE!</v>
      </c>
      <c r="R121" s="27"/>
      <c r="S121" s="26">
        <f t="shared" si="66"/>
        <v>2231</v>
      </c>
      <c r="T121" s="26" t="e">
        <f t="shared" si="67"/>
        <v>#REF!</v>
      </c>
      <c r="U121" s="27" t="e">
        <f t="shared" si="68"/>
        <v>#REF!</v>
      </c>
      <c r="V121" s="27"/>
      <c r="W121" s="26">
        <f t="shared" si="69"/>
        <v>1129</v>
      </c>
      <c r="X121" s="26" t="e">
        <f t="shared" si="70"/>
        <v>#REF!</v>
      </c>
      <c r="Y121" s="27" t="e">
        <f t="shared" si="71"/>
        <v>#REF!</v>
      </c>
    </row>
    <row r="122" spans="1:25" ht="16.5" customHeight="1" x14ac:dyDescent="0.25">
      <c r="A122" s="16" t="s">
        <v>238</v>
      </c>
      <c r="B122" s="16" t="s">
        <v>239</v>
      </c>
      <c r="C122" s="25">
        <f t="shared" si="54"/>
        <v>97</v>
      </c>
      <c r="D122" s="25" t="e">
        <f t="shared" si="55"/>
        <v>#REF!</v>
      </c>
      <c r="E122" s="27" t="e">
        <f t="shared" si="56"/>
        <v>#REF!</v>
      </c>
      <c r="F122" s="25"/>
      <c r="G122" s="25">
        <f t="shared" si="57"/>
        <v>50</v>
      </c>
      <c r="H122" s="25" t="e">
        <f t="shared" si="58"/>
        <v>#REF!</v>
      </c>
      <c r="I122" s="27" t="e">
        <f t="shared" si="59"/>
        <v>#REF!</v>
      </c>
      <c r="J122" s="25"/>
      <c r="K122" s="25">
        <f t="shared" si="60"/>
        <v>43</v>
      </c>
      <c r="L122" s="25" t="e">
        <f t="shared" si="61"/>
        <v>#REF!</v>
      </c>
      <c r="M122" s="27" t="e">
        <f t="shared" si="62"/>
        <v>#REF!</v>
      </c>
      <c r="N122" s="27"/>
      <c r="O122" s="26" t="str">
        <f t="shared" si="63"/>
        <v>Eastern</v>
      </c>
      <c r="P122" s="26" t="e">
        <f t="shared" si="64"/>
        <v>#REF!</v>
      </c>
      <c r="Q122" s="27" t="e">
        <f t="shared" si="65"/>
        <v>#VALUE!</v>
      </c>
      <c r="R122" s="27"/>
      <c r="S122" s="26">
        <f t="shared" si="66"/>
        <v>92</v>
      </c>
      <c r="T122" s="26" t="e">
        <f t="shared" si="67"/>
        <v>#REF!</v>
      </c>
      <c r="U122" s="27" t="e">
        <f t="shared" si="68"/>
        <v>#REF!</v>
      </c>
      <c r="V122" s="27"/>
      <c r="W122" s="26">
        <f t="shared" si="69"/>
        <v>55</v>
      </c>
      <c r="X122" s="26" t="e">
        <f t="shared" si="70"/>
        <v>#REF!</v>
      </c>
      <c r="Y122" s="27" t="e">
        <f t="shared" si="71"/>
        <v>#REF!</v>
      </c>
    </row>
    <row r="123" spans="1:25" ht="16.5" customHeight="1" x14ac:dyDescent="0.25">
      <c r="A123" s="16" t="s">
        <v>240</v>
      </c>
      <c r="B123" s="16" t="s">
        <v>241</v>
      </c>
      <c r="C123" s="25">
        <f t="shared" si="54"/>
        <v>309</v>
      </c>
      <c r="D123" s="25" t="e">
        <f t="shared" si="55"/>
        <v>#REF!</v>
      </c>
      <c r="E123" s="27" t="e">
        <f t="shared" si="56"/>
        <v>#REF!</v>
      </c>
      <c r="F123" s="25"/>
      <c r="G123" s="25">
        <f t="shared" si="57"/>
        <v>182</v>
      </c>
      <c r="H123" s="25" t="e">
        <f t="shared" si="58"/>
        <v>#REF!</v>
      </c>
      <c r="I123" s="27" t="e">
        <f t="shared" si="59"/>
        <v>#REF!</v>
      </c>
      <c r="J123" s="25"/>
      <c r="K123" s="25">
        <f t="shared" si="60"/>
        <v>312</v>
      </c>
      <c r="L123" s="25" t="e">
        <f t="shared" si="61"/>
        <v>#REF!</v>
      </c>
      <c r="M123" s="27" t="e">
        <f t="shared" si="62"/>
        <v>#REF!</v>
      </c>
      <c r="N123" s="27"/>
      <c r="O123" s="26" t="str">
        <f t="shared" si="63"/>
        <v>Northern</v>
      </c>
      <c r="P123" s="26" t="e">
        <f t="shared" si="64"/>
        <v>#REF!</v>
      </c>
      <c r="Q123" s="27" t="e">
        <f t="shared" si="65"/>
        <v>#VALUE!</v>
      </c>
      <c r="R123" s="27"/>
      <c r="S123" s="26">
        <f t="shared" si="66"/>
        <v>308</v>
      </c>
      <c r="T123" s="26" t="e">
        <f t="shared" si="67"/>
        <v>#REF!</v>
      </c>
      <c r="U123" s="27" t="e">
        <f t="shared" si="68"/>
        <v>#REF!</v>
      </c>
      <c r="V123" s="27"/>
      <c r="W123" s="26">
        <f t="shared" si="69"/>
        <v>182</v>
      </c>
      <c r="X123" s="26" t="e">
        <f t="shared" si="70"/>
        <v>#REF!</v>
      </c>
      <c r="Y123" s="27" t="e">
        <f t="shared" si="71"/>
        <v>#REF!</v>
      </c>
    </row>
    <row r="124" spans="1:25" x14ac:dyDescent="0.2">
      <c r="C124" s="28"/>
      <c r="D124" s="28"/>
      <c r="E124" s="28"/>
      <c r="F124" s="28"/>
      <c r="G124" s="28"/>
      <c r="H124" s="28"/>
      <c r="I124" s="28"/>
      <c r="J124" s="28"/>
      <c r="K124" s="28"/>
      <c r="L124" s="28"/>
    </row>
    <row r="125" spans="1:25" x14ac:dyDescent="0.2">
      <c r="C125" s="28"/>
      <c r="D125" s="28"/>
      <c r="E125" s="28"/>
      <c r="F125" s="28"/>
      <c r="G125" s="28"/>
      <c r="H125" s="28"/>
      <c r="I125" s="28"/>
      <c r="J125" s="28"/>
      <c r="K125" s="28"/>
      <c r="L125" s="28"/>
    </row>
    <row r="126" spans="1:25" ht="12.75" customHeight="1" x14ac:dyDescent="0.2">
      <c r="A126" s="2296" t="s">
        <v>570</v>
      </c>
      <c r="B126" s="2296"/>
      <c r="C126" s="2297"/>
      <c r="D126" s="19"/>
      <c r="E126" s="19"/>
      <c r="F126" s="19"/>
      <c r="G126" s="19"/>
      <c r="H126" s="19"/>
      <c r="I126" s="19"/>
      <c r="J126" s="19"/>
      <c r="K126" s="19"/>
      <c r="L126" s="19"/>
    </row>
    <row r="127" spans="1:25" x14ac:dyDescent="0.2">
      <c r="A127" s="18" t="s">
        <v>571</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Normal="106" zoomScaleSheetLayoutView="116" workbookViewId="0">
      <pane ySplit="1" topLeftCell="A2" activePane="bottomLeft" state="frozen"/>
      <selection pane="bottomLeft" activeCell="C2" sqref="C2"/>
    </sheetView>
  </sheetViews>
  <sheetFormatPr defaultRowHeight="12.75" x14ac:dyDescent="0.2"/>
  <cols>
    <col min="1" max="1" width="12.25" style="18" customWidth="1"/>
    <col min="2" max="2" width="21.5" style="18" customWidth="1"/>
    <col min="3" max="3" width="17" style="18" customWidth="1"/>
    <col min="4" max="4" width="18.25" style="18" customWidth="1"/>
    <col min="5" max="5" width="19.625" style="18" customWidth="1"/>
    <col min="6" max="6" width="9.25" style="18" customWidth="1"/>
    <col min="7" max="16384" width="9" style="18"/>
  </cols>
  <sheetData>
    <row r="1" spans="1:6" s="15" customFormat="1" ht="71.25" customHeight="1" x14ac:dyDescent="0.25">
      <c r="A1" s="13" t="s">
        <v>305</v>
      </c>
      <c r="B1" s="13" t="s">
        <v>306</v>
      </c>
      <c r="C1" s="13" t="s">
        <v>566</v>
      </c>
      <c r="D1" s="13" t="s">
        <v>567</v>
      </c>
      <c r="E1" s="13" t="s">
        <v>568</v>
      </c>
      <c r="F1" s="14" t="s">
        <v>569</v>
      </c>
    </row>
    <row r="2" spans="1:6" ht="16.5" customHeight="1" x14ac:dyDescent="0.25">
      <c r="A2" s="16" t="s">
        <v>10</v>
      </c>
      <c r="B2" s="16" t="s">
        <v>11</v>
      </c>
      <c r="C2" s="17">
        <v>3</v>
      </c>
      <c r="D2" s="17">
        <v>4</v>
      </c>
      <c r="E2" s="17">
        <v>248</v>
      </c>
      <c r="F2" s="18">
        <f>ROUND(E2/12,0)</f>
        <v>21</v>
      </c>
    </row>
    <row r="3" spans="1:6" ht="16.5" customHeight="1" x14ac:dyDescent="0.25">
      <c r="A3" s="16" t="s">
        <v>12</v>
      </c>
      <c r="B3" s="16" t="s">
        <v>13</v>
      </c>
      <c r="C3" s="17">
        <v>7</v>
      </c>
      <c r="D3" s="17">
        <v>4</v>
      </c>
      <c r="E3" s="17">
        <v>729</v>
      </c>
      <c r="F3" s="18">
        <f t="shared" ref="F3:F66" si="0">ROUND(E3/12,0)</f>
        <v>61</v>
      </c>
    </row>
    <row r="4" spans="1:6" ht="16.5" customHeight="1" x14ac:dyDescent="0.25">
      <c r="A4" s="16" t="s">
        <v>16</v>
      </c>
      <c r="B4" s="16" t="s">
        <v>297</v>
      </c>
      <c r="C4" s="17">
        <v>3</v>
      </c>
      <c r="D4" s="17">
        <v>0</v>
      </c>
      <c r="E4" s="17">
        <v>123</v>
      </c>
      <c r="F4" s="18">
        <f t="shared" si="0"/>
        <v>10</v>
      </c>
    </row>
    <row r="5" spans="1:6" ht="16.5" customHeight="1" x14ac:dyDescent="0.25">
      <c r="A5" s="16" t="s">
        <v>18</v>
      </c>
      <c r="B5" s="16" t="s">
        <v>19</v>
      </c>
      <c r="C5" s="17">
        <v>1</v>
      </c>
      <c r="D5" s="17">
        <v>0</v>
      </c>
      <c r="E5" s="17">
        <v>41</v>
      </c>
      <c r="F5" s="18">
        <f t="shared" si="0"/>
        <v>3</v>
      </c>
    </row>
    <row r="6" spans="1:6" ht="16.5" customHeight="1" x14ac:dyDescent="0.25">
      <c r="A6" s="16" t="s">
        <v>20</v>
      </c>
      <c r="B6" s="16" t="s">
        <v>21</v>
      </c>
      <c r="C6" s="17">
        <v>0</v>
      </c>
      <c r="D6" s="17">
        <v>0</v>
      </c>
      <c r="E6" s="17">
        <v>132</v>
      </c>
      <c r="F6" s="18">
        <f t="shared" si="0"/>
        <v>11</v>
      </c>
    </row>
    <row r="7" spans="1:6" ht="16.5" customHeight="1" x14ac:dyDescent="0.25">
      <c r="A7" s="16" t="s">
        <v>22</v>
      </c>
      <c r="B7" s="16" t="s">
        <v>23</v>
      </c>
      <c r="C7" s="17">
        <v>0</v>
      </c>
      <c r="D7" s="17">
        <v>0</v>
      </c>
      <c r="E7" s="17">
        <v>12</v>
      </c>
      <c r="F7" s="18">
        <f t="shared" si="0"/>
        <v>1</v>
      </c>
    </row>
    <row r="8" spans="1:6" ht="16.5" customHeight="1" x14ac:dyDescent="0.25">
      <c r="A8" s="16" t="s">
        <v>24</v>
      </c>
      <c r="B8" s="16" t="s">
        <v>25</v>
      </c>
      <c r="C8" s="17">
        <v>13</v>
      </c>
      <c r="D8" s="17">
        <v>3</v>
      </c>
      <c r="E8" s="17">
        <v>1283</v>
      </c>
      <c r="F8" s="18">
        <f t="shared" si="0"/>
        <v>107</v>
      </c>
    </row>
    <row r="9" spans="1:6" ht="16.5" customHeight="1" x14ac:dyDescent="0.25">
      <c r="A9" s="16" t="s">
        <v>26</v>
      </c>
      <c r="B9" s="16" t="s">
        <v>298</v>
      </c>
      <c r="C9" s="17">
        <v>11</v>
      </c>
      <c r="D9" s="17">
        <v>0</v>
      </c>
      <c r="E9" s="17">
        <v>1681</v>
      </c>
      <c r="F9" s="18">
        <f t="shared" si="0"/>
        <v>140</v>
      </c>
    </row>
    <row r="10" spans="1:6" ht="16.5" customHeight="1" x14ac:dyDescent="0.25">
      <c r="A10" s="16" t="s">
        <v>27</v>
      </c>
      <c r="B10" s="16" t="s">
        <v>28</v>
      </c>
      <c r="C10" s="17">
        <v>0</v>
      </c>
      <c r="D10" s="17">
        <v>0</v>
      </c>
      <c r="E10" s="17">
        <v>24</v>
      </c>
      <c r="F10" s="18">
        <f t="shared" si="0"/>
        <v>2</v>
      </c>
    </row>
    <row r="11" spans="1:6" ht="16.5" customHeight="1" x14ac:dyDescent="0.25">
      <c r="A11" s="16" t="s">
        <v>29</v>
      </c>
      <c r="B11" s="16" t="s">
        <v>307</v>
      </c>
      <c r="C11" s="17">
        <v>5</v>
      </c>
      <c r="D11" s="17">
        <v>0</v>
      </c>
      <c r="E11" s="17">
        <v>589</v>
      </c>
      <c r="F11" s="18">
        <f t="shared" si="0"/>
        <v>49</v>
      </c>
    </row>
    <row r="12" spans="1:6" ht="16.5" customHeight="1" x14ac:dyDescent="0.25">
      <c r="A12" s="16" t="s">
        <v>30</v>
      </c>
      <c r="B12" s="16" t="s">
        <v>31</v>
      </c>
      <c r="C12" s="17">
        <v>3</v>
      </c>
      <c r="D12" s="17">
        <v>0</v>
      </c>
      <c r="E12" s="17">
        <v>89</v>
      </c>
      <c r="F12" s="18">
        <f t="shared" si="0"/>
        <v>7</v>
      </c>
    </row>
    <row r="13" spans="1:6" ht="16.5" customHeight="1" x14ac:dyDescent="0.25">
      <c r="A13" s="16" t="s">
        <v>32</v>
      </c>
      <c r="B13" s="16" t="s">
        <v>33</v>
      </c>
      <c r="C13" s="17">
        <v>1</v>
      </c>
      <c r="D13" s="17">
        <v>0</v>
      </c>
      <c r="E13" s="17">
        <v>91</v>
      </c>
      <c r="F13" s="18">
        <f t="shared" si="0"/>
        <v>8</v>
      </c>
    </row>
    <row r="14" spans="1:6" ht="16.5" customHeight="1" x14ac:dyDescent="0.25">
      <c r="A14" s="16" t="s">
        <v>36</v>
      </c>
      <c r="B14" s="16" t="s">
        <v>37</v>
      </c>
      <c r="C14" s="17">
        <v>0</v>
      </c>
      <c r="D14" s="17">
        <v>1</v>
      </c>
      <c r="E14" s="17">
        <v>17</v>
      </c>
      <c r="F14" s="18">
        <f t="shared" si="0"/>
        <v>1</v>
      </c>
    </row>
    <row r="15" spans="1:6" ht="16.5" customHeight="1" x14ac:dyDescent="0.25">
      <c r="A15" s="16" t="s">
        <v>38</v>
      </c>
      <c r="B15" s="16" t="s">
        <v>39</v>
      </c>
      <c r="C15" s="17">
        <v>4</v>
      </c>
      <c r="D15" s="17">
        <v>3</v>
      </c>
      <c r="E15" s="17">
        <v>566</v>
      </c>
      <c r="F15" s="18">
        <f t="shared" si="0"/>
        <v>47</v>
      </c>
    </row>
    <row r="16" spans="1:6" ht="16.5" customHeight="1" x14ac:dyDescent="0.25">
      <c r="A16" s="16" t="s">
        <v>40</v>
      </c>
      <c r="B16" s="16" t="s">
        <v>41</v>
      </c>
      <c r="C16" s="17">
        <v>3</v>
      </c>
      <c r="D16" s="17">
        <v>0</v>
      </c>
      <c r="E16" s="17">
        <v>113</v>
      </c>
      <c r="F16" s="18">
        <f t="shared" si="0"/>
        <v>9</v>
      </c>
    </row>
    <row r="17" spans="1:6" ht="16.5" customHeight="1" x14ac:dyDescent="0.25">
      <c r="A17" s="16" t="s">
        <v>42</v>
      </c>
      <c r="B17" s="16" t="s">
        <v>43</v>
      </c>
      <c r="C17" s="17">
        <v>8</v>
      </c>
      <c r="D17" s="17">
        <v>2</v>
      </c>
      <c r="E17" s="17">
        <v>716</v>
      </c>
      <c r="F17" s="18">
        <f t="shared" si="0"/>
        <v>60</v>
      </c>
    </row>
    <row r="18" spans="1:6" ht="16.5" customHeight="1" x14ac:dyDescent="0.25">
      <c r="A18" s="16" t="s">
        <v>44</v>
      </c>
      <c r="B18" s="16" t="s">
        <v>45</v>
      </c>
      <c r="C18" s="17">
        <v>1</v>
      </c>
      <c r="D18" s="17">
        <v>0</v>
      </c>
      <c r="E18" s="17">
        <v>86</v>
      </c>
      <c r="F18" s="18">
        <f t="shared" si="0"/>
        <v>7</v>
      </c>
    </row>
    <row r="19" spans="1:6" ht="16.5" customHeight="1" x14ac:dyDescent="0.25">
      <c r="A19" s="16" t="s">
        <v>46</v>
      </c>
      <c r="B19" s="16" t="s">
        <v>47</v>
      </c>
      <c r="C19" s="17">
        <v>1</v>
      </c>
      <c r="D19" s="17">
        <v>0</v>
      </c>
      <c r="E19" s="17">
        <v>152</v>
      </c>
      <c r="F19" s="18">
        <f t="shared" si="0"/>
        <v>13</v>
      </c>
    </row>
    <row r="20" spans="1:6" ht="16.5" customHeight="1" x14ac:dyDescent="0.25">
      <c r="A20" s="16" t="s">
        <v>48</v>
      </c>
      <c r="B20" s="16" t="s">
        <v>269</v>
      </c>
      <c r="C20" s="17">
        <v>1</v>
      </c>
      <c r="D20" s="17">
        <v>0</v>
      </c>
      <c r="E20" s="17">
        <v>24</v>
      </c>
      <c r="F20" s="18">
        <f t="shared" si="0"/>
        <v>2</v>
      </c>
    </row>
    <row r="21" spans="1:6" ht="16.5" customHeight="1" x14ac:dyDescent="0.25">
      <c r="A21" s="16" t="s">
        <v>50</v>
      </c>
      <c r="B21" s="16" t="s">
        <v>51</v>
      </c>
      <c r="C21" s="17">
        <v>0</v>
      </c>
      <c r="D21" s="17">
        <v>0</v>
      </c>
      <c r="E21" s="17">
        <v>132</v>
      </c>
      <c r="F21" s="18">
        <f t="shared" si="0"/>
        <v>11</v>
      </c>
    </row>
    <row r="22" spans="1:6" ht="16.5" customHeight="1" x14ac:dyDescent="0.25">
      <c r="A22" s="16" t="s">
        <v>56</v>
      </c>
      <c r="B22" s="16" t="s">
        <v>295</v>
      </c>
      <c r="C22" s="17">
        <v>18</v>
      </c>
      <c r="D22" s="17">
        <v>4</v>
      </c>
      <c r="E22" s="17">
        <v>1819</v>
      </c>
      <c r="F22" s="18">
        <f t="shared" si="0"/>
        <v>152</v>
      </c>
    </row>
    <row r="23" spans="1:6" ht="16.5" customHeight="1" x14ac:dyDescent="0.25">
      <c r="A23" s="16" t="s">
        <v>58</v>
      </c>
      <c r="B23" s="16" t="s">
        <v>59</v>
      </c>
      <c r="C23" s="17">
        <v>0</v>
      </c>
      <c r="D23" s="17">
        <v>0</v>
      </c>
      <c r="E23" s="17">
        <v>52</v>
      </c>
      <c r="F23" s="18">
        <f t="shared" si="0"/>
        <v>4</v>
      </c>
    </row>
    <row r="24" spans="1:6" ht="16.5" customHeight="1" x14ac:dyDescent="0.25">
      <c r="A24" s="16" t="s">
        <v>60</v>
      </c>
      <c r="B24" s="16" t="s">
        <v>61</v>
      </c>
      <c r="C24" s="17">
        <v>0</v>
      </c>
      <c r="D24" s="17">
        <v>0</v>
      </c>
      <c r="E24" s="17">
        <v>24</v>
      </c>
      <c r="F24" s="18">
        <f t="shared" si="0"/>
        <v>2</v>
      </c>
    </row>
    <row r="25" spans="1:6" ht="16.5" customHeight="1" x14ac:dyDescent="0.25">
      <c r="A25" s="16" t="s">
        <v>62</v>
      </c>
      <c r="B25" s="16" t="s">
        <v>63</v>
      </c>
      <c r="C25" s="17">
        <v>6</v>
      </c>
      <c r="D25" s="17">
        <v>1</v>
      </c>
      <c r="E25" s="17">
        <v>362</v>
      </c>
      <c r="F25" s="18">
        <f t="shared" si="0"/>
        <v>30</v>
      </c>
    </row>
    <row r="26" spans="1:6" ht="16.5" customHeight="1" x14ac:dyDescent="0.25">
      <c r="A26" s="16" t="s">
        <v>64</v>
      </c>
      <c r="B26" s="16" t="s">
        <v>65</v>
      </c>
      <c r="C26" s="17">
        <v>2</v>
      </c>
      <c r="D26" s="17">
        <v>0</v>
      </c>
      <c r="E26" s="17">
        <v>76</v>
      </c>
      <c r="F26" s="18">
        <f t="shared" si="0"/>
        <v>6</v>
      </c>
    </row>
    <row r="27" spans="1:6" ht="16.5" customHeight="1" x14ac:dyDescent="0.25">
      <c r="A27" s="16" t="s">
        <v>68</v>
      </c>
      <c r="B27" s="16" t="s">
        <v>69</v>
      </c>
      <c r="C27" s="17">
        <v>28</v>
      </c>
      <c r="D27" s="17">
        <v>0</v>
      </c>
      <c r="E27" s="17">
        <v>592</v>
      </c>
      <c r="F27" s="18">
        <f t="shared" si="0"/>
        <v>49</v>
      </c>
    </row>
    <row r="28" spans="1:6" ht="16.5" customHeight="1" x14ac:dyDescent="0.25">
      <c r="A28" s="16" t="s">
        <v>70</v>
      </c>
      <c r="B28" s="16" t="s">
        <v>71</v>
      </c>
      <c r="C28" s="17">
        <v>0</v>
      </c>
      <c r="D28" s="17">
        <v>0</v>
      </c>
      <c r="E28" s="17">
        <v>129</v>
      </c>
      <c r="F28" s="18">
        <f t="shared" si="0"/>
        <v>11</v>
      </c>
    </row>
    <row r="29" spans="1:6" ht="16.5" customHeight="1" x14ac:dyDescent="0.25">
      <c r="A29" s="16" t="s">
        <v>72</v>
      </c>
      <c r="B29" s="16" t="s">
        <v>73</v>
      </c>
      <c r="C29" s="17">
        <v>0</v>
      </c>
      <c r="D29" s="17">
        <v>1</v>
      </c>
      <c r="E29" s="17">
        <v>38</v>
      </c>
      <c r="F29" s="18">
        <f t="shared" si="0"/>
        <v>3</v>
      </c>
    </row>
    <row r="30" spans="1:6" ht="16.5" customHeight="1" x14ac:dyDescent="0.25">
      <c r="A30" s="16" t="s">
        <v>74</v>
      </c>
      <c r="B30" s="16" t="s">
        <v>302</v>
      </c>
      <c r="C30" s="17">
        <v>24</v>
      </c>
      <c r="D30" s="17">
        <v>21</v>
      </c>
      <c r="E30" s="17">
        <v>5651</v>
      </c>
      <c r="F30" s="18">
        <f t="shared" si="0"/>
        <v>471</v>
      </c>
    </row>
    <row r="31" spans="1:6" ht="16.5" customHeight="1" x14ac:dyDescent="0.25">
      <c r="A31" s="16" t="s">
        <v>76</v>
      </c>
      <c r="B31" s="16" t="s">
        <v>77</v>
      </c>
      <c r="C31" s="17">
        <v>3</v>
      </c>
      <c r="D31" s="17">
        <v>6</v>
      </c>
      <c r="E31" s="17">
        <v>294</v>
      </c>
      <c r="F31" s="18">
        <f t="shared" si="0"/>
        <v>25</v>
      </c>
    </row>
    <row r="32" spans="1:6" ht="16.5" customHeight="1" x14ac:dyDescent="0.25">
      <c r="A32" s="16" t="s">
        <v>78</v>
      </c>
      <c r="B32" s="16" t="s">
        <v>79</v>
      </c>
      <c r="C32" s="17">
        <v>0</v>
      </c>
      <c r="D32" s="17">
        <v>0</v>
      </c>
      <c r="E32" s="17">
        <v>12</v>
      </c>
      <c r="F32" s="18">
        <f t="shared" si="0"/>
        <v>1</v>
      </c>
    </row>
    <row r="33" spans="1:6" ht="16.5" customHeight="1" x14ac:dyDescent="0.25">
      <c r="A33" s="16" t="s">
        <v>80</v>
      </c>
      <c r="B33" s="16" t="s">
        <v>81</v>
      </c>
      <c r="C33" s="17">
        <v>4</v>
      </c>
      <c r="D33" s="17">
        <v>0</v>
      </c>
      <c r="E33" s="17">
        <v>102</v>
      </c>
      <c r="F33" s="18">
        <f t="shared" si="0"/>
        <v>9</v>
      </c>
    </row>
    <row r="34" spans="1:6" ht="16.5" customHeight="1" x14ac:dyDescent="0.25">
      <c r="A34" s="16" t="s">
        <v>84</v>
      </c>
      <c r="B34" s="16" t="s">
        <v>308</v>
      </c>
      <c r="C34" s="17">
        <v>3</v>
      </c>
      <c r="D34" s="17">
        <v>1</v>
      </c>
      <c r="E34" s="17">
        <v>432</v>
      </c>
      <c r="F34" s="18">
        <f t="shared" si="0"/>
        <v>36</v>
      </c>
    </row>
    <row r="35" spans="1:6" ht="16.5" customHeight="1" x14ac:dyDescent="0.25">
      <c r="A35" s="16" t="s">
        <v>86</v>
      </c>
      <c r="B35" s="16" t="s">
        <v>87</v>
      </c>
      <c r="C35" s="17">
        <v>11</v>
      </c>
      <c r="D35" s="17">
        <v>10</v>
      </c>
      <c r="E35" s="17">
        <v>479</v>
      </c>
      <c r="F35" s="18">
        <f t="shared" si="0"/>
        <v>40</v>
      </c>
    </row>
    <row r="36" spans="1:6" ht="16.5" customHeight="1" x14ac:dyDescent="0.25">
      <c r="A36" s="16" t="s">
        <v>92</v>
      </c>
      <c r="B36" s="16" t="s">
        <v>93</v>
      </c>
      <c r="C36" s="17">
        <v>3</v>
      </c>
      <c r="D36" s="17">
        <v>0</v>
      </c>
      <c r="E36" s="17">
        <v>213</v>
      </c>
      <c r="F36" s="18">
        <f t="shared" si="0"/>
        <v>18</v>
      </c>
    </row>
    <row r="37" spans="1:6" ht="16.5" customHeight="1" x14ac:dyDescent="0.25">
      <c r="A37" s="16" t="s">
        <v>94</v>
      </c>
      <c r="B37" s="16" t="s">
        <v>95</v>
      </c>
      <c r="C37" s="17">
        <v>2</v>
      </c>
      <c r="D37" s="17">
        <v>2</v>
      </c>
      <c r="E37" s="17">
        <v>270</v>
      </c>
      <c r="F37" s="18">
        <f t="shared" si="0"/>
        <v>23</v>
      </c>
    </row>
    <row r="38" spans="1:6" ht="16.5" customHeight="1" x14ac:dyDescent="0.25">
      <c r="A38" s="16" t="s">
        <v>96</v>
      </c>
      <c r="B38" s="16" t="s">
        <v>97</v>
      </c>
      <c r="C38" s="17">
        <v>1</v>
      </c>
      <c r="D38" s="17">
        <v>2</v>
      </c>
      <c r="E38" s="17">
        <v>133</v>
      </c>
      <c r="F38" s="18">
        <f t="shared" si="0"/>
        <v>11</v>
      </c>
    </row>
    <row r="39" spans="1:6" ht="16.5" customHeight="1" x14ac:dyDescent="0.25">
      <c r="A39" s="16" t="s">
        <v>98</v>
      </c>
      <c r="B39" s="16" t="s">
        <v>99</v>
      </c>
      <c r="C39" s="17">
        <v>1</v>
      </c>
      <c r="D39" s="17">
        <v>2</v>
      </c>
      <c r="E39" s="17">
        <v>126</v>
      </c>
      <c r="F39" s="18">
        <f t="shared" si="0"/>
        <v>11</v>
      </c>
    </row>
    <row r="40" spans="1:6" ht="16.5" customHeight="1" x14ac:dyDescent="0.25">
      <c r="A40" s="16" t="s">
        <v>100</v>
      </c>
      <c r="B40" s="16" t="s">
        <v>101</v>
      </c>
      <c r="C40" s="17">
        <v>0</v>
      </c>
      <c r="D40" s="17">
        <v>0</v>
      </c>
      <c r="E40" s="17">
        <v>60</v>
      </c>
      <c r="F40" s="18">
        <f t="shared" si="0"/>
        <v>5</v>
      </c>
    </row>
    <row r="41" spans="1:6" ht="16.5" customHeight="1" x14ac:dyDescent="0.25">
      <c r="A41" s="16" t="s">
        <v>102</v>
      </c>
      <c r="B41" s="16" t="s">
        <v>103</v>
      </c>
      <c r="C41" s="17">
        <v>2</v>
      </c>
      <c r="D41" s="17">
        <v>0</v>
      </c>
      <c r="E41" s="17">
        <v>60</v>
      </c>
      <c r="F41" s="18">
        <f t="shared" si="0"/>
        <v>5</v>
      </c>
    </row>
    <row r="42" spans="1:6" ht="16.5" customHeight="1" x14ac:dyDescent="0.25">
      <c r="A42" s="16" t="s">
        <v>104</v>
      </c>
      <c r="B42" s="16" t="s">
        <v>309</v>
      </c>
      <c r="C42" s="17">
        <v>0</v>
      </c>
      <c r="D42" s="17">
        <v>1</v>
      </c>
      <c r="E42" s="17">
        <v>223</v>
      </c>
      <c r="F42" s="18">
        <f t="shared" si="0"/>
        <v>19</v>
      </c>
    </row>
    <row r="43" spans="1:6" ht="16.5" customHeight="1" x14ac:dyDescent="0.25">
      <c r="A43" s="16" t="s">
        <v>108</v>
      </c>
      <c r="B43" s="16" t="s">
        <v>109</v>
      </c>
      <c r="C43" s="17">
        <v>3</v>
      </c>
      <c r="D43" s="17">
        <v>0</v>
      </c>
      <c r="E43" s="17">
        <v>264</v>
      </c>
      <c r="F43" s="18">
        <f t="shared" si="0"/>
        <v>22</v>
      </c>
    </row>
    <row r="44" spans="1:6" ht="16.5" customHeight="1" x14ac:dyDescent="0.25">
      <c r="A44" s="16" t="s">
        <v>110</v>
      </c>
      <c r="B44" s="16" t="s">
        <v>111</v>
      </c>
      <c r="C44" s="17">
        <v>7</v>
      </c>
      <c r="D44" s="17">
        <v>1</v>
      </c>
      <c r="E44" s="17">
        <v>1349</v>
      </c>
      <c r="F44" s="18">
        <f t="shared" si="0"/>
        <v>112</v>
      </c>
    </row>
    <row r="45" spans="1:6" ht="16.5" customHeight="1" x14ac:dyDescent="0.25">
      <c r="A45" s="16" t="s">
        <v>112</v>
      </c>
      <c r="B45" s="16" t="s">
        <v>300</v>
      </c>
      <c r="C45" s="17">
        <v>1</v>
      </c>
      <c r="D45" s="17">
        <v>0</v>
      </c>
      <c r="E45" s="17">
        <v>496</v>
      </c>
      <c r="F45" s="18">
        <f t="shared" si="0"/>
        <v>41</v>
      </c>
    </row>
    <row r="46" spans="1:6" ht="16.5" customHeight="1" x14ac:dyDescent="0.25">
      <c r="A46" s="16" t="s">
        <v>114</v>
      </c>
      <c r="B46" s="16" t="s">
        <v>115</v>
      </c>
      <c r="C46" s="17">
        <v>0</v>
      </c>
      <c r="D46" s="17">
        <v>0</v>
      </c>
      <c r="E46" s="17">
        <v>12</v>
      </c>
      <c r="F46" s="18">
        <f t="shared" si="0"/>
        <v>1</v>
      </c>
    </row>
    <row r="47" spans="1:6" ht="16.5" customHeight="1" x14ac:dyDescent="0.25">
      <c r="A47" s="16" t="s">
        <v>118</v>
      </c>
      <c r="B47" s="16" t="s">
        <v>119</v>
      </c>
      <c r="C47" s="17">
        <v>2</v>
      </c>
      <c r="D47" s="17">
        <v>1</v>
      </c>
      <c r="E47" s="17">
        <v>73</v>
      </c>
      <c r="F47" s="18">
        <f t="shared" si="0"/>
        <v>6</v>
      </c>
    </row>
    <row r="48" spans="1:6" ht="16.5" customHeight="1" x14ac:dyDescent="0.25">
      <c r="A48" s="16" t="s">
        <v>120</v>
      </c>
      <c r="B48" s="16" t="s">
        <v>121</v>
      </c>
      <c r="C48" s="17">
        <v>4</v>
      </c>
      <c r="D48" s="17">
        <v>3</v>
      </c>
      <c r="E48" s="17">
        <v>394</v>
      </c>
      <c r="F48" s="18">
        <f t="shared" si="0"/>
        <v>33</v>
      </c>
    </row>
    <row r="49" spans="1:6" ht="16.5" customHeight="1" x14ac:dyDescent="0.25">
      <c r="A49" s="16" t="s">
        <v>122</v>
      </c>
      <c r="B49" s="16" t="s">
        <v>271</v>
      </c>
      <c r="C49" s="17">
        <v>3</v>
      </c>
      <c r="D49" s="17">
        <v>0</v>
      </c>
      <c r="E49" s="17">
        <v>66</v>
      </c>
      <c r="F49" s="18">
        <f t="shared" si="0"/>
        <v>6</v>
      </c>
    </row>
    <row r="50" spans="1:6" ht="16.5" customHeight="1" x14ac:dyDescent="0.25">
      <c r="A50" s="16" t="s">
        <v>124</v>
      </c>
      <c r="B50" s="16" t="s">
        <v>125</v>
      </c>
      <c r="C50" s="17">
        <v>6</v>
      </c>
      <c r="D50" s="17">
        <v>0</v>
      </c>
      <c r="E50" s="17">
        <v>61</v>
      </c>
      <c r="F50" s="18">
        <f t="shared" si="0"/>
        <v>5</v>
      </c>
    </row>
    <row r="51" spans="1:6" ht="16.5" customHeight="1" x14ac:dyDescent="0.25">
      <c r="A51" s="16" t="s">
        <v>126</v>
      </c>
      <c r="B51" s="16" t="s">
        <v>127</v>
      </c>
      <c r="C51" s="17">
        <v>1</v>
      </c>
      <c r="D51" s="17">
        <v>0</v>
      </c>
      <c r="E51" s="17">
        <v>76</v>
      </c>
      <c r="F51" s="18">
        <f t="shared" si="0"/>
        <v>6</v>
      </c>
    </row>
    <row r="52" spans="1:6" ht="16.5" customHeight="1" x14ac:dyDescent="0.25">
      <c r="A52" s="16" t="s">
        <v>128</v>
      </c>
      <c r="B52" s="16" t="s">
        <v>129</v>
      </c>
      <c r="C52" s="17">
        <v>0</v>
      </c>
      <c r="D52" s="17">
        <v>1</v>
      </c>
      <c r="E52" s="17">
        <v>36</v>
      </c>
      <c r="F52" s="18">
        <f t="shared" si="0"/>
        <v>3</v>
      </c>
    </row>
    <row r="53" spans="1:6" ht="16.5" customHeight="1" x14ac:dyDescent="0.25">
      <c r="A53" s="16" t="s">
        <v>130</v>
      </c>
      <c r="B53" s="16" t="s">
        <v>131</v>
      </c>
      <c r="C53" s="17">
        <v>5</v>
      </c>
      <c r="D53" s="17">
        <v>0</v>
      </c>
      <c r="E53" s="17">
        <v>713</v>
      </c>
      <c r="F53" s="18">
        <f t="shared" si="0"/>
        <v>59</v>
      </c>
    </row>
    <row r="54" spans="1:6" ht="16.5" customHeight="1" x14ac:dyDescent="0.25">
      <c r="A54" s="16" t="s">
        <v>132</v>
      </c>
      <c r="B54" s="16" t="s">
        <v>133</v>
      </c>
      <c r="C54" s="17">
        <v>21</v>
      </c>
      <c r="D54" s="17">
        <v>6</v>
      </c>
      <c r="E54" s="17">
        <v>486</v>
      </c>
      <c r="F54" s="18">
        <f t="shared" si="0"/>
        <v>41</v>
      </c>
    </row>
    <row r="55" spans="1:6" ht="16.5" customHeight="1" x14ac:dyDescent="0.25">
      <c r="A55" s="16" t="s">
        <v>134</v>
      </c>
      <c r="B55" s="16" t="s">
        <v>135</v>
      </c>
      <c r="C55" s="17">
        <v>11</v>
      </c>
      <c r="D55" s="17">
        <v>0</v>
      </c>
      <c r="E55" s="17">
        <v>171</v>
      </c>
      <c r="F55" s="18">
        <f t="shared" si="0"/>
        <v>14</v>
      </c>
    </row>
    <row r="56" spans="1:6" ht="16.5" customHeight="1" x14ac:dyDescent="0.25">
      <c r="A56" s="16" t="s">
        <v>136</v>
      </c>
      <c r="B56" s="16" t="s">
        <v>137</v>
      </c>
      <c r="C56" s="17">
        <v>1</v>
      </c>
      <c r="D56" s="17">
        <v>0</v>
      </c>
      <c r="E56" s="17">
        <v>30</v>
      </c>
      <c r="F56" s="18">
        <f t="shared" si="0"/>
        <v>3</v>
      </c>
    </row>
    <row r="57" spans="1:6" ht="16.5" customHeight="1" x14ac:dyDescent="0.25">
      <c r="A57" s="16" t="s">
        <v>140</v>
      </c>
      <c r="B57" s="16" t="s">
        <v>141</v>
      </c>
      <c r="C57" s="17">
        <v>2</v>
      </c>
      <c r="D57" s="17">
        <v>0</v>
      </c>
      <c r="E57" s="17">
        <v>65</v>
      </c>
      <c r="F57" s="18">
        <f t="shared" si="0"/>
        <v>5</v>
      </c>
    </row>
    <row r="58" spans="1:6" ht="16.5" customHeight="1" x14ac:dyDescent="0.25">
      <c r="A58" s="16" t="s">
        <v>146</v>
      </c>
      <c r="B58" s="16" t="s">
        <v>147</v>
      </c>
      <c r="C58" s="17">
        <v>0</v>
      </c>
      <c r="D58" s="17">
        <v>0</v>
      </c>
      <c r="E58" s="17">
        <v>84</v>
      </c>
      <c r="F58" s="18">
        <f t="shared" si="0"/>
        <v>7</v>
      </c>
    </row>
    <row r="59" spans="1:6" ht="16.5" customHeight="1" x14ac:dyDescent="0.25">
      <c r="A59" s="16" t="s">
        <v>148</v>
      </c>
      <c r="B59" s="16" t="s">
        <v>149</v>
      </c>
      <c r="C59" s="17">
        <v>2</v>
      </c>
      <c r="D59" s="17">
        <v>3</v>
      </c>
      <c r="E59" s="17">
        <v>228</v>
      </c>
      <c r="F59" s="18">
        <f t="shared" si="0"/>
        <v>19</v>
      </c>
    </row>
    <row r="60" spans="1:6" ht="16.5" customHeight="1" x14ac:dyDescent="0.25">
      <c r="A60" s="16" t="s">
        <v>150</v>
      </c>
      <c r="B60" s="16" t="s">
        <v>151</v>
      </c>
      <c r="C60" s="17">
        <v>1</v>
      </c>
      <c r="D60" s="17">
        <v>0</v>
      </c>
      <c r="E60" s="17">
        <v>74</v>
      </c>
      <c r="F60" s="18">
        <f t="shared" si="0"/>
        <v>6</v>
      </c>
    </row>
    <row r="61" spans="1:6" ht="16.5" customHeight="1" x14ac:dyDescent="0.25">
      <c r="A61" s="16" t="s">
        <v>152</v>
      </c>
      <c r="B61" s="16" t="s">
        <v>153</v>
      </c>
      <c r="C61" s="17">
        <v>1</v>
      </c>
      <c r="D61" s="17">
        <v>2</v>
      </c>
      <c r="E61" s="17">
        <v>374</v>
      </c>
      <c r="F61" s="18">
        <f t="shared" si="0"/>
        <v>31</v>
      </c>
    </row>
    <row r="62" spans="1:6" ht="16.5" customHeight="1" x14ac:dyDescent="0.25">
      <c r="A62" s="16" t="s">
        <v>154</v>
      </c>
      <c r="B62" s="16" t="s">
        <v>155</v>
      </c>
      <c r="C62" s="17">
        <v>0</v>
      </c>
      <c r="D62" s="17">
        <v>0</v>
      </c>
      <c r="E62" s="17">
        <v>0</v>
      </c>
      <c r="F62" s="18">
        <f t="shared" si="0"/>
        <v>0</v>
      </c>
    </row>
    <row r="63" spans="1:6" ht="16.5" customHeight="1" x14ac:dyDescent="0.25">
      <c r="A63" s="16" t="s">
        <v>156</v>
      </c>
      <c r="B63" s="16" t="s">
        <v>157</v>
      </c>
      <c r="C63" s="17">
        <v>1</v>
      </c>
      <c r="D63" s="17">
        <v>0</v>
      </c>
      <c r="E63" s="17">
        <v>63</v>
      </c>
      <c r="F63" s="18">
        <f t="shared" si="0"/>
        <v>5</v>
      </c>
    </row>
    <row r="64" spans="1:6" ht="16.5" customHeight="1" x14ac:dyDescent="0.25">
      <c r="A64" s="16" t="s">
        <v>162</v>
      </c>
      <c r="B64" s="16" t="s">
        <v>163</v>
      </c>
      <c r="C64" s="17">
        <v>0</v>
      </c>
      <c r="D64" s="17">
        <v>0</v>
      </c>
      <c r="E64" s="17">
        <v>24</v>
      </c>
      <c r="F64" s="18">
        <f t="shared" si="0"/>
        <v>2</v>
      </c>
    </row>
    <row r="65" spans="1:6" ht="16.5" customHeight="1" x14ac:dyDescent="0.25">
      <c r="A65" s="16" t="s">
        <v>164</v>
      </c>
      <c r="B65" s="16" t="s">
        <v>165</v>
      </c>
      <c r="C65" s="17">
        <v>0</v>
      </c>
      <c r="D65" s="17">
        <v>0</v>
      </c>
      <c r="E65" s="17">
        <v>48</v>
      </c>
      <c r="F65" s="18">
        <f t="shared" si="0"/>
        <v>4</v>
      </c>
    </row>
    <row r="66" spans="1:6" ht="16.5" customHeight="1" x14ac:dyDescent="0.25">
      <c r="A66" s="16" t="s">
        <v>168</v>
      </c>
      <c r="B66" s="16" t="s">
        <v>169</v>
      </c>
      <c r="C66" s="17">
        <v>1</v>
      </c>
      <c r="D66" s="17">
        <v>0</v>
      </c>
      <c r="E66" s="17">
        <v>89</v>
      </c>
      <c r="F66" s="18">
        <f t="shared" si="0"/>
        <v>7</v>
      </c>
    </row>
    <row r="67" spans="1:6" ht="16.5" customHeight="1" x14ac:dyDescent="0.25">
      <c r="A67" s="16" t="s">
        <v>170</v>
      </c>
      <c r="B67" s="16" t="s">
        <v>171</v>
      </c>
      <c r="C67" s="17">
        <v>1</v>
      </c>
      <c r="D67" s="17">
        <v>1</v>
      </c>
      <c r="E67" s="17">
        <v>132</v>
      </c>
      <c r="F67" s="18">
        <f t="shared" ref="F67:F121" si="1">ROUND(E67/12,0)</f>
        <v>11</v>
      </c>
    </row>
    <row r="68" spans="1:6" ht="16.5" customHeight="1" x14ac:dyDescent="0.25">
      <c r="A68" s="16" t="s">
        <v>172</v>
      </c>
      <c r="B68" s="16" t="s">
        <v>173</v>
      </c>
      <c r="C68" s="17">
        <v>3</v>
      </c>
      <c r="D68" s="17">
        <v>1</v>
      </c>
      <c r="E68" s="17">
        <v>170</v>
      </c>
      <c r="F68" s="18">
        <f t="shared" si="1"/>
        <v>14</v>
      </c>
    </row>
    <row r="69" spans="1:6" ht="16.5" customHeight="1" x14ac:dyDescent="0.25">
      <c r="A69" s="16" t="s">
        <v>174</v>
      </c>
      <c r="B69" s="16" t="s">
        <v>175</v>
      </c>
      <c r="C69" s="17">
        <v>2</v>
      </c>
      <c r="D69" s="17">
        <v>1</v>
      </c>
      <c r="E69" s="17">
        <v>28</v>
      </c>
      <c r="F69" s="18">
        <f t="shared" si="1"/>
        <v>2</v>
      </c>
    </row>
    <row r="70" spans="1:6" ht="16.5" customHeight="1" x14ac:dyDescent="0.25">
      <c r="A70" s="16" t="s">
        <v>178</v>
      </c>
      <c r="B70" s="16" t="s">
        <v>179</v>
      </c>
      <c r="C70" s="17">
        <v>2</v>
      </c>
      <c r="D70" s="17">
        <v>0</v>
      </c>
      <c r="E70" s="17">
        <v>256</v>
      </c>
      <c r="F70" s="18">
        <f t="shared" si="1"/>
        <v>21</v>
      </c>
    </row>
    <row r="71" spans="1:6" ht="16.5" customHeight="1" x14ac:dyDescent="0.25">
      <c r="A71" s="16" t="s">
        <v>182</v>
      </c>
      <c r="B71" s="16" t="s">
        <v>183</v>
      </c>
      <c r="C71" s="17">
        <v>1</v>
      </c>
      <c r="D71" s="17">
        <v>1</v>
      </c>
      <c r="E71" s="17">
        <v>42</v>
      </c>
      <c r="F71" s="18">
        <f t="shared" si="1"/>
        <v>4</v>
      </c>
    </row>
    <row r="72" spans="1:6" ht="16.5" customHeight="1" x14ac:dyDescent="0.25">
      <c r="A72" s="16" t="s">
        <v>184</v>
      </c>
      <c r="B72" s="16" t="s">
        <v>185</v>
      </c>
      <c r="C72" s="17">
        <v>4</v>
      </c>
      <c r="D72" s="17">
        <v>1</v>
      </c>
      <c r="E72" s="17">
        <v>220</v>
      </c>
      <c r="F72" s="18">
        <f t="shared" si="1"/>
        <v>18</v>
      </c>
    </row>
    <row r="73" spans="1:6" ht="16.5" customHeight="1" x14ac:dyDescent="0.25">
      <c r="A73" s="16" t="s">
        <v>186</v>
      </c>
      <c r="B73" s="16" t="s">
        <v>187</v>
      </c>
      <c r="C73" s="17">
        <v>3</v>
      </c>
      <c r="D73" s="17">
        <v>3</v>
      </c>
      <c r="E73" s="17">
        <v>98</v>
      </c>
      <c r="F73" s="18">
        <f t="shared" si="1"/>
        <v>8</v>
      </c>
    </row>
    <row r="74" spans="1:6" ht="16.5" customHeight="1" x14ac:dyDescent="0.25">
      <c r="A74" s="16" t="s">
        <v>188</v>
      </c>
      <c r="B74" s="16" t="s">
        <v>189</v>
      </c>
      <c r="C74" s="17">
        <v>11</v>
      </c>
      <c r="D74" s="17">
        <v>3</v>
      </c>
      <c r="E74" s="17">
        <v>1021</v>
      </c>
      <c r="F74" s="18">
        <f t="shared" si="1"/>
        <v>85</v>
      </c>
    </row>
    <row r="75" spans="1:6" ht="16.5" customHeight="1" x14ac:dyDescent="0.25">
      <c r="A75" s="16" t="s">
        <v>190</v>
      </c>
      <c r="B75" s="16" t="s">
        <v>191</v>
      </c>
      <c r="C75" s="17">
        <v>4</v>
      </c>
      <c r="D75" s="17">
        <v>0</v>
      </c>
      <c r="E75" s="17">
        <v>261</v>
      </c>
      <c r="F75" s="18">
        <f t="shared" si="1"/>
        <v>22</v>
      </c>
    </row>
    <row r="76" spans="1:6" ht="16.5" customHeight="1" x14ac:dyDescent="0.25">
      <c r="A76" s="16" t="s">
        <v>194</v>
      </c>
      <c r="B76" s="16" t="s">
        <v>195</v>
      </c>
      <c r="C76" s="17">
        <v>1</v>
      </c>
      <c r="D76" s="17">
        <v>0</v>
      </c>
      <c r="E76" s="17">
        <v>83</v>
      </c>
      <c r="F76" s="18">
        <f t="shared" si="1"/>
        <v>7</v>
      </c>
    </row>
    <row r="77" spans="1:6" ht="16.5" customHeight="1" x14ac:dyDescent="0.25">
      <c r="A77" s="16" t="s">
        <v>198</v>
      </c>
      <c r="B77" s="16" t="s">
        <v>199</v>
      </c>
      <c r="C77" s="17">
        <v>0</v>
      </c>
      <c r="D77" s="17">
        <v>0</v>
      </c>
      <c r="E77" s="17">
        <v>36</v>
      </c>
      <c r="F77" s="18">
        <f t="shared" si="1"/>
        <v>3</v>
      </c>
    </row>
    <row r="78" spans="1:6" ht="16.5" customHeight="1" x14ac:dyDescent="0.25">
      <c r="A78" s="16" t="s">
        <v>202</v>
      </c>
      <c r="B78" s="16" t="s">
        <v>203</v>
      </c>
      <c r="C78" s="17">
        <v>7</v>
      </c>
      <c r="D78" s="17">
        <v>2</v>
      </c>
      <c r="E78" s="17">
        <v>767</v>
      </c>
      <c r="F78" s="18">
        <f t="shared" si="1"/>
        <v>64</v>
      </c>
    </row>
    <row r="79" spans="1:6" ht="16.5" customHeight="1" x14ac:dyDescent="0.25">
      <c r="A79" s="16" t="s">
        <v>204</v>
      </c>
      <c r="B79" s="16" t="s">
        <v>205</v>
      </c>
      <c r="C79" s="17">
        <v>3</v>
      </c>
      <c r="D79" s="17">
        <v>2</v>
      </c>
      <c r="E79" s="17">
        <v>157</v>
      </c>
      <c r="F79" s="18">
        <f t="shared" si="1"/>
        <v>13</v>
      </c>
    </row>
    <row r="80" spans="1:6" ht="16.5" customHeight="1" x14ac:dyDescent="0.25">
      <c r="A80" s="16" t="s">
        <v>206</v>
      </c>
      <c r="B80" s="16" t="s">
        <v>207</v>
      </c>
      <c r="C80" s="17">
        <v>26</v>
      </c>
      <c r="D80" s="17">
        <v>3</v>
      </c>
      <c r="E80" s="17">
        <v>1347</v>
      </c>
      <c r="F80" s="18">
        <f t="shared" si="1"/>
        <v>112</v>
      </c>
    </row>
    <row r="81" spans="1:6" ht="16.5" customHeight="1" x14ac:dyDescent="0.25">
      <c r="A81" s="16" t="s">
        <v>208</v>
      </c>
      <c r="B81" s="16" t="s">
        <v>209</v>
      </c>
      <c r="C81" s="17">
        <v>2</v>
      </c>
      <c r="D81" s="17">
        <v>0</v>
      </c>
      <c r="E81" s="17">
        <v>53</v>
      </c>
      <c r="F81" s="18">
        <f t="shared" si="1"/>
        <v>4</v>
      </c>
    </row>
    <row r="82" spans="1:6" ht="16.5" customHeight="1" x14ac:dyDescent="0.25">
      <c r="A82" s="16" t="s">
        <v>210</v>
      </c>
      <c r="B82" s="16" t="s">
        <v>211</v>
      </c>
      <c r="C82" s="17">
        <v>4</v>
      </c>
      <c r="D82" s="17">
        <v>1</v>
      </c>
      <c r="E82" s="17">
        <v>345</v>
      </c>
      <c r="F82" s="18">
        <f t="shared" si="1"/>
        <v>29</v>
      </c>
    </row>
    <row r="83" spans="1:6" ht="16.5" customHeight="1" x14ac:dyDescent="0.25">
      <c r="A83" s="16" t="s">
        <v>212</v>
      </c>
      <c r="B83" s="16" t="s">
        <v>213</v>
      </c>
      <c r="C83" s="17">
        <v>4</v>
      </c>
      <c r="D83" s="17">
        <v>0</v>
      </c>
      <c r="E83" s="17">
        <v>243</v>
      </c>
      <c r="F83" s="18">
        <f t="shared" si="1"/>
        <v>20</v>
      </c>
    </row>
    <row r="84" spans="1:6" ht="16.5" customHeight="1" x14ac:dyDescent="0.25">
      <c r="A84" s="16" t="s">
        <v>214</v>
      </c>
      <c r="B84" s="16" t="s">
        <v>215</v>
      </c>
      <c r="C84" s="17">
        <v>0</v>
      </c>
      <c r="D84" s="17">
        <v>2</v>
      </c>
      <c r="E84" s="17">
        <v>193</v>
      </c>
      <c r="F84" s="18">
        <f t="shared" si="1"/>
        <v>16</v>
      </c>
    </row>
    <row r="85" spans="1:6" ht="16.5" customHeight="1" x14ac:dyDescent="0.25">
      <c r="A85" s="16" t="s">
        <v>216</v>
      </c>
      <c r="B85" s="16" t="s">
        <v>217</v>
      </c>
      <c r="C85" s="17">
        <v>0</v>
      </c>
      <c r="D85" s="17">
        <v>0</v>
      </c>
      <c r="E85" s="17">
        <v>24</v>
      </c>
      <c r="F85" s="18">
        <f t="shared" si="1"/>
        <v>2</v>
      </c>
    </row>
    <row r="86" spans="1:6" ht="16.5" customHeight="1" x14ac:dyDescent="0.25">
      <c r="A86" s="16" t="s">
        <v>218</v>
      </c>
      <c r="B86" s="16" t="s">
        <v>219</v>
      </c>
      <c r="C86" s="17">
        <v>7</v>
      </c>
      <c r="D86" s="17">
        <v>1</v>
      </c>
      <c r="E86" s="17">
        <v>728</v>
      </c>
      <c r="F86" s="18">
        <f t="shared" si="1"/>
        <v>61</v>
      </c>
    </row>
    <row r="87" spans="1:6" ht="16.5" customHeight="1" x14ac:dyDescent="0.25">
      <c r="A87" s="16" t="s">
        <v>220</v>
      </c>
      <c r="B87" s="16" t="s">
        <v>221</v>
      </c>
      <c r="C87" s="17">
        <v>9</v>
      </c>
      <c r="D87" s="17">
        <v>1</v>
      </c>
      <c r="E87" s="17">
        <v>1167</v>
      </c>
      <c r="F87" s="18">
        <f t="shared" si="1"/>
        <v>97</v>
      </c>
    </row>
    <row r="88" spans="1:6" ht="16.5" customHeight="1" x14ac:dyDescent="0.25">
      <c r="A88" s="16" t="s">
        <v>224</v>
      </c>
      <c r="B88" s="16" t="s">
        <v>225</v>
      </c>
      <c r="C88" s="17">
        <v>0</v>
      </c>
      <c r="D88" s="17">
        <v>0</v>
      </c>
      <c r="E88" s="17">
        <v>36</v>
      </c>
      <c r="F88" s="18">
        <f t="shared" si="1"/>
        <v>3</v>
      </c>
    </row>
    <row r="89" spans="1:6" ht="16.5" customHeight="1" x14ac:dyDescent="0.25">
      <c r="A89" s="16" t="s">
        <v>226</v>
      </c>
      <c r="B89" s="16" t="s">
        <v>227</v>
      </c>
      <c r="C89" s="17">
        <v>0</v>
      </c>
      <c r="D89" s="17">
        <v>0</v>
      </c>
      <c r="E89" s="17">
        <v>60</v>
      </c>
      <c r="F89" s="18">
        <f t="shared" si="1"/>
        <v>5</v>
      </c>
    </row>
    <row r="90" spans="1:6" ht="16.5" customHeight="1" x14ac:dyDescent="0.25">
      <c r="A90" s="16" t="s">
        <v>228</v>
      </c>
      <c r="B90" s="16" t="s">
        <v>229</v>
      </c>
      <c r="C90" s="17">
        <v>7</v>
      </c>
      <c r="D90" s="17">
        <v>3</v>
      </c>
      <c r="E90" s="17">
        <v>766</v>
      </c>
      <c r="F90" s="18">
        <f t="shared" si="1"/>
        <v>64</v>
      </c>
    </row>
    <row r="91" spans="1:6" ht="16.5" customHeight="1" x14ac:dyDescent="0.25">
      <c r="A91" s="16" t="s">
        <v>232</v>
      </c>
      <c r="B91" s="16" t="s">
        <v>233</v>
      </c>
      <c r="C91" s="17">
        <v>3</v>
      </c>
      <c r="D91" s="17">
        <v>1</v>
      </c>
      <c r="E91" s="17">
        <v>557</v>
      </c>
      <c r="F91" s="18">
        <f t="shared" si="1"/>
        <v>46</v>
      </c>
    </row>
    <row r="92" spans="1:6" ht="16.5" customHeight="1" x14ac:dyDescent="0.25">
      <c r="A92" s="16" t="s">
        <v>234</v>
      </c>
      <c r="B92" s="16" t="s">
        <v>235</v>
      </c>
      <c r="C92" s="17">
        <v>3</v>
      </c>
      <c r="D92" s="17">
        <v>0</v>
      </c>
      <c r="E92" s="17">
        <v>282</v>
      </c>
      <c r="F92" s="18">
        <f t="shared" si="1"/>
        <v>24</v>
      </c>
    </row>
    <row r="93" spans="1:6" ht="16.5" customHeight="1" x14ac:dyDescent="0.25">
      <c r="A93" s="16" t="s">
        <v>236</v>
      </c>
      <c r="B93" s="16" t="s">
        <v>237</v>
      </c>
      <c r="C93" s="17">
        <v>1</v>
      </c>
      <c r="D93" s="17">
        <v>2</v>
      </c>
      <c r="E93" s="17">
        <v>97</v>
      </c>
      <c r="F93" s="18">
        <f t="shared" si="1"/>
        <v>8</v>
      </c>
    </row>
    <row r="94" spans="1:6" ht="16.5" customHeight="1" x14ac:dyDescent="0.25">
      <c r="A94" s="16" t="s">
        <v>242</v>
      </c>
      <c r="B94" s="16" t="s">
        <v>243</v>
      </c>
      <c r="C94" s="17">
        <v>10</v>
      </c>
      <c r="D94" s="17">
        <v>7</v>
      </c>
      <c r="E94" s="17">
        <v>892</v>
      </c>
      <c r="F94" s="18">
        <f t="shared" si="1"/>
        <v>74</v>
      </c>
    </row>
    <row r="95" spans="1:6" ht="16.5" customHeight="1" x14ac:dyDescent="0.25">
      <c r="A95" s="16" t="s">
        <v>244</v>
      </c>
      <c r="B95" s="16" t="s">
        <v>245</v>
      </c>
      <c r="C95" s="17">
        <v>1</v>
      </c>
      <c r="D95" s="17">
        <v>0</v>
      </c>
      <c r="E95" s="17">
        <v>151</v>
      </c>
      <c r="F95" s="18">
        <f t="shared" si="1"/>
        <v>13</v>
      </c>
    </row>
    <row r="96" spans="1:6" ht="16.5" customHeight="1" x14ac:dyDescent="0.25">
      <c r="A96" s="16" t="s">
        <v>246</v>
      </c>
      <c r="B96" s="16" t="s">
        <v>310</v>
      </c>
      <c r="C96" s="17">
        <v>5</v>
      </c>
      <c r="D96" s="17">
        <v>2</v>
      </c>
      <c r="E96" s="17">
        <v>207</v>
      </c>
      <c r="F96" s="18">
        <f t="shared" si="1"/>
        <v>17</v>
      </c>
    </row>
    <row r="97" spans="1:6" ht="16.5" customHeight="1" x14ac:dyDescent="0.25">
      <c r="A97" s="16" t="s">
        <v>14</v>
      </c>
      <c r="B97" s="16" t="s">
        <v>15</v>
      </c>
      <c r="C97" s="17">
        <v>21</v>
      </c>
      <c r="D97" s="17">
        <v>1</v>
      </c>
      <c r="E97" s="17">
        <v>1630</v>
      </c>
      <c r="F97" s="18">
        <f t="shared" si="1"/>
        <v>136</v>
      </c>
    </row>
    <row r="98" spans="1:6" ht="16.5" customHeight="1" x14ac:dyDescent="0.25">
      <c r="A98" s="16" t="s">
        <v>34</v>
      </c>
      <c r="B98" s="16" t="s">
        <v>35</v>
      </c>
      <c r="C98" s="17">
        <v>0</v>
      </c>
      <c r="D98" s="17">
        <v>0</v>
      </c>
      <c r="E98" s="17">
        <v>251</v>
      </c>
      <c r="F98" s="18">
        <f t="shared" si="1"/>
        <v>21</v>
      </c>
    </row>
    <row r="99" spans="1:6" ht="16.5" customHeight="1" x14ac:dyDescent="0.25">
      <c r="A99" s="16" t="s">
        <v>52</v>
      </c>
      <c r="B99" s="16" t="s">
        <v>53</v>
      </c>
      <c r="C99" s="17">
        <v>14</v>
      </c>
      <c r="D99" s="17">
        <v>0</v>
      </c>
      <c r="E99" s="17">
        <v>789</v>
      </c>
      <c r="F99" s="18">
        <f t="shared" si="1"/>
        <v>66</v>
      </c>
    </row>
    <row r="100" spans="1:6" ht="16.5" customHeight="1" x14ac:dyDescent="0.25">
      <c r="A100" s="16" t="s">
        <v>54</v>
      </c>
      <c r="B100" s="16" t="s">
        <v>55</v>
      </c>
      <c r="C100" s="17">
        <v>5</v>
      </c>
      <c r="D100" s="17">
        <v>3</v>
      </c>
      <c r="E100" s="17">
        <v>1198</v>
      </c>
      <c r="F100" s="18">
        <f t="shared" si="1"/>
        <v>100</v>
      </c>
    </row>
    <row r="101" spans="1:6" ht="16.5" customHeight="1" x14ac:dyDescent="0.25">
      <c r="A101" s="16" t="s">
        <v>66</v>
      </c>
      <c r="B101" s="16" t="s">
        <v>67</v>
      </c>
      <c r="C101" s="17">
        <v>1</v>
      </c>
      <c r="D101" s="17">
        <v>1</v>
      </c>
      <c r="E101" s="17">
        <v>521</v>
      </c>
      <c r="F101" s="18">
        <f t="shared" si="1"/>
        <v>43</v>
      </c>
    </row>
    <row r="102" spans="1:6" ht="16.5" customHeight="1" x14ac:dyDescent="0.25">
      <c r="A102" s="16" t="s">
        <v>82</v>
      </c>
      <c r="B102" s="16" t="s">
        <v>311</v>
      </c>
      <c r="C102" s="17">
        <v>0</v>
      </c>
      <c r="D102" s="17">
        <v>0</v>
      </c>
      <c r="E102" s="17">
        <v>24</v>
      </c>
      <c r="F102" s="18">
        <f t="shared" si="1"/>
        <v>2</v>
      </c>
    </row>
    <row r="103" spans="1:6" ht="16.5" customHeight="1" x14ac:dyDescent="0.25">
      <c r="A103" s="16" t="s">
        <v>88</v>
      </c>
      <c r="B103" s="16" t="s">
        <v>89</v>
      </c>
      <c r="C103" s="17">
        <v>5</v>
      </c>
      <c r="D103" s="17">
        <v>0</v>
      </c>
      <c r="E103" s="17">
        <v>528</v>
      </c>
      <c r="F103" s="18">
        <f t="shared" si="1"/>
        <v>44</v>
      </c>
    </row>
    <row r="104" spans="1:6" ht="16.5" customHeight="1" x14ac:dyDescent="0.25">
      <c r="A104" s="16" t="s">
        <v>90</v>
      </c>
      <c r="B104" s="16" t="s">
        <v>91</v>
      </c>
      <c r="C104" s="17">
        <v>2</v>
      </c>
      <c r="D104" s="17">
        <v>0</v>
      </c>
      <c r="E104" s="17">
        <v>132</v>
      </c>
      <c r="F104" s="18">
        <f t="shared" si="1"/>
        <v>11</v>
      </c>
    </row>
    <row r="105" spans="1:6" ht="16.5" customHeight="1" x14ac:dyDescent="0.25">
      <c r="A105" s="16" t="s">
        <v>106</v>
      </c>
      <c r="B105" s="16" t="s">
        <v>107</v>
      </c>
      <c r="C105" s="17">
        <v>12</v>
      </c>
      <c r="D105" s="17">
        <v>4</v>
      </c>
      <c r="E105" s="17">
        <v>1594</v>
      </c>
      <c r="F105" s="18">
        <f t="shared" si="1"/>
        <v>133</v>
      </c>
    </row>
    <row r="106" spans="1:6" ht="16.5" customHeight="1" x14ac:dyDescent="0.25">
      <c r="A106" s="16" t="s">
        <v>116</v>
      </c>
      <c r="B106" s="16" t="s">
        <v>117</v>
      </c>
      <c r="C106" s="17">
        <v>2</v>
      </c>
      <c r="D106" s="17">
        <v>1</v>
      </c>
      <c r="E106" s="17">
        <v>195</v>
      </c>
      <c r="F106" s="18">
        <f t="shared" si="1"/>
        <v>16</v>
      </c>
    </row>
    <row r="107" spans="1:6" ht="16.5" customHeight="1" x14ac:dyDescent="0.25">
      <c r="A107" s="16" t="s">
        <v>138</v>
      </c>
      <c r="B107" s="16" t="s">
        <v>139</v>
      </c>
      <c r="C107" s="17">
        <v>18</v>
      </c>
      <c r="D107" s="17">
        <v>3</v>
      </c>
      <c r="E107" s="17">
        <v>1411</v>
      </c>
      <c r="F107" s="18">
        <f t="shared" si="1"/>
        <v>118</v>
      </c>
    </row>
    <row r="108" spans="1:6" ht="16.5" customHeight="1" x14ac:dyDescent="0.25">
      <c r="A108" s="16" t="s">
        <v>142</v>
      </c>
      <c r="B108" s="16" t="s">
        <v>143</v>
      </c>
      <c r="C108" s="17">
        <v>4</v>
      </c>
      <c r="D108" s="17">
        <v>0</v>
      </c>
      <c r="E108" s="17">
        <v>194</v>
      </c>
      <c r="F108" s="18">
        <f t="shared" si="1"/>
        <v>16</v>
      </c>
    </row>
    <row r="109" spans="1:6" ht="16.5" customHeight="1" x14ac:dyDescent="0.25">
      <c r="A109" s="16" t="s">
        <v>144</v>
      </c>
      <c r="B109" s="16" t="s">
        <v>145</v>
      </c>
      <c r="C109" s="17">
        <v>0</v>
      </c>
      <c r="D109" s="17">
        <v>0</v>
      </c>
      <c r="E109" s="17">
        <v>48</v>
      </c>
      <c r="F109" s="18">
        <f t="shared" si="1"/>
        <v>4</v>
      </c>
    </row>
    <row r="110" spans="1:6" ht="16.5" customHeight="1" x14ac:dyDescent="0.25">
      <c r="A110" s="16" t="s">
        <v>158</v>
      </c>
      <c r="B110" s="16" t="s">
        <v>159</v>
      </c>
      <c r="C110" s="17">
        <v>16</v>
      </c>
      <c r="D110" s="17">
        <v>6</v>
      </c>
      <c r="E110" s="17">
        <v>3092</v>
      </c>
      <c r="F110" s="18">
        <f t="shared" si="1"/>
        <v>258</v>
      </c>
    </row>
    <row r="111" spans="1:6" ht="16.5" customHeight="1" x14ac:dyDescent="0.25">
      <c r="A111" s="16" t="s">
        <v>160</v>
      </c>
      <c r="B111" s="16" t="s">
        <v>161</v>
      </c>
      <c r="C111" s="17">
        <v>11</v>
      </c>
      <c r="D111" s="17">
        <v>5</v>
      </c>
      <c r="E111" s="17">
        <v>2057</v>
      </c>
      <c r="F111" s="18">
        <f t="shared" si="1"/>
        <v>171</v>
      </c>
    </row>
    <row r="112" spans="1:6" ht="16.5" customHeight="1" x14ac:dyDescent="0.25">
      <c r="A112" s="16" t="s">
        <v>166</v>
      </c>
      <c r="B112" s="16" t="s">
        <v>167</v>
      </c>
      <c r="C112" s="17">
        <v>0</v>
      </c>
      <c r="D112" s="17">
        <v>0</v>
      </c>
      <c r="E112" s="17">
        <v>144</v>
      </c>
      <c r="F112" s="18">
        <f t="shared" si="1"/>
        <v>12</v>
      </c>
    </row>
    <row r="113" spans="1:6" ht="16.5" customHeight="1" x14ac:dyDescent="0.25">
      <c r="A113" s="16" t="s">
        <v>176</v>
      </c>
      <c r="B113" s="16" t="s">
        <v>177</v>
      </c>
      <c r="C113" s="17">
        <v>10</v>
      </c>
      <c r="D113" s="17">
        <v>4</v>
      </c>
      <c r="E113" s="17">
        <v>890</v>
      </c>
      <c r="F113" s="18">
        <f t="shared" si="1"/>
        <v>74</v>
      </c>
    </row>
    <row r="114" spans="1:6" ht="16.5" customHeight="1" x14ac:dyDescent="0.25">
      <c r="A114" s="16" t="s">
        <v>180</v>
      </c>
      <c r="B114" s="16" t="s">
        <v>181</v>
      </c>
      <c r="C114" s="17">
        <v>9</v>
      </c>
      <c r="D114" s="17">
        <v>11</v>
      </c>
      <c r="E114" s="17">
        <v>1142</v>
      </c>
      <c r="F114" s="18">
        <f t="shared" si="1"/>
        <v>95</v>
      </c>
    </row>
    <row r="115" spans="1:6" ht="16.5" customHeight="1" x14ac:dyDescent="0.25">
      <c r="A115" s="16" t="s">
        <v>192</v>
      </c>
      <c r="B115" s="16" t="s">
        <v>193</v>
      </c>
      <c r="C115" s="17">
        <v>4</v>
      </c>
      <c r="D115" s="17">
        <v>0</v>
      </c>
      <c r="E115" s="17">
        <v>228</v>
      </c>
      <c r="F115" s="18">
        <f t="shared" si="1"/>
        <v>19</v>
      </c>
    </row>
    <row r="116" spans="1:6" ht="16.5" customHeight="1" x14ac:dyDescent="0.25">
      <c r="A116" s="16" t="s">
        <v>196</v>
      </c>
      <c r="B116" s="16" t="s">
        <v>312</v>
      </c>
      <c r="C116" s="17">
        <v>34</v>
      </c>
      <c r="D116" s="17">
        <v>6</v>
      </c>
      <c r="E116" s="17">
        <v>5651</v>
      </c>
      <c r="F116" s="18">
        <f t="shared" si="1"/>
        <v>471</v>
      </c>
    </row>
    <row r="117" spans="1:6" ht="16.5" customHeight="1" x14ac:dyDescent="0.25">
      <c r="A117" s="16" t="s">
        <v>200</v>
      </c>
      <c r="B117" s="16" t="s">
        <v>313</v>
      </c>
      <c r="C117" s="17">
        <v>43</v>
      </c>
      <c r="D117" s="17">
        <v>4</v>
      </c>
      <c r="E117" s="17">
        <v>3253</v>
      </c>
      <c r="F117" s="18">
        <f t="shared" si="1"/>
        <v>271</v>
      </c>
    </row>
    <row r="118" spans="1:6" ht="16.5" customHeight="1" x14ac:dyDescent="0.25">
      <c r="A118" s="16" t="s">
        <v>222</v>
      </c>
      <c r="B118" s="16" t="s">
        <v>223</v>
      </c>
      <c r="C118" s="17">
        <v>4</v>
      </c>
      <c r="D118" s="17">
        <v>3</v>
      </c>
      <c r="E118" s="17">
        <v>368</v>
      </c>
      <c r="F118" s="18">
        <f t="shared" si="1"/>
        <v>31</v>
      </c>
    </row>
    <row r="119" spans="1:6" ht="16.5" customHeight="1" x14ac:dyDescent="0.25">
      <c r="A119" s="16" t="s">
        <v>230</v>
      </c>
      <c r="B119" s="16" t="s">
        <v>231</v>
      </c>
      <c r="C119" s="17">
        <v>15</v>
      </c>
      <c r="D119" s="17">
        <v>2</v>
      </c>
      <c r="E119" s="17">
        <v>2399</v>
      </c>
      <c r="F119" s="18">
        <f t="shared" si="1"/>
        <v>200</v>
      </c>
    </row>
    <row r="120" spans="1:6" ht="16.5" customHeight="1" x14ac:dyDescent="0.25">
      <c r="A120" s="16" t="s">
        <v>238</v>
      </c>
      <c r="B120" s="16" t="s">
        <v>239</v>
      </c>
      <c r="C120" s="17">
        <v>1</v>
      </c>
      <c r="D120" s="17">
        <v>0</v>
      </c>
      <c r="E120" s="17">
        <v>80</v>
      </c>
      <c r="F120" s="18">
        <f t="shared" si="1"/>
        <v>7</v>
      </c>
    </row>
    <row r="121" spans="1:6" ht="16.5" customHeight="1" x14ac:dyDescent="0.25">
      <c r="A121" s="16" t="s">
        <v>240</v>
      </c>
      <c r="B121" s="16" t="s">
        <v>241</v>
      </c>
      <c r="C121" s="17">
        <v>5</v>
      </c>
      <c r="D121" s="17">
        <v>3</v>
      </c>
      <c r="E121" s="17">
        <v>492</v>
      </c>
      <c r="F121" s="18">
        <f t="shared" si="1"/>
        <v>41</v>
      </c>
    </row>
    <row r="122" spans="1:6" x14ac:dyDescent="0.2">
      <c r="C122" s="18">
        <f>SUM(C2:C121)</f>
        <v>606</v>
      </c>
      <c r="D122" s="18">
        <f>SUM(D2:D121)</f>
        <v>180</v>
      </c>
      <c r="E122" s="18">
        <f>SUM(E2:E121)</f>
        <v>62001</v>
      </c>
      <c r="F122" s="18">
        <f>SUM(F2:F121)</f>
        <v>5166</v>
      </c>
    </row>
    <row r="123" spans="1:6" x14ac:dyDescent="0.2">
      <c r="C123" s="18">
        <f>+C122/12</f>
        <v>50.5</v>
      </c>
      <c r="D123" s="18">
        <f>+D122/12</f>
        <v>15</v>
      </c>
      <c r="E123" s="18">
        <f>+E122/12</f>
        <v>5166.75</v>
      </c>
    </row>
    <row r="124" spans="1:6" ht="12.75" customHeight="1" x14ac:dyDescent="0.2">
      <c r="A124" s="2296" t="s">
        <v>570</v>
      </c>
      <c r="B124" s="2296"/>
      <c r="C124" s="2297"/>
    </row>
    <row r="125" spans="1:6" x14ac:dyDescent="0.2">
      <c r="A125" s="18" t="s">
        <v>571</v>
      </c>
    </row>
  </sheetData>
  <mergeCells count="1">
    <mergeCell ref="A124:C124"/>
  </mergeCells>
  <pageMargins left="0.75" right="0.75" top="1" bottom="1" header="0.5" footer="0.5"/>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x14ac:dyDescent="0.25"/>
  <cols>
    <col min="1" max="2" width="9" style="5"/>
    <col min="3" max="3" width="20.75" style="5" customWidth="1"/>
    <col min="4" max="4" width="13.125" style="5" customWidth="1"/>
    <col min="5" max="5" width="10.75" style="5" bestFit="1" customWidth="1"/>
    <col min="6" max="6" width="7.875" style="5" bestFit="1" customWidth="1"/>
    <col min="7" max="7" width="6.875" style="5" bestFit="1" customWidth="1"/>
    <col min="8" max="8" width="11.25" style="5" customWidth="1"/>
    <col min="9" max="9" width="7.125" style="5" bestFit="1" customWidth="1"/>
    <col min="10" max="10" width="12.625" style="5" bestFit="1" customWidth="1"/>
    <col min="11" max="11" width="6.75" style="5" customWidth="1"/>
    <col min="12" max="12" width="6.875" style="5" bestFit="1" customWidth="1"/>
    <col min="13" max="13" width="19.25" style="5" bestFit="1" customWidth="1"/>
    <col min="14" max="14" width="6.875" style="5" bestFit="1" customWidth="1"/>
    <col min="15" max="15" width="9" style="5" customWidth="1"/>
    <col min="16" max="16" width="8.625" style="5" customWidth="1"/>
    <col min="17" max="17" width="11.875" style="5" bestFit="1" customWidth="1"/>
    <col min="18" max="18" width="18.125" style="5" customWidth="1"/>
    <col min="19" max="19" width="15.625" style="5" bestFit="1" customWidth="1"/>
    <col min="20" max="20" width="18.375" style="5" customWidth="1"/>
    <col min="21" max="21" width="17.625" style="5" customWidth="1"/>
    <col min="22" max="22" width="17.5" style="5" customWidth="1"/>
    <col min="23" max="23" width="16.625" style="5" customWidth="1"/>
    <col min="24" max="24" width="10.875" style="5" bestFit="1" customWidth="1"/>
    <col min="25" max="16384" width="9" style="5"/>
  </cols>
  <sheetData>
    <row r="1" spans="2:24" x14ac:dyDescent="0.25">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x14ac:dyDescent="0.25">
      <c r="B2" s="5" t="s">
        <v>544</v>
      </c>
    </row>
    <row r="3" spans="2:24" x14ac:dyDescent="0.25">
      <c r="B3" s="5" t="s">
        <v>545</v>
      </c>
    </row>
    <row r="4" spans="2:24" s="6" customFormat="1" ht="58.5" customHeight="1" x14ac:dyDescent="0.25">
      <c r="B4" s="6" t="s">
        <v>4</v>
      </c>
      <c r="C4" s="7" t="s">
        <v>546</v>
      </c>
      <c r="D4" s="7" t="s">
        <v>547</v>
      </c>
      <c r="E4" s="7" t="s">
        <v>449</v>
      </c>
      <c r="F4" s="7" t="s">
        <v>548</v>
      </c>
      <c r="G4" s="7" t="s">
        <v>549</v>
      </c>
      <c r="H4" s="7" t="s">
        <v>550</v>
      </c>
      <c r="I4" s="7" t="s">
        <v>551</v>
      </c>
      <c r="J4" s="7" t="s">
        <v>552</v>
      </c>
      <c r="K4" s="7" t="s">
        <v>542</v>
      </c>
      <c r="L4" s="7" t="s">
        <v>445</v>
      </c>
      <c r="M4" s="7" t="s">
        <v>553</v>
      </c>
      <c r="N4" s="7" t="s">
        <v>2</v>
      </c>
      <c r="O4" s="7" t="s">
        <v>562</v>
      </c>
      <c r="P4" s="7" t="s">
        <v>447</v>
      </c>
      <c r="Q4" s="7" t="s">
        <v>554</v>
      </c>
      <c r="R4" s="7" t="s">
        <v>555</v>
      </c>
      <c r="S4" s="7" t="s">
        <v>556</v>
      </c>
      <c r="T4" s="7" t="s">
        <v>557</v>
      </c>
      <c r="U4" s="7" t="s">
        <v>558</v>
      </c>
      <c r="V4" s="7" t="s">
        <v>559</v>
      </c>
      <c r="W4" s="7" t="s">
        <v>560</v>
      </c>
      <c r="X4" s="7" t="s">
        <v>561</v>
      </c>
    </row>
    <row r="5" spans="2:24" x14ac:dyDescent="0.25">
      <c r="B5" s="5" t="s">
        <v>10</v>
      </c>
      <c r="C5" s="8" t="s">
        <v>11</v>
      </c>
      <c r="D5" s="8" t="s">
        <v>264</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x14ac:dyDescent="0.25">
      <c r="B6" s="5" t="s">
        <v>12</v>
      </c>
      <c r="C6" s="8" t="s">
        <v>13</v>
      </c>
      <c r="D6" s="8" t="s">
        <v>265</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x14ac:dyDescent="0.25">
      <c r="B7" s="5" t="s">
        <v>14</v>
      </c>
      <c r="C7" s="8" t="s">
        <v>15</v>
      </c>
      <c r="D7" s="8" t="s">
        <v>267</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x14ac:dyDescent="0.25">
      <c r="B8" s="5" t="s">
        <v>16</v>
      </c>
      <c r="C8" s="1" t="s">
        <v>297</v>
      </c>
      <c r="D8" s="8" t="s">
        <v>265</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x14ac:dyDescent="0.25">
      <c r="B9" s="5" t="s">
        <v>18</v>
      </c>
      <c r="C9" s="8" t="s">
        <v>19</v>
      </c>
      <c r="D9" s="8" t="s">
        <v>266</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x14ac:dyDescent="0.25">
      <c r="B10" s="5" t="s">
        <v>20</v>
      </c>
      <c r="C10" s="8" t="s">
        <v>21</v>
      </c>
      <c r="D10" s="8" t="s">
        <v>265</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x14ac:dyDescent="0.25">
      <c r="B11" s="5" t="s">
        <v>22</v>
      </c>
      <c r="C11" s="8" t="s">
        <v>23</v>
      </c>
      <c r="D11" s="8" t="s">
        <v>265</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x14ac:dyDescent="0.25">
      <c r="B12" s="5" t="s">
        <v>24</v>
      </c>
      <c r="C12" s="8" t="s">
        <v>25</v>
      </c>
      <c r="D12" s="8" t="s">
        <v>267</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5" x14ac:dyDescent="0.25">
      <c r="B13" s="5" t="s">
        <v>26</v>
      </c>
      <c r="C13" s="1" t="s">
        <v>298</v>
      </c>
      <c r="D13" s="8" t="s">
        <v>265</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x14ac:dyDescent="0.25">
      <c r="B14" s="5" t="s">
        <v>27</v>
      </c>
      <c r="C14" s="8" t="s">
        <v>28</v>
      </c>
      <c r="D14" s="8" t="s">
        <v>265</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x14ac:dyDescent="0.25">
      <c r="B15" s="5" t="s">
        <v>29</v>
      </c>
      <c r="C15" s="1" t="s">
        <v>299</v>
      </c>
      <c r="D15" s="8" t="s">
        <v>265</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x14ac:dyDescent="0.25">
      <c r="B16" s="5" t="s">
        <v>30</v>
      </c>
      <c r="C16" s="8" t="s">
        <v>31</v>
      </c>
      <c r="D16" s="8" t="s">
        <v>268</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x14ac:dyDescent="0.25">
      <c r="B17" s="5" t="s">
        <v>32</v>
      </c>
      <c r="C17" s="8" t="s">
        <v>33</v>
      </c>
      <c r="D17" s="8" t="s">
        <v>265</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x14ac:dyDescent="0.25">
      <c r="B18" s="5" t="s">
        <v>34</v>
      </c>
      <c r="C18" s="8" t="s">
        <v>35</v>
      </c>
      <c r="D18" s="8" t="s">
        <v>268</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x14ac:dyDescent="0.25">
      <c r="B19" s="5" t="s">
        <v>36</v>
      </c>
      <c r="C19" s="8" t="s">
        <v>37</v>
      </c>
      <c r="D19" s="8" t="s">
        <v>264</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x14ac:dyDescent="0.25">
      <c r="B20" s="5" t="s">
        <v>38</v>
      </c>
      <c r="C20" s="8" t="s">
        <v>39</v>
      </c>
      <c r="D20" s="8" t="s">
        <v>268</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x14ac:dyDescent="0.25">
      <c r="B21" s="5" t="s">
        <v>40</v>
      </c>
      <c r="C21" s="8" t="s">
        <v>41</v>
      </c>
      <c r="D21" s="8" t="s">
        <v>266</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x14ac:dyDescent="0.25">
      <c r="B22" s="5" t="s">
        <v>42</v>
      </c>
      <c r="C22" s="8" t="s">
        <v>43</v>
      </c>
      <c r="D22" s="8" t="s">
        <v>265</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x14ac:dyDescent="0.25">
      <c r="B23" s="5" t="s">
        <v>44</v>
      </c>
      <c r="C23" s="8" t="s">
        <v>45</v>
      </c>
      <c r="D23" s="8" t="s">
        <v>266</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x14ac:dyDescent="0.25">
      <c r="B24" s="5" t="s">
        <v>46</v>
      </c>
      <c r="C24" s="8" t="s">
        <v>47</v>
      </c>
      <c r="D24" s="8" t="s">
        <v>268</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x14ac:dyDescent="0.25">
      <c r="B25" s="5" t="s">
        <v>48</v>
      </c>
      <c r="C25" s="8" t="s">
        <v>269</v>
      </c>
      <c r="D25" s="8" t="s">
        <v>266</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x14ac:dyDescent="0.25">
      <c r="B26" s="5" t="s">
        <v>50</v>
      </c>
      <c r="C26" s="8" t="s">
        <v>51</v>
      </c>
      <c r="D26" s="8" t="s">
        <v>265</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x14ac:dyDescent="0.25">
      <c r="B27" s="5" t="s">
        <v>52</v>
      </c>
      <c r="C27" s="8" t="s">
        <v>53</v>
      </c>
      <c r="D27" s="8" t="s">
        <v>265</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x14ac:dyDescent="0.25">
      <c r="B28" s="5" t="s">
        <v>54</v>
      </c>
      <c r="C28" s="8" t="s">
        <v>55</v>
      </c>
      <c r="D28" s="8" t="s">
        <v>264</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5" x14ac:dyDescent="0.25">
      <c r="B29" s="5" t="s">
        <v>56</v>
      </c>
      <c r="C29" s="1" t="s">
        <v>295</v>
      </c>
      <c r="D29" s="8" t="s">
        <v>266</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x14ac:dyDescent="0.25">
      <c r="B30" s="5" t="s">
        <v>58</v>
      </c>
      <c r="C30" s="8" t="s">
        <v>59</v>
      </c>
      <c r="D30" s="8" t="s">
        <v>267</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x14ac:dyDescent="0.25">
      <c r="B31" s="5" t="s">
        <v>60</v>
      </c>
      <c r="C31" s="8" t="s">
        <v>61</v>
      </c>
      <c r="D31" s="8" t="s">
        <v>265</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x14ac:dyDescent="0.25">
      <c r="B32" s="5" t="s">
        <v>62</v>
      </c>
      <c r="C32" s="8" t="s">
        <v>63</v>
      </c>
      <c r="D32" s="8" t="s">
        <v>267</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x14ac:dyDescent="0.25">
      <c r="B33" s="5" t="s">
        <v>64</v>
      </c>
      <c r="C33" s="8" t="s">
        <v>65</v>
      </c>
      <c r="D33" s="8" t="s">
        <v>266</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x14ac:dyDescent="0.25">
      <c r="B34" s="5" t="s">
        <v>66</v>
      </c>
      <c r="C34" s="8" t="s">
        <v>67</v>
      </c>
      <c r="D34" s="8" t="s">
        <v>265</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x14ac:dyDescent="0.25">
      <c r="B35" s="5" t="s">
        <v>68</v>
      </c>
      <c r="C35" s="8" t="s">
        <v>69</v>
      </c>
      <c r="D35" s="8" t="s">
        <v>268</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x14ac:dyDescent="0.25">
      <c r="B36" s="5" t="s">
        <v>70</v>
      </c>
      <c r="C36" s="8" t="s">
        <v>71</v>
      </c>
      <c r="D36" s="8" t="s">
        <v>264</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x14ac:dyDescent="0.25">
      <c r="B37" s="5" t="s">
        <v>72</v>
      </c>
      <c r="C37" s="8" t="s">
        <v>73</v>
      </c>
      <c r="D37" s="8" t="s">
        <v>266</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31.5" x14ac:dyDescent="0.25">
      <c r="B38" s="5" t="s">
        <v>74</v>
      </c>
      <c r="C38" s="1" t="s">
        <v>296</v>
      </c>
      <c r="D38" s="8" t="s">
        <v>267</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x14ac:dyDescent="0.25">
      <c r="B39" s="5" t="s">
        <v>76</v>
      </c>
      <c r="C39" s="8" t="s">
        <v>77</v>
      </c>
      <c r="D39" s="8" t="s">
        <v>267</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x14ac:dyDescent="0.25">
      <c r="B40" s="5" t="s">
        <v>78</v>
      </c>
      <c r="C40" s="8" t="s">
        <v>79</v>
      </c>
      <c r="D40" s="8" t="s">
        <v>268</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x14ac:dyDescent="0.25">
      <c r="B41" s="5" t="s">
        <v>80</v>
      </c>
      <c r="C41" s="8" t="s">
        <v>81</v>
      </c>
      <c r="D41" s="8" t="s">
        <v>266</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x14ac:dyDescent="0.25">
      <c r="B42" s="5" t="s">
        <v>82</v>
      </c>
      <c r="C42" s="8" t="s">
        <v>83</v>
      </c>
      <c r="D42" s="8" t="s">
        <v>264</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x14ac:dyDescent="0.25">
      <c r="B43" s="5" t="s">
        <v>84</v>
      </c>
      <c r="C43" s="8" t="s">
        <v>85</v>
      </c>
      <c r="D43" s="8" t="s">
        <v>265</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x14ac:dyDescent="0.25">
      <c r="B44" s="5" t="s">
        <v>86</v>
      </c>
      <c r="C44" s="8" t="s">
        <v>87</v>
      </c>
      <c r="D44" s="8" t="s">
        <v>267</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x14ac:dyDescent="0.25">
      <c r="B45" s="5" t="s">
        <v>88</v>
      </c>
      <c r="C45" s="8" t="s">
        <v>89</v>
      </c>
      <c r="D45" s="8" t="s">
        <v>267</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x14ac:dyDescent="0.25">
      <c r="B46" s="5" t="s">
        <v>90</v>
      </c>
      <c r="C46" s="8" t="s">
        <v>91</v>
      </c>
      <c r="D46" s="8" t="s">
        <v>268</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x14ac:dyDescent="0.25">
      <c r="B47" s="5" t="s">
        <v>92</v>
      </c>
      <c r="C47" s="8" t="s">
        <v>93</v>
      </c>
      <c r="D47" s="8" t="s">
        <v>268</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x14ac:dyDescent="0.25">
      <c r="B48" s="5" t="s">
        <v>94</v>
      </c>
      <c r="C48" s="8" t="s">
        <v>95</v>
      </c>
      <c r="D48" s="8" t="s">
        <v>264</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x14ac:dyDescent="0.25">
      <c r="B49" s="5" t="s">
        <v>96</v>
      </c>
      <c r="C49" s="8" t="s">
        <v>97</v>
      </c>
      <c r="D49" s="8" t="s">
        <v>266</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x14ac:dyDescent="0.25">
      <c r="B50" s="5" t="s">
        <v>98</v>
      </c>
      <c r="C50" s="8" t="s">
        <v>99</v>
      </c>
      <c r="D50" s="8" t="s">
        <v>268</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x14ac:dyDescent="0.25">
      <c r="B51" s="5" t="s">
        <v>100</v>
      </c>
      <c r="C51" s="8" t="s">
        <v>101</v>
      </c>
      <c r="D51" s="8" t="s">
        <v>267</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x14ac:dyDescent="0.25">
      <c r="B52" s="5" t="s">
        <v>102</v>
      </c>
      <c r="C52" s="1" t="s">
        <v>282</v>
      </c>
      <c r="D52" s="8" t="s">
        <v>264</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x14ac:dyDescent="0.25">
      <c r="B53" s="5" t="s">
        <v>104</v>
      </c>
      <c r="C53" s="8" t="s">
        <v>105</v>
      </c>
      <c r="D53" s="8" t="s">
        <v>265</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x14ac:dyDescent="0.25">
      <c r="B54" s="5" t="s">
        <v>106</v>
      </c>
      <c r="C54" s="8" t="s">
        <v>107</v>
      </c>
      <c r="D54" s="8" t="s">
        <v>264</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x14ac:dyDescent="0.25">
      <c r="B55" s="5" t="s">
        <v>108</v>
      </c>
      <c r="C55" s="8" t="s">
        <v>109</v>
      </c>
      <c r="D55" s="8" t="s">
        <v>266</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x14ac:dyDescent="0.25">
      <c r="B56" s="5" t="s">
        <v>110</v>
      </c>
      <c r="C56" s="8" t="s">
        <v>111</v>
      </c>
      <c r="D56" s="8" t="s">
        <v>266</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x14ac:dyDescent="0.25">
      <c r="B57" s="5" t="s">
        <v>112</v>
      </c>
      <c r="C57" s="1" t="s">
        <v>300</v>
      </c>
      <c r="D57" s="8" t="s">
        <v>265</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x14ac:dyDescent="0.25">
      <c r="B58" s="5" t="s">
        <v>114</v>
      </c>
      <c r="C58" s="8" t="s">
        <v>115</v>
      </c>
      <c r="D58" s="8" t="s">
        <v>265</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x14ac:dyDescent="0.25">
      <c r="B59" s="5" t="s">
        <v>116</v>
      </c>
      <c r="C59" s="8" t="s">
        <v>117</v>
      </c>
      <c r="D59" s="8" t="s">
        <v>266</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x14ac:dyDescent="0.25">
      <c r="B60" s="5" t="s">
        <v>118</v>
      </c>
      <c r="C60" s="8" t="s">
        <v>119</v>
      </c>
      <c r="D60" s="8" t="s">
        <v>264</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x14ac:dyDescent="0.25">
      <c r="B61" s="5" t="s">
        <v>120</v>
      </c>
      <c r="C61" s="8" t="s">
        <v>121</v>
      </c>
      <c r="D61" s="8" t="s">
        <v>264</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x14ac:dyDescent="0.25">
      <c r="B62" s="5" t="s">
        <v>122</v>
      </c>
      <c r="C62" s="8" t="s">
        <v>123</v>
      </c>
      <c r="D62" s="8" t="s">
        <v>266</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x14ac:dyDescent="0.25">
      <c r="B63" s="5" t="s">
        <v>124</v>
      </c>
      <c r="C63" s="8" t="s">
        <v>125</v>
      </c>
      <c r="D63" s="8" t="s">
        <v>267</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x14ac:dyDescent="0.25">
      <c r="B64" s="5" t="s">
        <v>126</v>
      </c>
      <c r="C64" s="8" t="s">
        <v>127</v>
      </c>
      <c r="D64" s="8" t="s">
        <v>266</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x14ac:dyDescent="0.25">
      <c r="B65" s="5" t="s">
        <v>128</v>
      </c>
      <c r="C65" s="8" t="s">
        <v>129</v>
      </c>
      <c r="D65" s="8" t="s">
        <v>266</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x14ac:dyDescent="0.25">
      <c r="B66" s="5" t="s">
        <v>130</v>
      </c>
      <c r="C66" s="8" t="s">
        <v>131</v>
      </c>
      <c r="D66" s="8" t="s">
        <v>268</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x14ac:dyDescent="0.25">
      <c r="B67" s="5" t="s">
        <v>132</v>
      </c>
      <c r="C67" s="8" t="s">
        <v>133</v>
      </c>
      <c r="D67" s="8" t="s">
        <v>267</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x14ac:dyDescent="0.25">
      <c r="B68" s="5" t="s">
        <v>134</v>
      </c>
      <c r="C68" s="8" t="s">
        <v>135</v>
      </c>
      <c r="D68" s="8" t="s">
        <v>267</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x14ac:dyDescent="0.25">
      <c r="B69" s="5" t="s">
        <v>136</v>
      </c>
      <c r="C69" s="8" t="s">
        <v>137</v>
      </c>
      <c r="D69" s="8" t="s">
        <v>266</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x14ac:dyDescent="0.25">
      <c r="B70" s="5" t="s">
        <v>138</v>
      </c>
      <c r="C70" s="8" t="s">
        <v>139</v>
      </c>
      <c r="D70" s="8" t="s">
        <v>265</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x14ac:dyDescent="0.25">
      <c r="B71" s="5" t="s">
        <v>140</v>
      </c>
      <c r="C71" s="8" t="s">
        <v>141</v>
      </c>
      <c r="D71" s="8" t="s">
        <v>267</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x14ac:dyDescent="0.25">
      <c r="B72" s="5" t="s">
        <v>142</v>
      </c>
      <c r="C72" s="8" t="s">
        <v>143</v>
      </c>
      <c r="D72" s="8" t="s">
        <v>267</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x14ac:dyDescent="0.25">
      <c r="B73" s="5" t="s">
        <v>144</v>
      </c>
      <c r="C73" s="8" t="s">
        <v>145</v>
      </c>
      <c r="D73" s="8" t="s">
        <v>267</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x14ac:dyDescent="0.25">
      <c r="B74" s="5" t="s">
        <v>146</v>
      </c>
      <c r="C74" s="8" t="s">
        <v>147</v>
      </c>
      <c r="D74" s="8" t="s">
        <v>264</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x14ac:dyDescent="0.25">
      <c r="B75" s="5" t="s">
        <v>148</v>
      </c>
      <c r="C75" s="8" t="s">
        <v>149</v>
      </c>
      <c r="D75" s="8" t="s">
        <v>265</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x14ac:dyDescent="0.25">
      <c r="B76" s="5" t="s">
        <v>150</v>
      </c>
      <c r="C76" s="8" t="s">
        <v>151</v>
      </c>
      <c r="D76" s="8" t="s">
        <v>266</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x14ac:dyDescent="0.25">
      <c r="B77" s="5" t="s">
        <v>152</v>
      </c>
      <c r="C77" s="8" t="s">
        <v>153</v>
      </c>
      <c r="D77" s="8" t="s">
        <v>268</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x14ac:dyDescent="0.25">
      <c r="B78" s="5" t="s">
        <v>154</v>
      </c>
      <c r="C78" s="8" t="s">
        <v>155</v>
      </c>
      <c r="D78" s="8" t="s">
        <v>265</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x14ac:dyDescent="0.25">
      <c r="B79" s="5" t="s">
        <v>156</v>
      </c>
      <c r="C79" s="8" t="s">
        <v>157</v>
      </c>
      <c r="D79" s="8" t="s">
        <v>266</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x14ac:dyDescent="0.25">
      <c r="B80" s="5" t="s">
        <v>158</v>
      </c>
      <c r="C80" s="8" t="s">
        <v>159</v>
      </c>
      <c r="D80" s="8" t="s">
        <v>264</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x14ac:dyDescent="0.25">
      <c r="B81" s="5" t="s">
        <v>160</v>
      </c>
      <c r="C81" s="8" t="s">
        <v>161</v>
      </c>
      <c r="D81" s="8" t="s">
        <v>264</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x14ac:dyDescent="0.25">
      <c r="B82" s="5" t="s">
        <v>162</v>
      </c>
      <c r="C82" s="8" t="s">
        <v>163</v>
      </c>
      <c r="D82" s="8" t="s">
        <v>264</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x14ac:dyDescent="0.25">
      <c r="B83" s="5" t="s">
        <v>164</v>
      </c>
      <c r="C83" s="8" t="s">
        <v>165</v>
      </c>
      <c r="D83" s="8" t="s">
        <v>266</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x14ac:dyDescent="0.25">
      <c r="B84" s="5" t="s">
        <v>166</v>
      </c>
      <c r="C84" s="8" t="s">
        <v>167</v>
      </c>
      <c r="D84" s="8" t="s">
        <v>268</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x14ac:dyDescent="0.25">
      <c r="B85" s="5" t="s">
        <v>168</v>
      </c>
      <c r="C85" s="8" t="s">
        <v>169</v>
      </c>
      <c r="D85" s="8" t="s">
        <v>266</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x14ac:dyDescent="0.25">
      <c r="B86" s="5" t="s">
        <v>170</v>
      </c>
      <c r="C86" s="8" t="s">
        <v>171</v>
      </c>
      <c r="D86" s="8" t="s">
        <v>267</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x14ac:dyDescent="0.25">
      <c r="B87" s="5" t="s">
        <v>172</v>
      </c>
      <c r="C87" s="8" t="s">
        <v>173</v>
      </c>
      <c r="D87" s="8" t="s">
        <v>267</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x14ac:dyDescent="0.25">
      <c r="B88" s="5" t="s">
        <v>174</v>
      </c>
      <c r="C88" s="8" t="s">
        <v>175</v>
      </c>
      <c r="D88" s="8" t="s">
        <v>268</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x14ac:dyDescent="0.25">
      <c r="B89" s="5" t="s">
        <v>176</v>
      </c>
      <c r="C89" s="8" t="s">
        <v>177</v>
      </c>
      <c r="D89" s="8" t="s">
        <v>266</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x14ac:dyDescent="0.25">
      <c r="B90" s="5" t="s">
        <v>178</v>
      </c>
      <c r="C90" s="8" t="s">
        <v>179</v>
      </c>
      <c r="D90" s="8" t="s">
        <v>265</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x14ac:dyDescent="0.25">
      <c r="B91" s="5" t="s">
        <v>180</v>
      </c>
      <c r="C91" s="8" t="s">
        <v>181</v>
      </c>
      <c r="D91" s="8" t="s">
        <v>264</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x14ac:dyDescent="0.25">
      <c r="B92" s="5" t="s">
        <v>182</v>
      </c>
      <c r="C92" s="8" t="s">
        <v>183</v>
      </c>
      <c r="D92" s="8" t="s">
        <v>266</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x14ac:dyDescent="0.25">
      <c r="B93" s="5" t="s">
        <v>184</v>
      </c>
      <c r="C93" s="8" t="s">
        <v>185</v>
      </c>
      <c r="D93" s="8" t="s">
        <v>266</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x14ac:dyDescent="0.25">
      <c r="B94" s="5" t="s">
        <v>186</v>
      </c>
      <c r="C94" s="8" t="s">
        <v>187</v>
      </c>
      <c r="D94" s="8" t="s">
        <v>264</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x14ac:dyDescent="0.25">
      <c r="B95" s="5" t="s">
        <v>188</v>
      </c>
      <c r="C95" s="8" t="s">
        <v>189</v>
      </c>
      <c r="D95" s="8" t="s">
        <v>267</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x14ac:dyDescent="0.25">
      <c r="B96" s="5" t="s">
        <v>190</v>
      </c>
      <c r="C96" s="8" t="s">
        <v>191</v>
      </c>
      <c r="D96" s="8" t="s">
        <v>268</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x14ac:dyDescent="0.25">
      <c r="B97" s="5" t="s">
        <v>192</v>
      </c>
      <c r="C97" s="8" t="s">
        <v>193</v>
      </c>
      <c r="D97" s="8" t="s">
        <v>268</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x14ac:dyDescent="0.25">
      <c r="B98" s="5" t="s">
        <v>194</v>
      </c>
      <c r="C98" s="8" t="s">
        <v>195</v>
      </c>
      <c r="D98" s="8" t="s">
        <v>267</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x14ac:dyDescent="0.25">
      <c r="B99" s="5" t="s">
        <v>196</v>
      </c>
      <c r="C99" s="8" t="s">
        <v>197</v>
      </c>
      <c r="D99" s="8" t="s">
        <v>266</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x14ac:dyDescent="0.25">
      <c r="B100" s="5" t="s">
        <v>198</v>
      </c>
      <c r="C100" s="8" t="s">
        <v>272</v>
      </c>
      <c r="D100" s="8" t="s">
        <v>266</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x14ac:dyDescent="0.25">
      <c r="B101" s="5" t="s">
        <v>200</v>
      </c>
      <c r="C101" s="8" t="s">
        <v>201</v>
      </c>
      <c r="D101" s="8" t="s">
        <v>265</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x14ac:dyDescent="0.25">
      <c r="B102" s="5" t="s">
        <v>202</v>
      </c>
      <c r="C102" s="1" t="s">
        <v>301</v>
      </c>
      <c r="D102" s="8" t="s">
        <v>265</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5" x14ac:dyDescent="0.25">
      <c r="B103" s="5" t="s">
        <v>204</v>
      </c>
      <c r="C103" s="1" t="s">
        <v>293</v>
      </c>
      <c r="D103" s="8" t="s">
        <v>265</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5" x14ac:dyDescent="0.25">
      <c r="B104" s="5" t="s">
        <v>206</v>
      </c>
      <c r="C104" s="1" t="s">
        <v>294</v>
      </c>
      <c r="D104" s="8" t="s">
        <v>267</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x14ac:dyDescent="0.25">
      <c r="B105" s="5" t="s">
        <v>208</v>
      </c>
      <c r="C105" s="8" t="s">
        <v>209</v>
      </c>
      <c r="D105" s="8" t="s">
        <v>268</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x14ac:dyDescent="0.25">
      <c r="B106" s="5" t="s">
        <v>210</v>
      </c>
      <c r="C106" s="8" t="s">
        <v>211</v>
      </c>
      <c r="D106" s="8" t="s">
        <v>268</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x14ac:dyDescent="0.25">
      <c r="B107" s="5" t="s">
        <v>212</v>
      </c>
      <c r="C107" s="8" t="s">
        <v>213</v>
      </c>
      <c r="D107" s="8" t="s">
        <v>267</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x14ac:dyDescent="0.25">
      <c r="B108" s="5" t="s">
        <v>214</v>
      </c>
      <c r="C108" s="8" t="s">
        <v>215</v>
      </c>
      <c r="D108" s="8" t="s">
        <v>268</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x14ac:dyDescent="0.25">
      <c r="B109" s="5" t="s">
        <v>216</v>
      </c>
      <c r="C109" s="8" t="s">
        <v>217</v>
      </c>
      <c r="D109" s="8" t="s">
        <v>264</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x14ac:dyDescent="0.25">
      <c r="B110" s="5" t="s">
        <v>218</v>
      </c>
      <c r="C110" s="8" t="s">
        <v>219</v>
      </c>
      <c r="D110" s="8" t="s">
        <v>267</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x14ac:dyDescent="0.25">
      <c r="B111" s="5" t="s">
        <v>220</v>
      </c>
      <c r="C111" s="8" t="s">
        <v>221</v>
      </c>
      <c r="D111" s="8" t="s">
        <v>267</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x14ac:dyDescent="0.25">
      <c r="B112" s="5" t="s">
        <v>222</v>
      </c>
      <c r="C112" s="8" t="s">
        <v>223</v>
      </c>
      <c r="D112" s="8" t="s">
        <v>264</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x14ac:dyDescent="0.25">
      <c r="B113" s="5" t="s">
        <v>224</v>
      </c>
      <c r="C113" s="8" t="s">
        <v>225</v>
      </c>
      <c r="D113" s="8" t="s">
        <v>264</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x14ac:dyDescent="0.25">
      <c r="B114" s="5" t="s">
        <v>226</v>
      </c>
      <c r="C114" s="8" t="s">
        <v>227</v>
      </c>
      <c r="D114" s="8" t="s">
        <v>264</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x14ac:dyDescent="0.25">
      <c r="B115" s="5" t="s">
        <v>228</v>
      </c>
      <c r="C115" s="8" t="s">
        <v>229</v>
      </c>
      <c r="D115" s="8" t="s">
        <v>268</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x14ac:dyDescent="0.25">
      <c r="B116" s="5" t="s">
        <v>230</v>
      </c>
      <c r="C116" s="8" t="s">
        <v>231</v>
      </c>
      <c r="D116" s="8" t="s">
        <v>264</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x14ac:dyDescent="0.25">
      <c r="B117" s="5" t="s">
        <v>232</v>
      </c>
      <c r="C117" s="8" t="s">
        <v>233</v>
      </c>
      <c r="D117" s="8" t="s">
        <v>267</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x14ac:dyDescent="0.25">
      <c r="B118" s="5" t="s">
        <v>234</v>
      </c>
      <c r="C118" s="8" t="s">
        <v>235</v>
      </c>
      <c r="D118" s="8" t="s">
        <v>268</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x14ac:dyDescent="0.25">
      <c r="B119" s="5" t="s">
        <v>236</v>
      </c>
      <c r="C119" s="8" t="s">
        <v>237</v>
      </c>
      <c r="D119" s="8" t="s">
        <v>266</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x14ac:dyDescent="0.25">
      <c r="B120" s="5" t="s">
        <v>238</v>
      </c>
      <c r="C120" s="8" t="s">
        <v>239</v>
      </c>
      <c r="D120" s="8" t="s">
        <v>264</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x14ac:dyDescent="0.25">
      <c r="B121" s="5" t="s">
        <v>240</v>
      </c>
      <c r="C121" s="8" t="s">
        <v>241</v>
      </c>
      <c r="D121" s="8" t="s">
        <v>267</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x14ac:dyDescent="0.25">
      <c r="B122" s="5" t="s">
        <v>242</v>
      </c>
      <c r="C122" s="8" t="s">
        <v>243</v>
      </c>
      <c r="D122" s="8" t="s">
        <v>268</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x14ac:dyDescent="0.25">
      <c r="B123" s="5" t="s">
        <v>244</v>
      </c>
      <c r="C123" s="8" t="s">
        <v>245</v>
      </c>
      <c r="D123" s="8" t="s">
        <v>268</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x14ac:dyDescent="0.25">
      <c r="B124" s="5" t="s">
        <v>246</v>
      </c>
      <c r="C124" s="1" t="s">
        <v>247</v>
      </c>
      <c r="D124" s="8" t="s">
        <v>264</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x14ac:dyDescent="0.25">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E136"/>
  <sheetViews>
    <sheetView workbookViewId="0">
      <pane xSplit="3" ySplit="4" topLeftCell="AE112" activePane="bottomRight" state="frozen"/>
      <selection pane="topRight" activeCell="D1" sqref="D1"/>
      <selection pane="bottomLeft" activeCell="A5" sqref="A5"/>
      <selection pane="bottomRight" activeCell="AJ126" sqref="AJ126:AN130"/>
    </sheetView>
  </sheetViews>
  <sheetFormatPr defaultRowHeight="15.75" x14ac:dyDescent="0.25"/>
  <cols>
    <col min="1" max="1" width="9.75" style="270" customWidth="1"/>
    <col min="2" max="2" width="28.875" style="270" customWidth="1"/>
    <col min="3" max="3" width="14.875" style="270" customWidth="1"/>
    <col min="4" max="17" width="16.25" style="703" customWidth="1"/>
    <col min="18" max="24" width="16.25" style="998" customWidth="1"/>
    <col min="25" max="28" width="13.875" style="270" customWidth="1"/>
    <col min="29" max="29" width="12.875" style="270" customWidth="1"/>
    <col min="30" max="30" width="16.25" style="998" customWidth="1"/>
    <col min="31" max="34" width="13.875" style="270" customWidth="1"/>
    <col min="35" max="35" width="12.875" style="270" customWidth="1"/>
    <col min="36" max="36" width="16.25" style="998" customWidth="1"/>
    <col min="37" max="40" width="13.875" style="270" customWidth="1"/>
    <col min="41" max="41" width="12.875" style="270" customWidth="1"/>
    <col min="42" max="16384" width="9" style="270"/>
  </cols>
  <sheetData>
    <row r="1" spans="1:83" x14ac:dyDescent="0.25">
      <c r="A1" s="64" t="s">
        <v>1245</v>
      </c>
    </row>
    <row r="3" spans="1:83" ht="47.25" x14ac:dyDescent="0.25">
      <c r="A3" s="713" t="s">
        <v>4</v>
      </c>
      <c r="B3" s="714" t="s">
        <v>5</v>
      </c>
      <c r="C3" s="912" t="s">
        <v>251</v>
      </c>
      <c r="D3" s="999" t="s">
        <v>314</v>
      </c>
      <c r="E3" s="999" t="s">
        <v>315</v>
      </c>
      <c r="F3" s="999" t="s">
        <v>316</v>
      </c>
      <c r="G3" s="1363" t="s">
        <v>951</v>
      </c>
      <c r="H3" s="999" t="s">
        <v>952</v>
      </c>
      <c r="I3" s="999" t="s">
        <v>281</v>
      </c>
      <c r="J3" s="1000" t="s">
        <v>953</v>
      </c>
      <c r="K3" s="1000" t="s">
        <v>954</v>
      </c>
      <c r="L3" s="1001" t="s">
        <v>927</v>
      </c>
      <c r="M3" s="1001" t="s">
        <v>928</v>
      </c>
      <c r="N3" s="1001" t="s">
        <v>929</v>
      </c>
      <c r="O3" s="1001" t="s">
        <v>930</v>
      </c>
      <c r="P3" s="1001" t="s">
        <v>931</v>
      </c>
      <c r="Q3" s="1001" t="s">
        <v>932</v>
      </c>
      <c r="R3" s="1002" t="s">
        <v>933</v>
      </c>
      <c r="S3" s="1002" t="s">
        <v>934</v>
      </c>
      <c r="T3" s="1002" t="s">
        <v>935</v>
      </c>
      <c r="U3" s="1002" t="s">
        <v>936</v>
      </c>
      <c r="V3" s="1002" t="s">
        <v>937</v>
      </c>
      <c r="W3" s="1002" t="s">
        <v>938</v>
      </c>
      <c r="X3" s="1002" t="s">
        <v>939</v>
      </c>
      <c r="Y3" s="1002" t="s">
        <v>940</v>
      </c>
      <c r="Z3" s="1002" t="s">
        <v>941</v>
      </c>
      <c r="AA3" s="1002" t="s">
        <v>942</v>
      </c>
      <c r="AB3" s="1002" t="s">
        <v>943</v>
      </c>
      <c r="AC3" s="1002" t="s">
        <v>944</v>
      </c>
      <c r="AD3" s="1002" t="s">
        <v>945</v>
      </c>
      <c r="AE3" s="1002" t="s">
        <v>946</v>
      </c>
      <c r="AF3" s="1002" t="s">
        <v>947</v>
      </c>
      <c r="AG3" s="1002" t="s">
        <v>948</v>
      </c>
      <c r="AH3" s="1002" t="s">
        <v>949</v>
      </c>
      <c r="AI3" s="1002" t="s">
        <v>950</v>
      </c>
      <c r="AJ3" s="1002" t="s">
        <v>1251</v>
      </c>
      <c r="AK3" s="1002" t="s">
        <v>1252</v>
      </c>
      <c r="AL3" s="1002" t="s">
        <v>1253</v>
      </c>
      <c r="AM3" s="1002" t="s">
        <v>1254</v>
      </c>
      <c r="AN3" s="1002" t="s">
        <v>1255</v>
      </c>
      <c r="AO3" s="1002" t="s">
        <v>1256</v>
      </c>
    </row>
    <row r="4" spans="1:83" x14ac:dyDescent="0.25">
      <c r="A4" s="704">
        <v>999</v>
      </c>
      <c r="B4" s="705" t="s">
        <v>9</v>
      </c>
      <c r="C4" s="913"/>
      <c r="D4" s="1024">
        <f t="shared" ref="D4:W4" si="0">SUM(D5:D124)</f>
        <v>282409466.73999989</v>
      </c>
      <c r="E4" s="1025">
        <f t="shared" si="0"/>
        <v>115711134.30000003</v>
      </c>
      <c r="F4" s="1026">
        <f t="shared" si="0"/>
        <v>186373868.73999998</v>
      </c>
      <c r="G4" s="1366">
        <f t="shared" si="0"/>
        <v>11800778.169999998</v>
      </c>
      <c r="H4" s="1027">
        <f t="shared" si="0"/>
        <v>3031.3599999999997</v>
      </c>
      <c r="I4" s="1027">
        <f t="shared" si="0"/>
        <v>596298279.30999994</v>
      </c>
      <c r="J4" s="1368">
        <f t="shared" ref="J4:J35" si="1">G4+H4</f>
        <v>11803809.529999997</v>
      </c>
      <c r="K4" s="1364">
        <f t="shared" ref="K4:K35" si="2">F4+J4</f>
        <v>198177678.26999998</v>
      </c>
      <c r="L4" s="1027">
        <f t="shared" si="0"/>
        <v>1484735.0399999998</v>
      </c>
      <c r="M4" s="1027">
        <f t="shared" si="0"/>
        <v>0</v>
      </c>
      <c r="N4" s="1027">
        <f t="shared" si="0"/>
        <v>485428.14</v>
      </c>
      <c r="O4" s="1027">
        <f t="shared" si="0"/>
        <v>-2.21</v>
      </c>
      <c r="P4" s="1027">
        <f t="shared" si="0"/>
        <v>0</v>
      </c>
      <c r="Q4" s="1027">
        <f t="shared" si="0"/>
        <v>1970160.9700000004</v>
      </c>
      <c r="R4" s="1028">
        <f t="shared" si="0"/>
        <v>1362716.9500000002</v>
      </c>
      <c r="S4" s="1028">
        <f t="shared" si="0"/>
        <v>445379.09</v>
      </c>
      <c r="T4" s="1028">
        <f t="shared" si="0"/>
        <v>0</v>
      </c>
      <c r="U4" s="1028">
        <f t="shared" si="0"/>
        <v>-6386.94</v>
      </c>
      <c r="V4" s="1028">
        <f t="shared" si="0"/>
        <v>6714.53</v>
      </c>
      <c r="W4" s="1028">
        <f t="shared" si="0"/>
        <v>1808423.6300000004</v>
      </c>
      <c r="X4" s="1028">
        <f t="shared" ref="X4:AB4" si="3">SUM(X5:X124)</f>
        <v>214135296.77000001</v>
      </c>
      <c r="Y4" s="1028">
        <f t="shared" si="3"/>
        <v>115265755.21000005</v>
      </c>
      <c r="Z4" s="1028">
        <f t="shared" si="3"/>
        <v>60422384.080000013</v>
      </c>
      <c r="AA4" s="1028">
        <f t="shared" si="3"/>
        <v>5849498.5800000001</v>
      </c>
      <c r="AB4" s="1028">
        <f t="shared" si="3"/>
        <v>0</v>
      </c>
      <c r="AC4" s="1028">
        <f t="shared" ref="AC4:AH4" si="4">SUM(AC5:AC124)</f>
        <v>395672934.64000005</v>
      </c>
      <c r="AD4" s="1028">
        <f t="shared" si="4"/>
        <v>65330179.729999959</v>
      </c>
      <c r="AE4" s="1028">
        <f t="shared" si="4"/>
        <v>0</v>
      </c>
      <c r="AF4" s="1028">
        <f t="shared" si="4"/>
        <v>125466056.52000001</v>
      </c>
      <c r="AG4" s="1028">
        <f t="shared" si="4"/>
        <v>5957624.4500000011</v>
      </c>
      <c r="AH4" s="1028">
        <f t="shared" si="4"/>
        <v>-3683.17</v>
      </c>
      <c r="AI4" s="1028">
        <f t="shared" ref="AI4:AN4" si="5">SUM(AI5:AI124)</f>
        <v>196750177.52999991</v>
      </c>
      <c r="AJ4" s="1028">
        <f t="shared" si="5"/>
        <v>96538.250000000029</v>
      </c>
      <c r="AK4" s="1028">
        <f t="shared" si="5"/>
        <v>0</v>
      </c>
      <c r="AL4" s="1028">
        <f t="shared" si="5"/>
        <v>0</v>
      </c>
      <c r="AM4" s="1028">
        <f t="shared" si="5"/>
        <v>44.29</v>
      </c>
      <c r="AN4" s="1028">
        <f t="shared" si="5"/>
        <v>0</v>
      </c>
      <c r="AO4" s="1028">
        <f t="shared" ref="AO4" si="6">SUM(AO5:AO124)</f>
        <v>96582.540000000023</v>
      </c>
      <c r="AP4" s="708"/>
      <c r="AQ4" s="708"/>
      <c r="AR4" s="708"/>
      <c r="AS4" s="708"/>
      <c r="AT4" s="706"/>
      <c r="AU4" s="706"/>
      <c r="AV4" s="706"/>
      <c r="AW4" s="706"/>
      <c r="AX4" s="706"/>
      <c r="AY4" s="706"/>
      <c r="AZ4" s="707"/>
      <c r="BA4" s="707"/>
      <c r="BB4" s="708"/>
      <c r="BC4" s="708"/>
      <c r="BD4" s="708"/>
      <c r="BE4" s="708"/>
      <c r="BF4" s="708"/>
      <c r="BG4" s="708"/>
      <c r="BH4" s="706"/>
      <c r="BI4" s="706"/>
      <c r="BJ4" s="706"/>
      <c r="BK4" s="706"/>
      <c r="BL4" s="706"/>
      <c r="BM4" s="706"/>
      <c r="BN4" s="707"/>
      <c r="BO4" s="707"/>
      <c r="BP4" s="708"/>
      <c r="BQ4" s="708"/>
      <c r="BR4" s="708"/>
      <c r="BS4" s="708"/>
      <c r="BT4" s="708"/>
      <c r="BU4" s="708"/>
      <c r="BV4" s="706"/>
      <c r="BW4" s="706"/>
      <c r="BX4" s="706"/>
      <c r="BY4" s="706"/>
      <c r="BZ4" s="706"/>
      <c r="CA4" s="706"/>
      <c r="CB4" s="707"/>
      <c r="CC4" s="707"/>
      <c r="CD4" s="708"/>
      <c r="CE4" s="708"/>
    </row>
    <row r="5" spans="1:83" ht="15" customHeight="1" x14ac:dyDescent="0.25">
      <c r="A5" s="709" t="s">
        <v>10</v>
      </c>
      <c r="B5" s="710" t="s">
        <v>11</v>
      </c>
      <c r="C5" s="914" t="s">
        <v>264</v>
      </c>
      <c r="D5" s="1029">
        <f t="shared" ref="D5:D36" si="7">L5+R5+X5+AD5+AJ5</f>
        <v>1789405.8023633333</v>
      </c>
      <c r="E5" s="1030">
        <f t="shared" ref="E5:E36" si="8">M5+S5+Y5+AE5+AK5</f>
        <v>949891.17763666669</v>
      </c>
      <c r="F5" s="1031">
        <f t="shared" ref="F5:F36" si="9">N5+T5+Z5+AF5+AL5</f>
        <v>495884.13</v>
      </c>
      <c r="G5" s="1367">
        <f t="shared" ref="G5:G36" si="10">O5+U5+AA5+AG5+AM5</f>
        <v>110274.46</v>
      </c>
      <c r="H5" s="1369">
        <f t="shared" ref="H5:H36" si="11">P5+V5+AB5+AH5+AN5</f>
        <v>0</v>
      </c>
      <c r="I5" s="1369">
        <f t="shared" ref="I5:I36" si="12">Q5+W5+AC5+AI5+AO5</f>
        <v>3345455.57</v>
      </c>
      <c r="J5" s="1370">
        <f t="shared" si="1"/>
        <v>110274.46</v>
      </c>
      <c r="K5" s="1365">
        <f t="shared" si="2"/>
        <v>606158.59</v>
      </c>
      <c r="L5" s="1032"/>
      <c r="M5" s="1032"/>
      <c r="N5" s="1032"/>
      <c r="O5" s="1032"/>
      <c r="P5" s="1032"/>
      <c r="Q5" s="1032">
        <f t="shared" ref="Q5:Q36" si="13">SUM(L5:P5)</f>
        <v>0</v>
      </c>
      <c r="R5" s="1034">
        <v>26934.400000000001</v>
      </c>
      <c r="S5" s="1034">
        <v>8974.4500000000007</v>
      </c>
      <c r="T5" s="1034">
        <v>0</v>
      </c>
      <c r="U5" s="1034">
        <v>-0.14000000000000001</v>
      </c>
      <c r="V5" s="1034">
        <v>0</v>
      </c>
      <c r="W5" s="1034">
        <f t="shared" ref="W5:W36" si="14">SUM(R5:V5)</f>
        <v>35908.710000000006</v>
      </c>
      <c r="X5" s="1034">
        <v>1762471.4023633334</v>
      </c>
      <c r="Y5" s="1034">
        <v>940916.72763666674</v>
      </c>
      <c r="Z5" s="1034">
        <v>495884.13</v>
      </c>
      <c r="AA5" s="1034">
        <v>110274.6</v>
      </c>
      <c r="AB5" s="1034">
        <v>0</v>
      </c>
      <c r="AC5" s="1034">
        <f t="shared" ref="AC5:AC36" si="15">SUM(X5:AB5)</f>
        <v>3309546.86</v>
      </c>
      <c r="AD5" s="1034"/>
      <c r="AE5" s="1034"/>
      <c r="AF5" s="1034"/>
      <c r="AG5" s="1034"/>
      <c r="AH5" s="1034"/>
      <c r="AI5" s="1034">
        <f t="shared" ref="AI5:AI36" si="16">SUM(AD5:AH5)</f>
        <v>0</v>
      </c>
      <c r="AJ5" s="1034"/>
      <c r="AK5" s="1034"/>
      <c r="AL5" s="1034"/>
      <c r="AM5" s="1034"/>
      <c r="AN5" s="1034"/>
      <c r="AO5" s="1034">
        <f t="shared" ref="AO5:AO36" si="17">SUM(AJ5:AN5)</f>
        <v>0</v>
      </c>
    </row>
    <row r="6" spans="1:83" ht="15" customHeight="1" x14ac:dyDescent="0.25">
      <c r="A6" s="711" t="s">
        <v>12</v>
      </c>
      <c r="B6" s="710" t="s">
        <v>13</v>
      </c>
      <c r="C6" s="914" t="s">
        <v>265</v>
      </c>
      <c r="D6" s="1029">
        <f t="shared" si="7"/>
        <v>3900753.4756519403</v>
      </c>
      <c r="E6" s="1030">
        <f t="shared" si="8"/>
        <v>853223.57434805925</v>
      </c>
      <c r="F6" s="1031">
        <f t="shared" si="9"/>
        <v>4336646.18</v>
      </c>
      <c r="G6" s="1367">
        <f t="shared" si="10"/>
        <v>933165.14</v>
      </c>
      <c r="H6" s="1369">
        <f t="shared" si="11"/>
        <v>0</v>
      </c>
      <c r="I6" s="1369">
        <f t="shared" si="12"/>
        <v>10023788.369999999</v>
      </c>
      <c r="J6" s="1370">
        <f t="shared" si="1"/>
        <v>933165.14</v>
      </c>
      <c r="K6" s="1365">
        <f t="shared" si="2"/>
        <v>5269811.3199999994</v>
      </c>
      <c r="L6" s="1032">
        <v>403754.72</v>
      </c>
      <c r="M6" s="1032">
        <v>0</v>
      </c>
      <c r="N6" s="1032">
        <v>132604.54</v>
      </c>
      <c r="O6" s="1032">
        <v>-0.13</v>
      </c>
      <c r="P6" s="1032">
        <v>0</v>
      </c>
      <c r="Q6" s="1032">
        <f t="shared" si="13"/>
        <v>536359.13</v>
      </c>
      <c r="R6" s="1033">
        <v>13869.46</v>
      </c>
      <c r="S6" s="1033">
        <v>4590.71</v>
      </c>
      <c r="T6" s="1033">
        <v>0</v>
      </c>
      <c r="U6" s="1033">
        <v>-0.01</v>
      </c>
      <c r="V6" s="1360">
        <v>0</v>
      </c>
      <c r="W6" s="1034">
        <f t="shared" si="14"/>
        <v>18460.16</v>
      </c>
      <c r="X6" s="1034">
        <v>1546441.9556519405</v>
      </c>
      <c r="Y6" s="1033">
        <v>848632.86434805929</v>
      </c>
      <c r="Z6" s="1033">
        <v>439331.69</v>
      </c>
      <c r="AA6" s="1033">
        <v>40933.57</v>
      </c>
      <c r="AB6" s="1360">
        <v>0</v>
      </c>
      <c r="AC6" s="1034">
        <f t="shared" si="15"/>
        <v>2875340.0799999996</v>
      </c>
      <c r="AD6" s="1034">
        <v>1936687.34</v>
      </c>
      <c r="AE6" s="1033">
        <v>0</v>
      </c>
      <c r="AF6" s="1033">
        <v>3764709.95</v>
      </c>
      <c r="AG6" s="1033">
        <v>892231.71</v>
      </c>
      <c r="AH6" s="1360">
        <v>0</v>
      </c>
      <c r="AI6" s="1034">
        <f t="shared" si="16"/>
        <v>6593629</v>
      </c>
      <c r="AJ6" s="1034"/>
      <c r="AK6" s="1033"/>
      <c r="AL6" s="1033"/>
      <c r="AM6" s="1033"/>
      <c r="AN6" s="1360"/>
      <c r="AO6" s="1034">
        <f t="shared" si="17"/>
        <v>0</v>
      </c>
    </row>
    <row r="7" spans="1:83" ht="15" customHeight="1" x14ac:dyDescent="0.25">
      <c r="A7" s="711" t="s">
        <v>16</v>
      </c>
      <c r="B7" s="710" t="s">
        <v>297</v>
      </c>
      <c r="C7" s="914" t="s">
        <v>265</v>
      </c>
      <c r="D7" s="1029">
        <f t="shared" si="7"/>
        <v>969602.19560618466</v>
      </c>
      <c r="E7" s="1030">
        <f t="shared" si="8"/>
        <v>495853.20439381531</v>
      </c>
      <c r="F7" s="1031">
        <f t="shared" si="9"/>
        <v>341803.07</v>
      </c>
      <c r="G7" s="1367">
        <f t="shared" si="10"/>
        <v>831.74</v>
      </c>
      <c r="H7" s="1369">
        <f t="shared" si="11"/>
        <v>0</v>
      </c>
      <c r="I7" s="1369">
        <f t="shared" si="12"/>
        <v>1808090.21</v>
      </c>
      <c r="J7" s="1370">
        <f t="shared" si="1"/>
        <v>831.74</v>
      </c>
      <c r="K7" s="1365">
        <f t="shared" si="2"/>
        <v>342634.81</v>
      </c>
      <c r="L7" s="1032"/>
      <c r="M7" s="1032"/>
      <c r="N7" s="1032"/>
      <c r="O7" s="1032"/>
      <c r="P7" s="1032"/>
      <c r="Q7" s="1032">
        <f t="shared" si="13"/>
        <v>0</v>
      </c>
      <c r="R7" s="1033">
        <v>1465.65</v>
      </c>
      <c r="S7" s="1033">
        <v>470.56</v>
      </c>
      <c r="T7" s="1033">
        <v>0</v>
      </c>
      <c r="U7" s="1033">
        <v>-0.01</v>
      </c>
      <c r="V7" s="1360">
        <v>0</v>
      </c>
      <c r="W7" s="1034">
        <f t="shared" si="14"/>
        <v>1936.2</v>
      </c>
      <c r="X7" s="1034">
        <v>926430.74560618459</v>
      </c>
      <c r="Y7" s="1033">
        <v>495382.64439381531</v>
      </c>
      <c r="Z7" s="1033">
        <v>260804.24</v>
      </c>
      <c r="AA7" s="1033">
        <v>808.78</v>
      </c>
      <c r="AB7" s="1360">
        <v>0</v>
      </c>
      <c r="AC7" s="1034">
        <f t="shared" si="15"/>
        <v>1683426.41</v>
      </c>
      <c r="AD7" s="1034">
        <v>41705.800000000003</v>
      </c>
      <c r="AE7" s="1033">
        <v>0</v>
      </c>
      <c r="AF7" s="1033">
        <v>80998.83</v>
      </c>
      <c r="AG7" s="1033">
        <v>22.97</v>
      </c>
      <c r="AH7" s="1360">
        <v>0</v>
      </c>
      <c r="AI7" s="1034">
        <f t="shared" si="16"/>
        <v>122727.6</v>
      </c>
      <c r="AJ7" s="1034"/>
      <c r="AK7" s="1033"/>
      <c r="AL7" s="1033"/>
      <c r="AM7" s="1033"/>
      <c r="AN7" s="1360"/>
      <c r="AO7" s="1034">
        <f t="shared" si="17"/>
        <v>0</v>
      </c>
    </row>
    <row r="8" spans="1:83" ht="15" customHeight="1" x14ac:dyDescent="0.25">
      <c r="A8" s="711" t="s">
        <v>18</v>
      </c>
      <c r="B8" s="710" t="s">
        <v>19</v>
      </c>
      <c r="C8" s="914" t="s">
        <v>266</v>
      </c>
      <c r="D8" s="1029">
        <f t="shared" si="7"/>
        <v>528445.27564100898</v>
      </c>
      <c r="E8" s="1030">
        <f t="shared" si="8"/>
        <v>237752.634358991</v>
      </c>
      <c r="F8" s="1031">
        <f t="shared" si="9"/>
        <v>289154.39999999997</v>
      </c>
      <c r="G8" s="1367">
        <f t="shared" si="10"/>
        <v>145.44</v>
      </c>
      <c r="H8" s="1369">
        <f t="shared" si="11"/>
        <v>0</v>
      </c>
      <c r="I8" s="1369">
        <f t="shared" si="12"/>
        <v>1055497.75</v>
      </c>
      <c r="J8" s="1370">
        <f t="shared" si="1"/>
        <v>145.44</v>
      </c>
      <c r="K8" s="1365">
        <f t="shared" si="2"/>
        <v>289299.83999999997</v>
      </c>
      <c r="L8" s="1032"/>
      <c r="M8" s="1032"/>
      <c r="N8" s="1032"/>
      <c r="O8" s="1032"/>
      <c r="P8" s="1032"/>
      <c r="Q8" s="1032">
        <f t="shared" si="13"/>
        <v>0</v>
      </c>
      <c r="R8" s="1033">
        <v>1078.69</v>
      </c>
      <c r="S8" s="1033">
        <v>346.47</v>
      </c>
      <c r="T8" s="1033">
        <v>0</v>
      </c>
      <c r="U8" s="1033">
        <v>-0.01</v>
      </c>
      <c r="V8" s="1360">
        <v>0</v>
      </c>
      <c r="W8" s="1034">
        <f t="shared" si="14"/>
        <v>1425.15</v>
      </c>
      <c r="X8" s="1034">
        <v>442394.07564100903</v>
      </c>
      <c r="Y8" s="1033">
        <v>237406.16435899099</v>
      </c>
      <c r="Z8" s="1033">
        <v>124694.79</v>
      </c>
      <c r="AA8" s="1033">
        <v>147.82</v>
      </c>
      <c r="AB8" s="1360">
        <v>0</v>
      </c>
      <c r="AC8" s="1034">
        <f t="shared" si="15"/>
        <v>804642.85</v>
      </c>
      <c r="AD8" s="1034">
        <v>84972.51</v>
      </c>
      <c r="AE8" s="1033">
        <v>0</v>
      </c>
      <c r="AF8" s="1033">
        <v>164459.60999999999</v>
      </c>
      <c r="AG8" s="1033">
        <v>-2.37</v>
      </c>
      <c r="AH8" s="1360">
        <v>0</v>
      </c>
      <c r="AI8" s="1034">
        <f t="shared" si="16"/>
        <v>249429.75</v>
      </c>
      <c r="AJ8" s="1034"/>
      <c r="AK8" s="1033"/>
      <c r="AL8" s="1033"/>
      <c r="AM8" s="1033"/>
      <c r="AN8" s="1360"/>
      <c r="AO8" s="1034">
        <f t="shared" si="17"/>
        <v>0</v>
      </c>
    </row>
    <row r="9" spans="1:83" ht="15" customHeight="1" x14ac:dyDescent="0.25">
      <c r="A9" s="711" t="s">
        <v>20</v>
      </c>
      <c r="B9" s="710" t="s">
        <v>21</v>
      </c>
      <c r="C9" s="914" t="s">
        <v>265</v>
      </c>
      <c r="D9" s="1029">
        <f t="shared" si="7"/>
        <v>920461.14433801547</v>
      </c>
      <c r="E9" s="1030">
        <f t="shared" si="8"/>
        <v>445572.25566198456</v>
      </c>
      <c r="F9" s="1031">
        <f t="shared" si="9"/>
        <v>405028.5</v>
      </c>
      <c r="G9" s="1367">
        <f t="shared" si="10"/>
        <v>55803.3</v>
      </c>
      <c r="H9" s="1369">
        <f t="shared" si="11"/>
        <v>0</v>
      </c>
      <c r="I9" s="1369">
        <f t="shared" si="12"/>
        <v>1826865.2000000002</v>
      </c>
      <c r="J9" s="1370">
        <f t="shared" si="1"/>
        <v>55803.3</v>
      </c>
      <c r="K9" s="1365">
        <f t="shared" si="2"/>
        <v>460831.8</v>
      </c>
      <c r="L9" s="1032"/>
      <c r="M9" s="1032"/>
      <c r="N9" s="1032"/>
      <c r="O9" s="1032"/>
      <c r="P9" s="1032"/>
      <c r="Q9" s="1032">
        <f t="shared" si="13"/>
        <v>0</v>
      </c>
      <c r="R9" s="1033"/>
      <c r="S9" s="1033"/>
      <c r="T9" s="1033"/>
      <c r="U9" s="1033"/>
      <c r="V9" s="1360"/>
      <c r="W9" s="1034">
        <f t="shared" si="14"/>
        <v>0</v>
      </c>
      <c r="X9" s="1034">
        <v>832286.23433801543</v>
      </c>
      <c r="Y9" s="1033">
        <v>445572.25566198456</v>
      </c>
      <c r="Z9" s="1033">
        <v>234396.29</v>
      </c>
      <c r="AA9" s="1033">
        <v>55804.82</v>
      </c>
      <c r="AB9" s="1360">
        <v>0</v>
      </c>
      <c r="AC9" s="1034">
        <f t="shared" si="15"/>
        <v>1568059.6</v>
      </c>
      <c r="AD9" s="1034">
        <v>88174.91</v>
      </c>
      <c r="AE9" s="1033">
        <v>0</v>
      </c>
      <c r="AF9" s="1033">
        <v>170632.21</v>
      </c>
      <c r="AG9" s="1033">
        <v>-1.52</v>
      </c>
      <c r="AH9" s="1360">
        <v>0</v>
      </c>
      <c r="AI9" s="1034">
        <f t="shared" si="16"/>
        <v>258805.6</v>
      </c>
      <c r="AJ9" s="1034"/>
      <c r="AK9" s="1033"/>
      <c r="AL9" s="1033"/>
      <c r="AM9" s="1033"/>
      <c r="AN9" s="1360"/>
      <c r="AO9" s="1034">
        <f t="shared" si="17"/>
        <v>0</v>
      </c>
    </row>
    <row r="10" spans="1:83" ht="15" customHeight="1" x14ac:dyDescent="0.25">
      <c r="A10" s="711" t="s">
        <v>22</v>
      </c>
      <c r="B10" s="710" t="s">
        <v>23</v>
      </c>
      <c r="C10" s="914" t="s">
        <v>265</v>
      </c>
      <c r="D10" s="1029">
        <f t="shared" si="7"/>
        <v>597776.04013466754</v>
      </c>
      <c r="E10" s="1030">
        <f t="shared" si="8"/>
        <v>305902.03986533248</v>
      </c>
      <c r="F10" s="1031">
        <f t="shared" si="9"/>
        <v>211526.45</v>
      </c>
      <c r="G10" s="1367">
        <f t="shared" si="10"/>
        <v>9829.15</v>
      </c>
      <c r="H10" s="1369">
        <f t="shared" si="11"/>
        <v>0</v>
      </c>
      <c r="I10" s="1369">
        <f t="shared" si="12"/>
        <v>1125033.68</v>
      </c>
      <c r="J10" s="1370">
        <f t="shared" si="1"/>
        <v>9829.15</v>
      </c>
      <c r="K10" s="1365">
        <f t="shared" si="2"/>
        <v>221355.6</v>
      </c>
      <c r="L10" s="1032"/>
      <c r="M10" s="1032"/>
      <c r="N10" s="1032"/>
      <c r="O10" s="1032"/>
      <c r="P10" s="1032"/>
      <c r="Q10" s="1032">
        <f t="shared" si="13"/>
        <v>0</v>
      </c>
      <c r="R10" s="1033"/>
      <c r="S10" s="1033"/>
      <c r="T10" s="1033"/>
      <c r="U10" s="1033"/>
      <c r="V10" s="1360"/>
      <c r="W10" s="1034">
        <f t="shared" si="14"/>
        <v>0</v>
      </c>
      <c r="X10" s="1034">
        <v>571654.41013466753</v>
      </c>
      <c r="Y10" s="1033">
        <v>305902.03986533248</v>
      </c>
      <c r="Z10" s="1033">
        <v>160969.17000000001</v>
      </c>
      <c r="AA10" s="1033">
        <v>9829.2199999999993</v>
      </c>
      <c r="AB10" s="1360">
        <v>0</v>
      </c>
      <c r="AC10" s="1034">
        <f t="shared" si="15"/>
        <v>1048354.84</v>
      </c>
      <c r="AD10" s="1034">
        <v>26121.63</v>
      </c>
      <c r="AE10" s="1033">
        <v>0</v>
      </c>
      <c r="AF10" s="1033">
        <v>50557.279999999999</v>
      </c>
      <c r="AG10" s="1033">
        <v>-7.0000000000000007E-2</v>
      </c>
      <c r="AH10" s="1360">
        <v>0</v>
      </c>
      <c r="AI10" s="1034">
        <f t="shared" si="16"/>
        <v>76678.84</v>
      </c>
      <c r="AJ10" s="1034"/>
      <c r="AK10" s="1033"/>
      <c r="AL10" s="1033"/>
      <c r="AM10" s="1033"/>
      <c r="AN10" s="1360"/>
      <c r="AO10" s="1034">
        <f t="shared" si="17"/>
        <v>0</v>
      </c>
    </row>
    <row r="11" spans="1:83" ht="15" customHeight="1" x14ac:dyDescent="0.25">
      <c r="A11" s="711" t="s">
        <v>24</v>
      </c>
      <c r="B11" s="710" t="s">
        <v>25</v>
      </c>
      <c r="C11" s="914" t="s">
        <v>267</v>
      </c>
      <c r="D11" s="1029">
        <f t="shared" si="7"/>
        <v>7176530.8463233216</v>
      </c>
      <c r="E11" s="1030">
        <f t="shared" si="8"/>
        <v>2325034.6536766794</v>
      </c>
      <c r="F11" s="1031">
        <f t="shared" si="9"/>
        <v>6701070.4300000006</v>
      </c>
      <c r="G11" s="1367">
        <f t="shared" si="10"/>
        <v>-17.27</v>
      </c>
      <c r="H11" s="1369">
        <f t="shared" si="11"/>
        <v>0</v>
      </c>
      <c r="I11" s="1369">
        <f t="shared" si="12"/>
        <v>16202618.66</v>
      </c>
      <c r="J11" s="1370">
        <f t="shared" si="1"/>
        <v>-17.27</v>
      </c>
      <c r="K11" s="1365">
        <f t="shared" si="2"/>
        <v>6701053.1600000011</v>
      </c>
      <c r="L11" s="1032">
        <v>98689.63</v>
      </c>
      <c r="M11" s="1032">
        <v>0</v>
      </c>
      <c r="N11" s="1032">
        <v>32708.720000000001</v>
      </c>
      <c r="O11" s="1032">
        <v>-0.12</v>
      </c>
      <c r="P11" s="1032">
        <v>0</v>
      </c>
      <c r="Q11" s="1032">
        <f t="shared" si="13"/>
        <v>131398.23000000001</v>
      </c>
      <c r="R11" s="1033">
        <v>21056.09</v>
      </c>
      <c r="S11" s="1033">
        <v>6763.49</v>
      </c>
      <c r="T11" s="1033">
        <v>0</v>
      </c>
      <c r="U11" s="1033">
        <v>-0.02</v>
      </c>
      <c r="V11" s="1360">
        <v>0</v>
      </c>
      <c r="W11" s="1034">
        <f t="shared" si="14"/>
        <v>27819.56</v>
      </c>
      <c r="X11" s="1034">
        <v>4230822.8863233216</v>
      </c>
      <c r="Y11" s="1033">
        <v>2318271.1636766791</v>
      </c>
      <c r="Z11" s="1033">
        <v>1201311.77</v>
      </c>
      <c r="AA11" s="1033">
        <v>-7.71</v>
      </c>
      <c r="AB11" s="1360">
        <v>0</v>
      </c>
      <c r="AC11" s="1034">
        <f t="shared" si="15"/>
        <v>7750398.1100000003</v>
      </c>
      <c r="AD11" s="1034">
        <v>2825962.24</v>
      </c>
      <c r="AE11" s="1033">
        <v>0</v>
      </c>
      <c r="AF11" s="1033">
        <v>5467049.9400000004</v>
      </c>
      <c r="AG11" s="1033">
        <v>-9.42</v>
      </c>
      <c r="AH11" s="1360">
        <v>0</v>
      </c>
      <c r="AI11" s="1034">
        <f t="shared" si="16"/>
        <v>8293002.7600000007</v>
      </c>
      <c r="AJ11" s="1034"/>
      <c r="AK11" s="1033"/>
      <c r="AL11" s="1033"/>
      <c r="AM11" s="1033"/>
      <c r="AN11" s="1360"/>
      <c r="AO11" s="1034">
        <f t="shared" si="17"/>
        <v>0</v>
      </c>
    </row>
    <row r="12" spans="1:83" ht="15" customHeight="1" x14ac:dyDescent="0.25">
      <c r="A12" s="711" t="s">
        <v>26</v>
      </c>
      <c r="B12" s="710" t="s">
        <v>686</v>
      </c>
      <c r="C12" s="914" t="s">
        <v>265</v>
      </c>
      <c r="D12" s="1029">
        <f t="shared" si="7"/>
        <v>4029150.0196372974</v>
      </c>
      <c r="E12" s="1030">
        <f t="shared" si="8"/>
        <v>1747062.5103627029</v>
      </c>
      <c r="F12" s="1031">
        <f t="shared" si="9"/>
        <v>2335556.66</v>
      </c>
      <c r="G12" s="1367">
        <f t="shared" si="10"/>
        <v>708.27</v>
      </c>
      <c r="H12" s="1369">
        <f t="shared" si="11"/>
        <v>0</v>
      </c>
      <c r="I12" s="1369">
        <f t="shared" si="12"/>
        <v>8112477.46</v>
      </c>
      <c r="J12" s="1370">
        <f t="shared" si="1"/>
        <v>708.27</v>
      </c>
      <c r="K12" s="1365">
        <f t="shared" si="2"/>
        <v>2336264.9300000002</v>
      </c>
      <c r="L12" s="1032">
        <v>36943.21</v>
      </c>
      <c r="M12" s="1032">
        <v>0</v>
      </c>
      <c r="N12" s="1032">
        <v>12127.65</v>
      </c>
      <c r="O12" s="1032">
        <v>-0.17</v>
      </c>
      <c r="P12" s="1032">
        <v>0</v>
      </c>
      <c r="Q12" s="1032">
        <f t="shared" si="13"/>
        <v>49070.69</v>
      </c>
      <c r="R12" s="1033">
        <v>14142.76</v>
      </c>
      <c r="S12" s="1033">
        <v>4586.62</v>
      </c>
      <c r="T12" s="1033">
        <v>0</v>
      </c>
      <c r="U12" s="1033">
        <v>-0.01</v>
      </c>
      <c r="V12" s="1360">
        <v>0</v>
      </c>
      <c r="W12" s="1034">
        <f t="shared" si="14"/>
        <v>18729.370000000003</v>
      </c>
      <c r="X12" s="1034">
        <v>3252119.5096372971</v>
      </c>
      <c r="Y12" s="1033">
        <v>1742475.8903627028</v>
      </c>
      <c r="Z12" s="1033">
        <v>916164.83</v>
      </c>
      <c r="AA12" s="1033">
        <v>712.29</v>
      </c>
      <c r="AB12" s="1360">
        <v>0</v>
      </c>
      <c r="AC12" s="1034">
        <f t="shared" si="15"/>
        <v>5911472.5200000005</v>
      </c>
      <c r="AD12" s="1034">
        <v>725944.54</v>
      </c>
      <c r="AE12" s="1033">
        <v>0</v>
      </c>
      <c r="AF12" s="1033">
        <v>1407264.18</v>
      </c>
      <c r="AG12" s="1033">
        <v>-3.84</v>
      </c>
      <c r="AH12" s="1360">
        <v>0</v>
      </c>
      <c r="AI12" s="1034">
        <f t="shared" si="16"/>
        <v>2133204.88</v>
      </c>
      <c r="AJ12" s="1034"/>
      <c r="AK12" s="1033"/>
      <c r="AL12" s="1033"/>
      <c r="AM12" s="1033"/>
      <c r="AN12" s="1360"/>
      <c r="AO12" s="1034">
        <f t="shared" si="17"/>
        <v>0</v>
      </c>
    </row>
    <row r="13" spans="1:83" ht="15" customHeight="1" x14ac:dyDescent="0.25">
      <c r="A13" s="711" t="s">
        <v>27</v>
      </c>
      <c r="B13" s="710" t="s">
        <v>28</v>
      </c>
      <c r="C13" s="914" t="s">
        <v>265</v>
      </c>
      <c r="D13" s="1029">
        <f t="shared" si="7"/>
        <v>233450.50823315588</v>
      </c>
      <c r="E13" s="1030">
        <f t="shared" si="8"/>
        <v>111429.57176684414</v>
      </c>
      <c r="F13" s="1031">
        <f t="shared" si="9"/>
        <v>108156.29000000001</v>
      </c>
      <c r="G13" s="1367">
        <f t="shared" si="10"/>
        <v>21339.07</v>
      </c>
      <c r="H13" s="1369">
        <f t="shared" si="11"/>
        <v>0</v>
      </c>
      <c r="I13" s="1369">
        <f t="shared" si="12"/>
        <v>474375.44</v>
      </c>
      <c r="J13" s="1370">
        <f t="shared" si="1"/>
        <v>21339.07</v>
      </c>
      <c r="K13" s="1365">
        <f t="shared" si="2"/>
        <v>129495.36000000002</v>
      </c>
      <c r="L13" s="1032"/>
      <c r="M13" s="1032"/>
      <c r="N13" s="1032"/>
      <c r="O13" s="1032"/>
      <c r="P13" s="1032"/>
      <c r="Q13" s="1032">
        <f t="shared" si="13"/>
        <v>0</v>
      </c>
      <c r="R13" s="1033"/>
      <c r="S13" s="1033"/>
      <c r="T13" s="1033"/>
      <c r="U13" s="1033"/>
      <c r="V13" s="1360"/>
      <c r="W13" s="1034">
        <f t="shared" si="14"/>
        <v>0</v>
      </c>
      <c r="X13" s="1034">
        <v>207824.99823315587</v>
      </c>
      <c r="Y13" s="1033">
        <v>111429.57176684414</v>
      </c>
      <c r="Z13" s="1033">
        <v>58559.9</v>
      </c>
      <c r="AA13" s="1033">
        <v>20457.68</v>
      </c>
      <c r="AB13" s="1360">
        <v>0</v>
      </c>
      <c r="AC13" s="1034">
        <f t="shared" si="15"/>
        <v>398272.15</v>
      </c>
      <c r="AD13" s="1034">
        <v>25625.51</v>
      </c>
      <c r="AE13" s="1033">
        <v>0</v>
      </c>
      <c r="AF13" s="1033">
        <v>49596.39</v>
      </c>
      <c r="AG13" s="1033">
        <v>881.39</v>
      </c>
      <c r="AH13" s="1360">
        <v>0</v>
      </c>
      <c r="AI13" s="1034">
        <f t="shared" si="16"/>
        <v>76103.289999999994</v>
      </c>
      <c r="AJ13" s="1034"/>
      <c r="AK13" s="1033"/>
      <c r="AL13" s="1033"/>
      <c r="AM13" s="1033"/>
      <c r="AN13" s="1360"/>
      <c r="AO13" s="1034">
        <f t="shared" si="17"/>
        <v>0</v>
      </c>
    </row>
    <row r="14" spans="1:83" ht="15" customHeight="1" x14ac:dyDescent="0.25">
      <c r="A14" s="711" t="s">
        <v>29</v>
      </c>
      <c r="B14" s="710" t="s">
        <v>924</v>
      </c>
      <c r="C14" s="914" t="s">
        <v>265</v>
      </c>
      <c r="D14" s="1029">
        <f t="shared" si="7"/>
        <v>2098851.4661330003</v>
      </c>
      <c r="E14" s="1030">
        <f t="shared" si="8"/>
        <v>667583.62386699964</v>
      </c>
      <c r="F14" s="1031">
        <f t="shared" si="9"/>
        <v>2049737.96</v>
      </c>
      <c r="G14" s="1367">
        <f t="shared" si="10"/>
        <v>28782.739999999998</v>
      </c>
      <c r="H14" s="1369">
        <f t="shared" si="11"/>
        <v>0</v>
      </c>
      <c r="I14" s="1369">
        <f t="shared" si="12"/>
        <v>4844955.79</v>
      </c>
      <c r="J14" s="1370">
        <f t="shared" si="1"/>
        <v>28782.739999999998</v>
      </c>
      <c r="K14" s="1365">
        <f t="shared" si="2"/>
        <v>2078520.7</v>
      </c>
      <c r="L14" s="1032"/>
      <c r="M14" s="1032"/>
      <c r="N14" s="1032"/>
      <c r="O14" s="1032"/>
      <c r="P14" s="1032"/>
      <c r="Q14" s="1032">
        <f t="shared" si="13"/>
        <v>0</v>
      </c>
      <c r="R14" s="1033">
        <v>2599.21</v>
      </c>
      <c r="S14" s="1033">
        <v>834.94</v>
      </c>
      <c r="T14" s="1033">
        <v>0</v>
      </c>
      <c r="U14" s="1033">
        <v>-0.01</v>
      </c>
      <c r="V14" s="1360">
        <v>0</v>
      </c>
      <c r="W14" s="1034">
        <f t="shared" si="14"/>
        <v>3434.14</v>
      </c>
      <c r="X14" s="1034">
        <v>1215972.5261330004</v>
      </c>
      <c r="Y14" s="1033">
        <v>666748.68386699969</v>
      </c>
      <c r="Z14" s="1033">
        <v>345349.36</v>
      </c>
      <c r="AA14" s="1033">
        <v>13701.18</v>
      </c>
      <c r="AB14" s="1360">
        <v>0</v>
      </c>
      <c r="AC14" s="1034">
        <f t="shared" si="15"/>
        <v>2241771.75</v>
      </c>
      <c r="AD14" s="1034">
        <v>880279.73</v>
      </c>
      <c r="AE14" s="1033">
        <v>0</v>
      </c>
      <c r="AF14" s="1033">
        <v>1704388.6</v>
      </c>
      <c r="AG14" s="1033">
        <v>15081.57</v>
      </c>
      <c r="AH14" s="1360">
        <v>0</v>
      </c>
      <c r="AI14" s="1034">
        <f t="shared" si="16"/>
        <v>2599749.9</v>
      </c>
      <c r="AJ14" s="1034"/>
      <c r="AK14" s="1033"/>
      <c r="AL14" s="1033"/>
      <c r="AM14" s="1033"/>
      <c r="AN14" s="1360"/>
      <c r="AO14" s="1034">
        <f t="shared" si="17"/>
        <v>0</v>
      </c>
    </row>
    <row r="15" spans="1:83" ht="15" customHeight="1" x14ac:dyDescent="0.25">
      <c r="A15" s="711" t="s">
        <v>30</v>
      </c>
      <c r="B15" s="710" t="s">
        <v>31</v>
      </c>
      <c r="C15" s="914" t="s">
        <v>268</v>
      </c>
      <c r="D15" s="1029">
        <f t="shared" si="7"/>
        <v>333491.33821764466</v>
      </c>
      <c r="E15" s="1030">
        <f t="shared" si="8"/>
        <v>156555.89178235529</v>
      </c>
      <c r="F15" s="1031">
        <f t="shared" si="9"/>
        <v>162222.20000000001</v>
      </c>
      <c r="G15" s="1367">
        <f t="shared" si="10"/>
        <v>4751.93</v>
      </c>
      <c r="H15" s="1369">
        <f t="shared" si="11"/>
        <v>0</v>
      </c>
      <c r="I15" s="1369">
        <f t="shared" si="12"/>
        <v>657021.36</v>
      </c>
      <c r="J15" s="1370">
        <f t="shared" si="1"/>
        <v>4751.93</v>
      </c>
      <c r="K15" s="1365">
        <f t="shared" si="2"/>
        <v>166974.13</v>
      </c>
      <c r="L15" s="1032"/>
      <c r="M15" s="1032"/>
      <c r="N15" s="1032"/>
      <c r="O15" s="1032"/>
      <c r="P15" s="1032"/>
      <c r="Q15" s="1032">
        <f t="shared" si="13"/>
        <v>0</v>
      </c>
      <c r="R15" s="1033"/>
      <c r="S15" s="1033"/>
      <c r="T15" s="1033"/>
      <c r="U15" s="1033"/>
      <c r="V15" s="1360"/>
      <c r="W15" s="1034">
        <f t="shared" si="14"/>
        <v>0</v>
      </c>
      <c r="X15" s="1034">
        <v>292204.27821764466</v>
      </c>
      <c r="Y15" s="1033">
        <v>156555.89178235529</v>
      </c>
      <c r="Z15" s="1033">
        <v>82314.600000000006</v>
      </c>
      <c r="AA15" s="1033">
        <v>2579.3000000000002</v>
      </c>
      <c r="AB15" s="1360">
        <v>0</v>
      </c>
      <c r="AC15" s="1034">
        <f t="shared" si="15"/>
        <v>533654.06999999995</v>
      </c>
      <c r="AD15" s="1034">
        <v>41287.06</v>
      </c>
      <c r="AE15" s="1033">
        <v>0</v>
      </c>
      <c r="AF15" s="1033">
        <v>79907.600000000006</v>
      </c>
      <c r="AG15" s="1033">
        <v>2172.63</v>
      </c>
      <c r="AH15" s="1360">
        <v>0</v>
      </c>
      <c r="AI15" s="1034">
        <f t="shared" si="16"/>
        <v>123367.29000000001</v>
      </c>
      <c r="AJ15" s="1034"/>
      <c r="AK15" s="1033"/>
      <c r="AL15" s="1033"/>
      <c r="AM15" s="1033"/>
      <c r="AN15" s="1360"/>
      <c r="AO15" s="1034">
        <f t="shared" si="17"/>
        <v>0</v>
      </c>
    </row>
    <row r="16" spans="1:83" ht="15" customHeight="1" x14ac:dyDescent="0.25">
      <c r="A16" s="711" t="s">
        <v>32</v>
      </c>
      <c r="B16" s="710" t="s">
        <v>33</v>
      </c>
      <c r="C16" s="914" t="s">
        <v>265</v>
      </c>
      <c r="D16" s="1029">
        <f t="shared" si="7"/>
        <v>539128.76788784016</v>
      </c>
      <c r="E16" s="1030">
        <f t="shared" si="8"/>
        <v>263208.64211215981</v>
      </c>
      <c r="F16" s="1031">
        <f t="shared" si="9"/>
        <v>231854.18</v>
      </c>
      <c r="G16" s="1367">
        <f t="shared" si="10"/>
        <v>3939.51</v>
      </c>
      <c r="H16" s="1369">
        <f t="shared" si="11"/>
        <v>0</v>
      </c>
      <c r="I16" s="1369">
        <f t="shared" si="12"/>
        <v>1038131.1</v>
      </c>
      <c r="J16" s="1370">
        <f t="shared" si="1"/>
        <v>3939.51</v>
      </c>
      <c r="K16" s="1365">
        <f t="shared" si="2"/>
        <v>235793.69</v>
      </c>
      <c r="L16" s="1032"/>
      <c r="M16" s="1032"/>
      <c r="N16" s="1032"/>
      <c r="O16" s="1032"/>
      <c r="P16" s="1032"/>
      <c r="Q16" s="1032">
        <f t="shared" si="13"/>
        <v>0</v>
      </c>
      <c r="R16" s="1033"/>
      <c r="S16" s="1033"/>
      <c r="T16" s="1033"/>
      <c r="U16" s="1033"/>
      <c r="V16" s="1360"/>
      <c r="W16" s="1034">
        <f t="shared" si="14"/>
        <v>0</v>
      </c>
      <c r="X16" s="1034">
        <v>490793.94788784016</v>
      </c>
      <c r="Y16" s="1033">
        <v>263208.64211215981</v>
      </c>
      <c r="Z16" s="1033">
        <v>138305.66</v>
      </c>
      <c r="AA16" s="1033">
        <v>3942.71</v>
      </c>
      <c r="AB16" s="1360">
        <v>0</v>
      </c>
      <c r="AC16" s="1034">
        <f t="shared" si="15"/>
        <v>896250.96</v>
      </c>
      <c r="AD16" s="1034">
        <v>48334.82</v>
      </c>
      <c r="AE16" s="1033">
        <v>0</v>
      </c>
      <c r="AF16" s="1033">
        <v>93548.52</v>
      </c>
      <c r="AG16" s="1033">
        <v>-3.2</v>
      </c>
      <c r="AH16" s="1360">
        <v>0</v>
      </c>
      <c r="AI16" s="1034">
        <f t="shared" si="16"/>
        <v>141880.13999999998</v>
      </c>
      <c r="AJ16" s="1034"/>
      <c r="AK16" s="1033"/>
      <c r="AL16" s="1033"/>
      <c r="AM16" s="1033"/>
      <c r="AN16" s="1360"/>
      <c r="AO16" s="1034">
        <f t="shared" si="17"/>
        <v>0</v>
      </c>
    </row>
    <row r="17" spans="1:41" ht="15" customHeight="1" x14ac:dyDescent="0.25">
      <c r="A17" s="711" t="s">
        <v>36</v>
      </c>
      <c r="B17" s="710" t="s">
        <v>37</v>
      </c>
      <c r="C17" s="914" t="s">
        <v>264</v>
      </c>
      <c r="D17" s="1029">
        <f t="shared" si="7"/>
        <v>852619.99944534095</v>
      </c>
      <c r="E17" s="1030">
        <f t="shared" si="8"/>
        <v>442845.23055465915</v>
      </c>
      <c r="F17" s="1031">
        <f t="shared" si="9"/>
        <v>279348.13</v>
      </c>
      <c r="G17" s="1367">
        <f t="shared" si="10"/>
        <v>28732.52</v>
      </c>
      <c r="H17" s="1369">
        <f t="shared" si="11"/>
        <v>0</v>
      </c>
      <c r="I17" s="1369">
        <f t="shared" si="12"/>
        <v>1603545.8800000001</v>
      </c>
      <c r="J17" s="1370">
        <f t="shared" si="1"/>
        <v>28732.52</v>
      </c>
      <c r="K17" s="1365">
        <f t="shared" si="2"/>
        <v>308080.65000000002</v>
      </c>
      <c r="L17" s="1032"/>
      <c r="M17" s="1032"/>
      <c r="N17" s="1032"/>
      <c r="O17" s="1032"/>
      <c r="P17" s="1032"/>
      <c r="Q17" s="1032">
        <f t="shared" si="13"/>
        <v>0</v>
      </c>
      <c r="R17" s="1033"/>
      <c r="S17" s="1033"/>
      <c r="T17" s="1033"/>
      <c r="U17" s="1033"/>
      <c r="V17" s="1360"/>
      <c r="W17" s="1034">
        <f t="shared" si="14"/>
        <v>0</v>
      </c>
      <c r="X17" s="1034">
        <v>828342.03944534098</v>
      </c>
      <c r="Y17" s="1033">
        <v>442845.23055465915</v>
      </c>
      <c r="Z17" s="1033">
        <v>233172.47</v>
      </c>
      <c r="AA17" s="1033">
        <v>28732.59</v>
      </c>
      <c r="AB17" s="1360">
        <v>0</v>
      </c>
      <c r="AC17" s="1034">
        <f t="shared" si="15"/>
        <v>1533092.33</v>
      </c>
      <c r="AD17" s="1034">
        <v>23857.759999999998</v>
      </c>
      <c r="AE17" s="1033">
        <v>0</v>
      </c>
      <c r="AF17" s="1033">
        <v>46175.66</v>
      </c>
      <c r="AG17" s="1033">
        <v>-7.0000000000000007E-2</v>
      </c>
      <c r="AH17" s="1360">
        <v>0</v>
      </c>
      <c r="AI17" s="1034">
        <f t="shared" si="16"/>
        <v>70033.349999999991</v>
      </c>
      <c r="AJ17" s="1034">
        <v>420.2</v>
      </c>
      <c r="AK17" s="1033"/>
      <c r="AL17" s="1033"/>
      <c r="AM17" s="1033"/>
      <c r="AN17" s="1360"/>
      <c r="AO17" s="1034">
        <f t="shared" si="17"/>
        <v>420.2</v>
      </c>
    </row>
    <row r="18" spans="1:41" ht="15" customHeight="1" x14ac:dyDescent="0.25">
      <c r="A18" s="711" t="s">
        <v>38</v>
      </c>
      <c r="B18" s="710" t="s">
        <v>39</v>
      </c>
      <c r="C18" s="914" t="s">
        <v>268</v>
      </c>
      <c r="D18" s="1029">
        <f t="shared" si="7"/>
        <v>1914484.334878755</v>
      </c>
      <c r="E18" s="1030">
        <f t="shared" si="8"/>
        <v>906946.44512124499</v>
      </c>
      <c r="F18" s="1031">
        <f t="shared" si="9"/>
        <v>908454.84</v>
      </c>
      <c r="G18" s="1367">
        <f t="shared" si="10"/>
        <v>12908.55</v>
      </c>
      <c r="H18" s="1369">
        <f t="shared" si="11"/>
        <v>0</v>
      </c>
      <c r="I18" s="1369">
        <f t="shared" si="12"/>
        <v>3742794.17</v>
      </c>
      <c r="J18" s="1370">
        <f t="shared" si="1"/>
        <v>12908.55</v>
      </c>
      <c r="K18" s="1365">
        <f t="shared" si="2"/>
        <v>921363.39</v>
      </c>
      <c r="L18" s="1032"/>
      <c r="M18" s="1032"/>
      <c r="N18" s="1032"/>
      <c r="O18" s="1032"/>
      <c r="P18" s="1032"/>
      <c r="Q18" s="1032">
        <f t="shared" si="13"/>
        <v>0</v>
      </c>
      <c r="R18" s="1033">
        <v>165.2</v>
      </c>
      <c r="S18" s="1033">
        <v>53.07</v>
      </c>
      <c r="T18" s="1033">
        <v>0</v>
      </c>
      <c r="U18" s="1033">
        <v>-0.01</v>
      </c>
      <c r="V18" s="1360">
        <v>0</v>
      </c>
      <c r="W18" s="1034">
        <f t="shared" si="14"/>
        <v>218.26</v>
      </c>
      <c r="X18" s="1034">
        <v>1693267.8948787551</v>
      </c>
      <c r="Y18" s="1033">
        <v>906893.37512124504</v>
      </c>
      <c r="Z18" s="1033">
        <v>476948.35</v>
      </c>
      <c r="AA18" s="1033">
        <v>12910.47</v>
      </c>
      <c r="AB18" s="1360">
        <v>0</v>
      </c>
      <c r="AC18" s="1034">
        <f t="shared" si="15"/>
        <v>3090020.0900000003</v>
      </c>
      <c r="AD18" s="1034">
        <v>221051.24</v>
      </c>
      <c r="AE18" s="1033">
        <v>0</v>
      </c>
      <c r="AF18" s="1033">
        <v>431506.49</v>
      </c>
      <c r="AG18" s="1033">
        <v>-1.91</v>
      </c>
      <c r="AH18" s="1360">
        <v>0</v>
      </c>
      <c r="AI18" s="1034">
        <f t="shared" si="16"/>
        <v>652555.81999999995</v>
      </c>
      <c r="AJ18" s="1034"/>
      <c r="AK18" s="1033"/>
      <c r="AL18" s="1033"/>
      <c r="AM18" s="1033"/>
      <c r="AN18" s="1360"/>
      <c r="AO18" s="1034">
        <f t="shared" si="17"/>
        <v>0</v>
      </c>
    </row>
    <row r="19" spans="1:41" ht="15" customHeight="1" x14ac:dyDescent="0.25">
      <c r="A19" s="711" t="s">
        <v>40</v>
      </c>
      <c r="B19" s="710" t="s">
        <v>41</v>
      </c>
      <c r="C19" s="914" t="s">
        <v>266</v>
      </c>
      <c r="D19" s="1029">
        <f t="shared" si="7"/>
        <v>658195.92539970356</v>
      </c>
      <c r="E19" s="1030">
        <f t="shared" si="8"/>
        <v>318670.96460029652</v>
      </c>
      <c r="F19" s="1031">
        <f t="shared" si="9"/>
        <v>289180.96000000002</v>
      </c>
      <c r="G19" s="1367">
        <f t="shared" si="10"/>
        <v>14065.779999999999</v>
      </c>
      <c r="H19" s="1369">
        <f t="shared" si="11"/>
        <v>0</v>
      </c>
      <c r="I19" s="1369">
        <f t="shared" si="12"/>
        <v>1280113.6299999999</v>
      </c>
      <c r="J19" s="1370">
        <f t="shared" si="1"/>
        <v>14065.779999999999</v>
      </c>
      <c r="K19" s="1365">
        <f t="shared" si="2"/>
        <v>303246.74</v>
      </c>
      <c r="L19" s="1032"/>
      <c r="M19" s="1032"/>
      <c r="N19" s="1032"/>
      <c r="O19" s="1032"/>
      <c r="P19" s="1032"/>
      <c r="Q19" s="1032">
        <f t="shared" si="13"/>
        <v>0</v>
      </c>
      <c r="R19" s="1033">
        <v>550.79</v>
      </c>
      <c r="S19" s="1033">
        <v>176.92</v>
      </c>
      <c r="T19" s="1033">
        <v>0</v>
      </c>
      <c r="U19" s="1033">
        <v>-0.01</v>
      </c>
      <c r="V19" s="1360">
        <v>0</v>
      </c>
      <c r="W19" s="1034">
        <f t="shared" si="14"/>
        <v>727.69999999999993</v>
      </c>
      <c r="X19" s="1034">
        <v>594771.71539970348</v>
      </c>
      <c r="Y19" s="1033">
        <v>318494.04460029653</v>
      </c>
      <c r="Z19" s="1033">
        <v>167519.26</v>
      </c>
      <c r="AA19" s="1033">
        <v>14066.98</v>
      </c>
      <c r="AB19" s="1360">
        <v>0</v>
      </c>
      <c r="AC19" s="1034">
        <f t="shared" si="15"/>
        <v>1094852</v>
      </c>
      <c r="AD19" s="1034">
        <v>62873.42</v>
      </c>
      <c r="AE19" s="1033">
        <v>0</v>
      </c>
      <c r="AF19" s="1033">
        <v>121661.7</v>
      </c>
      <c r="AG19" s="1033">
        <v>-1.19</v>
      </c>
      <c r="AH19" s="1360">
        <v>0</v>
      </c>
      <c r="AI19" s="1034">
        <f t="shared" si="16"/>
        <v>184533.93</v>
      </c>
      <c r="AJ19" s="1034"/>
      <c r="AK19" s="1033"/>
      <c r="AL19" s="1033"/>
      <c r="AM19" s="1033"/>
      <c r="AN19" s="1360"/>
      <c r="AO19" s="1034">
        <f t="shared" si="17"/>
        <v>0</v>
      </c>
    </row>
    <row r="20" spans="1:41" ht="15" customHeight="1" x14ac:dyDescent="0.25">
      <c r="A20" s="711" t="s">
        <v>42</v>
      </c>
      <c r="B20" s="710" t="s">
        <v>43</v>
      </c>
      <c r="C20" s="914" t="s">
        <v>265</v>
      </c>
      <c r="D20" s="1029">
        <f t="shared" si="7"/>
        <v>2003992.4099782582</v>
      </c>
      <c r="E20" s="1030">
        <f t="shared" si="8"/>
        <v>991384.12002174172</v>
      </c>
      <c r="F20" s="1031">
        <f t="shared" si="9"/>
        <v>815953.58000000007</v>
      </c>
      <c r="G20" s="1367">
        <f t="shared" si="10"/>
        <v>124953.26</v>
      </c>
      <c r="H20" s="1369">
        <f t="shared" si="11"/>
        <v>0</v>
      </c>
      <c r="I20" s="1369">
        <f t="shared" si="12"/>
        <v>3936283.3699999996</v>
      </c>
      <c r="J20" s="1370">
        <f t="shared" si="1"/>
        <v>124953.26</v>
      </c>
      <c r="K20" s="1365">
        <f t="shared" si="2"/>
        <v>940906.84000000008</v>
      </c>
      <c r="L20" s="1032"/>
      <c r="M20" s="1032"/>
      <c r="N20" s="1032"/>
      <c r="O20" s="1032"/>
      <c r="P20" s="1032"/>
      <c r="Q20" s="1032">
        <f t="shared" si="13"/>
        <v>0</v>
      </c>
      <c r="R20" s="1033"/>
      <c r="S20" s="1033"/>
      <c r="T20" s="1033"/>
      <c r="U20" s="1033"/>
      <c r="V20" s="1360"/>
      <c r="W20" s="1034">
        <f t="shared" si="14"/>
        <v>0</v>
      </c>
      <c r="X20" s="1034">
        <v>1853727.8699782582</v>
      </c>
      <c r="Y20" s="1033">
        <v>991384.12002174172</v>
      </c>
      <c r="Z20" s="1033">
        <v>521881.5</v>
      </c>
      <c r="AA20" s="1033">
        <v>124955.54</v>
      </c>
      <c r="AB20" s="1360">
        <v>0</v>
      </c>
      <c r="AC20" s="1034">
        <f t="shared" si="15"/>
        <v>3491949.03</v>
      </c>
      <c r="AD20" s="1034">
        <v>150264.54</v>
      </c>
      <c r="AE20" s="1033">
        <v>0</v>
      </c>
      <c r="AF20" s="1033">
        <v>294072.08</v>
      </c>
      <c r="AG20" s="1033">
        <v>-2.2799999999999998</v>
      </c>
      <c r="AH20" s="1360">
        <v>0</v>
      </c>
      <c r="AI20" s="1034">
        <f t="shared" si="16"/>
        <v>444334.33999999997</v>
      </c>
      <c r="AJ20" s="1034"/>
      <c r="AK20" s="1033"/>
      <c r="AL20" s="1033"/>
      <c r="AM20" s="1033"/>
      <c r="AN20" s="1360"/>
      <c r="AO20" s="1034">
        <f t="shared" si="17"/>
        <v>0</v>
      </c>
    </row>
    <row r="21" spans="1:41" ht="15" customHeight="1" x14ac:dyDescent="0.25">
      <c r="A21" s="711" t="s">
        <v>44</v>
      </c>
      <c r="B21" s="710" t="s">
        <v>45</v>
      </c>
      <c r="C21" s="914" t="s">
        <v>266</v>
      </c>
      <c r="D21" s="1029">
        <f t="shared" si="7"/>
        <v>997151.76621169783</v>
      </c>
      <c r="E21" s="1030">
        <f t="shared" si="8"/>
        <v>439473.34378830215</v>
      </c>
      <c r="F21" s="1031">
        <f t="shared" si="9"/>
        <v>570919.19999999995</v>
      </c>
      <c r="G21" s="1367">
        <f t="shared" si="10"/>
        <v>5066.1799999999994</v>
      </c>
      <c r="H21" s="1369">
        <f t="shared" si="11"/>
        <v>0</v>
      </c>
      <c r="I21" s="1369">
        <f t="shared" si="12"/>
        <v>2012610.4899999998</v>
      </c>
      <c r="J21" s="1370">
        <f t="shared" si="1"/>
        <v>5066.1799999999994</v>
      </c>
      <c r="K21" s="1365">
        <f t="shared" si="2"/>
        <v>575985.38</v>
      </c>
      <c r="L21" s="1032"/>
      <c r="M21" s="1032"/>
      <c r="N21" s="1032"/>
      <c r="O21" s="1032"/>
      <c r="P21" s="1032"/>
      <c r="Q21" s="1032">
        <f t="shared" si="13"/>
        <v>0</v>
      </c>
      <c r="R21" s="1033">
        <v>5980.04</v>
      </c>
      <c r="S21" s="1033">
        <v>1920.4</v>
      </c>
      <c r="T21" s="1033">
        <v>0</v>
      </c>
      <c r="U21" s="1033">
        <v>-0.01</v>
      </c>
      <c r="V21" s="1360">
        <v>0</v>
      </c>
      <c r="W21" s="1034">
        <f t="shared" si="14"/>
        <v>7900.43</v>
      </c>
      <c r="X21" s="1034">
        <v>814865.14621169784</v>
      </c>
      <c r="Y21" s="1033">
        <v>437552.94378830213</v>
      </c>
      <c r="Z21" s="1033">
        <v>229731.48</v>
      </c>
      <c r="AA21" s="1033">
        <v>5069.07</v>
      </c>
      <c r="AB21" s="1360">
        <v>0</v>
      </c>
      <c r="AC21" s="1034">
        <f t="shared" si="15"/>
        <v>1487218.64</v>
      </c>
      <c r="AD21" s="1034">
        <v>176306.58</v>
      </c>
      <c r="AE21" s="1033">
        <v>0</v>
      </c>
      <c r="AF21" s="1033">
        <v>341187.72</v>
      </c>
      <c r="AG21" s="1033">
        <v>-2.88</v>
      </c>
      <c r="AH21" s="1360">
        <v>0</v>
      </c>
      <c r="AI21" s="1034">
        <f t="shared" si="16"/>
        <v>517491.41999999993</v>
      </c>
      <c r="AJ21" s="1034"/>
      <c r="AK21" s="1033"/>
      <c r="AL21" s="1033"/>
      <c r="AM21" s="1033"/>
      <c r="AN21" s="1360"/>
      <c r="AO21" s="1034">
        <f t="shared" si="17"/>
        <v>0</v>
      </c>
    </row>
    <row r="22" spans="1:41" ht="15" customHeight="1" x14ac:dyDescent="0.25">
      <c r="A22" s="711" t="s">
        <v>46</v>
      </c>
      <c r="B22" s="710" t="s">
        <v>47</v>
      </c>
      <c r="C22" s="914" t="s">
        <v>268</v>
      </c>
      <c r="D22" s="1029">
        <f t="shared" si="7"/>
        <v>1074627.9852973467</v>
      </c>
      <c r="E22" s="1030">
        <f t="shared" si="8"/>
        <v>517020.66470265336</v>
      </c>
      <c r="F22" s="1031">
        <f t="shared" si="9"/>
        <v>479538.41000000003</v>
      </c>
      <c r="G22" s="1367">
        <f t="shared" si="10"/>
        <v>79869.84</v>
      </c>
      <c r="H22" s="1369">
        <f t="shared" si="11"/>
        <v>0</v>
      </c>
      <c r="I22" s="1369">
        <f t="shared" si="12"/>
        <v>2151056.9</v>
      </c>
      <c r="J22" s="1370">
        <f t="shared" si="1"/>
        <v>79869.84</v>
      </c>
      <c r="K22" s="1365">
        <f t="shared" si="2"/>
        <v>559408.25</v>
      </c>
      <c r="L22" s="1032"/>
      <c r="M22" s="1032"/>
      <c r="N22" s="1032"/>
      <c r="O22" s="1032"/>
      <c r="P22" s="1032"/>
      <c r="Q22" s="1032">
        <f t="shared" si="13"/>
        <v>0</v>
      </c>
      <c r="R22" s="1033">
        <v>2826.93</v>
      </c>
      <c r="S22" s="1033">
        <v>923.1</v>
      </c>
      <c r="T22" s="1033">
        <v>0</v>
      </c>
      <c r="U22" s="1033">
        <v>-0.03</v>
      </c>
      <c r="V22" s="1360">
        <v>0</v>
      </c>
      <c r="W22" s="1034">
        <f t="shared" si="14"/>
        <v>3749.9999999999995</v>
      </c>
      <c r="X22" s="1034">
        <v>964342.44529734668</v>
      </c>
      <c r="Y22" s="1033">
        <v>516097.56470265338</v>
      </c>
      <c r="Z22" s="1033">
        <v>271558.19</v>
      </c>
      <c r="AA22" s="1033">
        <v>79872.479999999996</v>
      </c>
      <c r="AB22" s="1360">
        <v>0</v>
      </c>
      <c r="AC22" s="1034">
        <f t="shared" si="15"/>
        <v>1831870.68</v>
      </c>
      <c r="AD22" s="1034">
        <v>107458.61</v>
      </c>
      <c r="AE22" s="1033">
        <v>0</v>
      </c>
      <c r="AF22" s="1033">
        <v>207980.22</v>
      </c>
      <c r="AG22" s="1033">
        <v>-2.61</v>
      </c>
      <c r="AH22" s="1360">
        <v>0</v>
      </c>
      <c r="AI22" s="1034">
        <f t="shared" si="16"/>
        <v>315436.22000000003</v>
      </c>
      <c r="AJ22" s="1034"/>
      <c r="AK22" s="1033"/>
      <c r="AL22" s="1033"/>
      <c r="AM22" s="1033"/>
      <c r="AN22" s="1360"/>
      <c r="AO22" s="1034">
        <f t="shared" si="17"/>
        <v>0</v>
      </c>
    </row>
    <row r="23" spans="1:41" ht="15" customHeight="1" x14ac:dyDescent="0.25">
      <c r="A23" s="711" t="s">
        <v>48</v>
      </c>
      <c r="B23" s="710" t="s">
        <v>269</v>
      </c>
      <c r="C23" s="914" t="s">
        <v>266</v>
      </c>
      <c r="D23" s="1029">
        <f t="shared" si="7"/>
        <v>386220.8056207581</v>
      </c>
      <c r="E23" s="1030">
        <f t="shared" si="8"/>
        <v>206355.30437924192</v>
      </c>
      <c r="F23" s="1031">
        <f t="shared" si="9"/>
        <v>108695.03999999999</v>
      </c>
      <c r="G23" s="1367">
        <f t="shared" si="10"/>
        <v>-9.15</v>
      </c>
      <c r="H23" s="1369">
        <f t="shared" si="11"/>
        <v>0</v>
      </c>
      <c r="I23" s="1369">
        <f t="shared" si="12"/>
        <v>701262</v>
      </c>
      <c r="J23" s="1370">
        <f t="shared" si="1"/>
        <v>-9.15</v>
      </c>
      <c r="K23" s="1365">
        <f t="shared" si="2"/>
        <v>108685.89</v>
      </c>
      <c r="L23" s="1032"/>
      <c r="M23" s="1032"/>
      <c r="N23" s="1032"/>
      <c r="O23" s="1032"/>
      <c r="P23" s="1032"/>
      <c r="Q23" s="1032">
        <f t="shared" si="13"/>
        <v>0</v>
      </c>
      <c r="R23" s="1033"/>
      <c r="S23" s="1033"/>
      <c r="T23" s="1033"/>
      <c r="U23" s="1033"/>
      <c r="V23" s="1360"/>
      <c r="W23" s="1034">
        <f t="shared" si="14"/>
        <v>0</v>
      </c>
      <c r="X23" s="1034">
        <v>386220.8056207581</v>
      </c>
      <c r="Y23" s="1033">
        <v>206355.30437924192</v>
      </c>
      <c r="Z23" s="1033">
        <v>108695.03999999999</v>
      </c>
      <c r="AA23" s="1033">
        <v>-9.15</v>
      </c>
      <c r="AB23" s="1360">
        <v>0</v>
      </c>
      <c r="AC23" s="1034">
        <f t="shared" si="15"/>
        <v>701262</v>
      </c>
      <c r="AD23" s="1034"/>
      <c r="AE23" s="1033"/>
      <c r="AF23" s="1033"/>
      <c r="AG23" s="1033"/>
      <c r="AH23" s="1360"/>
      <c r="AI23" s="1034">
        <f t="shared" si="16"/>
        <v>0</v>
      </c>
      <c r="AJ23" s="1034"/>
      <c r="AK23" s="1033"/>
      <c r="AL23" s="1033"/>
      <c r="AM23" s="1033"/>
      <c r="AN23" s="1360"/>
      <c r="AO23" s="1034">
        <f t="shared" si="17"/>
        <v>0</v>
      </c>
    </row>
    <row r="24" spans="1:41" ht="15" customHeight="1" x14ac:dyDescent="0.25">
      <c r="A24" s="711" t="s">
        <v>50</v>
      </c>
      <c r="B24" s="710" t="s">
        <v>51</v>
      </c>
      <c r="C24" s="914" t="s">
        <v>265</v>
      </c>
      <c r="D24" s="1029">
        <f t="shared" si="7"/>
        <v>686449.88981758594</v>
      </c>
      <c r="E24" s="1030">
        <f t="shared" si="8"/>
        <v>311684.2101824141</v>
      </c>
      <c r="F24" s="1031">
        <f t="shared" si="9"/>
        <v>350027.88</v>
      </c>
      <c r="G24" s="1367">
        <f t="shared" si="10"/>
        <v>238430.37000000002</v>
      </c>
      <c r="H24" s="1369">
        <f t="shared" si="11"/>
        <v>0</v>
      </c>
      <c r="I24" s="1369">
        <f t="shared" si="12"/>
        <v>1586592.3499999999</v>
      </c>
      <c r="J24" s="1370">
        <f t="shared" si="1"/>
        <v>238430.37000000002</v>
      </c>
      <c r="K24" s="1365">
        <f t="shared" si="2"/>
        <v>588458.25</v>
      </c>
      <c r="L24" s="1032"/>
      <c r="M24" s="1032"/>
      <c r="N24" s="1032"/>
      <c r="O24" s="1032"/>
      <c r="P24" s="1032"/>
      <c r="Q24" s="1032">
        <f t="shared" si="13"/>
        <v>0</v>
      </c>
      <c r="R24" s="1033"/>
      <c r="S24" s="1033"/>
      <c r="T24" s="1033"/>
      <c r="U24" s="1033"/>
      <c r="V24" s="1360"/>
      <c r="W24" s="1034">
        <f t="shared" si="14"/>
        <v>0</v>
      </c>
      <c r="X24" s="1034">
        <v>581600.53981758596</v>
      </c>
      <c r="Y24" s="1033">
        <v>311684.2101824141</v>
      </c>
      <c r="Z24" s="1033">
        <v>163855.01</v>
      </c>
      <c r="AA24" s="1033">
        <v>238431.7</v>
      </c>
      <c r="AB24" s="1360">
        <v>0</v>
      </c>
      <c r="AC24" s="1034">
        <f t="shared" si="15"/>
        <v>1295571.46</v>
      </c>
      <c r="AD24" s="1034">
        <v>96190.91</v>
      </c>
      <c r="AE24" s="1033">
        <v>0</v>
      </c>
      <c r="AF24" s="1033">
        <v>186172.87</v>
      </c>
      <c r="AG24" s="1033">
        <v>-1.33</v>
      </c>
      <c r="AH24" s="1360">
        <v>0</v>
      </c>
      <c r="AI24" s="1034">
        <f t="shared" si="16"/>
        <v>282362.45</v>
      </c>
      <c r="AJ24" s="1034">
        <v>8658.44</v>
      </c>
      <c r="AK24" s="1033"/>
      <c r="AL24" s="1033"/>
      <c r="AM24" s="1033"/>
      <c r="AN24" s="1360"/>
      <c r="AO24" s="1034">
        <f t="shared" si="17"/>
        <v>8658.44</v>
      </c>
    </row>
    <row r="25" spans="1:41" ht="15" customHeight="1" x14ac:dyDescent="0.25">
      <c r="A25" s="711" t="s">
        <v>56</v>
      </c>
      <c r="B25" s="710" t="s">
        <v>295</v>
      </c>
      <c r="C25" s="914" t="s">
        <v>266</v>
      </c>
      <c r="D25" s="1029">
        <f t="shared" si="7"/>
        <v>5798089.5241494775</v>
      </c>
      <c r="E25" s="1030">
        <f t="shared" si="8"/>
        <v>2228193.2858505235</v>
      </c>
      <c r="F25" s="1031">
        <f t="shared" si="9"/>
        <v>4199787</v>
      </c>
      <c r="G25" s="1367">
        <f t="shared" si="10"/>
        <v>120545.06999999999</v>
      </c>
      <c r="H25" s="1369">
        <f t="shared" si="11"/>
        <v>0</v>
      </c>
      <c r="I25" s="1369">
        <f t="shared" si="12"/>
        <v>12346614.880000003</v>
      </c>
      <c r="J25" s="1370">
        <f t="shared" si="1"/>
        <v>120545.06999999999</v>
      </c>
      <c r="K25" s="1365">
        <f t="shared" si="2"/>
        <v>4320332.07</v>
      </c>
      <c r="L25" s="1032"/>
      <c r="M25" s="1032"/>
      <c r="N25" s="1032"/>
      <c r="O25" s="1032"/>
      <c r="P25" s="1032"/>
      <c r="Q25" s="1032">
        <f t="shared" si="13"/>
        <v>0</v>
      </c>
      <c r="R25" s="1033">
        <v>226801.1</v>
      </c>
      <c r="S25" s="1033">
        <v>73878.820000000007</v>
      </c>
      <c r="T25" s="1033">
        <v>0</v>
      </c>
      <c r="U25" s="1033">
        <v>-0.02</v>
      </c>
      <c r="V25" s="1360">
        <v>0</v>
      </c>
      <c r="W25" s="1034">
        <f t="shared" si="14"/>
        <v>300679.90000000002</v>
      </c>
      <c r="X25" s="1034">
        <v>3981255.8641494769</v>
      </c>
      <c r="Y25" s="1033">
        <v>2154314.4658505237</v>
      </c>
      <c r="Z25" s="1033">
        <v>1125456.81</v>
      </c>
      <c r="AA25" s="1033">
        <v>70011.23</v>
      </c>
      <c r="AB25" s="1360">
        <v>0</v>
      </c>
      <c r="AC25" s="1034">
        <f t="shared" si="15"/>
        <v>7331038.370000001</v>
      </c>
      <c r="AD25" s="1034">
        <v>1590032.56</v>
      </c>
      <c r="AE25" s="1033">
        <v>0</v>
      </c>
      <c r="AF25" s="1033">
        <v>3074330.19</v>
      </c>
      <c r="AG25" s="1033">
        <v>50533.86</v>
      </c>
      <c r="AH25" s="1360">
        <v>0</v>
      </c>
      <c r="AI25" s="1034">
        <f t="shared" si="16"/>
        <v>4714896.6100000003</v>
      </c>
      <c r="AJ25" s="1034"/>
      <c r="AK25" s="1033"/>
      <c r="AL25" s="1033"/>
      <c r="AM25" s="1033"/>
      <c r="AN25" s="1360"/>
      <c r="AO25" s="1034">
        <f t="shared" si="17"/>
        <v>0</v>
      </c>
    </row>
    <row r="26" spans="1:41" ht="15" customHeight="1" x14ac:dyDescent="0.25">
      <c r="A26" s="711" t="s">
        <v>58</v>
      </c>
      <c r="B26" s="710" t="s">
        <v>59</v>
      </c>
      <c r="C26" s="914" t="s">
        <v>267</v>
      </c>
      <c r="D26" s="1029">
        <f t="shared" si="7"/>
        <v>510848.35242378229</v>
      </c>
      <c r="E26" s="1030">
        <f t="shared" si="8"/>
        <v>149198.82757621771</v>
      </c>
      <c r="F26" s="1031">
        <f t="shared" si="9"/>
        <v>541501.54</v>
      </c>
      <c r="G26" s="1367">
        <f t="shared" si="10"/>
        <v>1930.01</v>
      </c>
      <c r="H26" s="1369">
        <f t="shared" si="11"/>
        <v>0</v>
      </c>
      <c r="I26" s="1369">
        <f t="shared" si="12"/>
        <v>1203478.73</v>
      </c>
      <c r="J26" s="1370">
        <f t="shared" si="1"/>
        <v>1930.01</v>
      </c>
      <c r="K26" s="1365">
        <f t="shared" si="2"/>
        <v>543431.55000000005</v>
      </c>
      <c r="L26" s="1032"/>
      <c r="M26" s="1032"/>
      <c r="N26" s="1032"/>
      <c r="O26" s="1032"/>
      <c r="P26" s="1032"/>
      <c r="Q26" s="1032">
        <f t="shared" si="13"/>
        <v>0</v>
      </c>
      <c r="R26" s="1033"/>
      <c r="S26" s="1033"/>
      <c r="T26" s="1033"/>
      <c r="U26" s="1033"/>
      <c r="V26" s="1360"/>
      <c r="W26" s="1034">
        <f t="shared" si="14"/>
        <v>0</v>
      </c>
      <c r="X26" s="1034">
        <v>271726.46242378227</v>
      </c>
      <c r="Y26" s="1033">
        <v>149198.82757621771</v>
      </c>
      <c r="Z26" s="1033">
        <v>77209.67</v>
      </c>
      <c r="AA26" s="1033">
        <v>1160.99</v>
      </c>
      <c r="AB26" s="1360">
        <v>0</v>
      </c>
      <c r="AC26" s="1034">
        <f t="shared" si="15"/>
        <v>499295.94999999995</v>
      </c>
      <c r="AD26" s="1034">
        <v>239121.89</v>
      </c>
      <c r="AE26" s="1033">
        <v>0</v>
      </c>
      <c r="AF26" s="1033">
        <v>464291.87</v>
      </c>
      <c r="AG26" s="1033">
        <v>769.02</v>
      </c>
      <c r="AH26" s="1360">
        <v>0</v>
      </c>
      <c r="AI26" s="1034">
        <f t="shared" si="16"/>
        <v>704182.78</v>
      </c>
      <c r="AJ26" s="1034"/>
      <c r="AK26" s="1033"/>
      <c r="AL26" s="1033"/>
      <c r="AM26" s="1033"/>
      <c r="AN26" s="1360"/>
      <c r="AO26" s="1034">
        <f t="shared" si="17"/>
        <v>0</v>
      </c>
    </row>
    <row r="27" spans="1:41" ht="15" customHeight="1" x14ac:dyDescent="0.25">
      <c r="A27" s="711" t="s">
        <v>60</v>
      </c>
      <c r="B27" s="710" t="s">
        <v>61</v>
      </c>
      <c r="C27" s="914" t="s">
        <v>265</v>
      </c>
      <c r="D27" s="1029">
        <f t="shared" si="7"/>
        <v>223021.3117208422</v>
      </c>
      <c r="E27" s="1030">
        <f t="shared" si="8"/>
        <v>98136.208279157785</v>
      </c>
      <c r="F27" s="1031">
        <f t="shared" si="9"/>
        <v>130153.15</v>
      </c>
      <c r="G27" s="1367">
        <f t="shared" si="10"/>
        <v>5874.42</v>
      </c>
      <c r="H27" s="1369">
        <f t="shared" si="11"/>
        <v>0</v>
      </c>
      <c r="I27" s="1369">
        <f t="shared" si="12"/>
        <v>457185.09</v>
      </c>
      <c r="J27" s="1370">
        <f t="shared" si="1"/>
        <v>5874.42</v>
      </c>
      <c r="K27" s="1365">
        <f t="shared" si="2"/>
        <v>136027.57</v>
      </c>
      <c r="L27" s="1032"/>
      <c r="M27" s="1032"/>
      <c r="N27" s="1032"/>
      <c r="O27" s="1032"/>
      <c r="P27" s="1032"/>
      <c r="Q27" s="1032">
        <f t="shared" si="13"/>
        <v>0</v>
      </c>
      <c r="R27" s="1033"/>
      <c r="S27" s="1033"/>
      <c r="T27" s="1033"/>
      <c r="U27" s="1033"/>
      <c r="V27" s="1360"/>
      <c r="W27" s="1034">
        <f t="shared" si="14"/>
        <v>0</v>
      </c>
      <c r="X27" s="1034">
        <v>182320.20172084222</v>
      </c>
      <c r="Y27" s="1033">
        <v>98136.208279157785</v>
      </c>
      <c r="Z27" s="1033">
        <v>51442.239999999998</v>
      </c>
      <c r="AA27" s="1033">
        <v>5176.7700000000004</v>
      </c>
      <c r="AB27" s="1360">
        <v>0</v>
      </c>
      <c r="AC27" s="1034">
        <f t="shared" si="15"/>
        <v>337075.42000000004</v>
      </c>
      <c r="AD27" s="1034">
        <v>40701.11</v>
      </c>
      <c r="AE27" s="1033">
        <v>0</v>
      </c>
      <c r="AF27" s="1033">
        <v>78710.91</v>
      </c>
      <c r="AG27" s="1033">
        <v>697.65</v>
      </c>
      <c r="AH27" s="1360">
        <v>0</v>
      </c>
      <c r="AI27" s="1034">
        <f t="shared" si="16"/>
        <v>120109.67</v>
      </c>
      <c r="AJ27" s="1034"/>
      <c r="AK27" s="1033"/>
      <c r="AL27" s="1033"/>
      <c r="AM27" s="1033"/>
      <c r="AN27" s="1360"/>
      <c r="AO27" s="1034">
        <f t="shared" si="17"/>
        <v>0</v>
      </c>
    </row>
    <row r="28" spans="1:41" ht="15" customHeight="1" x14ac:dyDescent="0.25">
      <c r="A28" s="711" t="s">
        <v>62</v>
      </c>
      <c r="B28" s="710" t="s">
        <v>63</v>
      </c>
      <c r="C28" s="914" t="s">
        <v>267</v>
      </c>
      <c r="D28" s="1029">
        <f t="shared" si="7"/>
        <v>1603314.8073186732</v>
      </c>
      <c r="E28" s="1030">
        <f t="shared" si="8"/>
        <v>608592.3526813268</v>
      </c>
      <c r="F28" s="1031">
        <f t="shared" si="9"/>
        <v>1182501.82</v>
      </c>
      <c r="G28" s="1367">
        <f t="shared" si="10"/>
        <v>129035.66</v>
      </c>
      <c r="H28" s="1369">
        <f t="shared" si="11"/>
        <v>0</v>
      </c>
      <c r="I28" s="1369">
        <f t="shared" si="12"/>
        <v>3523444.6399999997</v>
      </c>
      <c r="J28" s="1370">
        <f t="shared" si="1"/>
        <v>129035.66</v>
      </c>
      <c r="K28" s="1365">
        <f t="shared" si="2"/>
        <v>1311537.48</v>
      </c>
      <c r="L28" s="1032">
        <v>35021.81</v>
      </c>
      <c r="M28" s="1032">
        <v>0</v>
      </c>
      <c r="N28" s="1032">
        <v>11509.98</v>
      </c>
      <c r="O28" s="1032">
        <v>-0.12</v>
      </c>
      <c r="P28" s="1032">
        <v>0</v>
      </c>
      <c r="Q28" s="1032">
        <f t="shared" si="13"/>
        <v>46531.669999999991</v>
      </c>
      <c r="R28" s="1033">
        <v>6112.5</v>
      </c>
      <c r="S28" s="1033">
        <v>2042.55</v>
      </c>
      <c r="T28" s="1033">
        <v>0</v>
      </c>
      <c r="U28" s="1033">
        <v>-0.05</v>
      </c>
      <c r="V28" s="1360">
        <v>0</v>
      </c>
      <c r="W28" s="1034">
        <f t="shared" si="14"/>
        <v>8155</v>
      </c>
      <c r="X28" s="1034">
        <v>1120412.0573186732</v>
      </c>
      <c r="Y28" s="1033">
        <v>606549.80268132675</v>
      </c>
      <c r="Z28" s="1033">
        <v>316778.55</v>
      </c>
      <c r="AA28" s="1033">
        <v>105321.47</v>
      </c>
      <c r="AB28" s="1360">
        <v>0</v>
      </c>
      <c r="AC28" s="1034">
        <f t="shared" si="15"/>
        <v>2149061.88</v>
      </c>
      <c r="AD28" s="1034">
        <v>441768.44</v>
      </c>
      <c r="AE28" s="1033">
        <v>0</v>
      </c>
      <c r="AF28" s="1033">
        <v>854213.29</v>
      </c>
      <c r="AG28" s="1033">
        <v>23714.36</v>
      </c>
      <c r="AH28" s="1360">
        <v>0</v>
      </c>
      <c r="AI28" s="1034">
        <f t="shared" si="16"/>
        <v>1319696.0900000001</v>
      </c>
      <c r="AJ28" s="1034"/>
      <c r="AK28" s="1033"/>
      <c r="AL28" s="1033"/>
      <c r="AM28" s="1033"/>
      <c r="AN28" s="1360"/>
      <c r="AO28" s="1034">
        <f t="shared" si="17"/>
        <v>0</v>
      </c>
    </row>
    <row r="29" spans="1:41" ht="15" customHeight="1" x14ac:dyDescent="0.25">
      <c r="A29" s="711" t="s">
        <v>64</v>
      </c>
      <c r="B29" s="710" t="s">
        <v>65</v>
      </c>
      <c r="C29" s="914" t="s">
        <v>266</v>
      </c>
      <c r="D29" s="1029">
        <f t="shared" si="7"/>
        <v>477847.1984922695</v>
      </c>
      <c r="E29" s="1030">
        <f t="shared" si="8"/>
        <v>214680.72150773049</v>
      </c>
      <c r="F29" s="1031">
        <f t="shared" si="9"/>
        <v>263336.53000000003</v>
      </c>
      <c r="G29" s="1367">
        <f t="shared" si="10"/>
        <v>6639.87</v>
      </c>
      <c r="H29" s="1369">
        <f t="shared" si="11"/>
        <v>0</v>
      </c>
      <c r="I29" s="1369">
        <f t="shared" si="12"/>
        <v>962504.32000000007</v>
      </c>
      <c r="J29" s="1370">
        <f t="shared" si="1"/>
        <v>6639.87</v>
      </c>
      <c r="K29" s="1365">
        <f t="shared" si="2"/>
        <v>269976.40000000002</v>
      </c>
      <c r="L29" s="1032"/>
      <c r="M29" s="1032"/>
      <c r="N29" s="1032"/>
      <c r="O29" s="1032"/>
      <c r="P29" s="1032"/>
      <c r="Q29" s="1032">
        <f t="shared" si="13"/>
        <v>0</v>
      </c>
      <c r="R29" s="1033"/>
      <c r="S29" s="1033"/>
      <c r="T29" s="1033"/>
      <c r="U29" s="1033"/>
      <c r="V29" s="1360"/>
      <c r="W29" s="1034">
        <f t="shared" si="14"/>
        <v>0</v>
      </c>
      <c r="X29" s="1034">
        <v>400047.06849226949</v>
      </c>
      <c r="Y29" s="1033">
        <v>214680.72150773049</v>
      </c>
      <c r="Z29" s="1033">
        <v>112758.8</v>
      </c>
      <c r="AA29" s="1033">
        <v>5701.41</v>
      </c>
      <c r="AB29" s="1360">
        <v>0</v>
      </c>
      <c r="AC29" s="1034">
        <f t="shared" si="15"/>
        <v>733188.00000000012</v>
      </c>
      <c r="AD29" s="1034">
        <v>77800.13</v>
      </c>
      <c r="AE29" s="1033">
        <v>0</v>
      </c>
      <c r="AF29" s="1033">
        <v>150577.73000000001</v>
      </c>
      <c r="AG29" s="1033">
        <v>938.46</v>
      </c>
      <c r="AH29" s="1360">
        <v>0</v>
      </c>
      <c r="AI29" s="1034">
        <f t="shared" si="16"/>
        <v>229316.32</v>
      </c>
      <c r="AJ29" s="1034"/>
      <c r="AK29" s="1033"/>
      <c r="AL29" s="1033"/>
      <c r="AM29" s="1033"/>
      <c r="AN29" s="1360"/>
      <c r="AO29" s="1034">
        <f t="shared" si="17"/>
        <v>0</v>
      </c>
    </row>
    <row r="30" spans="1:41" ht="15" customHeight="1" x14ac:dyDescent="0.25">
      <c r="A30" s="711" t="s">
        <v>68</v>
      </c>
      <c r="B30" s="710" t="s">
        <v>69</v>
      </c>
      <c r="C30" s="914" t="s">
        <v>268</v>
      </c>
      <c r="D30" s="1029">
        <f t="shared" si="7"/>
        <v>1347553.7303758494</v>
      </c>
      <c r="E30" s="1030">
        <f t="shared" si="8"/>
        <v>607607.92962415051</v>
      </c>
      <c r="F30" s="1031">
        <f t="shared" si="9"/>
        <v>734649.67</v>
      </c>
      <c r="G30" s="1367">
        <f t="shared" si="10"/>
        <v>48398.82</v>
      </c>
      <c r="H30" s="1369">
        <f t="shared" si="11"/>
        <v>0</v>
      </c>
      <c r="I30" s="1369">
        <f t="shared" si="12"/>
        <v>2738210.15</v>
      </c>
      <c r="J30" s="1370">
        <f t="shared" si="1"/>
        <v>48398.82</v>
      </c>
      <c r="K30" s="1365">
        <f t="shared" si="2"/>
        <v>783048.49</v>
      </c>
      <c r="L30" s="1032"/>
      <c r="M30" s="1032"/>
      <c r="N30" s="1032"/>
      <c r="O30" s="1032"/>
      <c r="P30" s="1032"/>
      <c r="Q30" s="1032">
        <f t="shared" si="13"/>
        <v>0</v>
      </c>
      <c r="R30" s="1033"/>
      <c r="S30" s="1033"/>
      <c r="T30" s="1033"/>
      <c r="U30" s="1033"/>
      <c r="V30" s="1360"/>
      <c r="W30" s="1034">
        <f t="shared" si="14"/>
        <v>0</v>
      </c>
      <c r="X30" s="1034">
        <v>1132935.5203758494</v>
      </c>
      <c r="Y30" s="1033">
        <v>607607.92962415051</v>
      </c>
      <c r="Z30" s="1033">
        <v>319267.27</v>
      </c>
      <c r="AA30" s="1033">
        <v>20591.009999999998</v>
      </c>
      <c r="AB30" s="1360">
        <v>0</v>
      </c>
      <c r="AC30" s="1034">
        <f t="shared" si="15"/>
        <v>2080401.73</v>
      </c>
      <c r="AD30" s="1034">
        <v>214618.21</v>
      </c>
      <c r="AE30" s="1033">
        <v>0</v>
      </c>
      <c r="AF30" s="1033">
        <v>415382.4</v>
      </c>
      <c r="AG30" s="1033">
        <v>27807.81</v>
      </c>
      <c r="AH30" s="1360">
        <v>0</v>
      </c>
      <c r="AI30" s="1034">
        <f t="shared" si="16"/>
        <v>657808.42000000004</v>
      </c>
      <c r="AJ30" s="1034"/>
      <c r="AK30" s="1033"/>
      <c r="AL30" s="1033"/>
      <c r="AM30" s="1033"/>
      <c r="AN30" s="1360"/>
      <c r="AO30" s="1034">
        <f t="shared" si="17"/>
        <v>0</v>
      </c>
    </row>
    <row r="31" spans="1:41" ht="15" customHeight="1" x14ac:dyDescent="0.25">
      <c r="A31" s="711" t="s">
        <v>70</v>
      </c>
      <c r="B31" s="710" t="s">
        <v>71</v>
      </c>
      <c r="C31" s="914" t="s">
        <v>264</v>
      </c>
      <c r="D31" s="1029">
        <f t="shared" si="7"/>
        <v>946449.26030497707</v>
      </c>
      <c r="E31" s="1030">
        <f t="shared" si="8"/>
        <v>474650.879695023</v>
      </c>
      <c r="F31" s="1031">
        <f t="shared" si="9"/>
        <v>360704.25</v>
      </c>
      <c r="G31" s="1367">
        <f t="shared" si="10"/>
        <v>14444.630000000001</v>
      </c>
      <c r="H31" s="1369">
        <f t="shared" si="11"/>
        <v>0</v>
      </c>
      <c r="I31" s="1369">
        <f t="shared" si="12"/>
        <v>1796249.02</v>
      </c>
      <c r="J31" s="1370">
        <f t="shared" si="1"/>
        <v>14444.630000000001</v>
      </c>
      <c r="K31" s="1365">
        <f t="shared" si="2"/>
        <v>375148.88</v>
      </c>
      <c r="L31" s="1032"/>
      <c r="M31" s="1032"/>
      <c r="N31" s="1032"/>
      <c r="O31" s="1032"/>
      <c r="P31" s="1032"/>
      <c r="Q31" s="1032">
        <f t="shared" si="13"/>
        <v>0</v>
      </c>
      <c r="R31" s="1033">
        <v>3082.92</v>
      </c>
      <c r="S31" s="1033">
        <v>1057.3399999999999</v>
      </c>
      <c r="T31" s="1033">
        <v>0</v>
      </c>
      <c r="U31" s="1033">
        <v>0</v>
      </c>
      <c r="V31" s="1360">
        <v>0</v>
      </c>
      <c r="W31" s="1034">
        <f t="shared" si="14"/>
        <v>4140.26</v>
      </c>
      <c r="X31" s="1034">
        <v>886347.04030497698</v>
      </c>
      <c r="Y31" s="1033">
        <v>473593.53969502298</v>
      </c>
      <c r="Z31" s="1033">
        <v>249453.98</v>
      </c>
      <c r="AA31" s="1033">
        <v>11962.44</v>
      </c>
      <c r="AB31" s="1360">
        <v>0</v>
      </c>
      <c r="AC31" s="1034">
        <f t="shared" si="15"/>
        <v>1621357</v>
      </c>
      <c r="AD31" s="1034">
        <v>57019.3</v>
      </c>
      <c r="AE31" s="1033">
        <v>0</v>
      </c>
      <c r="AF31" s="1033">
        <v>111250.27</v>
      </c>
      <c r="AG31" s="1033">
        <v>2482.19</v>
      </c>
      <c r="AH31" s="1360">
        <v>0</v>
      </c>
      <c r="AI31" s="1034">
        <f t="shared" si="16"/>
        <v>170751.76</v>
      </c>
      <c r="AJ31" s="1034"/>
      <c r="AK31" s="1033"/>
      <c r="AL31" s="1033"/>
      <c r="AM31" s="1033"/>
      <c r="AN31" s="1360"/>
      <c r="AO31" s="1034">
        <f t="shared" si="17"/>
        <v>0</v>
      </c>
    </row>
    <row r="32" spans="1:41" ht="15" customHeight="1" x14ac:dyDescent="0.25">
      <c r="A32" s="711" t="s">
        <v>72</v>
      </c>
      <c r="B32" s="710" t="s">
        <v>73</v>
      </c>
      <c r="C32" s="914" t="s">
        <v>266</v>
      </c>
      <c r="D32" s="1029">
        <f t="shared" si="7"/>
        <v>545122.90016491222</v>
      </c>
      <c r="E32" s="1030">
        <f t="shared" si="8"/>
        <v>214240.64983508782</v>
      </c>
      <c r="F32" s="1031">
        <f t="shared" si="9"/>
        <v>400641.33</v>
      </c>
      <c r="G32" s="1367">
        <f t="shared" si="10"/>
        <v>25917.42</v>
      </c>
      <c r="H32" s="1369">
        <f t="shared" si="11"/>
        <v>0</v>
      </c>
      <c r="I32" s="1369">
        <f t="shared" si="12"/>
        <v>1185922.3</v>
      </c>
      <c r="J32" s="1370">
        <f t="shared" si="1"/>
        <v>25917.42</v>
      </c>
      <c r="K32" s="1365">
        <f t="shared" si="2"/>
        <v>426558.75</v>
      </c>
      <c r="L32" s="1032"/>
      <c r="M32" s="1032"/>
      <c r="N32" s="1032"/>
      <c r="O32" s="1032"/>
      <c r="P32" s="1032"/>
      <c r="Q32" s="1032">
        <f t="shared" si="13"/>
        <v>0</v>
      </c>
      <c r="R32" s="1033"/>
      <c r="S32" s="1033"/>
      <c r="T32" s="1033"/>
      <c r="U32" s="1033"/>
      <c r="V32" s="1360"/>
      <c r="W32" s="1034">
        <f t="shared" si="14"/>
        <v>0</v>
      </c>
      <c r="X32" s="1034">
        <v>395774.30016491219</v>
      </c>
      <c r="Y32" s="1033">
        <v>214240.64983508782</v>
      </c>
      <c r="Z32" s="1033">
        <v>111894.26</v>
      </c>
      <c r="AA32" s="1033">
        <v>11909.18</v>
      </c>
      <c r="AB32" s="1360">
        <v>0</v>
      </c>
      <c r="AC32" s="1034">
        <f t="shared" si="15"/>
        <v>733818.39</v>
      </c>
      <c r="AD32" s="1034">
        <v>149348.6</v>
      </c>
      <c r="AE32" s="1033">
        <v>0</v>
      </c>
      <c r="AF32" s="1033">
        <v>288747.07</v>
      </c>
      <c r="AG32" s="1033">
        <v>14008.24</v>
      </c>
      <c r="AH32" s="1360">
        <v>0</v>
      </c>
      <c r="AI32" s="1034">
        <f t="shared" si="16"/>
        <v>452103.91000000003</v>
      </c>
      <c r="AJ32" s="1034"/>
      <c r="AK32" s="1033"/>
      <c r="AL32" s="1033"/>
      <c r="AM32" s="1033"/>
      <c r="AN32" s="1360"/>
      <c r="AO32" s="1034">
        <f t="shared" si="17"/>
        <v>0</v>
      </c>
    </row>
    <row r="33" spans="1:41" ht="15" customHeight="1" x14ac:dyDescent="0.25">
      <c r="A33" s="711" t="s">
        <v>74</v>
      </c>
      <c r="B33" s="710" t="s">
        <v>302</v>
      </c>
      <c r="C33" s="914" t="s">
        <v>267</v>
      </c>
      <c r="D33" s="1029">
        <f t="shared" si="7"/>
        <v>27040934.233092949</v>
      </c>
      <c r="E33" s="1030">
        <f t="shared" si="8"/>
        <v>6797309.1469070502</v>
      </c>
      <c r="F33" s="1031">
        <f t="shared" si="9"/>
        <v>30622398.260000002</v>
      </c>
      <c r="G33" s="1367">
        <f t="shared" si="10"/>
        <v>3209247.4699999997</v>
      </c>
      <c r="H33" s="1369">
        <f t="shared" si="11"/>
        <v>0</v>
      </c>
      <c r="I33" s="1369">
        <f t="shared" si="12"/>
        <v>67669889.110000014</v>
      </c>
      <c r="J33" s="1370">
        <f t="shared" si="1"/>
        <v>3209247.4699999997</v>
      </c>
      <c r="K33" s="1365">
        <f t="shared" si="2"/>
        <v>33831645.730000004</v>
      </c>
      <c r="L33" s="1032">
        <v>58873.2</v>
      </c>
      <c r="M33" s="1032">
        <v>0</v>
      </c>
      <c r="N33" s="1032">
        <v>19319.57</v>
      </c>
      <c r="O33" s="1032">
        <v>-0.18</v>
      </c>
      <c r="P33" s="1032">
        <v>0</v>
      </c>
      <c r="Q33" s="1032">
        <f t="shared" si="13"/>
        <v>78192.59</v>
      </c>
      <c r="R33" s="1033">
        <v>35892.68</v>
      </c>
      <c r="S33" s="1033">
        <v>11742.25</v>
      </c>
      <c r="T33" s="1033">
        <v>0</v>
      </c>
      <c r="U33" s="1033">
        <v>-0.01</v>
      </c>
      <c r="V33" s="1360">
        <v>0</v>
      </c>
      <c r="W33" s="1034">
        <f t="shared" si="14"/>
        <v>47634.92</v>
      </c>
      <c r="X33" s="1034">
        <v>12373242.883092949</v>
      </c>
      <c r="Y33" s="1033">
        <v>6785566.8969070502</v>
      </c>
      <c r="Z33" s="1033">
        <v>3514337.93</v>
      </c>
      <c r="AA33" s="1033">
        <v>-0.37</v>
      </c>
      <c r="AB33" s="1360">
        <v>0</v>
      </c>
      <c r="AC33" s="1034">
        <f t="shared" si="15"/>
        <v>22673147.34</v>
      </c>
      <c r="AD33" s="1034">
        <v>14572925.470000001</v>
      </c>
      <c r="AE33" s="1033">
        <v>0</v>
      </c>
      <c r="AF33" s="1033">
        <v>27088740.760000002</v>
      </c>
      <c r="AG33" s="1033">
        <v>3209248.03</v>
      </c>
      <c r="AH33" s="1360">
        <v>0</v>
      </c>
      <c r="AI33" s="1034">
        <f t="shared" si="16"/>
        <v>44870914.260000005</v>
      </c>
      <c r="AJ33" s="1034"/>
      <c r="AK33" s="1033"/>
      <c r="AL33" s="1033"/>
      <c r="AM33" s="1033"/>
      <c r="AN33" s="1360"/>
      <c r="AO33" s="1034">
        <f t="shared" si="17"/>
        <v>0</v>
      </c>
    </row>
    <row r="34" spans="1:41" ht="15" customHeight="1" x14ac:dyDescent="0.25">
      <c r="A34" s="711" t="s">
        <v>76</v>
      </c>
      <c r="B34" s="710" t="s">
        <v>77</v>
      </c>
      <c r="C34" s="914" t="s">
        <v>267</v>
      </c>
      <c r="D34" s="1029">
        <f t="shared" si="7"/>
        <v>1608253.3485384593</v>
      </c>
      <c r="E34" s="1030">
        <f t="shared" si="8"/>
        <v>522240.41146154073</v>
      </c>
      <c r="F34" s="1031">
        <f t="shared" si="9"/>
        <v>1532684.78</v>
      </c>
      <c r="G34" s="1367">
        <f t="shared" si="10"/>
        <v>82069.98000000001</v>
      </c>
      <c r="H34" s="1369">
        <f t="shared" si="11"/>
        <v>0</v>
      </c>
      <c r="I34" s="1369">
        <f t="shared" si="12"/>
        <v>3745248.52</v>
      </c>
      <c r="J34" s="1370">
        <f t="shared" si="1"/>
        <v>82069.98000000001</v>
      </c>
      <c r="K34" s="1365">
        <f t="shared" si="2"/>
        <v>1614754.76</v>
      </c>
      <c r="L34" s="1032"/>
      <c r="M34" s="1032"/>
      <c r="N34" s="1032"/>
      <c r="O34" s="1032"/>
      <c r="P34" s="1032"/>
      <c r="Q34" s="1032">
        <f t="shared" si="13"/>
        <v>0</v>
      </c>
      <c r="R34" s="1033">
        <v>12872.54</v>
      </c>
      <c r="S34" s="1033">
        <v>4217.4799999999996</v>
      </c>
      <c r="T34" s="1033">
        <v>0</v>
      </c>
      <c r="U34" s="1033">
        <v>-0.02</v>
      </c>
      <c r="V34" s="1360">
        <v>0</v>
      </c>
      <c r="W34" s="1034">
        <f t="shared" si="14"/>
        <v>17090</v>
      </c>
      <c r="X34" s="1034">
        <v>944128.83853845927</v>
      </c>
      <c r="Y34" s="1033">
        <v>518022.93146154075</v>
      </c>
      <c r="Z34" s="1033">
        <v>268203.59000000003</v>
      </c>
      <c r="AA34" s="1033">
        <v>45583.14</v>
      </c>
      <c r="AB34" s="1360">
        <v>0</v>
      </c>
      <c r="AC34" s="1034">
        <f t="shared" si="15"/>
        <v>1775938.5</v>
      </c>
      <c r="AD34" s="1034">
        <v>651251.97</v>
      </c>
      <c r="AE34" s="1033">
        <v>0</v>
      </c>
      <c r="AF34" s="1033">
        <v>1264481.19</v>
      </c>
      <c r="AG34" s="1033">
        <v>36486.86</v>
      </c>
      <c r="AH34" s="1360">
        <v>0</v>
      </c>
      <c r="AI34" s="1034">
        <f t="shared" si="16"/>
        <v>1952220.02</v>
      </c>
      <c r="AJ34" s="1034"/>
      <c r="AK34" s="1033"/>
      <c r="AL34" s="1033"/>
      <c r="AM34" s="1033"/>
      <c r="AN34" s="1360"/>
      <c r="AO34" s="1034">
        <f t="shared" si="17"/>
        <v>0</v>
      </c>
    </row>
    <row r="35" spans="1:41" ht="15" customHeight="1" x14ac:dyDescent="0.25">
      <c r="A35" s="711" t="s">
        <v>78</v>
      </c>
      <c r="B35" s="710" t="s">
        <v>79</v>
      </c>
      <c r="C35" s="914" t="s">
        <v>268</v>
      </c>
      <c r="D35" s="1029">
        <f t="shared" si="7"/>
        <v>435421.83251639019</v>
      </c>
      <c r="E35" s="1030">
        <f t="shared" si="8"/>
        <v>204301.0274836098</v>
      </c>
      <c r="F35" s="1031">
        <f t="shared" si="9"/>
        <v>212489.19</v>
      </c>
      <c r="G35" s="1367">
        <f t="shared" si="10"/>
        <v>1532.81</v>
      </c>
      <c r="H35" s="1369">
        <f t="shared" si="11"/>
        <v>0</v>
      </c>
      <c r="I35" s="1369">
        <f t="shared" si="12"/>
        <v>853744.8600000001</v>
      </c>
      <c r="J35" s="1370">
        <f t="shared" si="1"/>
        <v>1532.81</v>
      </c>
      <c r="K35" s="1365">
        <f t="shared" si="2"/>
        <v>214022</v>
      </c>
      <c r="L35" s="1032"/>
      <c r="M35" s="1032"/>
      <c r="N35" s="1032"/>
      <c r="O35" s="1032"/>
      <c r="P35" s="1032"/>
      <c r="Q35" s="1032">
        <f t="shared" si="13"/>
        <v>0</v>
      </c>
      <c r="R35" s="1033"/>
      <c r="S35" s="1033"/>
      <c r="T35" s="1033"/>
      <c r="U35" s="1033"/>
      <c r="V35" s="1360"/>
      <c r="W35" s="1034">
        <f t="shared" si="14"/>
        <v>0</v>
      </c>
      <c r="X35" s="1034">
        <v>381115.07251639018</v>
      </c>
      <c r="Y35" s="1033">
        <v>204301.0274836098</v>
      </c>
      <c r="Z35" s="1033">
        <v>107381.75</v>
      </c>
      <c r="AA35" s="1033">
        <v>1091.43</v>
      </c>
      <c r="AB35" s="1360">
        <v>0</v>
      </c>
      <c r="AC35" s="1034">
        <f t="shared" si="15"/>
        <v>693889.28</v>
      </c>
      <c r="AD35" s="1034">
        <v>54306.76</v>
      </c>
      <c r="AE35" s="1033">
        <v>0</v>
      </c>
      <c r="AF35" s="1033">
        <v>105107.44</v>
      </c>
      <c r="AG35" s="1033">
        <v>441.38</v>
      </c>
      <c r="AH35" s="1360">
        <v>0</v>
      </c>
      <c r="AI35" s="1034">
        <f t="shared" si="16"/>
        <v>159855.58000000002</v>
      </c>
      <c r="AJ35" s="1034"/>
      <c r="AK35" s="1033"/>
      <c r="AL35" s="1033"/>
      <c r="AM35" s="1033"/>
      <c r="AN35" s="1360"/>
      <c r="AO35" s="1034">
        <f t="shared" si="17"/>
        <v>0</v>
      </c>
    </row>
    <row r="36" spans="1:41" ht="15" customHeight="1" x14ac:dyDescent="0.25">
      <c r="A36" s="711" t="s">
        <v>80</v>
      </c>
      <c r="B36" s="710" t="s">
        <v>81</v>
      </c>
      <c r="C36" s="914" t="s">
        <v>266</v>
      </c>
      <c r="D36" s="1029">
        <f t="shared" si="7"/>
        <v>727215.19073561323</v>
      </c>
      <c r="E36" s="1030">
        <f t="shared" si="8"/>
        <v>263326.47926438681</v>
      </c>
      <c r="F36" s="1031">
        <f t="shared" si="9"/>
        <v>596659.53</v>
      </c>
      <c r="G36" s="1367">
        <f t="shared" si="10"/>
        <v>27395.35</v>
      </c>
      <c r="H36" s="1369">
        <f t="shared" si="11"/>
        <v>0</v>
      </c>
      <c r="I36" s="1369">
        <f t="shared" si="12"/>
        <v>1614596.55</v>
      </c>
      <c r="J36" s="1370">
        <f t="shared" ref="J36:J67" si="18">G36+H36</f>
        <v>27395.35</v>
      </c>
      <c r="K36" s="1365">
        <f t="shared" ref="K36:K67" si="19">F36+J36</f>
        <v>624054.88</v>
      </c>
      <c r="L36" s="1032"/>
      <c r="M36" s="1032"/>
      <c r="N36" s="1032"/>
      <c r="O36" s="1032"/>
      <c r="P36" s="1032"/>
      <c r="Q36" s="1032">
        <f t="shared" si="13"/>
        <v>0</v>
      </c>
      <c r="R36" s="1033">
        <v>3106.76</v>
      </c>
      <c r="S36" s="1033">
        <v>997.58</v>
      </c>
      <c r="T36" s="1033">
        <v>0</v>
      </c>
      <c r="U36" s="1033">
        <v>-0.02</v>
      </c>
      <c r="V36" s="1360">
        <v>0</v>
      </c>
      <c r="W36" s="1034">
        <f t="shared" si="14"/>
        <v>4104.32</v>
      </c>
      <c r="X36" s="1034">
        <v>487677.18073561322</v>
      </c>
      <c r="Y36" s="1033">
        <v>262328.8992643868</v>
      </c>
      <c r="Z36" s="1033">
        <v>137573.5</v>
      </c>
      <c r="AA36" s="1033">
        <v>17378.82</v>
      </c>
      <c r="AB36" s="1360">
        <v>0</v>
      </c>
      <c r="AC36" s="1034">
        <f t="shared" si="15"/>
        <v>904958.4</v>
      </c>
      <c r="AD36" s="1034">
        <v>236431.25</v>
      </c>
      <c r="AE36" s="1033">
        <v>0</v>
      </c>
      <c r="AF36" s="1033">
        <v>459086.03</v>
      </c>
      <c r="AG36" s="1033">
        <v>10016.549999999999</v>
      </c>
      <c r="AH36" s="1360">
        <v>0</v>
      </c>
      <c r="AI36" s="1034">
        <f t="shared" si="16"/>
        <v>705533.83000000007</v>
      </c>
      <c r="AJ36" s="1034"/>
      <c r="AK36" s="1033"/>
      <c r="AL36" s="1033"/>
      <c r="AM36" s="1033"/>
      <c r="AN36" s="1360"/>
      <c r="AO36" s="1034">
        <f t="shared" si="17"/>
        <v>0</v>
      </c>
    </row>
    <row r="37" spans="1:41" ht="15" customHeight="1" x14ac:dyDescent="0.25">
      <c r="A37" s="711" t="s">
        <v>84</v>
      </c>
      <c r="B37" s="710" t="s">
        <v>308</v>
      </c>
      <c r="C37" s="914" t="s">
        <v>265</v>
      </c>
      <c r="D37" s="1029">
        <f t="shared" ref="D37:D68" si="20">L37+R37+X37+AD37+AJ37</f>
        <v>1630212.7518568696</v>
      </c>
      <c r="E37" s="1030">
        <f t="shared" ref="E37:E68" si="21">M37+S37+Y37+AE37+AK37</f>
        <v>655492.5881431303</v>
      </c>
      <c r="F37" s="1031">
        <f t="shared" ref="F37:F68" si="22">N37+T37+Z37+AF37+AL37</f>
        <v>1128707.02</v>
      </c>
      <c r="G37" s="1367">
        <f t="shared" ref="G37:G68" si="23">O37+U37+AA37+AG37+AM37</f>
        <v>15189.900000000001</v>
      </c>
      <c r="H37" s="1369">
        <f t="shared" ref="H37:H68" si="24">P37+V37+AB37+AH37+AN37</f>
        <v>0</v>
      </c>
      <c r="I37" s="1369">
        <f t="shared" ref="I37:I68" si="25">Q37+W37+AC37+AI37+AO37</f>
        <v>3429602.26</v>
      </c>
      <c r="J37" s="1370">
        <f t="shared" si="18"/>
        <v>15189.900000000001</v>
      </c>
      <c r="K37" s="1365">
        <f t="shared" si="19"/>
        <v>1143896.92</v>
      </c>
      <c r="L37" s="1032"/>
      <c r="M37" s="1032"/>
      <c r="N37" s="1032"/>
      <c r="O37" s="1032"/>
      <c r="P37" s="1032"/>
      <c r="Q37" s="1032">
        <f t="shared" ref="Q37:Q68" si="26">SUM(L37:P37)</f>
        <v>0</v>
      </c>
      <c r="R37" s="1033">
        <v>20511.45</v>
      </c>
      <c r="S37" s="1033">
        <v>6788.57</v>
      </c>
      <c r="T37" s="1033">
        <v>0</v>
      </c>
      <c r="U37" s="1033">
        <v>-0.02</v>
      </c>
      <c r="V37" s="1360">
        <v>0</v>
      </c>
      <c r="W37" s="1034">
        <f t="shared" ref="W37:W68" si="27">SUM(R37:V37)</f>
        <v>27300</v>
      </c>
      <c r="X37" s="1034">
        <v>1201546.4418568695</v>
      </c>
      <c r="Y37" s="1033">
        <v>648704.01814313035</v>
      </c>
      <c r="Z37" s="1033">
        <v>339392.84</v>
      </c>
      <c r="AA37" s="1033">
        <v>10535.37</v>
      </c>
      <c r="AB37" s="1360">
        <v>0</v>
      </c>
      <c r="AC37" s="1034">
        <f t="shared" ref="AC37:AC68" si="28">SUM(X37:AB37)</f>
        <v>2200178.67</v>
      </c>
      <c r="AD37" s="1034">
        <v>408154.86</v>
      </c>
      <c r="AE37" s="1033">
        <v>0</v>
      </c>
      <c r="AF37" s="1033">
        <v>789314.18</v>
      </c>
      <c r="AG37" s="1033">
        <v>4654.55</v>
      </c>
      <c r="AH37" s="1360">
        <v>0</v>
      </c>
      <c r="AI37" s="1034">
        <f t="shared" ref="AI37:AI68" si="29">SUM(AD37:AH37)</f>
        <v>1202123.5900000001</v>
      </c>
      <c r="AJ37" s="1034"/>
      <c r="AK37" s="1033"/>
      <c r="AL37" s="1033"/>
      <c r="AM37" s="1033"/>
      <c r="AN37" s="1360"/>
      <c r="AO37" s="1034">
        <f t="shared" ref="AO37:AO68" si="30">SUM(AJ37:AN37)</f>
        <v>0</v>
      </c>
    </row>
    <row r="38" spans="1:41" ht="15" customHeight="1" x14ac:dyDescent="0.25">
      <c r="A38" s="711" t="s">
        <v>86</v>
      </c>
      <c r="B38" s="710" t="s">
        <v>87</v>
      </c>
      <c r="C38" s="914" t="s">
        <v>267</v>
      </c>
      <c r="D38" s="1029">
        <f t="shared" si="20"/>
        <v>2039622.7107079099</v>
      </c>
      <c r="E38" s="1030">
        <f t="shared" si="21"/>
        <v>585903.37929208996</v>
      </c>
      <c r="F38" s="1031">
        <f t="shared" si="22"/>
        <v>2184823.79</v>
      </c>
      <c r="G38" s="1367">
        <f t="shared" si="23"/>
        <v>-384.33</v>
      </c>
      <c r="H38" s="1369">
        <f t="shared" si="24"/>
        <v>0</v>
      </c>
      <c r="I38" s="1369">
        <f t="shared" si="25"/>
        <v>4809965.55</v>
      </c>
      <c r="J38" s="1370">
        <f t="shared" si="18"/>
        <v>-384.33</v>
      </c>
      <c r="K38" s="1365">
        <f t="shared" si="19"/>
        <v>2184439.46</v>
      </c>
      <c r="L38" s="1032"/>
      <c r="M38" s="1032"/>
      <c r="N38" s="1032"/>
      <c r="O38" s="1032"/>
      <c r="P38" s="1032"/>
      <c r="Q38" s="1032">
        <f t="shared" si="26"/>
        <v>0</v>
      </c>
      <c r="R38" s="1033">
        <v>6037.76</v>
      </c>
      <c r="S38" s="1033">
        <v>2004.99</v>
      </c>
      <c r="T38" s="1033">
        <v>0</v>
      </c>
      <c r="U38" s="1033">
        <v>-0.02</v>
      </c>
      <c r="V38" s="1360">
        <v>0</v>
      </c>
      <c r="W38" s="1034">
        <f t="shared" si="27"/>
        <v>8042.73</v>
      </c>
      <c r="X38" s="1034">
        <v>1063656.9507079099</v>
      </c>
      <c r="Y38" s="1033">
        <v>583898.38929208997</v>
      </c>
      <c r="Z38" s="1033">
        <v>302213.03999999998</v>
      </c>
      <c r="AA38" s="1033">
        <v>-340.58</v>
      </c>
      <c r="AB38" s="1360">
        <v>0</v>
      </c>
      <c r="AC38" s="1034">
        <f t="shared" si="28"/>
        <v>1949427.7999999998</v>
      </c>
      <c r="AD38" s="1034">
        <v>969928</v>
      </c>
      <c r="AE38" s="1033">
        <v>0</v>
      </c>
      <c r="AF38" s="1033">
        <v>1882610.75</v>
      </c>
      <c r="AG38" s="1033">
        <v>-43.73</v>
      </c>
      <c r="AH38" s="1360">
        <v>0</v>
      </c>
      <c r="AI38" s="1034">
        <f t="shared" si="29"/>
        <v>2852495.02</v>
      </c>
      <c r="AJ38" s="1034"/>
      <c r="AK38" s="1033"/>
      <c r="AL38" s="1033"/>
      <c r="AM38" s="1033"/>
      <c r="AN38" s="1360"/>
      <c r="AO38" s="1034">
        <f t="shared" si="30"/>
        <v>0</v>
      </c>
    </row>
    <row r="39" spans="1:41" ht="15" customHeight="1" x14ac:dyDescent="0.25">
      <c r="A39" s="711" t="s">
        <v>92</v>
      </c>
      <c r="B39" s="710" t="s">
        <v>93</v>
      </c>
      <c r="C39" s="914" t="s">
        <v>268</v>
      </c>
      <c r="D39" s="1029">
        <f t="shared" si="20"/>
        <v>681079.64460670238</v>
      </c>
      <c r="E39" s="1030">
        <f t="shared" si="21"/>
        <v>352728.22539329762</v>
      </c>
      <c r="F39" s="1031">
        <f t="shared" si="22"/>
        <v>225487.91999999998</v>
      </c>
      <c r="G39" s="1367">
        <f t="shared" si="23"/>
        <v>68968.31</v>
      </c>
      <c r="H39" s="1369">
        <f t="shared" si="24"/>
        <v>0</v>
      </c>
      <c r="I39" s="1369">
        <f t="shared" si="25"/>
        <v>1328264.0999999999</v>
      </c>
      <c r="J39" s="1370">
        <f t="shared" si="18"/>
        <v>68968.31</v>
      </c>
      <c r="K39" s="1365">
        <f t="shared" si="19"/>
        <v>294456.23</v>
      </c>
      <c r="L39" s="1032"/>
      <c r="M39" s="1032"/>
      <c r="N39" s="1032"/>
      <c r="O39" s="1032"/>
      <c r="P39" s="1032"/>
      <c r="Q39" s="1032">
        <f t="shared" si="26"/>
        <v>0</v>
      </c>
      <c r="R39" s="1033">
        <v>1835.08</v>
      </c>
      <c r="S39" s="1033">
        <v>602.64</v>
      </c>
      <c r="T39" s="1033">
        <v>0</v>
      </c>
      <c r="U39" s="1033">
        <v>20.74</v>
      </c>
      <c r="V39" s="1360">
        <v>0</v>
      </c>
      <c r="W39" s="1034">
        <f t="shared" si="27"/>
        <v>2458.4599999999996</v>
      </c>
      <c r="X39" s="1034">
        <v>658522.93460670242</v>
      </c>
      <c r="Y39" s="1033">
        <v>352125.5853932976</v>
      </c>
      <c r="Z39" s="1033">
        <v>185382.43</v>
      </c>
      <c r="AA39" s="1033">
        <v>68948.67</v>
      </c>
      <c r="AB39" s="1360">
        <v>0</v>
      </c>
      <c r="AC39" s="1034">
        <f t="shared" si="28"/>
        <v>1264979.6199999999</v>
      </c>
      <c r="AD39" s="1034">
        <v>20721.63</v>
      </c>
      <c r="AE39" s="1033">
        <v>0</v>
      </c>
      <c r="AF39" s="1033">
        <v>40105.49</v>
      </c>
      <c r="AG39" s="1033">
        <v>-1.1000000000000001</v>
      </c>
      <c r="AH39" s="1360">
        <v>0</v>
      </c>
      <c r="AI39" s="1034">
        <f t="shared" si="29"/>
        <v>60826.02</v>
      </c>
      <c r="AJ39" s="1034"/>
      <c r="AK39" s="1033"/>
      <c r="AL39" s="1033"/>
      <c r="AM39" s="1033"/>
      <c r="AN39" s="1360"/>
      <c r="AO39" s="1034">
        <f t="shared" si="30"/>
        <v>0</v>
      </c>
    </row>
    <row r="40" spans="1:41" ht="15" customHeight="1" x14ac:dyDescent="0.25">
      <c r="A40" s="711" t="s">
        <v>94</v>
      </c>
      <c r="B40" s="710" t="s">
        <v>95</v>
      </c>
      <c r="C40" s="914" t="s">
        <v>264</v>
      </c>
      <c r="D40" s="1029">
        <f t="shared" si="20"/>
        <v>1108122.9277041371</v>
      </c>
      <c r="E40" s="1030">
        <f t="shared" si="21"/>
        <v>443435.97229586297</v>
      </c>
      <c r="F40" s="1031">
        <f t="shared" si="22"/>
        <v>775634.64</v>
      </c>
      <c r="G40" s="1367">
        <f t="shared" si="23"/>
        <v>3813.71</v>
      </c>
      <c r="H40" s="1369">
        <f t="shared" si="24"/>
        <v>0</v>
      </c>
      <c r="I40" s="1369">
        <f t="shared" si="25"/>
        <v>2331007.2500000005</v>
      </c>
      <c r="J40" s="1370">
        <f t="shared" si="18"/>
        <v>3813.71</v>
      </c>
      <c r="K40" s="1365">
        <f t="shared" si="19"/>
        <v>779448.35</v>
      </c>
      <c r="L40" s="1032"/>
      <c r="M40" s="1032"/>
      <c r="N40" s="1032"/>
      <c r="O40" s="1032"/>
      <c r="P40" s="1032"/>
      <c r="Q40" s="1032">
        <f t="shared" si="26"/>
        <v>0</v>
      </c>
      <c r="R40" s="1033">
        <v>1333.5</v>
      </c>
      <c r="S40" s="1033">
        <v>428.34</v>
      </c>
      <c r="T40" s="1033">
        <v>0</v>
      </c>
      <c r="U40" s="1033">
        <v>0</v>
      </c>
      <c r="V40" s="1360">
        <v>0</v>
      </c>
      <c r="W40" s="1034">
        <f t="shared" si="27"/>
        <v>1761.84</v>
      </c>
      <c r="X40" s="1034">
        <v>829306.33770413697</v>
      </c>
      <c r="Y40" s="1033">
        <v>443007.63229586295</v>
      </c>
      <c r="Z40" s="1033">
        <v>233379.35</v>
      </c>
      <c r="AA40" s="1033">
        <v>3819.61</v>
      </c>
      <c r="AB40" s="1360">
        <v>0</v>
      </c>
      <c r="AC40" s="1034">
        <f t="shared" si="28"/>
        <v>1509512.9300000002</v>
      </c>
      <c r="AD40" s="1034">
        <v>277483.09000000003</v>
      </c>
      <c r="AE40" s="1033">
        <v>0</v>
      </c>
      <c r="AF40" s="1033">
        <v>542255.29</v>
      </c>
      <c r="AG40" s="1033">
        <v>-5.9</v>
      </c>
      <c r="AH40" s="1360">
        <v>0</v>
      </c>
      <c r="AI40" s="1034">
        <f t="shared" si="29"/>
        <v>819732.4800000001</v>
      </c>
      <c r="AJ40" s="1034"/>
      <c r="AK40" s="1033"/>
      <c r="AL40" s="1033"/>
      <c r="AM40" s="1033"/>
      <c r="AN40" s="1360"/>
      <c r="AO40" s="1034">
        <f t="shared" si="30"/>
        <v>0</v>
      </c>
    </row>
    <row r="41" spans="1:41" ht="15" customHeight="1" x14ac:dyDescent="0.25">
      <c r="A41" s="711" t="s">
        <v>96</v>
      </c>
      <c r="B41" s="710" t="s">
        <v>97</v>
      </c>
      <c r="C41" s="914" t="s">
        <v>266</v>
      </c>
      <c r="D41" s="1029">
        <f t="shared" si="20"/>
        <v>633737.40454927785</v>
      </c>
      <c r="E41" s="1030">
        <f t="shared" si="21"/>
        <v>255264.1854507222</v>
      </c>
      <c r="F41" s="1031">
        <f t="shared" si="22"/>
        <v>441307.07999999996</v>
      </c>
      <c r="G41" s="1367">
        <f t="shared" si="23"/>
        <v>56869.219999999994</v>
      </c>
      <c r="H41" s="1369">
        <f t="shared" si="24"/>
        <v>0</v>
      </c>
      <c r="I41" s="1369">
        <f t="shared" si="25"/>
        <v>1387177.8900000001</v>
      </c>
      <c r="J41" s="1370">
        <f t="shared" si="18"/>
        <v>56869.219999999994</v>
      </c>
      <c r="K41" s="1365">
        <f t="shared" si="19"/>
        <v>498176.29999999993</v>
      </c>
      <c r="L41" s="1032"/>
      <c r="M41" s="1032"/>
      <c r="N41" s="1032"/>
      <c r="O41" s="1032"/>
      <c r="P41" s="1032"/>
      <c r="Q41" s="1032">
        <f t="shared" si="26"/>
        <v>0</v>
      </c>
      <c r="R41" s="1033">
        <v>4693.87</v>
      </c>
      <c r="S41" s="1033">
        <v>1527.71</v>
      </c>
      <c r="T41" s="1033">
        <v>0</v>
      </c>
      <c r="U41" s="1033">
        <v>-0.05</v>
      </c>
      <c r="V41" s="1360">
        <v>0</v>
      </c>
      <c r="W41" s="1034">
        <f t="shared" si="27"/>
        <v>6221.53</v>
      </c>
      <c r="X41" s="1034">
        <v>469420.8445492778</v>
      </c>
      <c r="Y41" s="1033">
        <v>253736.47545072221</v>
      </c>
      <c r="Z41" s="1033">
        <v>132647.35</v>
      </c>
      <c r="AA41" s="1033">
        <v>56869.599999999999</v>
      </c>
      <c r="AB41" s="1360">
        <v>0</v>
      </c>
      <c r="AC41" s="1034">
        <f t="shared" si="28"/>
        <v>912674.27</v>
      </c>
      <c r="AD41" s="1034">
        <v>159622.69</v>
      </c>
      <c r="AE41" s="1033">
        <v>0</v>
      </c>
      <c r="AF41" s="1033">
        <v>308659.73</v>
      </c>
      <c r="AG41" s="1033">
        <v>-0.33</v>
      </c>
      <c r="AH41" s="1360">
        <v>0</v>
      </c>
      <c r="AI41" s="1034">
        <f t="shared" si="29"/>
        <v>468282.08999999997</v>
      </c>
      <c r="AJ41" s="1034"/>
      <c r="AK41" s="1033"/>
      <c r="AL41" s="1033"/>
      <c r="AM41" s="1033"/>
      <c r="AN41" s="1360"/>
      <c r="AO41" s="1034">
        <f t="shared" si="30"/>
        <v>0</v>
      </c>
    </row>
    <row r="42" spans="1:41" ht="15" customHeight="1" x14ac:dyDescent="0.25">
      <c r="A42" s="711" t="s">
        <v>98</v>
      </c>
      <c r="B42" s="710" t="s">
        <v>99</v>
      </c>
      <c r="C42" s="914" t="s">
        <v>268</v>
      </c>
      <c r="D42" s="1029">
        <f t="shared" si="20"/>
        <v>656108.34107113455</v>
      </c>
      <c r="E42" s="1030">
        <f t="shared" si="21"/>
        <v>335010.09892886551</v>
      </c>
      <c r="F42" s="1031">
        <f t="shared" si="22"/>
        <v>233445.37</v>
      </c>
      <c r="G42" s="1367">
        <f t="shared" si="23"/>
        <v>19879.310000000001</v>
      </c>
      <c r="H42" s="1369">
        <f t="shared" si="24"/>
        <v>0</v>
      </c>
      <c r="I42" s="1369">
        <f t="shared" si="25"/>
        <v>1244443.1200000001</v>
      </c>
      <c r="J42" s="1370">
        <f t="shared" si="18"/>
        <v>19879.310000000001</v>
      </c>
      <c r="K42" s="1365">
        <f t="shared" si="19"/>
        <v>253324.68</v>
      </c>
      <c r="L42" s="1032"/>
      <c r="M42" s="1032"/>
      <c r="N42" s="1032"/>
      <c r="O42" s="1032"/>
      <c r="P42" s="1032"/>
      <c r="Q42" s="1032">
        <f t="shared" si="26"/>
        <v>0</v>
      </c>
      <c r="R42" s="1033"/>
      <c r="S42" s="1033"/>
      <c r="T42" s="1033"/>
      <c r="U42" s="1033"/>
      <c r="V42" s="1360"/>
      <c r="W42" s="1034">
        <f t="shared" si="27"/>
        <v>0</v>
      </c>
      <c r="X42" s="1034">
        <v>626630.71107113454</v>
      </c>
      <c r="Y42" s="1033">
        <v>335010.09892886551</v>
      </c>
      <c r="Z42" s="1033">
        <v>176393.17</v>
      </c>
      <c r="AA42" s="1033">
        <v>19644.330000000002</v>
      </c>
      <c r="AB42" s="1360">
        <v>0</v>
      </c>
      <c r="AC42" s="1034">
        <f t="shared" si="28"/>
        <v>1157678.31</v>
      </c>
      <c r="AD42" s="1034">
        <v>29477.63</v>
      </c>
      <c r="AE42" s="1033">
        <v>0</v>
      </c>
      <c r="AF42" s="1033">
        <v>57052.2</v>
      </c>
      <c r="AG42" s="1033">
        <v>234.98</v>
      </c>
      <c r="AH42" s="1360">
        <v>0</v>
      </c>
      <c r="AI42" s="1034">
        <f t="shared" si="29"/>
        <v>86764.81</v>
      </c>
      <c r="AJ42" s="1034"/>
      <c r="AK42" s="1033"/>
      <c r="AL42" s="1033"/>
      <c r="AM42" s="1033"/>
      <c r="AN42" s="1360"/>
      <c r="AO42" s="1034">
        <f t="shared" si="30"/>
        <v>0</v>
      </c>
    </row>
    <row r="43" spans="1:41" ht="15" customHeight="1" x14ac:dyDescent="0.25">
      <c r="A43" s="711" t="s">
        <v>100</v>
      </c>
      <c r="B43" s="710" t="s">
        <v>101</v>
      </c>
      <c r="C43" s="914" t="s">
        <v>267</v>
      </c>
      <c r="D43" s="1029">
        <f t="shared" si="20"/>
        <v>542894.88224405609</v>
      </c>
      <c r="E43" s="1030">
        <f t="shared" si="21"/>
        <v>206651.84775594386</v>
      </c>
      <c r="F43" s="1031">
        <f t="shared" si="22"/>
        <v>418531.64</v>
      </c>
      <c r="G43" s="1367">
        <f t="shared" si="23"/>
        <v>2689.33</v>
      </c>
      <c r="H43" s="1369">
        <f t="shared" si="24"/>
        <v>0</v>
      </c>
      <c r="I43" s="1369">
        <f t="shared" si="25"/>
        <v>1170767.7</v>
      </c>
      <c r="J43" s="1370">
        <f t="shared" si="18"/>
        <v>2689.33</v>
      </c>
      <c r="K43" s="1365">
        <f t="shared" si="19"/>
        <v>421220.97000000003</v>
      </c>
      <c r="L43" s="1032"/>
      <c r="M43" s="1032"/>
      <c r="N43" s="1032"/>
      <c r="O43" s="1032"/>
      <c r="P43" s="1032"/>
      <c r="Q43" s="1032">
        <f t="shared" si="26"/>
        <v>0</v>
      </c>
      <c r="R43" s="1033"/>
      <c r="S43" s="1033"/>
      <c r="T43" s="1033"/>
      <c r="U43" s="1033"/>
      <c r="V43" s="1360"/>
      <c r="W43" s="1034">
        <f t="shared" si="27"/>
        <v>0</v>
      </c>
      <c r="X43" s="1034">
        <v>380761.78224405611</v>
      </c>
      <c r="Y43" s="1033">
        <v>206651.84775594386</v>
      </c>
      <c r="Z43" s="1033">
        <v>107748.2</v>
      </c>
      <c r="AA43" s="1033">
        <v>2693.99</v>
      </c>
      <c r="AB43" s="1360">
        <v>0</v>
      </c>
      <c r="AC43" s="1034">
        <f t="shared" si="28"/>
        <v>697855.82</v>
      </c>
      <c r="AD43" s="1034">
        <v>160767.13</v>
      </c>
      <c r="AE43" s="1033">
        <v>0</v>
      </c>
      <c r="AF43" s="1033">
        <v>310783.44</v>
      </c>
      <c r="AG43" s="1033">
        <v>-4.66</v>
      </c>
      <c r="AH43" s="1360">
        <v>0</v>
      </c>
      <c r="AI43" s="1034">
        <f t="shared" si="29"/>
        <v>471545.91000000003</v>
      </c>
      <c r="AJ43" s="1034">
        <v>1365.97</v>
      </c>
      <c r="AK43" s="1033"/>
      <c r="AL43" s="1033"/>
      <c r="AM43" s="1033"/>
      <c r="AN43" s="1360"/>
      <c r="AO43" s="1034">
        <f t="shared" si="30"/>
        <v>1365.97</v>
      </c>
    </row>
    <row r="44" spans="1:41" ht="15" customHeight="1" x14ac:dyDescent="0.25">
      <c r="A44" s="711" t="s">
        <v>102</v>
      </c>
      <c r="B44" s="710" t="s">
        <v>103</v>
      </c>
      <c r="C44" s="914" t="s">
        <v>264</v>
      </c>
      <c r="D44" s="1029">
        <f t="shared" si="20"/>
        <v>1028528.3201719894</v>
      </c>
      <c r="E44" s="1030">
        <f t="shared" si="21"/>
        <v>537393.6598280106</v>
      </c>
      <c r="F44" s="1031">
        <f t="shared" si="22"/>
        <v>311241.05000000005</v>
      </c>
      <c r="G44" s="1367">
        <f t="shared" si="23"/>
        <v>117993.33</v>
      </c>
      <c r="H44" s="1369">
        <f t="shared" si="24"/>
        <v>0</v>
      </c>
      <c r="I44" s="1369">
        <f t="shared" si="25"/>
        <v>1995156.36</v>
      </c>
      <c r="J44" s="1370">
        <f t="shared" si="18"/>
        <v>117993.33</v>
      </c>
      <c r="K44" s="1365">
        <f t="shared" si="19"/>
        <v>429234.38000000006</v>
      </c>
      <c r="L44" s="1032"/>
      <c r="M44" s="1032"/>
      <c r="N44" s="1032"/>
      <c r="O44" s="1032"/>
      <c r="P44" s="1032"/>
      <c r="Q44" s="1032">
        <f t="shared" si="26"/>
        <v>0</v>
      </c>
      <c r="R44" s="1033">
        <v>1579.63</v>
      </c>
      <c r="S44" s="1033">
        <v>539.05999999999995</v>
      </c>
      <c r="T44" s="1033">
        <v>0</v>
      </c>
      <c r="U44" s="1033">
        <v>-0.04</v>
      </c>
      <c r="V44" s="1360">
        <v>0</v>
      </c>
      <c r="W44" s="1034">
        <f t="shared" si="27"/>
        <v>2118.65</v>
      </c>
      <c r="X44" s="1034">
        <v>1003891.9401719894</v>
      </c>
      <c r="Y44" s="1033">
        <v>536854.59982801054</v>
      </c>
      <c r="Z44" s="1033">
        <v>282618.59000000003</v>
      </c>
      <c r="AA44" s="1033">
        <v>117994.51</v>
      </c>
      <c r="AB44" s="1360">
        <v>0</v>
      </c>
      <c r="AC44" s="1034">
        <f t="shared" si="28"/>
        <v>1941359.6400000001</v>
      </c>
      <c r="AD44" s="1034">
        <v>14788.75</v>
      </c>
      <c r="AE44" s="1033">
        <v>0</v>
      </c>
      <c r="AF44" s="1033">
        <v>28622.46</v>
      </c>
      <c r="AG44" s="1033">
        <v>-1.1399999999999999</v>
      </c>
      <c r="AH44" s="1360">
        <v>0</v>
      </c>
      <c r="AI44" s="1034">
        <f t="shared" si="29"/>
        <v>43410.07</v>
      </c>
      <c r="AJ44" s="1034">
        <v>8268</v>
      </c>
      <c r="AK44" s="1033"/>
      <c r="AL44" s="1033"/>
      <c r="AM44" s="1033"/>
      <c r="AN44" s="1360"/>
      <c r="AO44" s="1034">
        <f t="shared" si="30"/>
        <v>8268</v>
      </c>
    </row>
    <row r="45" spans="1:41" ht="15" customHeight="1" x14ac:dyDescent="0.25">
      <c r="A45" s="711" t="s">
        <v>104</v>
      </c>
      <c r="B45" s="710" t="s">
        <v>309</v>
      </c>
      <c r="C45" s="914" t="s">
        <v>265</v>
      </c>
      <c r="D45" s="1029">
        <f t="shared" si="20"/>
        <v>1679988.2922319653</v>
      </c>
      <c r="E45" s="1030">
        <f t="shared" si="21"/>
        <v>825746.33776803454</v>
      </c>
      <c r="F45" s="1031">
        <f t="shared" si="22"/>
        <v>676748.22</v>
      </c>
      <c r="G45" s="1367">
        <f t="shared" si="23"/>
        <v>81436.56</v>
      </c>
      <c r="H45" s="1369">
        <f t="shared" si="24"/>
        <v>0</v>
      </c>
      <c r="I45" s="1369">
        <f t="shared" si="25"/>
        <v>3263919.41</v>
      </c>
      <c r="J45" s="1370">
        <f t="shared" si="18"/>
        <v>81436.56</v>
      </c>
      <c r="K45" s="1365">
        <f t="shared" si="19"/>
        <v>758184.78</v>
      </c>
      <c r="L45" s="1032"/>
      <c r="M45" s="1032"/>
      <c r="N45" s="1032"/>
      <c r="O45" s="1032"/>
      <c r="P45" s="1032"/>
      <c r="Q45" s="1032">
        <f t="shared" si="26"/>
        <v>0</v>
      </c>
      <c r="R45" s="1033">
        <v>13957.08</v>
      </c>
      <c r="S45" s="1033">
        <v>4510.92</v>
      </c>
      <c r="T45" s="1033">
        <v>0</v>
      </c>
      <c r="U45" s="1033">
        <v>-0.01</v>
      </c>
      <c r="V45" s="1360">
        <v>0</v>
      </c>
      <c r="W45" s="1034">
        <f t="shared" si="27"/>
        <v>18467.990000000002</v>
      </c>
      <c r="X45" s="1034">
        <v>1537305.3122319654</v>
      </c>
      <c r="Y45" s="1033">
        <v>821235.4177680345</v>
      </c>
      <c r="Z45" s="1033">
        <v>432629.34</v>
      </c>
      <c r="AA45" s="1033">
        <v>81438.09</v>
      </c>
      <c r="AB45" s="1360">
        <v>0</v>
      </c>
      <c r="AC45" s="1034">
        <f t="shared" si="28"/>
        <v>2872608.1599999997</v>
      </c>
      <c r="AD45" s="1034">
        <v>124794.47</v>
      </c>
      <c r="AE45" s="1033">
        <v>0</v>
      </c>
      <c r="AF45" s="1033">
        <v>244118.88</v>
      </c>
      <c r="AG45" s="1033">
        <v>-1.52</v>
      </c>
      <c r="AH45" s="1360">
        <v>0</v>
      </c>
      <c r="AI45" s="1034">
        <f t="shared" si="29"/>
        <v>368911.82999999996</v>
      </c>
      <c r="AJ45" s="1034">
        <v>3931.43</v>
      </c>
      <c r="AK45" s="1033"/>
      <c r="AL45" s="1033"/>
      <c r="AM45" s="1033"/>
      <c r="AN45" s="1360"/>
      <c r="AO45" s="1034">
        <f t="shared" si="30"/>
        <v>3931.43</v>
      </c>
    </row>
    <row r="46" spans="1:41" ht="15" customHeight="1" x14ac:dyDescent="0.25">
      <c r="A46" s="711" t="s">
        <v>108</v>
      </c>
      <c r="B46" s="710" t="s">
        <v>109</v>
      </c>
      <c r="C46" s="914" t="s">
        <v>266</v>
      </c>
      <c r="D46" s="1029">
        <f t="shared" si="20"/>
        <v>1679982.1902977114</v>
      </c>
      <c r="E46" s="1030">
        <f t="shared" si="21"/>
        <v>592255.0697022886</v>
      </c>
      <c r="F46" s="1031">
        <f t="shared" si="22"/>
        <v>1414197.4100000001</v>
      </c>
      <c r="G46" s="1367">
        <f t="shared" si="23"/>
        <v>52248.369999999995</v>
      </c>
      <c r="H46" s="1369">
        <f t="shared" si="24"/>
        <v>0</v>
      </c>
      <c r="I46" s="1369">
        <f t="shared" si="25"/>
        <v>3738683.04</v>
      </c>
      <c r="J46" s="1370">
        <f t="shared" si="18"/>
        <v>52248.369999999995</v>
      </c>
      <c r="K46" s="1365">
        <f t="shared" si="19"/>
        <v>1466445.7800000003</v>
      </c>
      <c r="L46" s="1032">
        <v>20304.79</v>
      </c>
      <c r="M46" s="1032">
        <v>0</v>
      </c>
      <c r="N46" s="1032">
        <v>6665.81</v>
      </c>
      <c r="O46" s="1032">
        <v>-0.08</v>
      </c>
      <c r="P46" s="1032">
        <v>0</v>
      </c>
      <c r="Q46" s="1032">
        <f t="shared" si="26"/>
        <v>26970.52</v>
      </c>
      <c r="R46" s="1033">
        <v>6947.57</v>
      </c>
      <c r="S46" s="1033">
        <v>2272.56</v>
      </c>
      <c r="T46" s="1033">
        <v>0</v>
      </c>
      <c r="U46" s="1033">
        <v>0</v>
      </c>
      <c r="V46" s="1360">
        <v>0</v>
      </c>
      <c r="W46" s="1034">
        <f t="shared" si="27"/>
        <v>9220.1299999999992</v>
      </c>
      <c r="X46" s="1034">
        <v>1083286.1402977114</v>
      </c>
      <c r="Y46" s="1033">
        <v>589982.50970228855</v>
      </c>
      <c r="Z46" s="1033">
        <v>306929.75</v>
      </c>
      <c r="AA46" s="1033">
        <v>25761.31</v>
      </c>
      <c r="AB46" s="1360">
        <v>0</v>
      </c>
      <c r="AC46" s="1034">
        <f t="shared" si="28"/>
        <v>2005959.71</v>
      </c>
      <c r="AD46" s="1034">
        <v>569443.68999999994</v>
      </c>
      <c r="AE46" s="1033">
        <v>0</v>
      </c>
      <c r="AF46" s="1033">
        <v>1100601.8500000001</v>
      </c>
      <c r="AG46" s="1033">
        <v>26487.14</v>
      </c>
      <c r="AH46" s="1360">
        <v>0</v>
      </c>
      <c r="AI46" s="1034">
        <f t="shared" si="29"/>
        <v>1696532.68</v>
      </c>
      <c r="AJ46" s="1034"/>
      <c r="AK46" s="1033"/>
      <c r="AL46" s="1033"/>
      <c r="AM46" s="1033"/>
      <c r="AN46" s="1360"/>
      <c r="AO46" s="1034">
        <f t="shared" si="30"/>
        <v>0</v>
      </c>
    </row>
    <row r="47" spans="1:41" ht="15" customHeight="1" x14ac:dyDescent="0.25">
      <c r="A47" s="711" t="s">
        <v>110</v>
      </c>
      <c r="B47" s="710" t="s">
        <v>111</v>
      </c>
      <c r="C47" s="914" t="s">
        <v>266</v>
      </c>
      <c r="D47" s="1029">
        <f t="shared" si="20"/>
        <v>6191503.1519123148</v>
      </c>
      <c r="E47" s="1030">
        <f t="shared" si="21"/>
        <v>2505769.9480876853</v>
      </c>
      <c r="F47" s="1031">
        <f t="shared" si="22"/>
        <v>4066487.3</v>
      </c>
      <c r="G47" s="1367">
        <f t="shared" si="23"/>
        <v>70857.88</v>
      </c>
      <c r="H47" s="1369">
        <f t="shared" si="24"/>
        <v>0</v>
      </c>
      <c r="I47" s="1369">
        <f t="shared" si="25"/>
        <v>12834618.279999997</v>
      </c>
      <c r="J47" s="1370">
        <f t="shared" si="18"/>
        <v>70857.88</v>
      </c>
      <c r="K47" s="1365">
        <f t="shared" si="19"/>
        <v>4137345.1799999997</v>
      </c>
      <c r="L47" s="1032">
        <v>114144.7</v>
      </c>
      <c r="M47" s="1032">
        <v>0</v>
      </c>
      <c r="N47" s="1032">
        <v>37665.919999999998</v>
      </c>
      <c r="O47" s="1032">
        <v>-0.16</v>
      </c>
      <c r="P47" s="1032">
        <v>0</v>
      </c>
      <c r="Q47" s="1032">
        <f t="shared" si="26"/>
        <v>151810.46</v>
      </c>
      <c r="R47" s="1033">
        <v>48458.74</v>
      </c>
      <c r="S47" s="1033">
        <v>16152.92</v>
      </c>
      <c r="T47" s="1033">
        <v>0</v>
      </c>
      <c r="U47" s="1033">
        <v>-0.01</v>
      </c>
      <c r="V47" s="1360">
        <v>0</v>
      </c>
      <c r="W47" s="1034">
        <f t="shared" si="27"/>
        <v>64611.649999999994</v>
      </c>
      <c r="X47" s="1034">
        <v>4621889.8619123148</v>
      </c>
      <c r="Y47" s="1033">
        <v>2489617.0280876854</v>
      </c>
      <c r="Z47" s="1033">
        <v>1304472.54</v>
      </c>
      <c r="AA47" s="1033">
        <v>25895.360000000001</v>
      </c>
      <c r="AB47" s="1360">
        <v>0</v>
      </c>
      <c r="AC47" s="1034">
        <f t="shared" si="28"/>
        <v>8441874.7899999991</v>
      </c>
      <c r="AD47" s="1034">
        <v>1407009.85</v>
      </c>
      <c r="AE47" s="1033">
        <v>0</v>
      </c>
      <c r="AF47" s="1033">
        <v>2724348.84</v>
      </c>
      <c r="AG47" s="1033">
        <v>44962.69</v>
      </c>
      <c r="AH47" s="1360">
        <v>0</v>
      </c>
      <c r="AI47" s="1034">
        <f t="shared" si="29"/>
        <v>4176321.38</v>
      </c>
      <c r="AJ47" s="1034"/>
      <c r="AK47" s="1033"/>
      <c r="AL47" s="1033"/>
      <c r="AM47" s="1033"/>
      <c r="AN47" s="1360"/>
      <c r="AO47" s="1034">
        <f t="shared" si="30"/>
        <v>0</v>
      </c>
    </row>
    <row r="48" spans="1:41" ht="15" customHeight="1" x14ac:dyDescent="0.25">
      <c r="A48" s="711" t="s">
        <v>112</v>
      </c>
      <c r="B48" s="710" t="s">
        <v>300</v>
      </c>
      <c r="C48" s="914" t="s">
        <v>265</v>
      </c>
      <c r="D48" s="1029">
        <f t="shared" si="20"/>
        <v>2508723.9173762212</v>
      </c>
      <c r="E48" s="1030">
        <f t="shared" si="21"/>
        <v>1292393.4026237789</v>
      </c>
      <c r="F48" s="1031">
        <f t="shared" si="22"/>
        <v>691904.08</v>
      </c>
      <c r="G48" s="1367">
        <f t="shared" si="23"/>
        <v>10460.93</v>
      </c>
      <c r="H48" s="1369">
        <f t="shared" si="24"/>
        <v>0</v>
      </c>
      <c r="I48" s="1369">
        <f t="shared" si="25"/>
        <v>4503482.3299999991</v>
      </c>
      <c r="J48" s="1370">
        <f t="shared" si="18"/>
        <v>10460.93</v>
      </c>
      <c r="K48" s="1365">
        <f t="shared" si="19"/>
        <v>702365.01</v>
      </c>
      <c r="L48" s="1032">
        <v>63767.21</v>
      </c>
      <c r="M48" s="1032">
        <v>0</v>
      </c>
      <c r="N48" s="1032">
        <v>20936.64</v>
      </c>
      <c r="O48" s="1032">
        <v>-0.3</v>
      </c>
      <c r="P48" s="1032">
        <v>0</v>
      </c>
      <c r="Q48" s="1032">
        <f t="shared" si="26"/>
        <v>84703.55</v>
      </c>
      <c r="R48" s="1034">
        <v>57088.800000000003</v>
      </c>
      <c r="S48" s="1033">
        <v>18337.349999999999</v>
      </c>
      <c r="T48" s="1034">
        <v>0</v>
      </c>
      <c r="U48" s="1034">
        <v>-0.02</v>
      </c>
      <c r="V48" s="1034">
        <v>0</v>
      </c>
      <c r="W48" s="1034">
        <f t="shared" si="27"/>
        <v>75426.12999999999</v>
      </c>
      <c r="X48" s="1034">
        <v>2383815.8673762213</v>
      </c>
      <c r="Y48" s="1033">
        <v>1274056.0526237788</v>
      </c>
      <c r="Z48" s="1034">
        <v>670967.43999999994</v>
      </c>
      <c r="AA48" s="1034">
        <v>10461.25</v>
      </c>
      <c r="AB48" s="1034">
        <v>0</v>
      </c>
      <c r="AC48" s="1034">
        <f t="shared" si="28"/>
        <v>4339300.6099999994</v>
      </c>
      <c r="AD48" s="1034"/>
      <c r="AE48" s="1033"/>
      <c r="AF48" s="1034"/>
      <c r="AG48" s="1034"/>
      <c r="AH48" s="1034"/>
      <c r="AI48" s="1034">
        <f t="shared" si="29"/>
        <v>0</v>
      </c>
      <c r="AJ48" s="1034">
        <v>4052.04</v>
      </c>
      <c r="AK48" s="1033"/>
      <c r="AL48" s="1034"/>
      <c r="AM48" s="1034"/>
      <c r="AN48" s="1034"/>
      <c r="AO48" s="1034">
        <f t="shared" si="30"/>
        <v>4052.04</v>
      </c>
    </row>
    <row r="49" spans="1:41" ht="15" customHeight="1" x14ac:dyDescent="0.25">
      <c r="A49" s="711" t="s">
        <v>114</v>
      </c>
      <c r="B49" s="710" t="s">
        <v>115</v>
      </c>
      <c r="C49" s="914" t="s">
        <v>265</v>
      </c>
      <c r="D49" s="1029">
        <f t="shared" si="20"/>
        <v>129165.47735391806</v>
      </c>
      <c r="E49" s="1030">
        <f t="shared" si="21"/>
        <v>62071.682646081936</v>
      </c>
      <c r="F49" s="1031">
        <f t="shared" si="22"/>
        <v>58030.93</v>
      </c>
      <c r="G49" s="1367">
        <f t="shared" si="23"/>
        <v>3876.72</v>
      </c>
      <c r="H49" s="1369">
        <f t="shared" si="24"/>
        <v>0</v>
      </c>
      <c r="I49" s="1369">
        <f t="shared" si="25"/>
        <v>253144.81</v>
      </c>
      <c r="J49" s="1370">
        <f t="shared" si="18"/>
        <v>3876.72</v>
      </c>
      <c r="K49" s="1365">
        <f t="shared" si="19"/>
        <v>61907.65</v>
      </c>
      <c r="L49" s="1032"/>
      <c r="M49" s="1032"/>
      <c r="N49" s="1032"/>
      <c r="O49" s="1032"/>
      <c r="P49" s="1032"/>
      <c r="Q49" s="1032">
        <f t="shared" si="26"/>
        <v>0</v>
      </c>
      <c r="R49" s="1034"/>
      <c r="S49" s="1033"/>
      <c r="T49" s="1034"/>
      <c r="U49" s="1034"/>
      <c r="V49" s="1034"/>
      <c r="W49" s="1034">
        <f t="shared" si="27"/>
        <v>0</v>
      </c>
      <c r="X49" s="1034">
        <v>116063.92735391806</v>
      </c>
      <c r="Y49" s="1033">
        <v>62071.682646081936</v>
      </c>
      <c r="Z49" s="1034">
        <v>32673.98</v>
      </c>
      <c r="AA49" s="1034">
        <v>355.77</v>
      </c>
      <c r="AB49" s="1034">
        <v>0</v>
      </c>
      <c r="AC49" s="1034">
        <f t="shared" si="28"/>
        <v>211165.36</v>
      </c>
      <c r="AD49" s="1034">
        <v>13101.55</v>
      </c>
      <c r="AE49" s="1033">
        <v>0</v>
      </c>
      <c r="AF49" s="1034">
        <v>25356.95</v>
      </c>
      <c r="AG49" s="1034">
        <v>3520.95</v>
      </c>
      <c r="AH49" s="1034">
        <v>0</v>
      </c>
      <c r="AI49" s="1034">
        <f t="shared" si="29"/>
        <v>41979.45</v>
      </c>
      <c r="AJ49" s="1034"/>
      <c r="AK49" s="1033"/>
      <c r="AL49" s="1034"/>
      <c r="AM49" s="1034"/>
      <c r="AN49" s="1034"/>
      <c r="AO49" s="1034">
        <f t="shared" si="30"/>
        <v>0</v>
      </c>
    </row>
    <row r="50" spans="1:41" ht="15" customHeight="1" x14ac:dyDescent="0.25">
      <c r="A50" s="711" t="s">
        <v>118</v>
      </c>
      <c r="B50" s="710" t="s">
        <v>119</v>
      </c>
      <c r="C50" s="914" t="s">
        <v>264</v>
      </c>
      <c r="D50" s="1029">
        <f t="shared" si="20"/>
        <v>1179862.0422179168</v>
      </c>
      <c r="E50" s="1030">
        <f t="shared" si="21"/>
        <v>525421.94778208307</v>
      </c>
      <c r="F50" s="1031">
        <f t="shared" si="22"/>
        <v>659930.02</v>
      </c>
      <c r="G50" s="1367">
        <f t="shared" si="23"/>
        <v>32628.68</v>
      </c>
      <c r="H50" s="1369">
        <f t="shared" si="24"/>
        <v>0</v>
      </c>
      <c r="I50" s="1369">
        <f t="shared" si="25"/>
        <v>2397842.6899999995</v>
      </c>
      <c r="J50" s="1370">
        <f t="shared" si="18"/>
        <v>32628.68</v>
      </c>
      <c r="K50" s="1365">
        <f t="shared" si="19"/>
        <v>692558.70000000007</v>
      </c>
      <c r="L50" s="1032"/>
      <c r="M50" s="1032"/>
      <c r="N50" s="1032"/>
      <c r="O50" s="1032"/>
      <c r="P50" s="1032"/>
      <c r="Q50" s="1032">
        <f t="shared" si="26"/>
        <v>0</v>
      </c>
      <c r="R50" s="1033"/>
      <c r="S50" s="1033"/>
      <c r="T50" s="1033"/>
      <c r="U50" s="1033"/>
      <c r="V50" s="1360"/>
      <c r="W50" s="1034">
        <f t="shared" si="27"/>
        <v>0</v>
      </c>
      <c r="X50" s="1034">
        <v>983265.08221791685</v>
      </c>
      <c r="Y50" s="1033">
        <v>525421.94778208307</v>
      </c>
      <c r="Z50" s="1033">
        <v>276740.90999999997</v>
      </c>
      <c r="AA50" s="1033">
        <v>31402.9</v>
      </c>
      <c r="AB50" s="1360">
        <v>0</v>
      </c>
      <c r="AC50" s="1034">
        <f t="shared" si="28"/>
        <v>1816830.8399999996</v>
      </c>
      <c r="AD50" s="1034">
        <v>196596.96</v>
      </c>
      <c r="AE50" s="1033">
        <v>0</v>
      </c>
      <c r="AF50" s="1033">
        <v>383189.11</v>
      </c>
      <c r="AG50" s="1033">
        <v>1225.78</v>
      </c>
      <c r="AH50" s="1360">
        <v>0</v>
      </c>
      <c r="AI50" s="1034">
        <f t="shared" si="29"/>
        <v>581011.85</v>
      </c>
      <c r="AJ50" s="1034"/>
      <c r="AK50" s="1033"/>
      <c r="AL50" s="1033"/>
      <c r="AM50" s="1033"/>
      <c r="AN50" s="1360"/>
      <c r="AO50" s="1034">
        <f t="shared" si="30"/>
        <v>0</v>
      </c>
    </row>
    <row r="51" spans="1:41" ht="15" customHeight="1" x14ac:dyDescent="0.25">
      <c r="A51" s="711" t="s">
        <v>120</v>
      </c>
      <c r="B51" s="710" t="s">
        <v>121</v>
      </c>
      <c r="C51" s="914" t="s">
        <v>264</v>
      </c>
      <c r="D51" s="1029">
        <f t="shared" si="20"/>
        <v>1573987.006799161</v>
      </c>
      <c r="E51" s="1030">
        <f t="shared" si="21"/>
        <v>612259.13320083939</v>
      </c>
      <c r="F51" s="1031">
        <f t="shared" si="22"/>
        <v>1155744.97</v>
      </c>
      <c r="G51" s="1367">
        <f t="shared" si="23"/>
        <v>297895.31999999995</v>
      </c>
      <c r="H51" s="1369">
        <f t="shared" si="24"/>
        <v>0</v>
      </c>
      <c r="I51" s="1369">
        <f t="shared" si="25"/>
        <v>3639886.4299999997</v>
      </c>
      <c r="J51" s="1370">
        <f t="shared" si="18"/>
        <v>297895.31999999995</v>
      </c>
      <c r="K51" s="1365">
        <f t="shared" si="19"/>
        <v>1453640.29</v>
      </c>
      <c r="L51" s="1032"/>
      <c r="M51" s="1032"/>
      <c r="N51" s="1032"/>
      <c r="O51" s="1032"/>
      <c r="P51" s="1032"/>
      <c r="Q51" s="1032">
        <f t="shared" si="26"/>
        <v>0</v>
      </c>
      <c r="R51" s="1033">
        <v>1493.74</v>
      </c>
      <c r="S51" s="1033">
        <v>500.56</v>
      </c>
      <c r="T51" s="1033">
        <v>0</v>
      </c>
      <c r="U51" s="1033">
        <v>-0.01</v>
      </c>
      <c r="V51" s="1360">
        <v>0</v>
      </c>
      <c r="W51" s="1034">
        <f t="shared" si="27"/>
        <v>1994.29</v>
      </c>
      <c r="X51" s="1034">
        <v>1141505.8867991609</v>
      </c>
      <c r="Y51" s="1033">
        <v>611758.57320083934</v>
      </c>
      <c r="Z51" s="1033">
        <v>321601.39</v>
      </c>
      <c r="AA51" s="1033">
        <v>228146.8</v>
      </c>
      <c r="AB51" s="1360">
        <v>0</v>
      </c>
      <c r="AC51" s="1034">
        <f t="shared" si="28"/>
        <v>2303012.65</v>
      </c>
      <c r="AD51" s="1034">
        <v>430987.38</v>
      </c>
      <c r="AE51" s="1033">
        <v>0</v>
      </c>
      <c r="AF51" s="1033">
        <v>834143.58</v>
      </c>
      <c r="AG51" s="1033">
        <v>69748.53</v>
      </c>
      <c r="AH51" s="1360">
        <v>0</v>
      </c>
      <c r="AI51" s="1034">
        <f t="shared" si="29"/>
        <v>1334879.49</v>
      </c>
      <c r="AJ51" s="1034"/>
      <c r="AK51" s="1033"/>
      <c r="AL51" s="1033"/>
      <c r="AM51" s="1033"/>
      <c r="AN51" s="1360"/>
      <c r="AO51" s="1034">
        <f t="shared" si="30"/>
        <v>0</v>
      </c>
    </row>
    <row r="52" spans="1:41" ht="15" customHeight="1" x14ac:dyDescent="0.25">
      <c r="A52" s="711" t="s">
        <v>122</v>
      </c>
      <c r="B52" s="710" t="s">
        <v>271</v>
      </c>
      <c r="C52" s="914" t="s">
        <v>266</v>
      </c>
      <c r="D52" s="1029">
        <f t="shared" si="20"/>
        <v>415615.51168992236</v>
      </c>
      <c r="E52" s="1030">
        <f t="shared" si="21"/>
        <v>195323.07831007766</v>
      </c>
      <c r="F52" s="1031">
        <f t="shared" si="22"/>
        <v>198350.72999999998</v>
      </c>
      <c r="G52" s="1367">
        <f t="shared" si="23"/>
        <v>516.73</v>
      </c>
      <c r="H52" s="1369">
        <f t="shared" si="24"/>
        <v>0</v>
      </c>
      <c r="I52" s="1369">
        <f t="shared" si="25"/>
        <v>809806.05</v>
      </c>
      <c r="J52" s="1370">
        <f t="shared" si="18"/>
        <v>516.73</v>
      </c>
      <c r="K52" s="1365">
        <f t="shared" si="19"/>
        <v>198867.46</v>
      </c>
      <c r="L52" s="1032"/>
      <c r="M52" s="1032"/>
      <c r="N52" s="1032"/>
      <c r="O52" s="1032"/>
      <c r="P52" s="1032"/>
      <c r="Q52" s="1032">
        <f t="shared" si="26"/>
        <v>0</v>
      </c>
      <c r="R52" s="1033">
        <v>3474.77</v>
      </c>
      <c r="S52" s="1033">
        <v>1116.0899999999999</v>
      </c>
      <c r="T52" s="1033">
        <v>0</v>
      </c>
      <c r="U52" s="1033">
        <v>-0.01</v>
      </c>
      <c r="V52" s="1360">
        <v>0</v>
      </c>
      <c r="W52" s="1034">
        <f t="shared" si="27"/>
        <v>4590.8499999999995</v>
      </c>
      <c r="X52" s="1034">
        <v>362409.41168992233</v>
      </c>
      <c r="Y52" s="1033">
        <v>194206.98831007766</v>
      </c>
      <c r="Z52" s="1033">
        <v>102098.61</v>
      </c>
      <c r="AA52" s="1033">
        <v>380.68</v>
      </c>
      <c r="AB52" s="1360">
        <v>0</v>
      </c>
      <c r="AC52" s="1034">
        <f t="shared" si="28"/>
        <v>659095.69000000006</v>
      </c>
      <c r="AD52" s="1034">
        <v>49731.33</v>
      </c>
      <c r="AE52" s="1033">
        <v>0</v>
      </c>
      <c r="AF52" s="1033">
        <v>96252.12</v>
      </c>
      <c r="AG52" s="1033">
        <v>136.06</v>
      </c>
      <c r="AH52" s="1360">
        <v>0</v>
      </c>
      <c r="AI52" s="1034">
        <f t="shared" si="29"/>
        <v>146119.51</v>
      </c>
      <c r="AJ52" s="1034"/>
      <c r="AK52" s="1033"/>
      <c r="AL52" s="1033"/>
      <c r="AM52" s="1033"/>
      <c r="AN52" s="1360"/>
      <c r="AO52" s="1034">
        <f t="shared" si="30"/>
        <v>0</v>
      </c>
    </row>
    <row r="53" spans="1:41" ht="15" customHeight="1" x14ac:dyDescent="0.25">
      <c r="A53" s="711" t="s">
        <v>124</v>
      </c>
      <c r="B53" s="710" t="s">
        <v>125</v>
      </c>
      <c r="C53" s="914" t="s">
        <v>267</v>
      </c>
      <c r="D53" s="1029">
        <f t="shared" si="20"/>
        <v>692002.65595645609</v>
      </c>
      <c r="E53" s="1030">
        <f t="shared" si="21"/>
        <v>251193.55404354393</v>
      </c>
      <c r="F53" s="1031">
        <f t="shared" si="22"/>
        <v>564033.66</v>
      </c>
      <c r="G53" s="1367">
        <f t="shared" si="23"/>
        <v>141725.84</v>
      </c>
      <c r="H53" s="1369">
        <f t="shared" si="24"/>
        <v>0</v>
      </c>
      <c r="I53" s="1369">
        <f t="shared" si="25"/>
        <v>1648955.7100000002</v>
      </c>
      <c r="J53" s="1370">
        <f t="shared" si="18"/>
        <v>141725.84</v>
      </c>
      <c r="K53" s="1365">
        <f t="shared" si="19"/>
        <v>705759.5</v>
      </c>
      <c r="L53" s="1032"/>
      <c r="M53" s="1032"/>
      <c r="N53" s="1032"/>
      <c r="O53" s="1032"/>
      <c r="P53" s="1032"/>
      <c r="Q53" s="1032">
        <f t="shared" si="26"/>
        <v>0</v>
      </c>
      <c r="R53" s="1033"/>
      <c r="S53" s="1033"/>
      <c r="T53" s="1033"/>
      <c r="U53" s="1033"/>
      <c r="V53" s="1360"/>
      <c r="W53" s="1034">
        <f t="shared" si="27"/>
        <v>0</v>
      </c>
      <c r="X53" s="1034">
        <v>471786.71595645609</v>
      </c>
      <c r="Y53" s="1033">
        <v>251193.55404354393</v>
      </c>
      <c r="Z53" s="1033">
        <v>132615.54</v>
      </c>
      <c r="AA53" s="1033">
        <v>129402.66</v>
      </c>
      <c r="AB53" s="1360">
        <v>0</v>
      </c>
      <c r="AC53" s="1034">
        <f t="shared" si="28"/>
        <v>984998.47000000009</v>
      </c>
      <c r="AD53" s="1034">
        <v>220215.94</v>
      </c>
      <c r="AE53" s="1033">
        <v>0</v>
      </c>
      <c r="AF53" s="1033">
        <v>431418.12</v>
      </c>
      <c r="AG53" s="1033">
        <v>12323.18</v>
      </c>
      <c r="AH53" s="1360">
        <v>0</v>
      </c>
      <c r="AI53" s="1034">
        <f t="shared" si="29"/>
        <v>663957.24000000011</v>
      </c>
      <c r="AJ53" s="1034"/>
      <c r="AK53" s="1033"/>
      <c r="AL53" s="1033"/>
      <c r="AM53" s="1033"/>
      <c r="AN53" s="1360"/>
      <c r="AO53" s="1034">
        <f t="shared" si="30"/>
        <v>0</v>
      </c>
    </row>
    <row r="54" spans="1:41" ht="15" customHeight="1" x14ac:dyDescent="0.25">
      <c r="A54" s="711" t="s">
        <v>126</v>
      </c>
      <c r="B54" s="710" t="s">
        <v>127</v>
      </c>
      <c r="C54" s="914" t="s">
        <v>266</v>
      </c>
      <c r="D54" s="1029">
        <f t="shared" si="20"/>
        <v>375936.0134297437</v>
      </c>
      <c r="E54" s="1030">
        <f t="shared" si="21"/>
        <v>180275.0565702563</v>
      </c>
      <c r="F54" s="1031">
        <f t="shared" si="22"/>
        <v>169316.54</v>
      </c>
      <c r="G54" s="1367">
        <f t="shared" si="23"/>
        <v>7457.79</v>
      </c>
      <c r="H54" s="1369">
        <f t="shared" si="24"/>
        <v>0</v>
      </c>
      <c r="I54" s="1369">
        <f t="shared" si="25"/>
        <v>732985.39999999991</v>
      </c>
      <c r="J54" s="1370">
        <f t="shared" si="18"/>
        <v>7457.79</v>
      </c>
      <c r="K54" s="1365">
        <f t="shared" si="19"/>
        <v>176774.33000000002</v>
      </c>
      <c r="L54" s="1032"/>
      <c r="M54" s="1032"/>
      <c r="N54" s="1032"/>
      <c r="O54" s="1032"/>
      <c r="P54" s="1032"/>
      <c r="Q54" s="1032">
        <f t="shared" si="26"/>
        <v>0</v>
      </c>
      <c r="R54" s="1033"/>
      <c r="S54" s="1033"/>
      <c r="T54" s="1033"/>
      <c r="U54" s="1033"/>
      <c r="V54" s="1360"/>
      <c r="W54" s="1034">
        <f t="shared" si="27"/>
        <v>0</v>
      </c>
      <c r="X54" s="1034">
        <v>338062.9434297437</v>
      </c>
      <c r="Y54" s="1033">
        <v>180275.0565702563</v>
      </c>
      <c r="Z54" s="1033">
        <v>95077.6</v>
      </c>
      <c r="AA54" s="1033">
        <v>7461.33</v>
      </c>
      <c r="AB54" s="1360">
        <v>0</v>
      </c>
      <c r="AC54" s="1034">
        <f t="shared" si="28"/>
        <v>620876.92999999993</v>
      </c>
      <c r="AD54" s="1034">
        <v>37873.07</v>
      </c>
      <c r="AE54" s="1033">
        <v>0</v>
      </c>
      <c r="AF54" s="1033">
        <v>74238.94</v>
      </c>
      <c r="AG54" s="1033">
        <v>-3.54</v>
      </c>
      <c r="AH54" s="1360">
        <v>0</v>
      </c>
      <c r="AI54" s="1034">
        <f t="shared" si="29"/>
        <v>112108.47000000002</v>
      </c>
      <c r="AJ54" s="1034"/>
      <c r="AK54" s="1033"/>
      <c r="AL54" s="1033"/>
      <c r="AM54" s="1033"/>
      <c r="AN54" s="1360"/>
      <c r="AO54" s="1034">
        <f t="shared" si="30"/>
        <v>0</v>
      </c>
    </row>
    <row r="55" spans="1:41" ht="15" customHeight="1" x14ac:dyDescent="0.25">
      <c r="A55" s="711" t="s">
        <v>128</v>
      </c>
      <c r="B55" s="710" t="s">
        <v>129</v>
      </c>
      <c r="C55" s="914" t="s">
        <v>266</v>
      </c>
      <c r="D55" s="1029">
        <f t="shared" si="20"/>
        <v>634168.93135341234</v>
      </c>
      <c r="E55" s="1030">
        <f t="shared" si="21"/>
        <v>300339.90864658775</v>
      </c>
      <c r="F55" s="1031">
        <f t="shared" si="22"/>
        <v>298856.84999999998</v>
      </c>
      <c r="G55" s="1367">
        <f t="shared" si="23"/>
        <v>22415.21</v>
      </c>
      <c r="H55" s="1369">
        <f t="shared" si="24"/>
        <v>0</v>
      </c>
      <c r="I55" s="1369">
        <f t="shared" si="25"/>
        <v>1255780.9000000001</v>
      </c>
      <c r="J55" s="1370">
        <f t="shared" si="18"/>
        <v>22415.21</v>
      </c>
      <c r="K55" s="1365">
        <f t="shared" si="19"/>
        <v>321272.06</v>
      </c>
      <c r="L55" s="1032"/>
      <c r="M55" s="1032"/>
      <c r="N55" s="1032"/>
      <c r="O55" s="1032"/>
      <c r="P55" s="1032"/>
      <c r="Q55" s="1032">
        <f t="shared" si="26"/>
        <v>0</v>
      </c>
      <c r="R55" s="1033">
        <v>1125.9100000000001</v>
      </c>
      <c r="S55" s="1033">
        <v>361.64</v>
      </c>
      <c r="T55" s="1033">
        <v>0</v>
      </c>
      <c r="U55" s="1033">
        <v>0</v>
      </c>
      <c r="V55" s="1360">
        <v>0</v>
      </c>
      <c r="W55" s="1034">
        <f t="shared" si="27"/>
        <v>1487.5500000000002</v>
      </c>
      <c r="X55" s="1034">
        <v>560141.28135341231</v>
      </c>
      <c r="Y55" s="1033">
        <v>299978.26864658773</v>
      </c>
      <c r="Z55" s="1033">
        <v>157771.48000000001</v>
      </c>
      <c r="AA55" s="1033">
        <v>22419.040000000001</v>
      </c>
      <c r="AB55" s="1360">
        <v>0</v>
      </c>
      <c r="AC55" s="1034">
        <f t="shared" si="28"/>
        <v>1040310.0700000001</v>
      </c>
      <c r="AD55" s="1034">
        <v>72901.740000000005</v>
      </c>
      <c r="AE55" s="1033">
        <v>0</v>
      </c>
      <c r="AF55" s="1033">
        <v>141085.37</v>
      </c>
      <c r="AG55" s="1033">
        <v>-3.83</v>
      </c>
      <c r="AH55" s="1360">
        <v>0</v>
      </c>
      <c r="AI55" s="1034">
        <f t="shared" si="29"/>
        <v>213983.28</v>
      </c>
      <c r="AJ55" s="1034"/>
      <c r="AK55" s="1033"/>
      <c r="AL55" s="1033"/>
      <c r="AM55" s="1033"/>
      <c r="AN55" s="1360"/>
      <c r="AO55" s="1034">
        <f t="shared" si="30"/>
        <v>0</v>
      </c>
    </row>
    <row r="56" spans="1:41" ht="15" customHeight="1" x14ac:dyDescent="0.25">
      <c r="A56" s="711" t="s">
        <v>130</v>
      </c>
      <c r="B56" s="710" t="s">
        <v>131</v>
      </c>
      <c r="C56" s="914" t="s">
        <v>268</v>
      </c>
      <c r="D56" s="1029">
        <f t="shared" si="20"/>
        <v>1681064.1218981331</v>
      </c>
      <c r="E56" s="1030">
        <f t="shared" si="21"/>
        <v>881163.93810186675</v>
      </c>
      <c r="F56" s="1031">
        <f t="shared" si="22"/>
        <v>525953.78</v>
      </c>
      <c r="G56" s="1367">
        <f t="shared" si="23"/>
        <v>16513.670000000002</v>
      </c>
      <c r="H56" s="1369">
        <f t="shared" si="24"/>
        <v>0</v>
      </c>
      <c r="I56" s="1369">
        <f t="shared" si="25"/>
        <v>3104695.51</v>
      </c>
      <c r="J56" s="1370">
        <f t="shared" si="18"/>
        <v>16513.670000000002</v>
      </c>
      <c r="K56" s="1365">
        <f t="shared" si="19"/>
        <v>542467.45000000007</v>
      </c>
      <c r="L56" s="1032"/>
      <c r="M56" s="1032"/>
      <c r="N56" s="1032"/>
      <c r="O56" s="1032"/>
      <c r="P56" s="1032"/>
      <c r="Q56" s="1032">
        <f t="shared" si="26"/>
        <v>0</v>
      </c>
      <c r="R56" s="1033"/>
      <c r="S56" s="1033"/>
      <c r="T56" s="1033"/>
      <c r="U56" s="1033"/>
      <c r="V56" s="1360"/>
      <c r="W56" s="1034">
        <f t="shared" si="27"/>
        <v>0</v>
      </c>
      <c r="X56" s="1034">
        <v>1649122.1718981331</v>
      </c>
      <c r="Y56" s="1033">
        <v>881163.93810186675</v>
      </c>
      <c r="Z56" s="1033">
        <v>464131.57</v>
      </c>
      <c r="AA56" s="1033">
        <v>16513.88</v>
      </c>
      <c r="AB56" s="1360">
        <v>0</v>
      </c>
      <c r="AC56" s="1034">
        <f t="shared" si="28"/>
        <v>3010931.5599999996</v>
      </c>
      <c r="AD56" s="1034">
        <v>31941.95</v>
      </c>
      <c r="AE56" s="1033">
        <v>0</v>
      </c>
      <c r="AF56" s="1033">
        <v>61822.21</v>
      </c>
      <c r="AG56" s="1033">
        <v>-0.21</v>
      </c>
      <c r="AH56" s="1360">
        <v>0</v>
      </c>
      <c r="AI56" s="1034">
        <f t="shared" si="29"/>
        <v>93763.95</v>
      </c>
      <c r="AJ56" s="1034"/>
      <c r="AK56" s="1033"/>
      <c r="AL56" s="1033"/>
      <c r="AM56" s="1033"/>
      <c r="AN56" s="1360"/>
      <c r="AO56" s="1034">
        <f t="shared" si="30"/>
        <v>0</v>
      </c>
    </row>
    <row r="57" spans="1:41" ht="15" customHeight="1" x14ac:dyDescent="0.25">
      <c r="A57" s="711" t="s">
        <v>132</v>
      </c>
      <c r="B57" s="710" t="s">
        <v>133</v>
      </c>
      <c r="C57" s="914" t="s">
        <v>267</v>
      </c>
      <c r="D57" s="1029">
        <f t="shared" si="20"/>
        <v>4108320.4651857344</v>
      </c>
      <c r="E57" s="1030">
        <f t="shared" si="21"/>
        <v>987230.78481426544</v>
      </c>
      <c r="F57" s="1031">
        <f t="shared" si="22"/>
        <v>4978471.3500000006</v>
      </c>
      <c r="G57" s="1367">
        <f t="shared" si="23"/>
        <v>-14.29</v>
      </c>
      <c r="H57" s="1369">
        <f t="shared" si="24"/>
        <v>0</v>
      </c>
      <c r="I57" s="1369">
        <f t="shared" si="25"/>
        <v>10074008.310000001</v>
      </c>
      <c r="J57" s="1370">
        <f t="shared" si="18"/>
        <v>-14.29</v>
      </c>
      <c r="K57" s="1365">
        <f t="shared" si="19"/>
        <v>4978457.0600000005</v>
      </c>
      <c r="L57" s="1032"/>
      <c r="M57" s="1032"/>
      <c r="N57" s="1032"/>
      <c r="O57" s="1032"/>
      <c r="P57" s="1032"/>
      <c r="Q57" s="1032">
        <f t="shared" si="26"/>
        <v>0</v>
      </c>
      <c r="R57" s="1033">
        <v>26542.86</v>
      </c>
      <c r="S57" s="1033">
        <v>8664.4500000000007</v>
      </c>
      <c r="T57" s="1033">
        <v>0</v>
      </c>
      <c r="U57" s="1033">
        <v>-0.01</v>
      </c>
      <c r="V57" s="1360">
        <v>0</v>
      </c>
      <c r="W57" s="1034">
        <f t="shared" si="27"/>
        <v>35207.299999999996</v>
      </c>
      <c r="X57" s="1034">
        <v>1781615.3051857345</v>
      </c>
      <c r="Y57" s="1033">
        <v>978566.33481426549</v>
      </c>
      <c r="Z57" s="1033">
        <v>506304.57</v>
      </c>
      <c r="AA57" s="1033">
        <v>-5.14</v>
      </c>
      <c r="AB57" s="1360">
        <v>0</v>
      </c>
      <c r="AC57" s="1034">
        <f t="shared" si="28"/>
        <v>3266481.07</v>
      </c>
      <c r="AD57" s="1034">
        <v>2300162.2999999998</v>
      </c>
      <c r="AE57" s="1033">
        <v>0</v>
      </c>
      <c r="AF57" s="1033">
        <v>4472166.78</v>
      </c>
      <c r="AG57" s="1033">
        <v>-9.14</v>
      </c>
      <c r="AH57" s="1360">
        <v>0</v>
      </c>
      <c r="AI57" s="1034">
        <f t="shared" si="29"/>
        <v>6772319.9400000004</v>
      </c>
      <c r="AJ57" s="1034"/>
      <c r="AK57" s="1033"/>
      <c r="AL57" s="1033"/>
      <c r="AM57" s="1033"/>
      <c r="AN57" s="1360"/>
      <c r="AO57" s="1034">
        <f t="shared" si="30"/>
        <v>0</v>
      </c>
    </row>
    <row r="58" spans="1:41" ht="15" customHeight="1" x14ac:dyDescent="0.25">
      <c r="A58" s="711" t="s">
        <v>134</v>
      </c>
      <c r="B58" s="710" t="s">
        <v>135</v>
      </c>
      <c r="C58" s="914" t="s">
        <v>267</v>
      </c>
      <c r="D58" s="1029">
        <f t="shared" si="20"/>
        <v>1099912.1545620915</v>
      </c>
      <c r="E58" s="1030">
        <f t="shared" si="21"/>
        <v>444371.4454379087</v>
      </c>
      <c r="F58" s="1031">
        <f t="shared" si="22"/>
        <v>757456.18</v>
      </c>
      <c r="G58" s="1367">
        <f t="shared" si="23"/>
        <v>1758.17</v>
      </c>
      <c r="H58" s="1369">
        <f t="shared" si="24"/>
        <v>0</v>
      </c>
      <c r="I58" s="1369">
        <f t="shared" si="25"/>
        <v>2303497.9500000002</v>
      </c>
      <c r="J58" s="1370">
        <f t="shared" si="18"/>
        <v>1758.17</v>
      </c>
      <c r="K58" s="1365">
        <f t="shared" si="19"/>
        <v>759214.35000000009</v>
      </c>
      <c r="L58" s="1032"/>
      <c r="M58" s="1032"/>
      <c r="N58" s="1032"/>
      <c r="O58" s="1032"/>
      <c r="P58" s="1032"/>
      <c r="Q58" s="1032">
        <f t="shared" si="26"/>
        <v>0</v>
      </c>
      <c r="R58" s="1033">
        <v>11981.37</v>
      </c>
      <c r="S58" s="1033">
        <v>4078.16</v>
      </c>
      <c r="T58" s="1033">
        <v>0</v>
      </c>
      <c r="U58" s="1033">
        <v>-0.04</v>
      </c>
      <c r="V58" s="1360">
        <v>0</v>
      </c>
      <c r="W58" s="1034">
        <f t="shared" si="27"/>
        <v>16059.49</v>
      </c>
      <c r="X58" s="1034">
        <v>815333.71456209139</v>
      </c>
      <c r="Y58" s="1033">
        <v>440293.28543790872</v>
      </c>
      <c r="Z58" s="1033">
        <v>230320.15</v>
      </c>
      <c r="AA58" s="1033">
        <v>1126.8399999999999</v>
      </c>
      <c r="AB58" s="1360">
        <v>0</v>
      </c>
      <c r="AC58" s="1034">
        <f t="shared" si="28"/>
        <v>1487073.99</v>
      </c>
      <c r="AD58" s="1034">
        <v>272597.07</v>
      </c>
      <c r="AE58" s="1033">
        <v>0</v>
      </c>
      <c r="AF58" s="1033">
        <v>527136.03</v>
      </c>
      <c r="AG58" s="1033">
        <v>631.37</v>
      </c>
      <c r="AH58" s="1360">
        <v>0</v>
      </c>
      <c r="AI58" s="1034">
        <f t="shared" si="29"/>
        <v>800364.47000000009</v>
      </c>
      <c r="AJ58" s="1034"/>
      <c r="AK58" s="1033"/>
      <c r="AL58" s="1033"/>
      <c r="AM58" s="1033"/>
      <c r="AN58" s="1360"/>
      <c r="AO58" s="1034">
        <f t="shared" si="30"/>
        <v>0</v>
      </c>
    </row>
    <row r="59" spans="1:41" ht="15" customHeight="1" x14ac:dyDescent="0.25">
      <c r="A59" s="711" t="s">
        <v>136</v>
      </c>
      <c r="B59" s="710" t="s">
        <v>137</v>
      </c>
      <c r="C59" s="914" t="s">
        <v>266</v>
      </c>
      <c r="D59" s="1029">
        <f t="shared" si="20"/>
        <v>390746.00027080439</v>
      </c>
      <c r="E59" s="1030">
        <f t="shared" si="21"/>
        <v>208917.49972919564</v>
      </c>
      <c r="F59" s="1031">
        <f t="shared" si="22"/>
        <v>109994.81</v>
      </c>
      <c r="G59" s="1367">
        <f t="shared" si="23"/>
        <v>291.92</v>
      </c>
      <c r="H59" s="1369">
        <f t="shared" si="24"/>
        <v>0</v>
      </c>
      <c r="I59" s="1369">
        <f t="shared" si="25"/>
        <v>709950.2300000001</v>
      </c>
      <c r="J59" s="1370">
        <f t="shared" si="18"/>
        <v>291.92</v>
      </c>
      <c r="K59" s="1365">
        <f t="shared" si="19"/>
        <v>110286.73</v>
      </c>
      <c r="L59" s="1032"/>
      <c r="M59" s="1032"/>
      <c r="N59" s="1032"/>
      <c r="O59" s="1032"/>
      <c r="P59" s="1032"/>
      <c r="Q59" s="1032">
        <f t="shared" si="26"/>
        <v>0</v>
      </c>
      <c r="R59" s="1033"/>
      <c r="S59" s="1033"/>
      <c r="T59" s="1033"/>
      <c r="U59" s="1033"/>
      <c r="V59" s="1360"/>
      <c r="W59" s="1034">
        <f t="shared" si="27"/>
        <v>0</v>
      </c>
      <c r="X59" s="1034">
        <v>390746.00027080439</v>
      </c>
      <c r="Y59" s="1033">
        <v>208917.49972919564</v>
      </c>
      <c r="Z59" s="1033">
        <v>109994.81</v>
      </c>
      <c r="AA59" s="1033">
        <v>291.92</v>
      </c>
      <c r="AB59" s="1360">
        <v>0</v>
      </c>
      <c r="AC59" s="1034">
        <f t="shared" si="28"/>
        <v>709950.2300000001</v>
      </c>
      <c r="AD59" s="1034"/>
      <c r="AE59" s="1033"/>
      <c r="AF59" s="1033"/>
      <c r="AG59" s="1033"/>
      <c r="AH59" s="1360"/>
      <c r="AI59" s="1034">
        <f t="shared" si="29"/>
        <v>0</v>
      </c>
      <c r="AJ59" s="1034"/>
      <c r="AK59" s="1033"/>
      <c r="AL59" s="1033"/>
      <c r="AM59" s="1033"/>
      <c r="AN59" s="1360"/>
      <c r="AO59" s="1034">
        <f t="shared" si="30"/>
        <v>0</v>
      </c>
    </row>
    <row r="60" spans="1:41" ht="15" customHeight="1" x14ac:dyDescent="0.25">
      <c r="A60" s="711" t="s">
        <v>140</v>
      </c>
      <c r="B60" s="710" t="s">
        <v>141</v>
      </c>
      <c r="C60" s="914" t="s">
        <v>267</v>
      </c>
      <c r="D60" s="1029">
        <f t="shared" si="20"/>
        <v>477976.48854797904</v>
      </c>
      <c r="E60" s="1030">
        <f t="shared" si="21"/>
        <v>197425.80145202097</v>
      </c>
      <c r="F60" s="1031">
        <f t="shared" si="22"/>
        <v>314604.83999999997</v>
      </c>
      <c r="G60" s="1367">
        <f t="shared" si="23"/>
        <v>78580.13</v>
      </c>
      <c r="H60" s="1369">
        <f t="shared" si="24"/>
        <v>0</v>
      </c>
      <c r="I60" s="1369">
        <f t="shared" si="25"/>
        <v>1068587.26</v>
      </c>
      <c r="J60" s="1370">
        <f t="shared" si="18"/>
        <v>78580.13</v>
      </c>
      <c r="K60" s="1365">
        <f t="shared" si="19"/>
        <v>393184.97</v>
      </c>
      <c r="L60" s="1032"/>
      <c r="M60" s="1032"/>
      <c r="N60" s="1032"/>
      <c r="O60" s="1032"/>
      <c r="P60" s="1032"/>
      <c r="Q60" s="1032">
        <f t="shared" si="26"/>
        <v>0</v>
      </c>
      <c r="R60" s="1033">
        <v>358.24</v>
      </c>
      <c r="S60" s="1033">
        <v>115.02</v>
      </c>
      <c r="T60" s="1033">
        <v>0</v>
      </c>
      <c r="U60" s="1033">
        <v>-0.01</v>
      </c>
      <c r="V60" s="1360">
        <v>0</v>
      </c>
      <c r="W60" s="1034">
        <f t="shared" si="27"/>
        <v>473.25</v>
      </c>
      <c r="X60" s="1034">
        <v>370432.49854797905</v>
      </c>
      <c r="Y60" s="1033">
        <v>197310.78145202098</v>
      </c>
      <c r="Z60" s="1033">
        <v>104139.28</v>
      </c>
      <c r="AA60" s="1033">
        <v>77284.929999999993</v>
      </c>
      <c r="AB60" s="1360">
        <v>0</v>
      </c>
      <c r="AC60" s="1034">
        <f t="shared" si="28"/>
        <v>749167.49</v>
      </c>
      <c r="AD60" s="1034">
        <v>107185.75</v>
      </c>
      <c r="AE60" s="1033">
        <v>0</v>
      </c>
      <c r="AF60" s="1033">
        <v>210465.56</v>
      </c>
      <c r="AG60" s="1033">
        <v>1295.21</v>
      </c>
      <c r="AH60" s="1360">
        <v>0</v>
      </c>
      <c r="AI60" s="1034">
        <f t="shared" si="29"/>
        <v>318946.52</v>
      </c>
      <c r="AJ60" s="1034"/>
      <c r="AK60" s="1033"/>
      <c r="AL60" s="1033"/>
      <c r="AM60" s="1033"/>
      <c r="AN60" s="1360"/>
      <c r="AO60" s="1034">
        <f t="shared" si="30"/>
        <v>0</v>
      </c>
    </row>
    <row r="61" spans="1:41" ht="15" customHeight="1" x14ac:dyDescent="0.25">
      <c r="A61" s="711" t="s">
        <v>146</v>
      </c>
      <c r="B61" s="710" t="s">
        <v>147</v>
      </c>
      <c r="C61" s="914" t="s">
        <v>264</v>
      </c>
      <c r="D61" s="1029">
        <f t="shared" si="20"/>
        <v>428473.67627087311</v>
      </c>
      <c r="E61" s="1030">
        <f t="shared" si="21"/>
        <v>167846.62372912694</v>
      </c>
      <c r="F61" s="1031">
        <f t="shared" si="22"/>
        <v>309964.06</v>
      </c>
      <c r="G61" s="1367">
        <f t="shared" si="23"/>
        <v>6796.84</v>
      </c>
      <c r="H61" s="1369">
        <f t="shared" si="24"/>
        <v>0</v>
      </c>
      <c r="I61" s="1369">
        <f t="shared" si="25"/>
        <v>913081.20000000007</v>
      </c>
      <c r="J61" s="1370">
        <f t="shared" si="18"/>
        <v>6796.84</v>
      </c>
      <c r="K61" s="1365">
        <f t="shared" si="19"/>
        <v>316760.90000000002</v>
      </c>
      <c r="L61" s="1032"/>
      <c r="M61" s="1032"/>
      <c r="N61" s="1032"/>
      <c r="O61" s="1032"/>
      <c r="P61" s="1032"/>
      <c r="Q61" s="1032">
        <f t="shared" si="26"/>
        <v>0</v>
      </c>
      <c r="R61" s="1033">
        <v>1513.94</v>
      </c>
      <c r="S61" s="1033">
        <v>486.06</v>
      </c>
      <c r="T61" s="1033">
        <v>0</v>
      </c>
      <c r="U61" s="1033">
        <v>0</v>
      </c>
      <c r="V61" s="1360">
        <v>0</v>
      </c>
      <c r="W61" s="1034">
        <f t="shared" si="27"/>
        <v>2000</v>
      </c>
      <c r="X61" s="1034">
        <v>313489.52627087309</v>
      </c>
      <c r="Y61" s="1033">
        <v>167360.56372912694</v>
      </c>
      <c r="Z61" s="1033">
        <v>88199.7</v>
      </c>
      <c r="AA61" s="1033">
        <v>6799.66</v>
      </c>
      <c r="AB61" s="1360">
        <v>0</v>
      </c>
      <c r="AC61" s="1034">
        <f t="shared" si="28"/>
        <v>575849.45000000007</v>
      </c>
      <c r="AD61" s="1034">
        <v>113470.21</v>
      </c>
      <c r="AE61" s="1033">
        <v>0</v>
      </c>
      <c r="AF61" s="1033">
        <v>221764.36</v>
      </c>
      <c r="AG61" s="1033">
        <v>-2.82</v>
      </c>
      <c r="AH61" s="1360">
        <v>0</v>
      </c>
      <c r="AI61" s="1034">
        <f t="shared" si="29"/>
        <v>335231.75</v>
      </c>
      <c r="AJ61" s="1034"/>
      <c r="AK61" s="1033"/>
      <c r="AL61" s="1033"/>
      <c r="AM61" s="1033"/>
      <c r="AN61" s="1360"/>
      <c r="AO61" s="1034">
        <f t="shared" si="30"/>
        <v>0</v>
      </c>
    </row>
    <row r="62" spans="1:41" ht="15" customHeight="1" x14ac:dyDescent="0.25">
      <c r="A62" s="711" t="s">
        <v>148</v>
      </c>
      <c r="B62" s="710" t="s">
        <v>149</v>
      </c>
      <c r="C62" s="914" t="s">
        <v>265</v>
      </c>
      <c r="D62" s="1029">
        <f t="shared" si="20"/>
        <v>1070192.6945295532</v>
      </c>
      <c r="E62" s="1030">
        <f t="shared" si="21"/>
        <v>516534.89547044685</v>
      </c>
      <c r="F62" s="1031">
        <f t="shared" si="22"/>
        <v>475483.72</v>
      </c>
      <c r="G62" s="1367">
        <f t="shared" si="23"/>
        <v>324847.07</v>
      </c>
      <c r="H62" s="1369">
        <f t="shared" si="24"/>
        <v>0</v>
      </c>
      <c r="I62" s="1369">
        <f t="shared" si="25"/>
        <v>2387058.3800000004</v>
      </c>
      <c r="J62" s="1370">
        <f t="shared" si="18"/>
        <v>324847.07</v>
      </c>
      <c r="K62" s="1365">
        <f t="shared" si="19"/>
        <v>800330.79</v>
      </c>
      <c r="L62" s="1032"/>
      <c r="M62" s="1032"/>
      <c r="N62" s="1032"/>
      <c r="O62" s="1032"/>
      <c r="P62" s="1032"/>
      <c r="Q62" s="1032">
        <f t="shared" si="26"/>
        <v>0</v>
      </c>
      <c r="R62" s="1033"/>
      <c r="S62" s="1033"/>
      <c r="T62" s="1033"/>
      <c r="U62" s="1033"/>
      <c r="V62" s="1360"/>
      <c r="W62" s="1034">
        <f t="shared" si="27"/>
        <v>0</v>
      </c>
      <c r="X62" s="1034">
        <v>964926.12452955311</v>
      </c>
      <c r="Y62" s="1033">
        <v>516534.89547044685</v>
      </c>
      <c r="Z62" s="1033">
        <v>271745.09999999998</v>
      </c>
      <c r="AA62" s="1033">
        <v>287060.87</v>
      </c>
      <c r="AB62" s="1360">
        <v>0</v>
      </c>
      <c r="AC62" s="1034">
        <f t="shared" si="28"/>
        <v>2040266.9900000002</v>
      </c>
      <c r="AD62" s="1034">
        <v>105266.57</v>
      </c>
      <c r="AE62" s="1033">
        <v>0</v>
      </c>
      <c r="AF62" s="1033">
        <v>203738.62</v>
      </c>
      <c r="AG62" s="1033">
        <v>37786.199999999997</v>
      </c>
      <c r="AH62" s="1360">
        <v>0</v>
      </c>
      <c r="AI62" s="1034">
        <f t="shared" si="29"/>
        <v>346791.39</v>
      </c>
      <c r="AJ62" s="1034"/>
      <c r="AK62" s="1033"/>
      <c r="AL62" s="1033"/>
      <c r="AM62" s="1033"/>
      <c r="AN62" s="1360"/>
      <c r="AO62" s="1034">
        <f t="shared" si="30"/>
        <v>0</v>
      </c>
    </row>
    <row r="63" spans="1:41" ht="15" customHeight="1" x14ac:dyDescent="0.25">
      <c r="A63" s="711" t="s">
        <v>150</v>
      </c>
      <c r="B63" s="710" t="s">
        <v>151</v>
      </c>
      <c r="C63" s="914" t="s">
        <v>266</v>
      </c>
      <c r="D63" s="1029">
        <f t="shared" si="20"/>
        <v>386034.32087728387</v>
      </c>
      <c r="E63" s="1030">
        <f t="shared" si="21"/>
        <v>203531.55912271619</v>
      </c>
      <c r="F63" s="1031">
        <f t="shared" si="22"/>
        <v>117036.43</v>
      </c>
      <c r="G63" s="1367">
        <f t="shared" si="23"/>
        <v>10957.960000000001</v>
      </c>
      <c r="H63" s="1369">
        <f t="shared" si="24"/>
        <v>0</v>
      </c>
      <c r="I63" s="1369">
        <f t="shared" si="25"/>
        <v>717560.27</v>
      </c>
      <c r="J63" s="1370">
        <f t="shared" si="18"/>
        <v>10957.960000000001</v>
      </c>
      <c r="K63" s="1365">
        <f t="shared" si="19"/>
        <v>127994.39</v>
      </c>
      <c r="L63" s="1032"/>
      <c r="M63" s="1032"/>
      <c r="N63" s="1032"/>
      <c r="O63" s="1032"/>
      <c r="P63" s="1032"/>
      <c r="Q63" s="1032">
        <f t="shared" si="26"/>
        <v>0</v>
      </c>
      <c r="R63" s="1033"/>
      <c r="S63" s="1033"/>
      <c r="T63" s="1033"/>
      <c r="U63" s="1033"/>
      <c r="V63" s="1360"/>
      <c r="W63" s="1034">
        <f t="shared" si="27"/>
        <v>0</v>
      </c>
      <c r="X63" s="1034">
        <v>381021.43087728386</v>
      </c>
      <c r="Y63" s="1033">
        <v>203531.55912271619</v>
      </c>
      <c r="Z63" s="1033">
        <v>107223.56</v>
      </c>
      <c r="AA63" s="1033">
        <v>10958.6</v>
      </c>
      <c r="AB63" s="1360">
        <v>0</v>
      </c>
      <c r="AC63" s="1034">
        <f t="shared" si="28"/>
        <v>702735.15</v>
      </c>
      <c r="AD63" s="1034">
        <v>5012.8900000000003</v>
      </c>
      <c r="AE63" s="1033">
        <v>0</v>
      </c>
      <c r="AF63" s="1033">
        <v>9812.8700000000008</v>
      </c>
      <c r="AG63" s="1033">
        <v>-0.64</v>
      </c>
      <c r="AH63" s="1360">
        <v>0</v>
      </c>
      <c r="AI63" s="1034">
        <f t="shared" si="29"/>
        <v>14825.120000000003</v>
      </c>
      <c r="AJ63" s="1034"/>
      <c r="AK63" s="1033"/>
      <c r="AL63" s="1033"/>
      <c r="AM63" s="1033"/>
      <c r="AN63" s="1360"/>
      <c r="AO63" s="1034">
        <f t="shared" si="30"/>
        <v>0</v>
      </c>
    </row>
    <row r="64" spans="1:41" ht="15" customHeight="1" x14ac:dyDescent="0.25">
      <c r="A64" s="711" t="s">
        <v>152</v>
      </c>
      <c r="B64" s="710" t="s">
        <v>153</v>
      </c>
      <c r="C64" s="914" t="s">
        <v>268</v>
      </c>
      <c r="D64" s="1029">
        <f t="shared" si="20"/>
        <v>2036430.3611996027</v>
      </c>
      <c r="E64" s="1030">
        <f t="shared" si="21"/>
        <v>990169.59880039736</v>
      </c>
      <c r="F64" s="1031">
        <f t="shared" si="22"/>
        <v>882771.71</v>
      </c>
      <c r="G64" s="1367">
        <f t="shared" si="23"/>
        <v>19871.310000000001</v>
      </c>
      <c r="H64" s="1369">
        <f t="shared" si="24"/>
        <v>0</v>
      </c>
      <c r="I64" s="1369">
        <f t="shared" si="25"/>
        <v>3929242.9800000004</v>
      </c>
      <c r="J64" s="1370">
        <f t="shared" si="18"/>
        <v>19871.310000000001</v>
      </c>
      <c r="K64" s="1365">
        <f t="shared" si="19"/>
        <v>902643.02</v>
      </c>
      <c r="L64" s="1032"/>
      <c r="M64" s="1032"/>
      <c r="N64" s="1032"/>
      <c r="O64" s="1032"/>
      <c r="P64" s="1032"/>
      <c r="Q64" s="1032">
        <f t="shared" si="26"/>
        <v>0</v>
      </c>
      <c r="R64" s="1033"/>
      <c r="S64" s="1033"/>
      <c r="T64" s="1033"/>
      <c r="U64" s="1033"/>
      <c r="V64" s="1360"/>
      <c r="W64" s="1034">
        <f t="shared" si="27"/>
        <v>0</v>
      </c>
      <c r="X64" s="1034">
        <v>1849446.8511996027</v>
      </c>
      <c r="Y64" s="1033">
        <v>990169.59880039736</v>
      </c>
      <c r="Z64" s="1033">
        <v>520873.13</v>
      </c>
      <c r="AA64" s="1033">
        <v>19871.47</v>
      </c>
      <c r="AB64" s="1360">
        <v>0</v>
      </c>
      <c r="AC64" s="1034">
        <f t="shared" si="28"/>
        <v>3380361.0500000003</v>
      </c>
      <c r="AD64" s="1034">
        <v>186983.51</v>
      </c>
      <c r="AE64" s="1033">
        <v>0</v>
      </c>
      <c r="AF64" s="1033">
        <v>361898.58</v>
      </c>
      <c r="AG64" s="1033">
        <v>-0.16</v>
      </c>
      <c r="AH64" s="1360">
        <v>0</v>
      </c>
      <c r="AI64" s="1034">
        <f t="shared" si="29"/>
        <v>548881.93000000005</v>
      </c>
      <c r="AJ64" s="1034"/>
      <c r="AK64" s="1033"/>
      <c r="AL64" s="1033"/>
      <c r="AM64" s="1033"/>
      <c r="AN64" s="1360"/>
      <c r="AO64" s="1034">
        <f t="shared" si="30"/>
        <v>0</v>
      </c>
    </row>
    <row r="65" spans="1:41" ht="15" customHeight="1" x14ac:dyDescent="0.25">
      <c r="A65" s="711" t="s">
        <v>154</v>
      </c>
      <c r="B65" s="710" t="s">
        <v>155</v>
      </c>
      <c r="C65" s="914" t="s">
        <v>265</v>
      </c>
      <c r="D65" s="1029">
        <f t="shared" si="20"/>
        <v>477698.81680146186</v>
      </c>
      <c r="E65" s="1030">
        <f t="shared" si="21"/>
        <v>232909.30319853817</v>
      </c>
      <c r="F65" s="1031">
        <f t="shared" si="22"/>
        <v>204455.89</v>
      </c>
      <c r="G65" s="1367">
        <f t="shared" si="23"/>
        <v>37849.69</v>
      </c>
      <c r="H65" s="1369">
        <f t="shared" si="24"/>
        <v>0</v>
      </c>
      <c r="I65" s="1369">
        <f t="shared" si="25"/>
        <v>952913.70000000019</v>
      </c>
      <c r="J65" s="1370">
        <f t="shared" si="18"/>
        <v>37849.69</v>
      </c>
      <c r="K65" s="1365">
        <f t="shared" si="19"/>
        <v>242305.58000000002</v>
      </c>
      <c r="L65" s="1032"/>
      <c r="M65" s="1032"/>
      <c r="N65" s="1032"/>
      <c r="O65" s="1032"/>
      <c r="P65" s="1032"/>
      <c r="Q65" s="1032">
        <f t="shared" si="26"/>
        <v>0</v>
      </c>
      <c r="R65" s="1033"/>
      <c r="S65" s="1033"/>
      <c r="T65" s="1033"/>
      <c r="U65" s="1033"/>
      <c r="V65" s="1360"/>
      <c r="W65" s="1034">
        <f t="shared" si="27"/>
        <v>0</v>
      </c>
      <c r="X65" s="1034">
        <v>435495.94680146186</v>
      </c>
      <c r="Y65" s="1033">
        <v>232909.30319853817</v>
      </c>
      <c r="Z65" s="1033">
        <v>122604.57</v>
      </c>
      <c r="AA65" s="1033">
        <v>15824.8</v>
      </c>
      <c r="AB65" s="1360">
        <v>0</v>
      </c>
      <c r="AC65" s="1034">
        <f t="shared" si="28"/>
        <v>806834.62000000011</v>
      </c>
      <c r="AD65" s="1034">
        <v>42202.87</v>
      </c>
      <c r="AE65" s="1033">
        <v>0</v>
      </c>
      <c r="AF65" s="1033">
        <v>81851.320000000007</v>
      </c>
      <c r="AG65" s="1033">
        <v>22024.89</v>
      </c>
      <c r="AH65" s="1360">
        <v>0</v>
      </c>
      <c r="AI65" s="1034">
        <f t="shared" si="29"/>
        <v>146079.08000000002</v>
      </c>
      <c r="AJ65" s="1034"/>
      <c r="AK65" s="1033"/>
      <c r="AL65" s="1033"/>
      <c r="AM65" s="1033"/>
      <c r="AN65" s="1360"/>
      <c r="AO65" s="1034">
        <f t="shared" si="30"/>
        <v>0</v>
      </c>
    </row>
    <row r="66" spans="1:41" ht="15" customHeight="1" x14ac:dyDescent="0.25">
      <c r="A66" s="711" t="s">
        <v>156</v>
      </c>
      <c r="B66" s="710" t="s">
        <v>157</v>
      </c>
      <c r="C66" s="914" t="s">
        <v>266</v>
      </c>
      <c r="D66" s="1029">
        <f t="shared" si="20"/>
        <v>479119.61015319848</v>
      </c>
      <c r="E66" s="1030">
        <f t="shared" si="21"/>
        <v>209919.81984680149</v>
      </c>
      <c r="F66" s="1031">
        <f t="shared" si="22"/>
        <v>284198.12</v>
      </c>
      <c r="G66" s="1367">
        <f t="shared" si="23"/>
        <v>33828.959999999999</v>
      </c>
      <c r="H66" s="1369">
        <f t="shared" si="24"/>
        <v>0</v>
      </c>
      <c r="I66" s="1369">
        <f t="shared" si="25"/>
        <v>1007066.5099999998</v>
      </c>
      <c r="J66" s="1370">
        <f t="shared" si="18"/>
        <v>33828.959999999999</v>
      </c>
      <c r="K66" s="1365">
        <f t="shared" si="19"/>
        <v>318027.08</v>
      </c>
      <c r="L66" s="1032"/>
      <c r="M66" s="1032"/>
      <c r="N66" s="1032"/>
      <c r="O66" s="1032"/>
      <c r="P66" s="1032"/>
      <c r="Q66" s="1032">
        <f t="shared" si="26"/>
        <v>0</v>
      </c>
      <c r="R66" s="1033"/>
      <c r="S66" s="1033"/>
      <c r="T66" s="1033"/>
      <c r="U66" s="1033"/>
      <c r="V66" s="1360"/>
      <c r="W66" s="1034">
        <f t="shared" si="27"/>
        <v>0</v>
      </c>
      <c r="X66" s="1034">
        <v>388943.33015319845</v>
      </c>
      <c r="Y66" s="1033">
        <v>209919.81984680149</v>
      </c>
      <c r="Z66" s="1033">
        <v>109848.19</v>
      </c>
      <c r="AA66" s="1033">
        <v>937.67</v>
      </c>
      <c r="AB66" s="1360">
        <v>0</v>
      </c>
      <c r="AC66" s="1034">
        <f t="shared" si="28"/>
        <v>709649.00999999989</v>
      </c>
      <c r="AD66" s="1034">
        <v>90176.28</v>
      </c>
      <c r="AE66" s="1033">
        <v>0</v>
      </c>
      <c r="AF66" s="1033">
        <v>174349.93</v>
      </c>
      <c r="AG66" s="1033">
        <v>32891.29</v>
      </c>
      <c r="AH66" s="1360">
        <v>0</v>
      </c>
      <c r="AI66" s="1034">
        <f t="shared" si="29"/>
        <v>297417.49999999994</v>
      </c>
      <c r="AJ66" s="1034"/>
      <c r="AK66" s="1033"/>
      <c r="AL66" s="1033"/>
      <c r="AM66" s="1033"/>
      <c r="AN66" s="1360"/>
      <c r="AO66" s="1034">
        <f t="shared" si="30"/>
        <v>0</v>
      </c>
    </row>
    <row r="67" spans="1:41" ht="15" customHeight="1" x14ac:dyDescent="0.25">
      <c r="A67" s="711" t="s">
        <v>162</v>
      </c>
      <c r="B67" s="710" t="s">
        <v>163</v>
      </c>
      <c r="C67" s="914" t="s">
        <v>264</v>
      </c>
      <c r="D67" s="1029">
        <f t="shared" si="20"/>
        <v>1100037.4852069106</v>
      </c>
      <c r="E67" s="1030">
        <f t="shared" si="21"/>
        <v>556469.04479308927</v>
      </c>
      <c r="F67" s="1031">
        <f t="shared" si="22"/>
        <v>396656.43999999994</v>
      </c>
      <c r="G67" s="1367">
        <f t="shared" si="23"/>
        <v>4831.3999999999996</v>
      </c>
      <c r="H67" s="1369">
        <f t="shared" si="24"/>
        <v>0</v>
      </c>
      <c r="I67" s="1369">
        <f t="shared" si="25"/>
        <v>2057994.3699999999</v>
      </c>
      <c r="J67" s="1370">
        <f t="shared" si="18"/>
        <v>4831.3999999999996</v>
      </c>
      <c r="K67" s="1365">
        <f t="shared" si="19"/>
        <v>401487.83999999997</v>
      </c>
      <c r="L67" s="1032"/>
      <c r="M67" s="1032"/>
      <c r="N67" s="1032"/>
      <c r="O67" s="1032"/>
      <c r="P67" s="1032"/>
      <c r="Q67" s="1032">
        <f t="shared" si="26"/>
        <v>0</v>
      </c>
      <c r="R67" s="1033">
        <v>4374.79</v>
      </c>
      <c r="S67" s="1033">
        <v>1417.44</v>
      </c>
      <c r="T67" s="1033">
        <v>0</v>
      </c>
      <c r="U67" s="1033">
        <v>-0.02</v>
      </c>
      <c r="V67" s="1360">
        <v>0</v>
      </c>
      <c r="W67" s="1034">
        <f t="shared" si="27"/>
        <v>5792.2099999999991</v>
      </c>
      <c r="X67" s="1034">
        <v>1042959.9852069106</v>
      </c>
      <c r="Y67" s="1033">
        <v>555051.60479308933</v>
      </c>
      <c r="Z67" s="1033">
        <v>293124.03999999998</v>
      </c>
      <c r="AA67" s="1033">
        <v>3543.59</v>
      </c>
      <c r="AB67" s="1360">
        <v>0</v>
      </c>
      <c r="AC67" s="1034">
        <f t="shared" si="28"/>
        <v>1894679.22</v>
      </c>
      <c r="AD67" s="1034">
        <v>52702.71</v>
      </c>
      <c r="AE67" s="1033">
        <v>0</v>
      </c>
      <c r="AF67" s="1033">
        <v>103532.4</v>
      </c>
      <c r="AG67" s="1033">
        <v>1287.83</v>
      </c>
      <c r="AH67" s="1360">
        <v>0</v>
      </c>
      <c r="AI67" s="1034">
        <f t="shared" si="29"/>
        <v>157522.93999999997</v>
      </c>
      <c r="AJ67" s="1034"/>
      <c r="AK67" s="1033"/>
      <c r="AL67" s="1033"/>
      <c r="AM67" s="1033"/>
      <c r="AN67" s="1360"/>
      <c r="AO67" s="1034">
        <f t="shared" si="30"/>
        <v>0</v>
      </c>
    </row>
    <row r="68" spans="1:41" ht="15" customHeight="1" x14ac:dyDescent="0.25">
      <c r="A68" s="711" t="s">
        <v>164</v>
      </c>
      <c r="B68" s="710" t="s">
        <v>165</v>
      </c>
      <c r="C68" s="914" t="s">
        <v>266</v>
      </c>
      <c r="D68" s="1029">
        <f t="shared" si="20"/>
        <v>517753.22642849572</v>
      </c>
      <c r="E68" s="1030">
        <f t="shared" si="21"/>
        <v>210683.54357150424</v>
      </c>
      <c r="F68" s="1031">
        <f t="shared" si="22"/>
        <v>356537.41000000003</v>
      </c>
      <c r="G68" s="1367">
        <f t="shared" si="23"/>
        <v>-13065.439999999999</v>
      </c>
      <c r="H68" s="1369">
        <f t="shared" si="24"/>
        <v>0</v>
      </c>
      <c r="I68" s="1369">
        <f t="shared" si="25"/>
        <v>1071908.7399999998</v>
      </c>
      <c r="J68" s="1370">
        <f t="shared" ref="J68:J99" si="31">G68+H68</f>
        <v>-13065.439999999999</v>
      </c>
      <c r="K68" s="1365">
        <f t="shared" ref="K68:K99" si="32">F68+J68</f>
        <v>343471.97000000003</v>
      </c>
      <c r="L68" s="1032"/>
      <c r="M68" s="1032"/>
      <c r="N68" s="1032"/>
      <c r="O68" s="1032"/>
      <c r="P68" s="1032"/>
      <c r="Q68" s="1032">
        <f t="shared" si="26"/>
        <v>0</v>
      </c>
      <c r="R68" s="1033"/>
      <c r="S68" s="1033"/>
      <c r="T68" s="1033"/>
      <c r="U68" s="1033"/>
      <c r="V68" s="1360"/>
      <c r="W68" s="1034">
        <f t="shared" si="27"/>
        <v>0</v>
      </c>
      <c r="X68" s="1034">
        <v>390590.3264284957</v>
      </c>
      <c r="Y68" s="1033">
        <v>210683.54357150424</v>
      </c>
      <c r="Z68" s="1033">
        <v>110290.43</v>
      </c>
      <c r="AA68" s="1033">
        <v>23800.44</v>
      </c>
      <c r="AB68" s="1360">
        <v>0</v>
      </c>
      <c r="AC68" s="1034">
        <f t="shared" si="28"/>
        <v>735364.73999999976</v>
      </c>
      <c r="AD68" s="1034">
        <v>127162.9</v>
      </c>
      <c r="AE68" s="1033">
        <v>0</v>
      </c>
      <c r="AF68" s="1033">
        <v>246246.98</v>
      </c>
      <c r="AG68" s="1033">
        <v>-36865.879999999997</v>
      </c>
      <c r="AH68" s="1360">
        <v>0</v>
      </c>
      <c r="AI68" s="1034">
        <f t="shared" si="29"/>
        <v>336544</v>
      </c>
      <c r="AJ68" s="1034"/>
      <c r="AK68" s="1033"/>
      <c r="AL68" s="1033"/>
      <c r="AM68" s="1033"/>
      <c r="AN68" s="1360"/>
      <c r="AO68" s="1034">
        <f t="shared" si="30"/>
        <v>0</v>
      </c>
    </row>
    <row r="69" spans="1:41" ht="15" customHeight="1" x14ac:dyDescent="0.25">
      <c r="A69" s="711" t="s">
        <v>168</v>
      </c>
      <c r="B69" s="710" t="s">
        <v>169</v>
      </c>
      <c r="C69" s="914" t="s">
        <v>266</v>
      </c>
      <c r="D69" s="1029">
        <f t="shared" ref="D69:D100" si="33">L69+R69+X69+AD69+AJ69</f>
        <v>634895.38116664626</v>
      </c>
      <c r="E69" s="1030">
        <f t="shared" ref="E69:E100" si="34">M69+S69+Y69+AE69+AK69</f>
        <v>327781.11883335374</v>
      </c>
      <c r="F69" s="1031">
        <f t="shared" ref="F69:F100" si="35">N69+T69+Z69+AF69+AL69</f>
        <v>212726.41999999998</v>
      </c>
      <c r="G69" s="1367">
        <f t="shared" ref="G69:G100" si="36">O69+U69+AA69+AG69+AM69</f>
        <v>7017.71</v>
      </c>
      <c r="H69" s="1369">
        <f t="shared" ref="H69:H100" si="37">P69+V69+AB69+AH69+AN69</f>
        <v>0</v>
      </c>
      <c r="I69" s="1369">
        <f t="shared" ref="I69:I100" si="38">Q69+W69+AC69+AI69+AO69</f>
        <v>1182420.6299999997</v>
      </c>
      <c r="J69" s="1370">
        <f t="shared" si="31"/>
        <v>7017.71</v>
      </c>
      <c r="K69" s="1365">
        <f t="shared" si="32"/>
        <v>219744.12999999998</v>
      </c>
      <c r="L69" s="1032"/>
      <c r="M69" s="1032"/>
      <c r="N69" s="1032"/>
      <c r="O69" s="1032"/>
      <c r="P69" s="1032"/>
      <c r="Q69" s="1032">
        <f t="shared" ref="Q69:Q100" si="39">SUM(L69:P69)</f>
        <v>0</v>
      </c>
      <c r="R69" s="1033"/>
      <c r="S69" s="1033"/>
      <c r="T69" s="1033"/>
      <c r="U69" s="1033"/>
      <c r="V69" s="1360"/>
      <c r="W69" s="1034">
        <f t="shared" ref="W69:W100" si="40">SUM(R69:V69)</f>
        <v>0</v>
      </c>
      <c r="X69" s="1034">
        <v>612186.62116664625</v>
      </c>
      <c r="Y69" s="1033">
        <v>327781.11883335374</v>
      </c>
      <c r="Z69" s="1033">
        <v>172417.12</v>
      </c>
      <c r="AA69" s="1033">
        <v>6835.88</v>
      </c>
      <c r="AB69" s="1360">
        <v>0</v>
      </c>
      <c r="AC69" s="1034">
        <f t="shared" ref="AC69:AC100" si="41">SUM(X69:AB69)</f>
        <v>1119220.7399999998</v>
      </c>
      <c r="AD69" s="1034">
        <v>20826.830000000002</v>
      </c>
      <c r="AE69" s="1033">
        <v>0</v>
      </c>
      <c r="AF69" s="1033">
        <v>40309.300000000003</v>
      </c>
      <c r="AG69" s="1033">
        <v>181.83</v>
      </c>
      <c r="AH69" s="1360">
        <v>0</v>
      </c>
      <c r="AI69" s="1034">
        <f t="shared" ref="AI69:AI100" si="42">SUM(AD69:AH69)</f>
        <v>61317.960000000006</v>
      </c>
      <c r="AJ69" s="1034">
        <v>1881.93</v>
      </c>
      <c r="AK69" s="1033"/>
      <c r="AL69" s="1033"/>
      <c r="AM69" s="1033"/>
      <c r="AN69" s="1360"/>
      <c r="AO69" s="1034">
        <f t="shared" ref="AO69:AO100" si="43">SUM(AJ69:AN69)</f>
        <v>1881.93</v>
      </c>
    </row>
    <row r="70" spans="1:41" ht="15" customHeight="1" x14ac:dyDescent="0.25">
      <c r="A70" s="711" t="s">
        <v>170</v>
      </c>
      <c r="B70" s="710" t="s">
        <v>171</v>
      </c>
      <c r="C70" s="914" t="s">
        <v>267</v>
      </c>
      <c r="D70" s="1029">
        <f t="shared" si="33"/>
        <v>971612.13459762419</v>
      </c>
      <c r="E70" s="1030">
        <f t="shared" si="34"/>
        <v>362698.67540237581</v>
      </c>
      <c r="F70" s="1031">
        <f t="shared" si="35"/>
        <v>756590.76</v>
      </c>
      <c r="G70" s="1367">
        <f t="shared" si="36"/>
        <v>-9662.9399999999987</v>
      </c>
      <c r="H70" s="1369">
        <f t="shared" si="37"/>
        <v>0</v>
      </c>
      <c r="I70" s="1369">
        <f t="shared" si="38"/>
        <v>2081238.63</v>
      </c>
      <c r="J70" s="1370">
        <f t="shared" si="31"/>
        <v>-9662.9399999999987</v>
      </c>
      <c r="K70" s="1365">
        <f t="shared" si="32"/>
        <v>746927.82000000007</v>
      </c>
      <c r="L70" s="1032"/>
      <c r="M70" s="1032"/>
      <c r="N70" s="1032"/>
      <c r="O70" s="1032"/>
      <c r="P70" s="1032"/>
      <c r="Q70" s="1032">
        <f t="shared" si="39"/>
        <v>0</v>
      </c>
      <c r="R70" s="1033">
        <v>13835.93</v>
      </c>
      <c r="S70" s="1033">
        <v>4487.28</v>
      </c>
      <c r="T70" s="1033">
        <v>0</v>
      </c>
      <c r="U70" s="1033">
        <v>-7.0000000000000007E-2</v>
      </c>
      <c r="V70" s="1360">
        <v>0</v>
      </c>
      <c r="W70" s="1034">
        <f t="shared" si="40"/>
        <v>18323.14</v>
      </c>
      <c r="X70" s="1034">
        <v>663453.40459762421</v>
      </c>
      <c r="Y70" s="1033">
        <v>358211.39540237578</v>
      </c>
      <c r="Z70" s="1033">
        <v>187404.63</v>
      </c>
      <c r="AA70" s="1033">
        <v>-17651.099999999999</v>
      </c>
      <c r="AB70" s="1360">
        <v>0</v>
      </c>
      <c r="AC70" s="1034">
        <f t="shared" si="41"/>
        <v>1191418.33</v>
      </c>
      <c r="AD70" s="1034">
        <v>294322.8</v>
      </c>
      <c r="AE70" s="1033">
        <v>0</v>
      </c>
      <c r="AF70" s="1033">
        <v>569186.13</v>
      </c>
      <c r="AG70" s="1033">
        <v>7988.23</v>
      </c>
      <c r="AH70" s="1360">
        <v>0</v>
      </c>
      <c r="AI70" s="1034">
        <f t="shared" si="42"/>
        <v>871497.15999999992</v>
      </c>
      <c r="AJ70" s="1034"/>
      <c r="AK70" s="1033"/>
      <c r="AL70" s="1033"/>
      <c r="AM70" s="1033"/>
      <c r="AN70" s="1360"/>
      <c r="AO70" s="1034">
        <f t="shared" si="43"/>
        <v>0</v>
      </c>
    </row>
    <row r="71" spans="1:41" ht="15" customHeight="1" x14ac:dyDescent="0.25">
      <c r="A71" s="711" t="s">
        <v>172</v>
      </c>
      <c r="B71" s="710" t="s">
        <v>173</v>
      </c>
      <c r="C71" s="914" t="s">
        <v>267</v>
      </c>
      <c r="D71" s="1029">
        <f t="shared" si="33"/>
        <v>779037.46456094238</v>
      </c>
      <c r="E71" s="1030">
        <f t="shared" si="34"/>
        <v>376762.85543905752</v>
      </c>
      <c r="F71" s="1031">
        <f t="shared" si="35"/>
        <v>342550.54000000004</v>
      </c>
      <c r="G71" s="1367">
        <f t="shared" si="36"/>
        <v>33874.35</v>
      </c>
      <c r="H71" s="1369">
        <f t="shared" si="37"/>
        <v>0</v>
      </c>
      <c r="I71" s="1369">
        <f t="shared" si="38"/>
        <v>1532225.21</v>
      </c>
      <c r="J71" s="1370">
        <f t="shared" si="31"/>
        <v>33874.35</v>
      </c>
      <c r="K71" s="1365">
        <f t="shared" si="32"/>
        <v>376424.89</v>
      </c>
      <c r="L71" s="1032"/>
      <c r="M71" s="1032"/>
      <c r="N71" s="1032"/>
      <c r="O71" s="1032"/>
      <c r="P71" s="1032"/>
      <c r="Q71" s="1032">
        <f t="shared" si="39"/>
        <v>0</v>
      </c>
      <c r="R71" s="1033">
        <v>1520.68</v>
      </c>
      <c r="S71" s="1033">
        <v>509.36</v>
      </c>
      <c r="T71" s="1033">
        <v>0</v>
      </c>
      <c r="U71" s="1033">
        <v>-0.04</v>
      </c>
      <c r="V71" s="1360">
        <v>0</v>
      </c>
      <c r="W71" s="1034">
        <f t="shared" si="40"/>
        <v>2030</v>
      </c>
      <c r="X71" s="1034">
        <v>702793.83456094237</v>
      </c>
      <c r="Y71" s="1033">
        <v>376253.49543905753</v>
      </c>
      <c r="Z71" s="1033">
        <v>197928.72</v>
      </c>
      <c r="AA71" s="1033">
        <v>32850.07</v>
      </c>
      <c r="AB71" s="1360">
        <v>0</v>
      </c>
      <c r="AC71" s="1034">
        <f t="shared" si="41"/>
        <v>1309826.1199999999</v>
      </c>
      <c r="AD71" s="1034">
        <v>74722.95</v>
      </c>
      <c r="AE71" s="1033">
        <v>0</v>
      </c>
      <c r="AF71" s="1033">
        <v>144621.82</v>
      </c>
      <c r="AG71" s="1033">
        <v>1024.32</v>
      </c>
      <c r="AH71" s="1360">
        <v>0</v>
      </c>
      <c r="AI71" s="1034">
        <f t="shared" si="42"/>
        <v>220369.09000000003</v>
      </c>
      <c r="AJ71" s="1034"/>
      <c r="AK71" s="1033"/>
      <c r="AL71" s="1033"/>
      <c r="AM71" s="1033"/>
      <c r="AN71" s="1360"/>
      <c r="AO71" s="1034">
        <f t="shared" si="43"/>
        <v>0</v>
      </c>
    </row>
    <row r="72" spans="1:41" ht="15" customHeight="1" x14ac:dyDescent="0.25">
      <c r="A72" s="711" t="s">
        <v>174</v>
      </c>
      <c r="B72" s="710" t="s">
        <v>175</v>
      </c>
      <c r="C72" s="914" t="s">
        <v>268</v>
      </c>
      <c r="D72" s="1029">
        <f t="shared" si="33"/>
        <v>641010.09382920759</v>
      </c>
      <c r="E72" s="1030">
        <f t="shared" si="34"/>
        <v>329356.77617079235</v>
      </c>
      <c r="F72" s="1031">
        <f t="shared" si="35"/>
        <v>222795.15</v>
      </c>
      <c r="G72" s="1367">
        <f t="shared" si="36"/>
        <v>25203.15</v>
      </c>
      <c r="H72" s="1369">
        <f t="shared" si="37"/>
        <v>0</v>
      </c>
      <c r="I72" s="1369">
        <f t="shared" si="38"/>
        <v>1218365.1700000002</v>
      </c>
      <c r="J72" s="1370">
        <f t="shared" si="31"/>
        <v>25203.15</v>
      </c>
      <c r="K72" s="1365">
        <f t="shared" si="32"/>
        <v>247998.3</v>
      </c>
      <c r="L72" s="1032"/>
      <c r="M72" s="1032"/>
      <c r="N72" s="1032"/>
      <c r="O72" s="1032"/>
      <c r="P72" s="1032"/>
      <c r="Q72" s="1032">
        <f t="shared" si="39"/>
        <v>0</v>
      </c>
      <c r="R72" s="1033"/>
      <c r="S72" s="1033"/>
      <c r="T72" s="1033"/>
      <c r="U72" s="1033"/>
      <c r="V72" s="1360"/>
      <c r="W72" s="1034">
        <f t="shared" si="40"/>
        <v>0</v>
      </c>
      <c r="X72" s="1034">
        <v>615438.40382920764</v>
      </c>
      <c r="Y72" s="1033">
        <v>329356.77617079235</v>
      </c>
      <c r="Z72" s="1033">
        <v>173302.84</v>
      </c>
      <c r="AA72" s="1033">
        <v>24206.61</v>
      </c>
      <c r="AB72" s="1360">
        <v>0</v>
      </c>
      <c r="AC72" s="1034">
        <f t="shared" si="41"/>
        <v>1142304.6300000001</v>
      </c>
      <c r="AD72" s="1034">
        <v>25571.69</v>
      </c>
      <c r="AE72" s="1033">
        <v>0</v>
      </c>
      <c r="AF72" s="1033">
        <v>49492.31</v>
      </c>
      <c r="AG72" s="1033">
        <v>996.54</v>
      </c>
      <c r="AH72" s="1360">
        <v>0</v>
      </c>
      <c r="AI72" s="1034">
        <f t="shared" si="42"/>
        <v>76060.539999999994</v>
      </c>
      <c r="AJ72" s="1034"/>
      <c r="AK72" s="1033"/>
      <c r="AL72" s="1033"/>
      <c r="AM72" s="1033"/>
      <c r="AN72" s="1360"/>
      <c r="AO72" s="1034">
        <f t="shared" si="43"/>
        <v>0</v>
      </c>
    </row>
    <row r="73" spans="1:41" ht="15" customHeight="1" x14ac:dyDescent="0.25">
      <c r="A73" s="711" t="s">
        <v>178</v>
      </c>
      <c r="B73" s="710" t="s">
        <v>179</v>
      </c>
      <c r="C73" s="914" t="s">
        <v>265</v>
      </c>
      <c r="D73" s="1029">
        <f t="shared" si="33"/>
        <v>1991354.9475759172</v>
      </c>
      <c r="E73" s="1030">
        <f t="shared" si="34"/>
        <v>986464.74242408283</v>
      </c>
      <c r="F73" s="1031">
        <f t="shared" si="35"/>
        <v>719208.3</v>
      </c>
      <c r="G73" s="1367">
        <f t="shared" si="36"/>
        <v>206711.59</v>
      </c>
      <c r="H73" s="1369">
        <f t="shared" si="37"/>
        <v>0</v>
      </c>
      <c r="I73" s="1369">
        <f t="shared" si="38"/>
        <v>3903739.58</v>
      </c>
      <c r="J73" s="1370">
        <f t="shared" si="31"/>
        <v>206711.59</v>
      </c>
      <c r="K73" s="1365">
        <f t="shared" si="32"/>
        <v>925919.89</v>
      </c>
      <c r="L73" s="1032">
        <v>44990.720000000001</v>
      </c>
      <c r="M73" s="1032">
        <v>0</v>
      </c>
      <c r="N73" s="1032">
        <v>14768.85</v>
      </c>
      <c r="O73" s="1032">
        <v>-0.03</v>
      </c>
      <c r="P73" s="1032">
        <v>0</v>
      </c>
      <c r="Q73" s="1032">
        <f t="shared" si="39"/>
        <v>59759.54</v>
      </c>
      <c r="R73" s="1033">
        <v>12379.96</v>
      </c>
      <c r="S73" s="1033">
        <v>4052.43</v>
      </c>
      <c r="T73" s="1033">
        <v>0</v>
      </c>
      <c r="U73" s="1033">
        <v>-0.03</v>
      </c>
      <c r="V73" s="1360">
        <v>0</v>
      </c>
      <c r="W73" s="1034">
        <f t="shared" si="40"/>
        <v>16432.36</v>
      </c>
      <c r="X73" s="1034">
        <v>1836229.9775759173</v>
      </c>
      <c r="Y73" s="1033">
        <v>982412.31242408277</v>
      </c>
      <c r="Z73" s="1033">
        <v>517026.41</v>
      </c>
      <c r="AA73" s="1033">
        <v>206712.05</v>
      </c>
      <c r="AB73" s="1360">
        <v>0</v>
      </c>
      <c r="AC73" s="1034">
        <f t="shared" si="41"/>
        <v>3542380.75</v>
      </c>
      <c r="AD73" s="1034">
        <v>96831.48</v>
      </c>
      <c r="AE73" s="1033">
        <v>0</v>
      </c>
      <c r="AF73" s="1033">
        <v>187413.04</v>
      </c>
      <c r="AG73" s="1033">
        <v>-0.4</v>
      </c>
      <c r="AH73" s="1360">
        <v>0</v>
      </c>
      <c r="AI73" s="1034">
        <f t="shared" si="42"/>
        <v>284244.12</v>
      </c>
      <c r="AJ73" s="1034">
        <v>922.81</v>
      </c>
      <c r="AK73" s="1033"/>
      <c r="AL73" s="1033"/>
      <c r="AM73" s="1033"/>
      <c r="AN73" s="1360"/>
      <c r="AO73" s="1034">
        <f t="shared" si="43"/>
        <v>922.81</v>
      </c>
    </row>
    <row r="74" spans="1:41" ht="15" customHeight="1" x14ac:dyDescent="0.25">
      <c r="A74" s="711" t="s">
        <v>182</v>
      </c>
      <c r="B74" s="710" t="s">
        <v>183</v>
      </c>
      <c r="C74" s="914" t="s">
        <v>266</v>
      </c>
      <c r="D74" s="1029">
        <f t="shared" si="33"/>
        <v>535833.20559014031</v>
      </c>
      <c r="E74" s="1030">
        <f t="shared" si="34"/>
        <v>179055.75440985974</v>
      </c>
      <c r="F74" s="1031">
        <f t="shared" si="35"/>
        <v>496359.43</v>
      </c>
      <c r="G74" s="1367">
        <f t="shared" si="36"/>
        <v>4307.87</v>
      </c>
      <c r="H74" s="1369">
        <f t="shared" si="37"/>
        <v>0</v>
      </c>
      <c r="I74" s="1369">
        <f t="shared" si="38"/>
        <v>1215556.2599999998</v>
      </c>
      <c r="J74" s="1370">
        <f t="shared" si="31"/>
        <v>4307.87</v>
      </c>
      <c r="K74" s="1365">
        <f t="shared" si="32"/>
        <v>500667.3</v>
      </c>
      <c r="L74" s="1032"/>
      <c r="M74" s="1032"/>
      <c r="N74" s="1032"/>
      <c r="O74" s="1032"/>
      <c r="P74" s="1032"/>
      <c r="Q74" s="1032">
        <f t="shared" si="39"/>
        <v>0</v>
      </c>
      <c r="R74" s="1033"/>
      <c r="S74" s="1033"/>
      <c r="T74" s="1033"/>
      <c r="U74" s="1033"/>
      <c r="V74" s="1360"/>
      <c r="W74" s="1034">
        <f t="shared" si="40"/>
        <v>0</v>
      </c>
      <c r="X74" s="1034">
        <v>327148.02559014026</v>
      </c>
      <c r="Y74" s="1033">
        <v>179055.75440985974</v>
      </c>
      <c r="Z74" s="1033">
        <v>92853.21</v>
      </c>
      <c r="AA74" s="1033">
        <v>2563.61</v>
      </c>
      <c r="AB74" s="1360">
        <v>0</v>
      </c>
      <c r="AC74" s="1034">
        <f t="shared" si="41"/>
        <v>601620.6</v>
      </c>
      <c r="AD74" s="1034">
        <v>208685.18</v>
      </c>
      <c r="AE74" s="1033">
        <v>0</v>
      </c>
      <c r="AF74" s="1033">
        <v>403506.22</v>
      </c>
      <c r="AG74" s="1033">
        <v>1744.26</v>
      </c>
      <c r="AH74" s="1360">
        <v>0</v>
      </c>
      <c r="AI74" s="1034">
        <f t="shared" si="42"/>
        <v>613935.65999999992</v>
      </c>
      <c r="AJ74" s="1034"/>
      <c r="AK74" s="1033"/>
      <c r="AL74" s="1033"/>
      <c r="AM74" s="1033"/>
      <c r="AN74" s="1360"/>
      <c r="AO74" s="1034">
        <f t="shared" si="43"/>
        <v>0</v>
      </c>
    </row>
    <row r="75" spans="1:41" ht="15" customHeight="1" x14ac:dyDescent="0.25">
      <c r="A75" s="711" t="s">
        <v>184</v>
      </c>
      <c r="B75" s="710" t="s">
        <v>185</v>
      </c>
      <c r="C75" s="914" t="s">
        <v>266</v>
      </c>
      <c r="D75" s="1029">
        <f t="shared" si="33"/>
        <v>1007455.1526127779</v>
      </c>
      <c r="E75" s="1030">
        <f t="shared" si="34"/>
        <v>452126.34738722211</v>
      </c>
      <c r="F75" s="1031">
        <f t="shared" si="35"/>
        <v>532228.96</v>
      </c>
      <c r="G75" s="1367">
        <f t="shared" si="36"/>
        <v>17807.61</v>
      </c>
      <c r="H75" s="1369">
        <f t="shared" si="37"/>
        <v>0</v>
      </c>
      <c r="I75" s="1369">
        <f t="shared" si="38"/>
        <v>2009618.0699999998</v>
      </c>
      <c r="J75" s="1370">
        <f t="shared" si="31"/>
        <v>17807.61</v>
      </c>
      <c r="K75" s="1365">
        <f t="shared" si="32"/>
        <v>550036.56999999995</v>
      </c>
      <c r="L75" s="1032"/>
      <c r="M75" s="1032"/>
      <c r="N75" s="1032"/>
      <c r="O75" s="1032"/>
      <c r="P75" s="1032"/>
      <c r="Q75" s="1032">
        <f t="shared" si="39"/>
        <v>0</v>
      </c>
      <c r="R75" s="1033"/>
      <c r="S75" s="1033"/>
      <c r="T75" s="1033"/>
      <c r="U75" s="1033"/>
      <c r="V75" s="1360"/>
      <c r="W75" s="1034">
        <f t="shared" si="40"/>
        <v>0</v>
      </c>
      <c r="X75" s="1034">
        <v>842651.95261277794</v>
      </c>
      <c r="Y75" s="1033">
        <v>452126.34738722211</v>
      </c>
      <c r="Z75" s="1033">
        <v>237501.14</v>
      </c>
      <c r="AA75" s="1033">
        <v>17248.7</v>
      </c>
      <c r="AB75" s="1360">
        <v>0</v>
      </c>
      <c r="AC75" s="1034">
        <f t="shared" si="41"/>
        <v>1549528.14</v>
      </c>
      <c r="AD75" s="1034">
        <v>152366.75</v>
      </c>
      <c r="AE75" s="1033">
        <v>0</v>
      </c>
      <c r="AF75" s="1033">
        <v>294727.82</v>
      </c>
      <c r="AG75" s="1033">
        <v>514.62</v>
      </c>
      <c r="AH75" s="1360">
        <v>0</v>
      </c>
      <c r="AI75" s="1034">
        <f t="shared" si="42"/>
        <v>447609.19</v>
      </c>
      <c r="AJ75" s="1034">
        <v>12436.45</v>
      </c>
      <c r="AK75" s="1033"/>
      <c r="AL75" s="1033"/>
      <c r="AM75" s="1033">
        <v>44.29</v>
      </c>
      <c r="AN75" s="1360"/>
      <c r="AO75" s="1034">
        <f t="shared" si="43"/>
        <v>12480.740000000002</v>
      </c>
    </row>
    <row r="76" spans="1:41" ht="15" customHeight="1" x14ac:dyDescent="0.25">
      <c r="A76" s="711" t="s">
        <v>186</v>
      </c>
      <c r="B76" s="710" t="s">
        <v>187</v>
      </c>
      <c r="C76" s="914" t="s">
        <v>264</v>
      </c>
      <c r="D76" s="1029">
        <f t="shared" si="33"/>
        <v>837301.54748829955</v>
      </c>
      <c r="E76" s="1030">
        <f t="shared" si="34"/>
        <v>324336.57251170045</v>
      </c>
      <c r="F76" s="1031">
        <f t="shared" si="35"/>
        <v>623078.40000000002</v>
      </c>
      <c r="G76" s="1367">
        <f t="shared" si="36"/>
        <v>6750.3099999999995</v>
      </c>
      <c r="H76" s="1369">
        <f t="shared" si="37"/>
        <v>0</v>
      </c>
      <c r="I76" s="1369">
        <f t="shared" si="38"/>
        <v>1791466.83</v>
      </c>
      <c r="J76" s="1370">
        <f t="shared" si="31"/>
        <v>6750.3099999999995</v>
      </c>
      <c r="K76" s="1365">
        <f t="shared" si="32"/>
        <v>629828.71000000008</v>
      </c>
      <c r="L76" s="1032"/>
      <c r="M76" s="1032"/>
      <c r="N76" s="1032"/>
      <c r="O76" s="1032"/>
      <c r="P76" s="1032"/>
      <c r="Q76" s="1032">
        <f t="shared" si="39"/>
        <v>0</v>
      </c>
      <c r="R76" s="1033">
        <v>5891.89</v>
      </c>
      <c r="S76" s="1033">
        <v>1941.97</v>
      </c>
      <c r="T76" s="1033">
        <v>0</v>
      </c>
      <c r="U76" s="1033">
        <v>-0.03</v>
      </c>
      <c r="V76" s="1360">
        <v>0</v>
      </c>
      <c r="W76" s="1034">
        <f t="shared" si="40"/>
        <v>7833.8300000000008</v>
      </c>
      <c r="X76" s="1034">
        <v>596577.67748829955</v>
      </c>
      <c r="Y76" s="1033">
        <v>322394.60251170048</v>
      </c>
      <c r="Z76" s="1033">
        <v>168568.25</v>
      </c>
      <c r="AA76" s="1033">
        <v>5483.19</v>
      </c>
      <c r="AB76" s="1360">
        <v>0</v>
      </c>
      <c r="AC76" s="1034">
        <f t="shared" si="41"/>
        <v>1093023.72</v>
      </c>
      <c r="AD76" s="1034">
        <v>234831.98</v>
      </c>
      <c r="AE76" s="1033">
        <v>0</v>
      </c>
      <c r="AF76" s="1033">
        <v>454510.15</v>
      </c>
      <c r="AG76" s="1033">
        <v>1267.1500000000001</v>
      </c>
      <c r="AH76" s="1360">
        <v>0</v>
      </c>
      <c r="AI76" s="1034">
        <f t="shared" si="42"/>
        <v>690609.28</v>
      </c>
      <c r="AJ76" s="1034"/>
      <c r="AK76" s="1033"/>
      <c r="AL76" s="1033"/>
      <c r="AM76" s="1033"/>
      <c r="AN76" s="1360"/>
      <c r="AO76" s="1034">
        <f t="shared" si="43"/>
        <v>0</v>
      </c>
    </row>
    <row r="77" spans="1:41" ht="15" customHeight="1" x14ac:dyDescent="0.25">
      <c r="A77" s="711" t="s">
        <v>188</v>
      </c>
      <c r="B77" s="710" t="s">
        <v>189</v>
      </c>
      <c r="C77" s="914" t="s">
        <v>267</v>
      </c>
      <c r="D77" s="1029">
        <f t="shared" si="33"/>
        <v>9240187.1579956282</v>
      </c>
      <c r="E77" s="1030">
        <f t="shared" si="34"/>
        <v>2904080.2620043708</v>
      </c>
      <c r="F77" s="1031">
        <f t="shared" si="35"/>
        <v>8865953.4199999999</v>
      </c>
      <c r="G77" s="1367">
        <f t="shared" si="36"/>
        <v>50214.22</v>
      </c>
      <c r="H77" s="1369">
        <f t="shared" si="37"/>
        <v>0</v>
      </c>
      <c r="I77" s="1369">
        <f t="shared" si="38"/>
        <v>21060435.060000002</v>
      </c>
      <c r="J77" s="1370">
        <f t="shared" si="31"/>
        <v>50214.22</v>
      </c>
      <c r="K77" s="1365">
        <f t="shared" si="32"/>
        <v>8916167.6400000006</v>
      </c>
      <c r="L77" s="1032">
        <v>78809.91</v>
      </c>
      <c r="M77" s="1032">
        <v>0</v>
      </c>
      <c r="N77" s="1032">
        <v>25844.19</v>
      </c>
      <c r="O77" s="1032">
        <v>-0.1</v>
      </c>
      <c r="P77" s="1032">
        <v>0</v>
      </c>
      <c r="Q77" s="1032">
        <f t="shared" si="39"/>
        <v>104654</v>
      </c>
      <c r="R77" s="1033">
        <v>73462.559999999998</v>
      </c>
      <c r="S77" s="1033">
        <v>23594.17</v>
      </c>
      <c r="T77" s="1033">
        <v>0</v>
      </c>
      <c r="U77" s="1033">
        <v>-0.02</v>
      </c>
      <c r="V77" s="1360">
        <v>0</v>
      </c>
      <c r="W77" s="1034">
        <f t="shared" si="40"/>
        <v>97056.709999999992</v>
      </c>
      <c r="X77" s="1034">
        <v>5300868.747995629</v>
      </c>
      <c r="Y77" s="1033">
        <v>2880486.0920043709</v>
      </c>
      <c r="Z77" s="1033">
        <v>1500719.9</v>
      </c>
      <c r="AA77" s="1033">
        <v>50225.91</v>
      </c>
      <c r="AB77" s="1360">
        <v>0</v>
      </c>
      <c r="AC77" s="1034">
        <f t="shared" si="41"/>
        <v>9732300.6500000004</v>
      </c>
      <c r="AD77" s="1034">
        <v>3787045.94</v>
      </c>
      <c r="AE77" s="1033">
        <v>0</v>
      </c>
      <c r="AF77" s="1033">
        <v>7339389.3300000001</v>
      </c>
      <c r="AG77" s="1033">
        <v>-11.57</v>
      </c>
      <c r="AH77" s="1360">
        <v>0</v>
      </c>
      <c r="AI77" s="1034">
        <f t="shared" si="42"/>
        <v>11126423.699999999</v>
      </c>
      <c r="AJ77" s="1034"/>
      <c r="AK77" s="1033"/>
      <c r="AL77" s="1033"/>
      <c r="AM77" s="1033"/>
      <c r="AN77" s="1360"/>
      <c r="AO77" s="1034">
        <f t="shared" si="43"/>
        <v>0</v>
      </c>
    </row>
    <row r="78" spans="1:41" ht="15" customHeight="1" x14ac:dyDescent="0.25">
      <c r="A78" s="711" t="s">
        <v>190</v>
      </c>
      <c r="B78" s="710" t="s">
        <v>191</v>
      </c>
      <c r="C78" s="914" t="s">
        <v>268</v>
      </c>
      <c r="D78" s="1029">
        <f t="shared" si="33"/>
        <v>1861596.6190399635</v>
      </c>
      <c r="E78" s="1030">
        <f t="shared" si="34"/>
        <v>920401.17096003657</v>
      </c>
      <c r="F78" s="1031">
        <f t="shared" si="35"/>
        <v>752225.74</v>
      </c>
      <c r="G78" s="1367">
        <f t="shared" si="36"/>
        <v>29715.829999999998</v>
      </c>
      <c r="H78" s="1369">
        <f t="shared" si="37"/>
        <v>0</v>
      </c>
      <c r="I78" s="1369">
        <f t="shared" si="38"/>
        <v>3563939.3600000003</v>
      </c>
      <c r="J78" s="1370">
        <f t="shared" si="31"/>
        <v>29715.829999999998</v>
      </c>
      <c r="K78" s="1365">
        <f t="shared" si="32"/>
        <v>781941.57</v>
      </c>
      <c r="L78" s="1032"/>
      <c r="M78" s="1032"/>
      <c r="N78" s="1032"/>
      <c r="O78" s="1032"/>
      <c r="P78" s="1032"/>
      <c r="Q78" s="1032">
        <f t="shared" si="39"/>
        <v>0</v>
      </c>
      <c r="R78" s="1033">
        <v>2621.47</v>
      </c>
      <c r="S78" s="1033">
        <v>864.59</v>
      </c>
      <c r="T78" s="1033">
        <v>0</v>
      </c>
      <c r="U78" s="1033">
        <v>-0.06</v>
      </c>
      <c r="V78" s="1360">
        <v>0</v>
      </c>
      <c r="W78" s="1034">
        <f t="shared" si="40"/>
        <v>3486</v>
      </c>
      <c r="X78" s="1034">
        <v>1722566.4490399635</v>
      </c>
      <c r="Y78" s="1033">
        <v>919536.5809600366</v>
      </c>
      <c r="Z78" s="1033">
        <v>484640.62</v>
      </c>
      <c r="AA78" s="1033">
        <v>29716.43</v>
      </c>
      <c r="AB78" s="1360">
        <v>0</v>
      </c>
      <c r="AC78" s="1034">
        <f t="shared" si="41"/>
        <v>3156460.0800000005</v>
      </c>
      <c r="AD78" s="1034">
        <v>136408.70000000001</v>
      </c>
      <c r="AE78" s="1033">
        <v>0</v>
      </c>
      <c r="AF78" s="1033">
        <v>267585.12</v>
      </c>
      <c r="AG78" s="1033">
        <v>-0.54</v>
      </c>
      <c r="AH78" s="1360">
        <v>0</v>
      </c>
      <c r="AI78" s="1034">
        <f t="shared" si="42"/>
        <v>403993.28</v>
      </c>
      <c r="AJ78" s="1034"/>
      <c r="AK78" s="1033"/>
      <c r="AL78" s="1033"/>
      <c r="AM78" s="1033"/>
      <c r="AN78" s="1360"/>
      <c r="AO78" s="1034">
        <f t="shared" si="43"/>
        <v>0</v>
      </c>
    </row>
    <row r="79" spans="1:41" ht="15" customHeight="1" x14ac:dyDescent="0.25">
      <c r="A79" s="711" t="s">
        <v>194</v>
      </c>
      <c r="B79" s="710" t="s">
        <v>195</v>
      </c>
      <c r="C79" s="914" t="s">
        <v>267</v>
      </c>
      <c r="D79" s="1029">
        <f t="shared" si="33"/>
        <v>386695.58856342739</v>
      </c>
      <c r="E79" s="1030">
        <f t="shared" si="34"/>
        <v>135172.79143657265</v>
      </c>
      <c r="F79" s="1031">
        <f t="shared" si="35"/>
        <v>339802.12</v>
      </c>
      <c r="G79" s="1367">
        <f t="shared" si="36"/>
        <v>10004.780000000001</v>
      </c>
      <c r="H79" s="1369">
        <f t="shared" si="37"/>
        <v>0</v>
      </c>
      <c r="I79" s="1369">
        <f t="shared" si="38"/>
        <v>871675.28000000014</v>
      </c>
      <c r="J79" s="1370">
        <f t="shared" si="31"/>
        <v>10004.780000000001</v>
      </c>
      <c r="K79" s="1365">
        <f t="shared" si="32"/>
        <v>349806.9</v>
      </c>
      <c r="L79" s="1032"/>
      <c r="M79" s="1032"/>
      <c r="N79" s="1032"/>
      <c r="O79" s="1032"/>
      <c r="P79" s="1032"/>
      <c r="Q79" s="1032">
        <f t="shared" si="39"/>
        <v>0</v>
      </c>
      <c r="R79" s="1033"/>
      <c r="S79" s="1033"/>
      <c r="T79" s="1033"/>
      <c r="U79" s="1033"/>
      <c r="V79" s="1360"/>
      <c r="W79" s="1034">
        <f t="shared" si="40"/>
        <v>0</v>
      </c>
      <c r="X79" s="1034">
        <v>247151.88856342738</v>
      </c>
      <c r="Y79" s="1033">
        <v>135172.79143657265</v>
      </c>
      <c r="Z79" s="1033">
        <v>70128.78</v>
      </c>
      <c r="AA79" s="1033">
        <v>5436.01</v>
      </c>
      <c r="AB79" s="1360">
        <v>0</v>
      </c>
      <c r="AC79" s="1034">
        <f t="shared" si="41"/>
        <v>457889.47000000009</v>
      </c>
      <c r="AD79" s="1034">
        <v>139543.70000000001</v>
      </c>
      <c r="AE79" s="1033">
        <v>0</v>
      </c>
      <c r="AF79" s="1033">
        <v>269673.34000000003</v>
      </c>
      <c r="AG79" s="1033">
        <v>4568.7700000000004</v>
      </c>
      <c r="AH79" s="1360">
        <v>0</v>
      </c>
      <c r="AI79" s="1034">
        <f t="shared" si="42"/>
        <v>413785.81000000006</v>
      </c>
      <c r="AJ79" s="1034"/>
      <c r="AK79" s="1033"/>
      <c r="AL79" s="1033"/>
      <c r="AM79" s="1033"/>
      <c r="AN79" s="1360"/>
      <c r="AO79" s="1034">
        <f t="shared" si="43"/>
        <v>0</v>
      </c>
    </row>
    <row r="80" spans="1:41" ht="15" customHeight="1" x14ac:dyDescent="0.25">
      <c r="A80" s="711" t="s">
        <v>198</v>
      </c>
      <c r="B80" s="710" t="s">
        <v>199</v>
      </c>
      <c r="C80" s="914" t="s">
        <v>266</v>
      </c>
      <c r="D80" s="1029">
        <f t="shared" si="33"/>
        <v>348162.94761748437</v>
      </c>
      <c r="E80" s="1030">
        <f t="shared" si="34"/>
        <v>167755.94238251564</v>
      </c>
      <c r="F80" s="1031">
        <f t="shared" si="35"/>
        <v>156322.25</v>
      </c>
      <c r="G80" s="1367">
        <f t="shared" si="36"/>
        <v>3204.7999999999997</v>
      </c>
      <c r="H80" s="1369">
        <f t="shared" si="37"/>
        <v>0</v>
      </c>
      <c r="I80" s="1369">
        <f t="shared" si="38"/>
        <v>675445.94000000006</v>
      </c>
      <c r="J80" s="1370">
        <f t="shared" si="31"/>
        <v>3204.7999999999997</v>
      </c>
      <c r="K80" s="1365">
        <f t="shared" si="32"/>
        <v>159527.04999999999</v>
      </c>
      <c r="L80" s="1032"/>
      <c r="M80" s="1032"/>
      <c r="N80" s="1032"/>
      <c r="O80" s="1032"/>
      <c r="P80" s="1032"/>
      <c r="Q80" s="1032">
        <f t="shared" si="39"/>
        <v>0</v>
      </c>
      <c r="R80" s="1033"/>
      <c r="S80" s="1033"/>
      <c r="T80" s="1033"/>
      <c r="U80" s="1033"/>
      <c r="V80" s="1360"/>
      <c r="W80" s="1034">
        <f t="shared" si="40"/>
        <v>0</v>
      </c>
      <c r="X80" s="1034">
        <v>312952.61761748436</v>
      </c>
      <c r="Y80" s="1033">
        <v>167755.94238251564</v>
      </c>
      <c r="Z80" s="1033">
        <v>88175.35</v>
      </c>
      <c r="AA80" s="1033">
        <v>3176.87</v>
      </c>
      <c r="AB80" s="1360">
        <v>0</v>
      </c>
      <c r="AC80" s="1034">
        <f t="shared" si="41"/>
        <v>572060.78</v>
      </c>
      <c r="AD80" s="1034">
        <v>35210.33</v>
      </c>
      <c r="AE80" s="1033">
        <v>0</v>
      </c>
      <c r="AF80" s="1033">
        <v>68146.899999999994</v>
      </c>
      <c r="AG80" s="1033">
        <v>27.93</v>
      </c>
      <c r="AH80" s="1360">
        <v>0</v>
      </c>
      <c r="AI80" s="1034">
        <f t="shared" si="42"/>
        <v>103385.15999999999</v>
      </c>
      <c r="AJ80" s="1034"/>
      <c r="AK80" s="1033"/>
      <c r="AL80" s="1033"/>
      <c r="AM80" s="1033"/>
      <c r="AN80" s="1360"/>
      <c r="AO80" s="1034">
        <f t="shared" si="43"/>
        <v>0</v>
      </c>
    </row>
    <row r="81" spans="1:41" ht="15" customHeight="1" x14ac:dyDescent="0.25">
      <c r="A81" s="711" t="s">
        <v>202</v>
      </c>
      <c r="B81" s="710" t="s">
        <v>203</v>
      </c>
      <c r="C81" s="914" t="s">
        <v>265</v>
      </c>
      <c r="D81" s="1029">
        <f t="shared" si="33"/>
        <v>2676841.423839801</v>
      </c>
      <c r="E81" s="1030">
        <f t="shared" si="34"/>
        <v>1030494.9461601994</v>
      </c>
      <c r="F81" s="1031">
        <f t="shared" si="35"/>
        <v>2042369.05</v>
      </c>
      <c r="G81" s="1367">
        <f t="shared" si="36"/>
        <v>414059.61</v>
      </c>
      <c r="H81" s="1369">
        <f t="shared" si="37"/>
        <v>0</v>
      </c>
      <c r="I81" s="1369">
        <f t="shared" si="38"/>
        <v>6163765.0300000012</v>
      </c>
      <c r="J81" s="1370">
        <f t="shared" si="31"/>
        <v>414059.61</v>
      </c>
      <c r="K81" s="1365">
        <f t="shared" si="32"/>
        <v>2456428.66</v>
      </c>
      <c r="L81" s="1032"/>
      <c r="M81" s="1032"/>
      <c r="N81" s="1032"/>
      <c r="O81" s="1032"/>
      <c r="P81" s="1032"/>
      <c r="Q81" s="1032">
        <f t="shared" si="39"/>
        <v>0</v>
      </c>
      <c r="R81" s="1033">
        <v>1256.04</v>
      </c>
      <c r="S81" s="1033">
        <v>403.48</v>
      </c>
      <c r="T81" s="1033">
        <v>0</v>
      </c>
      <c r="U81" s="1033">
        <v>0</v>
      </c>
      <c r="V81" s="1360">
        <v>0</v>
      </c>
      <c r="W81" s="1034">
        <f t="shared" si="40"/>
        <v>1659.52</v>
      </c>
      <c r="X81" s="1034">
        <v>1896735.6938398008</v>
      </c>
      <c r="Y81" s="1033">
        <v>1030091.4661601994</v>
      </c>
      <c r="Z81" s="1033">
        <v>536871.54</v>
      </c>
      <c r="AA81" s="1033">
        <v>232154.49</v>
      </c>
      <c r="AB81" s="1360">
        <v>0</v>
      </c>
      <c r="AC81" s="1034">
        <f t="shared" si="41"/>
        <v>3695853.1900000004</v>
      </c>
      <c r="AD81" s="1034">
        <v>778849.69</v>
      </c>
      <c r="AE81" s="1033">
        <v>0</v>
      </c>
      <c r="AF81" s="1033">
        <v>1505497.51</v>
      </c>
      <c r="AG81" s="1033">
        <v>181905.12</v>
      </c>
      <c r="AH81" s="1360">
        <v>0</v>
      </c>
      <c r="AI81" s="1034">
        <f t="shared" si="42"/>
        <v>2466252.3200000003</v>
      </c>
      <c r="AJ81" s="1034"/>
      <c r="AK81" s="1033"/>
      <c r="AL81" s="1033"/>
      <c r="AM81" s="1033"/>
      <c r="AN81" s="1360"/>
      <c r="AO81" s="1034">
        <f t="shared" si="43"/>
        <v>0</v>
      </c>
    </row>
    <row r="82" spans="1:41" ht="15" customHeight="1" x14ac:dyDescent="0.25">
      <c r="A82" s="711" t="s">
        <v>204</v>
      </c>
      <c r="B82" s="710" t="s">
        <v>205</v>
      </c>
      <c r="C82" s="914" t="s">
        <v>265</v>
      </c>
      <c r="D82" s="1029">
        <f t="shared" si="33"/>
        <v>868474.75560905761</v>
      </c>
      <c r="E82" s="1030">
        <f t="shared" si="34"/>
        <v>444539.86439094238</v>
      </c>
      <c r="F82" s="1031">
        <f t="shared" si="35"/>
        <v>288585.01</v>
      </c>
      <c r="G82" s="1367">
        <f t="shared" si="36"/>
        <v>23362.720000000001</v>
      </c>
      <c r="H82" s="1369">
        <f t="shared" si="37"/>
        <v>0</v>
      </c>
      <c r="I82" s="1369">
        <f t="shared" si="38"/>
        <v>1624962.3499999999</v>
      </c>
      <c r="J82" s="1370">
        <f t="shared" si="31"/>
        <v>23362.720000000001</v>
      </c>
      <c r="K82" s="1365">
        <f t="shared" si="32"/>
        <v>311947.73</v>
      </c>
      <c r="L82" s="1032"/>
      <c r="M82" s="1032"/>
      <c r="N82" s="1032"/>
      <c r="O82" s="1032"/>
      <c r="P82" s="1032"/>
      <c r="Q82" s="1032">
        <f t="shared" si="39"/>
        <v>0</v>
      </c>
      <c r="R82" s="1033">
        <v>18054.990000000002</v>
      </c>
      <c r="S82" s="1033">
        <v>5911.76</v>
      </c>
      <c r="T82" s="1033">
        <v>0</v>
      </c>
      <c r="U82" s="1033">
        <v>-0.09</v>
      </c>
      <c r="V82" s="1360">
        <v>0</v>
      </c>
      <c r="W82" s="1034">
        <f t="shared" si="40"/>
        <v>23966.66</v>
      </c>
      <c r="X82" s="1034">
        <v>821041.3656090576</v>
      </c>
      <c r="Y82" s="1033">
        <v>438628.10439094238</v>
      </c>
      <c r="Z82" s="1033">
        <v>231060.09</v>
      </c>
      <c r="AA82" s="1033">
        <v>23329.22</v>
      </c>
      <c r="AB82" s="1360">
        <v>0</v>
      </c>
      <c r="AC82" s="1034">
        <f t="shared" si="41"/>
        <v>1514058.78</v>
      </c>
      <c r="AD82" s="1034">
        <v>29378.400000000001</v>
      </c>
      <c r="AE82" s="1033">
        <v>0</v>
      </c>
      <c r="AF82" s="1033">
        <v>57524.92</v>
      </c>
      <c r="AG82" s="1033">
        <v>33.590000000000003</v>
      </c>
      <c r="AH82" s="1360">
        <v>0</v>
      </c>
      <c r="AI82" s="1034">
        <f t="shared" si="42"/>
        <v>86936.91</v>
      </c>
      <c r="AJ82" s="1034"/>
      <c r="AK82" s="1033"/>
      <c r="AL82" s="1033"/>
      <c r="AM82" s="1033"/>
      <c r="AN82" s="1360"/>
      <c r="AO82" s="1034">
        <f t="shared" si="43"/>
        <v>0</v>
      </c>
    </row>
    <row r="83" spans="1:41" ht="15" customHeight="1" x14ac:dyDescent="0.25">
      <c r="A83" s="711" t="s">
        <v>206</v>
      </c>
      <c r="B83" s="710" t="s">
        <v>207</v>
      </c>
      <c r="C83" s="914" t="s">
        <v>267</v>
      </c>
      <c r="D83" s="1029">
        <f t="shared" si="33"/>
        <v>3325974.2422504956</v>
      </c>
      <c r="E83" s="1030">
        <f t="shared" si="34"/>
        <v>1190314.0577495042</v>
      </c>
      <c r="F83" s="1031">
        <f t="shared" si="35"/>
        <v>2815146.65</v>
      </c>
      <c r="G83" s="1367">
        <f t="shared" si="36"/>
        <v>25277.16</v>
      </c>
      <c r="H83" s="1369">
        <f t="shared" si="37"/>
        <v>0</v>
      </c>
      <c r="I83" s="1369">
        <f t="shared" si="38"/>
        <v>7356712.1099999994</v>
      </c>
      <c r="J83" s="1370">
        <f t="shared" si="31"/>
        <v>25277.16</v>
      </c>
      <c r="K83" s="1365">
        <f t="shared" si="32"/>
        <v>2840423.81</v>
      </c>
      <c r="L83" s="1032"/>
      <c r="M83" s="1032"/>
      <c r="N83" s="1032"/>
      <c r="O83" s="1032"/>
      <c r="P83" s="1032"/>
      <c r="Q83" s="1032">
        <f t="shared" si="39"/>
        <v>0</v>
      </c>
      <c r="R83" s="1033">
        <v>9927.9699999999993</v>
      </c>
      <c r="S83" s="1033">
        <v>3187.88</v>
      </c>
      <c r="T83" s="1033">
        <v>0</v>
      </c>
      <c r="U83" s="1033">
        <v>-0.01</v>
      </c>
      <c r="V83" s="1360">
        <v>0</v>
      </c>
      <c r="W83" s="1034">
        <f t="shared" si="40"/>
        <v>13115.839999999998</v>
      </c>
      <c r="X83" s="1034">
        <v>2179105.3622504957</v>
      </c>
      <c r="Y83" s="1033">
        <v>1187126.1777495043</v>
      </c>
      <c r="Z83" s="1033">
        <v>617471.85</v>
      </c>
      <c r="AA83" s="1033">
        <v>9751.01</v>
      </c>
      <c r="AB83" s="1360">
        <v>0</v>
      </c>
      <c r="AC83" s="1034">
        <f t="shared" si="41"/>
        <v>3993454.4</v>
      </c>
      <c r="AD83" s="1034">
        <v>1136940.9099999999</v>
      </c>
      <c r="AE83" s="1033">
        <v>0</v>
      </c>
      <c r="AF83" s="1033">
        <v>2197674.7999999998</v>
      </c>
      <c r="AG83" s="1033">
        <v>15526.16</v>
      </c>
      <c r="AH83" s="1360">
        <v>0</v>
      </c>
      <c r="AI83" s="1034">
        <f t="shared" si="42"/>
        <v>3350141.87</v>
      </c>
      <c r="AJ83" s="1034"/>
      <c r="AK83" s="1033"/>
      <c r="AL83" s="1033"/>
      <c r="AM83" s="1033"/>
      <c r="AN83" s="1360"/>
      <c r="AO83" s="1034">
        <f t="shared" si="43"/>
        <v>0</v>
      </c>
    </row>
    <row r="84" spans="1:41" ht="15" customHeight="1" x14ac:dyDescent="0.25">
      <c r="A84" s="711" t="s">
        <v>208</v>
      </c>
      <c r="B84" s="710" t="s">
        <v>209</v>
      </c>
      <c r="C84" s="914" t="s">
        <v>268</v>
      </c>
      <c r="D84" s="1029">
        <f t="shared" si="33"/>
        <v>1282484.3044607537</v>
      </c>
      <c r="E84" s="1030">
        <f t="shared" si="34"/>
        <v>684804.17553924629</v>
      </c>
      <c r="F84" s="1031">
        <f t="shared" si="35"/>
        <v>360859.49</v>
      </c>
      <c r="G84" s="1367">
        <f t="shared" si="36"/>
        <v>17227.98</v>
      </c>
      <c r="H84" s="1369">
        <f t="shared" si="37"/>
        <v>0</v>
      </c>
      <c r="I84" s="1369">
        <f t="shared" si="38"/>
        <v>2345375.9499999997</v>
      </c>
      <c r="J84" s="1370">
        <f t="shared" si="31"/>
        <v>17227.98</v>
      </c>
      <c r="K84" s="1365">
        <f t="shared" si="32"/>
        <v>378087.47</v>
      </c>
      <c r="L84" s="1032"/>
      <c r="M84" s="1032"/>
      <c r="N84" s="1032"/>
      <c r="O84" s="1032"/>
      <c r="P84" s="1032"/>
      <c r="Q84" s="1032">
        <f t="shared" si="39"/>
        <v>0</v>
      </c>
      <c r="R84" s="1034"/>
      <c r="S84" s="1034"/>
      <c r="T84" s="1034"/>
      <c r="U84" s="1034"/>
      <c r="V84" s="1034"/>
      <c r="W84" s="1034">
        <f t="shared" si="40"/>
        <v>0</v>
      </c>
      <c r="X84" s="1034">
        <v>1282484.3044607537</v>
      </c>
      <c r="Y84" s="1034">
        <v>684804.17553924629</v>
      </c>
      <c r="Z84" s="1034">
        <v>360859.49</v>
      </c>
      <c r="AA84" s="1034">
        <v>17227.98</v>
      </c>
      <c r="AB84" s="1034">
        <v>0</v>
      </c>
      <c r="AC84" s="1034">
        <f t="shared" si="41"/>
        <v>2345375.9499999997</v>
      </c>
      <c r="AD84" s="1034"/>
      <c r="AE84" s="1034"/>
      <c r="AF84" s="1034"/>
      <c r="AG84" s="1034"/>
      <c r="AH84" s="1034"/>
      <c r="AI84" s="1034">
        <f t="shared" si="42"/>
        <v>0</v>
      </c>
      <c r="AJ84" s="1034"/>
      <c r="AK84" s="1034"/>
      <c r="AL84" s="1034"/>
      <c r="AM84" s="1034"/>
      <c r="AN84" s="1034"/>
      <c r="AO84" s="1034">
        <f t="shared" si="43"/>
        <v>0</v>
      </c>
    </row>
    <row r="85" spans="1:41" ht="15" customHeight="1" x14ac:dyDescent="0.25">
      <c r="A85" s="711" t="s">
        <v>210</v>
      </c>
      <c r="B85" s="710" t="s">
        <v>211</v>
      </c>
      <c r="C85" s="914" t="s">
        <v>268</v>
      </c>
      <c r="D85" s="1029">
        <f t="shared" si="33"/>
        <v>1105440.4507258933</v>
      </c>
      <c r="E85" s="1030">
        <f t="shared" si="34"/>
        <v>583148.42927410651</v>
      </c>
      <c r="F85" s="1031">
        <f t="shared" si="35"/>
        <v>332658.28999999998</v>
      </c>
      <c r="G85" s="1367">
        <f t="shared" si="36"/>
        <v>22187.66</v>
      </c>
      <c r="H85" s="1369">
        <f t="shared" si="37"/>
        <v>0</v>
      </c>
      <c r="I85" s="1369">
        <f t="shared" si="38"/>
        <v>2043434.8299999998</v>
      </c>
      <c r="J85" s="1370">
        <f t="shared" si="31"/>
        <v>22187.66</v>
      </c>
      <c r="K85" s="1365">
        <f t="shared" si="32"/>
        <v>354845.94999999995</v>
      </c>
      <c r="L85" s="1032"/>
      <c r="M85" s="1032"/>
      <c r="N85" s="1032"/>
      <c r="O85" s="1032"/>
      <c r="P85" s="1032"/>
      <c r="Q85" s="1032">
        <f t="shared" si="39"/>
        <v>0</v>
      </c>
      <c r="R85" s="1033">
        <v>1460.17</v>
      </c>
      <c r="S85" s="1034">
        <v>469.63</v>
      </c>
      <c r="T85" s="1033">
        <v>0</v>
      </c>
      <c r="U85" s="1033">
        <v>-0.02</v>
      </c>
      <c r="V85" s="1360">
        <v>0</v>
      </c>
      <c r="W85" s="1034">
        <f t="shared" si="40"/>
        <v>1929.7800000000002</v>
      </c>
      <c r="X85" s="1034">
        <v>1090696.4007258934</v>
      </c>
      <c r="Y85" s="1034">
        <v>582678.79927410651</v>
      </c>
      <c r="Z85" s="1033">
        <v>306947.92</v>
      </c>
      <c r="AA85" s="1033">
        <v>22187.73</v>
      </c>
      <c r="AB85" s="1360">
        <v>0</v>
      </c>
      <c r="AC85" s="1034">
        <f t="shared" si="41"/>
        <v>2002510.8499999999</v>
      </c>
      <c r="AD85" s="1034">
        <v>13283.88</v>
      </c>
      <c r="AE85" s="1034">
        <v>0</v>
      </c>
      <c r="AF85" s="1033">
        <v>25710.37</v>
      </c>
      <c r="AG85" s="1033">
        <v>-0.05</v>
      </c>
      <c r="AH85" s="1360">
        <v>0</v>
      </c>
      <c r="AI85" s="1034">
        <f t="shared" si="42"/>
        <v>38994.199999999997</v>
      </c>
      <c r="AJ85" s="1034"/>
      <c r="AK85" s="1034"/>
      <c r="AL85" s="1033"/>
      <c r="AM85" s="1033"/>
      <c r="AN85" s="1360"/>
      <c r="AO85" s="1034">
        <f t="shared" si="43"/>
        <v>0</v>
      </c>
    </row>
    <row r="86" spans="1:41" ht="15" customHeight="1" x14ac:dyDescent="0.25">
      <c r="A86" s="711" t="s">
        <v>212</v>
      </c>
      <c r="B86" s="710" t="s">
        <v>213</v>
      </c>
      <c r="C86" s="914" t="s">
        <v>267</v>
      </c>
      <c r="D86" s="1029">
        <f t="shared" si="33"/>
        <v>1178312.098216038</v>
      </c>
      <c r="E86" s="1030">
        <f t="shared" si="34"/>
        <v>446541.17178396205</v>
      </c>
      <c r="F86" s="1031">
        <f t="shared" si="35"/>
        <v>914249.69</v>
      </c>
      <c r="G86" s="1367">
        <f t="shared" si="36"/>
        <v>523723.43</v>
      </c>
      <c r="H86" s="1369">
        <f t="shared" si="37"/>
        <v>0</v>
      </c>
      <c r="I86" s="1369">
        <f t="shared" si="38"/>
        <v>3062826.3899999997</v>
      </c>
      <c r="J86" s="1370">
        <f t="shared" si="31"/>
        <v>523723.43</v>
      </c>
      <c r="K86" s="1365">
        <f t="shared" si="32"/>
        <v>1437973.1199999999</v>
      </c>
      <c r="L86" s="1032"/>
      <c r="M86" s="1032"/>
      <c r="N86" s="1032"/>
      <c r="O86" s="1032"/>
      <c r="P86" s="1032"/>
      <c r="Q86" s="1032">
        <f t="shared" si="39"/>
        <v>0</v>
      </c>
      <c r="R86" s="1033"/>
      <c r="S86" s="1034"/>
      <c r="T86" s="1033"/>
      <c r="U86" s="1033"/>
      <c r="V86" s="1360"/>
      <c r="W86" s="1034">
        <f t="shared" si="40"/>
        <v>0</v>
      </c>
      <c r="X86" s="1034">
        <v>826916.03821603791</v>
      </c>
      <c r="Y86" s="1034">
        <v>446541.17178396205</v>
      </c>
      <c r="Z86" s="1033">
        <v>233590.55</v>
      </c>
      <c r="AA86" s="1033">
        <v>515006.23</v>
      </c>
      <c r="AB86" s="1360">
        <v>0</v>
      </c>
      <c r="AC86" s="1034">
        <f t="shared" si="41"/>
        <v>2022053.99</v>
      </c>
      <c r="AD86" s="1034">
        <v>351396.06</v>
      </c>
      <c r="AE86" s="1034">
        <v>0</v>
      </c>
      <c r="AF86" s="1033">
        <v>680659.14</v>
      </c>
      <c r="AG86" s="1033">
        <v>8717.2000000000007</v>
      </c>
      <c r="AH86" s="1360">
        <v>0</v>
      </c>
      <c r="AI86" s="1034">
        <f t="shared" si="42"/>
        <v>1040772.3999999999</v>
      </c>
      <c r="AJ86" s="1034"/>
      <c r="AK86" s="1034"/>
      <c r="AL86" s="1033"/>
      <c r="AM86" s="1033"/>
      <c r="AN86" s="1360"/>
      <c r="AO86" s="1034">
        <f t="shared" si="43"/>
        <v>0</v>
      </c>
    </row>
    <row r="87" spans="1:41" ht="15" customHeight="1" x14ac:dyDescent="0.25">
      <c r="A87" s="711" t="s">
        <v>214</v>
      </c>
      <c r="B87" s="710" t="s">
        <v>215</v>
      </c>
      <c r="C87" s="914" t="s">
        <v>268</v>
      </c>
      <c r="D87" s="1029">
        <f t="shared" si="33"/>
        <v>1727810.8475520117</v>
      </c>
      <c r="E87" s="1030">
        <f t="shared" si="34"/>
        <v>894047.44244798832</v>
      </c>
      <c r="F87" s="1031">
        <f t="shared" si="35"/>
        <v>552492.45000000007</v>
      </c>
      <c r="G87" s="1367">
        <f t="shared" si="36"/>
        <v>-10598.05</v>
      </c>
      <c r="H87" s="1369">
        <f t="shared" si="37"/>
        <v>0</v>
      </c>
      <c r="I87" s="1369">
        <f t="shared" si="38"/>
        <v>3163752.69</v>
      </c>
      <c r="J87" s="1370">
        <f t="shared" si="31"/>
        <v>-10598.05</v>
      </c>
      <c r="K87" s="1365">
        <f t="shared" si="32"/>
        <v>541894.40000000002</v>
      </c>
      <c r="L87" s="1032"/>
      <c r="M87" s="1032"/>
      <c r="N87" s="1032"/>
      <c r="O87" s="1032"/>
      <c r="P87" s="1032"/>
      <c r="Q87" s="1032">
        <f t="shared" si="39"/>
        <v>0</v>
      </c>
      <c r="R87" s="1033"/>
      <c r="S87" s="1034"/>
      <c r="T87" s="1033"/>
      <c r="U87" s="1033"/>
      <c r="V87" s="1360"/>
      <c r="W87" s="1034">
        <f t="shared" si="40"/>
        <v>0</v>
      </c>
      <c r="X87" s="1034">
        <v>1673052.1075520117</v>
      </c>
      <c r="Y87" s="1034">
        <v>894047.44244798832</v>
      </c>
      <c r="Z87" s="1033">
        <v>470885.15</v>
      </c>
      <c r="AA87" s="1033">
        <v>-10597.57</v>
      </c>
      <c r="AB87" s="1360">
        <v>0</v>
      </c>
      <c r="AC87" s="1034">
        <f t="shared" si="41"/>
        <v>3027387.13</v>
      </c>
      <c r="AD87" s="1034">
        <v>42164.49</v>
      </c>
      <c r="AE87" s="1034">
        <v>0</v>
      </c>
      <c r="AF87" s="1033">
        <v>81607.3</v>
      </c>
      <c r="AG87" s="1033">
        <v>-0.48</v>
      </c>
      <c r="AH87" s="1360">
        <v>0</v>
      </c>
      <c r="AI87" s="1034">
        <f t="shared" si="42"/>
        <v>123771.31000000001</v>
      </c>
      <c r="AJ87" s="1034">
        <v>12594.25</v>
      </c>
      <c r="AK87" s="1034"/>
      <c r="AL87" s="1033"/>
      <c r="AM87" s="1033"/>
      <c r="AN87" s="1360"/>
      <c r="AO87" s="1034">
        <f t="shared" si="43"/>
        <v>12594.25</v>
      </c>
    </row>
    <row r="88" spans="1:41" ht="15" customHeight="1" x14ac:dyDescent="0.25">
      <c r="A88" s="711" t="s">
        <v>216</v>
      </c>
      <c r="B88" s="710" t="s">
        <v>217</v>
      </c>
      <c r="C88" s="914" t="s">
        <v>264</v>
      </c>
      <c r="D88" s="1029">
        <f t="shared" si="33"/>
        <v>980497.19062502473</v>
      </c>
      <c r="E88" s="1030">
        <f t="shared" si="34"/>
        <v>523877.62937497534</v>
      </c>
      <c r="F88" s="1031">
        <f t="shared" si="35"/>
        <v>275947.71999999997</v>
      </c>
      <c r="G88" s="1367">
        <f t="shared" si="36"/>
        <v>10526.89</v>
      </c>
      <c r="H88" s="1369">
        <f t="shared" si="37"/>
        <v>0</v>
      </c>
      <c r="I88" s="1369">
        <f t="shared" si="38"/>
        <v>1790849.43</v>
      </c>
      <c r="J88" s="1370">
        <f t="shared" si="31"/>
        <v>10526.89</v>
      </c>
      <c r="K88" s="1365">
        <f t="shared" si="32"/>
        <v>286474.61</v>
      </c>
      <c r="L88" s="1032"/>
      <c r="M88" s="1032"/>
      <c r="N88" s="1032"/>
      <c r="O88" s="1032"/>
      <c r="P88" s="1032"/>
      <c r="Q88" s="1032">
        <f t="shared" si="39"/>
        <v>0</v>
      </c>
      <c r="R88" s="1033"/>
      <c r="S88" s="1033"/>
      <c r="T88" s="1033"/>
      <c r="U88" s="1033"/>
      <c r="V88" s="1360"/>
      <c r="W88" s="1034">
        <f t="shared" si="40"/>
        <v>0</v>
      </c>
      <c r="X88" s="1034">
        <v>980497.19062502473</v>
      </c>
      <c r="Y88" s="1033">
        <v>523877.62937497534</v>
      </c>
      <c r="Z88" s="1033">
        <v>275947.71999999997</v>
      </c>
      <c r="AA88" s="1033">
        <v>10526.89</v>
      </c>
      <c r="AB88" s="1360">
        <v>0</v>
      </c>
      <c r="AC88" s="1034">
        <f t="shared" si="41"/>
        <v>1790849.43</v>
      </c>
      <c r="AD88" s="1034"/>
      <c r="AE88" s="1033"/>
      <c r="AF88" s="1033"/>
      <c r="AG88" s="1033"/>
      <c r="AH88" s="1360"/>
      <c r="AI88" s="1034">
        <f t="shared" si="42"/>
        <v>0</v>
      </c>
      <c r="AJ88" s="1034"/>
      <c r="AK88" s="1033"/>
      <c r="AL88" s="1033"/>
      <c r="AM88" s="1033"/>
      <c r="AN88" s="1360"/>
      <c r="AO88" s="1034">
        <f t="shared" si="43"/>
        <v>0</v>
      </c>
    </row>
    <row r="89" spans="1:41" ht="15" customHeight="1" x14ac:dyDescent="0.25">
      <c r="A89" s="711" t="s">
        <v>218</v>
      </c>
      <c r="B89" s="710" t="s">
        <v>219</v>
      </c>
      <c r="C89" s="914" t="s">
        <v>267</v>
      </c>
      <c r="D89" s="1029">
        <f t="shared" si="33"/>
        <v>2555836.8069946105</v>
      </c>
      <c r="E89" s="1030">
        <f t="shared" si="34"/>
        <v>861264.70300538943</v>
      </c>
      <c r="F89" s="1031">
        <f t="shared" si="35"/>
        <v>2305464.41</v>
      </c>
      <c r="G89" s="1367">
        <f t="shared" si="36"/>
        <v>81485.78</v>
      </c>
      <c r="H89" s="1369">
        <f t="shared" si="37"/>
        <v>0</v>
      </c>
      <c r="I89" s="1369">
        <f t="shared" si="38"/>
        <v>5804051.7000000002</v>
      </c>
      <c r="J89" s="1370">
        <f t="shared" si="31"/>
        <v>81485.78</v>
      </c>
      <c r="K89" s="1365">
        <f t="shared" si="32"/>
        <v>2386950.19</v>
      </c>
      <c r="L89" s="1032"/>
      <c r="M89" s="1032"/>
      <c r="N89" s="1032"/>
      <c r="O89" s="1032"/>
      <c r="P89" s="1032"/>
      <c r="Q89" s="1032">
        <f t="shared" si="39"/>
        <v>0</v>
      </c>
      <c r="R89" s="1033">
        <v>42028.93</v>
      </c>
      <c r="S89" s="1033">
        <v>13743.82</v>
      </c>
      <c r="T89" s="1033">
        <v>0</v>
      </c>
      <c r="U89" s="1033">
        <v>-0.01</v>
      </c>
      <c r="V89" s="1360">
        <v>0</v>
      </c>
      <c r="W89" s="1034">
        <f t="shared" si="40"/>
        <v>55772.74</v>
      </c>
      <c r="X89" s="1034">
        <v>1549637.0169946104</v>
      </c>
      <c r="Y89" s="1033">
        <v>847520.88300538948</v>
      </c>
      <c r="Z89" s="1033">
        <v>439713.58</v>
      </c>
      <c r="AA89" s="1033">
        <v>49800.29</v>
      </c>
      <c r="AB89" s="1360">
        <v>0</v>
      </c>
      <c r="AC89" s="1034">
        <f t="shared" si="41"/>
        <v>2886671.77</v>
      </c>
      <c r="AD89" s="1034">
        <v>964170.86</v>
      </c>
      <c r="AE89" s="1033">
        <v>0</v>
      </c>
      <c r="AF89" s="1033">
        <v>1865750.83</v>
      </c>
      <c r="AG89" s="1033">
        <v>31685.5</v>
      </c>
      <c r="AH89" s="1360">
        <v>0</v>
      </c>
      <c r="AI89" s="1034">
        <f t="shared" si="42"/>
        <v>2861607.19</v>
      </c>
      <c r="AJ89" s="1034"/>
      <c r="AK89" s="1033"/>
      <c r="AL89" s="1033"/>
      <c r="AM89" s="1033"/>
      <c r="AN89" s="1360"/>
      <c r="AO89" s="1034">
        <f t="shared" si="43"/>
        <v>0</v>
      </c>
    </row>
    <row r="90" spans="1:41" ht="15" customHeight="1" x14ac:dyDescent="0.25">
      <c r="A90" s="711" t="s">
        <v>220</v>
      </c>
      <c r="B90" s="710" t="s">
        <v>221</v>
      </c>
      <c r="C90" s="914" t="s">
        <v>267</v>
      </c>
      <c r="D90" s="1029">
        <f t="shared" si="33"/>
        <v>2062783.4492440713</v>
      </c>
      <c r="E90" s="1030">
        <f t="shared" si="34"/>
        <v>854464.89075592882</v>
      </c>
      <c r="F90" s="1031">
        <f t="shared" si="35"/>
        <v>1346204.56</v>
      </c>
      <c r="G90" s="1367">
        <f t="shared" si="36"/>
        <v>6737.49</v>
      </c>
      <c r="H90" s="1369">
        <f t="shared" si="37"/>
        <v>0</v>
      </c>
      <c r="I90" s="1369">
        <f t="shared" si="38"/>
        <v>4270190.3900000006</v>
      </c>
      <c r="J90" s="1370">
        <f t="shared" si="31"/>
        <v>6737.49</v>
      </c>
      <c r="K90" s="1365">
        <f t="shared" si="32"/>
        <v>1352942.05</v>
      </c>
      <c r="L90" s="1032"/>
      <c r="M90" s="1032"/>
      <c r="N90" s="1032"/>
      <c r="O90" s="1032"/>
      <c r="P90" s="1032"/>
      <c r="Q90" s="1032">
        <f t="shared" si="39"/>
        <v>0</v>
      </c>
      <c r="R90" s="1033">
        <v>31178.87</v>
      </c>
      <c r="S90" s="1033">
        <v>10173.870000000001</v>
      </c>
      <c r="T90" s="1033">
        <v>0</v>
      </c>
      <c r="U90" s="1033">
        <v>-0.02</v>
      </c>
      <c r="V90" s="1360">
        <v>0</v>
      </c>
      <c r="W90" s="1034">
        <f t="shared" si="40"/>
        <v>41352.720000000001</v>
      </c>
      <c r="X90" s="1034">
        <v>1563880.4792440713</v>
      </c>
      <c r="Y90" s="1033">
        <v>844291.02075592882</v>
      </c>
      <c r="Z90" s="1033">
        <v>441733.66</v>
      </c>
      <c r="AA90" s="1033">
        <v>4881.87</v>
      </c>
      <c r="AB90" s="1360">
        <v>0</v>
      </c>
      <c r="AC90" s="1034">
        <f t="shared" si="41"/>
        <v>2854787.0300000003</v>
      </c>
      <c r="AD90" s="1034">
        <v>467724.1</v>
      </c>
      <c r="AE90" s="1033">
        <v>0</v>
      </c>
      <c r="AF90" s="1033">
        <v>904470.9</v>
      </c>
      <c r="AG90" s="1033">
        <v>1855.64</v>
      </c>
      <c r="AH90" s="1360">
        <v>0</v>
      </c>
      <c r="AI90" s="1034">
        <f t="shared" si="42"/>
        <v>1374050.64</v>
      </c>
      <c r="AJ90" s="1034"/>
      <c r="AK90" s="1033"/>
      <c r="AL90" s="1033"/>
      <c r="AM90" s="1033"/>
      <c r="AN90" s="1360"/>
      <c r="AO90" s="1034">
        <f t="shared" si="43"/>
        <v>0</v>
      </c>
    </row>
    <row r="91" spans="1:41" ht="15" customHeight="1" x14ac:dyDescent="0.25">
      <c r="A91" s="711" t="s">
        <v>224</v>
      </c>
      <c r="B91" s="710" t="s">
        <v>225</v>
      </c>
      <c r="C91" s="914" t="s">
        <v>264</v>
      </c>
      <c r="D91" s="1029">
        <f t="shared" si="33"/>
        <v>657257.67239169555</v>
      </c>
      <c r="E91" s="1030">
        <f t="shared" si="34"/>
        <v>293849.36760830448</v>
      </c>
      <c r="F91" s="1031">
        <f t="shared" si="35"/>
        <v>365961.20999999996</v>
      </c>
      <c r="G91" s="1367">
        <f t="shared" si="36"/>
        <v>170031.2</v>
      </c>
      <c r="H91" s="1369">
        <f t="shared" si="37"/>
        <v>-3683.17</v>
      </c>
      <c r="I91" s="1369">
        <f t="shared" si="38"/>
        <v>1483416.28</v>
      </c>
      <c r="J91" s="1370">
        <f t="shared" si="31"/>
        <v>166348.03</v>
      </c>
      <c r="K91" s="1365">
        <f t="shared" si="32"/>
        <v>532309.24</v>
      </c>
      <c r="L91" s="1032"/>
      <c r="M91" s="1032"/>
      <c r="N91" s="1032"/>
      <c r="O91" s="1032"/>
      <c r="P91" s="1032"/>
      <c r="Q91" s="1032">
        <f t="shared" si="39"/>
        <v>0</v>
      </c>
      <c r="R91" s="1033"/>
      <c r="S91" s="1033"/>
      <c r="T91" s="1033"/>
      <c r="U91" s="1033"/>
      <c r="V91" s="1360"/>
      <c r="W91" s="1034">
        <f t="shared" si="40"/>
        <v>0</v>
      </c>
      <c r="X91" s="1034">
        <v>547955.50239169551</v>
      </c>
      <c r="Y91" s="1033">
        <v>293849.36760830448</v>
      </c>
      <c r="Z91" s="1033">
        <v>154412.38</v>
      </c>
      <c r="AA91" s="1033">
        <v>125470.09</v>
      </c>
      <c r="AB91" s="1360">
        <v>0</v>
      </c>
      <c r="AC91" s="1034">
        <f t="shared" si="41"/>
        <v>1121687.3400000001</v>
      </c>
      <c r="AD91" s="1034">
        <v>109302.17</v>
      </c>
      <c r="AE91" s="1033">
        <v>0</v>
      </c>
      <c r="AF91" s="1033">
        <v>211548.83</v>
      </c>
      <c r="AG91" s="1033">
        <v>44561.11</v>
      </c>
      <c r="AH91" s="1360">
        <v>-3683.17</v>
      </c>
      <c r="AI91" s="1034">
        <f t="shared" si="42"/>
        <v>361728.94</v>
      </c>
      <c r="AJ91" s="1034"/>
      <c r="AK91" s="1033"/>
      <c r="AL91" s="1033"/>
      <c r="AM91" s="1033"/>
      <c r="AN91" s="1360"/>
      <c r="AO91" s="1034">
        <f t="shared" si="43"/>
        <v>0</v>
      </c>
    </row>
    <row r="92" spans="1:41" ht="15" customHeight="1" x14ac:dyDescent="0.25">
      <c r="A92" s="711" t="s">
        <v>226</v>
      </c>
      <c r="B92" s="710" t="s">
        <v>227</v>
      </c>
      <c r="C92" s="914" t="s">
        <v>264</v>
      </c>
      <c r="D92" s="1029">
        <f t="shared" si="33"/>
        <v>803733.10512187181</v>
      </c>
      <c r="E92" s="1030">
        <f t="shared" si="34"/>
        <v>417905.77487812832</v>
      </c>
      <c r="F92" s="1031">
        <f t="shared" si="35"/>
        <v>264340.82999999996</v>
      </c>
      <c r="G92" s="1367">
        <f t="shared" si="36"/>
        <v>31197.679999999997</v>
      </c>
      <c r="H92" s="1369">
        <f t="shared" si="37"/>
        <v>0</v>
      </c>
      <c r="I92" s="1369">
        <f t="shared" si="38"/>
        <v>1517177.3900000001</v>
      </c>
      <c r="J92" s="1370">
        <f t="shared" si="31"/>
        <v>31197.679999999997</v>
      </c>
      <c r="K92" s="1365">
        <f t="shared" si="32"/>
        <v>295538.50999999995</v>
      </c>
      <c r="L92" s="1032"/>
      <c r="M92" s="1032"/>
      <c r="N92" s="1032"/>
      <c r="O92" s="1032"/>
      <c r="P92" s="1032"/>
      <c r="Q92" s="1032">
        <f t="shared" si="39"/>
        <v>0</v>
      </c>
      <c r="R92" s="1033"/>
      <c r="S92" s="1033"/>
      <c r="T92" s="1033"/>
      <c r="U92" s="1033"/>
      <c r="V92" s="1360"/>
      <c r="W92" s="1034">
        <f t="shared" si="40"/>
        <v>0</v>
      </c>
      <c r="X92" s="1034">
        <v>780756.56512187177</v>
      </c>
      <c r="Y92" s="1033">
        <v>417905.77487812832</v>
      </c>
      <c r="Z92" s="1033">
        <v>219870.74</v>
      </c>
      <c r="AA92" s="1033">
        <v>31197.759999999998</v>
      </c>
      <c r="AB92" s="1360">
        <v>0</v>
      </c>
      <c r="AC92" s="1034">
        <f t="shared" si="41"/>
        <v>1449730.84</v>
      </c>
      <c r="AD92" s="1034">
        <v>22976.54</v>
      </c>
      <c r="AE92" s="1033">
        <v>0</v>
      </c>
      <c r="AF92" s="1033">
        <v>44470.09</v>
      </c>
      <c r="AG92" s="1033">
        <v>-0.08</v>
      </c>
      <c r="AH92" s="1360">
        <v>0</v>
      </c>
      <c r="AI92" s="1034">
        <f t="shared" si="42"/>
        <v>67446.55</v>
      </c>
      <c r="AJ92" s="1034"/>
      <c r="AK92" s="1033"/>
      <c r="AL92" s="1033"/>
      <c r="AM92" s="1033"/>
      <c r="AN92" s="1360"/>
      <c r="AO92" s="1034">
        <f t="shared" si="43"/>
        <v>0</v>
      </c>
    </row>
    <row r="93" spans="1:41" ht="15" customHeight="1" x14ac:dyDescent="0.25">
      <c r="A93" s="711" t="s">
        <v>228</v>
      </c>
      <c r="B93" s="710" t="s">
        <v>229</v>
      </c>
      <c r="C93" s="914" t="s">
        <v>268</v>
      </c>
      <c r="D93" s="1029">
        <f t="shared" si="33"/>
        <v>2191491.5732914321</v>
      </c>
      <c r="E93" s="1030">
        <f t="shared" si="34"/>
        <v>1078784.3667085676</v>
      </c>
      <c r="F93" s="1031">
        <f t="shared" si="35"/>
        <v>912283.44</v>
      </c>
      <c r="G93" s="1367">
        <f t="shared" si="36"/>
        <v>137496.24</v>
      </c>
      <c r="H93" s="1369">
        <f t="shared" si="37"/>
        <v>0</v>
      </c>
      <c r="I93" s="1369">
        <f t="shared" si="38"/>
        <v>4320055.6199999992</v>
      </c>
      <c r="J93" s="1370">
        <f t="shared" si="31"/>
        <v>137496.24</v>
      </c>
      <c r="K93" s="1365">
        <f t="shared" si="32"/>
        <v>1049779.68</v>
      </c>
      <c r="L93" s="1032"/>
      <c r="M93" s="1032"/>
      <c r="N93" s="1032"/>
      <c r="O93" s="1032"/>
      <c r="P93" s="1032"/>
      <c r="Q93" s="1032">
        <f t="shared" si="39"/>
        <v>0</v>
      </c>
      <c r="R93" s="1033"/>
      <c r="S93" s="1033"/>
      <c r="T93" s="1033"/>
      <c r="U93" s="1033"/>
      <c r="V93" s="1360"/>
      <c r="W93" s="1034">
        <f t="shared" si="40"/>
        <v>0</v>
      </c>
      <c r="X93" s="1034">
        <v>2013447.8132914323</v>
      </c>
      <c r="Y93" s="1033">
        <v>1078784.3667085676</v>
      </c>
      <c r="Z93" s="1033">
        <v>567210.46</v>
      </c>
      <c r="AA93" s="1033">
        <v>137498</v>
      </c>
      <c r="AB93" s="1360">
        <v>0</v>
      </c>
      <c r="AC93" s="1034">
        <f t="shared" si="41"/>
        <v>3796940.6399999997</v>
      </c>
      <c r="AD93" s="1034">
        <v>178043.76</v>
      </c>
      <c r="AE93" s="1033">
        <v>0</v>
      </c>
      <c r="AF93" s="1033">
        <v>345072.98</v>
      </c>
      <c r="AG93" s="1033">
        <v>-1.76</v>
      </c>
      <c r="AH93" s="1360">
        <v>0</v>
      </c>
      <c r="AI93" s="1034">
        <f t="shared" si="42"/>
        <v>523114.98</v>
      </c>
      <c r="AJ93" s="1034"/>
      <c r="AK93" s="1033"/>
      <c r="AL93" s="1033"/>
      <c r="AM93" s="1033"/>
      <c r="AN93" s="1360"/>
      <c r="AO93" s="1034">
        <f t="shared" si="43"/>
        <v>0</v>
      </c>
    </row>
    <row r="94" spans="1:41" ht="15" customHeight="1" x14ac:dyDescent="0.25">
      <c r="A94" s="711" t="s">
        <v>232</v>
      </c>
      <c r="B94" s="710" t="s">
        <v>233</v>
      </c>
      <c r="C94" s="914" t="s">
        <v>267</v>
      </c>
      <c r="D94" s="1029">
        <f t="shared" si="33"/>
        <v>1233594.2949108891</v>
      </c>
      <c r="E94" s="1030">
        <f t="shared" si="34"/>
        <v>486550.27508911071</v>
      </c>
      <c r="F94" s="1031">
        <f t="shared" si="35"/>
        <v>901657.92999999993</v>
      </c>
      <c r="G94" s="1367">
        <f t="shared" si="36"/>
        <v>8341.68</v>
      </c>
      <c r="H94" s="1369">
        <f t="shared" si="37"/>
        <v>0</v>
      </c>
      <c r="I94" s="1369">
        <f t="shared" si="38"/>
        <v>2630144.1799999997</v>
      </c>
      <c r="J94" s="1370">
        <f t="shared" si="31"/>
        <v>8341.68</v>
      </c>
      <c r="K94" s="1365">
        <f t="shared" si="32"/>
        <v>909999.61</v>
      </c>
      <c r="L94" s="1032"/>
      <c r="M94" s="1032"/>
      <c r="N94" s="1032"/>
      <c r="O94" s="1032"/>
      <c r="P94" s="1032"/>
      <c r="Q94" s="1032">
        <f t="shared" si="39"/>
        <v>0</v>
      </c>
      <c r="R94" s="1033">
        <v>683.01</v>
      </c>
      <c r="S94" s="1033">
        <v>219.3</v>
      </c>
      <c r="T94" s="1033">
        <v>0</v>
      </c>
      <c r="U94" s="1033">
        <v>308.23</v>
      </c>
      <c r="V94" s="1360">
        <v>0</v>
      </c>
      <c r="W94" s="1034">
        <f t="shared" si="40"/>
        <v>1210.54</v>
      </c>
      <c r="X94" s="1034">
        <v>897854.91491088923</v>
      </c>
      <c r="Y94" s="1033">
        <v>486330.97508911073</v>
      </c>
      <c r="Z94" s="1033">
        <v>253901.6</v>
      </c>
      <c r="AA94" s="1033">
        <v>6866.42</v>
      </c>
      <c r="AB94" s="1360">
        <v>0</v>
      </c>
      <c r="AC94" s="1034">
        <f t="shared" si="41"/>
        <v>1644953.91</v>
      </c>
      <c r="AD94" s="1034">
        <v>335056.37</v>
      </c>
      <c r="AE94" s="1033">
        <v>0</v>
      </c>
      <c r="AF94" s="1033">
        <v>647756.32999999996</v>
      </c>
      <c r="AG94" s="1033">
        <v>1167.03</v>
      </c>
      <c r="AH94" s="1360">
        <v>0</v>
      </c>
      <c r="AI94" s="1034">
        <f t="shared" si="42"/>
        <v>983979.73</v>
      </c>
      <c r="AJ94" s="1034"/>
      <c r="AK94" s="1033"/>
      <c r="AL94" s="1033"/>
      <c r="AM94" s="1033"/>
      <c r="AN94" s="1360"/>
      <c r="AO94" s="1034">
        <f t="shared" si="43"/>
        <v>0</v>
      </c>
    </row>
    <row r="95" spans="1:41" ht="15" customHeight="1" x14ac:dyDescent="0.25">
      <c r="A95" s="711" t="s">
        <v>234</v>
      </c>
      <c r="B95" s="710" t="s">
        <v>235</v>
      </c>
      <c r="C95" s="914" t="s">
        <v>268</v>
      </c>
      <c r="D95" s="1029">
        <f t="shared" si="33"/>
        <v>1708257.7949682071</v>
      </c>
      <c r="E95" s="1030">
        <f t="shared" si="34"/>
        <v>826763.54503179272</v>
      </c>
      <c r="F95" s="1031">
        <f t="shared" si="35"/>
        <v>740341.15999999992</v>
      </c>
      <c r="G95" s="1367">
        <f t="shared" si="36"/>
        <v>28565.940000000002</v>
      </c>
      <c r="H95" s="1369">
        <f t="shared" si="37"/>
        <v>0</v>
      </c>
      <c r="I95" s="1369">
        <f t="shared" si="38"/>
        <v>3303928.4400000004</v>
      </c>
      <c r="J95" s="1370">
        <f t="shared" si="31"/>
        <v>28565.940000000002</v>
      </c>
      <c r="K95" s="1365">
        <f t="shared" si="32"/>
        <v>768907.09999999986</v>
      </c>
      <c r="L95" s="1032"/>
      <c r="M95" s="1032"/>
      <c r="N95" s="1032"/>
      <c r="O95" s="1032"/>
      <c r="P95" s="1032"/>
      <c r="Q95" s="1032">
        <f t="shared" si="39"/>
        <v>0</v>
      </c>
      <c r="R95" s="1033">
        <v>106.44</v>
      </c>
      <c r="S95" s="1033">
        <v>34.19</v>
      </c>
      <c r="T95" s="1033">
        <v>0</v>
      </c>
      <c r="U95" s="1033">
        <v>-0.01</v>
      </c>
      <c r="V95" s="1360">
        <v>0</v>
      </c>
      <c r="W95" s="1034">
        <f t="shared" si="40"/>
        <v>140.62</v>
      </c>
      <c r="X95" s="1034">
        <v>1546520.3449682072</v>
      </c>
      <c r="Y95" s="1033">
        <v>826729.35503179277</v>
      </c>
      <c r="Z95" s="1033">
        <v>435327.41</v>
      </c>
      <c r="AA95" s="1033">
        <v>28566.73</v>
      </c>
      <c r="AB95" s="1360">
        <v>0</v>
      </c>
      <c r="AC95" s="1034">
        <f t="shared" si="41"/>
        <v>2837143.8400000003</v>
      </c>
      <c r="AD95" s="1034">
        <v>156582.04999999999</v>
      </c>
      <c r="AE95" s="1033">
        <v>0</v>
      </c>
      <c r="AF95" s="1033">
        <v>305013.75</v>
      </c>
      <c r="AG95" s="1033">
        <v>-0.78</v>
      </c>
      <c r="AH95" s="1360">
        <v>0</v>
      </c>
      <c r="AI95" s="1034">
        <f t="shared" si="42"/>
        <v>461595.01999999996</v>
      </c>
      <c r="AJ95" s="1034">
        <v>5048.96</v>
      </c>
      <c r="AK95" s="1033"/>
      <c r="AL95" s="1033"/>
      <c r="AM95" s="1033"/>
      <c r="AN95" s="1360"/>
      <c r="AO95" s="1034">
        <f t="shared" si="43"/>
        <v>5048.96</v>
      </c>
    </row>
    <row r="96" spans="1:41" ht="15" customHeight="1" x14ac:dyDescent="0.25">
      <c r="A96" s="711" t="s">
        <v>236</v>
      </c>
      <c r="B96" s="710" t="s">
        <v>237</v>
      </c>
      <c r="C96" s="914" t="s">
        <v>266</v>
      </c>
      <c r="D96" s="1029">
        <f t="shared" si="33"/>
        <v>803540.80763979431</v>
      </c>
      <c r="E96" s="1030">
        <f t="shared" si="34"/>
        <v>365882.61236020556</v>
      </c>
      <c r="F96" s="1031">
        <f t="shared" si="35"/>
        <v>426259.65</v>
      </c>
      <c r="G96" s="1367">
        <f t="shared" si="36"/>
        <v>113198.54999999999</v>
      </c>
      <c r="H96" s="1369">
        <f t="shared" si="37"/>
        <v>0</v>
      </c>
      <c r="I96" s="1369">
        <f t="shared" si="38"/>
        <v>1708881.62</v>
      </c>
      <c r="J96" s="1370">
        <f t="shared" si="31"/>
        <v>113198.54999999999</v>
      </c>
      <c r="K96" s="1365">
        <f t="shared" si="32"/>
        <v>539458.19999999995</v>
      </c>
      <c r="L96" s="1032"/>
      <c r="M96" s="1032"/>
      <c r="N96" s="1032"/>
      <c r="O96" s="1032"/>
      <c r="P96" s="1032"/>
      <c r="Q96" s="1032">
        <f t="shared" si="39"/>
        <v>0</v>
      </c>
      <c r="R96" s="1033"/>
      <c r="S96" s="1033"/>
      <c r="T96" s="1033"/>
      <c r="U96" s="1033"/>
      <c r="V96" s="1360"/>
      <c r="W96" s="1034">
        <f t="shared" si="40"/>
        <v>0</v>
      </c>
      <c r="X96" s="1034">
        <v>682678.83763979434</v>
      </c>
      <c r="Y96" s="1033">
        <v>365882.61236020556</v>
      </c>
      <c r="Z96" s="1033">
        <v>192336.97</v>
      </c>
      <c r="AA96" s="1033">
        <v>113199.62</v>
      </c>
      <c r="AB96" s="1360">
        <v>0</v>
      </c>
      <c r="AC96" s="1034">
        <f t="shared" si="41"/>
        <v>1354098.04</v>
      </c>
      <c r="AD96" s="1034">
        <v>120861.97</v>
      </c>
      <c r="AE96" s="1033">
        <v>0</v>
      </c>
      <c r="AF96" s="1033">
        <v>233922.68</v>
      </c>
      <c r="AG96" s="1033">
        <v>-1.07</v>
      </c>
      <c r="AH96" s="1360">
        <v>0</v>
      </c>
      <c r="AI96" s="1034">
        <f t="shared" si="42"/>
        <v>354783.58</v>
      </c>
      <c r="AJ96" s="1034"/>
      <c r="AK96" s="1033"/>
      <c r="AL96" s="1033"/>
      <c r="AM96" s="1033"/>
      <c r="AN96" s="1360"/>
      <c r="AO96" s="1034">
        <f t="shared" si="43"/>
        <v>0</v>
      </c>
    </row>
    <row r="97" spans="1:41" ht="15" customHeight="1" x14ac:dyDescent="0.25">
      <c r="A97" s="711" t="s">
        <v>242</v>
      </c>
      <c r="B97" s="710" t="s">
        <v>243</v>
      </c>
      <c r="C97" s="914" t="s">
        <v>268</v>
      </c>
      <c r="D97" s="1029">
        <f t="shared" si="33"/>
        <v>2447697.1950372257</v>
      </c>
      <c r="E97" s="1030">
        <f t="shared" si="34"/>
        <v>1295463.1049627743</v>
      </c>
      <c r="F97" s="1031">
        <f t="shared" si="35"/>
        <v>727559.03</v>
      </c>
      <c r="G97" s="1367">
        <f t="shared" si="36"/>
        <v>17851.78</v>
      </c>
      <c r="H97" s="1369">
        <f t="shared" si="37"/>
        <v>0</v>
      </c>
      <c r="I97" s="1369">
        <f t="shared" si="38"/>
        <v>4488571.1099999994</v>
      </c>
      <c r="J97" s="1370">
        <f t="shared" si="31"/>
        <v>17851.78</v>
      </c>
      <c r="K97" s="1365">
        <f t="shared" si="32"/>
        <v>745410.81</v>
      </c>
      <c r="L97" s="1032"/>
      <c r="M97" s="1032"/>
      <c r="N97" s="1032"/>
      <c r="O97" s="1032"/>
      <c r="P97" s="1032"/>
      <c r="Q97" s="1032">
        <f t="shared" si="39"/>
        <v>0</v>
      </c>
      <c r="R97" s="1033">
        <v>376.75</v>
      </c>
      <c r="S97" s="1033">
        <v>120.96</v>
      </c>
      <c r="T97" s="1033">
        <v>0</v>
      </c>
      <c r="U97" s="1033">
        <v>0</v>
      </c>
      <c r="V97" s="1360">
        <v>0</v>
      </c>
      <c r="W97" s="1034">
        <f t="shared" si="40"/>
        <v>497.71</v>
      </c>
      <c r="X97" s="1034">
        <v>2424146.3650372257</v>
      </c>
      <c r="Y97" s="1033">
        <v>1295342.1449627744</v>
      </c>
      <c r="Z97" s="1033">
        <v>682270.17</v>
      </c>
      <c r="AA97" s="1033">
        <v>17852.349999999999</v>
      </c>
      <c r="AB97" s="1360">
        <v>0</v>
      </c>
      <c r="AC97" s="1034">
        <f t="shared" si="41"/>
        <v>4419611.0299999993</v>
      </c>
      <c r="AD97" s="1034">
        <v>23174.080000000002</v>
      </c>
      <c r="AE97" s="1033">
        <v>0</v>
      </c>
      <c r="AF97" s="1033">
        <v>45288.86</v>
      </c>
      <c r="AG97" s="1033">
        <v>-0.56999999999999995</v>
      </c>
      <c r="AH97" s="1360">
        <v>0</v>
      </c>
      <c r="AI97" s="1034">
        <f t="shared" si="42"/>
        <v>68462.37</v>
      </c>
      <c r="AJ97" s="1034"/>
      <c r="AK97" s="1033"/>
      <c r="AL97" s="1033"/>
      <c r="AM97" s="1033"/>
      <c r="AN97" s="1360"/>
      <c r="AO97" s="1034">
        <f t="shared" si="43"/>
        <v>0</v>
      </c>
    </row>
    <row r="98" spans="1:41" ht="15" customHeight="1" x14ac:dyDescent="0.25">
      <c r="A98" s="711" t="s">
        <v>244</v>
      </c>
      <c r="B98" s="710" t="s">
        <v>245</v>
      </c>
      <c r="C98" s="914" t="s">
        <v>268</v>
      </c>
      <c r="D98" s="1029">
        <f t="shared" si="33"/>
        <v>1377986.5811999226</v>
      </c>
      <c r="E98" s="1030">
        <f t="shared" si="34"/>
        <v>625115.21880007756</v>
      </c>
      <c r="F98" s="1031">
        <f t="shared" si="35"/>
        <v>735561.64</v>
      </c>
      <c r="G98" s="1367">
        <f t="shared" si="36"/>
        <v>27109.21</v>
      </c>
      <c r="H98" s="1369">
        <f t="shared" si="37"/>
        <v>0</v>
      </c>
      <c r="I98" s="1369">
        <f t="shared" si="38"/>
        <v>2765772.6500000004</v>
      </c>
      <c r="J98" s="1370">
        <f t="shared" si="31"/>
        <v>27109.21</v>
      </c>
      <c r="K98" s="1365">
        <f t="shared" si="32"/>
        <v>762670.85</v>
      </c>
      <c r="L98" s="1032"/>
      <c r="M98" s="1032"/>
      <c r="N98" s="1032"/>
      <c r="O98" s="1032"/>
      <c r="P98" s="1032"/>
      <c r="Q98" s="1032">
        <f t="shared" si="39"/>
        <v>0</v>
      </c>
      <c r="R98" s="1033">
        <v>1513.78</v>
      </c>
      <c r="S98" s="1033">
        <v>486.22</v>
      </c>
      <c r="T98" s="1033">
        <v>0</v>
      </c>
      <c r="U98" s="1033">
        <v>0</v>
      </c>
      <c r="V98" s="1360">
        <v>0</v>
      </c>
      <c r="W98" s="1034">
        <f t="shared" si="40"/>
        <v>2000</v>
      </c>
      <c r="X98" s="1034">
        <v>1168047.3211999226</v>
      </c>
      <c r="Y98" s="1033">
        <v>624628.99880007759</v>
      </c>
      <c r="Z98" s="1033">
        <v>328829.40000000002</v>
      </c>
      <c r="AA98" s="1033">
        <v>27109.68</v>
      </c>
      <c r="AB98" s="1360">
        <v>0</v>
      </c>
      <c r="AC98" s="1034">
        <f t="shared" si="41"/>
        <v>2148615.4000000004</v>
      </c>
      <c r="AD98" s="1034">
        <v>208425.48</v>
      </c>
      <c r="AE98" s="1033">
        <v>0</v>
      </c>
      <c r="AF98" s="1033">
        <v>406732.24</v>
      </c>
      <c r="AG98" s="1033">
        <v>-0.47</v>
      </c>
      <c r="AH98" s="1360">
        <v>0</v>
      </c>
      <c r="AI98" s="1034">
        <f t="shared" si="42"/>
        <v>615157.25</v>
      </c>
      <c r="AJ98" s="1034"/>
      <c r="AK98" s="1033"/>
      <c r="AL98" s="1033"/>
      <c r="AM98" s="1033"/>
      <c r="AN98" s="1360"/>
      <c r="AO98" s="1034">
        <f t="shared" si="43"/>
        <v>0</v>
      </c>
    </row>
    <row r="99" spans="1:41" ht="15" customHeight="1" x14ac:dyDescent="0.25">
      <c r="A99" s="711" t="s">
        <v>246</v>
      </c>
      <c r="B99" s="710" t="s">
        <v>310</v>
      </c>
      <c r="C99" s="914" t="s">
        <v>264</v>
      </c>
      <c r="D99" s="1029">
        <f t="shared" si="33"/>
        <v>2009727.8695132853</v>
      </c>
      <c r="E99" s="1030">
        <f t="shared" si="34"/>
        <v>712371.37048671453</v>
      </c>
      <c r="F99" s="1031">
        <f t="shared" si="35"/>
        <v>1733062.7</v>
      </c>
      <c r="G99" s="1367">
        <f t="shared" si="36"/>
        <v>45884.29</v>
      </c>
      <c r="H99" s="1369">
        <f t="shared" si="37"/>
        <v>0</v>
      </c>
      <c r="I99" s="1369">
        <f t="shared" si="38"/>
        <v>4501046.2300000004</v>
      </c>
      <c r="J99" s="1370">
        <f t="shared" si="31"/>
        <v>45884.29</v>
      </c>
      <c r="K99" s="1365">
        <f t="shared" si="32"/>
        <v>1778946.99</v>
      </c>
      <c r="L99" s="1032"/>
      <c r="M99" s="1032"/>
      <c r="N99" s="1032"/>
      <c r="O99" s="1032"/>
      <c r="P99" s="1032"/>
      <c r="Q99" s="1032">
        <f t="shared" si="39"/>
        <v>0</v>
      </c>
      <c r="R99" s="1033"/>
      <c r="S99" s="1033"/>
      <c r="T99" s="1033"/>
      <c r="U99" s="1033"/>
      <c r="V99" s="1360"/>
      <c r="W99" s="1034">
        <f t="shared" si="40"/>
        <v>0</v>
      </c>
      <c r="X99" s="1034">
        <v>1304446.2795132855</v>
      </c>
      <c r="Y99" s="1033">
        <v>712371.37048671453</v>
      </c>
      <c r="Z99" s="1033">
        <v>369946.98</v>
      </c>
      <c r="AA99" s="1033">
        <v>43363.35</v>
      </c>
      <c r="AB99" s="1360">
        <v>0</v>
      </c>
      <c r="AC99" s="1034">
        <f t="shared" si="41"/>
        <v>2430127.98</v>
      </c>
      <c r="AD99" s="1034">
        <v>705281.59</v>
      </c>
      <c r="AE99" s="1033">
        <v>0</v>
      </c>
      <c r="AF99" s="1033">
        <v>1363115.72</v>
      </c>
      <c r="AG99" s="1033">
        <v>2520.94</v>
      </c>
      <c r="AH99" s="1360">
        <v>0</v>
      </c>
      <c r="AI99" s="1034">
        <f t="shared" si="42"/>
        <v>2070918.25</v>
      </c>
      <c r="AJ99" s="1034"/>
      <c r="AK99" s="1033"/>
      <c r="AL99" s="1033"/>
      <c r="AM99" s="1033"/>
      <c r="AN99" s="1360"/>
      <c r="AO99" s="1034">
        <f t="shared" si="43"/>
        <v>0</v>
      </c>
    </row>
    <row r="100" spans="1:41" ht="15" customHeight="1" x14ac:dyDescent="0.25">
      <c r="A100" s="711" t="s">
        <v>14</v>
      </c>
      <c r="B100" s="710" t="s">
        <v>15</v>
      </c>
      <c r="C100" s="914" t="s">
        <v>267</v>
      </c>
      <c r="D100" s="1029">
        <f t="shared" si="33"/>
        <v>7721744.0222151708</v>
      </c>
      <c r="E100" s="1030">
        <f t="shared" si="34"/>
        <v>2321465.2577848295</v>
      </c>
      <c r="F100" s="1031">
        <f t="shared" si="35"/>
        <v>7914687.6600000001</v>
      </c>
      <c r="G100" s="1367">
        <f t="shared" si="36"/>
        <v>138683.78</v>
      </c>
      <c r="H100" s="1369">
        <f t="shared" si="37"/>
        <v>0</v>
      </c>
      <c r="I100" s="1369">
        <f t="shared" si="38"/>
        <v>18096580.719999999</v>
      </c>
      <c r="J100" s="1370">
        <f t="shared" ref="J100:J124" si="44">G100+H100</f>
        <v>138683.78</v>
      </c>
      <c r="K100" s="1365">
        <f t="shared" ref="K100:K124" si="45">F100+J100</f>
        <v>8053371.4400000004</v>
      </c>
      <c r="L100" s="1032">
        <v>27754.92</v>
      </c>
      <c r="M100" s="1032">
        <v>0</v>
      </c>
      <c r="N100" s="1032">
        <v>9118.8700000000008</v>
      </c>
      <c r="O100" s="1032">
        <v>-0.22</v>
      </c>
      <c r="P100" s="1032">
        <v>0</v>
      </c>
      <c r="Q100" s="1032">
        <f t="shared" si="39"/>
        <v>36873.57</v>
      </c>
      <c r="R100" s="1033">
        <v>12943.31</v>
      </c>
      <c r="S100" s="1033">
        <v>4215.1499999999996</v>
      </c>
      <c r="T100" s="1033">
        <v>0</v>
      </c>
      <c r="U100" s="1033">
        <v>-0.01</v>
      </c>
      <c r="V100" s="1360">
        <v>0</v>
      </c>
      <c r="W100" s="1034">
        <f t="shared" si="40"/>
        <v>17158.45</v>
      </c>
      <c r="X100" s="1034">
        <v>4224114.5322151706</v>
      </c>
      <c r="Y100" s="1033">
        <v>2317250.1077848296</v>
      </c>
      <c r="Z100" s="1033">
        <v>1199893.3799999999</v>
      </c>
      <c r="AA100" s="1033">
        <v>59741.09</v>
      </c>
      <c r="AB100" s="1360">
        <v>0</v>
      </c>
      <c r="AC100" s="1034">
        <f t="shared" si="41"/>
        <v>7800999.1100000003</v>
      </c>
      <c r="AD100" s="1034">
        <v>3456931.26</v>
      </c>
      <c r="AE100" s="1033">
        <v>0</v>
      </c>
      <c r="AF100" s="1033">
        <v>6705675.4100000001</v>
      </c>
      <c r="AG100" s="1033">
        <v>78942.92</v>
      </c>
      <c r="AH100" s="1360">
        <v>0</v>
      </c>
      <c r="AI100" s="1034">
        <f t="shared" si="42"/>
        <v>10241549.59</v>
      </c>
      <c r="AJ100" s="1034"/>
      <c r="AK100" s="1033"/>
      <c r="AL100" s="1033"/>
      <c r="AM100" s="1033"/>
      <c r="AN100" s="1360"/>
      <c r="AO100" s="1034">
        <f t="shared" si="43"/>
        <v>0</v>
      </c>
    </row>
    <row r="101" spans="1:41" ht="15" customHeight="1" x14ac:dyDescent="0.25">
      <c r="A101" s="711" t="s">
        <v>34</v>
      </c>
      <c r="B101" s="710" t="s">
        <v>35</v>
      </c>
      <c r="C101" s="914" t="s">
        <v>268</v>
      </c>
      <c r="D101" s="1029">
        <f t="shared" ref="D101:D124" si="46">L101+R101+X101+AD101+AJ101</f>
        <v>1334967.578669695</v>
      </c>
      <c r="E101" s="1030">
        <f t="shared" ref="E101:E124" si="47">M101+S101+Y101+AE101+AK101</f>
        <v>666118.5813303052</v>
      </c>
      <c r="F101" s="1031">
        <f t="shared" ref="F101:F124" si="48">N101+T101+Z101+AF101+AL101</f>
        <v>493371.8</v>
      </c>
      <c r="G101" s="1367">
        <f t="shared" ref="G101:G124" si="49">O101+U101+AA101+AG101+AM101</f>
        <v>26049.64</v>
      </c>
      <c r="H101" s="1369">
        <f t="shared" ref="H101:H124" si="50">P101+V101+AB101+AH101+AN101</f>
        <v>0</v>
      </c>
      <c r="I101" s="1369">
        <f t="shared" ref="I101:I124" si="51">Q101+W101+AC101+AI101+AO101</f>
        <v>2520507.5999999996</v>
      </c>
      <c r="J101" s="1370">
        <f t="shared" si="44"/>
        <v>26049.64</v>
      </c>
      <c r="K101" s="1365">
        <f t="shared" si="45"/>
        <v>519421.44</v>
      </c>
      <c r="L101" s="1032"/>
      <c r="M101" s="1032"/>
      <c r="N101" s="1032"/>
      <c r="O101" s="1032"/>
      <c r="P101" s="1032"/>
      <c r="Q101" s="1032">
        <f t="shared" ref="Q101:Q124" si="52">SUM(L101:P101)</f>
        <v>0</v>
      </c>
      <c r="R101" s="1033">
        <v>1509.11</v>
      </c>
      <c r="S101" s="1033">
        <v>490.89</v>
      </c>
      <c r="T101" s="1033">
        <v>0</v>
      </c>
      <c r="U101" s="1033">
        <v>0</v>
      </c>
      <c r="V101" s="1360">
        <v>0</v>
      </c>
      <c r="W101" s="1034">
        <f t="shared" ref="W101:W124" si="53">SUM(R101:V101)</f>
        <v>2000</v>
      </c>
      <c r="X101" s="1034">
        <v>1245503.9786696949</v>
      </c>
      <c r="Y101" s="1033">
        <v>665627.69133030518</v>
      </c>
      <c r="Z101" s="1033">
        <v>350558.49</v>
      </c>
      <c r="AA101" s="1033">
        <v>26050.3</v>
      </c>
      <c r="AB101" s="1360">
        <v>0</v>
      </c>
      <c r="AC101" s="1034">
        <f t="shared" ref="AC101:AC124" si="54">SUM(X101:AB101)</f>
        <v>2287740.46</v>
      </c>
      <c r="AD101" s="1034">
        <v>72764.73</v>
      </c>
      <c r="AE101" s="1033">
        <v>0</v>
      </c>
      <c r="AF101" s="1033">
        <v>142813.31</v>
      </c>
      <c r="AG101" s="1033">
        <v>-0.66</v>
      </c>
      <c r="AH101" s="1360">
        <v>0</v>
      </c>
      <c r="AI101" s="1034">
        <f t="shared" ref="AI101:AI124" si="55">SUM(AD101:AH101)</f>
        <v>215577.37999999998</v>
      </c>
      <c r="AJ101" s="1034">
        <v>15189.76</v>
      </c>
      <c r="AK101" s="1033"/>
      <c r="AL101" s="1033"/>
      <c r="AM101" s="1033"/>
      <c r="AN101" s="1360"/>
      <c r="AO101" s="1034">
        <f t="shared" ref="AO101:AO124" si="56">SUM(AJ101:AN101)</f>
        <v>15189.76</v>
      </c>
    </row>
    <row r="102" spans="1:41" ht="15" customHeight="1" x14ac:dyDescent="0.25">
      <c r="A102" s="711" t="s">
        <v>52</v>
      </c>
      <c r="B102" s="710" t="s">
        <v>53</v>
      </c>
      <c r="C102" s="914" t="s">
        <v>265</v>
      </c>
      <c r="D102" s="1029">
        <f t="shared" si="46"/>
        <v>3649463.7375890259</v>
      </c>
      <c r="E102" s="1030">
        <f t="shared" si="47"/>
        <v>1341782.382410974</v>
      </c>
      <c r="F102" s="1031">
        <f t="shared" si="48"/>
        <v>2925926.68</v>
      </c>
      <c r="G102" s="1367">
        <f t="shared" si="49"/>
        <v>25661.82</v>
      </c>
      <c r="H102" s="1369">
        <f t="shared" si="50"/>
        <v>0</v>
      </c>
      <c r="I102" s="1369">
        <f t="shared" si="51"/>
        <v>7942834.620000001</v>
      </c>
      <c r="J102" s="1370">
        <f t="shared" si="44"/>
        <v>25661.82</v>
      </c>
      <c r="K102" s="1365">
        <f t="shared" si="45"/>
        <v>2951588.5</v>
      </c>
      <c r="L102" s="1032"/>
      <c r="M102" s="1032"/>
      <c r="N102" s="1032"/>
      <c r="O102" s="1032"/>
      <c r="P102" s="1032"/>
      <c r="Q102" s="1032">
        <f t="shared" si="52"/>
        <v>0</v>
      </c>
      <c r="R102" s="1033">
        <v>10275.459999999999</v>
      </c>
      <c r="S102" s="1033">
        <v>3300.31</v>
      </c>
      <c r="T102" s="1033">
        <v>0</v>
      </c>
      <c r="U102" s="1033">
        <v>-0.02</v>
      </c>
      <c r="V102" s="1360">
        <v>0</v>
      </c>
      <c r="W102" s="1034">
        <f t="shared" si="53"/>
        <v>13575.749999999998</v>
      </c>
      <c r="X102" s="1034">
        <v>2492175.3475890262</v>
      </c>
      <c r="Y102" s="1033">
        <v>1338482.072410974</v>
      </c>
      <c r="Z102" s="1033">
        <v>702662.98</v>
      </c>
      <c r="AA102" s="1033">
        <v>25628.98</v>
      </c>
      <c r="AB102" s="1360">
        <v>0</v>
      </c>
      <c r="AC102" s="1034">
        <f t="shared" si="54"/>
        <v>4558949.3800000008</v>
      </c>
      <c r="AD102" s="1034">
        <v>1144015.51</v>
      </c>
      <c r="AE102" s="1033">
        <v>0</v>
      </c>
      <c r="AF102" s="1033">
        <v>2223263.7000000002</v>
      </c>
      <c r="AG102" s="1033">
        <v>32.86</v>
      </c>
      <c r="AH102" s="1360">
        <v>0</v>
      </c>
      <c r="AI102" s="1034">
        <f t="shared" si="55"/>
        <v>3367312.07</v>
      </c>
      <c r="AJ102" s="1034">
        <v>2997.42</v>
      </c>
      <c r="AK102" s="1033"/>
      <c r="AL102" s="1033"/>
      <c r="AM102" s="1033"/>
      <c r="AN102" s="1360"/>
      <c r="AO102" s="1034">
        <f t="shared" si="56"/>
        <v>2997.42</v>
      </c>
    </row>
    <row r="103" spans="1:41" ht="15" customHeight="1" x14ac:dyDescent="0.25">
      <c r="A103" s="711" t="s">
        <v>54</v>
      </c>
      <c r="B103" s="710" t="s">
        <v>55</v>
      </c>
      <c r="C103" s="914" t="s">
        <v>264</v>
      </c>
      <c r="D103" s="1029">
        <f t="shared" si="46"/>
        <v>7099806.8471209481</v>
      </c>
      <c r="E103" s="1030">
        <f t="shared" si="47"/>
        <v>2906775.0928790518</v>
      </c>
      <c r="F103" s="1031">
        <f t="shared" si="48"/>
        <v>4736395.9000000004</v>
      </c>
      <c r="G103" s="1367">
        <f t="shared" si="49"/>
        <v>481514.02</v>
      </c>
      <c r="H103" s="1369">
        <f t="shared" si="50"/>
        <v>0</v>
      </c>
      <c r="I103" s="1369">
        <f t="shared" si="51"/>
        <v>15224491.859999999</v>
      </c>
      <c r="J103" s="1370">
        <f t="shared" si="44"/>
        <v>481514.02</v>
      </c>
      <c r="K103" s="1365">
        <f t="shared" si="45"/>
        <v>5217909.92</v>
      </c>
      <c r="L103" s="1032">
        <v>19803.71</v>
      </c>
      <c r="M103" s="1032">
        <v>0</v>
      </c>
      <c r="N103" s="1032">
        <v>6360.9</v>
      </c>
      <c r="O103" s="1032">
        <v>-0.04</v>
      </c>
      <c r="P103" s="1032">
        <v>0</v>
      </c>
      <c r="Q103" s="1032">
        <f t="shared" si="52"/>
        <v>26164.57</v>
      </c>
      <c r="R103" s="1033">
        <v>33730.639999999999</v>
      </c>
      <c r="S103" s="1033">
        <v>11065.74</v>
      </c>
      <c r="T103" s="1033">
        <v>0</v>
      </c>
      <c r="U103" s="1033">
        <v>-0.02</v>
      </c>
      <c r="V103" s="1360">
        <v>0</v>
      </c>
      <c r="W103" s="1034">
        <f t="shared" si="53"/>
        <v>44796.36</v>
      </c>
      <c r="X103" s="1034">
        <v>5385983.8471209491</v>
      </c>
      <c r="Y103" s="1033">
        <v>2895709.3528790516</v>
      </c>
      <c r="Z103" s="1033">
        <v>1519125.04</v>
      </c>
      <c r="AA103" s="1033">
        <v>230443.12</v>
      </c>
      <c r="AB103" s="1360">
        <v>0</v>
      </c>
      <c r="AC103" s="1034">
        <f t="shared" si="54"/>
        <v>10031261.360000001</v>
      </c>
      <c r="AD103" s="1034">
        <v>1660288.65</v>
      </c>
      <c r="AE103" s="1033">
        <v>0</v>
      </c>
      <c r="AF103" s="1033">
        <v>3210909.96</v>
      </c>
      <c r="AG103" s="1033">
        <v>251070.96</v>
      </c>
      <c r="AH103" s="1360">
        <v>0</v>
      </c>
      <c r="AI103" s="1034">
        <f t="shared" si="55"/>
        <v>5122269.5699999994</v>
      </c>
      <c r="AJ103" s="1034"/>
      <c r="AK103" s="1033"/>
      <c r="AL103" s="1033"/>
      <c r="AM103" s="1033"/>
      <c r="AN103" s="1360"/>
      <c r="AO103" s="1034">
        <f t="shared" si="56"/>
        <v>0</v>
      </c>
    </row>
    <row r="104" spans="1:41" ht="15" customHeight="1" x14ac:dyDescent="0.25">
      <c r="A104" s="711" t="s">
        <v>66</v>
      </c>
      <c r="B104" s="710" t="s">
        <v>67</v>
      </c>
      <c r="C104" s="914" t="s">
        <v>265</v>
      </c>
      <c r="D104" s="1029">
        <f t="shared" si="46"/>
        <v>2758902.699416385</v>
      </c>
      <c r="E104" s="1030">
        <f t="shared" si="47"/>
        <v>1391965.5505836147</v>
      </c>
      <c r="F104" s="1031">
        <f t="shared" si="48"/>
        <v>1009595.69</v>
      </c>
      <c r="G104" s="1367">
        <f t="shared" si="49"/>
        <v>5369.1399999999994</v>
      </c>
      <c r="H104" s="1369">
        <f t="shared" si="50"/>
        <v>0</v>
      </c>
      <c r="I104" s="1369">
        <f t="shared" si="51"/>
        <v>5165833.08</v>
      </c>
      <c r="J104" s="1370">
        <f t="shared" si="44"/>
        <v>5369.1399999999994</v>
      </c>
      <c r="K104" s="1365">
        <f t="shared" si="45"/>
        <v>1014964.83</v>
      </c>
      <c r="L104" s="1032"/>
      <c r="M104" s="1032"/>
      <c r="N104" s="1032"/>
      <c r="O104" s="1032"/>
      <c r="P104" s="1032"/>
      <c r="Q104" s="1032">
        <f t="shared" si="52"/>
        <v>0</v>
      </c>
      <c r="R104" s="1033">
        <v>14319.26</v>
      </c>
      <c r="S104" s="1033">
        <v>4599.29</v>
      </c>
      <c r="T104" s="1033">
        <v>0</v>
      </c>
      <c r="U104" s="1033">
        <v>-0.01</v>
      </c>
      <c r="V104" s="1360">
        <v>0</v>
      </c>
      <c r="W104" s="1034">
        <f t="shared" si="53"/>
        <v>18918.54</v>
      </c>
      <c r="X104" s="1034">
        <v>2590174.6694163852</v>
      </c>
      <c r="Y104" s="1033">
        <v>1387366.2605836147</v>
      </c>
      <c r="Z104" s="1033">
        <v>729605.32</v>
      </c>
      <c r="AA104" s="1033">
        <v>5369.49</v>
      </c>
      <c r="AB104" s="1360">
        <v>0</v>
      </c>
      <c r="AC104" s="1034">
        <f t="shared" si="54"/>
        <v>4712515.74</v>
      </c>
      <c r="AD104" s="1034">
        <v>144788.22</v>
      </c>
      <c r="AE104" s="1033">
        <v>0</v>
      </c>
      <c r="AF104" s="1033">
        <v>279990.37</v>
      </c>
      <c r="AG104" s="1033">
        <v>-0.34</v>
      </c>
      <c r="AH104" s="1360">
        <v>0</v>
      </c>
      <c r="AI104" s="1034">
        <f t="shared" si="55"/>
        <v>424778.24999999994</v>
      </c>
      <c r="AJ104" s="1034">
        <v>9620.5499999999993</v>
      </c>
      <c r="AK104" s="1033"/>
      <c r="AL104" s="1033"/>
      <c r="AM104" s="1033"/>
      <c r="AN104" s="1360"/>
      <c r="AO104" s="1034">
        <f t="shared" si="56"/>
        <v>9620.5499999999993</v>
      </c>
    </row>
    <row r="105" spans="1:41" ht="15" customHeight="1" x14ac:dyDescent="0.25">
      <c r="A105" s="711" t="s">
        <v>82</v>
      </c>
      <c r="B105" s="710" t="s">
        <v>311</v>
      </c>
      <c r="C105" s="914" t="s">
        <v>264</v>
      </c>
      <c r="D105" s="1029">
        <f t="shared" si="46"/>
        <v>712645.11152353405</v>
      </c>
      <c r="E105" s="1030">
        <f t="shared" si="47"/>
        <v>315767.92847646604</v>
      </c>
      <c r="F105" s="1031">
        <f t="shared" si="48"/>
        <v>408494.76</v>
      </c>
      <c r="G105" s="1367">
        <f t="shared" si="49"/>
        <v>17304.34</v>
      </c>
      <c r="H105" s="1369">
        <f t="shared" si="50"/>
        <v>0</v>
      </c>
      <c r="I105" s="1369">
        <f t="shared" si="51"/>
        <v>1454212.14</v>
      </c>
      <c r="J105" s="1370">
        <f t="shared" si="44"/>
        <v>17304.34</v>
      </c>
      <c r="K105" s="1365">
        <f t="shared" si="45"/>
        <v>425799.10000000003</v>
      </c>
      <c r="L105" s="1032"/>
      <c r="M105" s="1032"/>
      <c r="N105" s="1032"/>
      <c r="O105" s="1032"/>
      <c r="P105" s="1032"/>
      <c r="Q105" s="1032">
        <f t="shared" si="52"/>
        <v>0</v>
      </c>
      <c r="R105" s="1033">
        <v>1616.06</v>
      </c>
      <c r="S105" s="1033">
        <v>518.94000000000005</v>
      </c>
      <c r="T105" s="1033">
        <v>0</v>
      </c>
      <c r="U105" s="1033">
        <v>0</v>
      </c>
      <c r="V105" s="1360">
        <v>0</v>
      </c>
      <c r="W105" s="1034">
        <f t="shared" si="53"/>
        <v>2135</v>
      </c>
      <c r="X105" s="1034">
        <v>585259.19152353401</v>
      </c>
      <c r="Y105" s="1033">
        <v>315248.98847646604</v>
      </c>
      <c r="Z105" s="1033">
        <v>165180.06</v>
      </c>
      <c r="AA105" s="1033">
        <v>11721.63</v>
      </c>
      <c r="AB105" s="1360">
        <v>0</v>
      </c>
      <c r="AC105" s="1034">
        <f t="shared" si="54"/>
        <v>1077409.8699999999</v>
      </c>
      <c r="AD105" s="1034">
        <v>125769.86</v>
      </c>
      <c r="AE105" s="1033">
        <v>0</v>
      </c>
      <c r="AF105" s="1033">
        <v>243314.7</v>
      </c>
      <c r="AG105" s="1033">
        <v>5582.71</v>
      </c>
      <c r="AH105" s="1360">
        <v>0</v>
      </c>
      <c r="AI105" s="1034">
        <f t="shared" si="55"/>
        <v>374667.27</v>
      </c>
      <c r="AJ105" s="1034"/>
      <c r="AK105" s="1033"/>
      <c r="AL105" s="1033"/>
      <c r="AM105" s="1033"/>
      <c r="AN105" s="1360"/>
      <c r="AO105" s="1034">
        <f t="shared" si="56"/>
        <v>0</v>
      </c>
    </row>
    <row r="106" spans="1:41" ht="15" customHeight="1" x14ac:dyDescent="0.25">
      <c r="A106" s="711" t="s">
        <v>88</v>
      </c>
      <c r="B106" s="710" t="s">
        <v>89</v>
      </c>
      <c r="C106" s="914" t="s">
        <v>267</v>
      </c>
      <c r="D106" s="1029">
        <f t="shared" si="46"/>
        <v>1423947.4935893775</v>
      </c>
      <c r="E106" s="1030">
        <f t="shared" si="47"/>
        <v>537034.98641062237</v>
      </c>
      <c r="F106" s="1031">
        <f t="shared" si="48"/>
        <v>1034104.91</v>
      </c>
      <c r="G106" s="1367">
        <f t="shared" si="49"/>
        <v>15321.619999999999</v>
      </c>
      <c r="H106" s="1369">
        <f t="shared" si="50"/>
        <v>0</v>
      </c>
      <c r="I106" s="1369">
        <f t="shared" si="51"/>
        <v>3010409.01</v>
      </c>
      <c r="J106" s="1370">
        <f t="shared" si="44"/>
        <v>15321.619999999999</v>
      </c>
      <c r="K106" s="1365">
        <f t="shared" si="45"/>
        <v>1049426.53</v>
      </c>
      <c r="L106" s="1032">
        <v>48644.27</v>
      </c>
      <c r="M106" s="1032">
        <v>0</v>
      </c>
      <c r="N106" s="1032">
        <v>15945.76</v>
      </c>
      <c r="O106" s="1032">
        <v>-0.23</v>
      </c>
      <c r="P106" s="1032">
        <v>0</v>
      </c>
      <c r="Q106" s="1032">
        <f t="shared" si="52"/>
        <v>64589.799999999996</v>
      </c>
      <c r="R106" s="1033"/>
      <c r="S106" s="1033"/>
      <c r="T106" s="1033"/>
      <c r="U106" s="1033"/>
      <c r="V106" s="1360"/>
      <c r="W106" s="1034">
        <f t="shared" si="53"/>
        <v>0</v>
      </c>
      <c r="X106" s="1034">
        <v>994085.50358937762</v>
      </c>
      <c r="Y106" s="1033">
        <v>537034.98641062237</v>
      </c>
      <c r="Z106" s="1033">
        <v>280854.27</v>
      </c>
      <c r="AA106" s="1033">
        <v>3405.22</v>
      </c>
      <c r="AB106" s="1360">
        <v>0</v>
      </c>
      <c r="AC106" s="1034">
        <f t="shared" si="54"/>
        <v>1815379.98</v>
      </c>
      <c r="AD106" s="1034">
        <v>381217.72</v>
      </c>
      <c r="AE106" s="1033">
        <v>0</v>
      </c>
      <c r="AF106" s="1033">
        <v>737304.88</v>
      </c>
      <c r="AG106" s="1033">
        <v>11916.63</v>
      </c>
      <c r="AH106" s="1360">
        <v>0</v>
      </c>
      <c r="AI106" s="1034">
        <f t="shared" si="55"/>
        <v>1130439.23</v>
      </c>
      <c r="AJ106" s="1034"/>
      <c r="AK106" s="1033"/>
      <c r="AL106" s="1033"/>
      <c r="AM106" s="1033"/>
      <c r="AN106" s="1360"/>
      <c r="AO106" s="1034">
        <f t="shared" si="56"/>
        <v>0</v>
      </c>
    </row>
    <row r="107" spans="1:41" ht="15" customHeight="1" x14ac:dyDescent="0.25">
      <c r="A107" s="711" t="s">
        <v>90</v>
      </c>
      <c r="B107" s="710" t="s">
        <v>91</v>
      </c>
      <c r="C107" s="914" t="s">
        <v>268</v>
      </c>
      <c r="D107" s="1029">
        <f t="shared" si="46"/>
        <v>447930.23659764457</v>
      </c>
      <c r="E107" s="1030">
        <f t="shared" si="47"/>
        <v>235457.2934023554</v>
      </c>
      <c r="F107" s="1031">
        <f t="shared" si="48"/>
        <v>136357.32</v>
      </c>
      <c r="G107" s="1367">
        <f t="shared" si="49"/>
        <v>24107.25</v>
      </c>
      <c r="H107" s="1369">
        <f t="shared" si="50"/>
        <v>0</v>
      </c>
      <c r="I107" s="1369">
        <f t="shared" si="51"/>
        <v>843852.1</v>
      </c>
      <c r="J107" s="1370">
        <f t="shared" si="44"/>
        <v>24107.25</v>
      </c>
      <c r="K107" s="1365">
        <f t="shared" si="45"/>
        <v>160464.57</v>
      </c>
      <c r="L107" s="1032"/>
      <c r="M107" s="1032"/>
      <c r="N107" s="1032"/>
      <c r="O107" s="1032"/>
      <c r="P107" s="1032"/>
      <c r="Q107" s="1032">
        <f t="shared" si="52"/>
        <v>0</v>
      </c>
      <c r="R107" s="1033"/>
      <c r="S107" s="1033"/>
      <c r="T107" s="1033"/>
      <c r="U107" s="1033"/>
      <c r="V107" s="1360"/>
      <c r="W107" s="1034">
        <f t="shared" si="53"/>
        <v>0</v>
      </c>
      <c r="X107" s="1034">
        <v>441649.15659764456</v>
      </c>
      <c r="Y107" s="1033">
        <v>235457.2934023554</v>
      </c>
      <c r="Z107" s="1033">
        <v>124200.72</v>
      </c>
      <c r="AA107" s="1033">
        <v>24107.5</v>
      </c>
      <c r="AB107" s="1360">
        <v>0</v>
      </c>
      <c r="AC107" s="1034">
        <f t="shared" si="54"/>
        <v>825414.66999999993</v>
      </c>
      <c r="AD107" s="1034">
        <v>6281.08</v>
      </c>
      <c r="AE107" s="1033">
        <v>0</v>
      </c>
      <c r="AF107" s="1033">
        <v>12156.6</v>
      </c>
      <c r="AG107" s="1033">
        <v>-0.25</v>
      </c>
      <c r="AH107" s="1360">
        <v>0</v>
      </c>
      <c r="AI107" s="1034">
        <f t="shared" si="55"/>
        <v>18437.43</v>
      </c>
      <c r="AJ107" s="1034"/>
      <c r="AK107" s="1033"/>
      <c r="AL107" s="1033"/>
      <c r="AM107" s="1033"/>
      <c r="AN107" s="1360"/>
      <c r="AO107" s="1034">
        <f t="shared" si="56"/>
        <v>0</v>
      </c>
    </row>
    <row r="108" spans="1:41" ht="15" customHeight="1" x14ac:dyDescent="0.25">
      <c r="A108" s="711" t="s">
        <v>106</v>
      </c>
      <c r="B108" s="710" t="s">
        <v>107</v>
      </c>
      <c r="C108" s="914" t="s">
        <v>264</v>
      </c>
      <c r="D108" s="1029">
        <f t="shared" si="46"/>
        <v>6265178.6819846975</v>
      </c>
      <c r="E108" s="1030">
        <f t="shared" si="47"/>
        <v>3092250.4880153029</v>
      </c>
      <c r="F108" s="1031">
        <f t="shared" si="48"/>
        <v>2551854.46</v>
      </c>
      <c r="G108" s="1367">
        <f t="shared" si="49"/>
        <v>171962.89</v>
      </c>
      <c r="H108" s="1369">
        <f t="shared" si="50"/>
        <v>0</v>
      </c>
      <c r="I108" s="1369">
        <f t="shared" si="51"/>
        <v>12081246.52</v>
      </c>
      <c r="J108" s="1370">
        <f t="shared" si="44"/>
        <v>171962.89</v>
      </c>
      <c r="K108" s="1365">
        <f t="shared" si="45"/>
        <v>2723817.35</v>
      </c>
      <c r="L108" s="1032"/>
      <c r="M108" s="1032"/>
      <c r="N108" s="1032"/>
      <c r="O108" s="1032"/>
      <c r="P108" s="1032"/>
      <c r="Q108" s="1032">
        <f t="shared" si="52"/>
        <v>0</v>
      </c>
      <c r="R108" s="1033">
        <v>12136.96</v>
      </c>
      <c r="S108" s="1033">
        <v>4009.09</v>
      </c>
      <c r="T108" s="1033">
        <v>0</v>
      </c>
      <c r="U108" s="1033">
        <v>-0.02</v>
      </c>
      <c r="V108" s="1360">
        <v>0</v>
      </c>
      <c r="W108" s="1034">
        <f t="shared" si="53"/>
        <v>16146.029999999999</v>
      </c>
      <c r="X108" s="1034">
        <v>5774552.3219846971</v>
      </c>
      <c r="Y108" s="1033">
        <v>3088241.3980153031</v>
      </c>
      <c r="Z108" s="1033">
        <v>1625716.53</v>
      </c>
      <c r="AA108" s="1033">
        <v>131592.35</v>
      </c>
      <c r="AB108" s="1360">
        <v>0</v>
      </c>
      <c r="AC108" s="1034">
        <f t="shared" si="54"/>
        <v>10620102.6</v>
      </c>
      <c r="AD108" s="1034">
        <v>478489.4</v>
      </c>
      <c r="AE108" s="1033">
        <v>0</v>
      </c>
      <c r="AF108" s="1033">
        <v>926137.93</v>
      </c>
      <c r="AG108" s="1033">
        <v>40370.559999999998</v>
      </c>
      <c r="AH108" s="1360">
        <v>0</v>
      </c>
      <c r="AI108" s="1034">
        <f t="shared" si="55"/>
        <v>1444997.8900000001</v>
      </c>
      <c r="AJ108" s="1034"/>
      <c r="AK108" s="1033"/>
      <c r="AL108" s="1033"/>
      <c r="AM108" s="1033"/>
      <c r="AN108" s="1360"/>
      <c r="AO108" s="1034">
        <f t="shared" si="56"/>
        <v>0</v>
      </c>
    </row>
    <row r="109" spans="1:41" ht="15" customHeight="1" x14ac:dyDescent="0.25">
      <c r="A109" s="711" t="s">
        <v>116</v>
      </c>
      <c r="B109" s="710" t="s">
        <v>117</v>
      </c>
      <c r="C109" s="914" t="s">
        <v>266</v>
      </c>
      <c r="D109" s="1029">
        <f t="shared" si="46"/>
        <v>1628518.2371052331</v>
      </c>
      <c r="E109" s="1030">
        <f t="shared" si="47"/>
        <v>800725.46289476648</v>
      </c>
      <c r="F109" s="1031">
        <f t="shared" si="48"/>
        <v>658901.73</v>
      </c>
      <c r="G109" s="1367">
        <f t="shared" si="49"/>
        <v>-15.15</v>
      </c>
      <c r="H109" s="1369">
        <f t="shared" si="50"/>
        <v>0</v>
      </c>
      <c r="I109" s="1369">
        <f t="shared" si="51"/>
        <v>3088130.28</v>
      </c>
      <c r="J109" s="1370">
        <f t="shared" si="44"/>
        <v>-15.15</v>
      </c>
      <c r="K109" s="1365">
        <f t="shared" si="45"/>
        <v>658886.57999999996</v>
      </c>
      <c r="L109" s="1032"/>
      <c r="M109" s="1032"/>
      <c r="N109" s="1032"/>
      <c r="O109" s="1032"/>
      <c r="P109" s="1032"/>
      <c r="Q109" s="1032">
        <f t="shared" si="52"/>
        <v>0</v>
      </c>
      <c r="R109" s="1033">
        <v>19300.63</v>
      </c>
      <c r="S109" s="1033">
        <v>6284.38</v>
      </c>
      <c r="T109" s="1033">
        <v>0</v>
      </c>
      <c r="U109" s="1033">
        <v>-0.01</v>
      </c>
      <c r="V109" s="1360">
        <v>0</v>
      </c>
      <c r="W109" s="1034">
        <f t="shared" si="53"/>
        <v>25585.000000000004</v>
      </c>
      <c r="X109" s="1034">
        <v>1484733.7171052333</v>
      </c>
      <c r="Y109" s="1033">
        <v>794441.08289476647</v>
      </c>
      <c r="Z109" s="1033">
        <v>418070.88</v>
      </c>
      <c r="AA109" s="1033">
        <v>-13.25</v>
      </c>
      <c r="AB109" s="1360">
        <v>0</v>
      </c>
      <c r="AC109" s="1034">
        <f t="shared" si="54"/>
        <v>2697232.4299999997</v>
      </c>
      <c r="AD109" s="1034">
        <v>124483.89</v>
      </c>
      <c r="AE109" s="1033">
        <v>0</v>
      </c>
      <c r="AF109" s="1033">
        <v>240830.85</v>
      </c>
      <c r="AG109" s="1033">
        <v>-1.89</v>
      </c>
      <c r="AH109" s="1360">
        <v>0</v>
      </c>
      <c r="AI109" s="1034">
        <f t="shared" si="55"/>
        <v>365312.85</v>
      </c>
      <c r="AJ109" s="1034"/>
      <c r="AK109" s="1033"/>
      <c r="AL109" s="1033"/>
      <c r="AM109" s="1033"/>
      <c r="AN109" s="1360"/>
      <c r="AO109" s="1034">
        <f t="shared" si="56"/>
        <v>0</v>
      </c>
    </row>
    <row r="110" spans="1:41" ht="15" customHeight="1" x14ac:dyDescent="0.25">
      <c r="A110" s="711" t="s">
        <v>138</v>
      </c>
      <c r="B110" s="710" t="s">
        <v>139</v>
      </c>
      <c r="C110" s="914" t="s">
        <v>265</v>
      </c>
      <c r="D110" s="1029">
        <f t="shared" si="46"/>
        <v>4100884.7302378993</v>
      </c>
      <c r="E110" s="1030">
        <f t="shared" si="47"/>
        <v>1922827.0197621007</v>
      </c>
      <c r="F110" s="1031">
        <f t="shared" si="48"/>
        <v>1957092.45</v>
      </c>
      <c r="G110" s="1367">
        <f t="shared" si="49"/>
        <v>67400.98</v>
      </c>
      <c r="H110" s="1369">
        <f t="shared" si="50"/>
        <v>0</v>
      </c>
      <c r="I110" s="1369">
        <f t="shared" si="51"/>
        <v>8048205.1799999997</v>
      </c>
      <c r="J110" s="1370">
        <f t="shared" si="44"/>
        <v>67400.98</v>
      </c>
      <c r="K110" s="1365">
        <f t="shared" si="45"/>
        <v>2024493.43</v>
      </c>
      <c r="L110" s="1032"/>
      <c r="M110" s="1032"/>
      <c r="N110" s="1032"/>
      <c r="O110" s="1032"/>
      <c r="P110" s="1032"/>
      <c r="Q110" s="1032">
        <f t="shared" si="52"/>
        <v>0</v>
      </c>
      <c r="R110" s="1033">
        <v>49535.86</v>
      </c>
      <c r="S110" s="1033">
        <v>16139.59</v>
      </c>
      <c r="T110" s="1033">
        <v>0</v>
      </c>
      <c r="U110" s="1033">
        <v>-0.03</v>
      </c>
      <c r="V110" s="1360">
        <v>0</v>
      </c>
      <c r="W110" s="1034">
        <f t="shared" si="53"/>
        <v>65675.42</v>
      </c>
      <c r="X110" s="1034">
        <v>3560655.0102378996</v>
      </c>
      <c r="Y110" s="1033">
        <v>1906687.4297621006</v>
      </c>
      <c r="Z110" s="1033">
        <v>1002883.33</v>
      </c>
      <c r="AA110" s="1033">
        <v>67406.259999999995</v>
      </c>
      <c r="AB110" s="1360">
        <v>0</v>
      </c>
      <c r="AC110" s="1034">
        <f t="shared" si="54"/>
        <v>6537632.0300000003</v>
      </c>
      <c r="AD110" s="1034">
        <v>490693.86</v>
      </c>
      <c r="AE110" s="1033">
        <v>0</v>
      </c>
      <c r="AF110" s="1033">
        <v>954209.12</v>
      </c>
      <c r="AG110" s="1033">
        <v>-5.25</v>
      </c>
      <c r="AH110" s="1360">
        <v>0</v>
      </c>
      <c r="AI110" s="1034">
        <f t="shared" si="55"/>
        <v>1444897.73</v>
      </c>
      <c r="AJ110" s="1034"/>
      <c r="AK110" s="1033"/>
      <c r="AL110" s="1033"/>
      <c r="AM110" s="1033"/>
      <c r="AN110" s="1360"/>
      <c r="AO110" s="1034">
        <f t="shared" si="56"/>
        <v>0</v>
      </c>
    </row>
    <row r="111" spans="1:41" ht="15" customHeight="1" x14ac:dyDescent="0.25">
      <c r="A111" s="711" t="s">
        <v>142</v>
      </c>
      <c r="B111" s="710" t="s">
        <v>143</v>
      </c>
      <c r="C111" s="914" t="s">
        <v>267</v>
      </c>
      <c r="D111" s="1029">
        <f t="shared" si="46"/>
        <v>1370495.7667592508</v>
      </c>
      <c r="E111" s="1030">
        <f t="shared" si="47"/>
        <v>454974.72324074915</v>
      </c>
      <c r="F111" s="1031">
        <f t="shared" si="48"/>
        <v>1279982.94</v>
      </c>
      <c r="G111" s="1367">
        <f t="shared" si="49"/>
        <v>235.9</v>
      </c>
      <c r="H111" s="1369">
        <f t="shared" si="50"/>
        <v>0</v>
      </c>
      <c r="I111" s="1369">
        <f t="shared" si="51"/>
        <v>3105689.33</v>
      </c>
      <c r="J111" s="1370">
        <f t="shared" si="44"/>
        <v>235.9</v>
      </c>
      <c r="K111" s="1365">
        <f t="shared" si="45"/>
        <v>1280218.8399999999</v>
      </c>
      <c r="L111" s="1032"/>
      <c r="M111" s="1032"/>
      <c r="N111" s="1032"/>
      <c r="O111" s="1032"/>
      <c r="P111" s="1032"/>
      <c r="Q111" s="1032">
        <f t="shared" si="52"/>
        <v>0</v>
      </c>
      <c r="R111" s="1033"/>
      <c r="S111" s="1033"/>
      <c r="T111" s="1033"/>
      <c r="U111" s="1033"/>
      <c r="V111" s="1360"/>
      <c r="W111" s="1034">
        <f t="shared" si="53"/>
        <v>0</v>
      </c>
      <c r="X111" s="1034">
        <v>830239.47675925074</v>
      </c>
      <c r="Y111" s="1033">
        <v>454974.72324074915</v>
      </c>
      <c r="Z111" s="1033">
        <v>235748.13</v>
      </c>
      <c r="AA111" s="1033">
        <v>-6.88</v>
      </c>
      <c r="AB111" s="1360">
        <v>0</v>
      </c>
      <c r="AC111" s="1034">
        <f t="shared" si="54"/>
        <v>1520955.4500000002</v>
      </c>
      <c r="AD111" s="1034">
        <v>540256.29</v>
      </c>
      <c r="AE111" s="1033">
        <v>0</v>
      </c>
      <c r="AF111" s="1033">
        <v>1044234.81</v>
      </c>
      <c r="AG111" s="1033">
        <v>242.78</v>
      </c>
      <c r="AH111" s="1360">
        <v>0</v>
      </c>
      <c r="AI111" s="1034">
        <f t="shared" si="55"/>
        <v>1584733.8800000001</v>
      </c>
      <c r="AJ111" s="1034"/>
      <c r="AK111" s="1033"/>
      <c r="AL111" s="1033"/>
      <c r="AM111" s="1033"/>
      <c r="AN111" s="1360"/>
      <c r="AO111" s="1034">
        <f t="shared" si="56"/>
        <v>0</v>
      </c>
    </row>
    <row r="112" spans="1:41" ht="15" customHeight="1" x14ac:dyDescent="0.25">
      <c r="A112" s="711" t="s">
        <v>144</v>
      </c>
      <c r="B112" s="710" t="s">
        <v>145</v>
      </c>
      <c r="C112" s="914" t="s">
        <v>267</v>
      </c>
      <c r="D112" s="1029">
        <f t="shared" si="46"/>
        <v>521035.54501431331</v>
      </c>
      <c r="E112" s="1030">
        <f t="shared" si="47"/>
        <v>192026.94498568666</v>
      </c>
      <c r="F112" s="1031">
        <f t="shared" si="48"/>
        <v>416525.15</v>
      </c>
      <c r="G112" s="1367">
        <f t="shared" si="49"/>
        <v>-9.879999999999999</v>
      </c>
      <c r="H112" s="1369">
        <f t="shared" si="50"/>
        <v>0</v>
      </c>
      <c r="I112" s="1369">
        <f t="shared" si="51"/>
        <v>1129577.76</v>
      </c>
      <c r="J112" s="1370">
        <f t="shared" si="44"/>
        <v>-9.879999999999999</v>
      </c>
      <c r="K112" s="1365">
        <f t="shared" si="45"/>
        <v>416515.27</v>
      </c>
      <c r="L112" s="1032"/>
      <c r="M112" s="1032"/>
      <c r="N112" s="1032"/>
      <c r="O112" s="1032"/>
      <c r="P112" s="1032"/>
      <c r="Q112" s="1032">
        <f t="shared" si="52"/>
        <v>0</v>
      </c>
      <c r="R112" s="1033">
        <v>8257.35</v>
      </c>
      <c r="S112" s="1033">
        <v>2753.26</v>
      </c>
      <c r="T112" s="1033">
        <v>0</v>
      </c>
      <c r="U112" s="1033">
        <v>-0.01</v>
      </c>
      <c r="V112" s="1360">
        <v>0</v>
      </c>
      <c r="W112" s="1034">
        <f t="shared" si="53"/>
        <v>11010.6</v>
      </c>
      <c r="X112" s="1034">
        <v>348275.95501431334</v>
      </c>
      <c r="Y112" s="1033">
        <v>189273.68498568665</v>
      </c>
      <c r="Z112" s="1033">
        <v>98602.44</v>
      </c>
      <c r="AA112" s="1033">
        <v>-5.43</v>
      </c>
      <c r="AB112" s="1360">
        <v>0</v>
      </c>
      <c r="AC112" s="1034">
        <f t="shared" si="54"/>
        <v>636146.65</v>
      </c>
      <c r="AD112" s="1034">
        <v>164502.24</v>
      </c>
      <c r="AE112" s="1033">
        <v>0</v>
      </c>
      <c r="AF112" s="1033">
        <v>317922.71000000002</v>
      </c>
      <c r="AG112" s="1033">
        <v>-4.4400000000000004</v>
      </c>
      <c r="AH112" s="1360">
        <v>0</v>
      </c>
      <c r="AI112" s="1034">
        <f t="shared" si="55"/>
        <v>482420.51</v>
      </c>
      <c r="AJ112" s="1034"/>
      <c r="AK112" s="1033"/>
      <c r="AL112" s="1033"/>
      <c r="AM112" s="1033"/>
      <c r="AN112" s="1360"/>
      <c r="AO112" s="1034">
        <f t="shared" si="56"/>
        <v>0</v>
      </c>
    </row>
    <row r="113" spans="1:41" ht="15" customHeight="1" x14ac:dyDescent="0.25">
      <c r="A113" s="711" t="s">
        <v>158</v>
      </c>
      <c r="B113" s="710" t="s">
        <v>159</v>
      </c>
      <c r="C113" s="914" t="s">
        <v>264</v>
      </c>
      <c r="D113" s="1029">
        <f t="shared" si="46"/>
        <v>11984164.336691808</v>
      </c>
      <c r="E113" s="1030">
        <f t="shared" si="47"/>
        <v>4859104.3633081932</v>
      </c>
      <c r="F113" s="1031">
        <f t="shared" si="48"/>
        <v>8139412.8399999999</v>
      </c>
      <c r="G113" s="1367">
        <f t="shared" si="49"/>
        <v>-20.869999999999997</v>
      </c>
      <c r="H113" s="1369">
        <f t="shared" si="50"/>
        <v>0</v>
      </c>
      <c r="I113" s="1369">
        <f t="shared" si="51"/>
        <v>24982660.669999998</v>
      </c>
      <c r="J113" s="1370">
        <f t="shared" si="44"/>
        <v>-20.869999999999997</v>
      </c>
      <c r="K113" s="1365">
        <f t="shared" si="45"/>
        <v>8139391.9699999997</v>
      </c>
      <c r="L113" s="1032"/>
      <c r="M113" s="1032"/>
      <c r="N113" s="1032"/>
      <c r="O113" s="1032"/>
      <c r="P113" s="1032"/>
      <c r="Q113" s="1032">
        <f t="shared" si="52"/>
        <v>0</v>
      </c>
      <c r="R113" s="1033">
        <v>27843.15</v>
      </c>
      <c r="S113" s="1033">
        <v>8944.36</v>
      </c>
      <c r="T113" s="1033">
        <v>0</v>
      </c>
      <c r="U113" s="1033">
        <v>0</v>
      </c>
      <c r="V113" s="1360">
        <v>0</v>
      </c>
      <c r="W113" s="1034">
        <f t="shared" si="53"/>
        <v>36787.51</v>
      </c>
      <c r="X113" s="1034">
        <v>9069712.0366918072</v>
      </c>
      <c r="Y113" s="1033">
        <v>4850160.0033081928</v>
      </c>
      <c r="Z113" s="1033">
        <v>2553347.04</v>
      </c>
      <c r="AA113" s="1033">
        <v>-15.11</v>
      </c>
      <c r="AB113" s="1360">
        <v>0</v>
      </c>
      <c r="AC113" s="1034">
        <f t="shared" si="54"/>
        <v>16473203.969999999</v>
      </c>
      <c r="AD113" s="1034">
        <v>2886489.38</v>
      </c>
      <c r="AE113" s="1033">
        <v>0</v>
      </c>
      <c r="AF113" s="1033">
        <v>5586065.7999999998</v>
      </c>
      <c r="AG113" s="1033">
        <v>-5.76</v>
      </c>
      <c r="AH113" s="1360">
        <v>0</v>
      </c>
      <c r="AI113" s="1034">
        <f t="shared" si="55"/>
        <v>8472549.4199999999</v>
      </c>
      <c r="AJ113" s="1034">
        <v>119.77</v>
      </c>
      <c r="AK113" s="1033"/>
      <c r="AL113" s="1033"/>
      <c r="AM113" s="1033"/>
      <c r="AN113" s="1360"/>
      <c r="AO113" s="1034">
        <f t="shared" si="56"/>
        <v>119.77</v>
      </c>
    </row>
    <row r="114" spans="1:41" ht="15" customHeight="1" x14ac:dyDescent="0.25">
      <c r="A114" s="711" t="s">
        <v>160</v>
      </c>
      <c r="B114" s="710" t="s">
        <v>161</v>
      </c>
      <c r="C114" s="914" t="s">
        <v>264</v>
      </c>
      <c r="D114" s="1029">
        <f t="shared" si="46"/>
        <v>14691026.728270579</v>
      </c>
      <c r="E114" s="1030">
        <f t="shared" si="47"/>
        <v>7690237.60172942</v>
      </c>
      <c r="F114" s="1031">
        <f t="shared" si="48"/>
        <v>4527018.3999999994</v>
      </c>
      <c r="G114" s="1367">
        <f t="shared" si="49"/>
        <v>-22.389999999999997</v>
      </c>
      <c r="H114" s="1369">
        <f t="shared" si="50"/>
        <v>0</v>
      </c>
      <c r="I114" s="1369">
        <f t="shared" si="51"/>
        <v>26908260.340000004</v>
      </c>
      <c r="J114" s="1370">
        <f t="shared" si="44"/>
        <v>-22.389999999999997</v>
      </c>
      <c r="K114" s="1365">
        <f t="shared" si="45"/>
        <v>4526996.01</v>
      </c>
      <c r="L114" s="1032">
        <v>61915.42</v>
      </c>
      <c r="M114" s="1032">
        <v>0</v>
      </c>
      <c r="N114" s="1032">
        <v>20304.13</v>
      </c>
      <c r="O114" s="1032">
        <v>-0.24</v>
      </c>
      <c r="P114" s="1032">
        <v>0</v>
      </c>
      <c r="Q114" s="1032">
        <f t="shared" si="52"/>
        <v>82219.31</v>
      </c>
      <c r="R114" s="1033">
        <v>8538.1</v>
      </c>
      <c r="S114" s="1033">
        <v>2742.41</v>
      </c>
      <c r="T114" s="1033">
        <v>0</v>
      </c>
      <c r="U114" s="1033">
        <v>0</v>
      </c>
      <c r="V114" s="1360">
        <v>0</v>
      </c>
      <c r="W114" s="1034">
        <f t="shared" si="53"/>
        <v>11280.51</v>
      </c>
      <c r="X114" s="1034">
        <v>14381990.668270579</v>
      </c>
      <c r="Y114" s="1033">
        <v>7687495.1917294199</v>
      </c>
      <c r="Z114" s="1033">
        <v>4048244.94</v>
      </c>
      <c r="AA114" s="1033">
        <v>-20.36</v>
      </c>
      <c r="AB114" s="1360">
        <v>0</v>
      </c>
      <c r="AC114" s="1034">
        <f t="shared" si="54"/>
        <v>26117710.440000001</v>
      </c>
      <c r="AD114" s="1034">
        <v>236879.47</v>
      </c>
      <c r="AE114" s="1033">
        <v>0</v>
      </c>
      <c r="AF114" s="1033">
        <v>458469.33</v>
      </c>
      <c r="AG114" s="1033">
        <v>-1.79</v>
      </c>
      <c r="AH114" s="1360">
        <v>0</v>
      </c>
      <c r="AI114" s="1034">
        <f t="shared" si="55"/>
        <v>695347.01</v>
      </c>
      <c r="AJ114" s="1034">
        <v>1703.07</v>
      </c>
      <c r="AK114" s="1033"/>
      <c r="AL114" s="1033"/>
      <c r="AM114" s="1033"/>
      <c r="AN114" s="1360"/>
      <c r="AO114" s="1034">
        <f t="shared" si="56"/>
        <v>1703.07</v>
      </c>
    </row>
    <row r="115" spans="1:41" ht="15" customHeight="1" x14ac:dyDescent="0.25">
      <c r="A115" s="711" t="s">
        <v>166</v>
      </c>
      <c r="B115" s="710" t="s">
        <v>167</v>
      </c>
      <c r="C115" s="914" t="s">
        <v>268</v>
      </c>
      <c r="D115" s="1029">
        <f t="shared" si="46"/>
        <v>412744.19344776293</v>
      </c>
      <c r="E115" s="1030">
        <f t="shared" si="47"/>
        <v>184752.85655223706</v>
      </c>
      <c r="F115" s="1031">
        <f t="shared" si="48"/>
        <v>228418.93</v>
      </c>
      <c r="G115" s="1367">
        <f t="shared" si="49"/>
        <v>820.84</v>
      </c>
      <c r="H115" s="1369">
        <f t="shared" si="50"/>
        <v>0</v>
      </c>
      <c r="I115" s="1369">
        <f t="shared" si="51"/>
        <v>826736.82000000007</v>
      </c>
      <c r="J115" s="1370">
        <f t="shared" si="44"/>
        <v>820.84</v>
      </c>
      <c r="K115" s="1365">
        <f t="shared" si="45"/>
        <v>229239.77</v>
      </c>
      <c r="L115" s="1032"/>
      <c r="M115" s="1032"/>
      <c r="N115" s="1032"/>
      <c r="O115" s="1032"/>
      <c r="P115" s="1032"/>
      <c r="Q115" s="1032">
        <f t="shared" si="52"/>
        <v>0</v>
      </c>
      <c r="R115" s="1033"/>
      <c r="S115" s="1033"/>
      <c r="T115" s="1033"/>
      <c r="U115" s="1033"/>
      <c r="V115" s="1360"/>
      <c r="W115" s="1034">
        <f t="shared" si="53"/>
        <v>0</v>
      </c>
      <c r="X115" s="1034">
        <v>344918.14344776294</v>
      </c>
      <c r="Y115" s="1033">
        <v>184752.85655223706</v>
      </c>
      <c r="Z115" s="1033">
        <v>97156.17</v>
      </c>
      <c r="AA115" s="1033">
        <v>686.51</v>
      </c>
      <c r="AB115" s="1360">
        <v>0</v>
      </c>
      <c r="AC115" s="1034">
        <f t="shared" si="54"/>
        <v>627513.68000000005</v>
      </c>
      <c r="AD115" s="1034">
        <v>67826.05</v>
      </c>
      <c r="AE115" s="1033">
        <v>0</v>
      </c>
      <c r="AF115" s="1033">
        <v>131262.76</v>
      </c>
      <c r="AG115" s="1033">
        <v>134.33000000000001</v>
      </c>
      <c r="AH115" s="1360">
        <v>0</v>
      </c>
      <c r="AI115" s="1034">
        <f t="shared" si="55"/>
        <v>199223.13999999998</v>
      </c>
      <c r="AJ115" s="1034"/>
      <c r="AK115" s="1033"/>
      <c r="AL115" s="1033"/>
      <c r="AM115" s="1033"/>
      <c r="AN115" s="1360"/>
      <c r="AO115" s="1034">
        <f t="shared" si="56"/>
        <v>0</v>
      </c>
    </row>
    <row r="116" spans="1:41" ht="15" customHeight="1" x14ac:dyDescent="0.25">
      <c r="A116" s="711" t="s">
        <v>176</v>
      </c>
      <c r="B116" s="710" t="s">
        <v>177</v>
      </c>
      <c r="C116" s="914" t="s">
        <v>266</v>
      </c>
      <c r="D116" s="1029">
        <f t="shared" si="46"/>
        <v>2722010.7417966481</v>
      </c>
      <c r="E116" s="1030">
        <f t="shared" si="47"/>
        <v>1454261.2882033524</v>
      </c>
      <c r="F116" s="1031">
        <f t="shared" si="48"/>
        <v>764427.34</v>
      </c>
      <c r="G116" s="1367">
        <f t="shared" si="49"/>
        <v>-11.72</v>
      </c>
      <c r="H116" s="1369">
        <f t="shared" si="50"/>
        <v>0</v>
      </c>
      <c r="I116" s="1369">
        <f t="shared" si="51"/>
        <v>4940687.6500000004</v>
      </c>
      <c r="J116" s="1370">
        <f t="shared" si="44"/>
        <v>-11.72</v>
      </c>
      <c r="K116" s="1365">
        <f t="shared" si="45"/>
        <v>764415.62</v>
      </c>
      <c r="L116" s="1032"/>
      <c r="M116" s="1032"/>
      <c r="N116" s="1032"/>
      <c r="O116" s="1032"/>
      <c r="P116" s="1032"/>
      <c r="Q116" s="1032">
        <f t="shared" si="52"/>
        <v>0</v>
      </c>
      <c r="R116" s="1034">
        <v>6735.95</v>
      </c>
      <c r="S116" s="1033">
        <v>2162.84</v>
      </c>
      <c r="T116" s="1034">
        <v>0</v>
      </c>
      <c r="U116" s="1034">
        <v>0</v>
      </c>
      <c r="V116" s="1034">
        <v>0</v>
      </c>
      <c r="W116" s="1034">
        <f t="shared" si="53"/>
        <v>8898.7900000000009</v>
      </c>
      <c r="X116" s="1034">
        <v>2715274.7917966479</v>
      </c>
      <c r="Y116" s="1033">
        <v>1452098.4482033523</v>
      </c>
      <c r="Z116" s="1034">
        <v>764427.34</v>
      </c>
      <c r="AA116" s="1034">
        <v>-11.72</v>
      </c>
      <c r="AB116" s="1034">
        <v>0</v>
      </c>
      <c r="AC116" s="1034">
        <f t="shared" si="54"/>
        <v>4931788.8600000003</v>
      </c>
      <c r="AD116" s="1034"/>
      <c r="AE116" s="1033"/>
      <c r="AF116" s="1034"/>
      <c r="AG116" s="1034"/>
      <c r="AH116" s="1034"/>
      <c r="AI116" s="1034">
        <f t="shared" si="55"/>
        <v>0</v>
      </c>
      <c r="AJ116" s="1034"/>
      <c r="AK116" s="1033"/>
      <c r="AL116" s="1034"/>
      <c r="AM116" s="1034"/>
      <c r="AN116" s="1034"/>
      <c r="AO116" s="1034">
        <f t="shared" si="56"/>
        <v>0</v>
      </c>
    </row>
    <row r="117" spans="1:41" ht="15" customHeight="1" x14ac:dyDescent="0.25">
      <c r="A117" s="711" t="s">
        <v>180</v>
      </c>
      <c r="B117" s="710" t="s">
        <v>181</v>
      </c>
      <c r="C117" s="914" t="s">
        <v>264</v>
      </c>
      <c r="D117" s="1029">
        <f t="shared" si="46"/>
        <v>7736465.5326088052</v>
      </c>
      <c r="E117" s="1030">
        <f t="shared" si="47"/>
        <v>3477124.1973911943</v>
      </c>
      <c r="F117" s="1031">
        <f t="shared" si="48"/>
        <v>4196567.76</v>
      </c>
      <c r="G117" s="1367">
        <f t="shared" si="49"/>
        <v>805891.85</v>
      </c>
      <c r="H117" s="1369">
        <f t="shared" si="50"/>
        <v>6714.53</v>
      </c>
      <c r="I117" s="1369">
        <f t="shared" si="51"/>
        <v>16222763.869999999</v>
      </c>
      <c r="J117" s="1370">
        <f t="shared" si="44"/>
        <v>812606.38</v>
      </c>
      <c r="K117" s="1365">
        <f t="shared" si="45"/>
        <v>5009174.1399999997</v>
      </c>
      <c r="L117" s="1032"/>
      <c r="M117" s="1032"/>
      <c r="N117" s="1032"/>
      <c r="O117" s="1032"/>
      <c r="P117" s="1032"/>
      <c r="Q117" s="1032">
        <f t="shared" si="52"/>
        <v>0</v>
      </c>
      <c r="R117" s="1033">
        <v>23214.84</v>
      </c>
      <c r="S117" s="1033">
        <v>7480.17</v>
      </c>
      <c r="T117" s="1033">
        <v>0</v>
      </c>
      <c r="U117" s="1033">
        <v>-6714.56</v>
      </c>
      <c r="V117" s="1360">
        <v>6714.53</v>
      </c>
      <c r="W117" s="1034">
        <f t="shared" si="53"/>
        <v>30694.98</v>
      </c>
      <c r="X117" s="1034">
        <v>6502564.2826088052</v>
      </c>
      <c r="Y117" s="1033">
        <v>3469644.0273911944</v>
      </c>
      <c r="Z117" s="1033">
        <v>1829218.82</v>
      </c>
      <c r="AA117" s="1033">
        <v>606872.62</v>
      </c>
      <c r="AB117" s="1360">
        <v>0</v>
      </c>
      <c r="AC117" s="1034">
        <f t="shared" si="54"/>
        <v>12408299.749999998</v>
      </c>
      <c r="AD117" s="1034">
        <v>1210584.03</v>
      </c>
      <c r="AE117" s="1033">
        <v>0</v>
      </c>
      <c r="AF117" s="1033">
        <v>2367348.94</v>
      </c>
      <c r="AG117" s="1033">
        <v>205733.79</v>
      </c>
      <c r="AH117" s="1360">
        <v>0</v>
      </c>
      <c r="AI117" s="1034">
        <f t="shared" si="55"/>
        <v>3783666.76</v>
      </c>
      <c r="AJ117" s="1034">
        <v>102.38</v>
      </c>
      <c r="AK117" s="1033"/>
      <c r="AL117" s="1033"/>
      <c r="AM117" s="1033"/>
      <c r="AN117" s="1360"/>
      <c r="AO117" s="1034">
        <f t="shared" si="56"/>
        <v>102.38</v>
      </c>
    </row>
    <row r="118" spans="1:41" ht="15" customHeight="1" x14ac:dyDescent="0.25">
      <c r="A118" s="711" t="s">
        <v>192</v>
      </c>
      <c r="B118" s="710" t="s">
        <v>193</v>
      </c>
      <c r="C118" s="914" t="s">
        <v>268</v>
      </c>
      <c r="D118" s="1029">
        <f t="shared" si="46"/>
        <v>522347.70643648616</v>
      </c>
      <c r="E118" s="1030">
        <f t="shared" si="47"/>
        <v>231863.9335635138</v>
      </c>
      <c r="F118" s="1031">
        <f t="shared" si="48"/>
        <v>291888.23</v>
      </c>
      <c r="G118" s="1367">
        <f t="shared" si="49"/>
        <v>11932.159999999998</v>
      </c>
      <c r="H118" s="1369">
        <f t="shared" si="50"/>
        <v>0</v>
      </c>
      <c r="I118" s="1369">
        <f t="shared" si="51"/>
        <v>1058032.03</v>
      </c>
      <c r="J118" s="1370">
        <f t="shared" si="44"/>
        <v>11932.159999999998</v>
      </c>
      <c r="K118" s="1365">
        <f t="shared" si="45"/>
        <v>303820.38999999996</v>
      </c>
      <c r="L118" s="1032"/>
      <c r="M118" s="1032"/>
      <c r="N118" s="1032"/>
      <c r="O118" s="1032"/>
      <c r="P118" s="1032"/>
      <c r="Q118" s="1032">
        <f t="shared" si="52"/>
        <v>0</v>
      </c>
      <c r="R118" s="1033">
        <v>3216.04</v>
      </c>
      <c r="S118" s="1033">
        <v>1073.5</v>
      </c>
      <c r="T118" s="1033">
        <v>0</v>
      </c>
      <c r="U118" s="1033">
        <v>-0.04</v>
      </c>
      <c r="V118" s="1360">
        <v>0</v>
      </c>
      <c r="W118" s="1034">
        <f t="shared" si="53"/>
        <v>4289.5</v>
      </c>
      <c r="X118" s="1034">
        <v>431954.05643648619</v>
      </c>
      <c r="Y118" s="1033">
        <v>230790.4335635138</v>
      </c>
      <c r="Z118" s="1033">
        <v>121564.54</v>
      </c>
      <c r="AA118" s="1033">
        <v>11936.14</v>
      </c>
      <c r="AB118" s="1360">
        <v>0</v>
      </c>
      <c r="AC118" s="1034">
        <f t="shared" si="54"/>
        <v>796245.17</v>
      </c>
      <c r="AD118" s="1034">
        <v>87177.61</v>
      </c>
      <c r="AE118" s="1033">
        <v>0</v>
      </c>
      <c r="AF118" s="1033">
        <v>170323.69</v>
      </c>
      <c r="AG118" s="1033">
        <v>-3.94</v>
      </c>
      <c r="AH118" s="1360">
        <v>0</v>
      </c>
      <c r="AI118" s="1034">
        <f t="shared" si="55"/>
        <v>257497.36</v>
      </c>
      <c r="AJ118" s="1034"/>
      <c r="AK118" s="1033"/>
      <c r="AL118" s="1033"/>
      <c r="AM118" s="1033"/>
      <c r="AN118" s="1360"/>
      <c r="AO118" s="1034">
        <f t="shared" si="56"/>
        <v>0</v>
      </c>
    </row>
    <row r="119" spans="1:41" ht="15" customHeight="1" x14ac:dyDescent="0.25">
      <c r="A119" s="711" t="s">
        <v>196</v>
      </c>
      <c r="B119" s="710" t="s">
        <v>312</v>
      </c>
      <c r="C119" s="914" t="s">
        <v>266</v>
      </c>
      <c r="D119" s="1029">
        <f t="shared" si="46"/>
        <v>17681023.712334778</v>
      </c>
      <c r="E119" s="1030">
        <f t="shared" si="47"/>
        <v>8781523.1876652204</v>
      </c>
      <c r="F119" s="1031">
        <f t="shared" si="48"/>
        <v>6316405.6900000004</v>
      </c>
      <c r="G119" s="1367">
        <f t="shared" si="49"/>
        <v>-17.349999999999998</v>
      </c>
      <c r="H119" s="1369">
        <f t="shared" si="50"/>
        <v>0</v>
      </c>
      <c r="I119" s="1369">
        <f t="shared" si="51"/>
        <v>32778935.239999998</v>
      </c>
      <c r="J119" s="1370">
        <f t="shared" si="44"/>
        <v>-17.349999999999998</v>
      </c>
      <c r="K119" s="1365">
        <f t="shared" si="45"/>
        <v>6316388.3400000008</v>
      </c>
      <c r="L119" s="1032">
        <v>333879.71000000002</v>
      </c>
      <c r="M119" s="1032">
        <v>0</v>
      </c>
      <c r="N119" s="1032">
        <v>107240.82</v>
      </c>
      <c r="O119" s="1032">
        <v>-0.01</v>
      </c>
      <c r="P119" s="1032">
        <v>0</v>
      </c>
      <c r="Q119" s="1032">
        <f t="shared" si="52"/>
        <v>441120.52</v>
      </c>
      <c r="R119" s="1033">
        <v>275455.26</v>
      </c>
      <c r="S119" s="1033">
        <v>91159.81</v>
      </c>
      <c r="T119" s="1033">
        <v>0</v>
      </c>
      <c r="U119" s="1033">
        <v>-7.0000000000000007E-2</v>
      </c>
      <c r="V119" s="1360">
        <v>0</v>
      </c>
      <c r="W119" s="1034">
        <f t="shared" si="53"/>
        <v>366615</v>
      </c>
      <c r="X119" s="1034">
        <v>16224906.162334779</v>
      </c>
      <c r="Y119" s="1033">
        <v>8690363.3776652198</v>
      </c>
      <c r="Z119" s="1033">
        <v>4570253.2300000004</v>
      </c>
      <c r="AA119" s="1033">
        <v>-16.75</v>
      </c>
      <c r="AB119" s="1360">
        <v>0</v>
      </c>
      <c r="AC119" s="1034">
        <f t="shared" si="54"/>
        <v>29485506.02</v>
      </c>
      <c r="AD119" s="1034">
        <v>846782.58</v>
      </c>
      <c r="AE119" s="1033">
        <v>0</v>
      </c>
      <c r="AF119" s="1033">
        <v>1638911.64</v>
      </c>
      <c r="AG119" s="1033">
        <v>-0.52</v>
      </c>
      <c r="AH119" s="1360">
        <v>0</v>
      </c>
      <c r="AI119" s="1034">
        <f t="shared" si="55"/>
        <v>2485693.6999999997</v>
      </c>
      <c r="AJ119" s="1034"/>
      <c r="AK119" s="1033"/>
      <c r="AL119" s="1033"/>
      <c r="AM119" s="1033"/>
      <c r="AN119" s="1360"/>
      <c r="AO119" s="1034">
        <f t="shared" si="56"/>
        <v>0</v>
      </c>
    </row>
    <row r="120" spans="1:41" ht="15" customHeight="1" x14ac:dyDescent="0.25">
      <c r="A120" s="711" t="s">
        <v>200</v>
      </c>
      <c r="B120" s="710" t="s">
        <v>313</v>
      </c>
      <c r="C120" s="914" t="s">
        <v>265</v>
      </c>
      <c r="D120" s="1029">
        <f t="shared" si="46"/>
        <v>6813732.483823807</v>
      </c>
      <c r="E120" s="1030">
        <f t="shared" si="47"/>
        <v>3190065.976176193</v>
      </c>
      <c r="F120" s="1031">
        <f t="shared" si="48"/>
        <v>3234840.81</v>
      </c>
      <c r="G120" s="1367">
        <f t="shared" si="49"/>
        <v>18770.59</v>
      </c>
      <c r="H120" s="1369">
        <f t="shared" si="50"/>
        <v>0</v>
      </c>
      <c r="I120" s="1369">
        <f t="shared" si="51"/>
        <v>13257409.859999999</v>
      </c>
      <c r="J120" s="1370">
        <f t="shared" si="44"/>
        <v>18770.59</v>
      </c>
      <c r="K120" s="1365">
        <f t="shared" si="45"/>
        <v>3253611.4</v>
      </c>
      <c r="L120" s="1032">
        <v>37437.11</v>
      </c>
      <c r="M120" s="1032">
        <v>0</v>
      </c>
      <c r="N120" s="1032">
        <v>12305.79</v>
      </c>
      <c r="O120" s="1032">
        <v>-0.08</v>
      </c>
      <c r="P120" s="1032">
        <v>0</v>
      </c>
      <c r="Q120" s="1032">
        <f t="shared" si="52"/>
        <v>49742.82</v>
      </c>
      <c r="R120" s="1033">
        <v>45942.71</v>
      </c>
      <c r="S120" s="1033">
        <v>14757.22</v>
      </c>
      <c r="T120" s="1033">
        <v>0</v>
      </c>
      <c r="U120" s="1033">
        <v>-0.04</v>
      </c>
      <c r="V120" s="1360">
        <v>0</v>
      </c>
      <c r="W120" s="1034">
        <f t="shared" si="53"/>
        <v>60699.89</v>
      </c>
      <c r="X120" s="1034">
        <v>5928124.5538238063</v>
      </c>
      <c r="Y120" s="1033">
        <v>3175308.7561761928</v>
      </c>
      <c r="Z120" s="1033">
        <v>1669858.53</v>
      </c>
      <c r="AA120" s="1033">
        <v>18775.03</v>
      </c>
      <c r="AB120" s="1360">
        <v>0</v>
      </c>
      <c r="AC120" s="1034">
        <f t="shared" si="54"/>
        <v>10792066.869999997</v>
      </c>
      <c r="AD120" s="1034">
        <v>802228.11</v>
      </c>
      <c r="AE120" s="1033">
        <v>0</v>
      </c>
      <c r="AF120" s="1033">
        <v>1552676.49</v>
      </c>
      <c r="AG120" s="1033">
        <v>-4.32</v>
      </c>
      <c r="AH120" s="1360">
        <v>0</v>
      </c>
      <c r="AI120" s="1034">
        <f t="shared" si="55"/>
        <v>2354900.2800000003</v>
      </c>
      <c r="AJ120" s="1034"/>
      <c r="AK120" s="1033"/>
      <c r="AL120" s="1033"/>
      <c r="AM120" s="1033"/>
      <c r="AN120" s="1360"/>
      <c r="AO120" s="1034">
        <f t="shared" si="56"/>
        <v>0</v>
      </c>
    </row>
    <row r="121" spans="1:41" ht="15" customHeight="1" x14ac:dyDescent="0.25">
      <c r="A121" s="711" t="s">
        <v>222</v>
      </c>
      <c r="B121" s="710" t="s">
        <v>223</v>
      </c>
      <c r="C121" s="914" t="s">
        <v>264</v>
      </c>
      <c r="D121" s="1029">
        <f t="shared" si="46"/>
        <v>4114932.9322349899</v>
      </c>
      <c r="E121" s="1030">
        <f t="shared" si="47"/>
        <v>1733564.4577650104</v>
      </c>
      <c r="F121" s="1031">
        <f t="shared" si="48"/>
        <v>2605284.48</v>
      </c>
      <c r="G121" s="1367">
        <f t="shared" si="49"/>
        <v>467387.45999999996</v>
      </c>
      <c r="H121" s="1369">
        <f t="shared" si="50"/>
        <v>0</v>
      </c>
      <c r="I121" s="1369">
        <f t="shared" si="51"/>
        <v>8921169.3300000001</v>
      </c>
      <c r="J121" s="1370">
        <f t="shared" si="44"/>
        <v>467387.45999999996</v>
      </c>
      <c r="K121" s="1365">
        <f t="shared" si="45"/>
        <v>3072671.94</v>
      </c>
      <c r="L121" s="1032"/>
      <c r="M121" s="1032"/>
      <c r="N121" s="1032"/>
      <c r="O121" s="1032"/>
      <c r="P121" s="1032"/>
      <c r="Q121" s="1032">
        <f t="shared" si="52"/>
        <v>0</v>
      </c>
      <c r="R121" s="1033"/>
      <c r="S121" s="1033"/>
      <c r="T121" s="1033"/>
      <c r="U121" s="1033"/>
      <c r="V121" s="1360"/>
      <c r="W121" s="1034">
        <f t="shared" si="53"/>
        <v>0</v>
      </c>
      <c r="X121" s="1034">
        <v>3231871.7522349898</v>
      </c>
      <c r="Y121" s="1033">
        <v>1733564.4577650104</v>
      </c>
      <c r="Z121" s="1033">
        <v>910816.81</v>
      </c>
      <c r="AA121" s="1033">
        <v>467393.99</v>
      </c>
      <c r="AB121" s="1360">
        <v>0</v>
      </c>
      <c r="AC121" s="1034">
        <f t="shared" si="54"/>
        <v>6343647.0099999998</v>
      </c>
      <c r="AD121" s="1034">
        <v>876072.52</v>
      </c>
      <c r="AE121" s="1033">
        <v>0</v>
      </c>
      <c r="AF121" s="1033">
        <v>1694467.67</v>
      </c>
      <c r="AG121" s="1033">
        <v>-6.53</v>
      </c>
      <c r="AH121" s="1360">
        <v>0</v>
      </c>
      <c r="AI121" s="1034">
        <f t="shared" si="55"/>
        <v>2570533.66</v>
      </c>
      <c r="AJ121" s="1034">
        <v>6988.66</v>
      </c>
      <c r="AK121" s="1033"/>
      <c r="AL121" s="1033"/>
      <c r="AM121" s="1033"/>
      <c r="AN121" s="1360"/>
      <c r="AO121" s="1034">
        <f t="shared" si="56"/>
        <v>6988.66</v>
      </c>
    </row>
    <row r="122" spans="1:41" ht="15" customHeight="1" x14ac:dyDescent="0.25">
      <c r="A122" s="711" t="s">
        <v>230</v>
      </c>
      <c r="B122" s="710" t="s">
        <v>231</v>
      </c>
      <c r="C122" s="914" t="s">
        <v>264</v>
      </c>
      <c r="D122" s="1029">
        <f t="shared" si="46"/>
        <v>11983401.177541383</v>
      </c>
      <c r="E122" s="1030">
        <f t="shared" si="47"/>
        <v>4541626.8324586162</v>
      </c>
      <c r="F122" s="1031">
        <f t="shared" si="48"/>
        <v>9348301.3099999987</v>
      </c>
      <c r="G122" s="1367">
        <f t="shared" si="49"/>
        <v>317201.89</v>
      </c>
      <c r="H122" s="1369">
        <f t="shared" si="50"/>
        <v>0</v>
      </c>
      <c r="I122" s="1369">
        <f t="shared" si="51"/>
        <v>26190531.209999997</v>
      </c>
      <c r="J122" s="1370">
        <f t="shared" si="44"/>
        <v>317201.89</v>
      </c>
      <c r="K122" s="1365">
        <f t="shared" si="45"/>
        <v>9665503.1999999993</v>
      </c>
      <c r="L122" s="1032"/>
      <c r="M122" s="1032"/>
      <c r="N122" s="1032"/>
      <c r="O122" s="1032"/>
      <c r="P122" s="1032"/>
      <c r="Q122" s="1032">
        <f t="shared" si="52"/>
        <v>0</v>
      </c>
      <c r="R122" s="1033"/>
      <c r="S122" s="1033"/>
      <c r="T122" s="1033"/>
      <c r="U122" s="1033"/>
      <c r="V122" s="1360"/>
      <c r="W122" s="1034">
        <f t="shared" si="53"/>
        <v>0</v>
      </c>
      <c r="X122" s="1034">
        <v>8380261.7575413827</v>
      </c>
      <c r="Y122" s="1033">
        <v>4541626.8324586162</v>
      </c>
      <c r="Z122" s="1033">
        <v>2370285.34</v>
      </c>
      <c r="AA122" s="1033">
        <v>2986.94</v>
      </c>
      <c r="AB122" s="1360">
        <v>0</v>
      </c>
      <c r="AC122" s="1034">
        <f t="shared" si="54"/>
        <v>15295160.869999999</v>
      </c>
      <c r="AD122" s="1034">
        <v>3602903.26</v>
      </c>
      <c r="AE122" s="1033">
        <v>0</v>
      </c>
      <c r="AF122" s="1033">
        <v>6978015.9699999997</v>
      </c>
      <c r="AG122" s="1033">
        <v>314214.95</v>
      </c>
      <c r="AH122" s="1360">
        <v>0</v>
      </c>
      <c r="AI122" s="1034">
        <f t="shared" si="55"/>
        <v>10895134.18</v>
      </c>
      <c r="AJ122" s="1034">
        <v>236.16</v>
      </c>
      <c r="AK122" s="1033"/>
      <c r="AL122" s="1033"/>
      <c r="AM122" s="1033"/>
      <c r="AN122" s="1360"/>
      <c r="AO122" s="1034">
        <f t="shared" si="56"/>
        <v>236.16</v>
      </c>
    </row>
    <row r="123" spans="1:41" ht="15" customHeight="1" x14ac:dyDescent="0.25">
      <c r="A123" s="711" t="s">
        <v>238</v>
      </c>
      <c r="B123" s="710" t="s">
        <v>239</v>
      </c>
      <c r="C123" s="914" t="s">
        <v>264</v>
      </c>
      <c r="D123" s="1029">
        <f t="shared" si="46"/>
        <v>414895.15746644838</v>
      </c>
      <c r="E123" s="1030">
        <f t="shared" si="47"/>
        <v>158895.02253355156</v>
      </c>
      <c r="F123" s="1031">
        <f t="shared" si="48"/>
        <v>315166.09000000003</v>
      </c>
      <c r="G123" s="1367">
        <f t="shared" si="49"/>
        <v>235255.97</v>
      </c>
      <c r="H123" s="1369">
        <f t="shared" si="50"/>
        <v>0</v>
      </c>
      <c r="I123" s="1369">
        <f t="shared" si="51"/>
        <v>1124212.24</v>
      </c>
      <c r="J123" s="1370">
        <f t="shared" si="44"/>
        <v>235255.97</v>
      </c>
      <c r="K123" s="1365">
        <f t="shared" si="45"/>
        <v>550422.06000000006</v>
      </c>
      <c r="L123" s="1032"/>
      <c r="M123" s="1032"/>
      <c r="N123" s="1032"/>
      <c r="O123" s="1032"/>
      <c r="P123" s="1032"/>
      <c r="Q123" s="1032">
        <f t="shared" si="52"/>
        <v>0</v>
      </c>
      <c r="R123" s="1033"/>
      <c r="S123" s="1033"/>
      <c r="T123" s="1033"/>
      <c r="U123" s="1033"/>
      <c r="V123" s="1360"/>
      <c r="W123" s="1034">
        <f t="shared" si="53"/>
        <v>0</v>
      </c>
      <c r="X123" s="1034">
        <v>295636.8074664484</v>
      </c>
      <c r="Y123" s="1033">
        <v>158895.02253355156</v>
      </c>
      <c r="Z123" s="1033">
        <v>83375.05</v>
      </c>
      <c r="AA123" s="1033">
        <v>9657.23</v>
      </c>
      <c r="AB123" s="1360">
        <v>0</v>
      </c>
      <c r="AC123" s="1034">
        <f t="shared" si="54"/>
        <v>547564.11</v>
      </c>
      <c r="AD123" s="1034">
        <v>119258.35</v>
      </c>
      <c r="AE123" s="1033">
        <v>0</v>
      </c>
      <c r="AF123" s="1033">
        <v>231791.04</v>
      </c>
      <c r="AG123" s="1033">
        <v>225598.74</v>
      </c>
      <c r="AH123" s="1360">
        <v>0</v>
      </c>
      <c r="AI123" s="1034">
        <f t="shared" si="55"/>
        <v>576648.13</v>
      </c>
      <c r="AJ123" s="1034"/>
      <c r="AK123" s="1033"/>
      <c r="AL123" s="1033"/>
      <c r="AM123" s="1033"/>
      <c r="AN123" s="1360"/>
      <c r="AO123" s="1034">
        <f t="shared" si="56"/>
        <v>0</v>
      </c>
    </row>
    <row r="124" spans="1:41" ht="15" customHeight="1" x14ac:dyDescent="0.25">
      <c r="A124" s="711" t="s">
        <v>240</v>
      </c>
      <c r="B124" s="710" t="s">
        <v>241</v>
      </c>
      <c r="C124" s="914" t="s">
        <v>267</v>
      </c>
      <c r="D124" s="1029">
        <f t="shared" si="46"/>
        <v>1474453.3631791705</v>
      </c>
      <c r="E124" s="1030">
        <f t="shared" si="47"/>
        <v>548735.99682082958</v>
      </c>
      <c r="F124" s="1031">
        <f t="shared" si="48"/>
        <v>1187369.51</v>
      </c>
      <c r="G124" s="1367">
        <f t="shared" si="49"/>
        <v>14998.33</v>
      </c>
      <c r="H124" s="1369">
        <f t="shared" si="50"/>
        <v>0</v>
      </c>
      <c r="I124" s="1369">
        <f t="shared" si="51"/>
        <v>3225557.2</v>
      </c>
      <c r="J124" s="1370">
        <f t="shared" si="44"/>
        <v>14998.33</v>
      </c>
      <c r="K124" s="1365">
        <f t="shared" si="45"/>
        <v>1202367.8400000001</v>
      </c>
      <c r="L124" s="1032"/>
      <c r="M124" s="1032"/>
      <c r="N124" s="1032"/>
      <c r="O124" s="1032"/>
      <c r="P124" s="1032"/>
      <c r="Q124" s="1032">
        <f t="shared" si="52"/>
        <v>0</v>
      </c>
      <c r="R124" s="1033"/>
      <c r="S124" s="1033"/>
      <c r="T124" s="1033"/>
      <c r="U124" s="1033"/>
      <c r="V124" s="1360"/>
      <c r="W124" s="1034">
        <f t="shared" si="53"/>
        <v>0</v>
      </c>
      <c r="X124" s="1034">
        <v>1007828.0431791705</v>
      </c>
      <c r="Y124" s="1033">
        <v>548735.99682082958</v>
      </c>
      <c r="Z124" s="1033">
        <v>285521.34000000003</v>
      </c>
      <c r="AA124" s="1033">
        <v>7215.63</v>
      </c>
      <c r="AB124" s="1360">
        <v>0</v>
      </c>
      <c r="AC124" s="1034">
        <f t="shared" si="54"/>
        <v>1849301.01</v>
      </c>
      <c r="AD124" s="1034">
        <v>466625.32</v>
      </c>
      <c r="AE124" s="1033">
        <v>0</v>
      </c>
      <c r="AF124" s="1033">
        <v>901848.17</v>
      </c>
      <c r="AG124" s="1033">
        <v>7782.7</v>
      </c>
      <c r="AH124" s="1360">
        <v>0</v>
      </c>
      <c r="AI124" s="1034">
        <f t="shared" si="55"/>
        <v>1376256.19</v>
      </c>
      <c r="AJ124" s="1034"/>
      <c r="AK124" s="1033"/>
      <c r="AL124" s="1033"/>
      <c r="AM124" s="1033"/>
      <c r="AN124" s="1360"/>
      <c r="AO124" s="1034">
        <f t="shared" si="56"/>
        <v>0</v>
      </c>
    </row>
    <row r="125" spans="1:41" ht="15" customHeight="1" x14ac:dyDescent="0.25">
      <c r="A125" s="1482"/>
      <c r="B125" s="914"/>
      <c r="C125" s="914"/>
      <c r="D125" s="1483"/>
      <c r="E125" s="1483"/>
      <c r="F125" s="1483"/>
      <c r="G125" s="1483"/>
      <c r="H125" s="1483"/>
      <c r="I125" s="1483"/>
      <c r="J125" s="1365"/>
      <c r="K125" s="1365"/>
      <c r="L125" s="1484"/>
      <c r="M125" s="1484"/>
      <c r="N125" s="1484"/>
      <c r="O125" s="1484"/>
      <c r="P125" s="1484"/>
      <c r="Q125" s="1484"/>
      <c r="R125" s="1485"/>
      <c r="S125" s="1485"/>
      <c r="T125" s="1485"/>
      <c r="U125" s="1485"/>
      <c r="V125" s="1485"/>
      <c r="W125" s="1486"/>
      <c r="X125" s="1487"/>
      <c r="Y125" s="1488"/>
      <c r="Z125" s="1488"/>
      <c r="AA125" s="1488"/>
      <c r="AB125" s="1488"/>
      <c r="AC125" s="1487"/>
      <c r="AD125" s="1487"/>
      <c r="AE125" s="1488"/>
      <c r="AF125" s="1488"/>
      <c r="AG125" s="1488"/>
      <c r="AH125" s="1488"/>
      <c r="AI125" s="1487"/>
      <c r="AJ125" s="1487"/>
      <c r="AK125" s="1488"/>
      <c r="AL125" s="1488"/>
      <c r="AM125" s="1488"/>
      <c r="AN125" s="1488"/>
      <c r="AO125" s="1487"/>
    </row>
    <row r="126" spans="1:41" ht="15" customHeight="1" x14ac:dyDescent="0.25">
      <c r="A126" s="1482" t="s">
        <v>266</v>
      </c>
      <c r="B126" s="914"/>
      <c r="C126" s="914"/>
      <c r="D126" s="1777">
        <v>47184325.133241102</v>
      </c>
      <c r="E126" s="1777">
        <v>21514084.766758889</v>
      </c>
      <c r="F126" s="1777">
        <v>23738288.140000004</v>
      </c>
      <c r="G126" s="1777">
        <v>587636.88</v>
      </c>
      <c r="H126" s="1777">
        <v>0</v>
      </c>
      <c r="I126" s="1777">
        <f>SUM(D126:H126)</f>
        <v>93024334.919999987</v>
      </c>
      <c r="J126" s="1777">
        <f>G126+H126</f>
        <v>587636.88</v>
      </c>
      <c r="K126" s="1777">
        <f>F126+G126+H126</f>
        <v>24325925.020000003</v>
      </c>
      <c r="L126" s="1777">
        <v>468329.2</v>
      </c>
      <c r="M126" s="1777">
        <v>0</v>
      </c>
      <c r="N126" s="1777">
        <v>151572.54999999999</v>
      </c>
      <c r="O126" s="1777">
        <v>-0.25</v>
      </c>
      <c r="P126" s="1777">
        <v>0</v>
      </c>
      <c r="Q126" s="1777">
        <f>SUM(L126:P126)</f>
        <v>619901.5</v>
      </c>
      <c r="R126" s="1777">
        <v>603710.08000000007</v>
      </c>
      <c r="S126" s="1777">
        <v>198358.14</v>
      </c>
      <c r="T126" s="1777">
        <v>0</v>
      </c>
      <c r="U126" s="1777">
        <v>-0.22000000000000003</v>
      </c>
      <c r="V126" s="1777">
        <v>0</v>
      </c>
      <c r="W126" s="1777">
        <f>SUM(R126:V126)</f>
        <v>802068.00000000012</v>
      </c>
      <c r="X126" s="1777">
        <v>39692050.453241102</v>
      </c>
      <c r="Y126" s="1777">
        <v>21315726.626758888</v>
      </c>
      <c r="Z126" s="1777">
        <v>11190713.5</v>
      </c>
      <c r="AA126" s="1777">
        <v>442034.26999999996</v>
      </c>
      <c r="AB126" s="1777">
        <v>0</v>
      </c>
      <c r="AC126" s="1777">
        <f>SUM(X126:AB126)</f>
        <v>72640524.849999979</v>
      </c>
      <c r="AD126" s="1777">
        <v>6405917.0200000005</v>
      </c>
      <c r="AE126" s="1777">
        <v>0</v>
      </c>
      <c r="AF126" s="1777">
        <v>12396002.089999998</v>
      </c>
      <c r="AG126" s="1777">
        <v>145558.78999999995</v>
      </c>
      <c r="AH126" s="1777">
        <v>0</v>
      </c>
      <c r="AI126" s="1777">
        <f>SUM(AD126:AH126)</f>
        <v>18947477.899999999</v>
      </c>
      <c r="AJ126" s="1777">
        <v>14318.380000000001</v>
      </c>
      <c r="AK126" s="1777">
        <v>0</v>
      </c>
      <c r="AL126" s="1777">
        <v>0</v>
      </c>
      <c r="AM126" s="1777">
        <v>44.29</v>
      </c>
      <c r="AN126" s="1777">
        <v>0</v>
      </c>
      <c r="AO126" s="1777">
        <f>SUM(AJ126:AN126)</f>
        <v>14362.670000000002</v>
      </c>
    </row>
    <row r="127" spans="1:41" ht="15" customHeight="1" x14ac:dyDescent="0.25">
      <c r="A127" s="1482" t="s">
        <v>264</v>
      </c>
      <c r="B127" s="914"/>
      <c r="C127" s="914"/>
      <c r="D127" s="1777">
        <v>80298520.411067992</v>
      </c>
      <c r="E127" s="1777">
        <v>35757900.368931986</v>
      </c>
      <c r="F127" s="1777">
        <v>44835994.549999997</v>
      </c>
      <c r="G127" s="1777">
        <v>3378276.4200000004</v>
      </c>
      <c r="H127" s="1777">
        <v>3031.3599999999997</v>
      </c>
      <c r="I127" s="1777">
        <f t="shared" ref="I127:I130" si="57">SUM(D127:H127)</f>
        <v>164273723.10999998</v>
      </c>
      <c r="J127" s="1777">
        <f t="shared" ref="J127:J130" si="58">G127+H127</f>
        <v>3381307.7800000003</v>
      </c>
      <c r="K127" s="1777">
        <f t="shared" ref="K127:K130" si="59">F127+G127+H127</f>
        <v>48217302.329999998</v>
      </c>
      <c r="L127" s="1777">
        <v>81719.13</v>
      </c>
      <c r="M127" s="1777">
        <v>0</v>
      </c>
      <c r="N127" s="1777">
        <v>26665.03</v>
      </c>
      <c r="O127" s="1777">
        <v>-0.27999999999999997</v>
      </c>
      <c r="P127" s="1777">
        <v>0</v>
      </c>
      <c r="Q127" s="1777">
        <f t="shared" ref="Q127:Q130" si="60">SUM(L127:P127)</f>
        <v>108383.88</v>
      </c>
      <c r="R127" s="1777">
        <v>153284.56</v>
      </c>
      <c r="S127" s="1777">
        <v>50105.929999999993</v>
      </c>
      <c r="T127" s="1777">
        <v>0</v>
      </c>
      <c r="U127" s="1777">
        <v>-6714.84</v>
      </c>
      <c r="V127" s="1777">
        <v>6714.53</v>
      </c>
      <c r="W127" s="1777">
        <f t="shared" ref="W127:W130" si="61">SUM(R127:V127)</f>
        <v>203390.18</v>
      </c>
      <c r="X127" s="1777">
        <v>66609645.121068008</v>
      </c>
      <c r="Y127" s="1777">
        <v>35707794.438931987</v>
      </c>
      <c r="Z127" s="1777">
        <v>18768230.260000002</v>
      </c>
      <c r="AA127" s="1777">
        <v>2219350.3899999997</v>
      </c>
      <c r="AB127" s="1777">
        <v>0</v>
      </c>
      <c r="AC127" s="1777">
        <f t="shared" ref="AC127:AC130" si="62">SUM(X127:AB127)</f>
        <v>123305020.21000001</v>
      </c>
      <c r="AD127" s="1777">
        <v>13436033.359999998</v>
      </c>
      <c r="AE127" s="1777">
        <v>0</v>
      </c>
      <c r="AF127" s="1777">
        <v>26041099.259999998</v>
      </c>
      <c r="AG127" s="1777">
        <v>1165641.1499999999</v>
      </c>
      <c r="AH127" s="1777">
        <v>-3683.17</v>
      </c>
      <c r="AI127" s="1777">
        <f t="shared" ref="AI127:AI130" si="63">SUM(AD127:AH127)</f>
        <v>40639090.599999994</v>
      </c>
      <c r="AJ127" s="1777">
        <v>17838.240000000002</v>
      </c>
      <c r="AK127" s="1777">
        <v>0</v>
      </c>
      <c r="AL127" s="1777">
        <v>0</v>
      </c>
      <c r="AM127" s="1777">
        <v>0</v>
      </c>
      <c r="AN127" s="1777">
        <v>0</v>
      </c>
      <c r="AO127" s="1777">
        <f t="shared" ref="AO127:AO130" si="64">SUM(AJ127:AN127)</f>
        <v>17838.240000000002</v>
      </c>
    </row>
    <row r="128" spans="1:41" ht="15" customHeight="1" x14ac:dyDescent="0.25">
      <c r="A128" s="1482" t="s">
        <v>267</v>
      </c>
      <c r="B128" s="914"/>
      <c r="C128" s="914"/>
      <c r="D128" s="1777">
        <v>81146320.372992411</v>
      </c>
      <c r="E128" s="1777">
        <v>24747239.797007568</v>
      </c>
      <c r="F128" s="1777">
        <v>80218368.540000007</v>
      </c>
      <c r="G128" s="1777">
        <v>4545846.4000000004</v>
      </c>
      <c r="H128" s="1777">
        <v>0</v>
      </c>
      <c r="I128" s="1777">
        <f t="shared" si="57"/>
        <v>190657775.10999998</v>
      </c>
      <c r="J128" s="1777">
        <f t="shared" si="58"/>
        <v>4545846.4000000004</v>
      </c>
      <c r="K128" s="1777">
        <f t="shared" si="59"/>
        <v>84764214.940000013</v>
      </c>
      <c r="L128" s="1777">
        <v>347793.74000000005</v>
      </c>
      <c r="M128" s="1777">
        <v>0</v>
      </c>
      <c r="N128" s="1777">
        <v>114447.08999999998</v>
      </c>
      <c r="O128" s="1777">
        <v>-0.97</v>
      </c>
      <c r="P128" s="1777">
        <v>0</v>
      </c>
      <c r="Q128" s="1777">
        <f t="shared" si="60"/>
        <v>462239.86000000004</v>
      </c>
      <c r="R128" s="1777">
        <v>314692.64999999997</v>
      </c>
      <c r="S128" s="1777">
        <v>102512.48000000001</v>
      </c>
      <c r="T128" s="1777">
        <v>0</v>
      </c>
      <c r="U128" s="1777">
        <v>307.86</v>
      </c>
      <c r="V128" s="1777">
        <v>0</v>
      </c>
      <c r="W128" s="1777">
        <f t="shared" si="61"/>
        <v>417512.99</v>
      </c>
      <c r="X128" s="1777">
        <v>45160125.292992413</v>
      </c>
      <c r="Y128" s="1777">
        <v>24644727.317007571</v>
      </c>
      <c r="Z128" s="1777">
        <v>12804395.120000001</v>
      </c>
      <c r="AA128" s="1777">
        <v>1089736.5600000003</v>
      </c>
      <c r="AB128" s="1777">
        <v>0</v>
      </c>
      <c r="AC128" s="1777">
        <f t="shared" si="62"/>
        <v>83698984.289999992</v>
      </c>
      <c r="AD128" s="1777">
        <v>35322342.719999999</v>
      </c>
      <c r="AE128" s="1777">
        <v>0</v>
      </c>
      <c r="AF128" s="1777">
        <v>67299526.329999998</v>
      </c>
      <c r="AG128" s="1777">
        <v>3455802.9499999997</v>
      </c>
      <c r="AH128" s="1777">
        <v>0</v>
      </c>
      <c r="AI128" s="1777">
        <f t="shared" si="63"/>
        <v>106077672</v>
      </c>
      <c r="AJ128" s="1777">
        <v>1365.97</v>
      </c>
      <c r="AK128" s="1777">
        <v>0</v>
      </c>
      <c r="AL128" s="1777">
        <v>0</v>
      </c>
      <c r="AM128" s="1777">
        <v>0</v>
      </c>
      <c r="AN128" s="1777">
        <v>0</v>
      </c>
      <c r="AO128" s="1777">
        <f t="shared" si="64"/>
        <v>1365.97</v>
      </c>
    </row>
    <row r="129" spans="1:41" ht="15" customHeight="1" x14ac:dyDescent="0.25">
      <c r="A129" s="1482" t="s">
        <v>265</v>
      </c>
      <c r="B129" s="914"/>
      <c r="C129" s="914"/>
      <c r="D129" s="1777">
        <v>46558273.957380667</v>
      </c>
      <c r="E129" s="1777">
        <v>20184328.652619332</v>
      </c>
      <c r="F129" s="1777">
        <v>26729391.750000004</v>
      </c>
      <c r="G129" s="1777">
        <v>2658654.29</v>
      </c>
      <c r="H129" s="1777">
        <v>0</v>
      </c>
      <c r="I129" s="1777">
        <f t="shared" si="57"/>
        <v>96130648.650000006</v>
      </c>
      <c r="J129" s="1777">
        <f t="shared" si="58"/>
        <v>2658654.29</v>
      </c>
      <c r="K129" s="1777">
        <f t="shared" si="59"/>
        <v>29388046.040000003</v>
      </c>
      <c r="L129" s="1777">
        <v>586892.97</v>
      </c>
      <c r="M129" s="1777">
        <v>0</v>
      </c>
      <c r="N129" s="1777">
        <v>192743.47000000003</v>
      </c>
      <c r="O129" s="1777">
        <v>-0.71000000000000008</v>
      </c>
      <c r="P129" s="1777">
        <v>0</v>
      </c>
      <c r="Q129" s="1777">
        <f t="shared" si="60"/>
        <v>779635.73</v>
      </c>
      <c r="R129" s="1777">
        <v>275398.69</v>
      </c>
      <c r="S129" s="1777">
        <v>89283.75</v>
      </c>
      <c r="T129" s="1777">
        <v>0</v>
      </c>
      <c r="U129" s="1777">
        <v>-0.31</v>
      </c>
      <c r="V129" s="1777">
        <v>0</v>
      </c>
      <c r="W129" s="1777">
        <f t="shared" si="61"/>
        <v>364682.13</v>
      </c>
      <c r="X129" s="1777">
        <v>37425463.177380674</v>
      </c>
      <c r="Y129" s="1777">
        <v>20095044.902619328</v>
      </c>
      <c r="Z129" s="1777">
        <v>10551041.359999999</v>
      </c>
      <c r="AA129" s="1777">
        <v>1499805.93</v>
      </c>
      <c r="AB129" s="1777">
        <v>0</v>
      </c>
      <c r="AC129" s="1777">
        <f t="shared" si="62"/>
        <v>69571355.370000005</v>
      </c>
      <c r="AD129" s="1777">
        <v>8240336.4300000006</v>
      </c>
      <c r="AE129" s="1777">
        <v>0</v>
      </c>
      <c r="AF129" s="1777">
        <v>15985606.919999996</v>
      </c>
      <c r="AG129" s="1777">
        <v>1158849.3799999999</v>
      </c>
      <c r="AH129" s="1777">
        <v>0</v>
      </c>
      <c r="AI129" s="1777">
        <f t="shared" si="63"/>
        <v>25384792.729999997</v>
      </c>
      <c r="AJ129" s="1777">
        <v>30182.69</v>
      </c>
      <c r="AK129" s="1777">
        <v>0</v>
      </c>
      <c r="AL129" s="1777">
        <v>0</v>
      </c>
      <c r="AM129" s="1777">
        <v>0</v>
      </c>
      <c r="AN129" s="1777">
        <v>0</v>
      </c>
      <c r="AO129" s="1777">
        <f t="shared" si="64"/>
        <v>30182.69</v>
      </c>
    </row>
    <row r="130" spans="1:41" ht="15" customHeight="1" x14ac:dyDescent="0.25">
      <c r="A130" s="1482" t="s">
        <v>268</v>
      </c>
      <c r="B130" s="914"/>
      <c r="C130" s="914"/>
      <c r="D130" s="1777">
        <v>27222026.865317758</v>
      </c>
      <c r="E130" s="1777">
        <v>13507580.714682234</v>
      </c>
      <c r="F130" s="1777">
        <v>10851825.760000002</v>
      </c>
      <c r="G130" s="1777">
        <v>630364.17999999993</v>
      </c>
      <c r="H130" s="1777">
        <v>0</v>
      </c>
      <c r="I130" s="1777">
        <f t="shared" si="57"/>
        <v>52211797.519999988</v>
      </c>
      <c r="J130" s="1777">
        <f t="shared" si="58"/>
        <v>630364.17999999993</v>
      </c>
      <c r="K130" s="1777">
        <f t="shared" si="59"/>
        <v>11482189.940000001</v>
      </c>
      <c r="L130" s="1777">
        <v>0</v>
      </c>
      <c r="M130" s="1777">
        <v>0</v>
      </c>
      <c r="N130" s="1777">
        <v>0</v>
      </c>
      <c r="O130" s="1777">
        <v>0</v>
      </c>
      <c r="P130" s="1777">
        <v>0</v>
      </c>
      <c r="Q130" s="1777">
        <f t="shared" si="60"/>
        <v>0</v>
      </c>
      <c r="R130" s="1777">
        <v>15630.970000000001</v>
      </c>
      <c r="S130" s="1777">
        <v>5118.7900000000009</v>
      </c>
      <c r="T130" s="1777">
        <v>0</v>
      </c>
      <c r="U130" s="1777">
        <v>20.57</v>
      </c>
      <c r="V130" s="1777">
        <v>0</v>
      </c>
      <c r="W130" s="1777">
        <f t="shared" si="61"/>
        <v>20770.330000000002</v>
      </c>
      <c r="X130" s="1777">
        <v>25248012.725317769</v>
      </c>
      <c r="Y130" s="1777">
        <v>13502461.924682235</v>
      </c>
      <c r="Z130" s="1777">
        <v>7108003.8400000008</v>
      </c>
      <c r="AA130" s="1777">
        <v>598571.43000000005</v>
      </c>
      <c r="AB130" s="1777">
        <v>0</v>
      </c>
      <c r="AC130" s="1777">
        <f t="shared" si="62"/>
        <v>46457049.920000009</v>
      </c>
      <c r="AD130" s="1777">
        <v>1925550.2000000002</v>
      </c>
      <c r="AE130" s="1777">
        <v>0</v>
      </c>
      <c r="AF130" s="1777">
        <v>3743821.9199999995</v>
      </c>
      <c r="AG130" s="1777">
        <v>31772.180000000011</v>
      </c>
      <c r="AH130" s="1777">
        <v>0</v>
      </c>
      <c r="AI130" s="1777">
        <f t="shared" si="63"/>
        <v>5701144.2999999989</v>
      </c>
      <c r="AJ130" s="1777">
        <v>32832.97</v>
      </c>
      <c r="AK130" s="1777">
        <v>0</v>
      </c>
      <c r="AL130" s="1777">
        <v>0</v>
      </c>
      <c r="AM130" s="1777">
        <v>0</v>
      </c>
      <c r="AN130" s="1777">
        <v>0</v>
      </c>
      <c r="AO130" s="1777">
        <f t="shared" si="64"/>
        <v>32832.97</v>
      </c>
    </row>
    <row r="131" spans="1:41" ht="15" customHeight="1" x14ac:dyDescent="0.25">
      <c r="A131" s="1482" t="s">
        <v>9</v>
      </c>
      <c r="B131" s="914"/>
      <c r="C131" s="1489"/>
      <c r="D131" s="1777">
        <f t="shared" ref="D131" si="65">SUM(D126:D130)</f>
        <v>282409466.73999995</v>
      </c>
      <c r="E131" s="1777">
        <f t="shared" ref="E131:H131" si="66">SUM(E126:E130)</f>
        <v>115711134.30000001</v>
      </c>
      <c r="F131" s="1777">
        <f t="shared" si="66"/>
        <v>186373868.74000001</v>
      </c>
      <c r="G131" s="1777">
        <f t="shared" si="66"/>
        <v>11800778.170000002</v>
      </c>
      <c r="H131" s="1777">
        <f t="shared" si="66"/>
        <v>3031.3599999999997</v>
      </c>
      <c r="I131" s="1777">
        <f>SUM(I126:I130)</f>
        <v>596298279.30999994</v>
      </c>
      <c r="J131" s="1777">
        <f>SUM(J126:J130)</f>
        <v>11803809.530000001</v>
      </c>
      <c r="K131" s="1777">
        <f>SUM(K126:K130)</f>
        <v>198177678.27000001</v>
      </c>
      <c r="L131" s="1778">
        <f t="shared" ref="L131:P131" si="67">SUM(L126:L130)</f>
        <v>1484735.04</v>
      </c>
      <c r="M131" s="1778">
        <f t="shared" si="67"/>
        <v>0</v>
      </c>
      <c r="N131" s="1778">
        <f t="shared" si="67"/>
        <v>485428.14</v>
      </c>
      <c r="O131" s="1778">
        <f t="shared" si="67"/>
        <v>-2.21</v>
      </c>
      <c r="P131" s="1778">
        <f t="shared" si="67"/>
        <v>0</v>
      </c>
      <c r="Q131" s="1778">
        <f>SUM(Q126:Q130)</f>
        <v>1970160.97</v>
      </c>
      <c r="R131" s="1778">
        <f t="shared" ref="R131:V131" si="68">SUM(R126:R130)</f>
        <v>1362716.95</v>
      </c>
      <c r="S131" s="1778">
        <f t="shared" si="68"/>
        <v>445379.09</v>
      </c>
      <c r="T131" s="1778">
        <f t="shared" si="68"/>
        <v>0</v>
      </c>
      <c r="U131" s="1778">
        <f t="shared" si="68"/>
        <v>-6386.9400000000014</v>
      </c>
      <c r="V131" s="1778">
        <f t="shared" si="68"/>
        <v>6714.53</v>
      </c>
      <c r="W131" s="1778">
        <f>SUM(W126:W130)</f>
        <v>1808423.6300000004</v>
      </c>
      <c r="X131" s="1778">
        <f t="shared" ref="X131:AB131" si="69">SUM(X126:X130)</f>
        <v>214135296.76999998</v>
      </c>
      <c r="Y131" s="1778">
        <f t="shared" si="69"/>
        <v>115265755.21000001</v>
      </c>
      <c r="Z131" s="1778">
        <f t="shared" si="69"/>
        <v>60422384.080000006</v>
      </c>
      <c r="AA131" s="1778">
        <f t="shared" si="69"/>
        <v>5849498.5799999991</v>
      </c>
      <c r="AB131" s="1778">
        <f t="shared" si="69"/>
        <v>0</v>
      </c>
      <c r="AC131" s="1778">
        <f>SUM(AC126:AC130)</f>
        <v>395672934.64000005</v>
      </c>
      <c r="AD131" s="1778">
        <f t="shared" ref="AD131:AH131" si="70">SUM(AD126:AD130)</f>
        <v>65330179.729999997</v>
      </c>
      <c r="AE131" s="1778">
        <f t="shared" si="70"/>
        <v>0</v>
      </c>
      <c r="AF131" s="1778">
        <f t="shared" si="70"/>
        <v>125466056.52</v>
      </c>
      <c r="AG131" s="1778">
        <f t="shared" si="70"/>
        <v>5957624.4499999993</v>
      </c>
      <c r="AH131" s="1778">
        <f t="shared" si="70"/>
        <v>-3683.17</v>
      </c>
      <c r="AI131" s="1778">
        <f>SUM(AI126:AI130)</f>
        <v>196750177.53</v>
      </c>
      <c r="AJ131" s="1778">
        <f t="shared" ref="AJ131:AN131" si="71">SUM(AJ126:AJ130)</f>
        <v>96538.25</v>
      </c>
      <c r="AK131" s="1778">
        <f t="shared" si="71"/>
        <v>0</v>
      </c>
      <c r="AL131" s="1778">
        <f t="shared" si="71"/>
        <v>0</v>
      </c>
      <c r="AM131" s="1778">
        <f t="shared" si="71"/>
        <v>44.29</v>
      </c>
      <c r="AN131" s="1778">
        <f t="shared" si="71"/>
        <v>0</v>
      </c>
      <c r="AO131" s="1778">
        <f>SUM(AO126:AO130)</f>
        <v>96582.540000000008</v>
      </c>
    </row>
    <row r="132" spans="1:41" x14ac:dyDescent="0.25">
      <c r="L132" s="1697"/>
      <c r="M132" s="1697"/>
      <c r="N132" s="1697"/>
      <c r="O132" s="1697"/>
      <c r="P132" s="1697"/>
      <c r="Q132" s="1697"/>
      <c r="R132" s="1361"/>
      <c r="S132" s="1361"/>
      <c r="T132" s="1361"/>
      <c r="U132" s="1361"/>
      <c r="V132" s="1361"/>
      <c r="W132" s="1361"/>
      <c r="X132" s="1361"/>
      <c r="AD132" s="1361"/>
      <c r="AJ132" s="1361"/>
    </row>
    <row r="133" spans="1:41" s="392" customFormat="1" x14ac:dyDescent="0.25">
      <c r="A133" s="986" t="s">
        <v>1249</v>
      </c>
      <c r="B133" s="712"/>
      <c r="C133" s="712"/>
      <c r="D133" s="1003"/>
      <c r="E133" s="1003"/>
      <c r="F133" s="1003"/>
      <c r="G133" s="1003"/>
      <c r="H133" s="1003"/>
      <c r="I133" s="1003"/>
      <c r="J133" s="1003"/>
      <c r="K133" s="1003"/>
      <c r="L133" s="1003"/>
      <c r="M133" s="1003"/>
      <c r="N133" s="1003"/>
      <c r="O133" s="1003"/>
      <c r="P133" s="1003"/>
      <c r="Q133" s="1003"/>
      <c r="R133" s="1004"/>
      <c r="S133" s="1004"/>
      <c r="T133" s="1004"/>
      <c r="U133" s="1004"/>
      <c r="V133" s="1004"/>
      <c r="W133" s="1004"/>
      <c r="X133" s="1004"/>
      <c r="AD133" s="1004"/>
      <c r="AJ133" s="1004"/>
    </row>
    <row r="134" spans="1:41" s="392" customFormat="1" x14ac:dyDescent="0.25">
      <c r="D134" s="1003"/>
      <c r="E134" s="1003"/>
      <c r="F134" s="1003"/>
      <c r="G134" s="1003"/>
      <c r="H134" s="1003"/>
      <c r="I134" s="1003"/>
      <c r="J134" s="1003"/>
      <c r="K134" s="1003"/>
      <c r="L134" s="1003"/>
      <c r="M134" s="1003"/>
      <c r="N134" s="1003"/>
      <c r="O134" s="1003"/>
      <c r="P134" s="1003"/>
      <c r="Q134" s="1003"/>
      <c r="R134" s="1004"/>
      <c r="S134" s="1004"/>
      <c r="T134" s="1004"/>
      <c r="U134" s="1004"/>
      <c r="V134" s="1004"/>
      <c r="W134" s="1004"/>
      <c r="X134" s="1004"/>
      <c r="AD134" s="1004"/>
      <c r="AJ134" s="1004"/>
    </row>
    <row r="135" spans="1:41" s="412" customFormat="1" x14ac:dyDescent="0.25">
      <c r="A135" s="412" t="s">
        <v>248</v>
      </c>
      <c r="D135" s="1005"/>
      <c r="E135" s="1005"/>
      <c r="F135" s="1005"/>
      <c r="G135" s="1005"/>
      <c r="H135" s="1005"/>
      <c r="I135" s="1005"/>
      <c r="J135" s="1005"/>
      <c r="K135" s="1005"/>
      <c r="L135" s="1005"/>
      <c r="M135" s="1005"/>
      <c r="N135" s="1005"/>
      <c r="O135" s="1005"/>
      <c r="P135" s="1005"/>
      <c r="Q135" s="1005"/>
      <c r="R135" s="1006"/>
      <c r="S135" s="1006"/>
      <c r="T135" s="1006"/>
      <c r="U135" s="1006"/>
      <c r="V135" s="1006"/>
      <c r="W135" s="1006"/>
      <c r="X135" s="1006"/>
      <c r="AD135" s="1006"/>
      <c r="AJ135" s="1006"/>
    </row>
    <row r="136" spans="1:41" x14ac:dyDescent="0.25">
      <c r="A136" s="413" t="s">
        <v>249</v>
      </c>
      <c r="B136" s="414" t="s">
        <v>250</v>
      </c>
      <c r="C136" s="414"/>
    </row>
  </sheetData>
  <autoFilter ref="A3:C124"/>
  <sortState ref="A5:CE124">
    <sortCondition ref="A5:A124"/>
  </sortState>
  <hyperlinks>
    <hyperlink ref="B136" r:id="rId1"/>
  </hyperlinks>
  <pageMargins left="0.7" right="0.7" top="0.75" bottom="0.75" header="0.3" footer="0.3"/>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136"/>
  <sheetViews>
    <sheetView workbookViewId="0">
      <pane xSplit="3" ySplit="4" topLeftCell="D109" activePane="bottomRight" state="frozen"/>
      <selection pane="topRight" activeCell="D1" sqref="D1"/>
      <selection pane="bottomLeft" activeCell="A5" sqref="A5"/>
      <selection pane="bottomRight" activeCell="T131" sqref="T131"/>
    </sheetView>
  </sheetViews>
  <sheetFormatPr defaultRowHeight="15.75" x14ac:dyDescent="0.25"/>
  <cols>
    <col min="1" max="1" width="9.375" style="270" customWidth="1"/>
    <col min="2" max="2" width="29.75" style="270" customWidth="1"/>
    <col min="3" max="3" width="18.625" style="270" customWidth="1"/>
    <col min="4" max="4" width="12.75" style="270" customWidth="1"/>
    <col min="5" max="5" width="8.375" style="270" bestFit="1" customWidth="1"/>
    <col min="6" max="6" width="11.5" style="270" bestFit="1" customWidth="1"/>
    <col min="7" max="7" width="13.375" style="270" customWidth="1"/>
    <col min="8" max="8" width="11.875" style="270" customWidth="1"/>
    <col min="9" max="9" width="13.375" style="270" customWidth="1"/>
    <col min="10" max="11" width="13.625" style="270" customWidth="1"/>
    <col min="12" max="12" width="10.875" style="270" customWidth="1"/>
    <col min="13" max="13" width="10.875" style="703" bestFit="1" customWidth="1"/>
    <col min="14" max="14" width="9.25" style="270" bestFit="1" customWidth="1"/>
    <col min="15" max="15" width="10.375" style="270" customWidth="1"/>
    <col min="16" max="16" width="9.25" style="270" customWidth="1"/>
    <col min="17" max="17" width="11" style="270" bestFit="1" customWidth="1"/>
    <col min="18" max="18" width="13" style="270" customWidth="1"/>
    <col min="19" max="19" width="12.25" style="270" customWidth="1"/>
    <col min="20" max="20" width="12.625" style="270" customWidth="1"/>
    <col min="21" max="21" width="10.125" style="270" customWidth="1"/>
    <col min="22" max="22" width="12.75" style="270" customWidth="1"/>
    <col min="23" max="23" width="11.875" style="270" customWidth="1"/>
    <col min="24" max="16384" width="9" style="270"/>
  </cols>
  <sheetData>
    <row r="1" spans="1:23" x14ac:dyDescent="0.25">
      <c r="A1" s="64" t="s">
        <v>1247</v>
      </c>
      <c r="J1" s="718"/>
      <c r="K1" s="718"/>
      <c r="L1" s="718"/>
      <c r="N1" s="718"/>
      <c r="O1" s="718"/>
      <c r="P1" s="718"/>
    </row>
    <row r="2" spans="1:23" x14ac:dyDescent="0.25">
      <c r="J2" s="718"/>
      <c r="K2" s="718"/>
      <c r="L2" s="718"/>
      <c r="N2" s="718"/>
      <c r="O2" s="718"/>
      <c r="P2" s="718"/>
    </row>
    <row r="3" spans="1:23" s="719" customFormat="1" ht="47.25" x14ac:dyDescent="0.25">
      <c r="A3" s="722" t="s">
        <v>4</v>
      </c>
      <c r="B3" s="723" t="s">
        <v>5</v>
      </c>
      <c r="C3" s="915" t="s">
        <v>251</v>
      </c>
      <c r="D3" s="724" t="s">
        <v>314</v>
      </c>
      <c r="E3" s="725" t="s">
        <v>315</v>
      </c>
      <c r="F3" s="717" t="s">
        <v>316</v>
      </c>
      <c r="G3" s="726" t="s">
        <v>951</v>
      </c>
      <c r="H3" s="1372" t="s">
        <v>952</v>
      </c>
      <c r="I3" s="1372" t="s">
        <v>281</v>
      </c>
      <c r="J3" s="1000" t="s">
        <v>953</v>
      </c>
      <c r="K3" s="1000" t="s">
        <v>954</v>
      </c>
      <c r="L3" s="804" t="s">
        <v>319</v>
      </c>
      <c r="M3" s="1007" t="s">
        <v>593</v>
      </c>
      <c r="N3" s="805" t="s">
        <v>320</v>
      </c>
      <c r="O3" s="1371" t="s">
        <v>956</v>
      </c>
      <c r="P3" s="1371" t="s">
        <v>957</v>
      </c>
      <c r="Q3" s="806" t="s">
        <v>321</v>
      </c>
      <c r="R3" s="804" t="s">
        <v>979</v>
      </c>
      <c r="S3" s="805" t="s">
        <v>980</v>
      </c>
      <c r="T3" s="805" t="s">
        <v>981</v>
      </c>
      <c r="U3" s="1371" t="s">
        <v>982</v>
      </c>
      <c r="V3" s="1371" t="s">
        <v>983</v>
      </c>
      <c r="W3" s="1371" t="s">
        <v>984</v>
      </c>
    </row>
    <row r="4" spans="1:23" x14ac:dyDescent="0.25">
      <c r="A4" s="715">
        <v>999</v>
      </c>
      <c r="B4" s="720" t="s">
        <v>9</v>
      </c>
      <c r="C4" s="916"/>
      <c r="D4" s="1015">
        <f t="shared" ref="D4:P4" si="0">SUM(D5:D124)</f>
        <v>18071431.249999989</v>
      </c>
      <c r="E4" s="1016">
        <f t="shared" si="0"/>
        <v>0</v>
      </c>
      <c r="F4" s="1017">
        <f t="shared" si="0"/>
        <v>18071431.249999989</v>
      </c>
      <c r="G4" s="1018">
        <f t="shared" si="0"/>
        <v>749159.67</v>
      </c>
      <c r="H4" s="1018">
        <f t="shared" si="0"/>
        <v>31030187.110000007</v>
      </c>
      <c r="I4" s="1839">
        <f t="shared" si="0"/>
        <v>67922209.279999986</v>
      </c>
      <c r="J4" s="1017">
        <f t="shared" si="0"/>
        <v>31779346.779999994</v>
      </c>
      <c r="K4" s="1017">
        <f t="shared" si="0"/>
        <v>49850778.029999986</v>
      </c>
      <c r="L4" s="1009">
        <f t="shared" si="0"/>
        <v>0</v>
      </c>
      <c r="M4" s="1008">
        <f t="shared" si="0"/>
        <v>0</v>
      </c>
      <c r="N4" s="1008">
        <f t="shared" si="0"/>
        <v>0</v>
      </c>
      <c r="O4" s="1008">
        <f t="shared" si="0"/>
        <v>749159.67</v>
      </c>
      <c r="P4" s="1008">
        <f t="shared" si="0"/>
        <v>0</v>
      </c>
      <c r="Q4" s="1855">
        <f t="shared" ref="Q4" si="1">SUM(Q5:Q124)</f>
        <v>749159.67</v>
      </c>
      <c r="R4" s="1009">
        <f t="shared" ref="R4:U4" si="2">SUM(R5:R124)</f>
        <v>18071431.249999989</v>
      </c>
      <c r="S4" s="1008">
        <f t="shared" si="2"/>
        <v>0</v>
      </c>
      <c r="T4" s="1008">
        <f t="shared" si="2"/>
        <v>18071431.249999989</v>
      </c>
      <c r="U4" s="1008">
        <f t="shared" si="2"/>
        <v>0</v>
      </c>
      <c r="V4" s="1008">
        <f t="shared" ref="V4:W4" si="3">SUM(V5:V124)</f>
        <v>31030187.110000007</v>
      </c>
      <c r="W4" s="1008">
        <f t="shared" si="3"/>
        <v>67173049.609999999</v>
      </c>
    </row>
    <row r="5" spans="1:23" ht="15" customHeight="1" x14ac:dyDescent="0.25">
      <c r="A5" s="716" t="s">
        <v>10</v>
      </c>
      <c r="B5" s="721" t="s">
        <v>11</v>
      </c>
      <c r="C5" s="917" t="s">
        <v>264</v>
      </c>
      <c r="D5" s="1019">
        <f t="shared" ref="D5:D36" si="4">L5+R5</f>
        <v>61400.800000000003</v>
      </c>
      <c r="E5" s="1019">
        <f t="shared" ref="E5:E36" si="5">M5+S5</f>
        <v>0</v>
      </c>
      <c r="F5" s="1019">
        <f t="shared" ref="F5:F36" si="6">N5+T5</f>
        <v>61400.800000000003</v>
      </c>
      <c r="G5" s="1021">
        <f t="shared" ref="G5:G36" si="7">O5+U5</f>
        <v>1170</v>
      </c>
      <c r="H5" s="1021">
        <f t="shared" ref="H5:H36" si="8">P5+V5</f>
        <v>105430.40000000001</v>
      </c>
      <c r="I5" s="1373">
        <f t="shared" ref="I5:I36" si="9">SUM(D5:H5)</f>
        <v>229402</v>
      </c>
      <c r="J5" s="1020">
        <f t="shared" ref="J5:J36" si="10">G5+H5</f>
        <v>106600.40000000001</v>
      </c>
      <c r="K5" s="1373">
        <f t="shared" ref="K5:K36" si="11">F5+J5</f>
        <v>168001.2</v>
      </c>
      <c r="L5" s="1014">
        <v>0</v>
      </c>
      <c r="M5" s="1010">
        <v>0</v>
      </c>
      <c r="N5" s="1010">
        <v>0</v>
      </c>
      <c r="O5" s="1010">
        <v>1170</v>
      </c>
      <c r="P5" s="1010">
        <v>0</v>
      </c>
      <c r="Q5" s="1011">
        <f t="shared" ref="Q5:Q36" si="12">SUM(L5:P5)</f>
        <v>1170</v>
      </c>
      <c r="R5" s="1012">
        <v>61400.800000000003</v>
      </c>
      <c r="S5" s="1013">
        <v>0</v>
      </c>
      <c r="T5" s="1013">
        <v>61400.800000000003</v>
      </c>
      <c r="U5" s="1013">
        <v>0</v>
      </c>
      <c r="V5" s="1013">
        <v>105430.40000000001</v>
      </c>
      <c r="W5" s="1013">
        <f t="shared" ref="W5:W36" si="13">SUM(R5:V5)</f>
        <v>228232</v>
      </c>
    </row>
    <row r="6" spans="1:23" ht="15" customHeight="1" x14ac:dyDescent="0.25">
      <c r="A6" s="716" t="s">
        <v>12</v>
      </c>
      <c r="B6" s="721" t="s">
        <v>13</v>
      </c>
      <c r="C6" s="917" t="s">
        <v>265</v>
      </c>
      <c r="D6" s="1019">
        <f t="shared" si="4"/>
        <v>476189.5</v>
      </c>
      <c r="E6" s="1019">
        <f t="shared" si="5"/>
        <v>0</v>
      </c>
      <c r="F6" s="1019">
        <f t="shared" si="6"/>
        <v>476189.5</v>
      </c>
      <c r="G6" s="1021">
        <f t="shared" si="7"/>
        <v>27528.19</v>
      </c>
      <c r="H6" s="1021">
        <f t="shared" si="8"/>
        <v>817658.00000000012</v>
      </c>
      <c r="I6" s="1373">
        <f t="shared" si="9"/>
        <v>1797565.19</v>
      </c>
      <c r="J6" s="1020">
        <f t="shared" si="10"/>
        <v>845186.19000000006</v>
      </c>
      <c r="K6" s="1373">
        <f t="shared" si="11"/>
        <v>1321375.69</v>
      </c>
      <c r="L6" s="1022">
        <v>0</v>
      </c>
      <c r="M6" s="1010">
        <v>0</v>
      </c>
      <c r="N6" s="1010">
        <v>0</v>
      </c>
      <c r="O6" s="1010">
        <v>27528.19</v>
      </c>
      <c r="P6" s="1010">
        <v>0</v>
      </c>
      <c r="Q6" s="1011">
        <f t="shared" si="12"/>
        <v>27528.19</v>
      </c>
      <c r="R6" s="1012">
        <v>476189.5</v>
      </c>
      <c r="S6" s="1013">
        <v>0</v>
      </c>
      <c r="T6" s="1013">
        <v>476189.5</v>
      </c>
      <c r="U6" s="1013">
        <v>0</v>
      </c>
      <c r="V6" s="1013">
        <v>817658.00000000012</v>
      </c>
      <c r="W6" s="1013">
        <f t="shared" si="13"/>
        <v>1770037</v>
      </c>
    </row>
    <row r="7" spans="1:23" ht="15" customHeight="1" x14ac:dyDescent="0.25">
      <c r="A7" s="716" t="s">
        <v>16</v>
      </c>
      <c r="B7" s="721" t="s">
        <v>297</v>
      </c>
      <c r="C7" s="917" t="s">
        <v>265</v>
      </c>
      <c r="D7" s="1019">
        <f t="shared" si="4"/>
        <v>82618.5</v>
      </c>
      <c r="E7" s="1019">
        <f t="shared" si="5"/>
        <v>0</v>
      </c>
      <c r="F7" s="1019">
        <f t="shared" si="6"/>
        <v>82618.5</v>
      </c>
      <c r="G7" s="1021">
        <f t="shared" si="7"/>
        <v>344</v>
      </c>
      <c r="H7" s="1021">
        <f t="shared" si="8"/>
        <v>141863</v>
      </c>
      <c r="I7" s="1373">
        <f t="shared" si="9"/>
        <v>307444</v>
      </c>
      <c r="J7" s="1020">
        <f t="shared" si="10"/>
        <v>142207</v>
      </c>
      <c r="K7" s="1373">
        <f t="shared" si="11"/>
        <v>224825.5</v>
      </c>
      <c r="L7" s="1023">
        <v>0</v>
      </c>
      <c r="M7" s="1013">
        <v>0</v>
      </c>
      <c r="N7" s="1013">
        <v>0</v>
      </c>
      <c r="O7" s="1013">
        <v>344</v>
      </c>
      <c r="P7" s="1013">
        <v>0</v>
      </c>
      <c r="Q7" s="1011">
        <f t="shared" si="12"/>
        <v>344</v>
      </c>
      <c r="R7" s="1012">
        <v>82618.5</v>
      </c>
      <c r="S7" s="1013">
        <v>0</v>
      </c>
      <c r="T7" s="1013">
        <v>82618.5</v>
      </c>
      <c r="U7" s="1013">
        <v>0</v>
      </c>
      <c r="V7" s="1013">
        <v>141863</v>
      </c>
      <c r="W7" s="1013">
        <f t="shared" si="13"/>
        <v>307100</v>
      </c>
    </row>
    <row r="8" spans="1:23" ht="15" customHeight="1" x14ac:dyDescent="0.25">
      <c r="A8" s="716" t="s">
        <v>18</v>
      </c>
      <c r="B8" s="721" t="s">
        <v>19</v>
      </c>
      <c r="C8" s="917" t="s">
        <v>266</v>
      </c>
      <c r="D8" s="1019">
        <f t="shared" si="4"/>
        <v>47758.13</v>
      </c>
      <c r="E8" s="1019">
        <f t="shared" si="5"/>
        <v>0</v>
      </c>
      <c r="F8" s="1019">
        <f t="shared" si="6"/>
        <v>47758.13</v>
      </c>
      <c r="G8" s="1021">
        <f t="shared" si="7"/>
        <v>0</v>
      </c>
      <c r="H8" s="1021">
        <f t="shared" si="8"/>
        <v>82004.740000000005</v>
      </c>
      <c r="I8" s="1373">
        <f t="shared" si="9"/>
        <v>177521</v>
      </c>
      <c r="J8" s="1020">
        <f t="shared" si="10"/>
        <v>82004.740000000005</v>
      </c>
      <c r="K8" s="1373">
        <f t="shared" si="11"/>
        <v>129762.87</v>
      </c>
      <c r="L8" s="1023"/>
      <c r="M8" s="1013"/>
      <c r="N8" s="1013"/>
      <c r="O8" s="1013"/>
      <c r="P8" s="1013"/>
      <c r="Q8" s="1011">
        <f t="shared" si="12"/>
        <v>0</v>
      </c>
      <c r="R8" s="1012">
        <v>47758.13</v>
      </c>
      <c r="S8" s="1013">
        <v>0</v>
      </c>
      <c r="T8" s="1013">
        <v>47758.13</v>
      </c>
      <c r="U8" s="1013">
        <v>0</v>
      </c>
      <c r="V8" s="1013">
        <v>82004.740000000005</v>
      </c>
      <c r="W8" s="1013">
        <f t="shared" si="13"/>
        <v>177521</v>
      </c>
    </row>
    <row r="9" spans="1:23" ht="15" customHeight="1" x14ac:dyDescent="0.25">
      <c r="A9" s="716" t="s">
        <v>20</v>
      </c>
      <c r="B9" s="721" t="s">
        <v>21</v>
      </c>
      <c r="C9" s="917" t="s">
        <v>265</v>
      </c>
      <c r="D9" s="1019">
        <f t="shared" si="4"/>
        <v>40744.29</v>
      </c>
      <c r="E9" s="1019">
        <f t="shared" si="5"/>
        <v>0</v>
      </c>
      <c r="F9" s="1019">
        <f t="shared" si="6"/>
        <v>40744.29</v>
      </c>
      <c r="G9" s="1021">
        <f t="shared" si="7"/>
        <v>0</v>
      </c>
      <c r="H9" s="1021">
        <f t="shared" si="8"/>
        <v>69961.420000000013</v>
      </c>
      <c r="I9" s="1373">
        <f t="shared" si="9"/>
        <v>151450</v>
      </c>
      <c r="J9" s="1020">
        <f t="shared" si="10"/>
        <v>69961.420000000013</v>
      </c>
      <c r="K9" s="1373">
        <f t="shared" si="11"/>
        <v>110705.71000000002</v>
      </c>
      <c r="L9" s="1023"/>
      <c r="M9" s="1013"/>
      <c r="N9" s="1013"/>
      <c r="O9" s="1013"/>
      <c r="P9" s="1013"/>
      <c r="Q9" s="1011">
        <f t="shared" si="12"/>
        <v>0</v>
      </c>
      <c r="R9" s="1012">
        <v>40744.29</v>
      </c>
      <c r="S9" s="1013">
        <v>0</v>
      </c>
      <c r="T9" s="1013">
        <v>40744.29</v>
      </c>
      <c r="U9" s="1013">
        <v>0</v>
      </c>
      <c r="V9" s="1013">
        <v>69961.420000000013</v>
      </c>
      <c r="W9" s="1013">
        <f t="shared" si="13"/>
        <v>151450</v>
      </c>
    </row>
    <row r="10" spans="1:23" ht="15" customHeight="1" x14ac:dyDescent="0.25">
      <c r="A10" s="716" t="s">
        <v>22</v>
      </c>
      <c r="B10" s="721" t="s">
        <v>23</v>
      </c>
      <c r="C10" s="917" t="s">
        <v>265</v>
      </c>
      <c r="D10" s="1019">
        <f t="shared" si="4"/>
        <v>37336.239999999998</v>
      </c>
      <c r="E10" s="1019">
        <f t="shared" si="5"/>
        <v>0</v>
      </c>
      <c r="F10" s="1019">
        <f t="shared" si="6"/>
        <v>37336.239999999998</v>
      </c>
      <c r="G10" s="1021">
        <f t="shared" si="7"/>
        <v>0</v>
      </c>
      <c r="H10" s="1021">
        <f t="shared" si="8"/>
        <v>64109.520000000004</v>
      </c>
      <c r="I10" s="1373">
        <f t="shared" si="9"/>
        <v>138782</v>
      </c>
      <c r="J10" s="1020">
        <f t="shared" si="10"/>
        <v>64109.520000000004</v>
      </c>
      <c r="K10" s="1373">
        <f t="shared" si="11"/>
        <v>101445.76000000001</v>
      </c>
      <c r="L10" s="1023"/>
      <c r="M10" s="1013"/>
      <c r="N10" s="1013"/>
      <c r="O10" s="1013"/>
      <c r="P10" s="1013"/>
      <c r="Q10" s="1011">
        <f t="shared" si="12"/>
        <v>0</v>
      </c>
      <c r="R10" s="1012">
        <v>37336.239999999998</v>
      </c>
      <c r="S10" s="1013">
        <v>0</v>
      </c>
      <c r="T10" s="1013">
        <v>37336.239999999998</v>
      </c>
      <c r="U10" s="1013">
        <v>0</v>
      </c>
      <c r="V10" s="1013">
        <v>64109.520000000004</v>
      </c>
      <c r="W10" s="1013">
        <f t="shared" si="13"/>
        <v>138782</v>
      </c>
    </row>
    <row r="11" spans="1:23" ht="15" customHeight="1" x14ac:dyDescent="0.25">
      <c r="A11" s="716" t="s">
        <v>24</v>
      </c>
      <c r="B11" s="721" t="s">
        <v>25</v>
      </c>
      <c r="C11" s="917" t="s">
        <v>267</v>
      </c>
      <c r="D11" s="1019">
        <f t="shared" si="4"/>
        <v>1029396.36</v>
      </c>
      <c r="E11" s="1019">
        <f t="shared" si="5"/>
        <v>0</v>
      </c>
      <c r="F11" s="1019">
        <f t="shared" si="6"/>
        <v>1029396.36</v>
      </c>
      <c r="G11" s="1021">
        <f t="shared" si="7"/>
        <v>0</v>
      </c>
      <c r="H11" s="1021">
        <f t="shared" si="8"/>
        <v>1767561.28</v>
      </c>
      <c r="I11" s="1373">
        <f t="shared" si="9"/>
        <v>3826354</v>
      </c>
      <c r="J11" s="1020">
        <f t="shared" si="10"/>
        <v>1767561.28</v>
      </c>
      <c r="K11" s="1373">
        <f t="shared" si="11"/>
        <v>2796957.64</v>
      </c>
      <c r="L11" s="1023"/>
      <c r="M11" s="1013"/>
      <c r="N11" s="1013"/>
      <c r="O11" s="1013"/>
      <c r="P11" s="1013"/>
      <c r="Q11" s="1011">
        <f t="shared" si="12"/>
        <v>0</v>
      </c>
      <c r="R11" s="1012">
        <v>1029396.36</v>
      </c>
      <c r="S11" s="1013">
        <v>0</v>
      </c>
      <c r="T11" s="1013">
        <v>1029396.36</v>
      </c>
      <c r="U11" s="1013">
        <v>0</v>
      </c>
      <c r="V11" s="1013">
        <v>1767561.28</v>
      </c>
      <c r="W11" s="1013">
        <f t="shared" si="13"/>
        <v>3826354</v>
      </c>
    </row>
    <row r="12" spans="1:23" ht="15" customHeight="1" x14ac:dyDescent="0.25">
      <c r="A12" s="716" t="s">
        <v>26</v>
      </c>
      <c r="B12" s="721" t="s">
        <v>686</v>
      </c>
      <c r="C12" s="917" t="s">
        <v>265</v>
      </c>
      <c r="D12" s="1019">
        <f t="shared" si="4"/>
        <v>156403.45000000001</v>
      </c>
      <c r="E12" s="1019">
        <f t="shared" si="5"/>
        <v>0</v>
      </c>
      <c r="F12" s="1019">
        <f t="shared" si="6"/>
        <v>156403.45000000001</v>
      </c>
      <c r="G12" s="1021">
        <f t="shared" si="7"/>
        <v>1051.51</v>
      </c>
      <c r="H12" s="1021">
        <f t="shared" si="8"/>
        <v>268558.09999999998</v>
      </c>
      <c r="I12" s="1373">
        <f t="shared" si="9"/>
        <v>582416.51</v>
      </c>
      <c r="J12" s="1020">
        <f t="shared" si="10"/>
        <v>269609.61</v>
      </c>
      <c r="K12" s="1373">
        <f t="shared" si="11"/>
        <v>426013.06</v>
      </c>
      <c r="L12" s="1022">
        <v>0</v>
      </c>
      <c r="M12" s="1010">
        <v>0</v>
      </c>
      <c r="N12" s="1010">
        <v>0</v>
      </c>
      <c r="O12" s="1010">
        <v>1051.51</v>
      </c>
      <c r="P12" s="1010">
        <v>0</v>
      </c>
      <c r="Q12" s="1011">
        <f t="shared" si="12"/>
        <v>1051.51</v>
      </c>
      <c r="R12" s="1012">
        <v>156403.45000000001</v>
      </c>
      <c r="S12" s="1013">
        <v>0</v>
      </c>
      <c r="T12" s="1013">
        <v>156403.45000000001</v>
      </c>
      <c r="U12" s="1013">
        <v>0</v>
      </c>
      <c r="V12" s="1013">
        <v>268558.09999999998</v>
      </c>
      <c r="W12" s="1013">
        <f t="shared" si="13"/>
        <v>581365</v>
      </c>
    </row>
    <row r="13" spans="1:23" ht="15" customHeight="1" x14ac:dyDescent="0.25">
      <c r="A13" s="716" t="s">
        <v>27</v>
      </c>
      <c r="B13" s="721" t="s">
        <v>28</v>
      </c>
      <c r="C13" s="917" t="s">
        <v>265</v>
      </c>
      <c r="D13" s="1019">
        <f t="shared" si="4"/>
        <v>22496.11</v>
      </c>
      <c r="E13" s="1019">
        <f t="shared" si="5"/>
        <v>0</v>
      </c>
      <c r="F13" s="1019">
        <f t="shared" si="6"/>
        <v>22496.11</v>
      </c>
      <c r="G13" s="1021">
        <f t="shared" si="7"/>
        <v>0</v>
      </c>
      <c r="H13" s="1021">
        <f t="shared" si="8"/>
        <v>38627.780000000006</v>
      </c>
      <c r="I13" s="1373">
        <f t="shared" si="9"/>
        <v>83620</v>
      </c>
      <c r="J13" s="1020">
        <f t="shared" si="10"/>
        <v>38627.780000000006</v>
      </c>
      <c r="K13" s="1373">
        <f t="shared" si="11"/>
        <v>61123.890000000007</v>
      </c>
      <c r="L13" s="1022"/>
      <c r="M13" s="1010"/>
      <c r="N13" s="1010"/>
      <c r="O13" s="1010"/>
      <c r="P13" s="1010"/>
      <c r="Q13" s="1011">
        <f t="shared" si="12"/>
        <v>0</v>
      </c>
      <c r="R13" s="1012">
        <v>22496.11</v>
      </c>
      <c r="S13" s="1013">
        <v>0</v>
      </c>
      <c r="T13" s="1013">
        <v>22496.11</v>
      </c>
      <c r="U13" s="1013">
        <v>0</v>
      </c>
      <c r="V13" s="1013">
        <v>38627.780000000006</v>
      </c>
      <c r="W13" s="1013">
        <f t="shared" si="13"/>
        <v>83620</v>
      </c>
    </row>
    <row r="14" spans="1:23" ht="15" customHeight="1" x14ac:dyDescent="0.25">
      <c r="A14" s="716" t="s">
        <v>29</v>
      </c>
      <c r="B14" s="721" t="s">
        <v>924</v>
      </c>
      <c r="C14" s="917" t="s">
        <v>265</v>
      </c>
      <c r="D14" s="1019">
        <f t="shared" si="4"/>
        <v>75744.03</v>
      </c>
      <c r="E14" s="1019">
        <f t="shared" si="5"/>
        <v>0</v>
      </c>
      <c r="F14" s="1019">
        <f t="shared" si="6"/>
        <v>75744.03</v>
      </c>
      <c r="G14" s="1021">
        <f t="shared" si="7"/>
        <v>0</v>
      </c>
      <c r="H14" s="1021">
        <f t="shared" si="8"/>
        <v>130058.94</v>
      </c>
      <c r="I14" s="1373">
        <f t="shared" si="9"/>
        <v>281547</v>
      </c>
      <c r="J14" s="1020">
        <f t="shared" si="10"/>
        <v>130058.94</v>
      </c>
      <c r="K14" s="1373">
        <f t="shared" si="11"/>
        <v>205802.97</v>
      </c>
      <c r="L14" s="1023"/>
      <c r="M14" s="1013"/>
      <c r="N14" s="1013"/>
      <c r="O14" s="1013"/>
      <c r="P14" s="1013"/>
      <c r="Q14" s="1011">
        <f t="shared" si="12"/>
        <v>0</v>
      </c>
      <c r="R14" s="1012">
        <v>75744.03</v>
      </c>
      <c r="S14" s="1013">
        <v>0</v>
      </c>
      <c r="T14" s="1013">
        <v>75744.03</v>
      </c>
      <c r="U14" s="1013">
        <v>0</v>
      </c>
      <c r="V14" s="1013">
        <v>130058.94</v>
      </c>
      <c r="W14" s="1013">
        <f t="shared" si="13"/>
        <v>281547</v>
      </c>
    </row>
    <row r="15" spans="1:23" ht="15" customHeight="1" x14ac:dyDescent="0.25">
      <c r="A15" s="716" t="s">
        <v>30</v>
      </c>
      <c r="B15" s="721" t="s">
        <v>31</v>
      </c>
      <c r="C15" s="917" t="s">
        <v>268</v>
      </c>
      <c r="D15" s="1019">
        <f t="shared" si="4"/>
        <v>39671.410000000003</v>
      </c>
      <c r="E15" s="1019">
        <f t="shared" si="5"/>
        <v>0</v>
      </c>
      <c r="F15" s="1019">
        <f t="shared" si="6"/>
        <v>39671.410000000003</v>
      </c>
      <c r="G15" s="1021">
        <f t="shared" si="7"/>
        <v>0</v>
      </c>
      <c r="H15" s="1021">
        <f t="shared" si="8"/>
        <v>68119.180000000008</v>
      </c>
      <c r="I15" s="1373">
        <f t="shared" si="9"/>
        <v>147462</v>
      </c>
      <c r="J15" s="1020">
        <f t="shared" si="10"/>
        <v>68119.180000000008</v>
      </c>
      <c r="K15" s="1373">
        <f t="shared" si="11"/>
        <v>107790.59000000001</v>
      </c>
      <c r="L15" s="1023"/>
      <c r="M15" s="1013"/>
      <c r="N15" s="1013"/>
      <c r="O15" s="1013"/>
      <c r="P15" s="1013"/>
      <c r="Q15" s="1011">
        <f t="shared" si="12"/>
        <v>0</v>
      </c>
      <c r="R15" s="1012">
        <v>39671.410000000003</v>
      </c>
      <c r="S15" s="1013">
        <v>0</v>
      </c>
      <c r="T15" s="1013">
        <v>39671.410000000003</v>
      </c>
      <c r="U15" s="1013">
        <v>0</v>
      </c>
      <c r="V15" s="1013">
        <v>68119.180000000008</v>
      </c>
      <c r="W15" s="1013">
        <f t="shared" si="13"/>
        <v>147462</v>
      </c>
    </row>
    <row r="16" spans="1:23" ht="15" customHeight="1" x14ac:dyDescent="0.25">
      <c r="A16" s="716" t="s">
        <v>32</v>
      </c>
      <c r="B16" s="721" t="s">
        <v>33</v>
      </c>
      <c r="C16" s="917" t="s">
        <v>265</v>
      </c>
      <c r="D16" s="1019">
        <f t="shared" si="4"/>
        <v>22950.240000000002</v>
      </c>
      <c r="E16" s="1019">
        <f t="shared" si="5"/>
        <v>0</v>
      </c>
      <c r="F16" s="1019">
        <f t="shared" si="6"/>
        <v>22950.240000000002</v>
      </c>
      <c r="G16" s="1021">
        <f t="shared" si="7"/>
        <v>0</v>
      </c>
      <c r="H16" s="1021">
        <f t="shared" si="8"/>
        <v>39407.520000000004</v>
      </c>
      <c r="I16" s="1373">
        <f t="shared" si="9"/>
        <v>85308</v>
      </c>
      <c r="J16" s="1020">
        <f t="shared" si="10"/>
        <v>39407.520000000004</v>
      </c>
      <c r="K16" s="1373">
        <f t="shared" si="11"/>
        <v>62357.760000000009</v>
      </c>
      <c r="L16" s="1023"/>
      <c r="M16" s="1013"/>
      <c r="N16" s="1013"/>
      <c r="O16" s="1013"/>
      <c r="P16" s="1013"/>
      <c r="Q16" s="1011">
        <f t="shared" si="12"/>
        <v>0</v>
      </c>
      <c r="R16" s="1012">
        <v>22950.240000000002</v>
      </c>
      <c r="S16" s="1013">
        <v>0</v>
      </c>
      <c r="T16" s="1013">
        <v>22950.240000000002</v>
      </c>
      <c r="U16" s="1013">
        <v>0</v>
      </c>
      <c r="V16" s="1013">
        <v>39407.520000000004</v>
      </c>
      <c r="W16" s="1013">
        <f t="shared" si="13"/>
        <v>85308</v>
      </c>
    </row>
    <row r="17" spans="1:23" ht="15" customHeight="1" x14ac:dyDescent="0.25">
      <c r="A17" s="716" t="s">
        <v>36</v>
      </c>
      <c r="B17" s="721" t="s">
        <v>37</v>
      </c>
      <c r="C17" s="917" t="s">
        <v>264</v>
      </c>
      <c r="D17" s="1019">
        <f t="shared" si="4"/>
        <v>50998.83</v>
      </c>
      <c r="E17" s="1019">
        <f t="shared" si="5"/>
        <v>0</v>
      </c>
      <c r="F17" s="1019">
        <f t="shared" si="6"/>
        <v>50998.83</v>
      </c>
      <c r="G17" s="1021">
        <f t="shared" si="7"/>
        <v>0</v>
      </c>
      <c r="H17" s="1021">
        <f t="shared" si="8"/>
        <v>87569.340000000011</v>
      </c>
      <c r="I17" s="1373">
        <f t="shared" si="9"/>
        <v>189567</v>
      </c>
      <c r="J17" s="1020">
        <f t="shared" si="10"/>
        <v>87569.340000000011</v>
      </c>
      <c r="K17" s="1373">
        <f t="shared" si="11"/>
        <v>138568.17000000001</v>
      </c>
      <c r="L17" s="1022"/>
      <c r="M17" s="1010"/>
      <c r="N17" s="1010"/>
      <c r="O17" s="1010"/>
      <c r="P17" s="1010"/>
      <c r="Q17" s="1011">
        <f t="shared" si="12"/>
        <v>0</v>
      </c>
      <c r="R17" s="1012">
        <v>50998.83</v>
      </c>
      <c r="S17" s="1013">
        <v>0</v>
      </c>
      <c r="T17" s="1013">
        <v>50998.83</v>
      </c>
      <c r="U17" s="1013">
        <v>0</v>
      </c>
      <c r="V17" s="1013">
        <v>87569.340000000011</v>
      </c>
      <c r="W17" s="1013">
        <f t="shared" si="13"/>
        <v>189567</v>
      </c>
    </row>
    <row r="18" spans="1:23" ht="15" customHeight="1" x14ac:dyDescent="0.25">
      <c r="A18" s="716" t="s">
        <v>38</v>
      </c>
      <c r="B18" s="721" t="s">
        <v>39</v>
      </c>
      <c r="C18" s="917" t="s">
        <v>268</v>
      </c>
      <c r="D18" s="1019">
        <f t="shared" si="4"/>
        <v>64075.47</v>
      </c>
      <c r="E18" s="1019">
        <f t="shared" si="5"/>
        <v>0</v>
      </c>
      <c r="F18" s="1019">
        <f t="shared" si="6"/>
        <v>64075.47</v>
      </c>
      <c r="G18" s="1021">
        <f t="shared" si="7"/>
        <v>0</v>
      </c>
      <c r="H18" s="1021">
        <f t="shared" si="8"/>
        <v>110023.06</v>
      </c>
      <c r="I18" s="1373">
        <f t="shared" si="9"/>
        <v>238174</v>
      </c>
      <c r="J18" s="1020">
        <f t="shared" si="10"/>
        <v>110023.06</v>
      </c>
      <c r="K18" s="1373">
        <f t="shared" si="11"/>
        <v>174098.53</v>
      </c>
      <c r="L18" s="1023"/>
      <c r="M18" s="1013"/>
      <c r="N18" s="1013"/>
      <c r="O18" s="1013"/>
      <c r="P18" s="1013"/>
      <c r="Q18" s="1011">
        <f t="shared" si="12"/>
        <v>0</v>
      </c>
      <c r="R18" s="1012">
        <v>64075.47</v>
      </c>
      <c r="S18" s="1013">
        <v>0</v>
      </c>
      <c r="T18" s="1013">
        <v>64075.47</v>
      </c>
      <c r="U18" s="1013">
        <v>0</v>
      </c>
      <c r="V18" s="1013">
        <v>110023.06</v>
      </c>
      <c r="W18" s="1013">
        <f t="shared" si="13"/>
        <v>238174</v>
      </c>
    </row>
    <row r="19" spans="1:23" ht="15" customHeight="1" x14ac:dyDescent="0.25">
      <c r="A19" s="716" t="s">
        <v>40</v>
      </c>
      <c r="B19" s="721" t="s">
        <v>41</v>
      </c>
      <c r="C19" s="917" t="s">
        <v>266</v>
      </c>
      <c r="D19" s="1019">
        <f t="shared" si="4"/>
        <v>58131.3</v>
      </c>
      <c r="E19" s="1019">
        <f t="shared" si="5"/>
        <v>0</v>
      </c>
      <c r="F19" s="1019">
        <f t="shared" si="6"/>
        <v>58131.3</v>
      </c>
      <c r="G19" s="1021">
        <f t="shared" si="7"/>
        <v>0</v>
      </c>
      <c r="H19" s="1021">
        <f t="shared" si="8"/>
        <v>99816.4</v>
      </c>
      <c r="I19" s="1373">
        <f t="shared" si="9"/>
        <v>216079</v>
      </c>
      <c r="J19" s="1020">
        <f t="shared" si="10"/>
        <v>99816.4</v>
      </c>
      <c r="K19" s="1373">
        <f t="shared" si="11"/>
        <v>157947.70000000001</v>
      </c>
      <c r="L19" s="1023"/>
      <c r="M19" s="1013"/>
      <c r="N19" s="1013"/>
      <c r="O19" s="1013"/>
      <c r="P19" s="1013"/>
      <c r="Q19" s="1011">
        <f t="shared" si="12"/>
        <v>0</v>
      </c>
      <c r="R19" s="1012">
        <v>58131.3</v>
      </c>
      <c r="S19" s="1013">
        <v>0</v>
      </c>
      <c r="T19" s="1013">
        <v>58131.3</v>
      </c>
      <c r="U19" s="1013">
        <v>0</v>
      </c>
      <c r="V19" s="1013">
        <v>99816.4</v>
      </c>
      <c r="W19" s="1013">
        <f t="shared" si="13"/>
        <v>216079</v>
      </c>
    </row>
    <row r="20" spans="1:23" ht="15" customHeight="1" x14ac:dyDescent="0.25">
      <c r="A20" s="716" t="s">
        <v>42</v>
      </c>
      <c r="B20" s="721" t="s">
        <v>43</v>
      </c>
      <c r="C20" s="917" t="s">
        <v>265</v>
      </c>
      <c r="D20" s="1019">
        <f t="shared" si="4"/>
        <v>137636.6</v>
      </c>
      <c r="E20" s="1019">
        <f t="shared" si="5"/>
        <v>0</v>
      </c>
      <c r="F20" s="1019">
        <f t="shared" si="6"/>
        <v>137636.6</v>
      </c>
      <c r="G20" s="1021">
        <f t="shared" si="7"/>
        <v>9230.14</v>
      </c>
      <c r="H20" s="1021">
        <f t="shared" si="8"/>
        <v>236333.8</v>
      </c>
      <c r="I20" s="1373">
        <f t="shared" si="9"/>
        <v>520837.14</v>
      </c>
      <c r="J20" s="1020">
        <f t="shared" si="10"/>
        <v>245563.94</v>
      </c>
      <c r="K20" s="1373">
        <f t="shared" si="11"/>
        <v>383200.54000000004</v>
      </c>
      <c r="L20" s="1022">
        <v>0</v>
      </c>
      <c r="M20" s="1010">
        <v>0</v>
      </c>
      <c r="N20" s="1010">
        <v>0</v>
      </c>
      <c r="O20" s="1010">
        <v>9230.14</v>
      </c>
      <c r="P20" s="1010">
        <v>0</v>
      </c>
      <c r="Q20" s="1011">
        <f t="shared" si="12"/>
        <v>9230.14</v>
      </c>
      <c r="R20" s="1012">
        <v>137636.6</v>
      </c>
      <c r="S20" s="1013">
        <v>0</v>
      </c>
      <c r="T20" s="1013">
        <v>137636.6</v>
      </c>
      <c r="U20" s="1013">
        <v>0</v>
      </c>
      <c r="V20" s="1013">
        <v>236333.8</v>
      </c>
      <c r="W20" s="1013">
        <f t="shared" si="13"/>
        <v>511607</v>
      </c>
    </row>
    <row r="21" spans="1:23" ht="15" customHeight="1" x14ac:dyDescent="0.25">
      <c r="A21" s="716" t="s">
        <v>44</v>
      </c>
      <c r="B21" s="721" t="s">
        <v>45</v>
      </c>
      <c r="C21" s="917" t="s">
        <v>266</v>
      </c>
      <c r="D21" s="1019">
        <f t="shared" si="4"/>
        <v>81354.880000000005</v>
      </c>
      <c r="E21" s="1019">
        <f t="shared" si="5"/>
        <v>0</v>
      </c>
      <c r="F21" s="1019">
        <f t="shared" si="6"/>
        <v>81354.880000000005</v>
      </c>
      <c r="G21" s="1021">
        <f t="shared" si="7"/>
        <v>896</v>
      </c>
      <c r="H21" s="1021">
        <f t="shared" si="8"/>
        <v>139693.24</v>
      </c>
      <c r="I21" s="1373">
        <f t="shared" si="9"/>
        <v>303299</v>
      </c>
      <c r="J21" s="1020">
        <f t="shared" si="10"/>
        <v>140589.24</v>
      </c>
      <c r="K21" s="1373">
        <f t="shared" si="11"/>
        <v>221944.12</v>
      </c>
      <c r="L21" s="1023">
        <v>0</v>
      </c>
      <c r="M21" s="1013">
        <v>0</v>
      </c>
      <c r="N21" s="1013">
        <v>0</v>
      </c>
      <c r="O21" s="1013">
        <v>896</v>
      </c>
      <c r="P21" s="1013">
        <v>0</v>
      </c>
      <c r="Q21" s="1011">
        <f t="shared" si="12"/>
        <v>896</v>
      </c>
      <c r="R21" s="1012">
        <v>81354.880000000005</v>
      </c>
      <c r="S21" s="1013">
        <v>0</v>
      </c>
      <c r="T21" s="1013">
        <v>81354.880000000005</v>
      </c>
      <c r="U21" s="1013">
        <v>0</v>
      </c>
      <c r="V21" s="1013">
        <v>139693.24</v>
      </c>
      <c r="W21" s="1013">
        <f t="shared" si="13"/>
        <v>302403</v>
      </c>
    </row>
    <row r="22" spans="1:23" ht="15" customHeight="1" x14ac:dyDescent="0.25">
      <c r="A22" s="716" t="s">
        <v>46</v>
      </c>
      <c r="B22" s="721" t="s">
        <v>47</v>
      </c>
      <c r="C22" s="917" t="s">
        <v>268</v>
      </c>
      <c r="D22" s="1019">
        <f t="shared" si="4"/>
        <v>65823.89</v>
      </c>
      <c r="E22" s="1019">
        <f t="shared" si="5"/>
        <v>0</v>
      </c>
      <c r="F22" s="1019">
        <f t="shared" si="6"/>
        <v>65823.89</v>
      </c>
      <c r="G22" s="1021">
        <f t="shared" si="7"/>
        <v>0</v>
      </c>
      <c r="H22" s="1021">
        <f t="shared" si="8"/>
        <v>113025.22</v>
      </c>
      <c r="I22" s="1373">
        <f t="shared" si="9"/>
        <v>244673</v>
      </c>
      <c r="J22" s="1020">
        <f t="shared" si="10"/>
        <v>113025.22</v>
      </c>
      <c r="K22" s="1373">
        <f t="shared" si="11"/>
        <v>178849.11</v>
      </c>
      <c r="L22" s="1023"/>
      <c r="M22" s="1013"/>
      <c r="N22" s="1013"/>
      <c r="O22" s="1013"/>
      <c r="P22" s="1013"/>
      <c r="Q22" s="1011">
        <f t="shared" si="12"/>
        <v>0</v>
      </c>
      <c r="R22" s="1012">
        <v>65823.89</v>
      </c>
      <c r="S22" s="1013">
        <v>0</v>
      </c>
      <c r="T22" s="1013">
        <v>65823.89</v>
      </c>
      <c r="U22" s="1013">
        <v>0</v>
      </c>
      <c r="V22" s="1013">
        <v>113025.22</v>
      </c>
      <c r="W22" s="1013">
        <f t="shared" si="13"/>
        <v>244673</v>
      </c>
    </row>
    <row r="23" spans="1:23" ht="15" customHeight="1" x14ac:dyDescent="0.25">
      <c r="A23" s="716" t="s">
        <v>48</v>
      </c>
      <c r="B23" s="721" t="s">
        <v>269</v>
      </c>
      <c r="C23" s="917" t="s">
        <v>266</v>
      </c>
      <c r="D23" s="1019">
        <f t="shared" si="4"/>
        <v>55503.16</v>
      </c>
      <c r="E23" s="1019">
        <f t="shared" si="5"/>
        <v>0</v>
      </c>
      <c r="F23" s="1019">
        <f t="shared" si="6"/>
        <v>55503.16</v>
      </c>
      <c r="G23" s="1021">
        <f t="shared" si="7"/>
        <v>0</v>
      </c>
      <c r="H23" s="1021">
        <f t="shared" si="8"/>
        <v>95303.680000000008</v>
      </c>
      <c r="I23" s="1373">
        <f t="shared" si="9"/>
        <v>206310</v>
      </c>
      <c r="J23" s="1020">
        <f t="shared" si="10"/>
        <v>95303.680000000008</v>
      </c>
      <c r="K23" s="1373">
        <f t="shared" si="11"/>
        <v>150806.84000000003</v>
      </c>
      <c r="L23" s="1023"/>
      <c r="M23" s="1013"/>
      <c r="N23" s="1013"/>
      <c r="O23" s="1013"/>
      <c r="P23" s="1013"/>
      <c r="Q23" s="1011">
        <f t="shared" si="12"/>
        <v>0</v>
      </c>
      <c r="R23" s="1012">
        <v>55503.16</v>
      </c>
      <c r="S23" s="1013">
        <v>0</v>
      </c>
      <c r="T23" s="1013">
        <v>55503.16</v>
      </c>
      <c r="U23" s="1013">
        <v>0</v>
      </c>
      <c r="V23" s="1013">
        <v>95303.680000000008</v>
      </c>
      <c r="W23" s="1013">
        <f t="shared" si="13"/>
        <v>206310</v>
      </c>
    </row>
    <row r="24" spans="1:23" ht="15" customHeight="1" x14ac:dyDescent="0.25">
      <c r="A24" s="716" t="s">
        <v>50</v>
      </c>
      <c r="B24" s="721" t="s">
        <v>51</v>
      </c>
      <c r="C24" s="917" t="s">
        <v>265</v>
      </c>
      <c r="D24" s="1019">
        <f t="shared" si="4"/>
        <v>44498.3</v>
      </c>
      <c r="E24" s="1019">
        <f t="shared" si="5"/>
        <v>0</v>
      </c>
      <c r="F24" s="1019">
        <f t="shared" si="6"/>
        <v>44498.3</v>
      </c>
      <c r="G24" s="1021">
        <f t="shared" si="7"/>
        <v>0</v>
      </c>
      <c r="H24" s="1021">
        <f t="shared" si="8"/>
        <v>76407.400000000009</v>
      </c>
      <c r="I24" s="1373">
        <f t="shared" si="9"/>
        <v>165404</v>
      </c>
      <c r="J24" s="1020">
        <f t="shared" si="10"/>
        <v>76407.400000000009</v>
      </c>
      <c r="K24" s="1373">
        <f t="shared" si="11"/>
        <v>120905.70000000001</v>
      </c>
      <c r="L24" s="1023"/>
      <c r="M24" s="1013"/>
      <c r="N24" s="1013"/>
      <c r="O24" s="1013"/>
      <c r="P24" s="1013"/>
      <c r="Q24" s="1011">
        <f t="shared" si="12"/>
        <v>0</v>
      </c>
      <c r="R24" s="1012">
        <v>44498.3</v>
      </c>
      <c r="S24" s="1013">
        <v>0</v>
      </c>
      <c r="T24" s="1013">
        <v>44498.3</v>
      </c>
      <c r="U24" s="1013">
        <v>0</v>
      </c>
      <c r="V24" s="1013">
        <v>76407.400000000009</v>
      </c>
      <c r="W24" s="1013">
        <f t="shared" si="13"/>
        <v>165404</v>
      </c>
    </row>
    <row r="25" spans="1:23" ht="15" customHeight="1" x14ac:dyDescent="0.25">
      <c r="A25" s="716" t="s">
        <v>56</v>
      </c>
      <c r="B25" s="721" t="s">
        <v>295</v>
      </c>
      <c r="C25" s="917" t="s">
        <v>266</v>
      </c>
      <c r="D25" s="1019">
        <f t="shared" si="4"/>
        <v>316900.19</v>
      </c>
      <c r="E25" s="1019">
        <f t="shared" si="5"/>
        <v>0</v>
      </c>
      <c r="F25" s="1019">
        <f t="shared" si="6"/>
        <v>316900.19</v>
      </c>
      <c r="G25" s="1021">
        <f t="shared" si="7"/>
        <v>47539.130000000005</v>
      </c>
      <c r="H25" s="1021">
        <f t="shared" si="8"/>
        <v>544144.62</v>
      </c>
      <c r="I25" s="1373">
        <f t="shared" si="9"/>
        <v>1225484.1299999999</v>
      </c>
      <c r="J25" s="1020">
        <f t="shared" si="10"/>
        <v>591683.75</v>
      </c>
      <c r="K25" s="1373">
        <f t="shared" si="11"/>
        <v>908583.94</v>
      </c>
      <c r="L25" s="1022">
        <v>0</v>
      </c>
      <c r="M25" s="1010">
        <v>0</v>
      </c>
      <c r="N25" s="1010">
        <v>0</v>
      </c>
      <c r="O25" s="1010">
        <v>47539.130000000005</v>
      </c>
      <c r="P25" s="1010">
        <v>0</v>
      </c>
      <c r="Q25" s="1011">
        <f t="shared" si="12"/>
        <v>47539.130000000005</v>
      </c>
      <c r="R25" s="1012">
        <v>316900.19</v>
      </c>
      <c r="S25" s="1013">
        <v>0</v>
      </c>
      <c r="T25" s="1013">
        <v>316900.19</v>
      </c>
      <c r="U25" s="1013">
        <v>0</v>
      </c>
      <c r="V25" s="1013">
        <v>544144.62</v>
      </c>
      <c r="W25" s="1013">
        <f t="shared" si="13"/>
        <v>1177945</v>
      </c>
    </row>
    <row r="26" spans="1:23" ht="15" customHeight="1" x14ac:dyDescent="0.25">
      <c r="A26" s="716" t="s">
        <v>58</v>
      </c>
      <c r="B26" s="721" t="s">
        <v>59</v>
      </c>
      <c r="C26" s="917" t="s">
        <v>267</v>
      </c>
      <c r="D26" s="1019">
        <f t="shared" si="4"/>
        <v>54328.32</v>
      </c>
      <c r="E26" s="1019">
        <f t="shared" si="5"/>
        <v>0</v>
      </c>
      <c r="F26" s="1019">
        <f t="shared" si="6"/>
        <v>54328.32</v>
      </c>
      <c r="G26" s="1021">
        <f t="shared" si="7"/>
        <v>0</v>
      </c>
      <c r="H26" s="1021">
        <f t="shared" si="8"/>
        <v>93286.360000000015</v>
      </c>
      <c r="I26" s="1373">
        <f t="shared" si="9"/>
        <v>201943</v>
      </c>
      <c r="J26" s="1020">
        <f t="shared" si="10"/>
        <v>93286.360000000015</v>
      </c>
      <c r="K26" s="1373">
        <f t="shared" si="11"/>
        <v>147614.68000000002</v>
      </c>
      <c r="L26" s="1023"/>
      <c r="M26" s="1013"/>
      <c r="N26" s="1013"/>
      <c r="O26" s="1013"/>
      <c r="P26" s="1013"/>
      <c r="Q26" s="1011">
        <f t="shared" si="12"/>
        <v>0</v>
      </c>
      <c r="R26" s="1012">
        <v>54328.32</v>
      </c>
      <c r="S26" s="1013">
        <v>0</v>
      </c>
      <c r="T26" s="1013">
        <v>54328.32</v>
      </c>
      <c r="U26" s="1013">
        <v>0</v>
      </c>
      <c r="V26" s="1013">
        <v>93286.360000000015</v>
      </c>
      <c r="W26" s="1013">
        <f t="shared" si="13"/>
        <v>201943</v>
      </c>
    </row>
    <row r="27" spans="1:23" ht="15" customHeight="1" x14ac:dyDescent="0.25">
      <c r="A27" s="716" t="s">
        <v>60</v>
      </c>
      <c r="B27" s="721" t="s">
        <v>61</v>
      </c>
      <c r="C27" s="917" t="s">
        <v>265</v>
      </c>
      <c r="D27" s="1019">
        <f t="shared" si="4"/>
        <v>14291.31</v>
      </c>
      <c r="E27" s="1019">
        <f t="shared" si="5"/>
        <v>0</v>
      </c>
      <c r="F27" s="1019">
        <f t="shared" si="6"/>
        <v>14291.31</v>
      </c>
      <c r="G27" s="1021">
        <f t="shared" si="7"/>
        <v>0</v>
      </c>
      <c r="H27" s="1021">
        <f t="shared" si="8"/>
        <v>24539.38</v>
      </c>
      <c r="I27" s="1373">
        <f t="shared" si="9"/>
        <v>53122</v>
      </c>
      <c r="J27" s="1020">
        <f t="shared" si="10"/>
        <v>24539.38</v>
      </c>
      <c r="K27" s="1373">
        <f t="shared" si="11"/>
        <v>38830.69</v>
      </c>
      <c r="L27" s="1023"/>
      <c r="M27" s="1013"/>
      <c r="N27" s="1013"/>
      <c r="O27" s="1013"/>
      <c r="P27" s="1013"/>
      <c r="Q27" s="1011">
        <f t="shared" si="12"/>
        <v>0</v>
      </c>
      <c r="R27" s="1012">
        <v>14291.31</v>
      </c>
      <c r="S27" s="1013">
        <v>0</v>
      </c>
      <c r="T27" s="1013">
        <v>14291.31</v>
      </c>
      <c r="U27" s="1013">
        <v>0</v>
      </c>
      <c r="V27" s="1013">
        <v>24539.38</v>
      </c>
      <c r="W27" s="1013">
        <f t="shared" si="13"/>
        <v>53122</v>
      </c>
    </row>
    <row r="28" spans="1:23" ht="15" customHeight="1" x14ac:dyDescent="0.25">
      <c r="A28" s="716" t="s">
        <v>62</v>
      </c>
      <c r="B28" s="721" t="s">
        <v>63</v>
      </c>
      <c r="C28" s="917" t="s">
        <v>267</v>
      </c>
      <c r="D28" s="1019">
        <f t="shared" si="4"/>
        <v>79176.540000000008</v>
      </c>
      <c r="E28" s="1019">
        <f t="shared" si="5"/>
        <v>0</v>
      </c>
      <c r="F28" s="1019">
        <f t="shared" si="6"/>
        <v>79176.540000000008</v>
      </c>
      <c r="G28" s="1021">
        <f t="shared" si="7"/>
        <v>0</v>
      </c>
      <c r="H28" s="1021">
        <f t="shared" si="8"/>
        <v>135952.44</v>
      </c>
      <c r="I28" s="1373">
        <f t="shared" si="9"/>
        <v>294305.52</v>
      </c>
      <c r="J28" s="1020">
        <f t="shared" si="10"/>
        <v>135952.44</v>
      </c>
      <c r="K28" s="1373">
        <f t="shared" si="11"/>
        <v>215128.98</v>
      </c>
      <c r="L28" s="1023"/>
      <c r="M28" s="1013"/>
      <c r="N28" s="1013"/>
      <c r="O28" s="1013"/>
      <c r="P28" s="1013"/>
      <c r="Q28" s="1011">
        <f t="shared" si="12"/>
        <v>0</v>
      </c>
      <c r="R28" s="1012">
        <v>79176.540000000008</v>
      </c>
      <c r="S28" s="1013">
        <v>0</v>
      </c>
      <c r="T28" s="1013">
        <v>79176.540000000008</v>
      </c>
      <c r="U28" s="1013">
        <v>0</v>
      </c>
      <c r="V28" s="1013">
        <v>135952.44</v>
      </c>
      <c r="W28" s="1013">
        <f t="shared" si="13"/>
        <v>294305.52</v>
      </c>
    </row>
    <row r="29" spans="1:23" ht="15" customHeight="1" x14ac:dyDescent="0.25">
      <c r="A29" s="716" t="s">
        <v>64</v>
      </c>
      <c r="B29" s="721" t="s">
        <v>65</v>
      </c>
      <c r="C29" s="917" t="s">
        <v>266</v>
      </c>
      <c r="D29" s="1019">
        <f t="shared" si="4"/>
        <v>21091.25</v>
      </c>
      <c r="E29" s="1019">
        <f t="shared" si="5"/>
        <v>0</v>
      </c>
      <c r="F29" s="1019">
        <f t="shared" si="6"/>
        <v>21091.25</v>
      </c>
      <c r="G29" s="1021">
        <f t="shared" si="7"/>
        <v>0</v>
      </c>
      <c r="H29" s="1021">
        <f t="shared" si="8"/>
        <v>36215.5</v>
      </c>
      <c r="I29" s="1373">
        <f t="shared" si="9"/>
        <v>78398</v>
      </c>
      <c r="J29" s="1020">
        <f t="shared" si="10"/>
        <v>36215.5</v>
      </c>
      <c r="K29" s="1373">
        <f t="shared" si="11"/>
        <v>57306.75</v>
      </c>
      <c r="L29" s="1023"/>
      <c r="M29" s="1013"/>
      <c r="N29" s="1013"/>
      <c r="O29" s="1013"/>
      <c r="P29" s="1013"/>
      <c r="Q29" s="1011">
        <f t="shared" si="12"/>
        <v>0</v>
      </c>
      <c r="R29" s="1012">
        <v>21091.25</v>
      </c>
      <c r="S29" s="1013">
        <v>0</v>
      </c>
      <c r="T29" s="1013">
        <v>21091.25</v>
      </c>
      <c r="U29" s="1013">
        <v>0</v>
      </c>
      <c r="V29" s="1013">
        <v>36215.5</v>
      </c>
      <c r="W29" s="1013">
        <f t="shared" si="13"/>
        <v>78398</v>
      </c>
    </row>
    <row r="30" spans="1:23" ht="15" customHeight="1" x14ac:dyDescent="0.25">
      <c r="A30" s="716" t="s">
        <v>68</v>
      </c>
      <c r="B30" s="721" t="s">
        <v>69</v>
      </c>
      <c r="C30" s="917" t="s">
        <v>268</v>
      </c>
      <c r="D30" s="1019">
        <f t="shared" si="4"/>
        <v>79015.41</v>
      </c>
      <c r="E30" s="1019">
        <f t="shared" si="5"/>
        <v>0</v>
      </c>
      <c r="F30" s="1019">
        <f t="shared" si="6"/>
        <v>79015.41</v>
      </c>
      <c r="G30" s="1021">
        <f t="shared" si="7"/>
        <v>0</v>
      </c>
      <c r="H30" s="1021">
        <f t="shared" si="8"/>
        <v>135676.18</v>
      </c>
      <c r="I30" s="1373">
        <f t="shared" si="9"/>
        <v>293707</v>
      </c>
      <c r="J30" s="1020">
        <f t="shared" si="10"/>
        <v>135676.18</v>
      </c>
      <c r="K30" s="1373">
        <f t="shared" si="11"/>
        <v>214691.59</v>
      </c>
      <c r="L30" s="1023"/>
      <c r="M30" s="1013"/>
      <c r="N30" s="1013"/>
      <c r="O30" s="1013"/>
      <c r="P30" s="1013"/>
      <c r="Q30" s="1011">
        <f t="shared" si="12"/>
        <v>0</v>
      </c>
      <c r="R30" s="1012">
        <v>79015.41</v>
      </c>
      <c r="S30" s="1013">
        <v>0</v>
      </c>
      <c r="T30" s="1013">
        <v>79015.41</v>
      </c>
      <c r="U30" s="1013">
        <v>0</v>
      </c>
      <c r="V30" s="1013">
        <v>135676.18</v>
      </c>
      <c r="W30" s="1013">
        <f t="shared" si="13"/>
        <v>293707</v>
      </c>
    </row>
    <row r="31" spans="1:23" ht="15" customHeight="1" x14ac:dyDescent="0.25">
      <c r="A31" s="716" t="s">
        <v>70</v>
      </c>
      <c r="B31" s="721" t="s">
        <v>71</v>
      </c>
      <c r="C31" s="917" t="s">
        <v>264</v>
      </c>
      <c r="D31" s="1019">
        <f t="shared" si="4"/>
        <v>46647.3</v>
      </c>
      <c r="E31" s="1019">
        <f t="shared" si="5"/>
        <v>0</v>
      </c>
      <c r="F31" s="1019">
        <f t="shared" si="6"/>
        <v>46647.3</v>
      </c>
      <c r="G31" s="1021">
        <f t="shared" si="7"/>
        <v>0</v>
      </c>
      <c r="H31" s="1021">
        <f t="shared" si="8"/>
        <v>80097.399999999994</v>
      </c>
      <c r="I31" s="1373">
        <f t="shared" si="9"/>
        <v>173392</v>
      </c>
      <c r="J31" s="1020">
        <f t="shared" si="10"/>
        <v>80097.399999999994</v>
      </c>
      <c r="K31" s="1373">
        <f t="shared" si="11"/>
        <v>126744.7</v>
      </c>
      <c r="L31" s="1023"/>
      <c r="M31" s="1013"/>
      <c r="N31" s="1013"/>
      <c r="O31" s="1013"/>
      <c r="P31" s="1013"/>
      <c r="Q31" s="1011">
        <f t="shared" si="12"/>
        <v>0</v>
      </c>
      <c r="R31" s="1014">
        <v>46647.3</v>
      </c>
      <c r="S31" s="1010">
        <v>0</v>
      </c>
      <c r="T31" s="1010">
        <v>46647.3</v>
      </c>
      <c r="U31" s="1010">
        <v>0</v>
      </c>
      <c r="V31" s="1010">
        <v>80097.399999999994</v>
      </c>
      <c r="W31" s="1013">
        <f t="shared" si="13"/>
        <v>173392</v>
      </c>
    </row>
    <row r="32" spans="1:23" ht="15" customHeight="1" x14ac:dyDescent="0.25">
      <c r="A32" s="716" t="s">
        <v>72</v>
      </c>
      <c r="B32" s="721" t="s">
        <v>73</v>
      </c>
      <c r="C32" s="917" t="s">
        <v>266</v>
      </c>
      <c r="D32" s="1019">
        <f t="shared" si="4"/>
        <v>15756.16</v>
      </c>
      <c r="E32" s="1019">
        <f t="shared" si="5"/>
        <v>0</v>
      </c>
      <c r="F32" s="1019">
        <f t="shared" si="6"/>
        <v>15756.16</v>
      </c>
      <c r="G32" s="1021">
        <f t="shared" si="7"/>
        <v>0</v>
      </c>
      <c r="H32" s="1021">
        <f t="shared" si="8"/>
        <v>27054.68</v>
      </c>
      <c r="I32" s="1373">
        <f t="shared" si="9"/>
        <v>58567</v>
      </c>
      <c r="J32" s="1020">
        <f t="shared" si="10"/>
        <v>27054.68</v>
      </c>
      <c r="K32" s="1373">
        <f t="shared" si="11"/>
        <v>42810.84</v>
      </c>
      <c r="L32" s="1023"/>
      <c r="M32" s="1013"/>
      <c r="N32" s="1013"/>
      <c r="O32" s="1013"/>
      <c r="P32" s="1013"/>
      <c r="Q32" s="1011">
        <f t="shared" si="12"/>
        <v>0</v>
      </c>
      <c r="R32" s="1012">
        <v>15756.16</v>
      </c>
      <c r="S32" s="1013">
        <v>0</v>
      </c>
      <c r="T32" s="1013">
        <v>15756.16</v>
      </c>
      <c r="U32" s="1013">
        <v>0</v>
      </c>
      <c r="V32" s="1013">
        <v>27054.68</v>
      </c>
      <c r="W32" s="1013">
        <f t="shared" si="13"/>
        <v>58567</v>
      </c>
    </row>
    <row r="33" spans="1:23" ht="15" customHeight="1" x14ac:dyDescent="0.25">
      <c r="A33" s="716" t="s">
        <v>74</v>
      </c>
      <c r="B33" s="721" t="s">
        <v>302</v>
      </c>
      <c r="C33" s="917" t="s">
        <v>267</v>
      </c>
      <c r="D33" s="1019">
        <f t="shared" si="4"/>
        <v>1602021.1400000001</v>
      </c>
      <c r="E33" s="1019">
        <f t="shared" si="5"/>
        <v>0</v>
      </c>
      <c r="F33" s="1019">
        <f t="shared" si="6"/>
        <v>1602021.1400000001</v>
      </c>
      <c r="G33" s="1021">
        <f t="shared" si="7"/>
        <v>0</v>
      </c>
      <c r="H33" s="1021">
        <f t="shared" si="8"/>
        <v>2750806.8099999996</v>
      </c>
      <c r="I33" s="1373">
        <f t="shared" si="9"/>
        <v>5954849.0899999999</v>
      </c>
      <c r="J33" s="1020">
        <f t="shared" si="10"/>
        <v>2750806.8099999996</v>
      </c>
      <c r="K33" s="1373">
        <f t="shared" si="11"/>
        <v>4352827.9499999993</v>
      </c>
      <c r="L33" s="1023"/>
      <c r="M33" s="1013"/>
      <c r="N33" s="1013"/>
      <c r="O33" s="1013"/>
      <c r="P33" s="1013"/>
      <c r="Q33" s="1011">
        <f t="shared" si="12"/>
        <v>0</v>
      </c>
      <c r="R33" s="1012">
        <v>1602021.1400000001</v>
      </c>
      <c r="S33" s="1013">
        <v>0</v>
      </c>
      <c r="T33" s="1013">
        <v>1602021.1400000001</v>
      </c>
      <c r="U33" s="1013">
        <v>0</v>
      </c>
      <c r="V33" s="1013">
        <v>2750806.8099999996</v>
      </c>
      <c r="W33" s="1013">
        <f t="shared" si="13"/>
        <v>5954849.0899999999</v>
      </c>
    </row>
    <row r="34" spans="1:23" ht="15" customHeight="1" x14ac:dyDescent="0.25">
      <c r="A34" s="716" t="s">
        <v>76</v>
      </c>
      <c r="B34" s="721" t="s">
        <v>77</v>
      </c>
      <c r="C34" s="917" t="s">
        <v>267</v>
      </c>
      <c r="D34" s="1019">
        <f t="shared" si="4"/>
        <v>52401.27</v>
      </c>
      <c r="E34" s="1019">
        <f t="shared" si="5"/>
        <v>0</v>
      </c>
      <c r="F34" s="1019">
        <f t="shared" si="6"/>
        <v>52401.27</v>
      </c>
      <c r="G34" s="1021">
        <f t="shared" si="7"/>
        <v>375345.78</v>
      </c>
      <c r="H34" s="1021">
        <f t="shared" si="8"/>
        <v>89977.459999999992</v>
      </c>
      <c r="I34" s="1373">
        <f t="shared" si="9"/>
        <v>570125.78</v>
      </c>
      <c r="J34" s="1020">
        <f t="shared" si="10"/>
        <v>465323.24</v>
      </c>
      <c r="K34" s="1373">
        <f t="shared" si="11"/>
        <v>517724.51</v>
      </c>
      <c r="L34" s="1022">
        <v>0</v>
      </c>
      <c r="M34" s="1010">
        <v>0</v>
      </c>
      <c r="N34" s="1010">
        <v>0</v>
      </c>
      <c r="O34" s="1010">
        <v>375345.78</v>
      </c>
      <c r="P34" s="1010">
        <v>0</v>
      </c>
      <c r="Q34" s="1011">
        <f t="shared" si="12"/>
        <v>375345.78</v>
      </c>
      <c r="R34" s="1012">
        <v>52401.27</v>
      </c>
      <c r="S34" s="1013">
        <v>0</v>
      </c>
      <c r="T34" s="1013">
        <v>52401.27</v>
      </c>
      <c r="U34" s="1013">
        <v>0</v>
      </c>
      <c r="V34" s="1013">
        <v>89977.459999999992</v>
      </c>
      <c r="W34" s="1013">
        <f t="shared" si="13"/>
        <v>194780</v>
      </c>
    </row>
    <row r="35" spans="1:23" ht="15" customHeight="1" x14ac:dyDescent="0.25">
      <c r="A35" s="716" t="s">
        <v>78</v>
      </c>
      <c r="B35" s="721" t="s">
        <v>79</v>
      </c>
      <c r="C35" s="917" t="s">
        <v>268</v>
      </c>
      <c r="D35" s="1019">
        <f t="shared" si="4"/>
        <v>31358.99</v>
      </c>
      <c r="E35" s="1019">
        <f t="shared" si="5"/>
        <v>0</v>
      </c>
      <c r="F35" s="1019">
        <f t="shared" si="6"/>
        <v>31358.99</v>
      </c>
      <c r="G35" s="1021">
        <f t="shared" si="7"/>
        <v>0</v>
      </c>
      <c r="H35" s="1021">
        <f t="shared" si="8"/>
        <v>53846.020000000004</v>
      </c>
      <c r="I35" s="1373">
        <f t="shared" si="9"/>
        <v>116564</v>
      </c>
      <c r="J35" s="1020">
        <f t="shared" si="10"/>
        <v>53846.020000000004</v>
      </c>
      <c r="K35" s="1373">
        <f t="shared" si="11"/>
        <v>85205.010000000009</v>
      </c>
      <c r="L35" s="1023"/>
      <c r="M35" s="1013"/>
      <c r="N35" s="1013"/>
      <c r="O35" s="1013"/>
      <c r="P35" s="1013"/>
      <c r="Q35" s="1011">
        <f t="shared" si="12"/>
        <v>0</v>
      </c>
      <c r="R35" s="1012">
        <v>31358.99</v>
      </c>
      <c r="S35" s="1013">
        <v>0</v>
      </c>
      <c r="T35" s="1013">
        <v>31358.99</v>
      </c>
      <c r="U35" s="1013">
        <v>0</v>
      </c>
      <c r="V35" s="1013">
        <v>53846.020000000004</v>
      </c>
      <c r="W35" s="1013">
        <f t="shared" si="13"/>
        <v>116564</v>
      </c>
    </row>
    <row r="36" spans="1:23" ht="15" customHeight="1" x14ac:dyDescent="0.25">
      <c r="A36" s="716" t="s">
        <v>80</v>
      </c>
      <c r="B36" s="721" t="s">
        <v>81</v>
      </c>
      <c r="C36" s="917" t="s">
        <v>266</v>
      </c>
      <c r="D36" s="1019">
        <f t="shared" si="4"/>
        <v>90297.09</v>
      </c>
      <c r="E36" s="1019">
        <f t="shared" si="5"/>
        <v>0</v>
      </c>
      <c r="F36" s="1019">
        <f t="shared" si="6"/>
        <v>90297.09</v>
      </c>
      <c r="G36" s="1021">
        <f t="shared" si="7"/>
        <v>0</v>
      </c>
      <c r="H36" s="1021">
        <f t="shared" si="8"/>
        <v>155047.82</v>
      </c>
      <c r="I36" s="1373">
        <f t="shared" si="9"/>
        <v>335642</v>
      </c>
      <c r="J36" s="1020">
        <f t="shared" si="10"/>
        <v>155047.82</v>
      </c>
      <c r="K36" s="1373">
        <f t="shared" si="11"/>
        <v>245344.91</v>
      </c>
      <c r="L36" s="1023"/>
      <c r="M36" s="1013"/>
      <c r="N36" s="1013"/>
      <c r="O36" s="1013"/>
      <c r="P36" s="1013"/>
      <c r="Q36" s="1011">
        <f t="shared" si="12"/>
        <v>0</v>
      </c>
      <c r="R36" s="1012">
        <v>90297.09</v>
      </c>
      <c r="S36" s="1013">
        <v>0</v>
      </c>
      <c r="T36" s="1013">
        <v>90297.09</v>
      </c>
      <c r="U36" s="1013">
        <v>0</v>
      </c>
      <c r="V36" s="1013">
        <v>155047.82</v>
      </c>
      <c r="W36" s="1013">
        <f t="shared" si="13"/>
        <v>335642</v>
      </c>
    </row>
    <row r="37" spans="1:23" ht="15" customHeight="1" x14ac:dyDescent="0.25">
      <c r="A37" s="716" t="s">
        <v>84</v>
      </c>
      <c r="B37" s="721" t="s">
        <v>308</v>
      </c>
      <c r="C37" s="917" t="s">
        <v>265</v>
      </c>
      <c r="D37" s="1019">
        <f t="shared" ref="D37:D68" si="14">L37+R37</f>
        <v>94929.76</v>
      </c>
      <c r="E37" s="1019">
        <f t="shared" ref="E37:E68" si="15">M37+S37</f>
        <v>0</v>
      </c>
      <c r="F37" s="1019">
        <f t="shared" ref="F37:F68" si="16">N37+T37</f>
        <v>94929.76</v>
      </c>
      <c r="G37" s="1021">
        <f t="shared" ref="G37:G68" si="17">O37+U37</f>
        <v>0</v>
      </c>
      <c r="H37" s="1021">
        <f t="shared" ref="H37:H68" si="18">P37+V37</f>
        <v>163002.47999999998</v>
      </c>
      <c r="I37" s="1373">
        <f t="shared" ref="I37:I68" si="19">SUM(D37:H37)</f>
        <v>352862</v>
      </c>
      <c r="J37" s="1020">
        <f t="shared" ref="J37:J68" si="20">G37+H37</f>
        <v>163002.47999999998</v>
      </c>
      <c r="K37" s="1373">
        <f t="shared" ref="K37:K68" si="21">F37+J37</f>
        <v>257932.24</v>
      </c>
      <c r="L37" s="1023"/>
      <c r="M37" s="1013"/>
      <c r="N37" s="1013"/>
      <c r="O37" s="1013"/>
      <c r="P37" s="1013"/>
      <c r="Q37" s="1011">
        <f t="shared" ref="Q37:Q68" si="22">SUM(L37:P37)</f>
        <v>0</v>
      </c>
      <c r="R37" s="1012">
        <v>94929.76</v>
      </c>
      <c r="S37" s="1013">
        <v>0</v>
      </c>
      <c r="T37" s="1013">
        <v>94929.76</v>
      </c>
      <c r="U37" s="1013">
        <v>0</v>
      </c>
      <c r="V37" s="1013">
        <v>163002.47999999998</v>
      </c>
      <c r="W37" s="1013">
        <f t="shared" ref="W37:W68" si="23">SUM(R37:V37)</f>
        <v>352862</v>
      </c>
    </row>
    <row r="38" spans="1:23" ht="15" customHeight="1" x14ac:dyDescent="0.25">
      <c r="A38" s="716" t="s">
        <v>86</v>
      </c>
      <c r="B38" s="721" t="s">
        <v>87</v>
      </c>
      <c r="C38" s="917" t="s">
        <v>267</v>
      </c>
      <c r="D38" s="1019">
        <f t="shared" si="14"/>
        <v>88372.47</v>
      </c>
      <c r="E38" s="1019">
        <f t="shared" si="15"/>
        <v>0</v>
      </c>
      <c r="F38" s="1019">
        <f t="shared" si="16"/>
        <v>88372.47</v>
      </c>
      <c r="G38" s="1021">
        <f t="shared" si="17"/>
        <v>0</v>
      </c>
      <c r="H38" s="1021">
        <f t="shared" si="18"/>
        <v>151743.06</v>
      </c>
      <c r="I38" s="1373">
        <f t="shared" si="19"/>
        <v>328488</v>
      </c>
      <c r="J38" s="1020">
        <f t="shared" si="20"/>
        <v>151743.06</v>
      </c>
      <c r="K38" s="1373">
        <f t="shared" si="21"/>
        <v>240115.53</v>
      </c>
      <c r="L38" s="1023"/>
      <c r="M38" s="1013"/>
      <c r="N38" s="1013"/>
      <c r="O38" s="1013"/>
      <c r="P38" s="1013"/>
      <c r="Q38" s="1011">
        <f t="shared" si="22"/>
        <v>0</v>
      </c>
      <c r="R38" s="1012">
        <v>88372.47</v>
      </c>
      <c r="S38" s="1013">
        <v>0</v>
      </c>
      <c r="T38" s="1013">
        <v>88372.47</v>
      </c>
      <c r="U38" s="1013">
        <v>0</v>
      </c>
      <c r="V38" s="1013">
        <v>151743.06</v>
      </c>
      <c r="W38" s="1013">
        <f t="shared" si="23"/>
        <v>328488</v>
      </c>
    </row>
    <row r="39" spans="1:23" ht="15" customHeight="1" x14ac:dyDescent="0.25">
      <c r="A39" s="716" t="s">
        <v>92</v>
      </c>
      <c r="B39" s="721" t="s">
        <v>93</v>
      </c>
      <c r="C39" s="917" t="s">
        <v>268</v>
      </c>
      <c r="D39" s="1019">
        <f t="shared" si="14"/>
        <v>26231.3</v>
      </c>
      <c r="E39" s="1019">
        <f t="shared" si="15"/>
        <v>0</v>
      </c>
      <c r="F39" s="1019">
        <f t="shared" si="16"/>
        <v>26231.3</v>
      </c>
      <c r="G39" s="1021">
        <f t="shared" si="17"/>
        <v>0</v>
      </c>
      <c r="H39" s="1021">
        <f t="shared" si="18"/>
        <v>45041.4</v>
      </c>
      <c r="I39" s="1373">
        <f t="shared" si="19"/>
        <v>97504</v>
      </c>
      <c r="J39" s="1020">
        <f t="shared" si="20"/>
        <v>45041.4</v>
      </c>
      <c r="K39" s="1373">
        <f t="shared" si="21"/>
        <v>71272.7</v>
      </c>
      <c r="L39" s="1023"/>
      <c r="M39" s="1013"/>
      <c r="N39" s="1013"/>
      <c r="O39" s="1013"/>
      <c r="P39" s="1013"/>
      <c r="Q39" s="1011">
        <f t="shared" si="22"/>
        <v>0</v>
      </c>
      <c r="R39" s="1012">
        <v>26231.3</v>
      </c>
      <c r="S39" s="1013">
        <v>0</v>
      </c>
      <c r="T39" s="1013">
        <v>26231.3</v>
      </c>
      <c r="U39" s="1013">
        <v>0</v>
      </c>
      <c r="V39" s="1013">
        <v>45041.4</v>
      </c>
      <c r="W39" s="1013">
        <f t="shared" si="23"/>
        <v>97504</v>
      </c>
    </row>
    <row r="40" spans="1:23" ht="15" customHeight="1" x14ac:dyDescent="0.25">
      <c r="A40" s="716" t="s">
        <v>94</v>
      </c>
      <c r="B40" s="721" t="s">
        <v>95</v>
      </c>
      <c r="C40" s="917" t="s">
        <v>264</v>
      </c>
      <c r="D40" s="1019">
        <f t="shared" si="14"/>
        <v>107643.76</v>
      </c>
      <c r="E40" s="1019">
        <f t="shared" si="15"/>
        <v>0</v>
      </c>
      <c r="F40" s="1019">
        <f t="shared" si="16"/>
        <v>107643.76</v>
      </c>
      <c r="G40" s="1021">
        <f t="shared" si="17"/>
        <v>1813.82</v>
      </c>
      <c r="H40" s="1021">
        <f t="shared" si="18"/>
        <v>184833.47999999998</v>
      </c>
      <c r="I40" s="1373">
        <f t="shared" si="19"/>
        <v>401934.81999999995</v>
      </c>
      <c r="J40" s="1020">
        <f t="shared" si="20"/>
        <v>186647.3</v>
      </c>
      <c r="K40" s="1373">
        <f t="shared" si="21"/>
        <v>294291.06</v>
      </c>
      <c r="L40" s="1022">
        <v>0</v>
      </c>
      <c r="M40" s="1010">
        <v>0</v>
      </c>
      <c r="N40" s="1010">
        <v>0</v>
      </c>
      <c r="O40" s="1010">
        <v>1813.82</v>
      </c>
      <c r="P40" s="1010">
        <v>0</v>
      </c>
      <c r="Q40" s="1011">
        <f t="shared" si="22"/>
        <v>1813.82</v>
      </c>
      <c r="R40" s="1012">
        <v>107643.76</v>
      </c>
      <c r="S40" s="1013">
        <v>0</v>
      </c>
      <c r="T40" s="1013">
        <v>107643.76</v>
      </c>
      <c r="U40" s="1013">
        <v>0</v>
      </c>
      <c r="V40" s="1013">
        <v>184833.47999999998</v>
      </c>
      <c r="W40" s="1013">
        <f t="shared" si="23"/>
        <v>400121</v>
      </c>
    </row>
    <row r="41" spans="1:23" ht="15" customHeight="1" x14ac:dyDescent="0.25">
      <c r="A41" s="716" t="s">
        <v>96</v>
      </c>
      <c r="B41" s="721" t="s">
        <v>97</v>
      </c>
      <c r="C41" s="917" t="s">
        <v>266</v>
      </c>
      <c r="D41" s="1019">
        <f t="shared" si="14"/>
        <v>80489.679999999993</v>
      </c>
      <c r="E41" s="1019">
        <f t="shared" si="15"/>
        <v>0</v>
      </c>
      <c r="F41" s="1019">
        <f t="shared" si="16"/>
        <v>80489.679999999993</v>
      </c>
      <c r="G41" s="1021">
        <f t="shared" si="17"/>
        <v>0</v>
      </c>
      <c r="H41" s="1021">
        <f t="shared" si="18"/>
        <v>138207.64000000001</v>
      </c>
      <c r="I41" s="1373">
        <f t="shared" si="19"/>
        <v>299187</v>
      </c>
      <c r="J41" s="1020">
        <f t="shared" si="20"/>
        <v>138207.64000000001</v>
      </c>
      <c r="K41" s="1373">
        <f t="shared" si="21"/>
        <v>218697.32</v>
      </c>
      <c r="L41" s="1022"/>
      <c r="M41" s="1010"/>
      <c r="N41" s="1010"/>
      <c r="O41" s="1010"/>
      <c r="P41" s="1010"/>
      <c r="Q41" s="1011">
        <f t="shared" si="22"/>
        <v>0</v>
      </c>
      <c r="R41" s="1012">
        <v>80489.679999999993</v>
      </c>
      <c r="S41" s="1013">
        <v>0</v>
      </c>
      <c r="T41" s="1013">
        <v>80489.679999999993</v>
      </c>
      <c r="U41" s="1013">
        <v>0</v>
      </c>
      <c r="V41" s="1013">
        <v>138207.64000000001</v>
      </c>
      <c r="W41" s="1013">
        <f t="shared" si="23"/>
        <v>299187</v>
      </c>
    </row>
    <row r="42" spans="1:23" ht="15" customHeight="1" x14ac:dyDescent="0.25">
      <c r="A42" s="716" t="s">
        <v>98</v>
      </c>
      <c r="B42" s="721" t="s">
        <v>99</v>
      </c>
      <c r="C42" s="917" t="s">
        <v>268</v>
      </c>
      <c r="D42" s="1019">
        <f t="shared" si="14"/>
        <v>58986.27</v>
      </c>
      <c r="E42" s="1019">
        <f t="shared" si="15"/>
        <v>0</v>
      </c>
      <c r="F42" s="1019">
        <f t="shared" si="16"/>
        <v>58986.27</v>
      </c>
      <c r="G42" s="1021">
        <f t="shared" si="17"/>
        <v>0</v>
      </c>
      <c r="H42" s="1021">
        <f t="shared" si="18"/>
        <v>101284.46</v>
      </c>
      <c r="I42" s="1373">
        <f t="shared" si="19"/>
        <v>219257</v>
      </c>
      <c r="J42" s="1020">
        <f t="shared" si="20"/>
        <v>101284.46</v>
      </c>
      <c r="K42" s="1373">
        <f t="shared" si="21"/>
        <v>160270.73000000001</v>
      </c>
      <c r="L42" s="1023"/>
      <c r="M42" s="1013"/>
      <c r="N42" s="1013"/>
      <c r="O42" s="1013"/>
      <c r="P42" s="1013"/>
      <c r="Q42" s="1011">
        <f t="shared" si="22"/>
        <v>0</v>
      </c>
      <c r="R42" s="1012">
        <v>58986.27</v>
      </c>
      <c r="S42" s="1013">
        <v>0</v>
      </c>
      <c r="T42" s="1013">
        <v>58986.27</v>
      </c>
      <c r="U42" s="1013">
        <v>0</v>
      </c>
      <c r="V42" s="1013">
        <v>101284.46</v>
      </c>
      <c r="W42" s="1013">
        <f t="shared" si="23"/>
        <v>219257</v>
      </c>
    </row>
    <row r="43" spans="1:23" ht="15" customHeight="1" x14ac:dyDescent="0.25">
      <c r="A43" s="716" t="s">
        <v>100</v>
      </c>
      <c r="B43" s="721" t="s">
        <v>101</v>
      </c>
      <c r="C43" s="917" t="s">
        <v>267</v>
      </c>
      <c r="D43" s="1019">
        <f t="shared" si="14"/>
        <v>37591.279999999999</v>
      </c>
      <c r="E43" s="1019">
        <f t="shared" si="15"/>
        <v>0</v>
      </c>
      <c r="F43" s="1019">
        <f t="shared" si="16"/>
        <v>37591.279999999999</v>
      </c>
      <c r="G43" s="1021">
        <f t="shared" si="17"/>
        <v>0</v>
      </c>
      <c r="H43" s="1021">
        <f t="shared" si="18"/>
        <v>64547.439999999988</v>
      </c>
      <c r="I43" s="1373">
        <f t="shared" si="19"/>
        <v>139730</v>
      </c>
      <c r="J43" s="1020">
        <f t="shared" si="20"/>
        <v>64547.439999999988</v>
      </c>
      <c r="K43" s="1373">
        <f t="shared" si="21"/>
        <v>102138.71999999999</v>
      </c>
      <c r="L43" s="1022"/>
      <c r="M43" s="1010"/>
      <c r="N43" s="1010"/>
      <c r="O43" s="1010"/>
      <c r="P43" s="1010"/>
      <c r="Q43" s="1011">
        <f t="shared" si="22"/>
        <v>0</v>
      </c>
      <c r="R43" s="1012">
        <v>37591.279999999999</v>
      </c>
      <c r="S43" s="1013">
        <v>0</v>
      </c>
      <c r="T43" s="1013">
        <v>37591.279999999999</v>
      </c>
      <c r="U43" s="1013">
        <v>0</v>
      </c>
      <c r="V43" s="1013">
        <v>64547.439999999988</v>
      </c>
      <c r="W43" s="1013">
        <f t="shared" si="23"/>
        <v>139730</v>
      </c>
    </row>
    <row r="44" spans="1:23" ht="15" customHeight="1" x14ac:dyDescent="0.25">
      <c r="A44" s="716" t="s">
        <v>102</v>
      </c>
      <c r="B44" s="721" t="s">
        <v>103</v>
      </c>
      <c r="C44" s="917" t="s">
        <v>264</v>
      </c>
      <c r="D44" s="1019">
        <f t="shared" si="14"/>
        <v>42699.31</v>
      </c>
      <c r="E44" s="1019">
        <f t="shared" si="15"/>
        <v>0</v>
      </c>
      <c r="F44" s="1019">
        <f t="shared" si="16"/>
        <v>42699.31</v>
      </c>
      <c r="G44" s="1021">
        <f t="shared" si="17"/>
        <v>0</v>
      </c>
      <c r="H44" s="1021">
        <f t="shared" si="18"/>
        <v>73318.38</v>
      </c>
      <c r="I44" s="1373">
        <f t="shared" si="19"/>
        <v>158717</v>
      </c>
      <c r="J44" s="1020">
        <f t="shared" si="20"/>
        <v>73318.38</v>
      </c>
      <c r="K44" s="1373">
        <f t="shared" si="21"/>
        <v>116017.69</v>
      </c>
      <c r="L44" s="1023"/>
      <c r="M44" s="1013"/>
      <c r="N44" s="1013"/>
      <c r="O44" s="1013"/>
      <c r="P44" s="1013"/>
      <c r="Q44" s="1011">
        <f t="shared" si="22"/>
        <v>0</v>
      </c>
      <c r="R44" s="1012">
        <v>42699.31</v>
      </c>
      <c r="S44" s="1013">
        <v>0</v>
      </c>
      <c r="T44" s="1013">
        <v>42699.31</v>
      </c>
      <c r="U44" s="1013">
        <v>0</v>
      </c>
      <c r="V44" s="1013">
        <v>73318.38</v>
      </c>
      <c r="W44" s="1013">
        <f t="shared" si="23"/>
        <v>158717</v>
      </c>
    </row>
    <row r="45" spans="1:23" ht="15" customHeight="1" x14ac:dyDescent="0.25">
      <c r="A45" s="716" t="s">
        <v>104</v>
      </c>
      <c r="B45" s="721" t="s">
        <v>309</v>
      </c>
      <c r="C45" s="917" t="s">
        <v>265</v>
      </c>
      <c r="D45" s="1019">
        <f t="shared" si="14"/>
        <v>112634.21</v>
      </c>
      <c r="E45" s="1019">
        <f t="shared" si="15"/>
        <v>0</v>
      </c>
      <c r="F45" s="1019">
        <f t="shared" si="16"/>
        <v>112634.21</v>
      </c>
      <c r="G45" s="1021">
        <f t="shared" si="17"/>
        <v>0</v>
      </c>
      <c r="H45" s="1021">
        <f t="shared" si="18"/>
        <v>193402.58</v>
      </c>
      <c r="I45" s="1373">
        <f t="shared" si="19"/>
        <v>418671</v>
      </c>
      <c r="J45" s="1020">
        <f t="shared" si="20"/>
        <v>193402.58</v>
      </c>
      <c r="K45" s="1373">
        <f t="shared" si="21"/>
        <v>306036.78999999998</v>
      </c>
      <c r="L45" s="1023"/>
      <c r="M45" s="1013"/>
      <c r="N45" s="1013"/>
      <c r="O45" s="1013"/>
      <c r="P45" s="1013"/>
      <c r="Q45" s="1011">
        <f t="shared" si="22"/>
        <v>0</v>
      </c>
      <c r="R45" s="1012">
        <v>112634.21</v>
      </c>
      <c r="S45" s="1013">
        <v>0</v>
      </c>
      <c r="T45" s="1013">
        <v>112634.21</v>
      </c>
      <c r="U45" s="1013">
        <v>0</v>
      </c>
      <c r="V45" s="1013">
        <v>193402.58</v>
      </c>
      <c r="W45" s="1013">
        <f t="shared" si="23"/>
        <v>418671</v>
      </c>
    </row>
    <row r="46" spans="1:23" ht="15" customHeight="1" x14ac:dyDescent="0.25">
      <c r="A46" s="716" t="s">
        <v>108</v>
      </c>
      <c r="B46" s="721" t="s">
        <v>109</v>
      </c>
      <c r="C46" s="917" t="s">
        <v>266</v>
      </c>
      <c r="D46" s="1019">
        <f t="shared" si="14"/>
        <v>163888.09</v>
      </c>
      <c r="E46" s="1019">
        <f t="shared" si="15"/>
        <v>0</v>
      </c>
      <c r="F46" s="1019">
        <f t="shared" si="16"/>
        <v>163888.09</v>
      </c>
      <c r="G46" s="1021">
        <f t="shared" si="17"/>
        <v>0</v>
      </c>
      <c r="H46" s="1021">
        <f t="shared" si="18"/>
        <v>281409.82</v>
      </c>
      <c r="I46" s="1373">
        <f t="shared" si="19"/>
        <v>609186</v>
      </c>
      <c r="J46" s="1020">
        <f t="shared" si="20"/>
        <v>281409.82</v>
      </c>
      <c r="K46" s="1373">
        <f t="shared" si="21"/>
        <v>445297.91000000003</v>
      </c>
      <c r="L46" s="1023"/>
      <c r="M46" s="1013"/>
      <c r="N46" s="1013"/>
      <c r="O46" s="1013"/>
      <c r="P46" s="1013"/>
      <c r="Q46" s="1011">
        <f t="shared" si="22"/>
        <v>0</v>
      </c>
      <c r="R46" s="1012">
        <v>163888.09</v>
      </c>
      <c r="S46" s="1013">
        <v>0</v>
      </c>
      <c r="T46" s="1013">
        <v>163888.09</v>
      </c>
      <c r="U46" s="1013">
        <v>0</v>
      </c>
      <c r="V46" s="1013">
        <v>281409.82</v>
      </c>
      <c r="W46" s="1013">
        <f t="shared" si="23"/>
        <v>609186</v>
      </c>
    </row>
    <row r="47" spans="1:23" ht="15" customHeight="1" x14ac:dyDescent="0.25">
      <c r="A47" s="716" t="s">
        <v>110</v>
      </c>
      <c r="B47" s="721" t="s">
        <v>111</v>
      </c>
      <c r="C47" s="917" t="s">
        <v>266</v>
      </c>
      <c r="D47" s="1019">
        <f t="shared" si="14"/>
        <v>408214.22</v>
      </c>
      <c r="E47" s="1019">
        <f t="shared" si="15"/>
        <v>0</v>
      </c>
      <c r="F47" s="1019">
        <f t="shared" si="16"/>
        <v>408214.22</v>
      </c>
      <c r="G47" s="1021">
        <f t="shared" si="17"/>
        <v>61189.56</v>
      </c>
      <c r="H47" s="1021">
        <f t="shared" si="18"/>
        <v>700938.56</v>
      </c>
      <c r="I47" s="1373">
        <f t="shared" si="19"/>
        <v>1578556.56</v>
      </c>
      <c r="J47" s="1020">
        <f t="shared" si="20"/>
        <v>762128.12000000011</v>
      </c>
      <c r="K47" s="1373">
        <f t="shared" si="21"/>
        <v>1170342.3400000001</v>
      </c>
      <c r="L47" s="1022">
        <v>0</v>
      </c>
      <c r="M47" s="1010">
        <v>0</v>
      </c>
      <c r="N47" s="1010">
        <v>0</v>
      </c>
      <c r="O47" s="1010">
        <v>61189.56</v>
      </c>
      <c r="P47" s="1010">
        <v>0</v>
      </c>
      <c r="Q47" s="1011">
        <f t="shared" si="22"/>
        <v>61189.56</v>
      </c>
      <c r="R47" s="1012">
        <v>408214.22</v>
      </c>
      <c r="S47" s="1013">
        <v>0</v>
      </c>
      <c r="T47" s="1013">
        <v>408214.22</v>
      </c>
      <c r="U47" s="1013">
        <v>0</v>
      </c>
      <c r="V47" s="1013">
        <v>700938.56</v>
      </c>
      <c r="W47" s="1013">
        <f t="shared" si="23"/>
        <v>1517367</v>
      </c>
    </row>
    <row r="48" spans="1:23" ht="15" customHeight="1" x14ac:dyDescent="0.25">
      <c r="A48" s="716" t="s">
        <v>112</v>
      </c>
      <c r="B48" s="721" t="s">
        <v>300</v>
      </c>
      <c r="C48" s="917" t="s">
        <v>265</v>
      </c>
      <c r="D48" s="1019">
        <f t="shared" si="14"/>
        <v>26042.44</v>
      </c>
      <c r="E48" s="1019">
        <f t="shared" si="15"/>
        <v>0</v>
      </c>
      <c r="F48" s="1019">
        <f t="shared" si="16"/>
        <v>26042.44</v>
      </c>
      <c r="G48" s="1021">
        <f t="shared" si="17"/>
        <v>45859.05</v>
      </c>
      <c r="H48" s="1021">
        <f t="shared" si="18"/>
        <v>44717.119999999995</v>
      </c>
      <c r="I48" s="1373">
        <f t="shared" si="19"/>
        <v>142661.04999999999</v>
      </c>
      <c r="J48" s="1020">
        <f t="shared" si="20"/>
        <v>90576.17</v>
      </c>
      <c r="K48" s="1373">
        <f t="shared" si="21"/>
        <v>116618.61</v>
      </c>
      <c r="L48" s="1022">
        <v>0</v>
      </c>
      <c r="M48" s="1010">
        <v>0</v>
      </c>
      <c r="N48" s="1010">
        <v>0</v>
      </c>
      <c r="O48" s="1010">
        <v>45859.05</v>
      </c>
      <c r="P48" s="1010">
        <v>0</v>
      </c>
      <c r="Q48" s="1011">
        <f t="shared" si="22"/>
        <v>45859.05</v>
      </c>
      <c r="R48" s="1012">
        <v>26042.44</v>
      </c>
      <c r="S48" s="1013">
        <v>0</v>
      </c>
      <c r="T48" s="1013">
        <v>26042.44</v>
      </c>
      <c r="U48" s="1013">
        <v>0</v>
      </c>
      <c r="V48" s="1013">
        <v>44717.119999999995</v>
      </c>
      <c r="W48" s="1013">
        <f t="shared" si="23"/>
        <v>96802</v>
      </c>
    </row>
    <row r="49" spans="1:23" ht="15" customHeight="1" x14ac:dyDescent="0.25">
      <c r="A49" s="716" t="s">
        <v>114</v>
      </c>
      <c r="B49" s="721" t="s">
        <v>115</v>
      </c>
      <c r="C49" s="917" t="s">
        <v>265</v>
      </c>
      <c r="D49" s="1019">
        <f t="shared" si="14"/>
        <v>18229.87</v>
      </c>
      <c r="E49" s="1019">
        <f t="shared" si="15"/>
        <v>0</v>
      </c>
      <c r="F49" s="1019">
        <f t="shared" si="16"/>
        <v>18229.87</v>
      </c>
      <c r="G49" s="1021">
        <f t="shared" si="17"/>
        <v>0</v>
      </c>
      <c r="H49" s="1021">
        <f t="shared" si="18"/>
        <v>31302.260000000002</v>
      </c>
      <c r="I49" s="1373">
        <f t="shared" si="19"/>
        <v>67762</v>
      </c>
      <c r="J49" s="1020">
        <f t="shared" si="20"/>
        <v>31302.260000000002</v>
      </c>
      <c r="K49" s="1373">
        <f t="shared" si="21"/>
        <v>49532.130000000005</v>
      </c>
      <c r="L49" s="1022"/>
      <c r="M49" s="1010"/>
      <c r="N49" s="1010"/>
      <c r="O49" s="1010"/>
      <c r="P49" s="1010"/>
      <c r="Q49" s="1011">
        <f t="shared" si="22"/>
        <v>0</v>
      </c>
      <c r="R49" s="1012">
        <v>18229.87</v>
      </c>
      <c r="S49" s="1013">
        <v>0</v>
      </c>
      <c r="T49" s="1013">
        <v>18229.87</v>
      </c>
      <c r="U49" s="1013">
        <v>0</v>
      </c>
      <c r="V49" s="1013">
        <v>31302.260000000002</v>
      </c>
      <c r="W49" s="1013">
        <f t="shared" si="23"/>
        <v>67762</v>
      </c>
    </row>
    <row r="50" spans="1:23" ht="15" customHeight="1" x14ac:dyDescent="0.25">
      <c r="A50" s="716" t="s">
        <v>118</v>
      </c>
      <c r="B50" s="721" t="s">
        <v>119</v>
      </c>
      <c r="C50" s="917" t="s">
        <v>264</v>
      </c>
      <c r="D50" s="1019">
        <f t="shared" si="14"/>
        <v>94588.1</v>
      </c>
      <c r="E50" s="1019">
        <f t="shared" si="15"/>
        <v>0</v>
      </c>
      <c r="F50" s="1019">
        <f t="shared" si="16"/>
        <v>94588.1</v>
      </c>
      <c r="G50" s="1021">
        <f t="shared" si="17"/>
        <v>0</v>
      </c>
      <c r="H50" s="1021">
        <f t="shared" si="18"/>
        <v>162415.79999999999</v>
      </c>
      <c r="I50" s="1373">
        <f t="shared" si="19"/>
        <v>351592</v>
      </c>
      <c r="J50" s="1020">
        <f t="shared" si="20"/>
        <v>162415.79999999999</v>
      </c>
      <c r="K50" s="1373">
        <f t="shared" si="21"/>
        <v>257003.9</v>
      </c>
      <c r="L50" s="1023"/>
      <c r="M50" s="1013"/>
      <c r="N50" s="1013"/>
      <c r="O50" s="1013"/>
      <c r="P50" s="1013"/>
      <c r="Q50" s="1011">
        <f t="shared" si="22"/>
        <v>0</v>
      </c>
      <c r="R50" s="1012">
        <v>94588.1</v>
      </c>
      <c r="S50" s="1013">
        <v>0</v>
      </c>
      <c r="T50" s="1013">
        <v>94588.1</v>
      </c>
      <c r="U50" s="1013">
        <v>0</v>
      </c>
      <c r="V50" s="1013">
        <v>162415.79999999999</v>
      </c>
      <c r="W50" s="1013">
        <f t="shared" si="23"/>
        <v>351592</v>
      </c>
    </row>
    <row r="51" spans="1:23" ht="15" customHeight="1" x14ac:dyDescent="0.25">
      <c r="A51" s="716" t="s">
        <v>120</v>
      </c>
      <c r="B51" s="721" t="s">
        <v>121</v>
      </c>
      <c r="C51" s="917" t="s">
        <v>264</v>
      </c>
      <c r="D51" s="1019">
        <f t="shared" si="14"/>
        <v>166004.26999999999</v>
      </c>
      <c r="E51" s="1019">
        <f t="shared" si="15"/>
        <v>0</v>
      </c>
      <c r="F51" s="1019">
        <f t="shared" si="16"/>
        <v>166004.26999999999</v>
      </c>
      <c r="G51" s="1021">
        <f t="shared" si="17"/>
        <v>19933.63</v>
      </c>
      <c r="H51" s="1021">
        <f t="shared" si="18"/>
        <v>285043.45999999996</v>
      </c>
      <c r="I51" s="1373">
        <f t="shared" si="19"/>
        <v>636985.62999999989</v>
      </c>
      <c r="J51" s="1020">
        <f t="shared" si="20"/>
        <v>304977.08999999997</v>
      </c>
      <c r="K51" s="1373">
        <f t="shared" si="21"/>
        <v>470981.36</v>
      </c>
      <c r="L51" s="1022">
        <v>0</v>
      </c>
      <c r="M51" s="1010">
        <v>0</v>
      </c>
      <c r="N51" s="1010">
        <v>0</v>
      </c>
      <c r="O51" s="1010">
        <v>19933.63</v>
      </c>
      <c r="P51" s="1010">
        <v>0</v>
      </c>
      <c r="Q51" s="1011">
        <f t="shared" si="22"/>
        <v>19933.63</v>
      </c>
      <c r="R51" s="1012">
        <v>166004.26999999999</v>
      </c>
      <c r="S51" s="1013">
        <v>0</v>
      </c>
      <c r="T51" s="1013">
        <v>166004.26999999999</v>
      </c>
      <c r="U51" s="1013">
        <v>0</v>
      </c>
      <c r="V51" s="1013">
        <v>285043.45999999996</v>
      </c>
      <c r="W51" s="1013">
        <f t="shared" si="23"/>
        <v>617052</v>
      </c>
    </row>
    <row r="52" spans="1:23" ht="15" customHeight="1" x14ac:dyDescent="0.25">
      <c r="A52" s="716" t="s">
        <v>122</v>
      </c>
      <c r="B52" s="721" t="s">
        <v>271</v>
      </c>
      <c r="C52" s="917" t="s">
        <v>266</v>
      </c>
      <c r="D52" s="1019">
        <f t="shared" si="14"/>
        <v>44554.53</v>
      </c>
      <c r="E52" s="1019">
        <f t="shared" si="15"/>
        <v>0</v>
      </c>
      <c r="F52" s="1019">
        <f t="shared" si="16"/>
        <v>44554.53</v>
      </c>
      <c r="G52" s="1021">
        <f t="shared" si="17"/>
        <v>0</v>
      </c>
      <c r="H52" s="1021">
        <f t="shared" si="18"/>
        <v>76503.94</v>
      </c>
      <c r="I52" s="1373">
        <f t="shared" si="19"/>
        <v>165613</v>
      </c>
      <c r="J52" s="1020">
        <f t="shared" si="20"/>
        <v>76503.94</v>
      </c>
      <c r="K52" s="1373">
        <f t="shared" si="21"/>
        <v>121058.47</v>
      </c>
      <c r="L52" s="1023"/>
      <c r="M52" s="1013"/>
      <c r="N52" s="1013"/>
      <c r="O52" s="1013"/>
      <c r="P52" s="1013"/>
      <c r="Q52" s="1011">
        <f t="shared" si="22"/>
        <v>0</v>
      </c>
      <c r="R52" s="1012">
        <v>44554.53</v>
      </c>
      <c r="S52" s="1013">
        <v>0</v>
      </c>
      <c r="T52" s="1013">
        <v>44554.53</v>
      </c>
      <c r="U52" s="1013">
        <v>0</v>
      </c>
      <c r="V52" s="1013">
        <v>76503.94</v>
      </c>
      <c r="W52" s="1013">
        <f t="shared" si="23"/>
        <v>165613</v>
      </c>
    </row>
    <row r="53" spans="1:23" ht="15" customHeight="1" x14ac:dyDescent="0.25">
      <c r="A53" s="716" t="s">
        <v>124</v>
      </c>
      <c r="B53" s="721" t="s">
        <v>125</v>
      </c>
      <c r="C53" s="917" t="s">
        <v>267</v>
      </c>
      <c r="D53" s="1019">
        <f t="shared" si="14"/>
        <v>25578.1</v>
      </c>
      <c r="E53" s="1019">
        <f t="shared" si="15"/>
        <v>0</v>
      </c>
      <c r="F53" s="1019">
        <f t="shared" si="16"/>
        <v>25578.1</v>
      </c>
      <c r="G53" s="1021">
        <f t="shared" si="17"/>
        <v>0</v>
      </c>
      <c r="H53" s="1021">
        <f t="shared" si="18"/>
        <v>43919.8</v>
      </c>
      <c r="I53" s="1373">
        <f t="shared" si="19"/>
        <v>95076</v>
      </c>
      <c r="J53" s="1020">
        <f t="shared" si="20"/>
        <v>43919.8</v>
      </c>
      <c r="K53" s="1373">
        <f t="shared" si="21"/>
        <v>69497.899999999994</v>
      </c>
      <c r="L53" s="1022"/>
      <c r="M53" s="1010"/>
      <c r="N53" s="1010"/>
      <c r="O53" s="1010"/>
      <c r="P53" s="1010"/>
      <c r="Q53" s="1011">
        <f t="shared" si="22"/>
        <v>0</v>
      </c>
      <c r="R53" s="1012">
        <v>25578.1</v>
      </c>
      <c r="S53" s="1013">
        <v>0</v>
      </c>
      <c r="T53" s="1013">
        <v>25578.1</v>
      </c>
      <c r="U53" s="1013">
        <v>0</v>
      </c>
      <c r="V53" s="1013">
        <v>43919.8</v>
      </c>
      <c r="W53" s="1013">
        <f t="shared" si="23"/>
        <v>95076</v>
      </c>
    </row>
    <row r="54" spans="1:23" ht="15" customHeight="1" x14ac:dyDescent="0.25">
      <c r="A54" s="716" t="s">
        <v>126</v>
      </c>
      <c r="B54" s="721" t="s">
        <v>127</v>
      </c>
      <c r="C54" s="917" t="s">
        <v>266</v>
      </c>
      <c r="D54" s="1019">
        <f t="shared" si="14"/>
        <v>39437.08</v>
      </c>
      <c r="E54" s="1019">
        <f t="shared" si="15"/>
        <v>0</v>
      </c>
      <c r="F54" s="1019">
        <f t="shared" si="16"/>
        <v>39437.08</v>
      </c>
      <c r="G54" s="1021">
        <f t="shared" si="17"/>
        <v>0</v>
      </c>
      <c r="H54" s="1021">
        <f t="shared" si="18"/>
        <v>67716.84</v>
      </c>
      <c r="I54" s="1373">
        <f t="shared" si="19"/>
        <v>146591</v>
      </c>
      <c r="J54" s="1020">
        <f t="shared" si="20"/>
        <v>67716.84</v>
      </c>
      <c r="K54" s="1373">
        <f t="shared" si="21"/>
        <v>107153.92</v>
      </c>
      <c r="L54" s="1022"/>
      <c r="M54" s="1010"/>
      <c r="N54" s="1010"/>
      <c r="O54" s="1010"/>
      <c r="P54" s="1010"/>
      <c r="Q54" s="1011">
        <f t="shared" si="22"/>
        <v>0</v>
      </c>
      <c r="R54" s="1012">
        <v>39437.08</v>
      </c>
      <c r="S54" s="1013">
        <v>0</v>
      </c>
      <c r="T54" s="1013">
        <v>39437.08</v>
      </c>
      <c r="U54" s="1013">
        <v>0</v>
      </c>
      <c r="V54" s="1013">
        <v>67716.84</v>
      </c>
      <c r="W54" s="1013">
        <f t="shared" si="23"/>
        <v>146591</v>
      </c>
    </row>
    <row r="55" spans="1:23" ht="15" customHeight="1" x14ac:dyDescent="0.25">
      <c r="A55" s="716" t="s">
        <v>128</v>
      </c>
      <c r="B55" s="721" t="s">
        <v>129</v>
      </c>
      <c r="C55" s="917" t="s">
        <v>266</v>
      </c>
      <c r="D55" s="1019">
        <f t="shared" si="14"/>
        <v>26353.18</v>
      </c>
      <c r="E55" s="1019">
        <f t="shared" si="15"/>
        <v>0</v>
      </c>
      <c r="F55" s="1019">
        <f t="shared" si="16"/>
        <v>26353.18</v>
      </c>
      <c r="G55" s="1021">
        <f t="shared" si="17"/>
        <v>0</v>
      </c>
      <c r="H55" s="1021">
        <f t="shared" si="18"/>
        <v>45250.64</v>
      </c>
      <c r="I55" s="1373">
        <f t="shared" si="19"/>
        <v>97957</v>
      </c>
      <c r="J55" s="1020">
        <f t="shared" si="20"/>
        <v>45250.64</v>
      </c>
      <c r="K55" s="1373">
        <f t="shared" si="21"/>
        <v>71603.820000000007</v>
      </c>
      <c r="L55" s="1022"/>
      <c r="M55" s="1010"/>
      <c r="N55" s="1010"/>
      <c r="O55" s="1010"/>
      <c r="P55" s="1010"/>
      <c r="Q55" s="1011">
        <f t="shared" si="22"/>
        <v>0</v>
      </c>
      <c r="R55" s="1012">
        <v>26353.18</v>
      </c>
      <c r="S55" s="1013">
        <v>0</v>
      </c>
      <c r="T55" s="1013">
        <v>26353.18</v>
      </c>
      <c r="U55" s="1013">
        <v>0</v>
      </c>
      <c r="V55" s="1013">
        <v>45250.64</v>
      </c>
      <c r="W55" s="1013">
        <f t="shared" si="23"/>
        <v>97957</v>
      </c>
    </row>
    <row r="56" spans="1:23" ht="15" customHeight="1" x14ac:dyDescent="0.25">
      <c r="A56" s="716" t="s">
        <v>130</v>
      </c>
      <c r="B56" s="721" t="s">
        <v>131</v>
      </c>
      <c r="C56" s="917" t="s">
        <v>268</v>
      </c>
      <c r="D56" s="1019">
        <f t="shared" si="14"/>
        <v>57983.87</v>
      </c>
      <c r="E56" s="1019">
        <f t="shared" si="15"/>
        <v>0</v>
      </c>
      <c r="F56" s="1019">
        <f t="shared" si="16"/>
        <v>57983.87</v>
      </c>
      <c r="G56" s="1021">
        <f t="shared" si="17"/>
        <v>405</v>
      </c>
      <c r="H56" s="1021">
        <f t="shared" si="18"/>
        <v>99563.25999999998</v>
      </c>
      <c r="I56" s="1373">
        <f t="shared" si="19"/>
        <v>215936</v>
      </c>
      <c r="J56" s="1020">
        <f t="shared" si="20"/>
        <v>99968.25999999998</v>
      </c>
      <c r="K56" s="1373">
        <f t="shared" si="21"/>
        <v>157952.12999999998</v>
      </c>
      <c r="L56" s="1023">
        <v>0</v>
      </c>
      <c r="M56" s="1013">
        <v>0</v>
      </c>
      <c r="N56" s="1013">
        <v>0</v>
      </c>
      <c r="O56" s="1013">
        <v>405</v>
      </c>
      <c r="P56" s="1013">
        <v>0</v>
      </c>
      <c r="Q56" s="1011">
        <f t="shared" si="22"/>
        <v>405</v>
      </c>
      <c r="R56" s="1012">
        <v>57983.87</v>
      </c>
      <c r="S56" s="1013">
        <v>0</v>
      </c>
      <c r="T56" s="1013">
        <v>57983.87</v>
      </c>
      <c r="U56" s="1013">
        <v>0</v>
      </c>
      <c r="V56" s="1013">
        <v>99563.25999999998</v>
      </c>
      <c r="W56" s="1013">
        <f t="shared" si="23"/>
        <v>215531</v>
      </c>
    </row>
    <row r="57" spans="1:23" ht="15" customHeight="1" x14ac:dyDescent="0.25">
      <c r="A57" s="716" t="s">
        <v>132</v>
      </c>
      <c r="B57" s="721" t="s">
        <v>133</v>
      </c>
      <c r="C57" s="917" t="s">
        <v>267</v>
      </c>
      <c r="D57" s="1019">
        <f t="shared" si="14"/>
        <v>700803.42</v>
      </c>
      <c r="E57" s="1019">
        <f t="shared" si="15"/>
        <v>0</v>
      </c>
      <c r="F57" s="1019">
        <f t="shared" si="16"/>
        <v>700803.42</v>
      </c>
      <c r="G57" s="1021">
        <f t="shared" si="17"/>
        <v>0</v>
      </c>
      <c r="H57" s="1021">
        <f t="shared" si="18"/>
        <v>1203339.1600000001</v>
      </c>
      <c r="I57" s="1373">
        <f t="shared" si="19"/>
        <v>2604946</v>
      </c>
      <c r="J57" s="1020">
        <f t="shared" si="20"/>
        <v>1203339.1600000001</v>
      </c>
      <c r="K57" s="1373">
        <f t="shared" si="21"/>
        <v>1904142.58</v>
      </c>
      <c r="L57" s="1023"/>
      <c r="M57" s="1013"/>
      <c r="N57" s="1013"/>
      <c r="O57" s="1013"/>
      <c r="P57" s="1013"/>
      <c r="Q57" s="1011">
        <f t="shared" si="22"/>
        <v>0</v>
      </c>
      <c r="R57" s="1012">
        <v>700803.42</v>
      </c>
      <c r="S57" s="1013">
        <v>0</v>
      </c>
      <c r="T57" s="1013">
        <v>700803.42</v>
      </c>
      <c r="U57" s="1013">
        <v>0</v>
      </c>
      <c r="V57" s="1013">
        <v>1203339.1600000001</v>
      </c>
      <c r="W57" s="1013">
        <f t="shared" si="23"/>
        <v>2604946</v>
      </c>
    </row>
    <row r="58" spans="1:23" ht="15" customHeight="1" x14ac:dyDescent="0.25">
      <c r="A58" s="716" t="s">
        <v>134</v>
      </c>
      <c r="B58" s="721" t="s">
        <v>135</v>
      </c>
      <c r="C58" s="917" t="s">
        <v>267</v>
      </c>
      <c r="D58" s="1019">
        <f t="shared" si="14"/>
        <v>73001.55</v>
      </c>
      <c r="E58" s="1019">
        <f t="shared" si="15"/>
        <v>0</v>
      </c>
      <c r="F58" s="1019">
        <f t="shared" si="16"/>
        <v>73001.55</v>
      </c>
      <c r="G58" s="1021">
        <f t="shared" si="17"/>
        <v>2178.2800000000002</v>
      </c>
      <c r="H58" s="1021">
        <f t="shared" si="18"/>
        <v>125349.90000000002</v>
      </c>
      <c r="I58" s="1373">
        <f t="shared" si="19"/>
        <v>273531.28000000003</v>
      </c>
      <c r="J58" s="1020">
        <f t="shared" si="20"/>
        <v>127528.18000000002</v>
      </c>
      <c r="K58" s="1373">
        <f t="shared" si="21"/>
        <v>200529.73000000004</v>
      </c>
      <c r="L58" s="1022">
        <v>0</v>
      </c>
      <c r="M58" s="1010">
        <v>0</v>
      </c>
      <c r="N58" s="1010">
        <v>0</v>
      </c>
      <c r="O58" s="1010">
        <v>2178.2800000000002</v>
      </c>
      <c r="P58" s="1010">
        <v>0</v>
      </c>
      <c r="Q58" s="1011">
        <f t="shared" si="22"/>
        <v>2178.2800000000002</v>
      </c>
      <c r="R58" s="1012">
        <v>73001.55</v>
      </c>
      <c r="S58" s="1013">
        <v>0</v>
      </c>
      <c r="T58" s="1013">
        <v>73001.55</v>
      </c>
      <c r="U58" s="1013">
        <v>0</v>
      </c>
      <c r="V58" s="1013">
        <v>125349.90000000002</v>
      </c>
      <c r="W58" s="1013">
        <f t="shared" si="23"/>
        <v>271353</v>
      </c>
    </row>
    <row r="59" spans="1:23" ht="15" customHeight="1" x14ac:dyDescent="0.25">
      <c r="A59" s="716" t="s">
        <v>136</v>
      </c>
      <c r="B59" s="721" t="s">
        <v>137</v>
      </c>
      <c r="C59" s="917" t="s">
        <v>266</v>
      </c>
      <c r="D59" s="1019">
        <f t="shared" si="14"/>
        <v>31295.77</v>
      </c>
      <c r="E59" s="1019">
        <f t="shared" si="15"/>
        <v>0</v>
      </c>
      <c r="F59" s="1019">
        <f t="shared" si="16"/>
        <v>31295.77</v>
      </c>
      <c r="G59" s="1021">
        <f t="shared" si="17"/>
        <v>0</v>
      </c>
      <c r="H59" s="1021">
        <f t="shared" si="18"/>
        <v>53737.46</v>
      </c>
      <c r="I59" s="1373">
        <f t="shared" si="19"/>
        <v>116329</v>
      </c>
      <c r="J59" s="1020">
        <f t="shared" si="20"/>
        <v>53737.46</v>
      </c>
      <c r="K59" s="1373">
        <f t="shared" si="21"/>
        <v>85033.23</v>
      </c>
      <c r="L59" s="1023"/>
      <c r="M59" s="1013"/>
      <c r="N59" s="1013"/>
      <c r="O59" s="1013"/>
      <c r="P59" s="1013"/>
      <c r="Q59" s="1011">
        <f t="shared" si="22"/>
        <v>0</v>
      </c>
      <c r="R59" s="1012">
        <v>31295.77</v>
      </c>
      <c r="S59" s="1013">
        <v>0</v>
      </c>
      <c r="T59" s="1013">
        <v>31295.77</v>
      </c>
      <c r="U59" s="1013">
        <v>0</v>
      </c>
      <c r="V59" s="1013">
        <v>53737.46</v>
      </c>
      <c r="W59" s="1013">
        <f t="shared" si="23"/>
        <v>116329</v>
      </c>
    </row>
    <row r="60" spans="1:23" ht="15" customHeight="1" x14ac:dyDescent="0.25">
      <c r="A60" s="716" t="s">
        <v>140</v>
      </c>
      <c r="B60" s="721" t="s">
        <v>141</v>
      </c>
      <c r="C60" s="917" t="s">
        <v>267</v>
      </c>
      <c r="D60" s="1019">
        <f t="shared" si="14"/>
        <v>27657.7</v>
      </c>
      <c r="E60" s="1019">
        <f t="shared" si="15"/>
        <v>0</v>
      </c>
      <c r="F60" s="1019">
        <f t="shared" si="16"/>
        <v>27657.7</v>
      </c>
      <c r="G60" s="1021">
        <f t="shared" si="17"/>
        <v>0</v>
      </c>
      <c r="H60" s="1021">
        <f t="shared" si="18"/>
        <v>47490.6</v>
      </c>
      <c r="I60" s="1373">
        <f t="shared" si="19"/>
        <v>102806</v>
      </c>
      <c r="J60" s="1020">
        <f t="shared" si="20"/>
        <v>47490.6</v>
      </c>
      <c r="K60" s="1373">
        <f t="shared" si="21"/>
        <v>75148.3</v>
      </c>
      <c r="L60" s="1023"/>
      <c r="M60" s="1013"/>
      <c r="N60" s="1013"/>
      <c r="O60" s="1013"/>
      <c r="P60" s="1013"/>
      <c r="Q60" s="1011">
        <f t="shared" si="22"/>
        <v>0</v>
      </c>
      <c r="R60" s="1012">
        <v>27657.7</v>
      </c>
      <c r="S60" s="1013">
        <v>0</v>
      </c>
      <c r="T60" s="1013">
        <v>27657.7</v>
      </c>
      <c r="U60" s="1013">
        <v>0</v>
      </c>
      <c r="V60" s="1013">
        <v>47490.6</v>
      </c>
      <c r="W60" s="1013">
        <f t="shared" si="23"/>
        <v>102806</v>
      </c>
    </row>
    <row r="61" spans="1:23" ht="15" customHeight="1" x14ac:dyDescent="0.25">
      <c r="A61" s="716" t="s">
        <v>146</v>
      </c>
      <c r="B61" s="721" t="s">
        <v>147</v>
      </c>
      <c r="C61" s="917" t="s">
        <v>264</v>
      </c>
      <c r="D61" s="1019">
        <f t="shared" si="14"/>
        <v>35863.32</v>
      </c>
      <c r="E61" s="1019">
        <f t="shared" si="15"/>
        <v>0</v>
      </c>
      <c r="F61" s="1019">
        <f t="shared" si="16"/>
        <v>35863.32</v>
      </c>
      <c r="G61" s="1021">
        <f t="shared" si="17"/>
        <v>0</v>
      </c>
      <c r="H61" s="1021">
        <f t="shared" si="18"/>
        <v>61580.36</v>
      </c>
      <c r="I61" s="1373">
        <f t="shared" si="19"/>
        <v>133307</v>
      </c>
      <c r="J61" s="1020">
        <f t="shared" si="20"/>
        <v>61580.36</v>
      </c>
      <c r="K61" s="1373">
        <f t="shared" si="21"/>
        <v>97443.68</v>
      </c>
      <c r="L61" s="1022"/>
      <c r="M61" s="1010"/>
      <c r="N61" s="1010"/>
      <c r="O61" s="1010"/>
      <c r="P61" s="1010"/>
      <c r="Q61" s="1011">
        <f t="shared" si="22"/>
        <v>0</v>
      </c>
      <c r="R61" s="1012">
        <v>35863.32</v>
      </c>
      <c r="S61" s="1013">
        <v>0</v>
      </c>
      <c r="T61" s="1013">
        <v>35863.32</v>
      </c>
      <c r="U61" s="1013">
        <v>0</v>
      </c>
      <c r="V61" s="1013">
        <v>61580.36</v>
      </c>
      <c r="W61" s="1013">
        <f t="shared" si="23"/>
        <v>133307</v>
      </c>
    </row>
    <row r="62" spans="1:23" ht="15" customHeight="1" x14ac:dyDescent="0.25">
      <c r="A62" s="716" t="s">
        <v>148</v>
      </c>
      <c r="B62" s="721" t="s">
        <v>149</v>
      </c>
      <c r="C62" s="917" t="s">
        <v>265</v>
      </c>
      <c r="D62" s="1019">
        <f t="shared" si="14"/>
        <v>97014.19</v>
      </c>
      <c r="E62" s="1019">
        <f t="shared" si="15"/>
        <v>0</v>
      </c>
      <c r="F62" s="1019">
        <f t="shared" si="16"/>
        <v>97014.19</v>
      </c>
      <c r="G62" s="1021">
        <f t="shared" si="17"/>
        <v>0</v>
      </c>
      <c r="H62" s="1021">
        <f t="shared" si="18"/>
        <v>166581.62</v>
      </c>
      <c r="I62" s="1373">
        <f t="shared" si="19"/>
        <v>360610</v>
      </c>
      <c r="J62" s="1020">
        <f t="shared" si="20"/>
        <v>166581.62</v>
      </c>
      <c r="K62" s="1373">
        <f t="shared" si="21"/>
        <v>263595.81</v>
      </c>
      <c r="L62" s="1023"/>
      <c r="M62" s="1013"/>
      <c r="N62" s="1013"/>
      <c r="O62" s="1013"/>
      <c r="P62" s="1013"/>
      <c r="Q62" s="1011">
        <f t="shared" si="22"/>
        <v>0</v>
      </c>
      <c r="R62" s="1012">
        <v>97014.19</v>
      </c>
      <c r="S62" s="1013">
        <v>0</v>
      </c>
      <c r="T62" s="1013">
        <v>97014.19</v>
      </c>
      <c r="U62" s="1013">
        <v>0</v>
      </c>
      <c r="V62" s="1013">
        <v>166581.62</v>
      </c>
      <c r="W62" s="1013">
        <f t="shared" si="23"/>
        <v>360610</v>
      </c>
    </row>
    <row r="63" spans="1:23" ht="15" customHeight="1" x14ac:dyDescent="0.25">
      <c r="A63" s="716" t="s">
        <v>150</v>
      </c>
      <c r="B63" s="721" t="s">
        <v>151</v>
      </c>
      <c r="C63" s="917" t="s">
        <v>266</v>
      </c>
      <c r="D63" s="1019">
        <f t="shared" si="14"/>
        <v>30349.85</v>
      </c>
      <c r="E63" s="1019">
        <f t="shared" si="15"/>
        <v>0</v>
      </c>
      <c r="F63" s="1019">
        <f t="shared" si="16"/>
        <v>30349.85</v>
      </c>
      <c r="G63" s="1021">
        <f t="shared" si="17"/>
        <v>0</v>
      </c>
      <c r="H63" s="1021">
        <f t="shared" si="18"/>
        <v>52113.3</v>
      </c>
      <c r="I63" s="1373">
        <f t="shared" si="19"/>
        <v>112813</v>
      </c>
      <c r="J63" s="1020">
        <f t="shared" si="20"/>
        <v>52113.3</v>
      </c>
      <c r="K63" s="1373">
        <f t="shared" si="21"/>
        <v>82463.149999999994</v>
      </c>
      <c r="L63" s="1023"/>
      <c r="M63" s="1013"/>
      <c r="N63" s="1013"/>
      <c r="O63" s="1013"/>
      <c r="P63" s="1013"/>
      <c r="Q63" s="1011">
        <f t="shared" si="22"/>
        <v>0</v>
      </c>
      <c r="R63" s="1012">
        <v>30349.85</v>
      </c>
      <c r="S63" s="1013">
        <v>0</v>
      </c>
      <c r="T63" s="1013">
        <v>30349.85</v>
      </c>
      <c r="U63" s="1013">
        <v>0</v>
      </c>
      <c r="V63" s="1013">
        <v>52113.3</v>
      </c>
      <c r="W63" s="1013">
        <f t="shared" si="23"/>
        <v>112813</v>
      </c>
    </row>
    <row r="64" spans="1:23" ht="15" customHeight="1" x14ac:dyDescent="0.25">
      <c r="A64" s="716" t="s">
        <v>152</v>
      </c>
      <c r="B64" s="721" t="s">
        <v>153</v>
      </c>
      <c r="C64" s="917" t="s">
        <v>268</v>
      </c>
      <c r="D64" s="1019">
        <f t="shared" si="14"/>
        <v>137763.59</v>
      </c>
      <c r="E64" s="1019">
        <f t="shared" si="15"/>
        <v>0</v>
      </c>
      <c r="F64" s="1019">
        <f t="shared" si="16"/>
        <v>137763.59</v>
      </c>
      <c r="G64" s="1021">
        <f t="shared" si="17"/>
        <v>0</v>
      </c>
      <c r="H64" s="1021">
        <f t="shared" si="18"/>
        <v>236551.82</v>
      </c>
      <c r="I64" s="1373">
        <f t="shared" si="19"/>
        <v>512079</v>
      </c>
      <c r="J64" s="1020">
        <f t="shared" si="20"/>
        <v>236551.82</v>
      </c>
      <c r="K64" s="1373">
        <f t="shared" si="21"/>
        <v>374315.41000000003</v>
      </c>
      <c r="L64" s="1023"/>
      <c r="M64" s="1013"/>
      <c r="N64" s="1013"/>
      <c r="O64" s="1013"/>
      <c r="P64" s="1013"/>
      <c r="Q64" s="1011">
        <f t="shared" si="22"/>
        <v>0</v>
      </c>
      <c r="R64" s="1012">
        <v>137763.59</v>
      </c>
      <c r="S64" s="1013">
        <v>0</v>
      </c>
      <c r="T64" s="1013">
        <v>137763.59</v>
      </c>
      <c r="U64" s="1013">
        <v>0</v>
      </c>
      <c r="V64" s="1013">
        <v>236551.82</v>
      </c>
      <c r="W64" s="1013">
        <f t="shared" si="23"/>
        <v>512079</v>
      </c>
    </row>
    <row r="65" spans="1:23" ht="15" customHeight="1" x14ac:dyDescent="0.25">
      <c r="A65" s="716" t="s">
        <v>154</v>
      </c>
      <c r="B65" s="721" t="s">
        <v>155</v>
      </c>
      <c r="C65" s="917" t="s">
        <v>265</v>
      </c>
      <c r="D65" s="1019">
        <f t="shared" si="14"/>
        <v>0</v>
      </c>
      <c r="E65" s="1019">
        <f t="shared" si="15"/>
        <v>0</v>
      </c>
      <c r="F65" s="1019">
        <f t="shared" si="16"/>
        <v>0</v>
      </c>
      <c r="G65" s="1021">
        <f t="shared" si="17"/>
        <v>0</v>
      </c>
      <c r="H65" s="1021">
        <f t="shared" si="18"/>
        <v>0</v>
      </c>
      <c r="I65" s="1373">
        <f t="shared" si="19"/>
        <v>0</v>
      </c>
      <c r="J65" s="1020">
        <f t="shared" si="20"/>
        <v>0</v>
      </c>
      <c r="K65" s="1373">
        <f t="shared" si="21"/>
        <v>0</v>
      </c>
      <c r="L65" s="1023"/>
      <c r="M65" s="1013"/>
      <c r="N65" s="1013"/>
      <c r="O65" s="1013"/>
      <c r="P65" s="1013"/>
      <c r="Q65" s="1011">
        <f t="shared" si="22"/>
        <v>0</v>
      </c>
      <c r="R65" s="1012"/>
      <c r="S65" s="1013"/>
      <c r="T65" s="1013"/>
      <c r="U65" s="1013"/>
      <c r="V65" s="1013"/>
      <c r="W65" s="1013">
        <f t="shared" si="23"/>
        <v>0</v>
      </c>
    </row>
    <row r="66" spans="1:23" ht="15" customHeight="1" x14ac:dyDescent="0.25">
      <c r="A66" s="716" t="s">
        <v>156</v>
      </c>
      <c r="B66" s="721" t="s">
        <v>157</v>
      </c>
      <c r="C66" s="917" t="s">
        <v>266</v>
      </c>
      <c r="D66" s="1019">
        <f t="shared" si="14"/>
        <v>30755.83</v>
      </c>
      <c r="E66" s="1019">
        <f t="shared" si="15"/>
        <v>0</v>
      </c>
      <c r="F66" s="1019">
        <f t="shared" si="16"/>
        <v>30755.83</v>
      </c>
      <c r="G66" s="1021">
        <f t="shared" si="17"/>
        <v>19966.439999999999</v>
      </c>
      <c r="H66" s="1021">
        <f t="shared" si="18"/>
        <v>52810.340000000004</v>
      </c>
      <c r="I66" s="1373">
        <f t="shared" si="19"/>
        <v>134288.44</v>
      </c>
      <c r="J66" s="1020">
        <f t="shared" si="20"/>
        <v>72776.78</v>
      </c>
      <c r="K66" s="1373">
        <f t="shared" si="21"/>
        <v>103532.61</v>
      </c>
      <c r="L66" s="1022">
        <v>0</v>
      </c>
      <c r="M66" s="1010">
        <v>0</v>
      </c>
      <c r="N66" s="1010">
        <v>0</v>
      </c>
      <c r="O66" s="1010">
        <v>19966.439999999999</v>
      </c>
      <c r="P66" s="1010">
        <v>0</v>
      </c>
      <c r="Q66" s="1011">
        <f t="shared" si="22"/>
        <v>19966.439999999999</v>
      </c>
      <c r="R66" s="1012">
        <v>30755.83</v>
      </c>
      <c r="S66" s="1013">
        <v>0</v>
      </c>
      <c r="T66" s="1013">
        <v>30755.83</v>
      </c>
      <c r="U66" s="1013">
        <v>0</v>
      </c>
      <c r="V66" s="1013">
        <v>52810.340000000004</v>
      </c>
      <c r="W66" s="1013">
        <f t="shared" si="23"/>
        <v>114322</v>
      </c>
    </row>
    <row r="67" spans="1:23" ht="15" customHeight="1" x14ac:dyDescent="0.25">
      <c r="A67" s="716" t="s">
        <v>162</v>
      </c>
      <c r="B67" s="721" t="s">
        <v>163</v>
      </c>
      <c r="C67" s="917" t="s">
        <v>264</v>
      </c>
      <c r="D67" s="1019">
        <f t="shared" si="14"/>
        <v>78885.2</v>
      </c>
      <c r="E67" s="1019">
        <f t="shared" si="15"/>
        <v>0</v>
      </c>
      <c r="F67" s="1019">
        <f t="shared" si="16"/>
        <v>78885.2</v>
      </c>
      <c r="G67" s="1021">
        <f t="shared" si="17"/>
        <v>0</v>
      </c>
      <c r="H67" s="1021">
        <f t="shared" si="18"/>
        <v>135452.6</v>
      </c>
      <c r="I67" s="1373">
        <f t="shared" si="19"/>
        <v>293223</v>
      </c>
      <c r="J67" s="1020">
        <f t="shared" si="20"/>
        <v>135452.6</v>
      </c>
      <c r="K67" s="1373">
        <f t="shared" si="21"/>
        <v>214337.8</v>
      </c>
      <c r="L67" s="1023"/>
      <c r="M67" s="1013"/>
      <c r="N67" s="1013"/>
      <c r="O67" s="1013"/>
      <c r="P67" s="1013"/>
      <c r="Q67" s="1011">
        <f t="shared" si="22"/>
        <v>0</v>
      </c>
      <c r="R67" s="1012">
        <v>78885.2</v>
      </c>
      <c r="S67" s="1013">
        <v>0</v>
      </c>
      <c r="T67" s="1013">
        <v>78885.2</v>
      </c>
      <c r="U67" s="1013">
        <v>0</v>
      </c>
      <c r="V67" s="1013">
        <v>135452.6</v>
      </c>
      <c r="W67" s="1013">
        <f t="shared" si="23"/>
        <v>293223</v>
      </c>
    </row>
    <row r="68" spans="1:23" ht="15" customHeight="1" x14ac:dyDescent="0.25">
      <c r="A68" s="716" t="s">
        <v>164</v>
      </c>
      <c r="B68" s="721" t="s">
        <v>165</v>
      </c>
      <c r="C68" s="917" t="s">
        <v>266</v>
      </c>
      <c r="D68" s="1019">
        <f t="shared" si="14"/>
        <v>21288.46</v>
      </c>
      <c r="E68" s="1019">
        <f t="shared" si="15"/>
        <v>0</v>
      </c>
      <c r="F68" s="1019">
        <f t="shared" si="16"/>
        <v>21288.46</v>
      </c>
      <c r="G68" s="1021">
        <f t="shared" si="17"/>
        <v>0</v>
      </c>
      <c r="H68" s="1021">
        <f t="shared" si="18"/>
        <v>36554.080000000002</v>
      </c>
      <c r="I68" s="1373">
        <f t="shared" si="19"/>
        <v>79131</v>
      </c>
      <c r="J68" s="1020">
        <f t="shared" si="20"/>
        <v>36554.080000000002</v>
      </c>
      <c r="K68" s="1373">
        <f t="shared" si="21"/>
        <v>57842.54</v>
      </c>
      <c r="L68" s="1023"/>
      <c r="M68" s="1013"/>
      <c r="N68" s="1013"/>
      <c r="O68" s="1013"/>
      <c r="P68" s="1013"/>
      <c r="Q68" s="1011">
        <f t="shared" si="22"/>
        <v>0</v>
      </c>
      <c r="R68" s="1012">
        <v>21288.46</v>
      </c>
      <c r="S68" s="1013">
        <v>0</v>
      </c>
      <c r="T68" s="1013">
        <v>21288.46</v>
      </c>
      <c r="U68" s="1013">
        <v>0</v>
      </c>
      <c r="V68" s="1013">
        <v>36554.080000000002</v>
      </c>
      <c r="W68" s="1013">
        <f t="shared" si="23"/>
        <v>79131</v>
      </c>
    </row>
    <row r="69" spans="1:23" ht="15" customHeight="1" x14ac:dyDescent="0.25">
      <c r="A69" s="716" t="s">
        <v>168</v>
      </c>
      <c r="B69" s="721" t="s">
        <v>169</v>
      </c>
      <c r="C69" s="917" t="s">
        <v>266</v>
      </c>
      <c r="D69" s="1019">
        <f t="shared" ref="D69:D100" si="24">L69+R69</f>
        <v>27144.65</v>
      </c>
      <c r="E69" s="1019">
        <f t="shared" ref="E69:E100" si="25">M69+S69</f>
        <v>0</v>
      </c>
      <c r="F69" s="1019">
        <f t="shared" ref="F69:F100" si="26">N69+T69</f>
        <v>27144.65</v>
      </c>
      <c r="G69" s="1021">
        <f t="shared" ref="G69:G100" si="27">O69+U69</f>
        <v>0</v>
      </c>
      <c r="H69" s="1021">
        <f t="shared" ref="H69:H100" si="28">P69+V69</f>
        <v>46609.7</v>
      </c>
      <c r="I69" s="1373">
        <f t="shared" ref="I69:I100" si="29">SUM(D69:H69)</f>
        <v>100899</v>
      </c>
      <c r="J69" s="1020">
        <f t="shared" ref="J69:J100" si="30">G69+H69</f>
        <v>46609.7</v>
      </c>
      <c r="K69" s="1373">
        <f t="shared" ref="K69:K100" si="31">F69+J69</f>
        <v>73754.350000000006</v>
      </c>
      <c r="L69" s="1023"/>
      <c r="M69" s="1013"/>
      <c r="N69" s="1013"/>
      <c r="O69" s="1013"/>
      <c r="P69" s="1013"/>
      <c r="Q69" s="1011">
        <f t="shared" ref="Q69:Q100" si="32">SUM(L69:P69)</f>
        <v>0</v>
      </c>
      <c r="R69" s="1012">
        <v>27144.65</v>
      </c>
      <c r="S69" s="1013">
        <v>0</v>
      </c>
      <c r="T69" s="1013">
        <v>27144.65</v>
      </c>
      <c r="U69" s="1013">
        <v>0</v>
      </c>
      <c r="V69" s="1013">
        <v>46609.7</v>
      </c>
      <c r="W69" s="1013">
        <f t="shared" ref="W69:W100" si="33">SUM(R69:V69)</f>
        <v>100899</v>
      </c>
    </row>
    <row r="70" spans="1:23" ht="15" customHeight="1" x14ac:dyDescent="0.25">
      <c r="A70" s="716" t="s">
        <v>170</v>
      </c>
      <c r="B70" s="721" t="s">
        <v>171</v>
      </c>
      <c r="C70" s="917" t="s">
        <v>267</v>
      </c>
      <c r="D70" s="1019">
        <f t="shared" si="24"/>
        <v>17856.47</v>
      </c>
      <c r="E70" s="1019">
        <f t="shared" si="25"/>
        <v>0</v>
      </c>
      <c r="F70" s="1019">
        <f t="shared" si="26"/>
        <v>17856.47</v>
      </c>
      <c r="G70" s="1021">
        <f t="shared" si="27"/>
        <v>0</v>
      </c>
      <c r="H70" s="1021">
        <f t="shared" si="28"/>
        <v>30661.059999999998</v>
      </c>
      <c r="I70" s="1373">
        <f t="shared" si="29"/>
        <v>66374</v>
      </c>
      <c r="J70" s="1020">
        <f t="shared" si="30"/>
        <v>30661.059999999998</v>
      </c>
      <c r="K70" s="1373">
        <f t="shared" si="31"/>
        <v>48517.53</v>
      </c>
      <c r="L70" s="1023"/>
      <c r="M70" s="1013"/>
      <c r="N70" s="1013"/>
      <c r="O70" s="1013"/>
      <c r="P70" s="1013"/>
      <c r="Q70" s="1011">
        <f t="shared" si="32"/>
        <v>0</v>
      </c>
      <c r="R70" s="1012">
        <v>17856.47</v>
      </c>
      <c r="S70" s="1013">
        <v>0</v>
      </c>
      <c r="T70" s="1013">
        <v>17856.47</v>
      </c>
      <c r="U70" s="1013">
        <v>0</v>
      </c>
      <c r="V70" s="1013">
        <v>30661.059999999998</v>
      </c>
      <c r="W70" s="1013">
        <f t="shared" si="33"/>
        <v>66374</v>
      </c>
    </row>
    <row r="71" spans="1:23" ht="15" customHeight="1" x14ac:dyDescent="0.25">
      <c r="A71" s="716" t="s">
        <v>172</v>
      </c>
      <c r="B71" s="721" t="s">
        <v>173</v>
      </c>
      <c r="C71" s="917" t="s">
        <v>267</v>
      </c>
      <c r="D71" s="1019">
        <f t="shared" si="24"/>
        <v>21526.27</v>
      </c>
      <c r="E71" s="1019">
        <f t="shared" si="25"/>
        <v>0</v>
      </c>
      <c r="F71" s="1019">
        <f t="shared" si="26"/>
        <v>21526.27</v>
      </c>
      <c r="G71" s="1021">
        <f t="shared" si="27"/>
        <v>0</v>
      </c>
      <c r="H71" s="1021">
        <f t="shared" si="28"/>
        <v>36962.459999999992</v>
      </c>
      <c r="I71" s="1373">
        <f t="shared" si="29"/>
        <v>80015</v>
      </c>
      <c r="J71" s="1020">
        <f t="shared" si="30"/>
        <v>36962.459999999992</v>
      </c>
      <c r="K71" s="1373">
        <f t="shared" si="31"/>
        <v>58488.729999999996</v>
      </c>
      <c r="L71" s="1023"/>
      <c r="M71" s="1013"/>
      <c r="N71" s="1013"/>
      <c r="O71" s="1013"/>
      <c r="P71" s="1013"/>
      <c r="Q71" s="1011">
        <f t="shared" si="32"/>
        <v>0</v>
      </c>
      <c r="R71" s="1012">
        <v>21526.27</v>
      </c>
      <c r="S71" s="1013">
        <v>0</v>
      </c>
      <c r="T71" s="1013">
        <v>21526.27</v>
      </c>
      <c r="U71" s="1013">
        <v>0</v>
      </c>
      <c r="V71" s="1013">
        <v>36962.459999999992</v>
      </c>
      <c r="W71" s="1013">
        <f t="shared" si="33"/>
        <v>80015</v>
      </c>
    </row>
    <row r="72" spans="1:23" ht="15" customHeight="1" x14ac:dyDescent="0.25">
      <c r="A72" s="716" t="s">
        <v>174</v>
      </c>
      <c r="B72" s="721" t="s">
        <v>175</v>
      </c>
      <c r="C72" s="917" t="s">
        <v>268</v>
      </c>
      <c r="D72" s="1019">
        <f t="shared" si="24"/>
        <v>25683.29</v>
      </c>
      <c r="E72" s="1019">
        <f t="shared" si="25"/>
        <v>0</v>
      </c>
      <c r="F72" s="1019">
        <f t="shared" si="26"/>
        <v>25683.29</v>
      </c>
      <c r="G72" s="1021">
        <f t="shared" si="27"/>
        <v>0</v>
      </c>
      <c r="H72" s="1021">
        <f t="shared" si="28"/>
        <v>44100.420000000006</v>
      </c>
      <c r="I72" s="1373">
        <f t="shared" si="29"/>
        <v>95467</v>
      </c>
      <c r="J72" s="1020">
        <f t="shared" si="30"/>
        <v>44100.420000000006</v>
      </c>
      <c r="K72" s="1373">
        <f t="shared" si="31"/>
        <v>69783.710000000006</v>
      </c>
      <c r="L72" s="1022"/>
      <c r="M72" s="1010"/>
      <c r="N72" s="1010"/>
      <c r="O72" s="1010"/>
      <c r="P72" s="1010"/>
      <c r="Q72" s="1011">
        <f t="shared" si="32"/>
        <v>0</v>
      </c>
      <c r="R72" s="1012">
        <v>25683.29</v>
      </c>
      <c r="S72" s="1013">
        <v>0</v>
      </c>
      <c r="T72" s="1013">
        <v>25683.29</v>
      </c>
      <c r="U72" s="1013">
        <v>0</v>
      </c>
      <c r="V72" s="1013">
        <v>44100.420000000006</v>
      </c>
      <c r="W72" s="1013">
        <f t="shared" si="33"/>
        <v>95467</v>
      </c>
    </row>
    <row r="73" spans="1:23" ht="15" customHeight="1" x14ac:dyDescent="0.25">
      <c r="A73" s="716" t="s">
        <v>178</v>
      </c>
      <c r="B73" s="721" t="s">
        <v>179</v>
      </c>
      <c r="C73" s="917" t="s">
        <v>265</v>
      </c>
      <c r="D73" s="1019">
        <f t="shared" si="24"/>
        <v>53873.14</v>
      </c>
      <c r="E73" s="1019">
        <f t="shared" si="25"/>
        <v>0</v>
      </c>
      <c r="F73" s="1019">
        <f t="shared" si="26"/>
        <v>53873.14</v>
      </c>
      <c r="G73" s="1021">
        <f t="shared" si="27"/>
        <v>0</v>
      </c>
      <c r="H73" s="1021">
        <f t="shared" si="28"/>
        <v>92504.72</v>
      </c>
      <c r="I73" s="1373">
        <f t="shared" si="29"/>
        <v>200251</v>
      </c>
      <c r="J73" s="1020">
        <f t="shared" si="30"/>
        <v>92504.72</v>
      </c>
      <c r="K73" s="1373">
        <f t="shared" si="31"/>
        <v>146377.85999999999</v>
      </c>
      <c r="L73" s="1023"/>
      <c r="M73" s="1013"/>
      <c r="N73" s="1013"/>
      <c r="O73" s="1013"/>
      <c r="P73" s="1013"/>
      <c r="Q73" s="1011">
        <f t="shared" si="32"/>
        <v>0</v>
      </c>
      <c r="R73" s="1012">
        <v>53873.14</v>
      </c>
      <c r="S73" s="1013">
        <v>0</v>
      </c>
      <c r="T73" s="1013">
        <v>53873.14</v>
      </c>
      <c r="U73" s="1013">
        <v>0</v>
      </c>
      <c r="V73" s="1013">
        <v>92504.72</v>
      </c>
      <c r="W73" s="1013">
        <f t="shared" si="33"/>
        <v>200251</v>
      </c>
    </row>
    <row r="74" spans="1:23" ht="15" customHeight="1" x14ac:dyDescent="0.25">
      <c r="A74" s="716" t="s">
        <v>182</v>
      </c>
      <c r="B74" s="721" t="s">
        <v>183</v>
      </c>
      <c r="C74" s="917" t="s">
        <v>266</v>
      </c>
      <c r="D74" s="1019">
        <f t="shared" si="24"/>
        <v>47915.23</v>
      </c>
      <c r="E74" s="1019">
        <f t="shared" si="25"/>
        <v>0</v>
      </c>
      <c r="F74" s="1019">
        <f t="shared" si="26"/>
        <v>47915.23</v>
      </c>
      <c r="G74" s="1021">
        <f t="shared" si="27"/>
        <v>0</v>
      </c>
      <c r="H74" s="1021">
        <f t="shared" si="28"/>
        <v>82274.539999999994</v>
      </c>
      <c r="I74" s="1373">
        <f t="shared" si="29"/>
        <v>178105</v>
      </c>
      <c r="J74" s="1020">
        <f t="shared" si="30"/>
        <v>82274.539999999994</v>
      </c>
      <c r="K74" s="1373">
        <f t="shared" si="31"/>
        <v>130189.76999999999</v>
      </c>
      <c r="L74" s="1023"/>
      <c r="M74" s="1013"/>
      <c r="N74" s="1013"/>
      <c r="O74" s="1013"/>
      <c r="P74" s="1013"/>
      <c r="Q74" s="1011">
        <f t="shared" si="32"/>
        <v>0</v>
      </c>
      <c r="R74" s="1012">
        <v>47915.23</v>
      </c>
      <c r="S74" s="1013">
        <v>0</v>
      </c>
      <c r="T74" s="1013">
        <v>47915.23</v>
      </c>
      <c r="U74" s="1013">
        <v>0</v>
      </c>
      <c r="V74" s="1013">
        <v>82274.539999999994</v>
      </c>
      <c r="W74" s="1013">
        <f t="shared" si="33"/>
        <v>178105</v>
      </c>
    </row>
    <row r="75" spans="1:23" ht="15" customHeight="1" x14ac:dyDescent="0.25">
      <c r="A75" s="716" t="s">
        <v>184</v>
      </c>
      <c r="B75" s="721" t="s">
        <v>185</v>
      </c>
      <c r="C75" s="917" t="s">
        <v>266</v>
      </c>
      <c r="D75" s="1019">
        <f t="shared" si="24"/>
        <v>50543.64</v>
      </c>
      <c r="E75" s="1019">
        <f t="shared" si="25"/>
        <v>0</v>
      </c>
      <c r="F75" s="1019">
        <f t="shared" si="26"/>
        <v>50543.64</v>
      </c>
      <c r="G75" s="1021">
        <f t="shared" si="27"/>
        <v>0</v>
      </c>
      <c r="H75" s="1021">
        <f t="shared" si="28"/>
        <v>86787.72</v>
      </c>
      <c r="I75" s="1373">
        <f t="shared" si="29"/>
        <v>187875</v>
      </c>
      <c r="J75" s="1020">
        <f t="shared" si="30"/>
        <v>86787.72</v>
      </c>
      <c r="K75" s="1373">
        <f t="shared" si="31"/>
        <v>137331.35999999999</v>
      </c>
      <c r="L75" s="1023"/>
      <c r="M75" s="1013"/>
      <c r="N75" s="1013"/>
      <c r="O75" s="1013"/>
      <c r="P75" s="1013"/>
      <c r="Q75" s="1011">
        <f t="shared" si="32"/>
        <v>0</v>
      </c>
      <c r="R75" s="1012">
        <v>50543.64</v>
      </c>
      <c r="S75" s="1013">
        <v>0</v>
      </c>
      <c r="T75" s="1013">
        <v>50543.64</v>
      </c>
      <c r="U75" s="1013">
        <v>0</v>
      </c>
      <c r="V75" s="1013">
        <v>86787.72</v>
      </c>
      <c r="W75" s="1013">
        <f t="shared" si="33"/>
        <v>187875</v>
      </c>
    </row>
    <row r="76" spans="1:23" ht="15" customHeight="1" x14ac:dyDescent="0.25">
      <c r="A76" s="716" t="s">
        <v>186</v>
      </c>
      <c r="B76" s="721" t="s">
        <v>187</v>
      </c>
      <c r="C76" s="917" t="s">
        <v>264</v>
      </c>
      <c r="D76" s="1019">
        <f t="shared" si="24"/>
        <v>66411.17</v>
      </c>
      <c r="E76" s="1019">
        <f t="shared" si="25"/>
        <v>0</v>
      </c>
      <c r="F76" s="1019">
        <f t="shared" si="26"/>
        <v>66411.17</v>
      </c>
      <c r="G76" s="1021">
        <f t="shared" si="27"/>
        <v>0</v>
      </c>
      <c r="H76" s="1021">
        <f t="shared" si="28"/>
        <v>114033.66</v>
      </c>
      <c r="I76" s="1373">
        <f t="shared" si="29"/>
        <v>246856</v>
      </c>
      <c r="J76" s="1020">
        <f t="shared" si="30"/>
        <v>114033.66</v>
      </c>
      <c r="K76" s="1373">
        <f t="shared" si="31"/>
        <v>180444.83000000002</v>
      </c>
      <c r="L76" s="1023"/>
      <c r="M76" s="1013"/>
      <c r="N76" s="1013"/>
      <c r="O76" s="1013"/>
      <c r="P76" s="1013"/>
      <c r="Q76" s="1011">
        <f t="shared" si="32"/>
        <v>0</v>
      </c>
      <c r="R76" s="1014">
        <v>66411.17</v>
      </c>
      <c r="S76" s="1010">
        <v>0</v>
      </c>
      <c r="T76" s="1010">
        <v>66411.17</v>
      </c>
      <c r="U76" s="1010">
        <v>0</v>
      </c>
      <c r="V76" s="1010">
        <v>114033.66</v>
      </c>
      <c r="W76" s="1013">
        <f t="shared" si="33"/>
        <v>246856</v>
      </c>
    </row>
    <row r="77" spans="1:23" ht="15" customHeight="1" x14ac:dyDescent="0.25">
      <c r="A77" s="716" t="s">
        <v>188</v>
      </c>
      <c r="B77" s="721" t="s">
        <v>189</v>
      </c>
      <c r="C77" s="917" t="s">
        <v>267</v>
      </c>
      <c r="D77" s="1019">
        <f t="shared" si="24"/>
        <v>1179541.43</v>
      </c>
      <c r="E77" s="1019">
        <f t="shared" si="25"/>
        <v>0</v>
      </c>
      <c r="F77" s="1019">
        <f t="shared" si="26"/>
        <v>1179541.43</v>
      </c>
      <c r="G77" s="1021">
        <f t="shared" si="27"/>
        <v>0</v>
      </c>
      <c r="H77" s="1021">
        <f t="shared" si="28"/>
        <v>2025373.1400000001</v>
      </c>
      <c r="I77" s="1373">
        <f t="shared" si="29"/>
        <v>4384456</v>
      </c>
      <c r="J77" s="1020">
        <f t="shared" si="30"/>
        <v>2025373.1400000001</v>
      </c>
      <c r="K77" s="1373">
        <f t="shared" si="31"/>
        <v>3204914.5700000003</v>
      </c>
      <c r="L77" s="1023"/>
      <c r="M77" s="1013"/>
      <c r="N77" s="1013"/>
      <c r="O77" s="1013"/>
      <c r="P77" s="1013"/>
      <c r="Q77" s="1011">
        <f t="shared" si="32"/>
        <v>0</v>
      </c>
      <c r="R77" s="1012">
        <v>1179541.43</v>
      </c>
      <c r="S77" s="1013">
        <v>0</v>
      </c>
      <c r="T77" s="1013">
        <v>1179541.43</v>
      </c>
      <c r="U77" s="1013">
        <v>0</v>
      </c>
      <c r="V77" s="1013">
        <v>2025373.1400000001</v>
      </c>
      <c r="W77" s="1013">
        <f t="shared" si="33"/>
        <v>4384456</v>
      </c>
    </row>
    <row r="78" spans="1:23" ht="15" customHeight="1" x14ac:dyDescent="0.25">
      <c r="A78" s="716" t="s">
        <v>190</v>
      </c>
      <c r="B78" s="721" t="s">
        <v>191</v>
      </c>
      <c r="C78" s="917" t="s">
        <v>268</v>
      </c>
      <c r="D78" s="1019">
        <f t="shared" si="24"/>
        <v>43395.02</v>
      </c>
      <c r="E78" s="1019">
        <f t="shared" si="25"/>
        <v>0</v>
      </c>
      <c r="F78" s="1019">
        <f t="shared" si="26"/>
        <v>43395.02</v>
      </c>
      <c r="G78" s="1021">
        <f t="shared" si="27"/>
        <v>0</v>
      </c>
      <c r="H78" s="1021">
        <f t="shared" si="28"/>
        <v>74512.960000000006</v>
      </c>
      <c r="I78" s="1373">
        <f t="shared" si="29"/>
        <v>161303</v>
      </c>
      <c r="J78" s="1020">
        <f t="shared" si="30"/>
        <v>74512.960000000006</v>
      </c>
      <c r="K78" s="1373">
        <f t="shared" si="31"/>
        <v>117907.98000000001</v>
      </c>
      <c r="L78" s="1023"/>
      <c r="M78" s="1013"/>
      <c r="N78" s="1013"/>
      <c r="O78" s="1013"/>
      <c r="P78" s="1013"/>
      <c r="Q78" s="1011">
        <f t="shared" si="32"/>
        <v>0</v>
      </c>
      <c r="R78" s="1012">
        <v>43395.02</v>
      </c>
      <c r="S78" s="1013">
        <v>0</v>
      </c>
      <c r="T78" s="1013">
        <v>43395.02</v>
      </c>
      <c r="U78" s="1013">
        <v>0</v>
      </c>
      <c r="V78" s="1013">
        <v>74512.960000000006</v>
      </c>
      <c r="W78" s="1013">
        <f t="shared" si="33"/>
        <v>161303</v>
      </c>
    </row>
    <row r="79" spans="1:23" ht="15" customHeight="1" x14ac:dyDescent="0.25">
      <c r="A79" s="716" t="s">
        <v>194</v>
      </c>
      <c r="B79" s="721" t="s">
        <v>195</v>
      </c>
      <c r="C79" s="917" t="s">
        <v>267</v>
      </c>
      <c r="D79" s="1019">
        <f t="shared" si="24"/>
        <v>23662.89</v>
      </c>
      <c r="E79" s="1019">
        <f t="shared" si="25"/>
        <v>0</v>
      </c>
      <c r="F79" s="1019">
        <f t="shared" si="26"/>
        <v>23662.89</v>
      </c>
      <c r="G79" s="1021">
        <f t="shared" si="27"/>
        <v>0</v>
      </c>
      <c r="H79" s="1021">
        <f t="shared" si="28"/>
        <v>40631.22</v>
      </c>
      <c r="I79" s="1373">
        <f t="shared" si="29"/>
        <v>87957</v>
      </c>
      <c r="J79" s="1020">
        <f t="shared" si="30"/>
        <v>40631.22</v>
      </c>
      <c r="K79" s="1373">
        <f t="shared" si="31"/>
        <v>64294.11</v>
      </c>
      <c r="L79" s="1022"/>
      <c r="M79" s="1010"/>
      <c r="N79" s="1010"/>
      <c r="O79" s="1010"/>
      <c r="P79" s="1010"/>
      <c r="Q79" s="1011">
        <f t="shared" si="32"/>
        <v>0</v>
      </c>
      <c r="R79" s="1012">
        <v>23662.89</v>
      </c>
      <c r="S79" s="1013">
        <v>0</v>
      </c>
      <c r="T79" s="1013">
        <v>23662.89</v>
      </c>
      <c r="U79" s="1013">
        <v>0</v>
      </c>
      <c r="V79" s="1013">
        <v>40631.22</v>
      </c>
      <c r="W79" s="1013">
        <f t="shared" si="33"/>
        <v>87957</v>
      </c>
    </row>
    <row r="80" spans="1:23" ht="15" customHeight="1" x14ac:dyDescent="0.25">
      <c r="A80" s="716" t="s">
        <v>198</v>
      </c>
      <c r="B80" s="721" t="s">
        <v>199</v>
      </c>
      <c r="C80" s="917" t="s">
        <v>266</v>
      </c>
      <c r="D80" s="1019">
        <f t="shared" si="24"/>
        <v>11105.2</v>
      </c>
      <c r="E80" s="1019">
        <f t="shared" si="25"/>
        <v>0</v>
      </c>
      <c r="F80" s="1019">
        <f t="shared" si="26"/>
        <v>11105.2</v>
      </c>
      <c r="G80" s="1021">
        <f t="shared" si="27"/>
        <v>0</v>
      </c>
      <c r="H80" s="1021">
        <f t="shared" si="28"/>
        <v>19068.600000000002</v>
      </c>
      <c r="I80" s="1373">
        <f t="shared" si="29"/>
        <v>41279</v>
      </c>
      <c r="J80" s="1020">
        <f t="shared" si="30"/>
        <v>19068.600000000002</v>
      </c>
      <c r="K80" s="1373">
        <f t="shared" si="31"/>
        <v>30173.800000000003</v>
      </c>
      <c r="L80" s="1023"/>
      <c r="M80" s="1013"/>
      <c r="N80" s="1013"/>
      <c r="O80" s="1013"/>
      <c r="P80" s="1013"/>
      <c r="Q80" s="1011">
        <f t="shared" si="32"/>
        <v>0</v>
      </c>
      <c r="R80" s="1012">
        <v>11105.2</v>
      </c>
      <c r="S80" s="1013">
        <v>0</v>
      </c>
      <c r="T80" s="1013">
        <v>11105.2</v>
      </c>
      <c r="U80" s="1013">
        <v>0</v>
      </c>
      <c r="V80" s="1013">
        <v>19068.600000000002</v>
      </c>
      <c r="W80" s="1013">
        <f t="shared" si="33"/>
        <v>41279</v>
      </c>
    </row>
    <row r="81" spans="1:23" ht="15" customHeight="1" x14ac:dyDescent="0.25">
      <c r="A81" s="716" t="s">
        <v>202</v>
      </c>
      <c r="B81" s="721" t="s">
        <v>203</v>
      </c>
      <c r="C81" s="917" t="s">
        <v>265</v>
      </c>
      <c r="D81" s="1019">
        <f t="shared" si="24"/>
        <v>189187.49</v>
      </c>
      <c r="E81" s="1019">
        <f t="shared" si="25"/>
        <v>0</v>
      </c>
      <c r="F81" s="1019">
        <f t="shared" si="26"/>
        <v>189187.49</v>
      </c>
      <c r="G81" s="1021">
        <f t="shared" si="27"/>
        <v>207</v>
      </c>
      <c r="H81" s="1021">
        <f t="shared" si="28"/>
        <v>324851.02</v>
      </c>
      <c r="I81" s="1373">
        <f t="shared" si="29"/>
        <v>703433</v>
      </c>
      <c r="J81" s="1020">
        <f t="shared" si="30"/>
        <v>325058.02</v>
      </c>
      <c r="K81" s="1373">
        <f t="shared" si="31"/>
        <v>514245.51</v>
      </c>
      <c r="L81" s="1023">
        <v>0</v>
      </c>
      <c r="M81" s="1013">
        <v>0</v>
      </c>
      <c r="N81" s="1013">
        <v>0</v>
      </c>
      <c r="O81" s="1013">
        <v>207</v>
      </c>
      <c r="P81" s="1013">
        <v>0</v>
      </c>
      <c r="Q81" s="1011">
        <f t="shared" si="32"/>
        <v>207</v>
      </c>
      <c r="R81" s="1012">
        <v>189187.49</v>
      </c>
      <c r="S81" s="1013">
        <v>0</v>
      </c>
      <c r="T81" s="1013">
        <v>189187.49</v>
      </c>
      <c r="U81" s="1013">
        <v>0</v>
      </c>
      <c r="V81" s="1013">
        <v>324851.02</v>
      </c>
      <c r="W81" s="1013">
        <f t="shared" si="33"/>
        <v>703226</v>
      </c>
    </row>
    <row r="82" spans="1:23" ht="15" customHeight="1" x14ac:dyDescent="0.25">
      <c r="A82" s="716" t="s">
        <v>204</v>
      </c>
      <c r="B82" s="721" t="s">
        <v>205</v>
      </c>
      <c r="C82" s="917" t="s">
        <v>265</v>
      </c>
      <c r="D82" s="1019">
        <f t="shared" si="24"/>
        <v>21107.94</v>
      </c>
      <c r="E82" s="1019">
        <f t="shared" si="25"/>
        <v>0</v>
      </c>
      <c r="F82" s="1019">
        <f t="shared" si="26"/>
        <v>21107.94</v>
      </c>
      <c r="G82" s="1021">
        <f t="shared" si="27"/>
        <v>0</v>
      </c>
      <c r="H82" s="1021">
        <f t="shared" si="28"/>
        <v>36244.119999999995</v>
      </c>
      <c r="I82" s="1373">
        <f t="shared" si="29"/>
        <v>78460</v>
      </c>
      <c r="J82" s="1020">
        <f t="shared" si="30"/>
        <v>36244.119999999995</v>
      </c>
      <c r="K82" s="1373">
        <f t="shared" si="31"/>
        <v>57352.06</v>
      </c>
      <c r="L82" s="1022"/>
      <c r="M82" s="1010"/>
      <c r="N82" s="1010"/>
      <c r="O82" s="1010"/>
      <c r="P82" s="1010"/>
      <c r="Q82" s="1011">
        <f t="shared" si="32"/>
        <v>0</v>
      </c>
      <c r="R82" s="1012">
        <v>21107.94</v>
      </c>
      <c r="S82" s="1013">
        <v>0</v>
      </c>
      <c r="T82" s="1013">
        <v>21107.94</v>
      </c>
      <c r="U82" s="1013">
        <v>0</v>
      </c>
      <c r="V82" s="1013">
        <v>36244.119999999995</v>
      </c>
      <c r="W82" s="1013">
        <f t="shared" si="33"/>
        <v>78460</v>
      </c>
    </row>
    <row r="83" spans="1:23" ht="15" customHeight="1" x14ac:dyDescent="0.25">
      <c r="A83" s="716" t="s">
        <v>206</v>
      </c>
      <c r="B83" s="721" t="s">
        <v>207</v>
      </c>
      <c r="C83" s="917" t="s">
        <v>267</v>
      </c>
      <c r="D83" s="1019">
        <f t="shared" si="24"/>
        <v>200944</v>
      </c>
      <c r="E83" s="1019">
        <f t="shared" si="25"/>
        <v>0</v>
      </c>
      <c r="F83" s="1019">
        <f t="shared" si="26"/>
        <v>200944</v>
      </c>
      <c r="G83" s="1021">
        <f t="shared" si="27"/>
        <v>0</v>
      </c>
      <c r="H83" s="1021">
        <f t="shared" si="28"/>
        <v>345037.99999999994</v>
      </c>
      <c r="I83" s="1373">
        <f t="shared" si="29"/>
        <v>746926</v>
      </c>
      <c r="J83" s="1020">
        <f t="shared" si="30"/>
        <v>345037.99999999994</v>
      </c>
      <c r="K83" s="1373">
        <f t="shared" si="31"/>
        <v>545982</v>
      </c>
      <c r="L83" s="1023"/>
      <c r="M83" s="1013"/>
      <c r="N83" s="1013"/>
      <c r="O83" s="1013"/>
      <c r="P83" s="1013"/>
      <c r="Q83" s="1011">
        <f t="shared" si="32"/>
        <v>0</v>
      </c>
      <c r="R83" s="1012">
        <v>200944</v>
      </c>
      <c r="S83" s="1013">
        <v>0</v>
      </c>
      <c r="T83" s="1013">
        <v>200944</v>
      </c>
      <c r="U83" s="1013">
        <v>0</v>
      </c>
      <c r="V83" s="1013">
        <v>345037.99999999994</v>
      </c>
      <c r="W83" s="1013">
        <f t="shared" si="33"/>
        <v>746926</v>
      </c>
    </row>
    <row r="84" spans="1:23" ht="15" customHeight="1" x14ac:dyDescent="0.25">
      <c r="A84" s="716" t="s">
        <v>208</v>
      </c>
      <c r="B84" s="721" t="s">
        <v>209</v>
      </c>
      <c r="C84" s="917" t="s">
        <v>268</v>
      </c>
      <c r="D84" s="1019">
        <f t="shared" si="24"/>
        <v>53923.43</v>
      </c>
      <c r="E84" s="1019">
        <f t="shared" si="25"/>
        <v>0</v>
      </c>
      <c r="F84" s="1019">
        <f t="shared" si="26"/>
        <v>53923.43</v>
      </c>
      <c r="G84" s="1021">
        <f t="shared" si="27"/>
        <v>0</v>
      </c>
      <c r="H84" s="1021">
        <f t="shared" si="28"/>
        <v>92591.139999999985</v>
      </c>
      <c r="I84" s="1373">
        <f t="shared" si="29"/>
        <v>200438</v>
      </c>
      <c r="J84" s="1020">
        <f t="shared" si="30"/>
        <v>92591.139999999985</v>
      </c>
      <c r="K84" s="1373">
        <f t="shared" si="31"/>
        <v>146514.56999999998</v>
      </c>
      <c r="L84" s="1023"/>
      <c r="M84" s="1013"/>
      <c r="N84" s="1013"/>
      <c r="O84" s="1013"/>
      <c r="P84" s="1013"/>
      <c r="Q84" s="1011">
        <f t="shared" si="32"/>
        <v>0</v>
      </c>
      <c r="R84" s="1012">
        <v>53923.43</v>
      </c>
      <c r="S84" s="1013">
        <v>0</v>
      </c>
      <c r="T84" s="1013">
        <v>53923.43</v>
      </c>
      <c r="U84" s="1013">
        <v>0</v>
      </c>
      <c r="V84" s="1013">
        <v>92591.139999999985</v>
      </c>
      <c r="W84" s="1013">
        <f t="shared" si="33"/>
        <v>200438</v>
      </c>
    </row>
    <row r="85" spans="1:23" ht="15" customHeight="1" x14ac:dyDescent="0.25">
      <c r="A85" s="716" t="s">
        <v>210</v>
      </c>
      <c r="B85" s="721" t="s">
        <v>211</v>
      </c>
      <c r="C85" s="917" t="s">
        <v>268</v>
      </c>
      <c r="D85" s="1019">
        <f t="shared" si="24"/>
        <v>32648.16</v>
      </c>
      <c r="E85" s="1019">
        <f t="shared" si="25"/>
        <v>0</v>
      </c>
      <c r="F85" s="1019">
        <f t="shared" si="26"/>
        <v>32648.16</v>
      </c>
      <c r="G85" s="1021">
        <f t="shared" si="27"/>
        <v>0</v>
      </c>
      <c r="H85" s="1021">
        <f t="shared" si="28"/>
        <v>56059.68</v>
      </c>
      <c r="I85" s="1373">
        <f t="shared" si="29"/>
        <v>121356</v>
      </c>
      <c r="J85" s="1020">
        <f t="shared" si="30"/>
        <v>56059.68</v>
      </c>
      <c r="K85" s="1373">
        <f t="shared" si="31"/>
        <v>88707.839999999997</v>
      </c>
      <c r="L85" s="1023"/>
      <c r="M85" s="1013"/>
      <c r="N85" s="1013"/>
      <c r="O85" s="1013"/>
      <c r="P85" s="1013"/>
      <c r="Q85" s="1011">
        <f t="shared" si="32"/>
        <v>0</v>
      </c>
      <c r="R85" s="1012">
        <v>32648.16</v>
      </c>
      <c r="S85" s="1013">
        <v>0</v>
      </c>
      <c r="T85" s="1013">
        <v>32648.16</v>
      </c>
      <c r="U85" s="1013">
        <v>0</v>
      </c>
      <c r="V85" s="1013">
        <v>56059.68</v>
      </c>
      <c r="W85" s="1013">
        <f t="shared" si="33"/>
        <v>121356</v>
      </c>
    </row>
    <row r="86" spans="1:23" ht="15" customHeight="1" x14ac:dyDescent="0.25">
      <c r="A86" s="716" t="s">
        <v>212</v>
      </c>
      <c r="B86" s="721" t="s">
        <v>213</v>
      </c>
      <c r="C86" s="917" t="s">
        <v>267</v>
      </c>
      <c r="D86" s="1019">
        <f t="shared" si="24"/>
        <v>48099.51</v>
      </c>
      <c r="E86" s="1019">
        <f t="shared" si="25"/>
        <v>0</v>
      </c>
      <c r="F86" s="1019">
        <f t="shared" si="26"/>
        <v>48099.51</v>
      </c>
      <c r="G86" s="1021">
        <f t="shared" si="27"/>
        <v>0</v>
      </c>
      <c r="H86" s="1021">
        <f t="shared" si="28"/>
        <v>82590.98000000001</v>
      </c>
      <c r="I86" s="1373">
        <f t="shared" si="29"/>
        <v>178790</v>
      </c>
      <c r="J86" s="1020">
        <f t="shared" si="30"/>
        <v>82590.98000000001</v>
      </c>
      <c r="K86" s="1373">
        <f t="shared" si="31"/>
        <v>130690.49000000002</v>
      </c>
      <c r="L86" s="1023"/>
      <c r="M86" s="1013"/>
      <c r="N86" s="1013"/>
      <c r="O86" s="1013"/>
      <c r="P86" s="1013"/>
      <c r="Q86" s="1011">
        <f t="shared" si="32"/>
        <v>0</v>
      </c>
      <c r="R86" s="1012">
        <v>48099.51</v>
      </c>
      <c r="S86" s="1013">
        <v>0</v>
      </c>
      <c r="T86" s="1013">
        <v>48099.51</v>
      </c>
      <c r="U86" s="1013">
        <v>0</v>
      </c>
      <c r="V86" s="1013">
        <v>82590.98000000001</v>
      </c>
      <c r="W86" s="1013">
        <f t="shared" si="33"/>
        <v>178790</v>
      </c>
    </row>
    <row r="87" spans="1:23" ht="15" customHeight="1" x14ac:dyDescent="0.25">
      <c r="A87" s="716" t="s">
        <v>214</v>
      </c>
      <c r="B87" s="721" t="s">
        <v>215</v>
      </c>
      <c r="C87" s="917" t="s">
        <v>268</v>
      </c>
      <c r="D87" s="1019">
        <f t="shared" si="24"/>
        <v>63141.14</v>
      </c>
      <c r="E87" s="1019">
        <f t="shared" si="25"/>
        <v>0</v>
      </c>
      <c r="F87" s="1019">
        <f t="shared" si="26"/>
        <v>63141.14</v>
      </c>
      <c r="G87" s="1021">
        <f t="shared" si="27"/>
        <v>0</v>
      </c>
      <c r="H87" s="1021">
        <f t="shared" si="28"/>
        <v>108418.72000000002</v>
      </c>
      <c r="I87" s="1373">
        <f t="shared" si="29"/>
        <v>234701</v>
      </c>
      <c r="J87" s="1020">
        <f t="shared" si="30"/>
        <v>108418.72000000002</v>
      </c>
      <c r="K87" s="1373">
        <f t="shared" si="31"/>
        <v>171559.86000000002</v>
      </c>
      <c r="L87" s="1023"/>
      <c r="M87" s="1013"/>
      <c r="N87" s="1013"/>
      <c r="O87" s="1013"/>
      <c r="P87" s="1013"/>
      <c r="Q87" s="1011">
        <f t="shared" si="32"/>
        <v>0</v>
      </c>
      <c r="R87" s="1012">
        <v>63141.14</v>
      </c>
      <c r="S87" s="1013">
        <v>0</v>
      </c>
      <c r="T87" s="1013">
        <v>63141.14</v>
      </c>
      <c r="U87" s="1013">
        <v>0</v>
      </c>
      <c r="V87" s="1013">
        <v>108418.72000000002</v>
      </c>
      <c r="W87" s="1013">
        <f t="shared" si="33"/>
        <v>234701</v>
      </c>
    </row>
    <row r="88" spans="1:23" ht="15" customHeight="1" x14ac:dyDescent="0.25">
      <c r="A88" s="716" t="s">
        <v>216</v>
      </c>
      <c r="B88" s="721" t="s">
        <v>217</v>
      </c>
      <c r="C88" s="917" t="s">
        <v>264</v>
      </c>
      <c r="D88" s="1019">
        <f t="shared" si="24"/>
        <v>39692.660000000003</v>
      </c>
      <c r="E88" s="1019">
        <f t="shared" si="25"/>
        <v>0</v>
      </c>
      <c r="F88" s="1019">
        <f t="shared" si="26"/>
        <v>39692.660000000003</v>
      </c>
      <c r="G88" s="1021">
        <f t="shared" si="27"/>
        <v>0</v>
      </c>
      <c r="H88" s="1021">
        <f t="shared" si="28"/>
        <v>68155.679999999993</v>
      </c>
      <c r="I88" s="1373">
        <f t="shared" si="29"/>
        <v>147541</v>
      </c>
      <c r="J88" s="1020">
        <f t="shared" si="30"/>
        <v>68155.679999999993</v>
      </c>
      <c r="K88" s="1373">
        <f t="shared" si="31"/>
        <v>107848.34</v>
      </c>
      <c r="L88" s="1023"/>
      <c r="M88" s="1013"/>
      <c r="N88" s="1013"/>
      <c r="O88" s="1013"/>
      <c r="P88" s="1013"/>
      <c r="Q88" s="1011">
        <f t="shared" si="32"/>
        <v>0</v>
      </c>
      <c r="R88" s="1012">
        <v>39692.660000000003</v>
      </c>
      <c r="S88" s="1013">
        <v>0</v>
      </c>
      <c r="T88" s="1013">
        <v>39692.660000000003</v>
      </c>
      <c r="U88" s="1013">
        <v>0</v>
      </c>
      <c r="V88" s="1013">
        <v>68155.679999999993</v>
      </c>
      <c r="W88" s="1013">
        <f t="shared" si="33"/>
        <v>147541</v>
      </c>
    </row>
    <row r="89" spans="1:23" ht="15" customHeight="1" x14ac:dyDescent="0.25">
      <c r="A89" s="716" t="s">
        <v>218</v>
      </c>
      <c r="B89" s="721" t="s">
        <v>219</v>
      </c>
      <c r="C89" s="917" t="s">
        <v>267</v>
      </c>
      <c r="D89" s="1019">
        <f t="shared" si="24"/>
        <v>231097.21</v>
      </c>
      <c r="E89" s="1019">
        <f t="shared" si="25"/>
        <v>0</v>
      </c>
      <c r="F89" s="1019">
        <f t="shared" si="26"/>
        <v>231097.21</v>
      </c>
      <c r="G89" s="1021">
        <f t="shared" si="27"/>
        <v>0</v>
      </c>
      <c r="H89" s="1021">
        <f t="shared" si="28"/>
        <v>396813.58</v>
      </c>
      <c r="I89" s="1373">
        <f t="shared" si="29"/>
        <v>859008</v>
      </c>
      <c r="J89" s="1020">
        <f t="shared" si="30"/>
        <v>396813.58</v>
      </c>
      <c r="K89" s="1373">
        <f t="shared" si="31"/>
        <v>627910.79</v>
      </c>
      <c r="L89" s="1023"/>
      <c r="M89" s="1013"/>
      <c r="N89" s="1013"/>
      <c r="O89" s="1013"/>
      <c r="P89" s="1013"/>
      <c r="Q89" s="1011">
        <f t="shared" si="32"/>
        <v>0</v>
      </c>
      <c r="R89" s="1012">
        <v>231097.21</v>
      </c>
      <c r="S89" s="1013">
        <v>0</v>
      </c>
      <c r="T89" s="1013">
        <v>231097.21</v>
      </c>
      <c r="U89" s="1013">
        <v>0</v>
      </c>
      <c r="V89" s="1013">
        <v>396813.58</v>
      </c>
      <c r="W89" s="1013">
        <f t="shared" si="33"/>
        <v>859008</v>
      </c>
    </row>
    <row r="90" spans="1:23" ht="15" customHeight="1" x14ac:dyDescent="0.25">
      <c r="A90" s="716" t="s">
        <v>220</v>
      </c>
      <c r="B90" s="721" t="s">
        <v>221</v>
      </c>
      <c r="C90" s="917" t="s">
        <v>267</v>
      </c>
      <c r="D90" s="1019">
        <f t="shared" si="24"/>
        <v>138735.59</v>
      </c>
      <c r="E90" s="1019">
        <f t="shared" si="25"/>
        <v>0</v>
      </c>
      <c r="F90" s="1019">
        <f t="shared" si="26"/>
        <v>138735.59</v>
      </c>
      <c r="G90" s="1021">
        <f t="shared" si="27"/>
        <v>1236.76</v>
      </c>
      <c r="H90" s="1021">
        <f t="shared" si="28"/>
        <v>238220.82</v>
      </c>
      <c r="I90" s="1373">
        <f t="shared" si="29"/>
        <v>516928.76</v>
      </c>
      <c r="J90" s="1020">
        <f t="shared" si="30"/>
        <v>239457.58000000002</v>
      </c>
      <c r="K90" s="1373">
        <f t="shared" si="31"/>
        <v>378193.17000000004</v>
      </c>
      <c r="L90" s="1023">
        <v>0</v>
      </c>
      <c r="M90" s="1013">
        <v>0</v>
      </c>
      <c r="N90" s="1013">
        <v>0</v>
      </c>
      <c r="O90" s="1013">
        <v>1236.76</v>
      </c>
      <c r="P90" s="1013">
        <v>0</v>
      </c>
      <c r="Q90" s="1011">
        <f t="shared" si="32"/>
        <v>1236.76</v>
      </c>
      <c r="R90" s="1012">
        <v>138735.59</v>
      </c>
      <c r="S90" s="1013">
        <v>0</v>
      </c>
      <c r="T90" s="1013">
        <v>138735.59</v>
      </c>
      <c r="U90" s="1013">
        <v>0</v>
      </c>
      <c r="V90" s="1013">
        <v>238220.82</v>
      </c>
      <c r="W90" s="1013">
        <f t="shared" si="33"/>
        <v>515692</v>
      </c>
    </row>
    <row r="91" spans="1:23" ht="15" customHeight="1" x14ac:dyDescent="0.25">
      <c r="A91" s="716" t="s">
        <v>224</v>
      </c>
      <c r="B91" s="721" t="s">
        <v>225</v>
      </c>
      <c r="C91" s="917" t="s">
        <v>264</v>
      </c>
      <c r="D91" s="1019">
        <f t="shared" si="24"/>
        <v>58914.71</v>
      </c>
      <c r="E91" s="1019">
        <f t="shared" si="25"/>
        <v>0</v>
      </c>
      <c r="F91" s="1019">
        <f t="shared" si="26"/>
        <v>58914.71</v>
      </c>
      <c r="G91" s="1021">
        <f t="shared" si="27"/>
        <v>0</v>
      </c>
      <c r="H91" s="1021">
        <f t="shared" si="28"/>
        <v>101161.58</v>
      </c>
      <c r="I91" s="1373">
        <f t="shared" si="29"/>
        <v>218991</v>
      </c>
      <c r="J91" s="1020">
        <f t="shared" si="30"/>
        <v>101161.58</v>
      </c>
      <c r="K91" s="1373">
        <f t="shared" si="31"/>
        <v>160076.29</v>
      </c>
      <c r="L91" s="1023"/>
      <c r="M91" s="1013"/>
      <c r="N91" s="1013"/>
      <c r="O91" s="1013"/>
      <c r="P91" s="1013"/>
      <c r="Q91" s="1011">
        <f t="shared" si="32"/>
        <v>0</v>
      </c>
      <c r="R91" s="1012">
        <v>58914.71</v>
      </c>
      <c r="S91" s="1013">
        <v>0</v>
      </c>
      <c r="T91" s="1013">
        <v>58914.71</v>
      </c>
      <c r="U91" s="1013">
        <v>0</v>
      </c>
      <c r="V91" s="1013">
        <v>101161.58</v>
      </c>
      <c r="W91" s="1013">
        <f t="shared" si="33"/>
        <v>218991</v>
      </c>
    </row>
    <row r="92" spans="1:23" ht="15" customHeight="1" x14ac:dyDescent="0.25">
      <c r="A92" s="716" t="s">
        <v>226</v>
      </c>
      <c r="B92" s="721" t="s">
        <v>227</v>
      </c>
      <c r="C92" s="917" t="s">
        <v>264</v>
      </c>
      <c r="D92" s="1019">
        <f t="shared" si="24"/>
        <v>64486.54</v>
      </c>
      <c r="E92" s="1019">
        <f t="shared" si="25"/>
        <v>0</v>
      </c>
      <c r="F92" s="1019">
        <f t="shared" si="26"/>
        <v>64486.54</v>
      </c>
      <c r="G92" s="1021">
        <f t="shared" si="27"/>
        <v>3.11</v>
      </c>
      <c r="H92" s="1021">
        <f t="shared" si="28"/>
        <v>110728.92</v>
      </c>
      <c r="I92" s="1373">
        <f t="shared" si="29"/>
        <v>239705.11</v>
      </c>
      <c r="J92" s="1020">
        <f t="shared" si="30"/>
        <v>110732.03</v>
      </c>
      <c r="K92" s="1373">
        <f t="shared" si="31"/>
        <v>175218.57</v>
      </c>
      <c r="L92" s="1023">
        <v>0</v>
      </c>
      <c r="M92" s="1013">
        <v>0</v>
      </c>
      <c r="N92" s="1013">
        <v>0</v>
      </c>
      <c r="O92" s="1013">
        <v>3.11</v>
      </c>
      <c r="P92" s="1013">
        <v>0</v>
      </c>
      <c r="Q92" s="1011">
        <f t="shared" si="32"/>
        <v>3.11</v>
      </c>
      <c r="R92" s="1012">
        <v>64486.54</v>
      </c>
      <c r="S92" s="1013">
        <v>0</v>
      </c>
      <c r="T92" s="1013">
        <v>64486.54</v>
      </c>
      <c r="U92" s="1013">
        <v>0</v>
      </c>
      <c r="V92" s="1013">
        <v>110728.92</v>
      </c>
      <c r="W92" s="1013">
        <f t="shared" si="33"/>
        <v>239702</v>
      </c>
    </row>
    <row r="93" spans="1:23" ht="15" customHeight="1" x14ac:dyDescent="0.25">
      <c r="A93" s="716" t="s">
        <v>228</v>
      </c>
      <c r="B93" s="721" t="s">
        <v>229</v>
      </c>
      <c r="C93" s="917" t="s">
        <v>268</v>
      </c>
      <c r="D93" s="1019">
        <f t="shared" si="24"/>
        <v>110096.21</v>
      </c>
      <c r="E93" s="1019">
        <f t="shared" si="25"/>
        <v>0</v>
      </c>
      <c r="F93" s="1019">
        <f t="shared" si="26"/>
        <v>110096.21</v>
      </c>
      <c r="G93" s="1021">
        <f t="shared" si="27"/>
        <v>1498.73</v>
      </c>
      <c r="H93" s="1021">
        <f t="shared" si="28"/>
        <v>189044.58</v>
      </c>
      <c r="I93" s="1373">
        <f t="shared" si="29"/>
        <v>410735.73</v>
      </c>
      <c r="J93" s="1020">
        <f t="shared" si="30"/>
        <v>190543.31</v>
      </c>
      <c r="K93" s="1373">
        <f t="shared" si="31"/>
        <v>300639.52</v>
      </c>
      <c r="L93" s="1022">
        <v>0</v>
      </c>
      <c r="M93" s="1010">
        <v>0</v>
      </c>
      <c r="N93" s="1010">
        <v>0</v>
      </c>
      <c r="O93" s="1010">
        <v>1498.73</v>
      </c>
      <c r="P93" s="1010">
        <v>0</v>
      </c>
      <c r="Q93" s="1011">
        <f t="shared" si="32"/>
        <v>1498.73</v>
      </c>
      <c r="R93" s="1012">
        <v>110096.21</v>
      </c>
      <c r="S93" s="1013">
        <v>0</v>
      </c>
      <c r="T93" s="1013">
        <v>110096.21</v>
      </c>
      <c r="U93" s="1013">
        <v>0</v>
      </c>
      <c r="V93" s="1013">
        <v>189044.58</v>
      </c>
      <c r="W93" s="1013">
        <f t="shared" si="33"/>
        <v>409237</v>
      </c>
    </row>
    <row r="94" spans="1:23" ht="15" customHeight="1" x14ac:dyDescent="0.25">
      <c r="A94" s="716" t="s">
        <v>232</v>
      </c>
      <c r="B94" s="721" t="s">
        <v>233</v>
      </c>
      <c r="C94" s="917" t="s">
        <v>267</v>
      </c>
      <c r="D94" s="1019">
        <f t="shared" si="24"/>
        <v>42493.51</v>
      </c>
      <c r="E94" s="1019">
        <f t="shared" si="25"/>
        <v>0</v>
      </c>
      <c r="F94" s="1019">
        <f t="shared" si="26"/>
        <v>42493.51</v>
      </c>
      <c r="G94" s="1021">
        <f t="shared" si="27"/>
        <v>0</v>
      </c>
      <c r="H94" s="1021">
        <f t="shared" si="28"/>
        <v>72964.98</v>
      </c>
      <c r="I94" s="1373">
        <f t="shared" si="29"/>
        <v>157952</v>
      </c>
      <c r="J94" s="1020">
        <f t="shared" si="30"/>
        <v>72964.98</v>
      </c>
      <c r="K94" s="1373">
        <f t="shared" si="31"/>
        <v>115458.48999999999</v>
      </c>
      <c r="L94" s="1023"/>
      <c r="M94" s="1013"/>
      <c r="N94" s="1013"/>
      <c r="O94" s="1013"/>
      <c r="P94" s="1013"/>
      <c r="Q94" s="1011">
        <f t="shared" si="32"/>
        <v>0</v>
      </c>
      <c r="R94" s="1012">
        <v>42493.51</v>
      </c>
      <c r="S94" s="1013">
        <v>0</v>
      </c>
      <c r="T94" s="1013">
        <v>42493.51</v>
      </c>
      <c r="U94" s="1013">
        <v>0</v>
      </c>
      <c r="V94" s="1013">
        <v>72964.98</v>
      </c>
      <c r="W94" s="1013">
        <f t="shared" si="33"/>
        <v>157952</v>
      </c>
    </row>
    <row r="95" spans="1:23" ht="15" customHeight="1" x14ac:dyDescent="0.25">
      <c r="A95" s="716" t="s">
        <v>234</v>
      </c>
      <c r="B95" s="721" t="s">
        <v>235</v>
      </c>
      <c r="C95" s="917" t="s">
        <v>268</v>
      </c>
      <c r="D95" s="1019">
        <f t="shared" si="24"/>
        <v>55850.48</v>
      </c>
      <c r="E95" s="1019">
        <f t="shared" si="25"/>
        <v>0</v>
      </c>
      <c r="F95" s="1019">
        <f t="shared" si="26"/>
        <v>55850.48</v>
      </c>
      <c r="G95" s="1021">
        <f t="shared" si="27"/>
        <v>23147.9</v>
      </c>
      <c r="H95" s="1021">
        <f t="shared" si="28"/>
        <v>95900.04</v>
      </c>
      <c r="I95" s="1373">
        <f t="shared" si="29"/>
        <v>230748.90000000002</v>
      </c>
      <c r="J95" s="1020">
        <f t="shared" si="30"/>
        <v>119047.94</v>
      </c>
      <c r="K95" s="1373">
        <f t="shared" si="31"/>
        <v>174898.42</v>
      </c>
      <c r="L95" s="1022">
        <v>0</v>
      </c>
      <c r="M95" s="1010">
        <v>0</v>
      </c>
      <c r="N95" s="1010">
        <v>0</v>
      </c>
      <c r="O95" s="1010">
        <v>23147.9</v>
      </c>
      <c r="P95" s="1010">
        <v>0</v>
      </c>
      <c r="Q95" s="1011">
        <f t="shared" si="32"/>
        <v>23147.9</v>
      </c>
      <c r="R95" s="1012">
        <v>55850.48</v>
      </c>
      <c r="S95" s="1013">
        <v>0</v>
      </c>
      <c r="T95" s="1013">
        <v>55850.48</v>
      </c>
      <c r="U95" s="1013">
        <v>0</v>
      </c>
      <c r="V95" s="1013">
        <v>95900.04</v>
      </c>
      <c r="W95" s="1013">
        <f t="shared" si="33"/>
        <v>207601</v>
      </c>
    </row>
    <row r="96" spans="1:23" ht="15" customHeight="1" x14ac:dyDescent="0.25">
      <c r="A96" s="716" t="s">
        <v>236</v>
      </c>
      <c r="B96" s="721" t="s">
        <v>237</v>
      </c>
      <c r="C96" s="917" t="s">
        <v>266</v>
      </c>
      <c r="D96" s="1019">
        <f t="shared" si="24"/>
        <v>45348.44</v>
      </c>
      <c r="E96" s="1019">
        <f t="shared" si="25"/>
        <v>0</v>
      </c>
      <c r="F96" s="1019">
        <f t="shared" si="26"/>
        <v>45348.44</v>
      </c>
      <c r="G96" s="1021">
        <f t="shared" si="27"/>
        <v>10266.26</v>
      </c>
      <c r="H96" s="1021">
        <f t="shared" si="28"/>
        <v>77867.12000000001</v>
      </c>
      <c r="I96" s="1373">
        <f t="shared" si="29"/>
        <v>178830.26</v>
      </c>
      <c r="J96" s="1020">
        <f t="shared" si="30"/>
        <v>88133.38</v>
      </c>
      <c r="K96" s="1373">
        <f t="shared" si="31"/>
        <v>133481.82</v>
      </c>
      <c r="L96" s="1023">
        <v>0</v>
      </c>
      <c r="M96" s="1013">
        <v>0</v>
      </c>
      <c r="N96" s="1013">
        <v>0</v>
      </c>
      <c r="O96" s="1013">
        <v>10266.26</v>
      </c>
      <c r="P96" s="1013">
        <v>0</v>
      </c>
      <c r="Q96" s="1011">
        <f t="shared" si="32"/>
        <v>10266.26</v>
      </c>
      <c r="R96" s="1012">
        <v>45348.44</v>
      </c>
      <c r="S96" s="1013">
        <v>0</v>
      </c>
      <c r="T96" s="1013">
        <v>45348.44</v>
      </c>
      <c r="U96" s="1013">
        <v>0</v>
      </c>
      <c r="V96" s="1013">
        <v>77867.12000000001</v>
      </c>
      <c r="W96" s="1013">
        <f t="shared" si="33"/>
        <v>168564</v>
      </c>
    </row>
    <row r="97" spans="1:23" ht="15" customHeight="1" x14ac:dyDescent="0.25">
      <c r="A97" s="716" t="s">
        <v>242</v>
      </c>
      <c r="B97" s="721" t="s">
        <v>243</v>
      </c>
      <c r="C97" s="917" t="s">
        <v>268</v>
      </c>
      <c r="D97" s="1019">
        <f t="shared" si="24"/>
        <v>70117.84</v>
      </c>
      <c r="E97" s="1019">
        <f t="shared" si="25"/>
        <v>0</v>
      </c>
      <c r="F97" s="1019">
        <f t="shared" si="26"/>
        <v>70117.84</v>
      </c>
      <c r="G97" s="1021">
        <f t="shared" si="27"/>
        <v>0</v>
      </c>
      <c r="H97" s="1021">
        <f t="shared" si="28"/>
        <v>120398.32</v>
      </c>
      <c r="I97" s="1373">
        <f t="shared" si="29"/>
        <v>260634</v>
      </c>
      <c r="J97" s="1020">
        <f t="shared" si="30"/>
        <v>120398.32</v>
      </c>
      <c r="K97" s="1373">
        <f t="shared" si="31"/>
        <v>190516.16</v>
      </c>
      <c r="L97" s="1023"/>
      <c r="M97" s="1013"/>
      <c r="N97" s="1013"/>
      <c r="O97" s="1013"/>
      <c r="P97" s="1013"/>
      <c r="Q97" s="1011">
        <f t="shared" si="32"/>
        <v>0</v>
      </c>
      <c r="R97" s="1012">
        <v>70117.84</v>
      </c>
      <c r="S97" s="1013">
        <v>0</v>
      </c>
      <c r="T97" s="1013">
        <v>70117.84</v>
      </c>
      <c r="U97" s="1013">
        <v>0</v>
      </c>
      <c r="V97" s="1013">
        <v>120398.32</v>
      </c>
      <c r="W97" s="1013">
        <f t="shared" si="33"/>
        <v>260634</v>
      </c>
    </row>
    <row r="98" spans="1:23" ht="15" customHeight="1" x14ac:dyDescent="0.25">
      <c r="A98" s="716" t="s">
        <v>244</v>
      </c>
      <c r="B98" s="721" t="s">
        <v>245</v>
      </c>
      <c r="C98" s="917" t="s">
        <v>268</v>
      </c>
      <c r="D98" s="1019">
        <f t="shared" si="24"/>
        <v>93415.4</v>
      </c>
      <c r="E98" s="1019">
        <f t="shared" si="25"/>
        <v>0</v>
      </c>
      <c r="F98" s="1019">
        <f t="shared" si="26"/>
        <v>93415.4</v>
      </c>
      <c r="G98" s="1021">
        <f t="shared" si="27"/>
        <v>0</v>
      </c>
      <c r="H98" s="1021">
        <f t="shared" si="28"/>
        <v>160402.19999999998</v>
      </c>
      <c r="I98" s="1373">
        <f t="shared" si="29"/>
        <v>347233</v>
      </c>
      <c r="J98" s="1020">
        <f t="shared" si="30"/>
        <v>160402.19999999998</v>
      </c>
      <c r="K98" s="1373">
        <f t="shared" si="31"/>
        <v>253817.59999999998</v>
      </c>
      <c r="L98" s="1023"/>
      <c r="M98" s="1013"/>
      <c r="N98" s="1013"/>
      <c r="O98" s="1013"/>
      <c r="P98" s="1013"/>
      <c r="Q98" s="1011">
        <f t="shared" si="32"/>
        <v>0</v>
      </c>
      <c r="R98" s="1012">
        <v>93415.4</v>
      </c>
      <c r="S98" s="1013">
        <v>0</v>
      </c>
      <c r="T98" s="1013">
        <v>93415.4</v>
      </c>
      <c r="U98" s="1013">
        <v>0</v>
      </c>
      <c r="V98" s="1013">
        <v>160402.19999999998</v>
      </c>
      <c r="W98" s="1013">
        <f t="shared" si="33"/>
        <v>347233</v>
      </c>
    </row>
    <row r="99" spans="1:23" ht="15" customHeight="1" x14ac:dyDescent="0.25">
      <c r="A99" s="716" t="s">
        <v>246</v>
      </c>
      <c r="B99" s="721" t="s">
        <v>310</v>
      </c>
      <c r="C99" s="917" t="s">
        <v>264</v>
      </c>
      <c r="D99" s="1019">
        <f t="shared" si="24"/>
        <v>170846.78</v>
      </c>
      <c r="E99" s="1019">
        <f t="shared" si="25"/>
        <v>0</v>
      </c>
      <c r="F99" s="1019">
        <f t="shared" si="26"/>
        <v>170846.78</v>
      </c>
      <c r="G99" s="1021">
        <f t="shared" si="27"/>
        <v>8981.0400000000009</v>
      </c>
      <c r="H99" s="1021">
        <f t="shared" si="28"/>
        <v>293358.44000000006</v>
      </c>
      <c r="I99" s="1373">
        <f t="shared" si="29"/>
        <v>644033.04</v>
      </c>
      <c r="J99" s="1020">
        <f t="shared" si="30"/>
        <v>302339.48000000004</v>
      </c>
      <c r="K99" s="1373">
        <f t="shared" si="31"/>
        <v>473186.26</v>
      </c>
      <c r="L99" s="1023">
        <v>0</v>
      </c>
      <c r="M99" s="1013">
        <v>0</v>
      </c>
      <c r="N99" s="1013">
        <v>0</v>
      </c>
      <c r="O99" s="1013">
        <v>8981.0400000000009</v>
      </c>
      <c r="P99" s="1013">
        <v>0</v>
      </c>
      <c r="Q99" s="1011">
        <f t="shared" si="32"/>
        <v>8981.0400000000009</v>
      </c>
      <c r="R99" s="1012">
        <v>170846.78</v>
      </c>
      <c r="S99" s="1013">
        <v>0</v>
      </c>
      <c r="T99" s="1013">
        <v>170846.78</v>
      </c>
      <c r="U99" s="1013">
        <v>0</v>
      </c>
      <c r="V99" s="1013">
        <v>293358.44000000006</v>
      </c>
      <c r="W99" s="1013">
        <f t="shared" si="33"/>
        <v>635052</v>
      </c>
    </row>
    <row r="100" spans="1:23" ht="15" customHeight="1" x14ac:dyDescent="0.25">
      <c r="A100" s="716" t="s">
        <v>14</v>
      </c>
      <c r="B100" s="721" t="s">
        <v>15</v>
      </c>
      <c r="C100" s="917" t="s">
        <v>267</v>
      </c>
      <c r="D100" s="1019">
        <f t="shared" si="24"/>
        <v>1124135.3799999999</v>
      </c>
      <c r="E100" s="1019">
        <f t="shared" si="25"/>
        <v>0</v>
      </c>
      <c r="F100" s="1019">
        <f t="shared" si="26"/>
        <v>1124135.3799999999</v>
      </c>
      <c r="G100" s="1021">
        <f t="shared" si="27"/>
        <v>0</v>
      </c>
      <c r="H100" s="1021">
        <f t="shared" si="28"/>
        <v>1930236.2399999998</v>
      </c>
      <c r="I100" s="1373">
        <f t="shared" si="29"/>
        <v>4178506.9999999995</v>
      </c>
      <c r="J100" s="1020">
        <f t="shared" si="30"/>
        <v>1930236.2399999998</v>
      </c>
      <c r="K100" s="1373">
        <f t="shared" si="31"/>
        <v>3054371.6199999996</v>
      </c>
      <c r="L100" s="1023"/>
      <c r="M100" s="1013"/>
      <c r="N100" s="1013"/>
      <c r="O100" s="1013"/>
      <c r="P100" s="1013"/>
      <c r="Q100" s="1011">
        <f t="shared" si="32"/>
        <v>0</v>
      </c>
      <c r="R100" s="1012">
        <v>1124135.3799999999</v>
      </c>
      <c r="S100" s="1013">
        <v>0</v>
      </c>
      <c r="T100" s="1013">
        <v>1124135.3799999999</v>
      </c>
      <c r="U100" s="1013">
        <v>0</v>
      </c>
      <c r="V100" s="1013">
        <v>1930236.2399999998</v>
      </c>
      <c r="W100" s="1013">
        <f t="shared" si="33"/>
        <v>4178506.9999999995</v>
      </c>
    </row>
    <row r="101" spans="1:23" ht="15" customHeight="1" x14ac:dyDescent="0.25">
      <c r="A101" s="716" t="s">
        <v>34</v>
      </c>
      <c r="B101" s="721" t="s">
        <v>35</v>
      </c>
      <c r="C101" s="917" t="s">
        <v>268</v>
      </c>
      <c r="D101" s="1019">
        <f t="shared" ref="D101:D124" si="34">L101+R101</f>
        <v>44648.97</v>
      </c>
      <c r="E101" s="1019">
        <f t="shared" ref="E101:E124" si="35">M101+S101</f>
        <v>0</v>
      </c>
      <c r="F101" s="1019">
        <f t="shared" ref="F101:F124" si="36">N101+T101</f>
        <v>44648.97</v>
      </c>
      <c r="G101" s="1021">
        <f t="shared" ref="G101:G124" si="37">O101+U101</f>
        <v>0</v>
      </c>
      <c r="H101" s="1021">
        <f t="shared" ref="H101:H124" si="38">P101+V101</f>
        <v>76666.06</v>
      </c>
      <c r="I101" s="1373">
        <f t="shared" ref="I101:I124" si="39">SUM(D101:H101)</f>
        <v>165964</v>
      </c>
      <c r="J101" s="1020">
        <f t="shared" ref="J101:J124" si="40">G101+H101</f>
        <v>76666.06</v>
      </c>
      <c r="K101" s="1373">
        <f t="shared" ref="K101:K124" si="41">F101+J101</f>
        <v>121315.03</v>
      </c>
      <c r="L101" s="1023"/>
      <c r="M101" s="1013"/>
      <c r="N101" s="1013"/>
      <c r="O101" s="1013"/>
      <c r="P101" s="1013"/>
      <c r="Q101" s="1011">
        <f t="shared" ref="Q101:Q124" si="42">SUM(L101:P101)</f>
        <v>0</v>
      </c>
      <c r="R101" s="1012">
        <v>44648.97</v>
      </c>
      <c r="S101" s="1013">
        <v>0</v>
      </c>
      <c r="T101" s="1013">
        <v>44648.97</v>
      </c>
      <c r="U101" s="1013">
        <v>0</v>
      </c>
      <c r="V101" s="1013">
        <v>76666.06</v>
      </c>
      <c r="W101" s="1013">
        <f t="shared" ref="W101:W124" si="43">SUM(R101:V101)</f>
        <v>165964</v>
      </c>
    </row>
    <row r="102" spans="1:23" ht="15" customHeight="1" x14ac:dyDescent="0.25">
      <c r="A102" s="716" t="s">
        <v>52</v>
      </c>
      <c r="B102" s="721" t="s">
        <v>53</v>
      </c>
      <c r="C102" s="917" t="s">
        <v>265</v>
      </c>
      <c r="D102" s="1019">
        <f t="shared" si="34"/>
        <v>114081.32</v>
      </c>
      <c r="E102" s="1019">
        <f t="shared" si="35"/>
        <v>0</v>
      </c>
      <c r="F102" s="1019">
        <f t="shared" si="36"/>
        <v>114081.32</v>
      </c>
      <c r="G102" s="1021">
        <f t="shared" si="37"/>
        <v>0</v>
      </c>
      <c r="H102" s="1021">
        <f t="shared" si="38"/>
        <v>195887.35999999999</v>
      </c>
      <c r="I102" s="1373">
        <f t="shared" si="39"/>
        <v>424050</v>
      </c>
      <c r="J102" s="1020">
        <f t="shared" si="40"/>
        <v>195887.35999999999</v>
      </c>
      <c r="K102" s="1373">
        <f t="shared" si="41"/>
        <v>309968.68</v>
      </c>
      <c r="L102" s="1023"/>
      <c r="M102" s="1013"/>
      <c r="N102" s="1013"/>
      <c r="O102" s="1013"/>
      <c r="P102" s="1013"/>
      <c r="Q102" s="1011">
        <f t="shared" si="42"/>
        <v>0</v>
      </c>
      <c r="R102" s="1012">
        <v>114081.32</v>
      </c>
      <c r="S102" s="1013">
        <v>0</v>
      </c>
      <c r="T102" s="1013">
        <v>114081.32</v>
      </c>
      <c r="U102" s="1013">
        <v>0</v>
      </c>
      <c r="V102" s="1013">
        <v>195887.35999999999</v>
      </c>
      <c r="W102" s="1013">
        <f t="shared" si="43"/>
        <v>424050</v>
      </c>
    </row>
    <row r="103" spans="1:23" ht="15" customHeight="1" x14ac:dyDescent="0.25">
      <c r="A103" s="716" t="s">
        <v>54</v>
      </c>
      <c r="B103" s="721" t="s">
        <v>55</v>
      </c>
      <c r="C103" s="917" t="s">
        <v>264</v>
      </c>
      <c r="D103" s="1019">
        <f t="shared" si="34"/>
        <v>392157.54</v>
      </c>
      <c r="E103" s="1019">
        <f t="shared" si="35"/>
        <v>0</v>
      </c>
      <c r="F103" s="1019">
        <f t="shared" si="36"/>
        <v>392157.54</v>
      </c>
      <c r="G103" s="1021">
        <f t="shared" si="37"/>
        <v>4434.82</v>
      </c>
      <c r="H103" s="1021">
        <f t="shared" si="38"/>
        <v>673367.91999999993</v>
      </c>
      <c r="I103" s="1373">
        <f t="shared" si="39"/>
        <v>1462117.8199999998</v>
      </c>
      <c r="J103" s="1020">
        <f t="shared" si="40"/>
        <v>677802.73999999987</v>
      </c>
      <c r="K103" s="1373">
        <f t="shared" si="41"/>
        <v>1069960.2799999998</v>
      </c>
      <c r="L103" s="1023">
        <v>0</v>
      </c>
      <c r="M103" s="1013">
        <v>0</v>
      </c>
      <c r="N103" s="1013">
        <v>0</v>
      </c>
      <c r="O103" s="1013">
        <v>4434.82</v>
      </c>
      <c r="P103" s="1013">
        <v>0</v>
      </c>
      <c r="Q103" s="1011">
        <f t="shared" si="42"/>
        <v>4434.82</v>
      </c>
      <c r="R103" s="1012">
        <v>392157.54</v>
      </c>
      <c r="S103" s="1013">
        <v>0</v>
      </c>
      <c r="T103" s="1013">
        <v>392157.54</v>
      </c>
      <c r="U103" s="1013">
        <v>0</v>
      </c>
      <c r="V103" s="1013">
        <v>673367.91999999993</v>
      </c>
      <c r="W103" s="1013">
        <f t="shared" si="43"/>
        <v>1457683</v>
      </c>
    </row>
    <row r="104" spans="1:23" ht="15" customHeight="1" x14ac:dyDescent="0.25">
      <c r="A104" s="716" t="s">
        <v>66</v>
      </c>
      <c r="B104" s="721" t="s">
        <v>67</v>
      </c>
      <c r="C104" s="917" t="s">
        <v>265</v>
      </c>
      <c r="D104" s="1019">
        <f t="shared" si="34"/>
        <v>198882.18</v>
      </c>
      <c r="E104" s="1019">
        <f t="shared" si="35"/>
        <v>0</v>
      </c>
      <c r="F104" s="1019">
        <f t="shared" si="36"/>
        <v>198882.18</v>
      </c>
      <c r="G104" s="1021">
        <f t="shared" si="37"/>
        <v>0</v>
      </c>
      <c r="H104" s="1021">
        <f t="shared" si="38"/>
        <v>341497.64</v>
      </c>
      <c r="I104" s="1373">
        <f t="shared" si="39"/>
        <v>739262</v>
      </c>
      <c r="J104" s="1020">
        <f t="shared" si="40"/>
        <v>341497.64</v>
      </c>
      <c r="K104" s="1373">
        <f t="shared" si="41"/>
        <v>540379.82000000007</v>
      </c>
      <c r="L104" s="1023"/>
      <c r="M104" s="1013"/>
      <c r="N104" s="1013"/>
      <c r="O104" s="1013"/>
      <c r="P104" s="1013"/>
      <c r="Q104" s="1011">
        <f t="shared" si="42"/>
        <v>0</v>
      </c>
      <c r="R104" s="1012">
        <v>198882.18</v>
      </c>
      <c r="S104" s="1013">
        <v>0</v>
      </c>
      <c r="T104" s="1013">
        <v>198882.18</v>
      </c>
      <c r="U104" s="1013">
        <v>0</v>
      </c>
      <c r="V104" s="1013">
        <v>341497.64</v>
      </c>
      <c r="W104" s="1013">
        <f t="shared" si="43"/>
        <v>739262</v>
      </c>
    </row>
    <row r="105" spans="1:23" ht="15" customHeight="1" x14ac:dyDescent="0.25">
      <c r="A105" s="716" t="s">
        <v>82</v>
      </c>
      <c r="B105" s="721" t="s">
        <v>311</v>
      </c>
      <c r="C105" s="917" t="s">
        <v>264</v>
      </c>
      <c r="D105" s="1019">
        <f t="shared" si="34"/>
        <v>21032.62</v>
      </c>
      <c r="E105" s="1019">
        <f t="shared" si="35"/>
        <v>0</v>
      </c>
      <c r="F105" s="1019">
        <f t="shared" si="36"/>
        <v>21032.62</v>
      </c>
      <c r="G105" s="1021">
        <f t="shared" si="37"/>
        <v>0</v>
      </c>
      <c r="H105" s="1021">
        <f t="shared" si="38"/>
        <v>36114.759999999995</v>
      </c>
      <c r="I105" s="1373">
        <f t="shared" si="39"/>
        <v>78180</v>
      </c>
      <c r="J105" s="1020">
        <f t="shared" si="40"/>
        <v>36114.759999999995</v>
      </c>
      <c r="K105" s="1373">
        <f t="shared" si="41"/>
        <v>57147.37999999999</v>
      </c>
      <c r="L105" s="1023"/>
      <c r="M105" s="1013"/>
      <c r="N105" s="1013"/>
      <c r="O105" s="1013"/>
      <c r="P105" s="1013"/>
      <c r="Q105" s="1011">
        <f t="shared" si="42"/>
        <v>0</v>
      </c>
      <c r="R105" s="1012">
        <v>21032.62</v>
      </c>
      <c r="S105" s="1013">
        <v>0</v>
      </c>
      <c r="T105" s="1013">
        <v>21032.62</v>
      </c>
      <c r="U105" s="1013">
        <v>0</v>
      </c>
      <c r="V105" s="1013">
        <v>36114.759999999995</v>
      </c>
      <c r="W105" s="1013">
        <f t="shared" si="43"/>
        <v>78180</v>
      </c>
    </row>
    <row r="106" spans="1:23" ht="15" customHeight="1" x14ac:dyDescent="0.25">
      <c r="A106" s="716" t="s">
        <v>88</v>
      </c>
      <c r="B106" s="721" t="s">
        <v>89</v>
      </c>
      <c r="C106" s="917" t="s">
        <v>267</v>
      </c>
      <c r="D106" s="1019">
        <f t="shared" si="34"/>
        <v>41555.15</v>
      </c>
      <c r="E106" s="1019">
        <f t="shared" si="35"/>
        <v>0</v>
      </c>
      <c r="F106" s="1019">
        <f t="shared" si="36"/>
        <v>41555.15</v>
      </c>
      <c r="G106" s="1021">
        <f t="shared" si="37"/>
        <v>0</v>
      </c>
      <c r="H106" s="1021">
        <f t="shared" si="38"/>
        <v>71353.700000000012</v>
      </c>
      <c r="I106" s="1373">
        <f t="shared" si="39"/>
        <v>154464</v>
      </c>
      <c r="J106" s="1020">
        <f t="shared" si="40"/>
        <v>71353.700000000012</v>
      </c>
      <c r="K106" s="1373">
        <f t="shared" si="41"/>
        <v>112908.85</v>
      </c>
      <c r="L106" s="1023"/>
      <c r="M106" s="1013"/>
      <c r="N106" s="1013"/>
      <c r="O106" s="1013"/>
      <c r="P106" s="1013"/>
      <c r="Q106" s="1011">
        <f t="shared" si="42"/>
        <v>0</v>
      </c>
      <c r="R106" s="1012">
        <v>41555.15</v>
      </c>
      <c r="S106" s="1013">
        <v>0</v>
      </c>
      <c r="T106" s="1013">
        <v>41555.15</v>
      </c>
      <c r="U106" s="1013">
        <v>0</v>
      </c>
      <c r="V106" s="1013">
        <v>71353.700000000012</v>
      </c>
      <c r="W106" s="1013">
        <f t="shared" si="43"/>
        <v>154464</v>
      </c>
    </row>
    <row r="107" spans="1:23" ht="15" customHeight="1" x14ac:dyDescent="0.25">
      <c r="A107" s="716" t="s">
        <v>90</v>
      </c>
      <c r="B107" s="721" t="s">
        <v>91</v>
      </c>
      <c r="C107" s="917" t="s">
        <v>268</v>
      </c>
      <c r="D107" s="1019">
        <f t="shared" si="34"/>
        <v>23412.69</v>
      </c>
      <c r="E107" s="1019">
        <f t="shared" si="35"/>
        <v>0</v>
      </c>
      <c r="F107" s="1019">
        <f t="shared" si="36"/>
        <v>23412.69</v>
      </c>
      <c r="G107" s="1021">
        <f t="shared" si="37"/>
        <v>0</v>
      </c>
      <c r="H107" s="1021">
        <f t="shared" si="38"/>
        <v>40201.619999999995</v>
      </c>
      <c r="I107" s="1373">
        <f t="shared" si="39"/>
        <v>87027</v>
      </c>
      <c r="J107" s="1020">
        <f t="shared" si="40"/>
        <v>40201.619999999995</v>
      </c>
      <c r="K107" s="1373">
        <f t="shared" si="41"/>
        <v>63614.31</v>
      </c>
      <c r="L107" s="1023"/>
      <c r="M107" s="1013"/>
      <c r="N107" s="1013"/>
      <c r="O107" s="1013"/>
      <c r="P107" s="1013"/>
      <c r="Q107" s="1011">
        <f t="shared" si="42"/>
        <v>0</v>
      </c>
      <c r="R107" s="1012">
        <v>23412.69</v>
      </c>
      <c r="S107" s="1013">
        <v>0</v>
      </c>
      <c r="T107" s="1013">
        <v>23412.69</v>
      </c>
      <c r="U107" s="1013">
        <v>0</v>
      </c>
      <c r="V107" s="1013">
        <v>40201.619999999995</v>
      </c>
      <c r="W107" s="1013">
        <f t="shared" si="43"/>
        <v>87027</v>
      </c>
    </row>
    <row r="108" spans="1:23" ht="15" customHeight="1" x14ac:dyDescent="0.25">
      <c r="A108" s="716" t="s">
        <v>106</v>
      </c>
      <c r="B108" s="721" t="s">
        <v>107</v>
      </c>
      <c r="C108" s="917" t="s">
        <v>264</v>
      </c>
      <c r="D108" s="1019">
        <f t="shared" si="34"/>
        <v>145435.45000000001</v>
      </c>
      <c r="E108" s="1019">
        <f t="shared" si="35"/>
        <v>0</v>
      </c>
      <c r="F108" s="1019">
        <f t="shared" si="36"/>
        <v>145435.45000000001</v>
      </c>
      <c r="G108" s="1021">
        <f t="shared" si="37"/>
        <v>0</v>
      </c>
      <c r="H108" s="1021">
        <f t="shared" si="38"/>
        <v>249725.10000000003</v>
      </c>
      <c r="I108" s="1373">
        <f t="shared" si="39"/>
        <v>540596</v>
      </c>
      <c r="J108" s="1020">
        <f t="shared" si="40"/>
        <v>249725.10000000003</v>
      </c>
      <c r="K108" s="1373">
        <f t="shared" si="41"/>
        <v>395160.55000000005</v>
      </c>
      <c r="L108" s="1023"/>
      <c r="M108" s="1013"/>
      <c r="N108" s="1013"/>
      <c r="O108" s="1013"/>
      <c r="P108" s="1013"/>
      <c r="Q108" s="1011">
        <f t="shared" si="42"/>
        <v>0</v>
      </c>
      <c r="R108" s="1012">
        <v>145435.45000000001</v>
      </c>
      <c r="S108" s="1013">
        <v>0</v>
      </c>
      <c r="T108" s="1013">
        <v>145435.45000000001</v>
      </c>
      <c r="U108" s="1013">
        <v>0</v>
      </c>
      <c r="V108" s="1013">
        <v>249725.10000000003</v>
      </c>
      <c r="W108" s="1013">
        <f t="shared" si="43"/>
        <v>540596</v>
      </c>
    </row>
    <row r="109" spans="1:23" ht="15" customHeight="1" x14ac:dyDescent="0.25">
      <c r="A109" s="716" t="s">
        <v>116</v>
      </c>
      <c r="B109" s="721" t="s">
        <v>117</v>
      </c>
      <c r="C109" s="917" t="s">
        <v>266</v>
      </c>
      <c r="D109" s="1019">
        <f t="shared" si="34"/>
        <v>120343.22</v>
      </c>
      <c r="E109" s="1019">
        <f t="shared" si="35"/>
        <v>0</v>
      </c>
      <c r="F109" s="1019">
        <f t="shared" si="36"/>
        <v>120343.22</v>
      </c>
      <c r="G109" s="1021">
        <f t="shared" si="37"/>
        <v>0</v>
      </c>
      <c r="H109" s="1021">
        <f t="shared" si="38"/>
        <v>206639.56</v>
      </c>
      <c r="I109" s="1373">
        <f t="shared" si="39"/>
        <v>447326</v>
      </c>
      <c r="J109" s="1020">
        <f t="shared" si="40"/>
        <v>206639.56</v>
      </c>
      <c r="K109" s="1373">
        <f t="shared" si="41"/>
        <v>326982.78000000003</v>
      </c>
      <c r="L109" s="1023"/>
      <c r="M109" s="1013"/>
      <c r="N109" s="1013"/>
      <c r="O109" s="1013"/>
      <c r="P109" s="1013"/>
      <c r="Q109" s="1011">
        <f t="shared" si="42"/>
        <v>0</v>
      </c>
      <c r="R109" s="1012">
        <v>120343.22</v>
      </c>
      <c r="S109" s="1013">
        <v>0</v>
      </c>
      <c r="T109" s="1013">
        <v>120343.22</v>
      </c>
      <c r="U109" s="1013">
        <v>0</v>
      </c>
      <c r="V109" s="1013">
        <v>206639.56</v>
      </c>
      <c r="W109" s="1013">
        <f t="shared" si="43"/>
        <v>447326</v>
      </c>
    </row>
    <row r="110" spans="1:23" ht="15" customHeight="1" x14ac:dyDescent="0.25">
      <c r="A110" s="716" t="s">
        <v>138</v>
      </c>
      <c r="B110" s="721" t="s">
        <v>139</v>
      </c>
      <c r="C110" s="917" t="s">
        <v>265</v>
      </c>
      <c r="D110" s="1019">
        <f t="shared" si="34"/>
        <v>434841.79</v>
      </c>
      <c r="E110" s="1019">
        <f t="shared" si="35"/>
        <v>0</v>
      </c>
      <c r="F110" s="1019">
        <f t="shared" si="36"/>
        <v>434841.79</v>
      </c>
      <c r="G110" s="1021">
        <f t="shared" si="37"/>
        <v>0</v>
      </c>
      <c r="H110" s="1021">
        <f t="shared" si="38"/>
        <v>746660.41999999993</v>
      </c>
      <c r="I110" s="1373">
        <f t="shared" si="39"/>
        <v>1616344</v>
      </c>
      <c r="J110" s="1020">
        <f t="shared" si="40"/>
        <v>746660.41999999993</v>
      </c>
      <c r="K110" s="1373">
        <f t="shared" si="41"/>
        <v>1181502.21</v>
      </c>
      <c r="L110" s="1023"/>
      <c r="M110" s="1013"/>
      <c r="N110" s="1013"/>
      <c r="O110" s="1013"/>
      <c r="P110" s="1013"/>
      <c r="Q110" s="1011">
        <f t="shared" si="42"/>
        <v>0</v>
      </c>
      <c r="R110" s="1012">
        <v>434841.79</v>
      </c>
      <c r="S110" s="1013">
        <v>0</v>
      </c>
      <c r="T110" s="1013">
        <v>434841.79</v>
      </c>
      <c r="U110" s="1013">
        <v>0</v>
      </c>
      <c r="V110" s="1013">
        <v>746660.41999999993</v>
      </c>
      <c r="W110" s="1013">
        <f t="shared" si="43"/>
        <v>1616344</v>
      </c>
    </row>
    <row r="111" spans="1:23" ht="15" customHeight="1" x14ac:dyDescent="0.25">
      <c r="A111" s="716" t="s">
        <v>142</v>
      </c>
      <c r="B111" s="721" t="s">
        <v>143</v>
      </c>
      <c r="C111" s="917" t="s">
        <v>267</v>
      </c>
      <c r="D111" s="1019">
        <f t="shared" si="34"/>
        <v>55337.72</v>
      </c>
      <c r="E111" s="1019">
        <f t="shared" si="35"/>
        <v>0</v>
      </c>
      <c r="F111" s="1019">
        <f t="shared" si="36"/>
        <v>55337.72</v>
      </c>
      <c r="G111" s="1021">
        <f t="shared" si="37"/>
        <v>0</v>
      </c>
      <c r="H111" s="1021">
        <f t="shared" si="38"/>
        <v>95019.56</v>
      </c>
      <c r="I111" s="1373">
        <f t="shared" si="39"/>
        <v>205695</v>
      </c>
      <c r="J111" s="1020">
        <f t="shared" si="40"/>
        <v>95019.56</v>
      </c>
      <c r="K111" s="1373">
        <f t="shared" si="41"/>
        <v>150357.28</v>
      </c>
      <c r="L111" s="1023"/>
      <c r="M111" s="1013"/>
      <c r="N111" s="1013"/>
      <c r="O111" s="1013"/>
      <c r="P111" s="1013"/>
      <c r="Q111" s="1011">
        <f t="shared" si="42"/>
        <v>0</v>
      </c>
      <c r="R111" s="1012">
        <v>55337.72</v>
      </c>
      <c r="S111" s="1013">
        <v>0</v>
      </c>
      <c r="T111" s="1013">
        <v>55337.72</v>
      </c>
      <c r="U111" s="1013">
        <v>0</v>
      </c>
      <c r="V111" s="1013">
        <v>95019.56</v>
      </c>
      <c r="W111" s="1013">
        <f t="shared" si="43"/>
        <v>205695</v>
      </c>
    </row>
    <row r="112" spans="1:23" ht="15" customHeight="1" x14ac:dyDescent="0.25">
      <c r="A112" s="716" t="s">
        <v>144</v>
      </c>
      <c r="B112" s="721" t="s">
        <v>145</v>
      </c>
      <c r="C112" s="917" t="s">
        <v>267</v>
      </c>
      <c r="D112" s="1019">
        <f t="shared" si="34"/>
        <v>78206.97</v>
      </c>
      <c r="E112" s="1019">
        <f t="shared" si="35"/>
        <v>0</v>
      </c>
      <c r="F112" s="1019">
        <f t="shared" si="36"/>
        <v>78206.97</v>
      </c>
      <c r="G112" s="1021">
        <f t="shared" si="37"/>
        <v>0</v>
      </c>
      <c r="H112" s="1021">
        <f t="shared" si="38"/>
        <v>134288.06</v>
      </c>
      <c r="I112" s="1373">
        <f t="shared" si="39"/>
        <v>290702</v>
      </c>
      <c r="J112" s="1020">
        <f t="shared" si="40"/>
        <v>134288.06</v>
      </c>
      <c r="K112" s="1373">
        <f t="shared" si="41"/>
        <v>212495.03</v>
      </c>
      <c r="L112" s="1023"/>
      <c r="M112" s="1013"/>
      <c r="N112" s="1013"/>
      <c r="O112" s="1013"/>
      <c r="P112" s="1013"/>
      <c r="Q112" s="1011">
        <f t="shared" si="42"/>
        <v>0</v>
      </c>
      <c r="R112" s="1012">
        <v>78206.97</v>
      </c>
      <c r="S112" s="1013">
        <v>0</v>
      </c>
      <c r="T112" s="1013">
        <v>78206.97</v>
      </c>
      <c r="U112" s="1013">
        <v>0</v>
      </c>
      <c r="V112" s="1013">
        <v>134288.06</v>
      </c>
      <c r="W112" s="1013">
        <f t="shared" si="43"/>
        <v>290702</v>
      </c>
    </row>
    <row r="113" spans="1:23" ht="15" customHeight="1" x14ac:dyDescent="0.25">
      <c r="A113" s="716" t="s">
        <v>158</v>
      </c>
      <c r="B113" s="721" t="s">
        <v>159</v>
      </c>
      <c r="C113" s="917" t="s">
        <v>264</v>
      </c>
      <c r="D113" s="1019">
        <f t="shared" si="34"/>
        <v>338244.6</v>
      </c>
      <c r="E113" s="1019">
        <f t="shared" si="35"/>
        <v>0</v>
      </c>
      <c r="F113" s="1019">
        <f t="shared" si="36"/>
        <v>338244.6</v>
      </c>
      <c r="G113" s="1021">
        <f t="shared" si="37"/>
        <v>0</v>
      </c>
      <c r="H113" s="1021">
        <f t="shared" si="38"/>
        <v>580794.79999999993</v>
      </c>
      <c r="I113" s="1373">
        <f t="shared" si="39"/>
        <v>1257284</v>
      </c>
      <c r="J113" s="1020">
        <f t="shared" si="40"/>
        <v>580794.79999999993</v>
      </c>
      <c r="K113" s="1373">
        <f t="shared" si="41"/>
        <v>919039.39999999991</v>
      </c>
      <c r="L113" s="1022"/>
      <c r="M113" s="1010"/>
      <c r="N113" s="1010"/>
      <c r="O113" s="1010"/>
      <c r="P113" s="1010"/>
      <c r="Q113" s="1011">
        <f t="shared" si="42"/>
        <v>0</v>
      </c>
      <c r="R113" s="1012">
        <v>338244.6</v>
      </c>
      <c r="S113" s="1013">
        <v>0</v>
      </c>
      <c r="T113" s="1013">
        <v>338244.6</v>
      </c>
      <c r="U113" s="1013">
        <v>0</v>
      </c>
      <c r="V113" s="1013">
        <v>580794.79999999993</v>
      </c>
      <c r="W113" s="1013">
        <f t="shared" si="43"/>
        <v>1257284</v>
      </c>
    </row>
    <row r="114" spans="1:23" ht="15" customHeight="1" x14ac:dyDescent="0.25">
      <c r="A114" s="716" t="s">
        <v>160</v>
      </c>
      <c r="B114" s="721" t="s">
        <v>161</v>
      </c>
      <c r="C114" s="917" t="s">
        <v>264</v>
      </c>
      <c r="D114" s="1019">
        <f t="shared" si="34"/>
        <v>707251.75</v>
      </c>
      <c r="E114" s="1019">
        <f t="shared" si="35"/>
        <v>0</v>
      </c>
      <c r="F114" s="1019">
        <f t="shared" si="36"/>
        <v>707251.75</v>
      </c>
      <c r="G114" s="1021">
        <f t="shared" si="37"/>
        <v>0</v>
      </c>
      <c r="H114" s="1021">
        <f t="shared" si="38"/>
        <v>1214411.5</v>
      </c>
      <c r="I114" s="1373">
        <f t="shared" si="39"/>
        <v>2628915</v>
      </c>
      <c r="J114" s="1020">
        <f t="shared" si="40"/>
        <v>1214411.5</v>
      </c>
      <c r="K114" s="1373">
        <f t="shared" si="41"/>
        <v>1921663.25</v>
      </c>
      <c r="L114" s="1023"/>
      <c r="M114" s="1013"/>
      <c r="N114" s="1013"/>
      <c r="O114" s="1013"/>
      <c r="P114" s="1013"/>
      <c r="Q114" s="1011">
        <f t="shared" si="42"/>
        <v>0</v>
      </c>
      <c r="R114" s="1012">
        <v>707251.75</v>
      </c>
      <c r="S114" s="1013">
        <v>0</v>
      </c>
      <c r="T114" s="1013">
        <v>707251.75</v>
      </c>
      <c r="U114" s="1013">
        <v>0</v>
      </c>
      <c r="V114" s="1013">
        <v>1214411.5</v>
      </c>
      <c r="W114" s="1013">
        <f t="shared" si="43"/>
        <v>2628915</v>
      </c>
    </row>
    <row r="115" spans="1:23" ht="15" customHeight="1" x14ac:dyDescent="0.25">
      <c r="A115" s="716" t="s">
        <v>166</v>
      </c>
      <c r="B115" s="721" t="s">
        <v>167</v>
      </c>
      <c r="C115" s="917" t="s">
        <v>268</v>
      </c>
      <c r="D115" s="1019">
        <f t="shared" si="34"/>
        <v>23176.77</v>
      </c>
      <c r="E115" s="1019">
        <f t="shared" si="35"/>
        <v>0</v>
      </c>
      <c r="F115" s="1019">
        <f t="shared" si="36"/>
        <v>23176.77</v>
      </c>
      <c r="G115" s="1021">
        <f t="shared" si="37"/>
        <v>0</v>
      </c>
      <c r="H115" s="1021">
        <f t="shared" si="38"/>
        <v>39796.46</v>
      </c>
      <c r="I115" s="1373">
        <f t="shared" si="39"/>
        <v>86150</v>
      </c>
      <c r="J115" s="1020">
        <f t="shared" si="40"/>
        <v>39796.46</v>
      </c>
      <c r="K115" s="1373">
        <f t="shared" si="41"/>
        <v>62973.229999999996</v>
      </c>
      <c r="L115" s="1023"/>
      <c r="M115" s="1013"/>
      <c r="N115" s="1013"/>
      <c r="O115" s="1013"/>
      <c r="P115" s="1013"/>
      <c r="Q115" s="1011">
        <f t="shared" si="42"/>
        <v>0</v>
      </c>
      <c r="R115" s="1012">
        <v>23176.77</v>
      </c>
      <c r="S115" s="1013">
        <v>0</v>
      </c>
      <c r="T115" s="1013">
        <v>23176.77</v>
      </c>
      <c r="U115" s="1013">
        <v>0</v>
      </c>
      <c r="V115" s="1013">
        <v>39796.46</v>
      </c>
      <c r="W115" s="1013">
        <f t="shared" si="43"/>
        <v>86150</v>
      </c>
    </row>
    <row r="116" spans="1:23" ht="15" customHeight="1" x14ac:dyDescent="0.25">
      <c r="A116" s="716" t="s">
        <v>176</v>
      </c>
      <c r="B116" s="721" t="s">
        <v>177</v>
      </c>
      <c r="C116" s="917" t="s">
        <v>266</v>
      </c>
      <c r="D116" s="1019">
        <f t="shared" si="34"/>
        <v>192444.34</v>
      </c>
      <c r="E116" s="1019">
        <f t="shared" si="35"/>
        <v>0</v>
      </c>
      <c r="F116" s="1019">
        <f t="shared" si="36"/>
        <v>192444.34</v>
      </c>
      <c r="G116" s="1021">
        <f t="shared" si="37"/>
        <v>0</v>
      </c>
      <c r="H116" s="1021">
        <f t="shared" si="38"/>
        <v>330443.32000000007</v>
      </c>
      <c r="I116" s="1373">
        <f t="shared" si="39"/>
        <v>715332</v>
      </c>
      <c r="J116" s="1020">
        <f t="shared" si="40"/>
        <v>330443.32000000007</v>
      </c>
      <c r="K116" s="1373">
        <f t="shared" si="41"/>
        <v>522887.66000000003</v>
      </c>
      <c r="L116" s="1023"/>
      <c r="M116" s="1013"/>
      <c r="N116" s="1013"/>
      <c r="O116" s="1013"/>
      <c r="P116" s="1013"/>
      <c r="Q116" s="1011">
        <f t="shared" si="42"/>
        <v>0</v>
      </c>
      <c r="R116" s="1012">
        <v>192444.34</v>
      </c>
      <c r="S116" s="1013">
        <v>0</v>
      </c>
      <c r="T116" s="1013">
        <v>192444.34</v>
      </c>
      <c r="U116" s="1013">
        <v>0</v>
      </c>
      <c r="V116" s="1013">
        <v>330443.32000000007</v>
      </c>
      <c r="W116" s="1013">
        <f t="shared" si="43"/>
        <v>715332</v>
      </c>
    </row>
    <row r="117" spans="1:23" ht="15" customHeight="1" x14ac:dyDescent="0.25">
      <c r="A117" s="716" t="s">
        <v>180</v>
      </c>
      <c r="B117" s="721" t="s">
        <v>181</v>
      </c>
      <c r="C117" s="917" t="s">
        <v>264</v>
      </c>
      <c r="D117" s="1019">
        <f t="shared" si="34"/>
        <v>194196.78</v>
      </c>
      <c r="E117" s="1019">
        <f t="shared" si="35"/>
        <v>0</v>
      </c>
      <c r="F117" s="1019">
        <f t="shared" si="36"/>
        <v>194196.78</v>
      </c>
      <c r="G117" s="1021">
        <f t="shared" si="37"/>
        <v>38241.79</v>
      </c>
      <c r="H117" s="1021">
        <f t="shared" si="38"/>
        <v>333452.44</v>
      </c>
      <c r="I117" s="1373">
        <f t="shared" si="39"/>
        <v>760087.79</v>
      </c>
      <c r="J117" s="1020">
        <f t="shared" si="40"/>
        <v>371694.23</v>
      </c>
      <c r="K117" s="1373">
        <f t="shared" si="41"/>
        <v>565891.01</v>
      </c>
      <c r="L117" s="1022">
        <v>0</v>
      </c>
      <c r="M117" s="1010">
        <v>0</v>
      </c>
      <c r="N117" s="1010">
        <v>0</v>
      </c>
      <c r="O117" s="1010">
        <v>38241.79</v>
      </c>
      <c r="P117" s="1010">
        <v>0</v>
      </c>
      <c r="Q117" s="1011">
        <f t="shared" si="42"/>
        <v>38241.79</v>
      </c>
      <c r="R117" s="1012">
        <v>194196.78</v>
      </c>
      <c r="S117" s="1013">
        <v>0</v>
      </c>
      <c r="T117" s="1013">
        <v>194196.78</v>
      </c>
      <c r="U117" s="1013">
        <v>0</v>
      </c>
      <c r="V117" s="1013">
        <v>333452.44</v>
      </c>
      <c r="W117" s="1013">
        <f t="shared" si="43"/>
        <v>721846</v>
      </c>
    </row>
    <row r="118" spans="1:23" ht="15" customHeight="1" x14ac:dyDescent="0.25">
      <c r="A118" s="716" t="s">
        <v>192</v>
      </c>
      <c r="B118" s="721" t="s">
        <v>193</v>
      </c>
      <c r="C118" s="917" t="s">
        <v>268</v>
      </c>
      <c r="D118" s="1019">
        <f t="shared" si="34"/>
        <v>28186.06</v>
      </c>
      <c r="E118" s="1019">
        <f t="shared" si="35"/>
        <v>0</v>
      </c>
      <c r="F118" s="1019">
        <f t="shared" si="36"/>
        <v>28186.06</v>
      </c>
      <c r="G118" s="1021">
        <f t="shared" si="37"/>
        <v>0</v>
      </c>
      <c r="H118" s="1021">
        <f t="shared" si="38"/>
        <v>48397.88</v>
      </c>
      <c r="I118" s="1373">
        <f t="shared" si="39"/>
        <v>104770</v>
      </c>
      <c r="J118" s="1020">
        <f t="shared" si="40"/>
        <v>48397.88</v>
      </c>
      <c r="K118" s="1373">
        <f t="shared" si="41"/>
        <v>76583.94</v>
      </c>
      <c r="L118" s="1022"/>
      <c r="M118" s="1010"/>
      <c r="N118" s="1010"/>
      <c r="O118" s="1010"/>
      <c r="P118" s="1010"/>
      <c r="Q118" s="1011">
        <f t="shared" si="42"/>
        <v>0</v>
      </c>
      <c r="R118" s="1012">
        <v>28186.06</v>
      </c>
      <c r="S118" s="1013">
        <v>0</v>
      </c>
      <c r="T118" s="1013">
        <v>28186.06</v>
      </c>
      <c r="U118" s="1013">
        <v>0</v>
      </c>
      <c r="V118" s="1013">
        <v>48397.88</v>
      </c>
      <c r="W118" s="1013">
        <f t="shared" si="43"/>
        <v>104770</v>
      </c>
    </row>
    <row r="119" spans="1:23" ht="15" customHeight="1" x14ac:dyDescent="0.25">
      <c r="A119" s="716" t="s">
        <v>196</v>
      </c>
      <c r="B119" s="721" t="s">
        <v>312</v>
      </c>
      <c r="C119" s="917" t="s">
        <v>266</v>
      </c>
      <c r="D119" s="1019">
        <f t="shared" si="34"/>
        <v>933968.36</v>
      </c>
      <c r="E119" s="1019">
        <f t="shared" si="35"/>
        <v>0</v>
      </c>
      <c r="F119" s="1019">
        <f t="shared" si="36"/>
        <v>933968.36</v>
      </c>
      <c r="G119" s="1021">
        <f t="shared" si="37"/>
        <v>40594.720000000001</v>
      </c>
      <c r="H119" s="1021">
        <f t="shared" si="38"/>
        <v>1603703.28</v>
      </c>
      <c r="I119" s="1373">
        <f t="shared" si="39"/>
        <v>3512234.7199999997</v>
      </c>
      <c r="J119" s="1020">
        <f t="shared" si="40"/>
        <v>1644298</v>
      </c>
      <c r="K119" s="1373">
        <f t="shared" si="41"/>
        <v>2578266.36</v>
      </c>
      <c r="L119" s="1022">
        <v>0</v>
      </c>
      <c r="M119" s="1010">
        <v>0</v>
      </c>
      <c r="N119" s="1010">
        <v>0</v>
      </c>
      <c r="O119" s="1010">
        <v>40594.720000000001</v>
      </c>
      <c r="P119" s="1010">
        <v>0</v>
      </c>
      <c r="Q119" s="1011">
        <f t="shared" si="42"/>
        <v>40594.720000000001</v>
      </c>
      <c r="R119" s="1012">
        <v>933968.36</v>
      </c>
      <c r="S119" s="1013">
        <v>0</v>
      </c>
      <c r="T119" s="1013">
        <v>933968.36</v>
      </c>
      <c r="U119" s="1013">
        <v>0</v>
      </c>
      <c r="V119" s="1013">
        <v>1603703.28</v>
      </c>
      <c r="W119" s="1013">
        <f t="shared" si="43"/>
        <v>3471640</v>
      </c>
    </row>
    <row r="120" spans="1:23" ht="15" customHeight="1" x14ac:dyDescent="0.25">
      <c r="A120" s="716" t="s">
        <v>200</v>
      </c>
      <c r="B120" s="721" t="s">
        <v>313</v>
      </c>
      <c r="C120" s="917" t="s">
        <v>265</v>
      </c>
      <c r="D120" s="1019">
        <f t="shared" si="34"/>
        <v>414069.34</v>
      </c>
      <c r="E120" s="1019">
        <f t="shared" si="35"/>
        <v>0</v>
      </c>
      <c r="F120" s="1019">
        <f t="shared" si="36"/>
        <v>414069.34</v>
      </c>
      <c r="G120" s="1021">
        <f t="shared" si="37"/>
        <v>0</v>
      </c>
      <c r="H120" s="1021">
        <f t="shared" si="38"/>
        <v>710992.32</v>
      </c>
      <c r="I120" s="1373">
        <f t="shared" si="39"/>
        <v>1539131</v>
      </c>
      <c r="J120" s="1020">
        <f t="shared" si="40"/>
        <v>710992.32</v>
      </c>
      <c r="K120" s="1373">
        <f t="shared" si="41"/>
        <v>1125061.6599999999</v>
      </c>
      <c r="L120" s="1023"/>
      <c r="M120" s="1013"/>
      <c r="N120" s="1013"/>
      <c r="O120" s="1013"/>
      <c r="P120" s="1013"/>
      <c r="Q120" s="1011">
        <f t="shared" si="42"/>
        <v>0</v>
      </c>
      <c r="R120" s="1012">
        <v>414069.34</v>
      </c>
      <c r="S120" s="1013">
        <v>0</v>
      </c>
      <c r="T120" s="1013">
        <v>414069.34</v>
      </c>
      <c r="U120" s="1013">
        <v>0</v>
      </c>
      <c r="V120" s="1013">
        <v>710992.32</v>
      </c>
      <c r="W120" s="1013">
        <f t="shared" si="43"/>
        <v>1539131</v>
      </c>
    </row>
    <row r="121" spans="1:23" ht="15" customHeight="1" x14ac:dyDescent="0.25">
      <c r="A121" s="716" t="s">
        <v>222</v>
      </c>
      <c r="B121" s="721" t="s">
        <v>223</v>
      </c>
      <c r="C121" s="917" t="s">
        <v>264</v>
      </c>
      <c r="D121" s="1019">
        <f t="shared" si="34"/>
        <v>147151.59</v>
      </c>
      <c r="E121" s="1019">
        <f t="shared" si="35"/>
        <v>0</v>
      </c>
      <c r="F121" s="1019">
        <f t="shared" si="36"/>
        <v>147151.59</v>
      </c>
      <c r="G121" s="1021">
        <f t="shared" si="37"/>
        <v>6097.01</v>
      </c>
      <c r="H121" s="1021">
        <f t="shared" si="38"/>
        <v>252671.82</v>
      </c>
      <c r="I121" s="1373">
        <f t="shared" si="39"/>
        <v>553072.01</v>
      </c>
      <c r="J121" s="1020">
        <f t="shared" si="40"/>
        <v>258768.83000000002</v>
      </c>
      <c r="K121" s="1373">
        <f t="shared" si="41"/>
        <v>405920.42000000004</v>
      </c>
      <c r="L121" s="1023">
        <v>0</v>
      </c>
      <c r="M121" s="1013">
        <v>0</v>
      </c>
      <c r="N121" s="1013">
        <v>0</v>
      </c>
      <c r="O121" s="1013">
        <v>6097.01</v>
      </c>
      <c r="P121" s="1013">
        <v>0</v>
      </c>
      <c r="Q121" s="1011">
        <f t="shared" si="42"/>
        <v>6097.01</v>
      </c>
      <c r="R121" s="1012">
        <v>147151.59</v>
      </c>
      <c r="S121" s="1013">
        <v>0</v>
      </c>
      <c r="T121" s="1013">
        <v>147151.59</v>
      </c>
      <c r="U121" s="1013">
        <v>0</v>
      </c>
      <c r="V121" s="1013">
        <v>252671.82</v>
      </c>
      <c r="W121" s="1013">
        <f t="shared" si="43"/>
        <v>546975</v>
      </c>
    </row>
    <row r="122" spans="1:23" ht="15" customHeight="1" x14ac:dyDescent="0.25">
      <c r="A122" s="716" t="s">
        <v>230</v>
      </c>
      <c r="B122" s="721" t="s">
        <v>231</v>
      </c>
      <c r="C122" s="917" t="s">
        <v>264</v>
      </c>
      <c r="D122" s="1019">
        <f t="shared" si="34"/>
        <v>806731.04</v>
      </c>
      <c r="E122" s="1019">
        <f t="shared" si="35"/>
        <v>0</v>
      </c>
      <c r="F122" s="1019">
        <f t="shared" si="36"/>
        <v>806731.04</v>
      </c>
      <c r="G122" s="1021">
        <f t="shared" si="37"/>
        <v>0</v>
      </c>
      <c r="H122" s="1021">
        <f t="shared" si="38"/>
        <v>1385225.92</v>
      </c>
      <c r="I122" s="1373">
        <f t="shared" si="39"/>
        <v>2998688</v>
      </c>
      <c r="J122" s="1020">
        <f t="shared" si="40"/>
        <v>1385225.92</v>
      </c>
      <c r="K122" s="1373">
        <f t="shared" si="41"/>
        <v>2191956.96</v>
      </c>
      <c r="L122" s="1023"/>
      <c r="M122" s="1013"/>
      <c r="N122" s="1013"/>
      <c r="O122" s="1013"/>
      <c r="P122" s="1013"/>
      <c r="Q122" s="1011">
        <f t="shared" si="42"/>
        <v>0</v>
      </c>
      <c r="R122" s="1012">
        <v>806731.04</v>
      </c>
      <c r="S122" s="1013">
        <v>0</v>
      </c>
      <c r="T122" s="1013">
        <v>806731.04</v>
      </c>
      <c r="U122" s="1013">
        <v>0</v>
      </c>
      <c r="V122" s="1013">
        <v>1385225.92</v>
      </c>
      <c r="W122" s="1013">
        <f t="shared" si="43"/>
        <v>2998688</v>
      </c>
    </row>
    <row r="123" spans="1:23" ht="15" customHeight="1" x14ac:dyDescent="0.25">
      <c r="A123" s="716" t="s">
        <v>238</v>
      </c>
      <c r="B123" s="721" t="s">
        <v>239</v>
      </c>
      <c r="C123" s="917" t="s">
        <v>264</v>
      </c>
      <c r="D123" s="1019">
        <f t="shared" si="34"/>
        <v>86366.06</v>
      </c>
      <c r="E123" s="1019">
        <f t="shared" si="35"/>
        <v>0</v>
      </c>
      <c r="F123" s="1019">
        <f t="shared" si="36"/>
        <v>86366.06</v>
      </c>
      <c r="G123" s="1021">
        <f t="shared" si="37"/>
        <v>0</v>
      </c>
      <c r="H123" s="1021">
        <f t="shared" si="38"/>
        <v>148297.87999999998</v>
      </c>
      <c r="I123" s="1373">
        <f t="shared" si="39"/>
        <v>321030</v>
      </c>
      <c r="J123" s="1020">
        <f t="shared" si="40"/>
        <v>148297.87999999998</v>
      </c>
      <c r="K123" s="1373">
        <f t="shared" si="41"/>
        <v>234663.93999999997</v>
      </c>
      <c r="L123" s="1023"/>
      <c r="M123" s="1013"/>
      <c r="N123" s="1013"/>
      <c r="O123" s="1013"/>
      <c r="P123" s="1013"/>
      <c r="Q123" s="1011">
        <f t="shared" si="42"/>
        <v>0</v>
      </c>
      <c r="R123" s="1012">
        <v>86366.06</v>
      </c>
      <c r="S123" s="1013">
        <v>0</v>
      </c>
      <c r="T123" s="1013">
        <v>86366.06</v>
      </c>
      <c r="U123" s="1013">
        <v>0</v>
      </c>
      <c r="V123" s="1013">
        <v>148297.87999999998</v>
      </c>
      <c r="W123" s="1013">
        <f t="shared" si="43"/>
        <v>321030</v>
      </c>
    </row>
    <row r="124" spans="1:23" ht="15" customHeight="1" x14ac:dyDescent="0.25">
      <c r="A124" s="716" t="s">
        <v>240</v>
      </c>
      <c r="B124" s="721" t="s">
        <v>241</v>
      </c>
      <c r="C124" s="917" t="s">
        <v>267</v>
      </c>
      <c r="D124" s="1019">
        <f t="shared" si="34"/>
        <v>67620.990000000005</v>
      </c>
      <c r="E124" s="1019">
        <f t="shared" si="35"/>
        <v>0</v>
      </c>
      <c r="F124" s="1019">
        <f t="shared" si="36"/>
        <v>67620.990000000005</v>
      </c>
      <c r="G124" s="1021">
        <f t="shared" si="37"/>
        <v>0</v>
      </c>
      <c r="H124" s="1021">
        <f t="shared" si="38"/>
        <v>116111.02000000002</v>
      </c>
      <c r="I124" s="1373">
        <f t="shared" si="39"/>
        <v>251353.00000000003</v>
      </c>
      <c r="J124" s="1020">
        <f t="shared" si="40"/>
        <v>116111.02000000002</v>
      </c>
      <c r="K124" s="1373">
        <f t="shared" si="41"/>
        <v>183732.01</v>
      </c>
      <c r="L124" s="1023"/>
      <c r="M124" s="1013"/>
      <c r="N124" s="1013"/>
      <c r="O124" s="1013"/>
      <c r="P124" s="1013"/>
      <c r="Q124" s="1011">
        <f t="shared" si="42"/>
        <v>0</v>
      </c>
      <c r="R124" s="1012">
        <v>67620.990000000005</v>
      </c>
      <c r="S124" s="1013">
        <v>0</v>
      </c>
      <c r="T124" s="1013">
        <v>67620.990000000005</v>
      </c>
      <c r="U124" s="1013">
        <v>0</v>
      </c>
      <c r="V124" s="1013">
        <v>116111.02000000002</v>
      </c>
      <c r="W124" s="1013">
        <f t="shared" si="43"/>
        <v>251353.00000000003</v>
      </c>
    </row>
    <row r="126" spans="1:23" x14ac:dyDescent="0.25">
      <c r="A126" s="270" t="s">
        <v>266</v>
      </c>
      <c r="D126" s="1777">
        <v>2992231.9299999997</v>
      </c>
      <c r="E126" s="1777">
        <v>0</v>
      </c>
      <c r="F126" s="1777">
        <v>2992231.9299999997</v>
      </c>
      <c r="G126" s="1777">
        <v>180452.11000000002</v>
      </c>
      <c r="H126" s="1777">
        <v>5137917.1400000006</v>
      </c>
      <c r="I126" s="1777">
        <f>SUM(D126:H126)</f>
        <v>11302833.109999999</v>
      </c>
      <c r="J126" s="1777">
        <f>G126+H126</f>
        <v>5318369.2500000009</v>
      </c>
      <c r="K126" s="1777">
        <f>F126+G126+H126</f>
        <v>8310601.1799999997</v>
      </c>
      <c r="L126" s="1777">
        <v>0</v>
      </c>
      <c r="M126" s="1777">
        <v>0</v>
      </c>
      <c r="N126" s="1777">
        <v>0</v>
      </c>
      <c r="O126" s="1777">
        <v>180452.11000000002</v>
      </c>
      <c r="P126" s="1777">
        <v>0</v>
      </c>
      <c r="Q126" s="1777">
        <f>SUM(L126:P126)</f>
        <v>180452.11000000002</v>
      </c>
      <c r="R126" s="1777">
        <v>2992231.9299999997</v>
      </c>
      <c r="S126" s="1777">
        <v>0</v>
      </c>
      <c r="T126" s="1777">
        <v>2992231.9299999997</v>
      </c>
      <c r="U126" s="1777">
        <v>0</v>
      </c>
      <c r="V126" s="1777">
        <v>5137917.1400000006</v>
      </c>
      <c r="W126" s="1777">
        <f>SUM(R126:V126)</f>
        <v>11122381</v>
      </c>
    </row>
    <row r="127" spans="1:23" x14ac:dyDescent="0.25">
      <c r="A127" s="270" t="s">
        <v>264</v>
      </c>
      <c r="D127" s="1777">
        <v>3923650.1799999997</v>
      </c>
      <c r="E127" s="1777">
        <v>0</v>
      </c>
      <c r="F127" s="1777">
        <v>3923650.1799999997</v>
      </c>
      <c r="G127" s="1777">
        <v>80675.219999999987</v>
      </c>
      <c r="H127" s="1777">
        <v>6737241.6400000006</v>
      </c>
      <c r="I127" s="1777">
        <f t="shared" ref="I127:I130" si="44">SUM(D127:H127)</f>
        <v>14665217.219999999</v>
      </c>
      <c r="J127" s="1777">
        <f t="shared" ref="J127:J130" si="45">G127+H127</f>
        <v>6817916.8600000003</v>
      </c>
      <c r="K127" s="1777">
        <f t="shared" ref="K127:K130" si="46">F127+G127+H127</f>
        <v>10741567.040000001</v>
      </c>
      <c r="L127" s="1777">
        <v>0</v>
      </c>
      <c r="M127" s="1777">
        <v>0</v>
      </c>
      <c r="N127" s="1777">
        <v>0</v>
      </c>
      <c r="O127" s="1777">
        <v>80675.219999999987</v>
      </c>
      <c r="P127" s="1777">
        <v>0</v>
      </c>
      <c r="Q127" s="1777">
        <f t="shared" ref="Q127:Q130" si="47">SUM(L127:P127)</f>
        <v>80675.219999999987</v>
      </c>
      <c r="R127" s="1777">
        <v>3923650.1799999997</v>
      </c>
      <c r="S127" s="1777">
        <v>0</v>
      </c>
      <c r="T127" s="1777">
        <v>3923650.1799999997</v>
      </c>
      <c r="U127" s="1777">
        <v>0</v>
      </c>
      <c r="V127" s="1777">
        <v>6737241.6400000006</v>
      </c>
      <c r="W127" s="1777">
        <f t="shared" ref="W127:W130" si="48">SUM(R127:V127)</f>
        <v>14584542</v>
      </c>
    </row>
    <row r="128" spans="1:23" x14ac:dyDescent="0.25">
      <c r="A128" s="270" t="s">
        <v>267</v>
      </c>
      <c r="D128" s="1777">
        <v>7041141.2399999993</v>
      </c>
      <c r="E128" s="1777">
        <v>0</v>
      </c>
      <c r="F128" s="1777">
        <v>7041141.2399999993</v>
      </c>
      <c r="G128" s="1777">
        <v>378760.82000000007</v>
      </c>
      <c r="H128" s="1777">
        <v>12090239.130000001</v>
      </c>
      <c r="I128" s="1777">
        <f t="shared" si="44"/>
        <v>26551282.43</v>
      </c>
      <c r="J128" s="1777">
        <f t="shared" si="45"/>
        <v>12468999.950000001</v>
      </c>
      <c r="K128" s="1777">
        <f t="shared" si="46"/>
        <v>19510141.190000001</v>
      </c>
      <c r="L128" s="1777">
        <v>0</v>
      </c>
      <c r="M128" s="1777">
        <v>0</v>
      </c>
      <c r="N128" s="1777">
        <v>0</v>
      </c>
      <c r="O128" s="1777">
        <v>378760.82000000007</v>
      </c>
      <c r="P128" s="1777">
        <v>0</v>
      </c>
      <c r="Q128" s="1777">
        <f t="shared" si="47"/>
        <v>378760.82000000007</v>
      </c>
      <c r="R128" s="1777">
        <v>7041141.2399999993</v>
      </c>
      <c r="S128" s="1777">
        <v>0</v>
      </c>
      <c r="T128" s="1777">
        <v>7041141.2399999993</v>
      </c>
      <c r="U128" s="1777">
        <v>0</v>
      </c>
      <c r="V128" s="1777">
        <v>12090239.130000001</v>
      </c>
      <c r="W128" s="1777">
        <f t="shared" si="48"/>
        <v>26172521.609999999</v>
      </c>
    </row>
    <row r="129" spans="1:23" x14ac:dyDescent="0.25">
      <c r="A129" s="270" t="s">
        <v>265</v>
      </c>
      <c r="D129" s="1777">
        <v>2885802.2399999998</v>
      </c>
      <c r="E129" s="1777">
        <v>0</v>
      </c>
      <c r="F129" s="1777">
        <v>2885802.2399999998</v>
      </c>
      <c r="G129" s="1777">
        <v>84219.89</v>
      </c>
      <c r="H129" s="1777">
        <v>4955168.5200000005</v>
      </c>
      <c r="I129" s="1777">
        <f t="shared" si="44"/>
        <v>10810992.890000001</v>
      </c>
      <c r="J129" s="1777">
        <f t="shared" si="45"/>
        <v>5039388.41</v>
      </c>
      <c r="K129" s="1777">
        <f t="shared" si="46"/>
        <v>7925190.6500000004</v>
      </c>
      <c r="L129" s="1777">
        <v>0</v>
      </c>
      <c r="M129" s="1777">
        <v>0</v>
      </c>
      <c r="N129" s="1777">
        <v>0</v>
      </c>
      <c r="O129" s="1777">
        <v>84219.89</v>
      </c>
      <c r="P129" s="1777">
        <v>0</v>
      </c>
      <c r="Q129" s="1777">
        <f t="shared" si="47"/>
        <v>84219.89</v>
      </c>
      <c r="R129" s="1777">
        <v>2885802.2399999998</v>
      </c>
      <c r="S129" s="1777">
        <v>0</v>
      </c>
      <c r="T129" s="1777">
        <v>2885802.2399999998</v>
      </c>
      <c r="U129" s="1777">
        <v>0</v>
      </c>
      <c r="V129" s="1777">
        <v>4955168.5200000005</v>
      </c>
      <c r="W129" s="1777">
        <f t="shared" si="48"/>
        <v>10726773</v>
      </c>
    </row>
    <row r="130" spans="1:23" x14ac:dyDescent="0.25">
      <c r="A130" s="270" t="s">
        <v>268</v>
      </c>
      <c r="D130" s="1777">
        <v>1228605.6600000001</v>
      </c>
      <c r="E130" s="1777">
        <v>0</v>
      </c>
      <c r="F130" s="1777">
        <v>1228605.6600000001</v>
      </c>
      <c r="G130" s="1777">
        <v>25051.63</v>
      </c>
      <c r="H130" s="1777">
        <v>2109620.6799999997</v>
      </c>
      <c r="I130" s="1777">
        <f t="shared" si="44"/>
        <v>4591883.63</v>
      </c>
      <c r="J130" s="1777">
        <f t="shared" si="45"/>
        <v>2134672.3099999996</v>
      </c>
      <c r="K130" s="1777">
        <f t="shared" si="46"/>
        <v>3363277.9699999997</v>
      </c>
      <c r="L130" s="1777">
        <v>0</v>
      </c>
      <c r="M130" s="1777">
        <v>0</v>
      </c>
      <c r="N130" s="1777">
        <v>0</v>
      </c>
      <c r="O130" s="1777">
        <v>25051.63</v>
      </c>
      <c r="P130" s="1777">
        <v>0</v>
      </c>
      <c r="Q130" s="1777">
        <f t="shared" si="47"/>
        <v>25051.63</v>
      </c>
      <c r="R130" s="1777">
        <v>1228605.6600000001</v>
      </c>
      <c r="S130" s="1777">
        <v>0</v>
      </c>
      <c r="T130" s="1777">
        <v>1228605.6600000001</v>
      </c>
      <c r="U130" s="1777">
        <v>0</v>
      </c>
      <c r="V130" s="1777">
        <v>2109620.6799999997</v>
      </c>
      <c r="W130" s="1777">
        <f t="shared" si="48"/>
        <v>4566832</v>
      </c>
    </row>
    <row r="131" spans="1:23" x14ac:dyDescent="0.25">
      <c r="A131" s="270" t="s">
        <v>9</v>
      </c>
      <c r="D131" s="1779">
        <f t="shared" ref="D131:H131" si="49">SUM(D126:D130)</f>
        <v>18071431.249999996</v>
      </c>
      <c r="E131" s="1779">
        <f t="shared" si="49"/>
        <v>0</v>
      </c>
      <c r="F131" s="1779">
        <f t="shared" si="49"/>
        <v>18071431.249999996</v>
      </c>
      <c r="G131" s="1779">
        <f t="shared" si="49"/>
        <v>749159.67000000016</v>
      </c>
      <c r="H131" s="1779">
        <f t="shared" si="49"/>
        <v>31030187.110000003</v>
      </c>
      <c r="I131" s="1779">
        <f>SUM(I126:I130)</f>
        <v>67922209.280000001</v>
      </c>
      <c r="J131" s="1779">
        <f>SUM(J126:J130)</f>
        <v>31779346.780000001</v>
      </c>
      <c r="K131" s="1779">
        <f>SUM(K126:K130)</f>
        <v>49850778.029999994</v>
      </c>
      <c r="L131" s="1779">
        <f t="shared" ref="L131:P131" si="50">SUM(L126:L130)</f>
        <v>0</v>
      </c>
      <c r="M131" s="1779">
        <f t="shared" si="50"/>
        <v>0</v>
      </c>
      <c r="N131" s="1779">
        <f t="shared" si="50"/>
        <v>0</v>
      </c>
      <c r="O131" s="1779">
        <f t="shared" si="50"/>
        <v>749159.67000000016</v>
      </c>
      <c r="P131" s="1779">
        <f t="shared" si="50"/>
        <v>0</v>
      </c>
      <c r="Q131" s="1779">
        <f>SUM(Q126:Q130)</f>
        <v>749159.67000000016</v>
      </c>
      <c r="R131" s="1779">
        <f t="shared" ref="R131:V131" si="51">SUM(R126:R130)</f>
        <v>18071431.249999996</v>
      </c>
      <c r="S131" s="1779">
        <f t="shared" si="51"/>
        <v>0</v>
      </c>
      <c r="T131" s="1779">
        <f t="shared" si="51"/>
        <v>18071431.249999996</v>
      </c>
      <c r="U131" s="1779">
        <f t="shared" si="51"/>
        <v>0</v>
      </c>
      <c r="V131" s="1779">
        <f t="shared" si="51"/>
        <v>31030187.110000003</v>
      </c>
      <c r="W131" s="1779">
        <f>SUM(W126:W130)</f>
        <v>67173049.609999999</v>
      </c>
    </row>
    <row r="133" spans="1:23" s="392" customFormat="1" x14ac:dyDescent="0.25">
      <c r="A133" s="986" t="s">
        <v>1246</v>
      </c>
      <c r="B133" s="712"/>
      <c r="C133" s="712"/>
      <c r="D133" s="662"/>
      <c r="M133" s="1003"/>
    </row>
    <row r="134" spans="1:23" s="392" customFormat="1" x14ac:dyDescent="0.25">
      <c r="M134" s="1003"/>
    </row>
    <row r="135" spans="1:23" s="412" customFormat="1" x14ac:dyDescent="0.25">
      <c r="A135" s="412" t="s">
        <v>248</v>
      </c>
      <c r="M135" s="1005"/>
    </row>
    <row r="136" spans="1:23" x14ac:dyDescent="0.25">
      <c r="A136" s="413" t="s">
        <v>249</v>
      </c>
      <c r="B136" s="414" t="s">
        <v>250</v>
      </c>
      <c r="C136" s="414"/>
    </row>
  </sheetData>
  <autoFilter ref="A3:C124"/>
  <sortState ref="A5:W124">
    <sortCondition ref="A5:A124"/>
  </sortState>
  <hyperlinks>
    <hyperlink ref="B136" r:id="rId1"/>
  </hyperlinks>
  <pageMargins left="0.7" right="0.7" top="0.75" bottom="0.75" header="0.3" footer="0.3"/>
  <pageSetup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A136"/>
  <sheetViews>
    <sheetView zoomScale="106" zoomScaleNormal="106" workbookViewId="0">
      <pane xSplit="3" ySplit="4" topLeftCell="W89" activePane="bottomRight" state="frozen"/>
      <selection pane="topRight" activeCell="D1" sqref="D1"/>
      <selection pane="bottomLeft" activeCell="A6" sqref="A6"/>
      <selection pane="bottomRight" activeCell="D126" sqref="D126:EA130"/>
    </sheetView>
  </sheetViews>
  <sheetFormatPr defaultRowHeight="15.75" x14ac:dyDescent="0.25"/>
  <cols>
    <col min="1" max="1" width="9.5" style="270" customWidth="1"/>
    <col min="2" max="2" width="30.75" style="270" customWidth="1"/>
    <col min="3" max="3" width="16" style="270" customWidth="1"/>
    <col min="4" max="14" width="12.875" style="270" customWidth="1"/>
    <col min="15" max="15" width="12.75" style="270" customWidth="1"/>
    <col min="16" max="53" width="12.875" style="270" customWidth="1"/>
    <col min="54" max="119" width="12.875" style="718" customWidth="1"/>
    <col min="120" max="131" width="12.875" style="270" customWidth="1"/>
    <col min="132" max="16384" width="9" style="270"/>
  </cols>
  <sheetData>
    <row r="1" spans="1:131" x14ac:dyDescent="0.25">
      <c r="A1" s="64" t="s">
        <v>1257</v>
      </c>
      <c r="D1" s="718"/>
    </row>
    <row r="2" spans="1:131" x14ac:dyDescent="0.25">
      <c r="F2" s="718"/>
      <c r="G2" s="718"/>
    </row>
    <row r="3" spans="1:131" ht="34.5" customHeight="1" x14ac:dyDescent="0.25">
      <c r="A3" s="813" t="s">
        <v>4</v>
      </c>
      <c r="B3" s="814" t="s">
        <v>5</v>
      </c>
      <c r="C3" s="814" t="s">
        <v>251</v>
      </c>
      <c r="D3" s="811" t="s">
        <v>314</v>
      </c>
      <c r="E3" s="811" t="s">
        <v>315</v>
      </c>
      <c r="F3" s="811" t="s">
        <v>316</v>
      </c>
      <c r="G3" s="811" t="s">
        <v>951</v>
      </c>
      <c r="H3" s="811" t="s">
        <v>952</v>
      </c>
      <c r="I3" s="811" t="s">
        <v>281</v>
      </c>
      <c r="J3" s="815" t="s">
        <v>408</v>
      </c>
      <c r="K3" s="815" t="s">
        <v>954</v>
      </c>
      <c r="L3" s="811" t="s">
        <v>322</v>
      </c>
      <c r="M3" s="811" t="s">
        <v>323</v>
      </c>
      <c r="N3" s="811" t="s">
        <v>324</v>
      </c>
      <c r="O3" s="1386" t="s">
        <v>1023</v>
      </c>
      <c r="P3" s="1386" t="s">
        <v>1024</v>
      </c>
      <c r="Q3" s="811" t="s">
        <v>325</v>
      </c>
      <c r="R3" s="811" t="s">
        <v>326</v>
      </c>
      <c r="S3" s="811" t="s">
        <v>327</v>
      </c>
      <c r="T3" s="811" t="s">
        <v>328</v>
      </c>
      <c r="U3" s="1386" t="s">
        <v>1025</v>
      </c>
      <c r="V3" s="1386" t="s">
        <v>1026</v>
      </c>
      <c r="W3" s="811" t="s">
        <v>329</v>
      </c>
      <c r="X3" s="811" t="s">
        <v>330</v>
      </c>
      <c r="Y3" s="811" t="s">
        <v>331</v>
      </c>
      <c r="Z3" s="811" t="s">
        <v>332</v>
      </c>
      <c r="AA3" s="1386" t="s">
        <v>1027</v>
      </c>
      <c r="AB3" s="1386" t="s">
        <v>1028</v>
      </c>
      <c r="AC3" s="811" t="s">
        <v>333</v>
      </c>
      <c r="AD3" s="811" t="s">
        <v>334</v>
      </c>
      <c r="AE3" s="811" t="s">
        <v>335</v>
      </c>
      <c r="AF3" s="811" t="s">
        <v>336</v>
      </c>
      <c r="AG3" s="1386" t="s">
        <v>1029</v>
      </c>
      <c r="AH3" s="1386" t="s">
        <v>1030</v>
      </c>
      <c r="AI3" s="811" t="s">
        <v>337</v>
      </c>
      <c r="AJ3" s="811" t="s">
        <v>763</v>
      </c>
      <c r="AK3" s="811" t="s">
        <v>338</v>
      </c>
      <c r="AL3" s="811" t="s">
        <v>339</v>
      </c>
      <c r="AM3" s="1386" t="s">
        <v>1031</v>
      </c>
      <c r="AN3" s="1386" t="s">
        <v>1032</v>
      </c>
      <c r="AO3" s="811" t="s">
        <v>340</v>
      </c>
      <c r="AP3" s="811" t="s">
        <v>341</v>
      </c>
      <c r="AQ3" s="811" t="s">
        <v>342</v>
      </c>
      <c r="AR3" s="811" t="s">
        <v>343</v>
      </c>
      <c r="AS3" s="1386" t="s">
        <v>1033</v>
      </c>
      <c r="AT3" s="1386" t="s">
        <v>1034</v>
      </c>
      <c r="AU3" s="811" t="s">
        <v>344</v>
      </c>
      <c r="AV3" s="811" t="s">
        <v>345</v>
      </c>
      <c r="AW3" s="811" t="s">
        <v>346</v>
      </c>
      <c r="AX3" s="811" t="s">
        <v>347</v>
      </c>
      <c r="AY3" s="1386" t="s">
        <v>1035</v>
      </c>
      <c r="AZ3" s="1386" t="s">
        <v>1036</v>
      </c>
      <c r="BA3" s="811" t="s">
        <v>348</v>
      </c>
      <c r="BB3" s="1044" t="s">
        <v>349</v>
      </c>
      <c r="BC3" s="1044" t="s">
        <v>350</v>
      </c>
      <c r="BD3" s="1044" t="s">
        <v>351</v>
      </c>
      <c r="BE3" s="1387" t="s">
        <v>1019</v>
      </c>
      <c r="BF3" s="1387" t="s">
        <v>1020</v>
      </c>
      <c r="BG3" s="1044" t="s">
        <v>352</v>
      </c>
      <c r="BH3" s="1044" t="s">
        <v>353</v>
      </c>
      <c r="BI3" s="1044" t="s">
        <v>354</v>
      </c>
      <c r="BJ3" s="1044" t="s">
        <v>355</v>
      </c>
      <c r="BK3" s="1387" t="s">
        <v>1022</v>
      </c>
      <c r="BL3" s="1387" t="s">
        <v>1021</v>
      </c>
      <c r="BM3" s="1044" t="s">
        <v>356</v>
      </c>
      <c r="BN3" s="1044" t="s">
        <v>357</v>
      </c>
      <c r="BO3" s="1044" t="s">
        <v>358</v>
      </c>
      <c r="BP3" s="1044" t="s">
        <v>359</v>
      </c>
      <c r="BQ3" s="1387" t="s">
        <v>1037</v>
      </c>
      <c r="BR3" s="1387" t="s">
        <v>1038</v>
      </c>
      <c r="BS3" s="1044" t="s">
        <v>360</v>
      </c>
      <c r="BT3" s="1044" t="s">
        <v>361</v>
      </c>
      <c r="BU3" s="1044" t="s">
        <v>362</v>
      </c>
      <c r="BV3" s="1044" t="s">
        <v>363</v>
      </c>
      <c r="BW3" s="1387" t="s">
        <v>1039</v>
      </c>
      <c r="BX3" s="1387" t="s">
        <v>1040</v>
      </c>
      <c r="BY3" s="1044" t="s">
        <v>364</v>
      </c>
      <c r="BZ3" s="1044" t="s">
        <v>365</v>
      </c>
      <c r="CA3" s="1044" t="s">
        <v>366</v>
      </c>
      <c r="CB3" s="1044" t="s">
        <v>367</v>
      </c>
      <c r="CC3" s="1387" t="s">
        <v>1041</v>
      </c>
      <c r="CD3" s="1387" t="s">
        <v>1042</v>
      </c>
      <c r="CE3" s="1044" t="s">
        <v>368</v>
      </c>
      <c r="CF3" s="1044" t="s">
        <v>369</v>
      </c>
      <c r="CG3" s="1044" t="s">
        <v>370</v>
      </c>
      <c r="CH3" s="1044" t="s">
        <v>371</v>
      </c>
      <c r="CI3" s="1387" t="s">
        <v>1043</v>
      </c>
      <c r="CJ3" s="1387" t="s">
        <v>1044</v>
      </c>
      <c r="CK3" s="1044" t="s">
        <v>372</v>
      </c>
      <c r="CL3" s="1044" t="s">
        <v>373</v>
      </c>
      <c r="CM3" s="1044" t="s">
        <v>374</v>
      </c>
      <c r="CN3" s="1044" t="s">
        <v>375</v>
      </c>
      <c r="CO3" s="1387" t="s">
        <v>1045</v>
      </c>
      <c r="CP3" s="1387" t="s">
        <v>1046</v>
      </c>
      <c r="CQ3" s="1044" t="s">
        <v>376</v>
      </c>
      <c r="CR3" s="1044" t="s">
        <v>377</v>
      </c>
      <c r="CS3" s="1044" t="s">
        <v>378</v>
      </c>
      <c r="CT3" s="1044" t="s">
        <v>379</v>
      </c>
      <c r="CU3" s="1387" t="s">
        <v>1047</v>
      </c>
      <c r="CV3" s="1387" t="s">
        <v>1048</v>
      </c>
      <c r="CW3" s="1044" t="s">
        <v>380</v>
      </c>
      <c r="CX3" s="1044" t="s">
        <v>381</v>
      </c>
      <c r="CY3" s="1044" t="s">
        <v>382</v>
      </c>
      <c r="CZ3" s="1044" t="s">
        <v>383</v>
      </c>
      <c r="DA3" s="1387" t="s">
        <v>1049</v>
      </c>
      <c r="DB3" s="1387" t="s">
        <v>1050</v>
      </c>
      <c r="DC3" s="1044" t="s">
        <v>384</v>
      </c>
      <c r="DD3" s="811" t="s">
        <v>847</v>
      </c>
      <c r="DE3" s="811" t="s">
        <v>848</v>
      </c>
      <c r="DF3" s="811" t="s">
        <v>849</v>
      </c>
      <c r="DG3" s="1386" t="s">
        <v>1051</v>
      </c>
      <c r="DH3" s="1386" t="s">
        <v>1052</v>
      </c>
      <c r="DI3" s="811" t="s">
        <v>850</v>
      </c>
      <c r="DJ3" s="1699" t="s">
        <v>1118</v>
      </c>
      <c r="DK3" s="1699" t="s">
        <v>1119</v>
      </c>
      <c r="DL3" s="1699" t="s">
        <v>1117</v>
      </c>
      <c r="DM3" s="1699" t="s">
        <v>1116</v>
      </c>
      <c r="DN3" s="1699" t="s">
        <v>1115</v>
      </c>
      <c r="DO3" s="1854" t="s">
        <v>1114</v>
      </c>
      <c r="DP3" s="811" t="s">
        <v>1238</v>
      </c>
      <c r="DQ3" s="811" t="s">
        <v>385</v>
      </c>
      <c r="DR3" s="811" t="s">
        <v>386</v>
      </c>
      <c r="DS3" s="1386" t="s">
        <v>1053</v>
      </c>
      <c r="DT3" s="1386" t="s">
        <v>1054</v>
      </c>
      <c r="DU3" s="811" t="s">
        <v>387</v>
      </c>
      <c r="DV3" s="811" t="s">
        <v>388</v>
      </c>
      <c r="DW3" s="811" t="s">
        <v>389</v>
      </c>
      <c r="DX3" s="811" t="s">
        <v>390</v>
      </c>
      <c r="DY3" s="1386" t="s">
        <v>1055</v>
      </c>
      <c r="DZ3" s="1386" t="s">
        <v>1056</v>
      </c>
      <c r="EA3" s="811" t="s">
        <v>391</v>
      </c>
    </row>
    <row r="4" spans="1:131" x14ac:dyDescent="0.25">
      <c r="A4" s="816">
        <v>999</v>
      </c>
      <c r="B4" s="817" t="s">
        <v>9</v>
      </c>
      <c r="C4" s="817"/>
      <c r="D4" s="818">
        <f t="shared" ref="D4:AL4" si="0">SUM(D5:D124)</f>
        <v>12522953.470000001</v>
      </c>
      <c r="E4" s="818">
        <f t="shared" si="0"/>
        <v>9301829.1700000018</v>
      </c>
      <c r="F4" s="818">
        <f t="shared" si="0"/>
        <v>4470658.8999999976</v>
      </c>
      <c r="G4" s="818">
        <f t="shared" si="0"/>
        <v>1636032.3299999966</v>
      </c>
      <c r="H4" s="818">
        <f t="shared" si="0"/>
        <v>2076648.35</v>
      </c>
      <c r="I4" s="818">
        <f t="shared" si="0"/>
        <v>30008122.220000006</v>
      </c>
      <c r="J4" s="818">
        <f t="shared" si="0"/>
        <v>3712680.6799999997</v>
      </c>
      <c r="K4" s="818">
        <f t="shared" si="0"/>
        <v>8183339.580000001</v>
      </c>
      <c r="L4" s="819">
        <f t="shared" si="0"/>
        <v>0</v>
      </c>
      <c r="M4" s="819">
        <f t="shared" si="0"/>
        <v>6479.27</v>
      </c>
      <c r="N4" s="819">
        <f t="shared" si="0"/>
        <v>0</v>
      </c>
      <c r="O4" s="819">
        <f t="shared" si="0"/>
        <v>0</v>
      </c>
      <c r="P4" s="819">
        <f t="shared" si="0"/>
        <v>0</v>
      </c>
      <c r="Q4" s="819">
        <f t="shared" si="0"/>
        <v>6479.27</v>
      </c>
      <c r="R4" s="819">
        <f t="shared" si="0"/>
        <v>0</v>
      </c>
      <c r="S4" s="819">
        <f t="shared" si="0"/>
        <v>0</v>
      </c>
      <c r="T4" s="819">
        <f t="shared" si="0"/>
        <v>0</v>
      </c>
      <c r="U4" s="819">
        <f t="shared" si="0"/>
        <v>284043.3</v>
      </c>
      <c r="V4" s="819">
        <f t="shared" si="0"/>
        <v>90054.98</v>
      </c>
      <c r="W4" s="819">
        <f t="shared" si="0"/>
        <v>374098.28</v>
      </c>
      <c r="X4" s="819">
        <f t="shared" si="0"/>
        <v>637557.93000000005</v>
      </c>
      <c r="Y4" s="819">
        <f t="shared" si="0"/>
        <v>3795.4500000000007</v>
      </c>
      <c r="Z4" s="819">
        <f t="shared" si="0"/>
        <v>117645.23000000004</v>
      </c>
      <c r="AA4" s="819">
        <f t="shared" si="0"/>
        <v>601.52000000000078</v>
      </c>
      <c r="AB4" s="819">
        <f t="shared" si="0"/>
        <v>1956.0700000000002</v>
      </c>
      <c r="AC4" s="819">
        <f t="shared" si="0"/>
        <v>761556.2000000003</v>
      </c>
      <c r="AD4" s="819">
        <f t="shared" si="0"/>
        <v>4497544.2200000007</v>
      </c>
      <c r="AE4" s="819">
        <f t="shared" si="0"/>
        <v>0</v>
      </c>
      <c r="AF4" s="819">
        <f t="shared" si="0"/>
        <v>1124385.6899999995</v>
      </c>
      <c r="AG4" s="819">
        <f t="shared" si="0"/>
        <v>1252417.2800000003</v>
      </c>
      <c r="AH4" s="819">
        <f t="shared" si="0"/>
        <v>1869856.65</v>
      </c>
      <c r="AI4" s="819">
        <f t="shared" si="0"/>
        <v>8744203.8400000017</v>
      </c>
      <c r="AJ4" s="819">
        <f t="shared" si="0"/>
        <v>254019.85</v>
      </c>
      <c r="AK4" s="819">
        <f t="shared" si="0"/>
        <v>64133.33</v>
      </c>
      <c r="AL4" s="819">
        <f t="shared" si="0"/>
        <v>58359.56</v>
      </c>
      <c r="AM4" s="819">
        <f t="shared" ref="AM4:BL4" si="1">SUM(AM5:AM124)</f>
        <v>752.95000000000016</v>
      </c>
      <c r="AN4" s="819">
        <f t="shared" si="1"/>
        <v>597.70000000000005</v>
      </c>
      <c r="AO4" s="819">
        <f t="shared" si="1"/>
        <v>377863.39</v>
      </c>
      <c r="AP4" s="819">
        <f t="shared" si="1"/>
        <v>363237.00999999995</v>
      </c>
      <c r="AQ4" s="819">
        <f t="shared" si="1"/>
        <v>90809.23000000001</v>
      </c>
      <c r="AR4" s="819">
        <f t="shared" si="1"/>
        <v>0</v>
      </c>
      <c r="AS4" s="819">
        <f t="shared" si="1"/>
        <v>0</v>
      </c>
      <c r="AT4" s="819">
        <f t="shared" si="1"/>
        <v>726.65</v>
      </c>
      <c r="AU4" s="819">
        <f t="shared" si="1"/>
        <v>454772.89</v>
      </c>
      <c r="AV4" s="819">
        <f t="shared" si="1"/>
        <v>516711.79000000021</v>
      </c>
      <c r="AW4" s="819">
        <f t="shared" si="1"/>
        <v>129178.01000000004</v>
      </c>
      <c r="AX4" s="819">
        <f t="shared" si="1"/>
        <v>0</v>
      </c>
      <c r="AY4" s="819">
        <f t="shared" si="1"/>
        <v>0</v>
      </c>
      <c r="AZ4" s="819">
        <f t="shared" si="1"/>
        <v>0</v>
      </c>
      <c r="BA4" s="819">
        <f t="shared" si="1"/>
        <v>645889.79999999981</v>
      </c>
      <c r="BB4" s="819">
        <f t="shared" si="1"/>
        <v>70368.549999999974</v>
      </c>
      <c r="BC4" s="819">
        <f t="shared" si="1"/>
        <v>127074.16</v>
      </c>
      <c r="BD4" s="819">
        <f t="shared" si="1"/>
        <v>0</v>
      </c>
      <c r="BE4" s="819">
        <f t="shared" si="1"/>
        <v>-0.01</v>
      </c>
      <c r="BF4" s="819">
        <f t="shared" si="1"/>
        <v>0</v>
      </c>
      <c r="BG4" s="819">
        <f t="shared" si="1"/>
        <v>197442.7</v>
      </c>
      <c r="BH4" s="819">
        <f t="shared" si="1"/>
        <v>2753052.9299999997</v>
      </c>
      <c r="BI4" s="819">
        <f t="shared" si="1"/>
        <v>348720.93</v>
      </c>
      <c r="BJ4" s="819">
        <f t="shared" si="1"/>
        <v>568965.15999999992</v>
      </c>
      <c r="BK4" s="819">
        <f t="shared" si="1"/>
        <v>3085.6599999999989</v>
      </c>
      <c r="BL4" s="819">
        <f t="shared" si="1"/>
        <v>6558.49</v>
      </c>
      <c r="BM4" s="819">
        <f t="shared" ref="BM4:CR4" si="2">SUM(BM5:BM124)</f>
        <v>3680383.1700000009</v>
      </c>
      <c r="BN4" s="819">
        <f t="shared" si="2"/>
        <v>-17248.95</v>
      </c>
      <c r="BO4" s="819">
        <f t="shared" si="2"/>
        <v>-17248.95</v>
      </c>
      <c r="BP4" s="819">
        <f t="shared" si="2"/>
        <v>0</v>
      </c>
      <c r="BQ4" s="819">
        <f t="shared" si="2"/>
        <v>2154.2200000000003</v>
      </c>
      <c r="BR4" s="819">
        <f t="shared" si="2"/>
        <v>0</v>
      </c>
      <c r="BS4" s="819">
        <f t="shared" si="2"/>
        <v>-32343.68</v>
      </c>
      <c r="BT4" s="819">
        <f t="shared" si="2"/>
        <v>1933673.86</v>
      </c>
      <c r="BU4" s="819">
        <f t="shared" si="2"/>
        <v>8170621.5099999951</v>
      </c>
      <c r="BV4" s="819">
        <f t="shared" si="2"/>
        <v>1853452.1800000002</v>
      </c>
      <c r="BW4" s="819">
        <f t="shared" si="2"/>
        <v>-10483.460000000005</v>
      </c>
      <c r="BX4" s="819">
        <f t="shared" si="2"/>
        <v>88524.03</v>
      </c>
      <c r="BY4" s="819">
        <f t="shared" si="2"/>
        <v>12035788.119999999</v>
      </c>
      <c r="BZ4" s="819">
        <f t="shared" si="2"/>
        <v>274803.62000000005</v>
      </c>
      <c r="CA4" s="819">
        <f t="shared" si="2"/>
        <v>0</v>
      </c>
      <c r="CB4" s="819">
        <f t="shared" si="2"/>
        <v>408787.36999999988</v>
      </c>
      <c r="CC4" s="819">
        <f t="shared" si="2"/>
        <v>41065.740000000005</v>
      </c>
      <c r="CD4" s="819">
        <f t="shared" si="2"/>
        <v>141.56</v>
      </c>
      <c r="CE4" s="819">
        <f t="shared" si="2"/>
        <v>724798.28999999992</v>
      </c>
      <c r="CF4" s="819">
        <f t="shared" si="2"/>
        <v>5195.78</v>
      </c>
      <c r="CG4" s="819">
        <f t="shared" si="2"/>
        <v>0</v>
      </c>
      <c r="CH4" s="819">
        <f t="shared" si="2"/>
        <v>14191.45</v>
      </c>
      <c r="CI4" s="819">
        <f t="shared" si="2"/>
        <v>0</v>
      </c>
      <c r="CJ4" s="819">
        <f t="shared" si="2"/>
        <v>0</v>
      </c>
      <c r="CK4" s="819">
        <f t="shared" si="2"/>
        <v>19387.23</v>
      </c>
      <c r="CL4" s="819">
        <f t="shared" si="2"/>
        <v>-3242.88</v>
      </c>
      <c r="CM4" s="819">
        <f t="shared" si="2"/>
        <v>0</v>
      </c>
      <c r="CN4" s="819">
        <f t="shared" si="2"/>
        <v>0</v>
      </c>
      <c r="CO4" s="819">
        <f t="shared" si="2"/>
        <v>0</v>
      </c>
      <c r="CP4" s="819">
        <f t="shared" si="2"/>
        <v>0</v>
      </c>
      <c r="CQ4" s="819">
        <f t="shared" si="2"/>
        <v>-3242.88</v>
      </c>
      <c r="CR4" s="819">
        <f t="shared" si="2"/>
        <v>-6347.0599999999995</v>
      </c>
      <c r="CS4" s="819">
        <f t="shared" ref="CS4:EA4" si="3">SUM(CS5:CS124)</f>
        <v>-6347.0599999999995</v>
      </c>
      <c r="CT4" s="819">
        <f t="shared" si="3"/>
        <v>0</v>
      </c>
      <c r="CU4" s="819">
        <f t="shared" si="3"/>
        <v>0.03</v>
      </c>
      <c r="CV4" s="819">
        <f t="shared" si="3"/>
        <v>0</v>
      </c>
      <c r="CW4" s="819">
        <f t="shared" si="3"/>
        <v>-12694.09</v>
      </c>
      <c r="CX4" s="819">
        <f t="shared" si="3"/>
        <v>-20711.559999999998</v>
      </c>
      <c r="CY4" s="819">
        <f t="shared" si="3"/>
        <v>-20711.559999999998</v>
      </c>
      <c r="CZ4" s="819">
        <f t="shared" si="3"/>
        <v>0</v>
      </c>
      <c r="DA4" s="819">
        <f t="shared" si="3"/>
        <v>0.15999999999999998</v>
      </c>
      <c r="DB4" s="819">
        <f t="shared" si="3"/>
        <v>0</v>
      </c>
      <c r="DC4" s="819">
        <f t="shared" si="3"/>
        <v>-41422.959999999992</v>
      </c>
      <c r="DD4" s="819">
        <f t="shared" ref="DD4:DO4" si="4">SUM(DD5:DD124)</f>
        <v>-75444.959999999992</v>
      </c>
      <c r="DE4" s="819">
        <f t="shared" si="4"/>
        <v>0</v>
      </c>
      <c r="DF4" s="819">
        <f t="shared" si="4"/>
        <v>0</v>
      </c>
      <c r="DG4" s="819">
        <f t="shared" si="4"/>
        <v>0</v>
      </c>
      <c r="DH4" s="819">
        <f t="shared" si="4"/>
        <v>0</v>
      </c>
      <c r="DI4" s="819">
        <f t="shared" si="4"/>
        <v>-75444.959999999992</v>
      </c>
      <c r="DJ4" s="1698">
        <f t="shared" si="4"/>
        <v>-12988.32</v>
      </c>
      <c r="DK4" s="1698">
        <f t="shared" si="4"/>
        <v>-12988.32</v>
      </c>
      <c r="DL4" s="1698">
        <f t="shared" si="4"/>
        <v>0</v>
      </c>
      <c r="DM4" s="1698">
        <f t="shared" si="4"/>
        <v>0.02</v>
      </c>
      <c r="DN4" s="1698">
        <f t="shared" si="4"/>
        <v>0</v>
      </c>
      <c r="DO4" s="1698">
        <f t="shared" si="4"/>
        <v>-25976.620000000003</v>
      </c>
      <c r="DP4" s="819">
        <f t="shared" si="3"/>
        <v>606251.15999999992</v>
      </c>
      <c r="DQ4" s="819">
        <f t="shared" si="3"/>
        <v>418313.17000000004</v>
      </c>
      <c r="DR4" s="819">
        <f t="shared" si="3"/>
        <v>187937.89</v>
      </c>
      <c r="DS4" s="819">
        <f t="shared" si="3"/>
        <v>-656.88999999999965</v>
      </c>
      <c r="DT4" s="819">
        <f t="shared" si="3"/>
        <v>10178.76</v>
      </c>
      <c r="DU4" s="819">
        <f t="shared" si="3"/>
        <v>1222024.0899999999</v>
      </c>
      <c r="DV4" s="819">
        <f t="shared" si="3"/>
        <v>746520.49999999977</v>
      </c>
      <c r="DW4" s="819">
        <f t="shared" si="3"/>
        <v>0</v>
      </c>
      <c r="DX4" s="819">
        <f t="shared" si="3"/>
        <v>136934.36999999997</v>
      </c>
      <c r="DY4" s="819">
        <f t="shared" si="3"/>
        <v>63051.810000000005</v>
      </c>
      <c r="DZ4" s="819">
        <f t="shared" si="3"/>
        <v>8053.46</v>
      </c>
      <c r="EA4" s="819">
        <f t="shared" si="3"/>
        <v>954560.14</v>
      </c>
    </row>
    <row r="5" spans="1:131" ht="15" customHeight="1" x14ac:dyDescent="0.25">
      <c r="A5" s="812" t="s">
        <v>10</v>
      </c>
      <c r="B5" s="807" t="s">
        <v>11</v>
      </c>
      <c r="C5" s="910" t="s">
        <v>264</v>
      </c>
      <c r="D5" s="808">
        <f t="shared" ref="D5:D36" si="5">L5+R5+X5+AD5+AJ5+AP5+AV5+BB5+BH5+BN5+BT5+BZ5+CF5+CL5+CR5+CX5+DD5+DJ5+DP5+DV5</f>
        <v>63400.393606312617</v>
      </c>
      <c r="E5" s="808">
        <f t="shared" ref="E5:E36" si="6">M5+S5+Y5+AE5+AK5+AQ5+AW5+BC5+BI5+BO5+BU5+CA5+CG5+CM5+CS5+CY5+DE5+DK5+DQ5+DW5</f>
        <v>8449.1963936873817</v>
      </c>
      <c r="F5" s="808">
        <f t="shared" ref="F5:F36" si="7">N5+T5+Z5+AF5+AL5+AR5+AX5+BD5+BJ5+BP5+BV5+CB5+CH5+CN5+CT5+CZ5+DF5+DL5+DR5+DX5</f>
        <v>27484.680000000004</v>
      </c>
      <c r="G5" s="808">
        <f t="shared" ref="G5:G36" si="8">O5+U5+AA5+AG5+AM5+AS5+AY5+BE5+BK5+BQ5+BW5+CC5+CI5+CO5+CU5+DA5+DG5+DM5+DS5+DY5</f>
        <v>1361.79</v>
      </c>
      <c r="H5" s="808">
        <f t="shared" ref="H5:H36" si="9">P5+V5+AB5+AH5+AN5+AT5+AZ5+BF5+BL5+BR5+BX5+CD5+CJ5+CP5+CV5+DB5+DH5+DN5+DT5+DZ5</f>
        <v>0</v>
      </c>
      <c r="I5" s="1391">
        <f t="shared" ref="I5:I36" si="10">SUM(D5:H5)</f>
        <v>100696.06</v>
      </c>
      <c r="J5" s="809">
        <f t="shared" ref="J5:J36" si="11">G5+H5</f>
        <v>1361.79</v>
      </c>
      <c r="K5" s="1392">
        <f t="shared" ref="K5:K36" si="12">F5+J5</f>
        <v>28846.470000000005</v>
      </c>
      <c r="L5" s="1654"/>
      <c r="M5" s="1655"/>
      <c r="N5" s="1655"/>
      <c r="O5" s="1655"/>
      <c r="P5" s="1655"/>
      <c r="Q5" s="1036">
        <f t="shared" ref="Q5:Q36" si="13">SUM(L5:P5)</f>
        <v>0</v>
      </c>
      <c r="R5" s="1647"/>
      <c r="S5" s="1648"/>
      <c r="T5" s="1648"/>
      <c r="U5" s="1648">
        <v>1361.84</v>
      </c>
      <c r="V5" s="1649"/>
      <c r="W5" s="1039">
        <f t="shared" ref="W5:W36" si="14">SUM(R5:V5)</f>
        <v>1361.84</v>
      </c>
      <c r="X5" s="1661"/>
      <c r="Y5" s="1662"/>
      <c r="Z5" s="1662"/>
      <c r="AA5" s="1662"/>
      <c r="AB5" s="1663"/>
      <c r="AC5" s="1037">
        <f t="shared" ref="AC5:AC36" si="15">SUM(X5:AB5)</f>
        <v>0</v>
      </c>
      <c r="AD5" s="1672">
        <v>34495.870000000003</v>
      </c>
      <c r="AE5" s="1673">
        <v>0</v>
      </c>
      <c r="AF5" s="1673">
        <v>8623.9599999999991</v>
      </c>
      <c r="AG5" s="1673">
        <v>0</v>
      </c>
      <c r="AH5" s="1674">
        <v>0</v>
      </c>
      <c r="AI5" s="1049">
        <f t="shared" ref="AI5:AI36" si="16">SUM(AD5:AH5)</f>
        <v>43119.83</v>
      </c>
      <c r="AJ5" s="1682"/>
      <c r="AK5" s="1683"/>
      <c r="AL5" s="1683"/>
      <c r="AM5" s="1683"/>
      <c r="AN5" s="1683"/>
      <c r="AO5" s="1041">
        <f t="shared" ref="AO5:AO36" si="17">SUM(AJ5:AN5)</f>
        <v>0</v>
      </c>
      <c r="AP5" s="1684">
        <v>842.6</v>
      </c>
      <c r="AQ5" s="1685">
        <v>210.65</v>
      </c>
      <c r="AR5" s="1685">
        <v>0</v>
      </c>
      <c r="AS5" s="1685">
        <v>0</v>
      </c>
      <c r="AT5" s="1685">
        <v>0</v>
      </c>
      <c r="AU5" s="1043">
        <f t="shared" ref="AU5:AU36" si="18">SUM(AP5:AT5)</f>
        <v>1053.25</v>
      </c>
      <c r="AV5" s="1690">
        <v>884.1</v>
      </c>
      <c r="AW5" s="1691">
        <v>221.03</v>
      </c>
      <c r="AX5" s="1691">
        <v>0</v>
      </c>
      <c r="AY5" s="1691">
        <v>0</v>
      </c>
      <c r="AZ5" s="1649">
        <v>0</v>
      </c>
      <c r="BA5" s="1039">
        <f t="shared" ref="BA5:BA36" si="19">SUM(AV5:AZ5)</f>
        <v>1105.1300000000001</v>
      </c>
      <c r="BB5" s="1695"/>
      <c r="BC5" s="1696"/>
      <c r="BD5" s="1696"/>
      <c r="BE5" s="1696"/>
      <c r="BF5" s="1696"/>
      <c r="BG5" s="1046">
        <f t="shared" ref="BG5:BG36" si="20">SUM(BB5:BF5)</f>
        <v>0</v>
      </c>
      <c r="BH5" s="1695">
        <v>7380.64</v>
      </c>
      <c r="BI5" s="1696">
        <v>934.91</v>
      </c>
      <c r="BJ5" s="1696">
        <v>1525.34</v>
      </c>
      <c r="BK5" s="1696">
        <v>-0.05</v>
      </c>
      <c r="BL5" s="1696">
        <v>0</v>
      </c>
      <c r="BM5" s="1046">
        <f t="shared" ref="BM5:BM36" si="21">SUM(BH5:BL5)</f>
        <v>9840.840000000002</v>
      </c>
      <c r="BN5" s="1672"/>
      <c r="BO5" s="1673"/>
      <c r="BP5" s="1673"/>
      <c r="BQ5" s="1673"/>
      <c r="BR5" s="1674"/>
      <c r="BS5" s="1049">
        <f t="shared" ref="BS5:BS36" si="22">SUM(BN5:BR5)</f>
        <v>0</v>
      </c>
      <c r="BT5" s="1672">
        <v>1924.3336063126176</v>
      </c>
      <c r="BU5" s="1673">
        <v>7109.1063936873825</v>
      </c>
      <c r="BV5" s="1673">
        <v>1657.03</v>
      </c>
      <c r="BW5" s="1673">
        <v>-0.05</v>
      </c>
      <c r="BX5" s="1674">
        <v>0</v>
      </c>
      <c r="BY5" s="1049">
        <f t="shared" ref="BY5:BY36" si="23">SUM(BT5:BX5)</f>
        <v>10690.420000000002</v>
      </c>
      <c r="BZ5" s="1672">
        <v>9490.1</v>
      </c>
      <c r="CA5" s="1673">
        <v>0</v>
      </c>
      <c r="CB5" s="1673">
        <v>14117.11</v>
      </c>
      <c r="CC5" s="1673">
        <v>0</v>
      </c>
      <c r="CD5" s="1674">
        <v>0</v>
      </c>
      <c r="CE5" s="1049">
        <f t="shared" ref="CE5:CE36" si="24">SUM(BZ5:CD5)</f>
        <v>23607.21</v>
      </c>
      <c r="CF5" s="1695"/>
      <c r="CG5" s="1696"/>
      <c r="CH5" s="1696"/>
      <c r="CI5" s="1696"/>
      <c r="CJ5" s="1696"/>
      <c r="CK5" s="1046">
        <f t="shared" ref="CK5:CK36" si="25">SUM(CF5:CJ5)</f>
        <v>0</v>
      </c>
      <c r="CL5" s="1672"/>
      <c r="CM5" s="1673"/>
      <c r="CN5" s="1673"/>
      <c r="CO5" s="1673"/>
      <c r="CP5" s="1674"/>
      <c r="CQ5" s="1049">
        <f t="shared" ref="CQ5:CQ36" si="26">SUM(CL5:CP5)</f>
        <v>0</v>
      </c>
      <c r="CR5" s="1695"/>
      <c r="CS5" s="1696"/>
      <c r="CT5" s="1696"/>
      <c r="CU5" s="1696"/>
      <c r="CV5" s="1696"/>
      <c r="CW5" s="1046">
        <f t="shared" ref="CW5:CW36" si="27">SUM(CR5:CV5)</f>
        <v>0</v>
      </c>
      <c r="CX5" s="1672">
        <v>-26.5</v>
      </c>
      <c r="CY5" s="1673">
        <v>-26.5</v>
      </c>
      <c r="CZ5" s="1673">
        <v>0</v>
      </c>
      <c r="DA5" s="1673">
        <v>0</v>
      </c>
      <c r="DB5" s="1674">
        <v>0</v>
      </c>
      <c r="DC5" s="1049">
        <f t="shared" ref="DC5:DC36" si="28">SUM(CX5:DB5)</f>
        <v>-53</v>
      </c>
      <c r="DD5" s="1672">
        <v>-102</v>
      </c>
      <c r="DE5" s="1673">
        <v>0</v>
      </c>
      <c r="DF5" s="1673">
        <v>0</v>
      </c>
      <c r="DG5" s="1673">
        <v>0</v>
      </c>
      <c r="DH5" s="1673">
        <v>0</v>
      </c>
      <c r="DI5" s="1114">
        <f t="shared" ref="DI5:DI36" si="29">SUM(DD5:DH5)</f>
        <v>-102</v>
      </c>
      <c r="DJ5" s="1115"/>
      <c r="DK5" s="1115"/>
      <c r="DL5" s="1115"/>
      <c r="DM5" s="1115"/>
      <c r="DN5" s="1115"/>
      <c r="DO5" s="1115">
        <f t="shared" ref="DO5:DO36" si="30">SUM(DJ5:DN5)</f>
        <v>0</v>
      </c>
      <c r="DP5" s="1672"/>
      <c r="DQ5" s="1673"/>
      <c r="DR5" s="1673"/>
      <c r="DS5" s="1673"/>
      <c r="DT5" s="1674"/>
      <c r="DU5" s="1050">
        <f t="shared" ref="DU5:DU36" si="31">SUM(DP5:DT5)</f>
        <v>0</v>
      </c>
      <c r="DV5" s="1672">
        <v>8511.25</v>
      </c>
      <c r="DW5" s="1673">
        <v>0</v>
      </c>
      <c r="DX5" s="1673">
        <v>1561.24</v>
      </c>
      <c r="DY5" s="1673">
        <v>0.05</v>
      </c>
      <c r="DZ5" s="1674">
        <v>0</v>
      </c>
      <c r="EA5" s="1049">
        <f t="shared" ref="EA5:EA36" si="32">SUM(DV5:DZ5)</f>
        <v>10072.539999999999</v>
      </c>
    </row>
    <row r="6" spans="1:131" ht="15" customHeight="1" x14ac:dyDescent="0.25">
      <c r="A6" s="716" t="s">
        <v>12</v>
      </c>
      <c r="B6" s="810" t="s">
        <v>13</v>
      </c>
      <c r="C6" s="911" t="s">
        <v>265</v>
      </c>
      <c r="D6" s="808">
        <f t="shared" si="5"/>
        <v>195242.2883551339</v>
      </c>
      <c r="E6" s="808">
        <f t="shared" si="6"/>
        <v>88193.651644866099</v>
      </c>
      <c r="F6" s="808">
        <f t="shared" si="7"/>
        <v>46176.68</v>
      </c>
      <c r="G6" s="808">
        <f t="shared" si="8"/>
        <v>-2.0000000000000004E-2</v>
      </c>
      <c r="H6" s="808">
        <f t="shared" si="9"/>
        <v>0</v>
      </c>
      <c r="I6" s="1391">
        <f t="shared" si="10"/>
        <v>329612.59999999998</v>
      </c>
      <c r="J6" s="809">
        <f t="shared" si="11"/>
        <v>-2.0000000000000004E-2</v>
      </c>
      <c r="K6" s="1392">
        <f t="shared" si="12"/>
        <v>46176.66</v>
      </c>
      <c r="L6" s="1656"/>
      <c r="M6" s="1035"/>
      <c r="N6" s="1035"/>
      <c r="O6" s="1035"/>
      <c r="P6" s="1035"/>
      <c r="Q6" s="1036">
        <f t="shared" si="13"/>
        <v>0</v>
      </c>
      <c r="R6" s="1650"/>
      <c r="S6" s="1040"/>
      <c r="T6" s="1040"/>
      <c r="U6" s="1040"/>
      <c r="V6" s="1651"/>
      <c r="W6" s="1039">
        <f t="shared" si="14"/>
        <v>0</v>
      </c>
      <c r="X6" s="1664">
        <v>7666.89</v>
      </c>
      <c r="Y6" s="1665">
        <v>45.63</v>
      </c>
      <c r="Z6" s="1665">
        <v>1414.72</v>
      </c>
      <c r="AA6" s="1665">
        <v>0.01</v>
      </c>
      <c r="AB6" s="1666">
        <v>0</v>
      </c>
      <c r="AC6" s="1037">
        <f t="shared" si="15"/>
        <v>9127.25</v>
      </c>
      <c r="AD6" s="1675">
        <v>88128.69</v>
      </c>
      <c r="AE6" s="1115">
        <v>0</v>
      </c>
      <c r="AF6" s="1115">
        <v>22032.16</v>
      </c>
      <c r="AG6" s="1115">
        <v>0</v>
      </c>
      <c r="AH6" s="1676">
        <v>0</v>
      </c>
      <c r="AI6" s="1049">
        <f t="shared" si="16"/>
        <v>110160.85</v>
      </c>
      <c r="AJ6" s="1667"/>
      <c r="AK6" s="1038"/>
      <c r="AL6" s="1038"/>
      <c r="AM6" s="1038"/>
      <c r="AN6" s="1038"/>
      <c r="AO6" s="1041">
        <f t="shared" si="17"/>
        <v>0</v>
      </c>
      <c r="AP6" s="1686">
        <v>15629.1</v>
      </c>
      <c r="AQ6" s="1687">
        <v>3907.28</v>
      </c>
      <c r="AR6" s="1687">
        <v>0</v>
      </c>
      <c r="AS6" s="1687">
        <v>0</v>
      </c>
      <c r="AT6" s="1688">
        <v>0</v>
      </c>
      <c r="AU6" s="1043">
        <f t="shared" si="18"/>
        <v>19536.38</v>
      </c>
      <c r="AV6" s="1692">
        <v>22871.53</v>
      </c>
      <c r="AW6" s="1693">
        <v>5717.89</v>
      </c>
      <c r="AX6" s="1693">
        <v>0</v>
      </c>
      <c r="AY6" s="1693">
        <v>0</v>
      </c>
      <c r="AZ6" s="1694">
        <v>0</v>
      </c>
      <c r="BA6" s="1039">
        <f t="shared" si="19"/>
        <v>28589.42</v>
      </c>
      <c r="BB6" s="1675">
        <v>5681.19</v>
      </c>
      <c r="BC6" s="1115">
        <v>10259.31</v>
      </c>
      <c r="BD6" s="1115">
        <v>0</v>
      </c>
      <c r="BE6" s="1115">
        <v>0</v>
      </c>
      <c r="BF6" s="1676">
        <v>0</v>
      </c>
      <c r="BG6" s="1046">
        <f t="shared" si="20"/>
        <v>15940.5</v>
      </c>
      <c r="BH6" s="1677">
        <v>45738.46</v>
      </c>
      <c r="BI6" s="1045">
        <v>5793.54</v>
      </c>
      <c r="BJ6" s="1045">
        <v>9452.6299999999992</v>
      </c>
      <c r="BK6" s="1045">
        <v>-0.04</v>
      </c>
      <c r="BL6" s="1045">
        <v>0</v>
      </c>
      <c r="BM6" s="1046">
        <f t="shared" si="21"/>
        <v>60984.59</v>
      </c>
      <c r="BN6" s="1675"/>
      <c r="BO6" s="1115"/>
      <c r="BP6" s="1115"/>
      <c r="BQ6" s="1115"/>
      <c r="BR6" s="1676"/>
      <c r="BS6" s="1049">
        <f t="shared" si="22"/>
        <v>0</v>
      </c>
      <c r="BT6" s="1675">
        <v>10313.32835513389</v>
      </c>
      <c r="BU6" s="1115">
        <v>62470.001644866104</v>
      </c>
      <c r="BV6" s="1115">
        <v>13350.82</v>
      </c>
      <c r="BW6" s="1115">
        <v>-0.04</v>
      </c>
      <c r="BX6" s="1676">
        <v>0</v>
      </c>
      <c r="BY6" s="1049">
        <f t="shared" si="23"/>
        <v>86134.11</v>
      </c>
      <c r="BZ6" s="1677"/>
      <c r="CA6" s="1045"/>
      <c r="CB6" s="1045"/>
      <c r="CC6" s="1045"/>
      <c r="CD6" s="1678"/>
      <c r="CE6" s="1049">
        <f t="shared" si="24"/>
        <v>0</v>
      </c>
      <c r="CF6" s="1677"/>
      <c r="CG6" s="1045"/>
      <c r="CH6" s="1045"/>
      <c r="CI6" s="1045"/>
      <c r="CJ6" s="1045"/>
      <c r="CK6" s="1046">
        <f t="shared" si="25"/>
        <v>0</v>
      </c>
      <c r="CL6" s="1677"/>
      <c r="CM6" s="1045"/>
      <c r="CN6" s="1045"/>
      <c r="CO6" s="1045"/>
      <c r="CP6" s="1678"/>
      <c r="CQ6" s="1049">
        <f t="shared" si="26"/>
        <v>0</v>
      </c>
      <c r="CR6" s="1675"/>
      <c r="CS6" s="1115"/>
      <c r="CT6" s="1115"/>
      <c r="CU6" s="1115"/>
      <c r="CV6" s="1676"/>
      <c r="CW6" s="1046">
        <f t="shared" si="27"/>
        <v>0</v>
      </c>
      <c r="CX6" s="1675"/>
      <c r="CY6" s="1115"/>
      <c r="CZ6" s="1115"/>
      <c r="DA6" s="1115"/>
      <c r="DB6" s="1676"/>
      <c r="DC6" s="1049">
        <f t="shared" si="28"/>
        <v>0</v>
      </c>
      <c r="DD6" s="1675">
        <v>-385.5</v>
      </c>
      <c r="DE6" s="1115">
        <v>0</v>
      </c>
      <c r="DF6" s="1115">
        <v>0</v>
      </c>
      <c r="DG6" s="1115">
        <v>0</v>
      </c>
      <c r="DH6" s="1115">
        <v>0</v>
      </c>
      <c r="DI6" s="1114">
        <f t="shared" si="29"/>
        <v>-385.5</v>
      </c>
      <c r="DJ6" s="1115"/>
      <c r="DK6" s="1115"/>
      <c r="DL6" s="1115"/>
      <c r="DM6" s="1115"/>
      <c r="DN6" s="1115"/>
      <c r="DO6" s="1115">
        <f t="shared" si="30"/>
        <v>0</v>
      </c>
      <c r="DP6" s="1675"/>
      <c r="DQ6" s="1115"/>
      <c r="DR6" s="1115"/>
      <c r="DS6" s="1115"/>
      <c r="DT6" s="1676"/>
      <c r="DU6" s="1050">
        <f t="shared" si="31"/>
        <v>0</v>
      </c>
      <c r="DV6" s="1677">
        <v>-401.4</v>
      </c>
      <c r="DW6" s="1045">
        <v>0</v>
      </c>
      <c r="DX6" s="1045">
        <v>-73.650000000000006</v>
      </c>
      <c r="DY6" s="1045">
        <v>0.05</v>
      </c>
      <c r="DZ6" s="1678">
        <v>0</v>
      </c>
      <c r="EA6" s="1049">
        <f t="shared" si="32"/>
        <v>-474.99999999999994</v>
      </c>
    </row>
    <row r="7" spans="1:131" ht="15" customHeight="1" x14ac:dyDescent="0.25">
      <c r="A7" s="716" t="s">
        <v>16</v>
      </c>
      <c r="B7" s="810" t="s">
        <v>297</v>
      </c>
      <c r="C7" s="911" t="s">
        <v>265</v>
      </c>
      <c r="D7" s="808">
        <f t="shared" si="5"/>
        <v>107735.13697053472</v>
      </c>
      <c r="E7" s="808">
        <f t="shared" si="6"/>
        <v>41465.863029465261</v>
      </c>
      <c r="F7" s="808">
        <f t="shared" si="7"/>
        <v>30484.879999999997</v>
      </c>
      <c r="G7" s="808">
        <f t="shared" si="8"/>
        <v>0.05</v>
      </c>
      <c r="H7" s="808">
        <f t="shared" si="9"/>
        <v>0</v>
      </c>
      <c r="I7" s="1391">
        <f t="shared" si="10"/>
        <v>179685.92999999996</v>
      </c>
      <c r="J7" s="809">
        <f t="shared" si="11"/>
        <v>0.05</v>
      </c>
      <c r="K7" s="1392">
        <f t="shared" si="12"/>
        <v>30484.929999999997</v>
      </c>
      <c r="L7" s="1656"/>
      <c r="M7" s="1035"/>
      <c r="N7" s="1035"/>
      <c r="O7" s="1035"/>
      <c r="P7" s="1035"/>
      <c r="Q7" s="1036">
        <f t="shared" si="13"/>
        <v>0</v>
      </c>
      <c r="R7" s="1650"/>
      <c r="S7" s="1040"/>
      <c r="T7" s="1040"/>
      <c r="U7" s="1040"/>
      <c r="V7" s="1651"/>
      <c r="W7" s="1039">
        <f t="shared" si="14"/>
        <v>0</v>
      </c>
      <c r="X7" s="1664">
        <v>3089.36</v>
      </c>
      <c r="Y7" s="1665">
        <v>18.399999999999999</v>
      </c>
      <c r="Z7" s="1665">
        <v>570.06999999999994</v>
      </c>
      <c r="AA7" s="1665">
        <v>-0.03</v>
      </c>
      <c r="AB7" s="1666">
        <v>0</v>
      </c>
      <c r="AC7" s="1037">
        <f t="shared" si="15"/>
        <v>3677.7999999999997</v>
      </c>
      <c r="AD7" s="1675">
        <v>44331.18</v>
      </c>
      <c r="AE7" s="1115">
        <v>0</v>
      </c>
      <c r="AF7" s="1115">
        <v>11082.68</v>
      </c>
      <c r="AG7" s="1115">
        <v>0</v>
      </c>
      <c r="AH7" s="1676">
        <v>0</v>
      </c>
      <c r="AI7" s="1049">
        <f t="shared" si="16"/>
        <v>55413.86</v>
      </c>
      <c r="AJ7" s="1667"/>
      <c r="AK7" s="1038"/>
      <c r="AL7" s="1038"/>
      <c r="AM7" s="1038"/>
      <c r="AN7" s="1038"/>
      <c r="AO7" s="1041">
        <f t="shared" si="17"/>
        <v>0</v>
      </c>
      <c r="AP7" s="1686"/>
      <c r="AQ7" s="1687"/>
      <c r="AR7" s="1687"/>
      <c r="AS7" s="1687"/>
      <c r="AT7" s="1688"/>
      <c r="AU7" s="1043">
        <f t="shared" si="18"/>
        <v>0</v>
      </c>
      <c r="AV7" s="1692">
        <v>2139.66</v>
      </c>
      <c r="AW7" s="1693">
        <v>534.91</v>
      </c>
      <c r="AX7" s="1693">
        <v>0</v>
      </c>
      <c r="AY7" s="1693">
        <v>0</v>
      </c>
      <c r="AZ7" s="1694">
        <v>0</v>
      </c>
      <c r="BA7" s="1039">
        <f t="shared" si="19"/>
        <v>2674.5699999999997</v>
      </c>
      <c r="BB7" s="1677"/>
      <c r="BC7" s="1045"/>
      <c r="BD7" s="1045"/>
      <c r="BE7" s="1045"/>
      <c r="BF7" s="1045"/>
      <c r="BG7" s="1046">
        <f t="shared" si="20"/>
        <v>0</v>
      </c>
      <c r="BH7" s="1675">
        <v>13136.99</v>
      </c>
      <c r="BI7" s="1115">
        <v>1664.01</v>
      </c>
      <c r="BJ7" s="1115">
        <v>2714.98</v>
      </c>
      <c r="BK7" s="1115">
        <v>0.01</v>
      </c>
      <c r="BL7" s="1676">
        <v>0</v>
      </c>
      <c r="BM7" s="1046">
        <f t="shared" si="21"/>
        <v>17515.989999999998</v>
      </c>
      <c r="BN7" s="1675"/>
      <c r="BO7" s="1115"/>
      <c r="BP7" s="1115"/>
      <c r="BQ7" s="1115"/>
      <c r="BR7" s="1676"/>
      <c r="BS7" s="1049">
        <f t="shared" si="22"/>
        <v>0</v>
      </c>
      <c r="BT7" s="1675">
        <v>20999.346970534731</v>
      </c>
      <c r="BU7" s="1115">
        <v>32778.553029465264</v>
      </c>
      <c r="BV7" s="1115">
        <v>9864.5999999999985</v>
      </c>
      <c r="BW7" s="1115">
        <v>0.06</v>
      </c>
      <c r="BX7" s="1676">
        <v>0</v>
      </c>
      <c r="BY7" s="1049">
        <f t="shared" si="23"/>
        <v>63642.55999999999</v>
      </c>
      <c r="BZ7" s="1675">
        <v>149.79</v>
      </c>
      <c r="CA7" s="1115">
        <v>0</v>
      </c>
      <c r="CB7" s="1115">
        <v>222.81</v>
      </c>
      <c r="CC7" s="1115">
        <v>0</v>
      </c>
      <c r="CD7" s="1676">
        <v>0</v>
      </c>
      <c r="CE7" s="1049">
        <f t="shared" si="24"/>
        <v>372.6</v>
      </c>
      <c r="CF7" s="1677"/>
      <c r="CG7" s="1045"/>
      <c r="CH7" s="1045"/>
      <c r="CI7" s="1045"/>
      <c r="CJ7" s="1045"/>
      <c r="CK7" s="1046">
        <f t="shared" si="25"/>
        <v>0</v>
      </c>
      <c r="CL7" s="1675">
        <v>-1208.1199999999999</v>
      </c>
      <c r="CM7" s="1115">
        <v>0</v>
      </c>
      <c r="CN7" s="1115">
        <v>0</v>
      </c>
      <c r="CO7" s="1115">
        <v>0</v>
      </c>
      <c r="CP7" s="1676">
        <v>0</v>
      </c>
      <c r="CQ7" s="1049">
        <f t="shared" si="26"/>
        <v>-1208.1199999999999</v>
      </c>
      <c r="CR7" s="1677"/>
      <c r="CS7" s="1045"/>
      <c r="CT7" s="1045"/>
      <c r="CU7" s="1045"/>
      <c r="CV7" s="1045"/>
      <c r="CW7" s="1046">
        <f t="shared" si="27"/>
        <v>0</v>
      </c>
      <c r="CX7" s="1675">
        <v>-600</v>
      </c>
      <c r="CY7" s="1115">
        <v>-600</v>
      </c>
      <c r="CZ7" s="1115">
        <v>0</v>
      </c>
      <c r="DA7" s="1115">
        <v>0</v>
      </c>
      <c r="DB7" s="1676">
        <v>0</v>
      </c>
      <c r="DC7" s="1049">
        <f t="shared" si="28"/>
        <v>-1200</v>
      </c>
      <c r="DD7" s="1675">
        <v>-105</v>
      </c>
      <c r="DE7" s="1115">
        <v>0</v>
      </c>
      <c r="DF7" s="1115">
        <v>0</v>
      </c>
      <c r="DG7" s="1115">
        <v>0</v>
      </c>
      <c r="DH7" s="1115">
        <v>0</v>
      </c>
      <c r="DI7" s="1114">
        <f t="shared" si="29"/>
        <v>-105</v>
      </c>
      <c r="DJ7" s="1115"/>
      <c r="DK7" s="1115"/>
      <c r="DL7" s="1115"/>
      <c r="DM7" s="1115"/>
      <c r="DN7" s="1115"/>
      <c r="DO7" s="1115">
        <f t="shared" si="30"/>
        <v>0</v>
      </c>
      <c r="DP7" s="1675">
        <v>10246.370000000001</v>
      </c>
      <c r="DQ7" s="1115">
        <v>7069.99</v>
      </c>
      <c r="DR7" s="1115">
        <v>3176.37</v>
      </c>
      <c r="DS7" s="1115">
        <v>-0.03</v>
      </c>
      <c r="DT7" s="1676">
        <v>0</v>
      </c>
      <c r="DU7" s="1050">
        <f t="shared" si="31"/>
        <v>20492.7</v>
      </c>
      <c r="DV7" s="1675">
        <v>15555.560000000001</v>
      </c>
      <c r="DW7" s="1115">
        <v>0</v>
      </c>
      <c r="DX7" s="1115">
        <v>2853.37</v>
      </c>
      <c r="DY7" s="1115">
        <v>0.04</v>
      </c>
      <c r="DZ7" s="1676">
        <v>0</v>
      </c>
      <c r="EA7" s="1049">
        <f t="shared" si="32"/>
        <v>18408.97</v>
      </c>
    </row>
    <row r="8" spans="1:131" ht="15" customHeight="1" x14ac:dyDescent="0.25">
      <c r="A8" s="716" t="s">
        <v>18</v>
      </c>
      <c r="B8" s="810" t="s">
        <v>19</v>
      </c>
      <c r="C8" s="911" t="s">
        <v>266</v>
      </c>
      <c r="D8" s="808">
        <f t="shared" si="5"/>
        <v>18161.178088650329</v>
      </c>
      <c r="E8" s="808">
        <f t="shared" si="6"/>
        <v>17200.021911349671</v>
      </c>
      <c r="F8" s="808">
        <f t="shared" si="7"/>
        <v>6697.23</v>
      </c>
      <c r="G8" s="808">
        <f t="shared" si="8"/>
        <v>0</v>
      </c>
      <c r="H8" s="808">
        <f t="shared" si="9"/>
        <v>0</v>
      </c>
      <c r="I8" s="1391">
        <f t="shared" si="10"/>
        <v>42058.429999999993</v>
      </c>
      <c r="J8" s="809">
        <f t="shared" si="11"/>
        <v>0</v>
      </c>
      <c r="K8" s="1392">
        <f t="shared" si="12"/>
        <v>6697.23</v>
      </c>
      <c r="L8" s="1656"/>
      <c r="M8" s="1035"/>
      <c r="N8" s="1035"/>
      <c r="O8" s="1035"/>
      <c r="P8" s="1035"/>
      <c r="Q8" s="1036">
        <f t="shared" si="13"/>
        <v>0</v>
      </c>
      <c r="R8" s="1652"/>
      <c r="S8" s="1113"/>
      <c r="T8" s="1113"/>
      <c r="U8" s="1113"/>
      <c r="V8" s="1653"/>
      <c r="W8" s="1039">
        <f t="shared" si="14"/>
        <v>0</v>
      </c>
      <c r="X8" s="1664">
        <v>148.91999999999999</v>
      </c>
      <c r="Y8" s="1665">
        <v>0.89</v>
      </c>
      <c r="Z8" s="1665">
        <v>27.48</v>
      </c>
      <c r="AA8" s="1665">
        <v>0</v>
      </c>
      <c r="AB8" s="1666">
        <v>0</v>
      </c>
      <c r="AC8" s="1037">
        <f t="shared" si="15"/>
        <v>177.28999999999996</v>
      </c>
      <c r="AD8" s="1675">
        <v>2285.4</v>
      </c>
      <c r="AE8" s="1115">
        <v>0</v>
      </c>
      <c r="AF8" s="1115">
        <v>571.35</v>
      </c>
      <c r="AG8" s="1115">
        <v>0</v>
      </c>
      <c r="AH8" s="1676">
        <v>0</v>
      </c>
      <c r="AI8" s="1049">
        <f t="shared" si="16"/>
        <v>2856.75</v>
      </c>
      <c r="AJ8" s="1667"/>
      <c r="AK8" s="1038"/>
      <c r="AL8" s="1038"/>
      <c r="AM8" s="1038"/>
      <c r="AN8" s="1038"/>
      <c r="AO8" s="1041">
        <f t="shared" si="17"/>
        <v>0</v>
      </c>
      <c r="AP8" s="1686"/>
      <c r="AQ8" s="1687"/>
      <c r="AR8" s="1687"/>
      <c r="AS8" s="1687"/>
      <c r="AT8" s="1688"/>
      <c r="AU8" s="1043">
        <f t="shared" si="18"/>
        <v>0</v>
      </c>
      <c r="AV8" s="1692"/>
      <c r="AW8" s="1693"/>
      <c r="AX8" s="1693"/>
      <c r="AY8" s="1693"/>
      <c r="AZ8" s="1694"/>
      <c r="BA8" s="1039">
        <f t="shared" si="19"/>
        <v>0</v>
      </c>
      <c r="BB8" s="1677"/>
      <c r="BC8" s="1045"/>
      <c r="BD8" s="1045"/>
      <c r="BE8" s="1045"/>
      <c r="BF8" s="1045"/>
      <c r="BG8" s="1046">
        <f t="shared" si="20"/>
        <v>0</v>
      </c>
      <c r="BH8" s="1675">
        <v>8069.28</v>
      </c>
      <c r="BI8" s="1115">
        <v>1022.12</v>
      </c>
      <c r="BJ8" s="1115">
        <v>1667.65</v>
      </c>
      <c r="BK8" s="1115">
        <v>0</v>
      </c>
      <c r="BL8" s="1676">
        <v>0</v>
      </c>
      <c r="BM8" s="1046">
        <f t="shared" si="21"/>
        <v>10759.05</v>
      </c>
      <c r="BN8" s="1675">
        <v>-160</v>
      </c>
      <c r="BO8" s="1115">
        <v>-160</v>
      </c>
      <c r="BP8" s="1115">
        <v>0</v>
      </c>
      <c r="BQ8" s="1115">
        <v>0</v>
      </c>
      <c r="BR8" s="1676">
        <v>0</v>
      </c>
      <c r="BS8" s="1049">
        <f t="shared" si="22"/>
        <v>-320</v>
      </c>
      <c r="BT8" s="1675">
        <v>2504.16808865033</v>
      </c>
      <c r="BU8" s="1115">
        <v>13490.761911349669</v>
      </c>
      <c r="BV8" s="1115">
        <v>2934.01</v>
      </c>
      <c r="BW8" s="1115">
        <v>-0.01</v>
      </c>
      <c r="BX8" s="1676">
        <v>0</v>
      </c>
      <c r="BY8" s="1049">
        <f t="shared" si="23"/>
        <v>18928.930000000004</v>
      </c>
      <c r="BZ8" s="1677"/>
      <c r="CA8" s="1045"/>
      <c r="CB8" s="1045"/>
      <c r="CC8" s="1045"/>
      <c r="CD8" s="1678"/>
      <c r="CE8" s="1049">
        <f t="shared" si="24"/>
        <v>0</v>
      </c>
      <c r="CF8" s="1677"/>
      <c r="CG8" s="1045"/>
      <c r="CH8" s="1045"/>
      <c r="CI8" s="1045"/>
      <c r="CJ8" s="1045"/>
      <c r="CK8" s="1046">
        <f t="shared" si="25"/>
        <v>0</v>
      </c>
      <c r="CL8" s="1675"/>
      <c r="CM8" s="1115"/>
      <c r="CN8" s="1115"/>
      <c r="CO8" s="1115"/>
      <c r="CP8" s="1676"/>
      <c r="CQ8" s="1049">
        <f t="shared" si="26"/>
        <v>0</v>
      </c>
      <c r="CR8" s="1675"/>
      <c r="CS8" s="1115"/>
      <c r="CT8" s="1115"/>
      <c r="CU8" s="1115"/>
      <c r="CV8" s="1676"/>
      <c r="CW8" s="1046">
        <f t="shared" si="27"/>
        <v>0</v>
      </c>
      <c r="CX8" s="1675"/>
      <c r="CY8" s="1115"/>
      <c r="CZ8" s="1115"/>
      <c r="DA8" s="1115"/>
      <c r="DB8" s="1676"/>
      <c r="DC8" s="1049">
        <f t="shared" si="28"/>
        <v>0</v>
      </c>
      <c r="DD8" s="1675"/>
      <c r="DE8" s="1115"/>
      <c r="DF8" s="1115"/>
      <c r="DG8" s="1115"/>
      <c r="DH8" s="1115"/>
      <c r="DI8" s="1114">
        <f t="shared" si="29"/>
        <v>0</v>
      </c>
      <c r="DJ8" s="1115"/>
      <c r="DK8" s="1115"/>
      <c r="DL8" s="1115"/>
      <c r="DM8" s="1115"/>
      <c r="DN8" s="1115"/>
      <c r="DO8" s="1115">
        <f t="shared" si="30"/>
        <v>0</v>
      </c>
      <c r="DP8" s="1675">
        <v>4125</v>
      </c>
      <c r="DQ8" s="1115">
        <v>2846.25</v>
      </c>
      <c r="DR8" s="1115">
        <v>1278.75</v>
      </c>
      <c r="DS8" s="1115">
        <v>0</v>
      </c>
      <c r="DT8" s="1676">
        <v>0</v>
      </c>
      <c r="DU8" s="1050">
        <f t="shared" si="31"/>
        <v>8250</v>
      </c>
      <c r="DV8" s="1675">
        <v>1188.4100000000001</v>
      </c>
      <c r="DW8" s="1115">
        <v>0</v>
      </c>
      <c r="DX8" s="1115">
        <v>217.99</v>
      </c>
      <c r="DY8" s="1115">
        <v>0.01</v>
      </c>
      <c r="DZ8" s="1676">
        <v>0</v>
      </c>
      <c r="EA8" s="1049">
        <f t="shared" si="32"/>
        <v>1406.41</v>
      </c>
    </row>
    <row r="9" spans="1:131" ht="15" customHeight="1" x14ac:dyDescent="0.25">
      <c r="A9" s="716" t="s">
        <v>20</v>
      </c>
      <c r="B9" s="810" t="s">
        <v>21</v>
      </c>
      <c r="C9" s="911" t="s">
        <v>265</v>
      </c>
      <c r="D9" s="808">
        <f t="shared" si="5"/>
        <v>46341.555297758423</v>
      </c>
      <c r="E9" s="808">
        <f t="shared" si="6"/>
        <v>15407.244702241587</v>
      </c>
      <c r="F9" s="808">
        <f t="shared" si="7"/>
        <v>12989.93</v>
      </c>
      <c r="G9" s="808">
        <f t="shared" si="8"/>
        <v>-0.05</v>
      </c>
      <c r="H9" s="808">
        <f t="shared" si="9"/>
        <v>0</v>
      </c>
      <c r="I9" s="1391">
        <f t="shared" si="10"/>
        <v>74738.680000000008</v>
      </c>
      <c r="J9" s="809">
        <f t="shared" si="11"/>
        <v>-0.05</v>
      </c>
      <c r="K9" s="1392">
        <f t="shared" si="12"/>
        <v>12989.880000000001</v>
      </c>
      <c r="L9" s="1656"/>
      <c r="M9" s="1035"/>
      <c r="N9" s="1035"/>
      <c r="O9" s="1035"/>
      <c r="P9" s="1035"/>
      <c r="Q9" s="1036">
        <f t="shared" si="13"/>
        <v>0</v>
      </c>
      <c r="R9" s="1650"/>
      <c r="S9" s="1040"/>
      <c r="T9" s="1040"/>
      <c r="U9" s="1040"/>
      <c r="V9" s="1651"/>
      <c r="W9" s="1039">
        <f t="shared" si="14"/>
        <v>0</v>
      </c>
      <c r="X9" s="1664">
        <v>1562.4</v>
      </c>
      <c r="Y9" s="1665">
        <v>9.31</v>
      </c>
      <c r="Z9" s="1665">
        <v>288.31</v>
      </c>
      <c r="AA9" s="1665">
        <v>-0.02</v>
      </c>
      <c r="AB9" s="1666">
        <v>0</v>
      </c>
      <c r="AC9" s="1037">
        <f t="shared" si="15"/>
        <v>1860</v>
      </c>
      <c r="AD9" s="1675">
        <v>25231.71</v>
      </c>
      <c r="AE9" s="1115">
        <v>0</v>
      </c>
      <c r="AF9" s="1115">
        <v>6307.92</v>
      </c>
      <c r="AG9" s="1115">
        <v>0</v>
      </c>
      <c r="AH9" s="1676">
        <v>0</v>
      </c>
      <c r="AI9" s="1049">
        <f t="shared" si="16"/>
        <v>31539.629999999997</v>
      </c>
      <c r="AJ9" s="1667"/>
      <c r="AK9" s="1038"/>
      <c r="AL9" s="1038"/>
      <c r="AM9" s="1038"/>
      <c r="AN9" s="1038"/>
      <c r="AO9" s="1041">
        <f t="shared" si="17"/>
        <v>0</v>
      </c>
      <c r="AP9" s="1689"/>
      <c r="AQ9" s="1042"/>
      <c r="AR9" s="1042"/>
      <c r="AS9" s="1042"/>
      <c r="AT9" s="1042"/>
      <c r="AU9" s="1043">
        <f t="shared" si="18"/>
        <v>0</v>
      </c>
      <c r="AV9" s="1692"/>
      <c r="AW9" s="1693"/>
      <c r="AX9" s="1693"/>
      <c r="AY9" s="1693"/>
      <c r="AZ9" s="1694"/>
      <c r="BA9" s="1039">
        <f t="shared" si="19"/>
        <v>0</v>
      </c>
      <c r="BB9" s="1675">
        <v>31.86</v>
      </c>
      <c r="BC9" s="1115">
        <v>57.54</v>
      </c>
      <c r="BD9" s="1115">
        <v>0</v>
      </c>
      <c r="BE9" s="1115">
        <v>0</v>
      </c>
      <c r="BF9" s="1676">
        <v>0</v>
      </c>
      <c r="BG9" s="1046">
        <f t="shared" si="20"/>
        <v>89.4</v>
      </c>
      <c r="BH9" s="1675">
        <v>10398.76</v>
      </c>
      <c r="BI9" s="1115">
        <v>1317.19</v>
      </c>
      <c r="BJ9" s="1115">
        <v>2149.09</v>
      </c>
      <c r="BK9" s="1115">
        <v>-0.04</v>
      </c>
      <c r="BL9" s="1676">
        <v>0</v>
      </c>
      <c r="BM9" s="1046">
        <f t="shared" si="21"/>
        <v>13865</v>
      </c>
      <c r="BN9" s="1675"/>
      <c r="BO9" s="1115"/>
      <c r="BP9" s="1115"/>
      <c r="BQ9" s="1115"/>
      <c r="BR9" s="1676"/>
      <c r="BS9" s="1049">
        <f t="shared" si="22"/>
        <v>0</v>
      </c>
      <c r="BT9" s="1675">
        <v>3607.815297758415</v>
      </c>
      <c r="BU9" s="1115">
        <v>12817.064702241587</v>
      </c>
      <c r="BV9" s="1115">
        <v>3012.86</v>
      </c>
      <c r="BW9" s="1115">
        <v>-0.04</v>
      </c>
      <c r="BX9" s="1676">
        <v>0</v>
      </c>
      <c r="BY9" s="1049">
        <f t="shared" si="23"/>
        <v>19437.7</v>
      </c>
      <c r="BZ9" s="1677"/>
      <c r="CA9" s="1045"/>
      <c r="CB9" s="1045"/>
      <c r="CC9" s="1045"/>
      <c r="CD9" s="1678"/>
      <c r="CE9" s="1049">
        <f t="shared" si="24"/>
        <v>0</v>
      </c>
      <c r="CF9" s="1677"/>
      <c r="CG9" s="1045"/>
      <c r="CH9" s="1045"/>
      <c r="CI9" s="1045"/>
      <c r="CJ9" s="1045"/>
      <c r="CK9" s="1046">
        <f t="shared" si="25"/>
        <v>0</v>
      </c>
      <c r="CL9" s="1675"/>
      <c r="CM9" s="1115"/>
      <c r="CN9" s="1115"/>
      <c r="CO9" s="1115"/>
      <c r="CP9" s="1676"/>
      <c r="CQ9" s="1049">
        <f t="shared" si="26"/>
        <v>0</v>
      </c>
      <c r="CR9" s="1675"/>
      <c r="CS9" s="1115"/>
      <c r="CT9" s="1115"/>
      <c r="CU9" s="1115"/>
      <c r="CV9" s="1676"/>
      <c r="CW9" s="1046">
        <f t="shared" si="27"/>
        <v>0</v>
      </c>
      <c r="CX9" s="1675"/>
      <c r="CY9" s="1115"/>
      <c r="CZ9" s="1115"/>
      <c r="DA9" s="1115"/>
      <c r="DB9" s="1676"/>
      <c r="DC9" s="1049">
        <f t="shared" si="28"/>
        <v>0</v>
      </c>
      <c r="DD9" s="1675"/>
      <c r="DE9" s="1115"/>
      <c r="DF9" s="1115"/>
      <c r="DG9" s="1115"/>
      <c r="DH9" s="1115"/>
      <c r="DI9" s="1114">
        <f t="shared" si="29"/>
        <v>0</v>
      </c>
      <c r="DJ9" s="1115"/>
      <c r="DK9" s="1115"/>
      <c r="DL9" s="1115"/>
      <c r="DM9" s="1115"/>
      <c r="DN9" s="1115"/>
      <c r="DO9" s="1115">
        <f t="shared" si="30"/>
        <v>0</v>
      </c>
      <c r="DP9" s="1675">
        <v>1748.04</v>
      </c>
      <c r="DQ9" s="1115">
        <v>1206.1400000000001</v>
      </c>
      <c r="DR9" s="1115">
        <v>541.89</v>
      </c>
      <c r="DS9" s="1115">
        <v>-0.01</v>
      </c>
      <c r="DT9" s="1676">
        <v>0</v>
      </c>
      <c r="DU9" s="1050">
        <f t="shared" si="31"/>
        <v>3496.06</v>
      </c>
      <c r="DV9" s="1675">
        <v>3760.97</v>
      </c>
      <c r="DW9" s="1115">
        <v>0</v>
      </c>
      <c r="DX9" s="1115">
        <v>689.86</v>
      </c>
      <c r="DY9" s="1115">
        <v>0.06</v>
      </c>
      <c r="DZ9" s="1676">
        <v>0</v>
      </c>
      <c r="EA9" s="1049">
        <f t="shared" si="32"/>
        <v>4450.8900000000003</v>
      </c>
    </row>
    <row r="10" spans="1:131" ht="15" customHeight="1" x14ac:dyDescent="0.25">
      <c r="A10" s="716" t="s">
        <v>22</v>
      </c>
      <c r="B10" s="810" t="s">
        <v>23</v>
      </c>
      <c r="C10" s="911" t="s">
        <v>265</v>
      </c>
      <c r="D10" s="808">
        <f t="shared" si="5"/>
        <v>28984.771738088963</v>
      </c>
      <c r="E10" s="808">
        <f t="shared" si="6"/>
        <v>33658.028261911044</v>
      </c>
      <c r="F10" s="808">
        <f t="shared" si="7"/>
        <v>10455.77</v>
      </c>
      <c r="G10" s="808">
        <f t="shared" si="8"/>
        <v>0</v>
      </c>
      <c r="H10" s="808">
        <f t="shared" si="9"/>
        <v>0</v>
      </c>
      <c r="I10" s="1391">
        <f t="shared" si="10"/>
        <v>73098.570000000007</v>
      </c>
      <c r="J10" s="809">
        <f t="shared" si="11"/>
        <v>0</v>
      </c>
      <c r="K10" s="1392">
        <f t="shared" si="12"/>
        <v>10455.77</v>
      </c>
      <c r="L10" s="1656"/>
      <c r="M10" s="1035"/>
      <c r="N10" s="1035"/>
      <c r="O10" s="1035"/>
      <c r="P10" s="1035"/>
      <c r="Q10" s="1036">
        <f t="shared" si="13"/>
        <v>0</v>
      </c>
      <c r="R10" s="1650"/>
      <c r="S10" s="1040"/>
      <c r="T10" s="1040"/>
      <c r="U10" s="1040"/>
      <c r="V10" s="1651"/>
      <c r="W10" s="1039">
        <f t="shared" si="14"/>
        <v>0</v>
      </c>
      <c r="X10" s="1664">
        <v>1269.26</v>
      </c>
      <c r="Y10" s="1665">
        <v>7.55</v>
      </c>
      <c r="Z10" s="1665">
        <v>234.21</v>
      </c>
      <c r="AA10" s="1665">
        <v>0</v>
      </c>
      <c r="AB10" s="1666">
        <v>0</v>
      </c>
      <c r="AC10" s="1037">
        <f t="shared" si="15"/>
        <v>1511.02</v>
      </c>
      <c r="AD10" s="1675">
        <v>2644.14</v>
      </c>
      <c r="AE10" s="1115">
        <v>0</v>
      </c>
      <c r="AF10" s="1115">
        <v>661.04</v>
      </c>
      <c r="AG10" s="1115">
        <v>0</v>
      </c>
      <c r="AH10" s="1676">
        <v>0</v>
      </c>
      <c r="AI10" s="1049">
        <f t="shared" si="16"/>
        <v>3305.18</v>
      </c>
      <c r="AJ10" s="1667"/>
      <c r="AK10" s="1038"/>
      <c r="AL10" s="1038"/>
      <c r="AM10" s="1038"/>
      <c r="AN10" s="1038"/>
      <c r="AO10" s="1041">
        <f t="shared" si="17"/>
        <v>0</v>
      </c>
      <c r="AP10" s="1689">
        <v>2733.11</v>
      </c>
      <c r="AQ10" s="1042">
        <v>683.28</v>
      </c>
      <c r="AR10" s="1042">
        <v>0</v>
      </c>
      <c r="AS10" s="1042">
        <v>0</v>
      </c>
      <c r="AT10" s="1042">
        <v>0</v>
      </c>
      <c r="AU10" s="1043">
        <f t="shared" si="18"/>
        <v>3416.3900000000003</v>
      </c>
      <c r="AV10" s="1692">
        <v>2548.09</v>
      </c>
      <c r="AW10" s="1693">
        <v>637.02</v>
      </c>
      <c r="AX10" s="1693">
        <v>0</v>
      </c>
      <c r="AY10" s="1693">
        <v>0</v>
      </c>
      <c r="AZ10" s="1694">
        <v>0</v>
      </c>
      <c r="BA10" s="1039">
        <f t="shared" si="19"/>
        <v>3185.11</v>
      </c>
      <c r="BB10" s="1677"/>
      <c r="BC10" s="1045"/>
      <c r="BD10" s="1045"/>
      <c r="BE10" s="1045"/>
      <c r="BF10" s="1045"/>
      <c r="BG10" s="1046">
        <f t="shared" si="20"/>
        <v>0</v>
      </c>
      <c r="BH10" s="1675">
        <v>10396.91</v>
      </c>
      <c r="BI10" s="1115">
        <v>1316.94</v>
      </c>
      <c r="BJ10" s="1115">
        <v>2148.6799999999998</v>
      </c>
      <c r="BK10" s="1115">
        <v>0.02</v>
      </c>
      <c r="BL10" s="1676">
        <v>0</v>
      </c>
      <c r="BM10" s="1046">
        <f t="shared" si="21"/>
        <v>13862.550000000001</v>
      </c>
      <c r="BN10" s="1675"/>
      <c r="BO10" s="1115"/>
      <c r="BP10" s="1115"/>
      <c r="BQ10" s="1115"/>
      <c r="BR10" s="1676"/>
      <c r="BS10" s="1049">
        <f t="shared" si="22"/>
        <v>0</v>
      </c>
      <c r="BT10" s="1675">
        <v>6101.9717380889597</v>
      </c>
      <c r="BU10" s="1115">
        <v>29506.138261911041</v>
      </c>
      <c r="BV10" s="1115">
        <v>6531.66</v>
      </c>
      <c r="BW10" s="1115">
        <v>-0.06</v>
      </c>
      <c r="BX10" s="1676">
        <v>0</v>
      </c>
      <c r="BY10" s="1049">
        <f t="shared" si="23"/>
        <v>42139.710000000006</v>
      </c>
      <c r="BZ10" s="1677"/>
      <c r="CA10" s="1045"/>
      <c r="CB10" s="1045"/>
      <c r="CC10" s="1045"/>
      <c r="CD10" s="1678"/>
      <c r="CE10" s="1049">
        <f t="shared" si="24"/>
        <v>0</v>
      </c>
      <c r="CF10" s="1677"/>
      <c r="CG10" s="1045"/>
      <c r="CH10" s="1045"/>
      <c r="CI10" s="1045"/>
      <c r="CJ10" s="1045"/>
      <c r="CK10" s="1046">
        <f t="shared" si="25"/>
        <v>0</v>
      </c>
      <c r="CL10" s="1677"/>
      <c r="CM10" s="1045"/>
      <c r="CN10" s="1045"/>
      <c r="CO10" s="1045"/>
      <c r="CP10" s="1678"/>
      <c r="CQ10" s="1049">
        <f t="shared" si="26"/>
        <v>0</v>
      </c>
      <c r="CR10" s="1677"/>
      <c r="CS10" s="1045"/>
      <c r="CT10" s="1045"/>
      <c r="CU10" s="1045"/>
      <c r="CV10" s="1045"/>
      <c r="CW10" s="1046">
        <f t="shared" si="27"/>
        <v>0</v>
      </c>
      <c r="CX10" s="1675"/>
      <c r="CY10" s="1115"/>
      <c r="CZ10" s="1115"/>
      <c r="DA10" s="1115"/>
      <c r="DB10" s="1676"/>
      <c r="DC10" s="1049">
        <f t="shared" si="28"/>
        <v>0</v>
      </c>
      <c r="DD10" s="1675"/>
      <c r="DE10" s="1115"/>
      <c r="DF10" s="1115"/>
      <c r="DG10" s="1115"/>
      <c r="DH10" s="1115"/>
      <c r="DI10" s="1114">
        <f t="shared" si="29"/>
        <v>0</v>
      </c>
      <c r="DJ10" s="1115"/>
      <c r="DK10" s="1115"/>
      <c r="DL10" s="1115"/>
      <c r="DM10" s="1115"/>
      <c r="DN10" s="1115"/>
      <c r="DO10" s="1115">
        <f t="shared" si="30"/>
        <v>0</v>
      </c>
      <c r="DP10" s="1675">
        <v>2184.2199999999998</v>
      </c>
      <c r="DQ10" s="1115">
        <v>1507.1</v>
      </c>
      <c r="DR10" s="1115">
        <v>677.12</v>
      </c>
      <c r="DS10" s="1115">
        <v>0</v>
      </c>
      <c r="DT10" s="1676">
        <v>0</v>
      </c>
      <c r="DU10" s="1050">
        <f t="shared" si="31"/>
        <v>4368.4399999999996</v>
      </c>
      <c r="DV10" s="1677">
        <v>1107.07</v>
      </c>
      <c r="DW10" s="1045">
        <v>0</v>
      </c>
      <c r="DX10" s="1045">
        <v>203.06</v>
      </c>
      <c r="DY10" s="1045">
        <v>0.04</v>
      </c>
      <c r="DZ10" s="1678">
        <v>0</v>
      </c>
      <c r="EA10" s="1049">
        <f t="shared" si="32"/>
        <v>1310.1699999999998</v>
      </c>
    </row>
    <row r="11" spans="1:131" ht="15" customHeight="1" x14ac:dyDescent="0.25">
      <c r="A11" s="716" t="s">
        <v>24</v>
      </c>
      <c r="B11" s="810" t="s">
        <v>25</v>
      </c>
      <c r="C11" s="911" t="s">
        <v>267</v>
      </c>
      <c r="D11" s="808">
        <f t="shared" si="5"/>
        <v>340643.33837619046</v>
      </c>
      <c r="E11" s="808">
        <f t="shared" si="6"/>
        <v>61357.001623809556</v>
      </c>
      <c r="F11" s="808">
        <f t="shared" si="7"/>
        <v>116836.67</v>
      </c>
      <c r="G11" s="808">
        <f t="shared" si="8"/>
        <v>1144629.42</v>
      </c>
      <c r="H11" s="808">
        <f t="shared" si="9"/>
        <v>0</v>
      </c>
      <c r="I11" s="1391">
        <f t="shared" si="10"/>
        <v>1663466.43</v>
      </c>
      <c r="J11" s="809">
        <f t="shared" si="11"/>
        <v>1144629.42</v>
      </c>
      <c r="K11" s="1392">
        <f t="shared" si="12"/>
        <v>1261466.0899999999</v>
      </c>
      <c r="L11" s="1656"/>
      <c r="M11" s="1035"/>
      <c r="N11" s="1035"/>
      <c r="O11" s="1035"/>
      <c r="P11" s="1035"/>
      <c r="Q11" s="1036">
        <f t="shared" si="13"/>
        <v>0</v>
      </c>
      <c r="R11" s="1650"/>
      <c r="S11" s="1040"/>
      <c r="T11" s="1040"/>
      <c r="U11" s="1040"/>
      <c r="V11" s="1651"/>
      <c r="W11" s="1039">
        <f t="shared" si="14"/>
        <v>0</v>
      </c>
      <c r="X11" s="1664">
        <v>9110.69</v>
      </c>
      <c r="Y11" s="1665">
        <v>54.23</v>
      </c>
      <c r="Z11" s="1665">
        <v>1681.15</v>
      </c>
      <c r="AA11" s="1665">
        <v>0</v>
      </c>
      <c r="AB11" s="1666">
        <v>0</v>
      </c>
      <c r="AC11" s="1037">
        <f t="shared" si="15"/>
        <v>10846.07</v>
      </c>
      <c r="AD11" s="1675">
        <v>159607.65</v>
      </c>
      <c r="AE11" s="1115">
        <v>0</v>
      </c>
      <c r="AF11" s="1115">
        <v>39901.93</v>
      </c>
      <c r="AG11" s="1115">
        <v>1143407.08</v>
      </c>
      <c r="AH11" s="1676">
        <v>0</v>
      </c>
      <c r="AI11" s="1049">
        <f t="shared" si="16"/>
        <v>1342916.6600000001</v>
      </c>
      <c r="AJ11" s="1664">
        <v>10639.03</v>
      </c>
      <c r="AK11" s="1665">
        <v>4063.01</v>
      </c>
      <c r="AL11" s="1665">
        <v>2696.83</v>
      </c>
      <c r="AM11" s="1665">
        <v>-0.04</v>
      </c>
      <c r="AN11" s="1666">
        <v>0</v>
      </c>
      <c r="AO11" s="1041">
        <f t="shared" si="17"/>
        <v>17398.830000000002</v>
      </c>
      <c r="AP11" s="1686">
        <v>15155.22</v>
      </c>
      <c r="AQ11" s="1687">
        <v>3788.8</v>
      </c>
      <c r="AR11" s="1687">
        <v>0</v>
      </c>
      <c r="AS11" s="1687">
        <v>0</v>
      </c>
      <c r="AT11" s="1688">
        <v>0</v>
      </c>
      <c r="AU11" s="1043">
        <f t="shared" si="18"/>
        <v>18944.02</v>
      </c>
      <c r="AV11" s="1692">
        <v>14430.38</v>
      </c>
      <c r="AW11" s="1693">
        <v>3607.6</v>
      </c>
      <c r="AX11" s="1693">
        <v>0</v>
      </c>
      <c r="AY11" s="1693">
        <v>0</v>
      </c>
      <c r="AZ11" s="1694">
        <v>0</v>
      </c>
      <c r="BA11" s="1039">
        <f t="shared" si="19"/>
        <v>18037.98</v>
      </c>
      <c r="BB11" s="1675">
        <v>3956.89</v>
      </c>
      <c r="BC11" s="1115">
        <v>7145.49</v>
      </c>
      <c r="BD11" s="1115">
        <v>0</v>
      </c>
      <c r="BE11" s="1115">
        <v>0</v>
      </c>
      <c r="BF11" s="1676">
        <v>0</v>
      </c>
      <c r="BG11" s="1046">
        <f t="shared" si="20"/>
        <v>11102.38</v>
      </c>
      <c r="BH11" s="1675">
        <v>69380.27</v>
      </c>
      <c r="BI11" s="1115">
        <v>8788.18</v>
      </c>
      <c r="BJ11" s="1115">
        <v>14338.59</v>
      </c>
      <c r="BK11" s="1115">
        <v>837.79</v>
      </c>
      <c r="BL11" s="1676">
        <v>0</v>
      </c>
      <c r="BM11" s="1046">
        <f t="shared" si="21"/>
        <v>93344.83</v>
      </c>
      <c r="BN11" s="1675">
        <v>-1178</v>
      </c>
      <c r="BO11" s="1115">
        <v>-1178</v>
      </c>
      <c r="BP11" s="1115">
        <v>0</v>
      </c>
      <c r="BQ11" s="1115">
        <v>0</v>
      </c>
      <c r="BR11" s="1676">
        <v>0</v>
      </c>
      <c r="BS11" s="1049">
        <f t="shared" si="22"/>
        <v>-2356</v>
      </c>
      <c r="BT11" s="1675">
        <v>11650.198376190447</v>
      </c>
      <c r="BU11" s="1115">
        <v>28557.891623809555</v>
      </c>
      <c r="BV11" s="1115">
        <v>7375.49</v>
      </c>
      <c r="BW11" s="1115">
        <v>-0.1</v>
      </c>
      <c r="BX11" s="1676">
        <v>0</v>
      </c>
      <c r="BY11" s="1049">
        <f t="shared" si="23"/>
        <v>47583.48</v>
      </c>
      <c r="BZ11" s="1675">
        <v>29283.32</v>
      </c>
      <c r="CA11" s="1115">
        <v>0</v>
      </c>
      <c r="CB11" s="1115">
        <v>43560.79</v>
      </c>
      <c r="CC11" s="1115">
        <v>-0.01</v>
      </c>
      <c r="CD11" s="1676">
        <v>0</v>
      </c>
      <c r="CE11" s="1049">
        <f t="shared" si="24"/>
        <v>72844.100000000006</v>
      </c>
      <c r="CF11" s="1675">
        <v>509.2</v>
      </c>
      <c r="CG11" s="1115">
        <v>0</v>
      </c>
      <c r="CH11" s="1115">
        <v>1390.8</v>
      </c>
      <c r="CI11" s="1115">
        <v>0</v>
      </c>
      <c r="CJ11" s="1676">
        <v>0</v>
      </c>
      <c r="CK11" s="1046">
        <f t="shared" si="25"/>
        <v>1900</v>
      </c>
      <c r="CL11" s="1675">
        <v>-0.27</v>
      </c>
      <c r="CM11" s="1115">
        <v>0</v>
      </c>
      <c r="CN11" s="1115">
        <v>0</v>
      </c>
      <c r="CO11" s="1115">
        <v>0</v>
      </c>
      <c r="CP11" s="1676">
        <v>0</v>
      </c>
      <c r="CQ11" s="1049">
        <f t="shared" si="26"/>
        <v>-0.27</v>
      </c>
      <c r="CR11" s="1675">
        <v>-839.74</v>
      </c>
      <c r="CS11" s="1115">
        <v>-839.74</v>
      </c>
      <c r="CT11" s="1115">
        <v>0</v>
      </c>
      <c r="CU11" s="1115">
        <v>0.01</v>
      </c>
      <c r="CV11" s="1676">
        <v>0</v>
      </c>
      <c r="CW11" s="1046">
        <f t="shared" si="27"/>
        <v>-1679.47</v>
      </c>
      <c r="CX11" s="1675"/>
      <c r="CY11" s="1115"/>
      <c r="CZ11" s="1115"/>
      <c r="DA11" s="1115"/>
      <c r="DB11" s="1676"/>
      <c r="DC11" s="1049">
        <f t="shared" si="28"/>
        <v>0</v>
      </c>
      <c r="DD11" s="1675">
        <v>-5240</v>
      </c>
      <c r="DE11" s="1115">
        <v>0</v>
      </c>
      <c r="DF11" s="1115">
        <v>0</v>
      </c>
      <c r="DG11" s="1115">
        <v>0</v>
      </c>
      <c r="DH11" s="1115">
        <v>0</v>
      </c>
      <c r="DI11" s="1114">
        <f t="shared" si="29"/>
        <v>-5240</v>
      </c>
      <c r="DJ11" s="1115">
        <v>-283.94</v>
      </c>
      <c r="DK11" s="1115">
        <v>-283.94</v>
      </c>
      <c r="DL11" s="1115">
        <v>0</v>
      </c>
      <c r="DM11" s="1115">
        <v>0.01</v>
      </c>
      <c r="DN11" s="1115">
        <v>0</v>
      </c>
      <c r="DO11" s="1115">
        <f t="shared" si="30"/>
        <v>-567.87</v>
      </c>
      <c r="DP11" s="1675">
        <v>11092</v>
      </c>
      <c r="DQ11" s="1115">
        <v>7653.48</v>
      </c>
      <c r="DR11" s="1115">
        <v>3438.53</v>
      </c>
      <c r="DS11" s="1115">
        <v>-0.02</v>
      </c>
      <c r="DT11" s="1676">
        <v>0</v>
      </c>
      <c r="DU11" s="1050">
        <f t="shared" si="31"/>
        <v>22183.989999999998</v>
      </c>
      <c r="DV11" s="1675">
        <v>13370.44</v>
      </c>
      <c r="DW11" s="1115">
        <v>0</v>
      </c>
      <c r="DX11" s="1115">
        <v>2452.56</v>
      </c>
      <c r="DY11" s="1115">
        <v>384.7</v>
      </c>
      <c r="DZ11" s="1676">
        <v>0</v>
      </c>
      <c r="EA11" s="1049">
        <f t="shared" si="32"/>
        <v>16207.7</v>
      </c>
    </row>
    <row r="12" spans="1:131" ht="15" customHeight="1" x14ac:dyDescent="0.25">
      <c r="A12" s="716" t="s">
        <v>26</v>
      </c>
      <c r="B12" s="810" t="s">
        <v>686</v>
      </c>
      <c r="C12" s="911" t="s">
        <v>265</v>
      </c>
      <c r="D12" s="808">
        <f t="shared" si="5"/>
        <v>175086.80358770897</v>
      </c>
      <c r="E12" s="808">
        <f t="shared" si="6"/>
        <v>236348.46641229105</v>
      </c>
      <c r="F12" s="808">
        <f t="shared" si="7"/>
        <v>79535.740000000005</v>
      </c>
      <c r="G12" s="808">
        <f t="shared" si="8"/>
        <v>-0.35</v>
      </c>
      <c r="H12" s="808">
        <f t="shared" si="9"/>
        <v>0</v>
      </c>
      <c r="I12" s="1391">
        <f t="shared" si="10"/>
        <v>490970.66000000003</v>
      </c>
      <c r="J12" s="809">
        <f t="shared" si="11"/>
        <v>-0.35</v>
      </c>
      <c r="K12" s="1392">
        <f t="shared" si="12"/>
        <v>79535.39</v>
      </c>
      <c r="L12" s="1656"/>
      <c r="M12" s="1035"/>
      <c r="N12" s="1035"/>
      <c r="O12" s="1035"/>
      <c r="P12" s="1035"/>
      <c r="Q12" s="1036">
        <f t="shared" si="13"/>
        <v>0</v>
      </c>
      <c r="R12" s="1650"/>
      <c r="S12" s="1040"/>
      <c r="T12" s="1040"/>
      <c r="U12" s="1040"/>
      <c r="V12" s="1651"/>
      <c r="W12" s="1039">
        <f t="shared" si="14"/>
        <v>0</v>
      </c>
      <c r="X12" s="1664">
        <v>16395.02</v>
      </c>
      <c r="Y12" s="1665">
        <v>97.6</v>
      </c>
      <c r="Z12" s="1665">
        <v>3025.27</v>
      </c>
      <c r="AA12" s="1665">
        <v>0</v>
      </c>
      <c r="AB12" s="1666">
        <v>0</v>
      </c>
      <c r="AC12" s="1037">
        <f t="shared" si="15"/>
        <v>19517.89</v>
      </c>
      <c r="AD12" s="1675">
        <v>45222.6</v>
      </c>
      <c r="AE12" s="1115">
        <v>0</v>
      </c>
      <c r="AF12" s="1115">
        <v>11305.64</v>
      </c>
      <c r="AG12" s="1115">
        <v>0</v>
      </c>
      <c r="AH12" s="1676">
        <v>0</v>
      </c>
      <c r="AI12" s="1049">
        <f t="shared" si="16"/>
        <v>56528.24</v>
      </c>
      <c r="AJ12" s="1667"/>
      <c r="AK12" s="1038"/>
      <c r="AL12" s="1038"/>
      <c r="AM12" s="1038"/>
      <c r="AN12" s="1038"/>
      <c r="AO12" s="1041">
        <f t="shared" si="17"/>
        <v>0</v>
      </c>
      <c r="AP12" s="1686">
        <v>9415.18</v>
      </c>
      <c r="AQ12" s="1687">
        <v>2353.81</v>
      </c>
      <c r="AR12" s="1687">
        <v>0</v>
      </c>
      <c r="AS12" s="1687">
        <v>0</v>
      </c>
      <c r="AT12" s="1688">
        <v>0</v>
      </c>
      <c r="AU12" s="1043">
        <f t="shared" si="18"/>
        <v>11768.99</v>
      </c>
      <c r="AV12" s="1692">
        <v>13594.17</v>
      </c>
      <c r="AW12" s="1693">
        <v>3398.53</v>
      </c>
      <c r="AX12" s="1693">
        <v>0</v>
      </c>
      <c r="AY12" s="1693">
        <v>0</v>
      </c>
      <c r="AZ12" s="1694">
        <v>0</v>
      </c>
      <c r="BA12" s="1039">
        <f t="shared" si="19"/>
        <v>16992.7</v>
      </c>
      <c r="BB12" s="1675">
        <v>611.22</v>
      </c>
      <c r="BC12" s="1115">
        <v>1103.78</v>
      </c>
      <c r="BD12" s="1115">
        <v>0</v>
      </c>
      <c r="BE12" s="1115">
        <v>0</v>
      </c>
      <c r="BF12" s="1676">
        <v>0</v>
      </c>
      <c r="BG12" s="1046">
        <f t="shared" si="20"/>
        <v>1715</v>
      </c>
      <c r="BH12" s="1675">
        <v>32606.95</v>
      </c>
      <c r="BI12" s="1115">
        <v>4130.24</v>
      </c>
      <c r="BJ12" s="1115">
        <v>6738.79</v>
      </c>
      <c r="BK12" s="1115">
        <v>-0.1</v>
      </c>
      <c r="BL12" s="1676">
        <v>0</v>
      </c>
      <c r="BM12" s="1046">
        <f t="shared" si="21"/>
        <v>43475.880000000005</v>
      </c>
      <c r="BN12" s="1675">
        <v>-1627.73</v>
      </c>
      <c r="BO12" s="1115">
        <v>-1627.73</v>
      </c>
      <c r="BP12" s="1115">
        <v>0</v>
      </c>
      <c r="BQ12" s="1115">
        <v>0.01</v>
      </c>
      <c r="BR12" s="1676">
        <v>0</v>
      </c>
      <c r="BS12" s="1049">
        <f t="shared" si="22"/>
        <v>-3255.45</v>
      </c>
      <c r="BT12" s="1675">
        <v>42919.963587708975</v>
      </c>
      <c r="BU12" s="1115">
        <v>223725.32641229103</v>
      </c>
      <c r="BV12" s="1115">
        <v>48911.380000000005</v>
      </c>
      <c r="BW12" s="1115">
        <v>-0.35</v>
      </c>
      <c r="BX12" s="1676">
        <v>0</v>
      </c>
      <c r="BY12" s="1049">
        <f t="shared" si="23"/>
        <v>315556.32000000007</v>
      </c>
      <c r="BZ12" s="1675">
        <v>2708.09</v>
      </c>
      <c r="CA12" s="1115">
        <v>0</v>
      </c>
      <c r="CB12" s="1115">
        <v>4028.44</v>
      </c>
      <c r="CC12" s="1115">
        <v>0</v>
      </c>
      <c r="CD12" s="1676">
        <v>0</v>
      </c>
      <c r="CE12" s="1049">
        <f t="shared" si="24"/>
        <v>6736.5300000000007</v>
      </c>
      <c r="CF12" s="1677"/>
      <c r="CG12" s="1045"/>
      <c r="CH12" s="1045"/>
      <c r="CI12" s="1045"/>
      <c r="CJ12" s="1045"/>
      <c r="CK12" s="1046">
        <f t="shared" si="25"/>
        <v>0</v>
      </c>
      <c r="CL12" s="1675"/>
      <c r="CM12" s="1115"/>
      <c r="CN12" s="1115"/>
      <c r="CO12" s="1115"/>
      <c r="CP12" s="1676"/>
      <c r="CQ12" s="1049">
        <f t="shared" si="26"/>
        <v>0</v>
      </c>
      <c r="CR12" s="1677"/>
      <c r="CS12" s="1045"/>
      <c r="CT12" s="1045"/>
      <c r="CU12" s="1045"/>
      <c r="CV12" s="1045"/>
      <c r="CW12" s="1046">
        <f t="shared" si="27"/>
        <v>0</v>
      </c>
      <c r="CX12" s="1675">
        <v>-655</v>
      </c>
      <c r="CY12" s="1115">
        <v>-655</v>
      </c>
      <c r="CZ12" s="1115">
        <v>0</v>
      </c>
      <c r="DA12" s="1115">
        <v>0</v>
      </c>
      <c r="DB12" s="1676">
        <v>0</v>
      </c>
      <c r="DC12" s="1049">
        <f t="shared" si="28"/>
        <v>-1310</v>
      </c>
      <c r="DD12" s="1675">
        <v>-8466.9399999999987</v>
      </c>
      <c r="DE12" s="1115">
        <v>0</v>
      </c>
      <c r="DF12" s="1115">
        <v>0</v>
      </c>
      <c r="DG12" s="1115">
        <v>0</v>
      </c>
      <c r="DH12" s="1115">
        <v>0</v>
      </c>
      <c r="DI12" s="1114">
        <f t="shared" si="29"/>
        <v>-8466.9399999999987</v>
      </c>
      <c r="DJ12" s="1115">
        <v>-1970.96</v>
      </c>
      <c r="DK12" s="1115">
        <v>-1970.96</v>
      </c>
      <c r="DL12" s="1115">
        <v>0</v>
      </c>
      <c r="DM12" s="1115">
        <v>0</v>
      </c>
      <c r="DN12" s="1115">
        <v>0</v>
      </c>
      <c r="DO12" s="1115">
        <f t="shared" si="30"/>
        <v>-3941.92</v>
      </c>
      <c r="DP12" s="1675">
        <v>8395.4599999999991</v>
      </c>
      <c r="DQ12" s="1115">
        <v>5792.87</v>
      </c>
      <c r="DR12" s="1115">
        <v>2602.58</v>
      </c>
      <c r="DS12" s="1115">
        <v>0</v>
      </c>
      <c r="DT12" s="1676">
        <v>0</v>
      </c>
      <c r="DU12" s="1050">
        <f t="shared" si="31"/>
        <v>16790.909999999996</v>
      </c>
      <c r="DV12" s="1675">
        <v>15938.78</v>
      </c>
      <c r="DW12" s="1115">
        <v>0</v>
      </c>
      <c r="DX12" s="1115">
        <v>2923.64</v>
      </c>
      <c r="DY12" s="1115">
        <v>0.09</v>
      </c>
      <c r="DZ12" s="1676">
        <v>0</v>
      </c>
      <c r="EA12" s="1049">
        <f t="shared" si="32"/>
        <v>18862.510000000002</v>
      </c>
    </row>
    <row r="13" spans="1:131" ht="15" customHeight="1" x14ac:dyDescent="0.25">
      <c r="A13" s="716" t="s">
        <v>27</v>
      </c>
      <c r="B13" s="810" t="s">
        <v>28</v>
      </c>
      <c r="C13" s="911" t="s">
        <v>265</v>
      </c>
      <c r="D13" s="808">
        <f t="shared" si="5"/>
        <v>5090.22</v>
      </c>
      <c r="E13" s="808">
        <f t="shared" si="6"/>
        <v>467.31</v>
      </c>
      <c r="F13" s="808">
        <f t="shared" si="7"/>
        <v>1091.55</v>
      </c>
      <c r="G13" s="808">
        <f t="shared" si="8"/>
        <v>0.02</v>
      </c>
      <c r="H13" s="808">
        <f t="shared" si="9"/>
        <v>0</v>
      </c>
      <c r="I13" s="1391">
        <f t="shared" si="10"/>
        <v>6649.1000000000013</v>
      </c>
      <c r="J13" s="809">
        <f t="shared" si="11"/>
        <v>0.02</v>
      </c>
      <c r="K13" s="1392">
        <f t="shared" si="12"/>
        <v>1091.57</v>
      </c>
      <c r="L13" s="1656"/>
      <c r="M13" s="1035"/>
      <c r="N13" s="1035"/>
      <c r="O13" s="1035"/>
      <c r="P13" s="1035"/>
      <c r="Q13" s="1036">
        <f t="shared" si="13"/>
        <v>0</v>
      </c>
      <c r="R13" s="1650"/>
      <c r="S13" s="1040"/>
      <c r="T13" s="1040"/>
      <c r="U13" s="1040"/>
      <c r="V13" s="1651"/>
      <c r="W13" s="1039">
        <f t="shared" si="14"/>
        <v>0</v>
      </c>
      <c r="X13" s="1664">
        <v>302.85000000000002</v>
      </c>
      <c r="Y13" s="1665">
        <v>1.8</v>
      </c>
      <c r="Z13" s="1665">
        <v>55.88</v>
      </c>
      <c r="AA13" s="1665">
        <v>0.01</v>
      </c>
      <c r="AB13" s="1666">
        <v>0</v>
      </c>
      <c r="AC13" s="1037">
        <f t="shared" si="15"/>
        <v>360.54</v>
      </c>
      <c r="AD13" s="1675">
        <v>1392</v>
      </c>
      <c r="AE13" s="1115">
        <v>0</v>
      </c>
      <c r="AF13" s="1115">
        <v>348</v>
      </c>
      <c r="AG13" s="1115">
        <v>0</v>
      </c>
      <c r="AH13" s="1676">
        <v>0</v>
      </c>
      <c r="AI13" s="1049">
        <f t="shared" si="16"/>
        <v>1740</v>
      </c>
      <c r="AJ13" s="1667"/>
      <c r="AK13" s="1038"/>
      <c r="AL13" s="1038"/>
      <c r="AM13" s="1038"/>
      <c r="AN13" s="1038"/>
      <c r="AO13" s="1041">
        <f t="shared" si="17"/>
        <v>0</v>
      </c>
      <c r="AP13" s="1689"/>
      <c r="AQ13" s="1042"/>
      <c r="AR13" s="1042"/>
      <c r="AS13" s="1042"/>
      <c r="AT13" s="1042"/>
      <c r="AU13" s="1043">
        <f t="shared" si="18"/>
        <v>0</v>
      </c>
      <c r="AV13" s="1650"/>
      <c r="AW13" s="1040"/>
      <c r="AX13" s="1040"/>
      <c r="AY13" s="1040"/>
      <c r="AZ13" s="1651"/>
      <c r="BA13" s="1039">
        <f t="shared" si="19"/>
        <v>0</v>
      </c>
      <c r="BB13" s="1677">
        <v>39.9</v>
      </c>
      <c r="BC13" s="1045">
        <v>72.06</v>
      </c>
      <c r="BD13" s="1045">
        <v>0</v>
      </c>
      <c r="BE13" s="1045">
        <v>0</v>
      </c>
      <c r="BF13" s="1045">
        <v>0</v>
      </c>
      <c r="BG13" s="1046">
        <f t="shared" si="20"/>
        <v>111.96000000000001</v>
      </c>
      <c r="BH13" s="1675">
        <v>3106.2</v>
      </c>
      <c r="BI13" s="1115">
        <v>393.45</v>
      </c>
      <c r="BJ13" s="1115">
        <v>641.95000000000005</v>
      </c>
      <c r="BK13" s="1115">
        <v>0</v>
      </c>
      <c r="BL13" s="1676">
        <v>0</v>
      </c>
      <c r="BM13" s="1046">
        <f t="shared" si="21"/>
        <v>4141.5999999999995</v>
      </c>
      <c r="BN13" s="1675"/>
      <c r="BO13" s="1115"/>
      <c r="BP13" s="1115"/>
      <c r="BQ13" s="1115"/>
      <c r="BR13" s="1676"/>
      <c r="BS13" s="1049">
        <f t="shared" si="22"/>
        <v>0</v>
      </c>
      <c r="BT13" s="1675"/>
      <c r="BU13" s="1115"/>
      <c r="BV13" s="1115"/>
      <c r="BW13" s="1115"/>
      <c r="BX13" s="1676"/>
      <c r="BY13" s="1049">
        <f t="shared" si="23"/>
        <v>0</v>
      </c>
      <c r="BZ13" s="1677"/>
      <c r="CA13" s="1045"/>
      <c r="CB13" s="1045"/>
      <c r="CC13" s="1045"/>
      <c r="CD13" s="1678"/>
      <c r="CE13" s="1049">
        <f t="shared" si="24"/>
        <v>0</v>
      </c>
      <c r="CF13" s="1677"/>
      <c r="CG13" s="1045"/>
      <c r="CH13" s="1045"/>
      <c r="CI13" s="1045"/>
      <c r="CJ13" s="1045"/>
      <c r="CK13" s="1046">
        <f t="shared" si="25"/>
        <v>0</v>
      </c>
      <c r="CL13" s="1677"/>
      <c r="CM13" s="1045"/>
      <c r="CN13" s="1045"/>
      <c r="CO13" s="1045"/>
      <c r="CP13" s="1678"/>
      <c r="CQ13" s="1049">
        <f t="shared" si="26"/>
        <v>0</v>
      </c>
      <c r="CR13" s="1677"/>
      <c r="CS13" s="1045"/>
      <c r="CT13" s="1045"/>
      <c r="CU13" s="1045"/>
      <c r="CV13" s="1045"/>
      <c r="CW13" s="1046">
        <f t="shared" si="27"/>
        <v>0</v>
      </c>
      <c r="CX13" s="1675"/>
      <c r="CY13" s="1115"/>
      <c r="CZ13" s="1115"/>
      <c r="DA13" s="1115"/>
      <c r="DB13" s="1676"/>
      <c r="DC13" s="1049">
        <f t="shared" si="28"/>
        <v>0</v>
      </c>
      <c r="DD13" s="1675"/>
      <c r="DE13" s="1115"/>
      <c r="DF13" s="1115"/>
      <c r="DG13" s="1115"/>
      <c r="DH13" s="1115"/>
      <c r="DI13" s="1114">
        <f t="shared" si="29"/>
        <v>0</v>
      </c>
      <c r="DJ13" s="1115"/>
      <c r="DK13" s="1115"/>
      <c r="DL13" s="1115"/>
      <c r="DM13" s="1115"/>
      <c r="DN13" s="1115"/>
      <c r="DO13" s="1115">
        <f t="shared" si="30"/>
        <v>0</v>
      </c>
      <c r="DP13" s="1677"/>
      <c r="DQ13" s="1045"/>
      <c r="DR13" s="1045"/>
      <c r="DS13" s="1045"/>
      <c r="DT13" s="1045"/>
      <c r="DU13" s="1050">
        <f t="shared" si="31"/>
        <v>0</v>
      </c>
      <c r="DV13" s="1677">
        <v>249.27</v>
      </c>
      <c r="DW13" s="1045">
        <v>0</v>
      </c>
      <c r="DX13" s="1045">
        <v>45.72</v>
      </c>
      <c r="DY13" s="1045">
        <v>0.01</v>
      </c>
      <c r="DZ13" s="1678">
        <v>0</v>
      </c>
      <c r="EA13" s="1049">
        <f t="shared" si="32"/>
        <v>295</v>
      </c>
    </row>
    <row r="14" spans="1:131" ht="15" customHeight="1" x14ac:dyDescent="0.25">
      <c r="A14" s="716" t="s">
        <v>29</v>
      </c>
      <c r="B14" s="810" t="s">
        <v>924</v>
      </c>
      <c r="C14" s="911" t="s">
        <v>265</v>
      </c>
      <c r="D14" s="808">
        <f t="shared" si="5"/>
        <v>103975.16615571444</v>
      </c>
      <c r="E14" s="808">
        <f t="shared" si="6"/>
        <v>97523.273844285563</v>
      </c>
      <c r="F14" s="808">
        <f t="shared" si="7"/>
        <v>36591.510000000009</v>
      </c>
      <c r="G14" s="808">
        <f t="shared" si="8"/>
        <v>-0.09</v>
      </c>
      <c r="H14" s="808">
        <f t="shared" si="9"/>
        <v>0</v>
      </c>
      <c r="I14" s="1391">
        <f t="shared" si="10"/>
        <v>238089.86000000002</v>
      </c>
      <c r="J14" s="809">
        <f t="shared" si="11"/>
        <v>-0.09</v>
      </c>
      <c r="K14" s="1392">
        <f t="shared" si="12"/>
        <v>36591.420000000013</v>
      </c>
      <c r="L14" s="1656"/>
      <c r="M14" s="1035"/>
      <c r="N14" s="1035"/>
      <c r="O14" s="1035"/>
      <c r="P14" s="1035"/>
      <c r="Q14" s="1036">
        <f t="shared" si="13"/>
        <v>0</v>
      </c>
      <c r="R14" s="1650"/>
      <c r="S14" s="1040"/>
      <c r="T14" s="1040"/>
      <c r="U14" s="1040"/>
      <c r="V14" s="1651"/>
      <c r="W14" s="1039">
        <f t="shared" si="14"/>
        <v>0</v>
      </c>
      <c r="X14" s="1664">
        <v>6714.78</v>
      </c>
      <c r="Y14" s="1665">
        <v>39.96</v>
      </c>
      <c r="Z14" s="1665">
        <v>1239.04</v>
      </c>
      <c r="AA14" s="1665">
        <v>-0.01</v>
      </c>
      <c r="AB14" s="1666">
        <v>0</v>
      </c>
      <c r="AC14" s="1037">
        <f t="shared" si="15"/>
        <v>7993.7699999999995</v>
      </c>
      <c r="AD14" s="1675">
        <v>10369.719999999999</v>
      </c>
      <c r="AE14" s="1115">
        <v>0</v>
      </c>
      <c r="AF14" s="1115">
        <v>2592.5100000000002</v>
      </c>
      <c r="AG14" s="1115">
        <v>0</v>
      </c>
      <c r="AH14" s="1676">
        <v>0</v>
      </c>
      <c r="AI14" s="1049">
        <f t="shared" si="16"/>
        <v>12962.23</v>
      </c>
      <c r="AJ14" s="1667"/>
      <c r="AK14" s="1038"/>
      <c r="AL14" s="1038"/>
      <c r="AM14" s="1038"/>
      <c r="AN14" s="1038"/>
      <c r="AO14" s="1041">
        <f t="shared" si="17"/>
        <v>0</v>
      </c>
      <c r="AP14" s="1686">
        <v>1164.8399999999999</v>
      </c>
      <c r="AQ14" s="1687">
        <v>291.20999999999998</v>
      </c>
      <c r="AR14" s="1687">
        <v>0</v>
      </c>
      <c r="AS14" s="1687">
        <v>0</v>
      </c>
      <c r="AT14" s="1688">
        <v>0</v>
      </c>
      <c r="AU14" s="1043">
        <f t="shared" si="18"/>
        <v>1456.05</v>
      </c>
      <c r="AV14" s="1692">
        <v>5287.2</v>
      </c>
      <c r="AW14" s="1693">
        <v>1321.8</v>
      </c>
      <c r="AX14" s="1693">
        <v>0</v>
      </c>
      <c r="AY14" s="1693">
        <v>0</v>
      </c>
      <c r="AZ14" s="1694">
        <v>0</v>
      </c>
      <c r="BA14" s="1039">
        <f t="shared" si="19"/>
        <v>6609</v>
      </c>
      <c r="BB14" s="1675">
        <v>665.14</v>
      </c>
      <c r="BC14" s="1115">
        <v>1201.1300000000001</v>
      </c>
      <c r="BD14" s="1115">
        <v>0</v>
      </c>
      <c r="BE14" s="1115">
        <v>0</v>
      </c>
      <c r="BF14" s="1676">
        <v>0</v>
      </c>
      <c r="BG14" s="1046">
        <f t="shared" si="20"/>
        <v>1866.27</v>
      </c>
      <c r="BH14" s="1675">
        <v>28391.38</v>
      </c>
      <c r="BI14" s="1115">
        <v>3596.25</v>
      </c>
      <c r="BJ14" s="1115">
        <v>5867.56</v>
      </c>
      <c r="BK14" s="1115">
        <v>-0.03</v>
      </c>
      <c r="BL14" s="1676">
        <v>0</v>
      </c>
      <c r="BM14" s="1046">
        <f t="shared" si="21"/>
        <v>37855.160000000003</v>
      </c>
      <c r="BN14" s="1675"/>
      <c r="BO14" s="1115"/>
      <c r="BP14" s="1115"/>
      <c r="BQ14" s="1115"/>
      <c r="BR14" s="1676"/>
      <c r="BS14" s="1049">
        <f t="shared" si="22"/>
        <v>0</v>
      </c>
      <c r="BT14" s="1675">
        <v>41988.546155714437</v>
      </c>
      <c r="BU14" s="1115">
        <v>90090.283844285557</v>
      </c>
      <c r="BV14" s="1115">
        <v>24227.439999999999</v>
      </c>
      <c r="BW14" s="1115">
        <v>-0.08</v>
      </c>
      <c r="BX14" s="1676">
        <v>0</v>
      </c>
      <c r="BY14" s="1049">
        <f t="shared" si="23"/>
        <v>156306.19</v>
      </c>
      <c r="BZ14" s="1675"/>
      <c r="CA14" s="1115"/>
      <c r="CB14" s="1115"/>
      <c r="CC14" s="1115"/>
      <c r="CD14" s="1676"/>
      <c r="CE14" s="1049">
        <f t="shared" si="24"/>
        <v>0</v>
      </c>
      <c r="CF14" s="1677"/>
      <c r="CG14" s="1045"/>
      <c r="CH14" s="1045"/>
      <c r="CI14" s="1045"/>
      <c r="CJ14" s="1045"/>
      <c r="CK14" s="1046">
        <f t="shared" si="25"/>
        <v>0</v>
      </c>
      <c r="CL14" s="1675"/>
      <c r="CM14" s="1115"/>
      <c r="CN14" s="1115"/>
      <c r="CO14" s="1115"/>
      <c r="CP14" s="1676"/>
      <c r="CQ14" s="1049">
        <f t="shared" si="26"/>
        <v>0</v>
      </c>
      <c r="CR14" s="1675">
        <v>-37.11</v>
      </c>
      <c r="CS14" s="1115">
        <v>-37.11</v>
      </c>
      <c r="CT14" s="1115">
        <v>0</v>
      </c>
      <c r="CU14" s="1115">
        <v>0</v>
      </c>
      <c r="CV14" s="1676">
        <v>0</v>
      </c>
      <c r="CW14" s="1046">
        <f t="shared" si="27"/>
        <v>-74.22</v>
      </c>
      <c r="CX14" s="1675">
        <v>-818.51</v>
      </c>
      <c r="CY14" s="1115">
        <v>-818.51</v>
      </c>
      <c r="CZ14" s="1115">
        <v>0</v>
      </c>
      <c r="DA14" s="1115">
        <v>0.01</v>
      </c>
      <c r="DB14" s="1676">
        <v>0</v>
      </c>
      <c r="DC14" s="1049">
        <f t="shared" si="28"/>
        <v>-1637.01</v>
      </c>
      <c r="DD14" s="1675"/>
      <c r="DE14" s="1115"/>
      <c r="DF14" s="1115"/>
      <c r="DG14" s="1115"/>
      <c r="DH14" s="1115"/>
      <c r="DI14" s="1114">
        <f t="shared" si="29"/>
        <v>0</v>
      </c>
      <c r="DJ14" s="1115">
        <v>-1220.5</v>
      </c>
      <c r="DK14" s="1115">
        <v>-1220.5</v>
      </c>
      <c r="DL14" s="1115">
        <v>0</v>
      </c>
      <c r="DM14" s="1115">
        <v>0</v>
      </c>
      <c r="DN14" s="1115">
        <v>0</v>
      </c>
      <c r="DO14" s="1115">
        <f t="shared" si="30"/>
        <v>-2441</v>
      </c>
      <c r="DP14" s="1675">
        <v>4433.05</v>
      </c>
      <c r="DQ14" s="1115">
        <v>3058.76</v>
      </c>
      <c r="DR14" s="1115">
        <v>1374.23</v>
      </c>
      <c r="DS14" s="1115">
        <v>-0.04</v>
      </c>
      <c r="DT14" s="1676">
        <v>0</v>
      </c>
      <c r="DU14" s="1050">
        <f t="shared" si="31"/>
        <v>8866</v>
      </c>
      <c r="DV14" s="1675">
        <v>7036.63</v>
      </c>
      <c r="DW14" s="1115">
        <v>0</v>
      </c>
      <c r="DX14" s="1115">
        <v>1290.73</v>
      </c>
      <c r="DY14" s="1115">
        <v>0.06</v>
      </c>
      <c r="DZ14" s="1676">
        <v>0</v>
      </c>
      <c r="EA14" s="1049">
        <f t="shared" si="32"/>
        <v>8327.42</v>
      </c>
    </row>
    <row r="15" spans="1:131" ht="15" customHeight="1" x14ac:dyDescent="0.25">
      <c r="A15" s="716" t="s">
        <v>30</v>
      </c>
      <c r="B15" s="810" t="s">
        <v>31</v>
      </c>
      <c r="C15" s="911" t="s">
        <v>268</v>
      </c>
      <c r="D15" s="808">
        <f t="shared" si="5"/>
        <v>39317.492476178661</v>
      </c>
      <c r="E15" s="808">
        <f t="shared" si="6"/>
        <v>6849.4875238213335</v>
      </c>
      <c r="F15" s="808">
        <f t="shared" si="7"/>
        <v>10410.060000000001</v>
      </c>
      <c r="G15" s="808">
        <f t="shared" si="8"/>
        <v>-6.0000000000000005E-2</v>
      </c>
      <c r="H15" s="808">
        <f t="shared" si="9"/>
        <v>0</v>
      </c>
      <c r="I15" s="1391">
        <f t="shared" si="10"/>
        <v>56576.979999999996</v>
      </c>
      <c r="J15" s="809">
        <f t="shared" si="11"/>
        <v>-6.0000000000000005E-2</v>
      </c>
      <c r="K15" s="1392">
        <f t="shared" si="12"/>
        <v>10410.000000000002</v>
      </c>
      <c r="L15" s="1656"/>
      <c r="M15" s="1035"/>
      <c r="N15" s="1035"/>
      <c r="O15" s="1035"/>
      <c r="P15" s="1035"/>
      <c r="Q15" s="1036">
        <f t="shared" si="13"/>
        <v>0</v>
      </c>
      <c r="R15" s="1650"/>
      <c r="S15" s="1040"/>
      <c r="T15" s="1040"/>
      <c r="U15" s="1040"/>
      <c r="V15" s="1651"/>
      <c r="W15" s="1039">
        <f t="shared" si="14"/>
        <v>0</v>
      </c>
      <c r="X15" s="1667">
        <v>29.82</v>
      </c>
      <c r="Y15" s="1038">
        <v>0.18</v>
      </c>
      <c r="Z15" s="1038">
        <v>5.5</v>
      </c>
      <c r="AA15" s="1038">
        <v>0</v>
      </c>
      <c r="AB15" s="1668">
        <v>0</v>
      </c>
      <c r="AC15" s="1037">
        <f t="shared" si="15"/>
        <v>35.5</v>
      </c>
      <c r="AD15" s="1675">
        <v>28890.79</v>
      </c>
      <c r="AE15" s="1115">
        <v>0</v>
      </c>
      <c r="AF15" s="1115">
        <v>7222.71</v>
      </c>
      <c r="AG15" s="1115">
        <v>0</v>
      </c>
      <c r="AH15" s="1676">
        <v>0</v>
      </c>
      <c r="AI15" s="1049">
        <f t="shared" si="16"/>
        <v>36113.5</v>
      </c>
      <c r="AJ15" s="1667"/>
      <c r="AK15" s="1038"/>
      <c r="AL15" s="1038"/>
      <c r="AM15" s="1038"/>
      <c r="AN15" s="1038"/>
      <c r="AO15" s="1041">
        <f t="shared" si="17"/>
        <v>0</v>
      </c>
      <c r="AP15" s="1689"/>
      <c r="AQ15" s="1042"/>
      <c r="AR15" s="1042"/>
      <c r="AS15" s="1042"/>
      <c r="AT15" s="1042"/>
      <c r="AU15" s="1043">
        <f t="shared" si="18"/>
        <v>0</v>
      </c>
      <c r="AV15" s="1652"/>
      <c r="AW15" s="1113"/>
      <c r="AX15" s="1113"/>
      <c r="AY15" s="1113"/>
      <c r="AZ15" s="1653"/>
      <c r="BA15" s="1039">
        <f t="shared" si="19"/>
        <v>0</v>
      </c>
      <c r="BB15" s="1675"/>
      <c r="BC15" s="1115"/>
      <c r="BD15" s="1115"/>
      <c r="BE15" s="1115"/>
      <c r="BF15" s="1676"/>
      <c r="BG15" s="1046">
        <f t="shared" si="20"/>
        <v>0</v>
      </c>
      <c r="BH15" s="1675">
        <v>6652.92</v>
      </c>
      <c r="BI15" s="1115">
        <v>842.72</v>
      </c>
      <c r="BJ15" s="1115">
        <v>1374.96</v>
      </c>
      <c r="BK15" s="1115">
        <v>-7.0000000000000007E-2</v>
      </c>
      <c r="BL15" s="1676">
        <v>0</v>
      </c>
      <c r="BM15" s="1046">
        <f t="shared" si="21"/>
        <v>8870.5300000000007</v>
      </c>
      <c r="BN15" s="1677"/>
      <c r="BO15" s="1045"/>
      <c r="BP15" s="1045"/>
      <c r="BQ15" s="1045"/>
      <c r="BR15" s="1678"/>
      <c r="BS15" s="1049">
        <f t="shared" si="22"/>
        <v>0</v>
      </c>
      <c r="BT15" s="1675">
        <v>634.18247617866609</v>
      </c>
      <c r="BU15" s="1115">
        <v>3841.3375238213339</v>
      </c>
      <c r="BV15" s="1115">
        <v>820.95</v>
      </c>
      <c r="BW15" s="1115">
        <v>-0.02</v>
      </c>
      <c r="BX15" s="1676">
        <v>0</v>
      </c>
      <c r="BY15" s="1049">
        <f t="shared" si="23"/>
        <v>5296.45</v>
      </c>
      <c r="BZ15" s="1677"/>
      <c r="CA15" s="1045"/>
      <c r="CB15" s="1045"/>
      <c r="CC15" s="1045"/>
      <c r="CD15" s="1678"/>
      <c r="CE15" s="1049">
        <f t="shared" si="24"/>
        <v>0</v>
      </c>
      <c r="CF15" s="1677"/>
      <c r="CG15" s="1045"/>
      <c r="CH15" s="1045"/>
      <c r="CI15" s="1045"/>
      <c r="CJ15" s="1045"/>
      <c r="CK15" s="1046">
        <f t="shared" si="25"/>
        <v>0</v>
      </c>
      <c r="CL15" s="1677"/>
      <c r="CM15" s="1045"/>
      <c r="CN15" s="1045"/>
      <c r="CO15" s="1045"/>
      <c r="CP15" s="1678"/>
      <c r="CQ15" s="1049">
        <f t="shared" si="26"/>
        <v>0</v>
      </c>
      <c r="CR15" s="1677">
        <v>-50</v>
      </c>
      <c r="CS15" s="1045">
        <v>-50</v>
      </c>
      <c r="CT15" s="1045">
        <v>0</v>
      </c>
      <c r="CU15" s="1045">
        <v>0</v>
      </c>
      <c r="CV15" s="1045">
        <v>0</v>
      </c>
      <c r="CW15" s="1046">
        <f t="shared" si="27"/>
        <v>-100</v>
      </c>
      <c r="CX15" s="1675"/>
      <c r="CY15" s="1115"/>
      <c r="CZ15" s="1115"/>
      <c r="DA15" s="1115"/>
      <c r="DB15" s="1676"/>
      <c r="DC15" s="1049">
        <f t="shared" si="28"/>
        <v>0</v>
      </c>
      <c r="DD15" s="1675"/>
      <c r="DE15" s="1115"/>
      <c r="DF15" s="1115"/>
      <c r="DG15" s="1115"/>
      <c r="DH15" s="1115"/>
      <c r="DI15" s="1114">
        <f t="shared" si="29"/>
        <v>0</v>
      </c>
      <c r="DJ15" s="1115"/>
      <c r="DK15" s="1115"/>
      <c r="DL15" s="1115"/>
      <c r="DM15" s="1115"/>
      <c r="DN15" s="1115"/>
      <c r="DO15" s="1115">
        <f t="shared" si="30"/>
        <v>0</v>
      </c>
      <c r="DP15" s="1675">
        <v>3210.5</v>
      </c>
      <c r="DQ15" s="1115">
        <v>2215.25</v>
      </c>
      <c r="DR15" s="1115">
        <v>995.26</v>
      </c>
      <c r="DS15" s="1115">
        <v>-0.01</v>
      </c>
      <c r="DT15" s="1676">
        <v>0</v>
      </c>
      <c r="DU15" s="1050">
        <f t="shared" si="31"/>
        <v>6421</v>
      </c>
      <c r="DV15" s="1675">
        <v>-50.72</v>
      </c>
      <c r="DW15" s="1115">
        <v>0</v>
      </c>
      <c r="DX15" s="1115">
        <v>-9.32</v>
      </c>
      <c r="DY15" s="1115">
        <v>0.04</v>
      </c>
      <c r="DZ15" s="1676">
        <v>0</v>
      </c>
      <c r="EA15" s="1049">
        <f t="shared" si="32"/>
        <v>-60</v>
      </c>
    </row>
    <row r="16" spans="1:131" ht="15" customHeight="1" x14ac:dyDescent="0.25">
      <c r="A16" s="716" t="s">
        <v>32</v>
      </c>
      <c r="B16" s="810" t="s">
        <v>33</v>
      </c>
      <c r="C16" s="911" t="s">
        <v>265</v>
      </c>
      <c r="D16" s="808">
        <f t="shared" si="5"/>
        <v>36287.17182954961</v>
      </c>
      <c r="E16" s="808">
        <f t="shared" si="6"/>
        <v>4496.8781704503945</v>
      </c>
      <c r="F16" s="808">
        <f t="shared" si="7"/>
        <v>7874.5200000000013</v>
      </c>
      <c r="G16" s="808">
        <f t="shared" si="8"/>
        <v>-1.0000000000000002E-2</v>
      </c>
      <c r="H16" s="808">
        <f t="shared" si="9"/>
        <v>0</v>
      </c>
      <c r="I16" s="1391">
        <f t="shared" si="10"/>
        <v>48658.560000000005</v>
      </c>
      <c r="J16" s="809">
        <f t="shared" si="11"/>
        <v>-1.0000000000000002E-2</v>
      </c>
      <c r="K16" s="1392">
        <f t="shared" si="12"/>
        <v>7874.5100000000011</v>
      </c>
      <c r="L16" s="1656"/>
      <c r="M16" s="1035"/>
      <c r="N16" s="1035"/>
      <c r="O16" s="1035"/>
      <c r="P16" s="1035"/>
      <c r="Q16" s="1036">
        <f t="shared" si="13"/>
        <v>0</v>
      </c>
      <c r="R16" s="1650"/>
      <c r="S16" s="1040"/>
      <c r="T16" s="1040"/>
      <c r="U16" s="1040"/>
      <c r="V16" s="1651"/>
      <c r="W16" s="1039">
        <f t="shared" si="14"/>
        <v>0</v>
      </c>
      <c r="X16" s="1664">
        <v>2504.44</v>
      </c>
      <c r="Y16" s="1665">
        <v>14.91</v>
      </c>
      <c r="Z16" s="1665">
        <v>462.13</v>
      </c>
      <c r="AA16" s="1665">
        <v>-0.02</v>
      </c>
      <c r="AB16" s="1666">
        <v>0</v>
      </c>
      <c r="AC16" s="1037">
        <f t="shared" si="15"/>
        <v>2981.46</v>
      </c>
      <c r="AD16" s="1675">
        <v>12275.25</v>
      </c>
      <c r="AE16" s="1115">
        <v>0</v>
      </c>
      <c r="AF16" s="1115">
        <v>3068.81</v>
      </c>
      <c r="AG16" s="1115">
        <v>0</v>
      </c>
      <c r="AH16" s="1676">
        <v>0</v>
      </c>
      <c r="AI16" s="1049">
        <f t="shared" si="16"/>
        <v>15344.06</v>
      </c>
      <c r="AJ16" s="1667"/>
      <c r="AK16" s="1038"/>
      <c r="AL16" s="1038"/>
      <c r="AM16" s="1038"/>
      <c r="AN16" s="1038"/>
      <c r="AO16" s="1041">
        <f t="shared" si="17"/>
        <v>0</v>
      </c>
      <c r="AP16" s="1686"/>
      <c r="AQ16" s="1687"/>
      <c r="AR16" s="1687"/>
      <c r="AS16" s="1687"/>
      <c r="AT16" s="1688"/>
      <c r="AU16" s="1043">
        <f t="shared" si="18"/>
        <v>0</v>
      </c>
      <c r="AV16" s="1692">
        <v>1848</v>
      </c>
      <c r="AW16" s="1693">
        <v>462</v>
      </c>
      <c r="AX16" s="1693">
        <v>0</v>
      </c>
      <c r="AY16" s="1693">
        <v>0</v>
      </c>
      <c r="AZ16" s="1694">
        <v>0</v>
      </c>
      <c r="BA16" s="1039">
        <f t="shared" si="19"/>
        <v>2310</v>
      </c>
      <c r="BB16" s="1677"/>
      <c r="BC16" s="1045"/>
      <c r="BD16" s="1045"/>
      <c r="BE16" s="1045"/>
      <c r="BF16" s="1045"/>
      <c r="BG16" s="1046">
        <f t="shared" si="20"/>
        <v>0</v>
      </c>
      <c r="BH16" s="1675">
        <v>13500.01</v>
      </c>
      <c r="BI16" s="1115">
        <v>1709.99</v>
      </c>
      <c r="BJ16" s="1115">
        <v>2790.01</v>
      </c>
      <c r="BK16" s="1115">
        <v>-0.01</v>
      </c>
      <c r="BL16" s="1676">
        <v>0</v>
      </c>
      <c r="BM16" s="1046">
        <f t="shared" si="21"/>
        <v>18000.000000000004</v>
      </c>
      <c r="BN16" s="1675"/>
      <c r="BO16" s="1115"/>
      <c r="BP16" s="1115"/>
      <c r="BQ16" s="1115"/>
      <c r="BR16" s="1676"/>
      <c r="BS16" s="1049">
        <f t="shared" si="22"/>
        <v>0</v>
      </c>
      <c r="BT16" s="1675">
        <v>381.35182954960601</v>
      </c>
      <c r="BU16" s="1115">
        <v>2309.9781704503939</v>
      </c>
      <c r="BV16" s="1115">
        <v>493.68</v>
      </c>
      <c r="BW16" s="1115">
        <v>-0.01</v>
      </c>
      <c r="BX16" s="1676">
        <v>0</v>
      </c>
      <c r="BY16" s="1049">
        <f t="shared" si="23"/>
        <v>3184.9999999999995</v>
      </c>
      <c r="BZ16" s="1677"/>
      <c r="CA16" s="1045"/>
      <c r="CB16" s="1045"/>
      <c r="CC16" s="1045"/>
      <c r="CD16" s="1678"/>
      <c r="CE16" s="1049">
        <f t="shared" si="24"/>
        <v>0</v>
      </c>
      <c r="CF16" s="1677"/>
      <c r="CG16" s="1045"/>
      <c r="CH16" s="1045"/>
      <c r="CI16" s="1045"/>
      <c r="CJ16" s="1045"/>
      <c r="CK16" s="1046">
        <f t="shared" si="25"/>
        <v>0</v>
      </c>
      <c r="CL16" s="1675"/>
      <c r="CM16" s="1115"/>
      <c r="CN16" s="1115"/>
      <c r="CO16" s="1115"/>
      <c r="CP16" s="1676"/>
      <c r="CQ16" s="1049">
        <f t="shared" si="26"/>
        <v>0</v>
      </c>
      <c r="CR16" s="1675"/>
      <c r="CS16" s="1115"/>
      <c r="CT16" s="1115"/>
      <c r="CU16" s="1115"/>
      <c r="CV16" s="1676"/>
      <c r="CW16" s="1046">
        <f t="shared" si="27"/>
        <v>0</v>
      </c>
      <c r="CX16" s="1675"/>
      <c r="CY16" s="1115"/>
      <c r="CZ16" s="1115"/>
      <c r="DA16" s="1115"/>
      <c r="DB16" s="1676"/>
      <c r="DC16" s="1049">
        <f t="shared" si="28"/>
        <v>0</v>
      </c>
      <c r="DD16" s="1675"/>
      <c r="DE16" s="1115"/>
      <c r="DF16" s="1115"/>
      <c r="DG16" s="1115"/>
      <c r="DH16" s="1115"/>
      <c r="DI16" s="1114">
        <f t="shared" si="29"/>
        <v>0</v>
      </c>
      <c r="DJ16" s="1115"/>
      <c r="DK16" s="1115"/>
      <c r="DL16" s="1115"/>
      <c r="DM16" s="1115"/>
      <c r="DN16" s="1115"/>
      <c r="DO16" s="1115">
        <f t="shared" si="30"/>
        <v>0</v>
      </c>
      <c r="DP16" s="1677"/>
      <c r="DQ16" s="1045"/>
      <c r="DR16" s="1045"/>
      <c r="DS16" s="1045"/>
      <c r="DT16" s="1045"/>
      <c r="DU16" s="1050">
        <f t="shared" si="31"/>
        <v>0</v>
      </c>
      <c r="DV16" s="1675">
        <v>5778.12</v>
      </c>
      <c r="DW16" s="1115">
        <v>0</v>
      </c>
      <c r="DX16" s="1115">
        <v>1059.8900000000001</v>
      </c>
      <c r="DY16" s="1115">
        <v>0.03</v>
      </c>
      <c r="DZ16" s="1676">
        <v>0</v>
      </c>
      <c r="EA16" s="1049">
        <f t="shared" si="32"/>
        <v>6838.04</v>
      </c>
    </row>
    <row r="17" spans="1:131" ht="15" customHeight="1" x14ac:dyDescent="0.25">
      <c r="A17" s="716" t="s">
        <v>36</v>
      </c>
      <c r="B17" s="810" t="s">
        <v>37</v>
      </c>
      <c r="C17" s="911" t="s">
        <v>264</v>
      </c>
      <c r="D17" s="808">
        <f t="shared" si="5"/>
        <v>50718.743807976585</v>
      </c>
      <c r="E17" s="808">
        <f t="shared" si="6"/>
        <v>26679.266192023417</v>
      </c>
      <c r="F17" s="808">
        <f t="shared" si="7"/>
        <v>15408.279999999999</v>
      </c>
      <c r="G17" s="808">
        <f t="shared" si="8"/>
        <v>-0.09</v>
      </c>
      <c r="H17" s="808">
        <f t="shared" si="9"/>
        <v>0</v>
      </c>
      <c r="I17" s="1391">
        <f t="shared" si="10"/>
        <v>92806.200000000012</v>
      </c>
      <c r="J17" s="809">
        <f t="shared" si="11"/>
        <v>-0.09</v>
      </c>
      <c r="K17" s="1392">
        <f t="shared" si="12"/>
        <v>15408.189999999999</v>
      </c>
      <c r="L17" s="1656"/>
      <c r="M17" s="1035"/>
      <c r="N17" s="1035"/>
      <c r="O17" s="1035"/>
      <c r="P17" s="1035"/>
      <c r="Q17" s="1036">
        <f t="shared" si="13"/>
        <v>0</v>
      </c>
      <c r="R17" s="1650"/>
      <c r="S17" s="1040"/>
      <c r="T17" s="1040"/>
      <c r="U17" s="1040"/>
      <c r="V17" s="1651"/>
      <c r="W17" s="1039">
        <f t="shared" si="14"/>
        <v>0</v>
      </c>
      <c r="X17" s="1664">
        <v>1502.22</v>
      </c>
      <c r="Y17" s="1665">
        <v>8.94</v>
      </c>
      <c r="Z17" s="1665">
        <v>277.19</v>
      </c>
      <c r="AA17" s="1665">
        <v>0.01</v>
      </c>
      <c r="AB17" s="1666">
        <v>0</v>
      </c>
      <c r="AC17" s="1037">
        <f t="shared" si="15"/>
        <v>1788.3600000000001</v>
      </c>
      <c r="AD17" s="1675">
        <v>19542.14</v>
      </c>
      <c r="AE17" s="1115">
        <v>0</v>
      </c>
      <c r="AF17" s="1115">
        <v>4885.54</v>
      </c>
      <c r="AG17" s="1115">
        <v>0</v>
      </c>
      <c r="AH17" s="1676">
        <v>0</v>
      </c>
      <c r="AI17" s="1049">
        <f t="shared" si="16"/>
        <v>24427.68</v>
      </c>
      <c r="AJ17" s="1664">
        <v>3687.5</v>
      </c>
      <c r="AK17" s="1665">
        <v>2544.39</v>
      </c>
      <c r="AL17" s="1665">
        <v>1143.1400000000001</v>
      </c>
      <c r="AM17" s="1665">
        <v>-0.03</v>
      </c>
      <c r="AN17" s="1666">
        <v>0</v>
      </c>
      <c r="AO17" s="1041">
        <f t="shared" si="17"/>
        <v>7375</v>
      </c>
      <c r="AP17" s="1686"/>
      <c r="AQ17" s="1687"/>
      <c r="AR17" s="1687"/>
      <c r="AS17" s="1687"/>
      <c r="AT17" s="1688"/>
      <c r="AU17" s="1043">
        <f t="shared" si="18"/>
        <v>0</v>
      </c>
      <c r="AV17" s="1692">
        <v>392.03</v>
      </c>
      <c r="AW17" s="1693">
        <v>98</v>
      </c>
      <c r="AX17" s="1693">
        <v>0</v>
      </c>
      <c r="AY17" s="1693">
        <v>0</v>
      </c>
      <c r="AZ17" s="1694">
        <v>0</v>
      </c>
      <c r="BA17" s="1039">
        <f t="shared" si="19"/>
        <v>490.03</v>
      </c>
      <c r="BB17" s="1675"/>
      <c r="BC17" s="1115"/>
      <c r="BD17" s="1115"/>
      <c r="BE17" s="1115"/>
      <c r="BF17" s="1676"/>
      <c r="BG17" s="1046">
        <f t="shared" si="20"/>
        <v>0</v>
      </c>
      <c r="BH17" s="1675">
        <v>13500</v>
      </c>
      <c r="BI17" s="1115">
        <v>1710</v>
      </c>
      <c r="BJ17" s="1115">
        <v>2790</v>
      </c>
      <c r="BK17" s="1115">
        <v>0</v>
      </c>
      <c r="BL17" s="1676">
        <v>0</v>
      </c>
      <c r="BM17" s="1046">
        <f t="shared" si="21"/>
        <v>18000</v>
      </c>
      <c r="BN17" s="1675"/>
      <c r="BO17" s="1115"/>
      <c r="BP17" s="1115"/>
      <c r="BQ17" s="1115"/>
      <c r="BR17" s="1676"/>
      <c r="BS17" s="1049">
        <f t="shared" si="22"/>
        <v>0</v>
      </c>
      <c r="BT17" s="1675">
        <v>3378.0138079765857</v>
      </c>
      <c r="BU17" s="1115">
        <v>19762.156192023416</v>
      </c>
      <c r="BV17" s="1115">
        <v>4244.66</v>
      </c>
      <c r="BW17" s="1115">
        <v>-7.0000000000000007E-2</v>
      </c>
      <c r="BX17" s="1676">
        <v>0</v>
      </c>
      <c r="BY17" s="1049">
        <f t="shared" si="23"/>
        <v>27384.760000000002</v>
      </c>
      <c r="BZ17" s="1677"/>
      <c r="CA17" s="1045"/>
      <c r="CB17" s="1045"/>
      <c r="CC17" s="1045"/>
      <c r="CD17" s="1678"/>
      <c r="CE17" s="1049">
        <f t="shared" si="24"/>
        <v>0</v>
      </c>
      <c r="CF17" s="1677"/>
      <c r="CG17" s="1045"/>
      <c r="CH17" s="1045"/>
      <c r="CI17" s="1045"/>
      <c r="CJ17" s="1045"/>
      <c r="CK17" s="1046">
        <f t="shared" si="25"/>
        <v>0</v>
      </c>
      <c r="CL17" s="1677"/>
      <c r="CM17" s="1045"/>
      <c r="CN17" s="1045"/>
      <c r="CO17" s="1045"/>
      <c r="CP17" s="1678"/>
      <c r="CQ17" s="1049">
        <f t="shared" si="26"/>
        <v>0</v>
      </c>
      <c r="CR17" s="1677"/>
      <c r="CS17" s="1045"/>
      <c r="CT17" s="1045"/>
      <c r="CU17" s="1045"/>
      <c r="CV17" s="1045"/>
      <c r="CW17" s="1046">
        <f t="shared" si="27"/>
        <v>0</v>
      </c>
      <c r="CX17" s="1675"/>
      <c r="CY17" s="1115"/>
      <c r="CZ17" s="1115"/>
      <c r="DA17" s="1115"/>
      <c r="DB17" s="1676"/>
      <c r="DC17" s="1049">
        <f t="shared" si="28"/>
        <v>0</v>
      </c>
      <c r="DD17" s="1675"/>
      <c r="DE17" s="1115"/>
      <c r="DF17" s="1115"/>
      <c r="DG17" s="1115"/>
      <c r="DH17" s="1115"/>
      <c r="DI17" s="1114">
        <f t="shared" si="29"/>
        <v>0</v>
      </c>
      <c r="DJ17" s="1115"/>
      <c r="DK17" s="1115"/>
      <c r="DL17" s="1115"/>
      <c r="DM17" s="1115"/>
      <c r="DN17" s="1115"/>
      <c r="DO17" s="1115">
        <f t="shared" si="30"/>
        <v>0</v>
      </c>
      <c r="DP17" s="1675">
        <v>3704.02</v>
      </c>
      <c r="DQ17" s="1115">
        <v>2555.7800000000002</v>
      </c>
      <c r="DR17" s="1115">
        <v>1148.24</v>
      </c>
      <c r="DS17" s="1115">
        <v>0</v>
      </c>
      <c r="DT17" s="1676">
        <v>0</v>
      </c>
      <c r="DU17" s="1050">
        <f t="shared" si="31"/>
        <v>7408.04</v>
      </c>
      <c r="DV17" s="1675">
        <v>5012.82</v>
      </c>
      <c r="DW17" s="1115">
        <v>0</v>
      </c>
      <c r="DX17" s="1115">
        <v>919.51</v>
      </c>
      <c r="DY17" s="1115">
        <v>0</v>
      </c>
      <c r="DZ17" s="1676">
        <v>0</v>
      </c>
      <c r="EA17" s="1049">
        <f t="shared" si="32"/>
        <v>5932.33</v>
      </c>
    </row>
    <row r="18" spans="1:131" ht="15" customHeight="1" x14ac:dyDescent="0.25">
      <c r="A18" s="716" t="s">
        <v>38</v>
      </c>
      <c r="B18" s="810" t="s">
        <v>39</v>
      </c>
      <c r="C18" s="911" t="s">
        <v>268</v>
      </c>
      <c r="D18" s="808">
        <f t="shared" si="5"/>
        <v>116386.44057201463</v>
      </c>
      <c r="E18" s="808">
        <f t="shared" si="6"/>
        <v>19508.289427985368</v>
      </c>
      <c r="F18" s="808">
        <f t="shared" si="7"/>
        <v>29372.870000000003</v>
      </c>
      <c r="G18" s="808">
        <f t="shared" si="8"/>
        <v>-0.11000000000000001</v>
      </c>
      <c r="H18" s="808">
        <f t="shared" si="9"/>
        <v>0</v>
      </c>
      <c r="I18" s="1391">
        <f t="shared" si="10"/>
        <v>165267.49000000002</v>
      </c>
      <c r="J18" s="809">
        <f t="shared" si="11"/>
        <v>-0.11000000000000001</v>
      </c>
      <c r="K18" s="1392">
        <f t="shared" si="12"/>
        <v>29372.760000000002</v>
      </c>
      <c r="L18" s="1656"/>
      <c r="M18" s="1035"/>
      <c r="N18" s="1035"/>
      <c r="O18" s="1035"/>
      <c r="P18" s="1035"/>
      <c r="Q18" s="1036">
        <f t="shared" si="13"/>
        <v>0</v>
      </c>
      <c r="R18" s="1650"/>
      <c r="S18" s="1040"/>
      <c r="T18" s="1040"/>
      <c r="U18" s="1040"/>
      <c r="V18" s="1651"/>
      <c r="W18" s="1039">
        <f t="shared" si="14"/>
        <v>0</v>
      </c>
      <c r="X18" s="1664">
        <v>3396.51</v>
      </c>
      <c r="Y18" s="1665">
        <v>20.23</v>
      </c>
      <c r="Z18" s="1665">
        <v>626.75</v>
      </c>
      <c r="AA18" s="1665">
        <v>-0.02</v>
      </c>
      <c r="AB18" s="1666">
        <v>0</v>
      </c>
      <c r="AC18" s="1037">
        <f t="shared" si="15"/>
        <v>4043.4700000000003</v>
      </c>
      <c r="AD18" s="1675">
        <v>88710.65</v>
      </c>
      <c r="AE18" s="1115">
        <v>0</v>
      </c>
      <c r="AF18" s="1115">
        <v>22177.72</v>
      </c>
      <c r="AG18" s="1115">
        <v>0</v>
      </c>
      <c r="AH18" s="1676">
        <v>0</v>
      </c>
      <c r="AI18" s="1049">
        <f t="shared" si="16"/>
        <v>110888.37</v>
      </c>
      <c r="AJ18" s="1667"/>
      <c r="AK18" s="1038"/>
      <c r="AL18" s="1038"/>
      <c r="AM18" s="1038"/>
      <c r="AN18" s="1038"/>
      <c r="AO18" s="1041">
        <f t="shared" si="17"/>
        <v>0</v>
      </c>
      <c r="AP18" s="1686">
        <v>757.17</v>
      </c>
      <c r="AQ18" s="1687">
        <v>189.29</v>
      </c>
      <c r="AR18" s="1687">
        <v>0</v>
      </c>
      <c r="AS18" s="1687">
        <v>0</v>
      </c>
      <c r="AT18" s="1688">
        <v>0</v>
      </c>
      <c r="AU18" s="1043">
        <f t="shared" si="18"/>
        <v>946.45999999999992</v>
      </c>
      <c r="AV18" s="1692">
        <v>4736.5600000000004</v>
      </c>
      <c r="AW18" s="1693">
        <v>1184.1400000000001</v>
      </c>
      <c r="AX18" s="1693">
        <v>0</v>
      </c>
      <c r="AY18" s="1693">
        <v>0</v>
      </c>
      <c r="AZ18" s="1694">
        <v>0</v>
      </c>
      <c r="BA18" s="1039">
        <f t="shared" si="19"/>
        <v>5920.7000000000007</v>
      </c>
      <c r="BB18" s="1675">
        <v>389.19</v>
      </c>
      <c r="BC18" s="1115">
        <v>702.81</v>
      </c>
      <c r="BD18" s="1115">
        <v>0</v>
      </c>
      <c r="BE18" s="1115">
        <v>0</v>
      </c>
      <c r="BF18" s="1676">
        <v>0</v>
      </c>
      <c r="BG18" s="1046">
        <f t="shared" si="20"/>
        <v>1092</v>
      </c>
      <c r="BH18" s="1675">
        <v>7650.75</v>
      </c>
      <c r="BI18" s="1115">
        <v>969.12</v>
      </c>
      <c r="BJ18" s="1115">
        <v>1581.18</v>
      </c>
      <c r="BK18" s="1115">
        <v>-0.05</v>
      </c>
      <c r="BL18" s="1676">
        <v>0</v>
      </c>
      <c r="BM18" s="1046">
        <f t="shared" si="21"/>
        <v>10201.000000000002</v>
      </c>
      <c r="BN18" s="1675"/>
      <c r="BO18" s="1115"/>
      <c r="BP18" s="1115"/>
      <c r="BQ18" s="1115"/>
      <c r="BR18" s="1676"/>
      <c r="BS18" s="1049">
        <f t="shared" si="22"/>
        <v>0</v>
      </c>
      <c r="BT18" s="1675">
        <v>2927.1805720146313</v>
      </c>
      <c r="BU18" s="1115">
        <v>14165.699427985368</v>
      </c>
      <c r="BV18" s="1115">
        <v>3135.41</v>
      </c>
      <c r="BW18" s="1115">
        <v>-7.0000000000000007E-2</v>
      </c>
      <c r="BX18" s="1676">
        <v>0</v>
      </c>
      <c r="BY18" s="1049">
        <f t="shared" si="23"/>
        <v>20228.219999999998</v>
      </c>
      <c r="BZ18" s="1677"/>
      <c r="CA18" s="1045"/>
      <c r="CB18" s="1045"/>
      <c r="CC18" s="1045"/>
      <c r="CD18" s="1678"/>
      <c r="CE18" s="1049">
        <f t="shared" si="24"/>
        <v>0</v>
      </c>
      <c r="CF18" s="1677"/>
      <c r="CG18" s="1045"/>
      <c r="CH18" s="1045"/>
      <c r="CI18" s="1045"/>
      <c r="CJ18" s="1045"/>
      <c r="CK18" s="1046">
        <f t="shared" si="25"/>
        <v>0</v>
      </c>
      <c r="CL18" s="1675"/>
      <c r="CM18" s="1115"/>
      <c r="CN18" s="1115"/>
      <c r="CO18" s="1115"/>
      <c r="CP18" s="1676"/>
      <c r="CQ18" s="1049">
        <f t="shared" si="26"/>
        <v>0</v>
      </c>
      <c r="CR18" s="1677"/>
      <c r="CS18" s="1045"/>
      <c r="CT18" s="1045"/>
      <c r="CU18" s="1045"/>
      <c r="CV18" s="1045"/>
      <c r="CW18" s="1046">
        <f t="shared" si="27"/>
        <v>0</v>
      </c>
      <c r="CX18" s="1675"/>
      <c r="CY18" s="1115"/>
      <c r="CZ18" s="1115"/>
      <c r="DA18" s="1115"/>
      <c r="DB18" s="1676"/>
      <c r="DC18" s="1049">
        <f t="shared" si="28"/>
        <v>0</v>
      </c>
      <c r="DD18" s="1675"/>
      <c r="DE18" s="1115"/>
      <c r="DF18" s="1115"/>
      <c r="DG18" s="1115"/>
      <c r="DH18" s="1115"/>
      <c r="DI18" s="1114">
        <f t="shared" si="29"/>
        <v>0</v>
      </c>
      <c r="DJ18" s="1115"/>
      <c r="DK18" s="1115"/>
      <c r="DL18" s="1115"/>
      <c r="DM18" s="1115"/>
      <c r="DN18" s="1115"/>
      <c r="DO18" s="1115">
        <f t="shared" si="30"/>
        <v>0</v>
      </c>
      <c r="DP18" s="1675">
        <v>3300</v>
      </c>
      <c r="DQ18" s="1115">
        <v>2277</v>
      </c>
      <c r="DR18" s="1115">
        <v>1023</v>
      </c>
      <c r="DS18" s="1115">
        <v>0</v>
      </c>
      <c r="DT18" s="1676">
        <v>0</v>
      </c>
      <c r="DU18" s="1050">
        <f t="shared" si="31"/>
        <v>6600</v>
      </c>
      <c r="DV18" s="1675">
        <v>4518.43</v>
      </c>
      <c r="DW18" s="1115">
        <v>0</v>
      </c>
      <c r="DX18" s="1115">
        <v>828.81</v>
      </c>
      <c r="DY18" s="1115">
        <v>0.03</v>
      </c>
      <c r="DZ18" s="1676">
        <v>0</v>
      </c>
      <c r="EA18" s="1049">
        <f t="shared" si="32"/>
        <v>5347.2699999999995</v>
      </c>
    </row>
    <row r="19" spans="1:131" ht="15" customHeight="1" x14ac:dyDescent="0.25">
      <c r="A19" s="716" t="s">
        <v>40</v>
      </c>
      <c r="B19" s="810" t="s">
        <v>41</v>
      </c>
      <c r="C19" s="911" t="s">
        <v>266</v>
      </c>
      <c r="D19" s="808">
        <f t="shared" si="5"/>
        <v>32470.148148185657</v>
      </c>
      <c r="E19" s="808">
        <f t="shared" si="6"/>
        <v>28754.061851814346</v>
      </c>
      <c r="F19" s="808">
        <f t="shared" si="7"/>
        <v>12002.86</v>
      </c>
      <c r="G19" s="808">
        <f t="shared" si="8"/>
        <v>9.9999999999999985E-3</v>
      </c>
      <c r="H19" s="808">
        <f t="shared" si="9"/>
        <v>0</v>
      </c>
      <c r="I19" s="1391">
        <f t="shared" si="10"/>
        <v>73227.08</v>
      </c>
      <c r="J19" s="809">
        <f t="shared" si="11"/>
        <v>9.9999999999999985E-3</v>
      </c>
      <c r="K19" s="1392">
        <f t="shared" si="12"/>
        <v>12002.87</v>
      </c>
      <c r="L19" s="1656"/>
      <c r="M19" s="1035"/>
      <c r="N19" s="1035"/>
      <c r="O19" s="1035"/>
      <c r="P19" s="1035"/>
      <c r="Q19" s="1036">
        <f t="shared" si="13"/>
        <v>0</v>
      </c>
      <c r="R19" s="1650"/>
      <c r="S19" s="1040"/>
      <c r="T19" s="1040"/>
      <c r="U19" s="1040"/>
      <c r="V19" s="1651"/>
      <c r="W19" s="1039">
        <f t="shared" si="14"/>
        <v>0</v>
      </c>
      <c r="X19" s="1667">
        <v>314.56</v>
      </c>
      <c r="Y19" s="1038">
        <v>1.88</v>
      </c>
      <c r="Z19" s="1038">
        <v>58.05</v>
      </c>
      <c r="AA19" s="1038">
        <v>-0.01</v>
      </c>
      <c r="AB19" s="1668">
        <v>0</v>
      </c>
      <c r="AC19" s="1037">
        <f t="shared" si="15"/>
        <v>374.48</v>
      </c>
      <c r="AD19" s="1675">
        <v>16258.45</v>
      </c>
      <c r="AE19" s="1115">
        <v>0</v>
      </c>
      <c r="AF19" s="1115">
        <v>4064.65</v>
      </c>
      <c r="AG19" s="1115">
        <v>0</v>
      </c>
      <c r="AH19" s="1676">
        <v>0</v>
      </c>
      <c r="AI19" s="1049">
        <f t="shared" si="16"/>
        <v>20323.100000000002</v>
      </c>
      <c r="AJ19" s="1667"/>
      <c r="AK19" s="1038"/>
      <c r="AL19" s="1038"/>
      <c r="AM19" s="1038"/>
      <c r="AN19" s="1038"/>
      <c r="AO19" s="1041">
        <f t="shared" si="17"/>
        <v>0</v>
      </c>
      <c r="AP19" s="1689"/>
      <c r="AQ19" s="1042"/>
      <c r="AR19" s="1042"/>
      <c r="AS19" s="1042"/>
      <c r="AT19" s="1042"/>
      <c r="AU19" s="1043">
        <f t="shared" si="18"/>
        <v>0</v>
      </c>
      <c r="AV19" s="1692">
        <v>1315.29</v>
      </c>
      <c r="AW19" s="1693">
        <v>328.83</v>
      </c>
      <c r="AX19" s="1693">
        <v>0</v>
      </c>
      <c r="AY19" s="1693">
        <v>0</v>
      </c>
      <c r="AZ19" s="1694">
        <v>0</v>
      </c>
      <c r="BA19" s="1039">
        <f t="shared" si="19"/>
        <v>1644.12</v>
      </c>
      <c r="BB19" s="1677">
        <v>73.06</v>
      </c>
      <c r="BC19" s="1045">
        <v>131.94</v>
      </c>
      <c r="BD19" s="1045">
        <v>0</v>
      </c>
      <c r="BE19" s="1045">
        <v>0</v>
      </c>
      <c r="BF19" s="1045">
        <v>0</v>
      </c>
      <c r="BG19" s="1046">
        <f t="shared" si="20"/>
        <v>205</v>
      </c>
      <c r="BH19" s="1675">
        <v>7125</v>
      </c>
      <c r="BI19" s="1115">
        <v>902.5</v>
      </c>
      <c r="BJ19" s="1115">
        <v>1472.5</v>
      </c>
      <c r="BK19" s="1115">
        <v>0</v>
      </c>
      <c r="BL19" s="1676">
        <v>0</v>
      </c>
      <c r="BM19" s="1046">
        <f t="shared" si="21"/>
        <v>9500</v>
      </c>
      <c r="BN19" s="1675"/>
      <c r="BO19" s="1115"/>
      <c r="BP19" s="1115"/>
      <c r="BQ19" s="1115"/>
      <c r="BR19" s="1676"/>
      <c r="BS19" s="1049">
        <f t="shared" si="22"/>
        <v>0</v>
      </c>
      <c r="BT19" s="1675">
        <v>4155.6681481856558</v>
      </c>
      <c r="BU19" s="1115">
        <v>25171.641851814347</v>
      </c>
      <c r="BV19" s="1115">
        <v>5379.56</v>
      </c>
      <c r="BW19" s="1115">
        <v>-0.01</v>
      </c>
      <c r="BX19" s="1676">
        <v>0</v>
      </c>
      <c r="BY19" s="1049">
        <f t="shared" si="23"/>
        <v>34706.86</v>
      </c>
      <c r="BZ19" s="1677"/>
      <c r="CA19" s="1045"/>
      <c r="CB19" s="1045"/>
      <c r="CC19" s="1045"/>
      <c r="CD19" s="1678"/>
      <c r="CE19" s="1049">
        <f t="shared" si="24"/>
        <v>0</v>
      </c>
      <c r="CF19" s="1677"/>
      <c r="CG19" s="1045"/>
      <c r="CH19" s="1045"/>
      <c r="CI19" s="1045"/>
      <c r="CJ19" s="1045"/>
      <c r="CK19" s="1046">
        <f t="shared" si="25"/>
        <v>0</v>
      </c>
      <c r="CL19" s="1677"/>
      <c r="CM19" s="1045"/>
      <c r="CN19" s="1045"/>
      <c r="CO19" s="1045"/>
      <c r="CP19" s="1678"/>
      <c r="CQ19" s="1049">
        <f t="shared" si="26"/>
        <v>0</v>
      </c>
      <c r="CR19" s="1675"/>
      <c r="CS19" s="1115"/>
      <c r="CT19" s="1115"/>
      <c r="CU19" s="1115"/>
      <c r="CV19" s="1676"/>
      <c r="CW19" s="1046">
        <f t="shared" si="27"/>
        <v>0</v>
      </c>
      <c r="CX19" s="1675">
        <v>-79.739999999999995</v>
      </c>
      <c r="CY19" s="1115">
        <v>-79.739999999999995</v>
      </c>
      <c r="CZ19" s="1115">
        <v>0</v>
      </c>
      <c r="DA19" s="1115">
        <v>0</v>
      </c>
      <c r="DB19" s="1676">
        <v>0</v>
      </c>
      <c r="DC19" s="1049">
        <f t="shared" si="28"/>
        <v>-159.47999999999999</v>
      </c>
      <c r="DD19" s="1675"/>
      <c r="DE19" s="1115"/>
      <c r="DF19" s="1115"/>
      <c r="DG19" s="1115"/>
      <c r="DH19" s="1115"/>
      <c r="DI19" s="1114">
        <f t="shared" si="29"/>
        <v>0</v>
      </c>
      <c r="DJ19" s="1115"/>
      <c r="DK19" s="1115"/>
      <c r="DL19" s="1115"/>
      <c r="DM19" s="1115"/>
      <c r="DN19" s="1115"/>
      <c r="DO19" s="1115">
        <f t="shared" si="30"/>
        <v>0</v>
      </c>
      <c r="DP19" s="1675">
        <v>3329</v>
      </c>
      <c r="DQ19" s="1115">
        <v>2297.0100000000002</v>
      </c>
      <c r="DR19" s="1115">
        <v>1031.99</v>
      </c>
      <c r="DS19" s="1115">
        <v>0</v>
      </c>
      <c r="DT19" s="1676">
        <v>0</v>
      </c>
      <c r="DU19" s="1050">
        <f t="shared" si="31"/>
        <v>6658</v>
      </c>
      <c r="DV19" s="1677">
        <v>-21.14</v>
      </c>
      <c r="DW19" s="1045">
        <v>0</v>
      </c>
      <c r="DX19" s="1045">
        <v>-3.89</v>
      </c>
      <c r="DY19" s="1045">
        <v>0.03</v>
      </c>
      <c r="DZ19" s="1678">
        <v>0</v>
      </c>
      <c r="EA19" s="1049">
        <f t="shared" si="32"/>
        <v>-25</v>
      </c>
    </row>
    <row r="20" spans="1:131" ht="15" customHeight="1" x14ac:dyDescent="0.25">
      <c r="A20" s="716" t="s">
        <v>42</v>
      </c>
      <c r="B20" s="810" t="s">
        <v>43</v>
      </c>
      <c r="C20" s="911" t="s">
        <v>265</v>
      </c>
      <c r="D20" s="808">
        <f t="shared" si="5"/>
        <v>150860.65863127561</v>
      </c>
      <c r="E20" s="808">
        <f t="shared" si="6"/>
        <v>122206.8713687244</v>
      </c>
      <c r="F20" s="808">
        <f t="shared" si="7"/>
        <v>55322.18</v>
      </c>
      <c r="G20" s="808">
        <f t="shared" si="8"/>
        <v>-0.23</v>
      </c>
      <c r="H20" s="808">
        <f t="shared" si="9"/>
        <v>48414.37999999999</v>
      </c>
      <c r="I20" s="1391">
        <f t="shared" si="10"/>
        <v>376803.86000000004</v>
      </c>
      <c r="J20" s="809">
        <f t="shared" si="11"/>
        <v>48414.149999999987</v>
      </c>
      <c r="K20" s="1392">
        <f t="shared" si="12"/>
        <v>103736.32999999999</v>
      </c>
      <c r="L20" s="1656"/>
      <c r="M20" s="1035"/>
      <c r="N20" s="1035"/>
      <c r="O20" s="1035"/>
      <c r="P20" s="1035"/>
      <c r="Q20" s="1036">
        <f t="shared" si="13"/>
        <v>0</v>
      </c>
      <c r="R20" s="1652"/>
      <c r="S20" s="1113"/>
      <c r="T20" s="1113"/>
      <c r="U20" s="1113"/>
      <c r="V20" s="1653">
        <v>48392.34</v>
      </c>
      <c r="W20" s="1039">
        <f t="shared" si="14"/>
        <v>48392.34</v>
      </c>
      <c r="X20" s="1664">
        <v>5813.64</v>
      </c>
      <c r="Y20" s="1665">
        <v>34.619999999999997</v>
      </c>
      <c r="Z20" s="1665">
        <v>1072.77</v>
      </c>
      <c r="AA20" s="1665">
        <v>-0.03</v>
      </c>
      <c r="AB20" s="1666">
        <v>0</v>
      </c>
      <c r="AC20" s="1037">
        <f t="shared" si="15"/>
        <v>6921.0000000000009</v>
      </c>
      <c r="AD20" s="1675">
        <v>76400.03</v>
      </c>
      <c r="AE20" s="1115">
        <v>0</v>
      </c>
      <c r="AF20" s="1115">
        <v>19099.97</v>
      </c>
      <c r="AG20" s="1115">
        <v>0</v>
      </c>
      <c r="AH20" s="1676">
        <v>3.84</v>
      </c>
      <c r="AI20" s="1049">
        <f t="shared" si="16"/>
        <v>95503.84</v>
      </c>
      <c r="AJ20" s="1667"/>
      <c r="AK20" s="1038"/>
      <c r="AL20" s="1038"/>
      <c r="AM20" s="1038"/>
      <c r="AN20" s="1038"/>
      <c r="AO20" s="1041">
        <f t="shared" si="17"/>
        <v>0</v>
      </c>
      <c r="AP20" s="1686"/>
      <c r="AQ20" s="1687"/>
      <c r="AR20" s="1687"/>
      <c r="AS20" s="1687"/>
      <c r="AT20" s="1688"/>
      <c r="AU20" s="1043">
        <f t="shared" si="18"/>
        <v>0</v>
      </c>
      <c r="AV20" s="1692">
        <v>5551.21</v>
      </c>
      <c r="AW20" s="1693">
        <v>1387.79</v>
      </c>
      <c r="AX20" s="1693">
        <v>0</v>
      </c>
      <c r="AY20" s="1693">
        <v>0</v>
      </c>
      <c r="AZ20" s="1694">
        <v>0</v>
      </c>
      <c r="BA20" s="1039">
        <f t="shared" si="19"/>
        <v>6939</v>
      </c>
      <c r="BB20" s="1675">
        <v>979.38</v>
      </c>
      <c r="BC20" s="1115">
        <v>1768.62</v>
      </c>
      <c r="BD20" s="1115">
        <v>0</v>
      </c>
      <c r="BE20" s="1115">
        <v>0</v>
      </c>
      <c r="BF20" s="1676">
        <v>0</v>
      </c>
      <c r="BG20" s="1046">
        <f t="shared" si="20"/>
        <v>2748</v>
      </c>
      <c r="BH20" s="1675">
        <v>27806.28</v>
      </c>
      <c r="BI20" s="1115">
        <v>3522.15</v>
      </c>
      <c r="BJ20" s="1115">
        <v>5746.62</v>
      </c>
      <c r="BK20" s="1115">
        <v>-0.05</v>
      </c>
      <c r="BL20" s="1676">
        <v>0</v>
      </c>
      <c r="BM20" s="1046">
        <f t="shared" si="21"/>
        <v>37075</v>
      </c>
      <c r="BN20" s="1675"/>
      <c r="BO20" s="1115"/>
      <c r="BP20" s="1115"/>
      <c r="BQ20" s="1115"/>
      <c r="BR20" s="1676"/>
      <c r="BS20" s="1049">
        <f t="shared" si="22"/>
        <v>0</v>
      </c>
      <c r="BT20" s="1675">
        <v>18468.178631275594</v>
      </c>
      <c r="BU20" s="1115">
        <v>111698.71136872441</v>
      </c>
      <c r="BV20" s="1115">
        <v>23876.78</v>
      </c>
      <c r="BW20" s="1115">
        <v>-0.18</v>
      </c>
      <c r="BX20" s="1676">
        <v>0</v>
      </c>
      <c r="BY20" s="1049">
        <f t="shared" si="23"/>
        <v>154043.49000000002</v>
      </c>
      <c r="BZ20" s="1675">
        <v>1475.34</v>
      </c>
      <c r="CA20" s="1115">
        <v>0</v>
      </c>
      <c r="CB20" s="1115">
        <v>2194.65</v>
      </c>
      <c r="CC20" s="1115">
        <v>0</v>
      </c>
      <c r="CD20" s="1676">
        <v>0</v>
      </c>
      <c r="CE20" s="1049">
        <f t="shared" si="24"/>
        <v>3669.99</v>
      </c>
      <c r="CF20" s="1677"/>
      <c r="CG20" s="1045"/>
      <c r="CH20" s="1045"/>
      <c r="CI20" s="1045"/>
      <c r="CJ20" s="1045"/>
      <c r="CK20" s="1046">
        <f t="shared" si="25"/>
        <v>0</v>
      </c>
      <c r="CL20" s="1675"/>
      <c r="CM20" s="1115"/>
      <c r="CN20" s="1115"/>
      <c r="CO20" s="1115"/>
      <c r="CP20" s="1676"/>
      <c r="CQ20" s="1049">
        <f t="shared" si="26"/>
        <v>0</v>
      </c>
      <c r="CR20" s="1675"/>
      <c r="CS20" s="1115"/>
      <c r="CT20" s="1115"/>
      <c r="CU20" s="1115"/>
      <c r="CV20" s="1676"/>
      <c r="CW20" s="1046">
        <f t="shared" si="27"/>
        <v>0</v>
      </c>
      <c r="CX20" s="1675"/>
      <c r="CY20" s="1115"/>
      <c r="CZ20" s="1115"/>
      <c r="DA20" s="1115"/>
      <c r="DB20" s="1676"/>
      <c r="DC20" s="1049">
        <f t="shared" si="28"/>
        <v>0</v>
      </c>
      <c r="DD20" s="1675"/>
      <c r="DE20" s="1115"/>
      <c r="DF20" s="1115"/>
      <c r="DG20" s="1115"/>
      <c r="DH20" s="1115"/>
      <c r="DI20" s="1114">
        <f t="shared" si="29"/>
        <v>0</v>
      </c>
      <c r="DJ20" s="1115"/>
      <c r="DK20" s="1115"/>
      <c r="DL20" s="1115"/>
      <c r="DM20" s="1115"/>
      <c r="DN20" s="1115"/>
      <c r="DO20" s="1115">
        <f t="shared" si="30"/>
        <v>0</v>
      </c>
      <c r="DP20" s="1675">
        <v>5500.03</v>
      </c>
      <c r="DQ20" s="1115">
        <v>3794.98</v>
      </c>
      <c r="DR20" s="1115">
        <v>1704.99</v>
      </c>
      <c r="DS20" s="1115">
        <v>0</v>
      </c>
      <c r="DT20" s="1676">
        <v>0</v>
      </c>
      <c r="DU20" s="1050">
        <f t="shared" si="31"/>
        <v>11000</v>
      </c>
      <c r="DV20" s="1675">
        <v>8866.57</v>
      </c>
      <c r="DW20" s="1115">
        <v>0</v>
      </c>
      <c r="DX20" s="1115">
        <v>1626.4</v>
      </c>
      <c r="DY20" s="1115">
        <v>0.03</v>
      </c>
      <c r="DZ20" s="1676">
        <v>18.2</v>
      </c>
      <c r="EA20" s="1049">
        <f t="shared" si="32"/>
        <v>10511.2</v>
      </c>
    </row>
    <row r="21" spans="1:131" ht="15" customHeight="1" x14ac:dyDescent="0.25">
      <c r="A21" s="716" t="s">
        <v>44</v>
      </c>
      <c r="B21" s="810" t="s">
        <v>45</v>
      </c>
      <c r="C21" s="911" t="s">
        <v>266</v>
      </c>
      <c r="D21" s="808">
        <f t="shared" si="5"/>
        <v>49103.861122106238</v>
      </c>
      <c r="E21" s="808">
        <f t="shared" si="6"/>
        <v>68371.988877893775</v>
      </c>
      <c r="F21" s="808">
        <f t="shared" si="7"/>
        <v>21668.23</v>
      </c>
      <c r="G21" s="808">
        <f t="shared" si="8"/>
        <v>-7.9999999999999988E-2</v>
      </c>
      <c r="H21" s="808">
        <f t="shared" si="9"/>
        <v>0</v>
      </c>
      <c r="I21" s="1391">
        <f t="shared" si="10"/>
        <v>139144.00000000003</v>
      </c>
      <c r="J21" s="809">
        <f t="shared" si="11"/>
        <v>-7.9999999999999988E-2</v>
      </c>
      <c r="K21" s="1392">
        <f t="shared" si="12"/>
        <v>21668.149999999998</v>
      </c>
      <c r="L21" s="1656"/>
      <c r="M21" s="1035"/>
      <c r="N21" s="1035"/>
      <c r="O21" s="1035"/>
      <c r="P21" s="1035"/>
      <c r="Q21" s="1036">
        <f t="shared" si="13"/>
        <v>0</v>
      </c>
      <c r="R21" s="1650"/>
      <c r="S21" s="1040"/>
      <c r="T21" s="1040"/>
      <c r="U21" s="1040"/>
      <c r="V21" s="1651"/>
      <c r="W21" s="1039">
        <f t="shared" si="14"/>
        <v>0</v>
      </c>
      <c r="X21" s="1664">
        <v>2410.92</v>
      </c>
      <c r="Y21" s="1665">
        <v>14.35</v>
      </c>
      <c r="Z21" s="1665">
        <v>444.88</v>
      </c>
      <c r="AA21" s="1665">
        <v>-0.01</v>
      </c>
      <c r="AB21" s="1666">
        <v>0</v>
      </c>
      <c r="AC21" s="1037">
        <f t="shared" si="15"/>
        <v>2870.14</v>
      </c>
      <c r="AD21" s="1675">
        <v>10354.34</v>
      </c>
      <c r="AE21" s="1115">
        <v>0</v>
      </c>
      <c r="AF21" s="1115">
        <v>2588.61</v>
      </c>
      <c r="AG21" s="1115">
        <v>0</v>
      </c>
      <c r="AH21" s="1676">
        <v>0</v>
      </c>
      <c r="AI21" s="1049">
        <f t="shared" si="16"/>
        <v>12942.95</v>
      </c>
      <c r="AJ21" s="1667"/>
      <c r="AK21" s="1038"/>
      <c r="AL21" s="1038"/>
      <c r="AM21" s="1038"/>
      <c r="AN21" s="1038"/>
      <c r="AO21" s="1041">
        <f t="shared" si="17"/>
        <v>0</v>
      </c>
      <c r="AP21" s="1686">
        <v>495.96</v>
      </c>
      <c r="AQ21" s="1687">
        <v>123.99</v>
      </c>
      <c r="AR21" s="1687">
        <v>0</v>
      </c>
      <c r="AS21" s="1687">
        <v>0</v>
      </c>
      <c r="AT21" s="1688">
        <v>0</v>
      </c>
      <c r="AU21" s="1043">
        <f t="shared" si="18"/>
        <v>619.94999999999993</v>
      </c>
      <c r="AV21" s="1692">
        <v>1989.63</v>
      </c>
      <c r="AW21" s="1693">
        <v>497.41</v>
      </c>
      <c r="AX21" s="1693">
        <v>0</v>
      </c>
      <c r="AY21" s="1693">
        <v>0</v>
      </c>
      <c r="AZ21" s="1694">
        <v>0</v>
      </c>
      <c r="BA21" s="1039">
        <f t="shared" si="19"/>
        <v>2487.04</v>
      </c>
      <c r="BB21" s="1677"/>
      <c r="BC21" s="1045"/>
      <c r="BD21" s="1045"/>
      <c r="BE21" s="1045"/>
      <c r="BF21" s="1045"/>
      <c r="BG21" s="1046">
        <f t="shared" si="20"/>
        <v>0</v>
      </c>
      <c r="BH21" s="1675">
        <v>11725.01</v>
      </c>
      <c r="BI21" s="1115">
        <v>1485.16</v>
      </c>
      <c r="BJ21" s="1115">
        <v>2423.17</v>
      </c>
      <c r="BK21" s="1115">
        <v>0</v>
      </c>
      <c r="BL21" s="1676">
        <v>0</v>
      </c>
      <c r="BM21" s="1046">
        <f t="shared" si="21"/>
        <v>15633.34</v>
      </c>
      <c r="BN21" s="1675"/>
      <c r="BO21" s="1115"/>
      <c r="BP21" s="1115"/>
      <c r="BQ21" s="1115"/>
      <c r="BR21" s="1676"/>
      <c r="BS21" s="1049">
        <f t="shared" si="22"/>
        <v>0</v>
      </c>
      <c r="BT21" s="1675">
        <v>12218.291122106235</v>
      </c>
      <c r="BU21" s="1115">
        <v>61981.698877893767</v>
      </c>
      <c r="BV21" s="1115">
        <v>13610.68</v>
      </c>
      <c r="BW21" s="1115">
        <v>-0.09</v>
      </c>
      <c r="BX21" s="1676">
        <v>0</v>
      </c>
      <c r="BY21" s="1049">
        <f t="shared" si="23"/>
        <v>87810.580000000016</v>
      </c>
      <c r="BZ21" s="1677"/>
      <c r="CA21" s="1045"/>
      <c r="CB21" s="1045"/>
      <c r="CC21" s="1045"/>
      <c r="CD21" s="1678"/>
      <c r="CE21" s="1049">
        <f t="shared" si="24"/>
        <v>0</v>
      </c>
      <c r="CF21" s="1677"/>
      <c r="CG21" s="1045"/>
      <c r="CH21" s="1045"/>
      <c r="CI21" s="1045"/>
      <c r="CJ21" s="1045"/>
      <c r="CK21" s="1046">
        <f t="shared" si="25"/>
        <v>0</v>
      </c>
      <c r="CL21" s="1675"/>
      <c r="CM21" s="1115"/>
      <c r="CN21" s="1115"/>
      <c r="CO21" s="1115"/>
      <c r="CP21" s="1676"/>
      <c r="CQ21" s="1049">
        <f t="shared" si="26"/>
        <v>0</v>
      </c>
      <c r="CR21" s="1677"/>
      <c r="CS21" s="1045"/>
      <c r="CT21" s="1045"/>
      <c r="CU21" s="1045"/>
      <c r="CV21" s="1045"/>
      <c r="CW21" s="1046">
        <f t="shared" si="27"/>
        <v>0</v>
      </c>
      <c r="CX21" s="1675"/>
      <c r="CY21" s="1115"/>
      <c r="CZ21" s="1115"/>
      <c r="DA21" s="1115"/>
      <c r="DB21" s="1676"/>
      <c r="DC21" s="1049">
        <f t="shared" si="28"/>
        <v>0</v>
      </c>
      <c r="DD21" s="1675"/>
      <c r="DE21" s="1115"/>
      <c r="DF21" s="1115"/>
      <c r="DG21" s="1115"/>
      <c r="DH21" s="1115"/>
      <c r="DI21" s="1114">
        <f t="shared" si="29"/>
        <v>0</v>
      </c>
      <c r="DJ21" s="1115"/>
      <c r="DK21" s="1115"/>
      <c r="DL21" s="1115"/>
      <c r="DM21" s="1115"/>
      <c r="DN21" s="1115"/>
      <c r="DO21" s="1115">
        <f t="shared" si="30"/>
        <v>0</v>
      </c>
      <c r="DP21" s="1675">
        <v>6187.5</v>
      </c>
      <c r="DQ21" s="1115">
        <v>4269.38</v>
      </c>
      <c r="DR21" s="1115">
        <v>1918.13</v>
      </c>
      <c r="DS21" s="1115">
        <v>-0.01</v>
      </c>
      <c r="DT21" s="1676">
        <v>0</v>
      </c>
      <c r="DU21" s="1050">
        <f t="shared" si="31"/>
        <v>12375.000000000002</v>
      </c>
      <c r="DV21" s="1675">
        <v>3722.21</v>
      </c>
      <c r="DW21" s="1115">
        <v>0</v>
      </c>
      <c r="DX21" s="1115">
        <v>682.76</v>
      </c>
      <c r="DY21" s="1115">
        <v>0.03</v>
      </c>
      <c r="DZ21" s="1676">
        <v>0</v>
      </c>
      <c r="EA21" s="1049">
        <f t="shared" si="32"/>
        <v>4405</v>
      </c>
    </row>
    <row r="22" spans="1:131" ht="15" customHeight="1" x14ac:dyDescent="0.25">
      <c r="A22" s="716" t="s">
        <v>46</v>
      </c>
      <c r="B22" s="810" t="s">
        <v>47</v>
      </c>
      <c r="C22" s="911" t="s">
        <v>268</v>
      </c>
      <c r="D22" s="808">
        <f t="shared" si="5"/>
        <v>60146.762352126381</v>
      </c>
      <c r="E22" s="808">
        <f t="shared" si="6"/>
        <v>66415.167647873634</v>
      </c>
      <c r="F22" s="808">
        <f t="shared" si="7"/>
        <v>24566.120000000003</v>
      </c>
      <c r="G22" s="808">
        <f t="shared" si="8"/>
        <v>-0.15</v>
      </c>
      <c r="H22" s="808">
        <f t="shared" si="9"/>
        <v>0</v>
      </c>
      <c r="I22" s="1391">
        <f t="shared" si="10"/>
        <v>151127.90000000002</v>
      </c>
      <c r="J22" s="809">
        <f t="shared" si="11"/>
        <v>-0.15</v>
      </c>
      <c r="K22" s="1392">
        <f t="shared" si="12"/>
        <v>24565.97</v>
      </c>
      <c r="L22" s="1656"/>
      <c r="M22" s="1035"/>
      <c r="N22" s="1035"/>
      <c r="O22" s="1035"/>
      <c r="P22" s="1035"/>
      <c r="Q22" s="1036">
        <f t="shared" si="13"/>
        <v>0</v>
      </c>
      <c r="R22" s="1650"/>
      <c r="S22" s="1040"/>
      <c r="T22" s="1040"/>
      <c r="U22" s="1040"/>
      <c r="V22" s="1651"/>
      <c r="W22" s="1039">
        <f t="shared" si="14"/>
        <v>0</v>
      </c>
      <c r="X22" s="1664">
        <v>4576.42</v>
      </c>
      <c r="Y22" s="1665">
        <v>27.25</v>
      </c>
      <c r="Z22" s="1665">
        <v>844.46</v>
      </c>
      <c r="AA22" s="1665">
        <v>-0.03</v>
      </c>
      <c r="AB22" s="1666">
        <v>0</v>
      </c>
      <c r="AC22" s="1037">
        <f t="shared" si="15"/>
        <v>5448.1</v>
      </c>
      <c r="AD22" s="1675">
        <v>22817.81</v>
      </c>
      <c r="AE22" s="1115">
        <v>0</v>
      </c>
      <c r="AF22" s="1115">
        <v>5704.46</v>
      </c>
      <c r="AG22" s="1115">
        <v>0</v>
      </c>
      <c r="AH22" s="1676">
        <v>0</v>
      </c>
      <c r="AI22" s="1049">
        <f t="shared" si="16"/>
        <v>28522.27</v>
      </c>
      <c r="AJ22" s="1667"/>
      <c r="AK22" s="1038"/>
      <c r="AL22" s="1038"/>
      <c r="AM22" s="1038"/>
      <c r="AN22" s="1038"/>
      <c r="AO22" s="1041">
        <f t="shared" si="17"/>
        <v>0</v>
      </c>
      <c r="AP22" s="1686">
        <v>691.13</v>
      </c>
      <c r="AQ22" s="1687">
        <v>172.78</v>
      </c>
      <c r="AR22" s="1687">
        <v>0</v>
      </c>
      <c r="AS22" s="1687">
        <v>0</v>
      </c>
      <c r="AT22" s="1688">
        <v>0</v>
      </c>
      <c r="AU22" s="1043">
        <f t="shared" si="18"/>
        <v>863.91</v>
      </c>
      <c r="AV22" s="1692">
        <v>3811.95</v>
      </c>
      <c r="AW22" s="1693">
        <v>952.99</v>
      </c>
      <c r="AX22" s="1693">
        <v>0</v>
      </c>
      <c r="AY22" s="1693">
        <v>0</v>
      </c>
      <c r="AZ22" s="1694">
        <v>0</v>
      </c>
      <c r="BA22" s="1039">
        <f t="shared" si="19"/>
        <v>4764.9399999999996</v>
      </c>
      <c r="BB22" s="1677"/>
      <c r="BC22" s="1045"/>
      <c r="BD22" s="1045"/>
      <c r="BE22" s="1045"/>
      <c r="BF22" s="1045"/>
      <c r="BG22" s="1046">
        <f t="shared" si="20"/>
        <v>0</v>
      </c>
      <c r="BH22" s="1675">
        <v>10385.629999999999</v>
      </c>
      <c r="BI22" s="1115">
        <v>1315.52</v>
      </c>
      <c r="BJ22" s="1115">
        <v>2146.37</v>
      </c>
      <c r="BK22" s="1115">
        <v>-0.02</v>
      </c>
      <c r="BL22" s="1676">
        <v>0</v>
      </c>
      <c r="BM22" s="1046">
        <f t="shared" si="21"/>
        <v>13847.5</v>
      </c>
      <c r="BN22" s="1675">
        <v>-1255.57</v>
      </c>
      <c r="BO22" s="1115">
        <v>-1255.57</v>
      </c>
      <c r="BP22" s="1115">
        <v>0</v>
      </c>
      <c r="BQ22" s="1115">
        <v>0</v>
      </c>
      <c r="BR22" s="1676">
        <v>0</v>
      </c>
      <c r="BS22" s="1049">
        <f t="shared" si="22"/>
        <v>-2511.14</v>
      </c>
      <c r="BT22" s="1675">
        <v>10292.992352126374</v>
      </c>
      <c r="BU22" s="1115">
        <v>62192.067647873628</v>
      </c>
      <c r="BV22" s="1115">
        <v>13296.09</v>
      </c>
      <c r="BW22" s="1115">
        <v>-0.13</v>
      </c>
      <c r="BX22" s="1676">
        <v>0</v>
      </c>
      <c r="BY22" s="1049">
        <f t="shared" si="23"/>
        <v>85781.01999999999</v>
      </c>
      <c r="BZ22" s="1677"/>
      <c r="CA22" s="1045"/>
      <c r="CB22" s="1045"/>
      <c r="CC22" s="1045"/>
      <c r="CD22" s="1678"/>
      <c r="CE22" s="1049">
        <f t="shared" si="24"/>
        <v>0</v>
      </c>
      <c r="CF22" s="1677"/>
      <c r="CG22" s="1045"/>
      <c r="CH22" s="1045"/>
      <c r="CI22" s="1045"/>
      <c r="CJ22" s="1045"/>
      <c r="CK22" s="1046">
        <f t="shared" si="25"/>
        <v>0</v>
      </c>
      <c r="CL22" s="1675"/>
      <c r="CM22" s="1115"/>
      <c r="CN22" s="1115"/>
      <c r="CO22" s="1115"/>
      <c r="CP22" s="1676"/>
      <c r="CQ22" s="1049">
        <f t="shared" si="26"/>
        <v>0</v>
      </c>
      <c r="CR22" s="1675"/>
      <c r="CS22" s="1115"/>
      <c r="CT22" s="1115"/>
      <c r="CU22" s="1115"/>
      <c r="CV22" s="1676"/>
      <c r="CW22" s="1046">
        <f t="shared" si="27"/>
        <v>0</v>
      </c>
      <c r="CX22" s="1675"/>
      <c r="CY22" s="1115"/>
      <c r="CZ22" s="1115"/>
      <c r="DA22" s="1115"/>
      <c r="DB22" s="1676"/>
      <c r="DC22" s="1049">
        <f t="shared" si="28"/>
        <v>0</v>
      </c>
      <c r="DD22" s="1675">
        <v>-2200</v>
      </c>
      <c r="DE22" s="1115">
        <v>0</v>
      </c>
      <c r="DF22" s="1115">
        <v>0</v>
      </c>
      <c r="DG22" s="1115">
        <v>0</v>
      </c>
      <c r="DH22" s="1115">
        <v>0</v>
      </c>
      <c r="DI22" s="1114">
        <f t="shared" si="29"/>
        <v>-2200</v>
      </c>
      <c r="DJ22" s="1115"/>
      <c r="DK22" s="1115"/>
      <c r="DL22" s="1115"/>
      <c r="DM22" s="1115"/>
      <c r="DN22" s="1115"/>
      <c r="DO22" s="1115">
        <f t="shared" si="30"/>
        <v>0</v>
      </c>
      <c r="DP22" s="1675">
        <v>4362.5</v>
      </c>
      <c r="DQ22" s="1115">
        <v>3010.13</v>
      </c>
      <c r="DR22" s="1115">
        <v>1352.38</v>
      </c>
      <c r="DS22" s="1115">
        <v>-0.01</v>
      </c>
      <c r="DT22" s="1676">
        <v>0</v>
      </c>
      <c r="DU22" s="1050">
        <f t="shared" si="31"/>
        <v>8725</v>
      </c>
      <c r="DV22" s="1675">
        <v>6663.9</v>
      </c>
      <c r="DW22" s="1115">
        <v>0</v>
      </c>
      <c r="DX22" s="1115">
        <v>1222.3599999999999</v>
      </c>
      <c r="DY22" s="1115">
        <v>0.04</v>
      </c>
      <c r="DZ22" s="1676">
        <v>0</v>
      </c>
      <c r="EA22" s="1049">
        <f t="shared" si="32"/>
        <v>7886.2999999999993</v>
      </c>
    </row>
    <row r="23" spans="1:131" ht="15" customHeight="1" x14ac:dyDescent="0.25">
      <c r="A23" s="716" t="s">
        <v>48</v>
      </c>
      <c r="B23" s="810" t="s">
        <v>269</v>
      </c>
      <c r="C23" s="911" t="s">
        <v>266</v>
      </c>
      <c r="D23" s="808">
        <f t="shared" si="5"/>
        <v>25940.01474845273</v>
      </c>
      <c r="E23" s="808">
        <f t="shared" si="6"/>
        <v>5664.885251547269</v>
      </c>
      <c r="F23" s="808">
        <f t="shared" si="7"/>
        <v>6850.71</v>
      </c>
      <c r="G23" s="808">
        <f t="shared" si="8"/>
        <v>197.82</v>
      </c>
      <c r="H23" s="808">
        <f t="shared" si="9"/>
        <v>0</v>
      </c>
      <c r="I23" s="1391">
        <f t="shared" si="10"/>
        <v>38653.43</v>
      </c>
      <c r="J23" s="809">
        <f t="shared" si="11"/>
        <v>197.82</v>
      </c>
      <c r="K23" s="1392">
        <f t="shared" si="12"/>
        <v>7048.53</v>
      </c>
      <c r="L23" s="1656"/>
      <c r="M23" s="1035"/>
      <c r="N23" s="1035"/>
      <c r="O23" s="1035"/>
      <c r="P23" s="1035"/>
      <c r="Q23" s="1036">
        <f t="shared" si="13"/>
        <v>0</v>
      </c>
      <c r="R23" s="1650"/>
      <c r="S23" s="1040"/>
      <c r="T23" s="1040"/>
      <c r="U23" s="1040"/>
      <c r="V23" s="1651"/>
      <c r="W23" s="1039">
        <f t="shared" si="14"/>
        <v>0</v>
      </c>
      <c r="X23" s="1664">
        <v>568.67999999999995</v>
      </c>
      <c r="Y23" s="1665">
        <v>3.38</v>
      </c>
      <c r="Z23" s="1665">
        <v>104.93</v>
      </c>
      <c r="AA23" s="1665">
        <v>0.01</v>
      </c>
      <c r="AB23" s="1666">
        <v>0</v>
      </c>
      <c r="AC23" s="1037">
        <f t="shared" si="15"/>
        <v>677</v>
      </c>
      <c r="AD23" s="1675">
        <v>15824.01</v>
      </c>
      <c r="AE23" s="1115">
        <v>0</v>
      </c>
      <c r="AF23" s="1115">
        <v>3955.99</v>
      </c>
      <c r="AG23" s="1115">
        <v>197.85</v>
      </c>
      <c r="AH23" s="1676">
        <v>0</v>
      </c>
      <c r="AI23" s="1049">
        <f t="shared" si="16"/>
        <v>19977.849999999999</v>
      </c>
      <c r="AJ23" s="1667"/>
      <c r="AK23" s="1038"/>
      <c r="AL23" s="1038"/>
      <c r="AM23" s="1038"/>
      <c r="AN23" s="1038"/>
      <c r="AO23" s="1041">
        <f t="shared" si="17"/>
        <v>0</v>
      </c>
      <c r="AP23" s="1689"/>
      <c r="AQ23" s="1042"/>
      <c r="AR23" s="1042"/>
      <c r="AS23" s="1042"/>
      <c r="AT23" s="1042"/>
      <c r="AU23" s="1043">
        <f t="shared" si="18"/>
        <v>0</v>
      </c>
      <c r="AV23" s="1650"/>
      <c r="AW23" s="1040"/>
      <c r="AX23" s="1040"/>
      <c r="AY23" s="1040"/>
      <c r="AZ23" s="1651"/>
      <c r="BA23" s="1039">
        <f t="shared" si="19"/>
        <v>0</v>
      </c>
      <c r="BB23" s="1677"/>
      <c r="BC23" s="1045"/>
      <c r="BD23" s="1045"/>
      <c r="BE23" s="1045"/>
      <c r="BF23" s="1045"/>
      <c r="BG23" s="1046">
        <f t="shared" si="20"/>
        <v>0</v>
      </c>
      <c r="BH23" s="1675">
        <v>5003.18</v>
      </c>
      <c r="BI23" s="1115">
        <v>633.74</v>
      </c>
      <c r="BJ23" s="1115">
        <v>1033.99</v>
      </c>
      <c r="BK23" s="1115">
        <v>-0.01</v>
      </c>
      <c r="BL23" s="1676">
        <v>0</v>
      </c>
      <c r="BM23" s="1046">
        <f t="shared" si="21"/>
        <v>6670.9</v>
      </c>
      <c r="BN23" s="1675"/>
      <c r="BO23" s="1115"/>
      <c r="BP23" s="1115"/>
      <c r="BQ23" s="1115"/>
      <c r="BR23" s="1676"/>
      <c r="BS23" s="1049">
        <f t="shared" si="22"/>
        <v>0</v>
      </c>
      <c r="BT23" s="1675">
        <v>1567.2647484527315</v>
      </c>
      <c r="BU23" s="1115">
        <v>5027.7652515472691</v>
      </c>
      <c r="BV23" s="1115">
        <v>1209.75</v>
      </c>
      <c r="BW23" s="1115">
        <v>-0.03</v>
      </c>
      <c r="BX23" s="1676">
        <v>0</v>
      </c>
      <c r="BY23" s="1049">
        <f t="shared" si="23"/>
        <v>7804.7500000000009</v>
      </c>
      <c r="BZ23" s="1677"/>
      <c r="CA23" s="1045"/>
      <c r="CB23" s="1045"/>
      <c r="CC23" s="1045"/>
      <c r="CD23" s="1678"/>
      <c r="CE23" s="1049">
        <f t="shared" si="24"/>
        <v>0</v>
      </c>
      <c r="CF23" s="1677"/>
      <c r="CG23" s="1045"/>
      <c r="CH23" s="1045"/>
      <c r="CI23" s="1045"/>
      <c r="CJ23" s="1045"/>
      <c r="CK23" s="1046">
        <f t="shared" si="25"/>
        <v>0</v>
      </c>
      <c r="CL23" s="1675"/>
      <c r="CM23" s="1115"/>
      <c r="CN23" s="1115"/>
      <c r="CO23" s="1115"/>
      <c r="CP23" s="1676"/>
      <c r="CQ23" s="1049">
        <f t="shared" si="26"/>
        <v>0</v>
      </c>
      <c r="CR23" s="1677"/>
      <c r="CS23" s="1045"/>
      <c r="CT23" s="1045"/>
      <c r="CU23" s="1045"/>
      <c r="CV23" s="1045"/>
      <c r="CW23" s="1046">
        <f t="shared" si="27"/>
        <v>0</v>
      </c>
      <c r="CX23" s="1675"/>
      <c r="CY23" s="1115"/>
      <c r="CZ23" s="1115"/>
      <c r="DA23" s="1115"/>
      <c r="DB23" s="1676"/>
      <c r="DC23" s="1049">
        <f t="shared" si="28"/>
        <v>0</v>
      </c>
      <c r="DD23" s="1675"/>
      <c r="DE23" s="1115"/>
      <c r="DF23" s="1115"/>
      <c r="DG23" s="1115"/>
      <c r="DH23" s="1115"/>
      <c r="DI23" s="1114">
        <f t="shared" si="29"/>
        <v>0</v>
      </c>
      <c r="DJ23" s="1115"/>
      <c r="DK23" s="1115"/>
      <c r="DL23" s="1115"/>
      <c r="DM23" s="1115"/>
      <c r="DN23" s="1115"/>
      <c r="DO23" s="1115">
        <f t="shared" si="30"/>
        <v>0</v>
      </c>
      <c r="DP23" s="1677"/>
      <c r="DQ23" s="1045"/>
      <c r="DR23" s="1045"/>
      <c r="DS23" s="1045"/>
      <c r="DT23" s="1045"/>
      <c r="DU23" s="1050">
        <f t="shared" si="31"/>
        <v>0</v>
      </c>
      <c r="DV23" s="1675">
        <v>2976.88</v>
      </c>
      <c r="DW23" s="1115">
        <v>0</v>
      </c>
      <c r="DX23" s="1115">
        <v>546.04999999999995</v>
      </c>
      <c r="DY23" s="1115">
        <v>0</v>
      </c>
      <c r="DZ23" s="1676">
        <v>0</v>
      </c>
      <c r="EA23" s="1049">
        <f t="shared" si="32"/>
        <v>3522.9300000000003</v>
      </c>
    </row>
    <row r="24" spans="1:131" ht="15" customHeight="1" x14ac:dyDescent="0.25">
      <c r="A24" s="716" t="s">
        <v>50</v>
      </c>
      <c r="B24" s="810" t="s">
        <v>51</v>
      </c>
      <c r="C24" s="911" t="s">
        <v>265</v>
      </c>
      <c r="D24" s="808">
        <f t="shared" si="5"/>
        <v>55923.022561783895</v>
      </c>
      <c r="E24" s="808">
        <f t="shared" si="6"/>
        <v>9929.757438216111</v>
      </c>
      <c r="F24" s="808">
        <f t="shared" si="7"/>
        <v>14918.53</v>
      </c>
      <c r="G24" s="808">
        <f t="shared" si="8"/>
        <v>1.0000000000000002E-2</v>
      </c>
      <c r="H24" s="808">
        <f t="shared" si="9"/>
        <v>0</v>
      </c>
      <c r="I24" s="1391">
        <f t="shared" si="10"/>
        <v>80771.319999999992</v>
      </c>
      <c r="J24" s="809">
        <f t="shared" si="11"/>
        <v>1.0000000000000002E-2</v>
      </c>
      <c r="K24" s="1392">
        <f t="shared" si="12"/>
        <v>14918.54</v>
      </c>
      <c r="L24" s="1656"/>
      <c r="M24" s="1035"/>
      <c r="N24" s="1035"/>
      <c r="O24" s="1035"/>
      <c r="P24" s="1035"/>
      <c r="Q24" s="1036">
        <f t="shared" si="13"/>
        <v>0</v>
      </c>
      <c r="R24" s="1650"/>
      <c r="S24" s="1040"/>
      <c r="T24" s="1040"/>
      <c r="U24" s="1040"/>
      <c r="V24" s="1651"/>
      <c r="W24" s="1039">
        <f t="shared" si="14"/>
        <v>0</v>
      </c>
      <c r="X24" s="1664"/>
      <c r="Y24" s="1665"/>
      <c r="Z24" s="1665"/>
      <c r="AA24" s="1665"/>
      <c r="AB24" s="1666"/>
      <c r="AC24" s="1037">
        <f t="shared" si="15"/>
        <v>0</v>
      </c>
      <c r="AD24" s="1675">
        <v>49079</v>
      </c>
      <c r="AE24" s="1115">
        <v>0</v>
      </c>
      <c r="AF24" s="1115">
        <v>12269.75</v>
      </c>
      <c r="AG24" s="1115">
        <v>0</v>
      </c>
      <c r="AH24" s="1676">
        <v>0</v>
      </c>
      <c r="AI24" s="1049">
        <f t="shared" si="16"/>
        <v>61348.75</v>
      </c>
      <c r="AJ24" s="1667"/>
      <c r="AK24" s="1038"/>
      <c r="AL24" s="1038"/>
      <c r="AM24" s="1038"/>
      <c r="AN24" s="1038"/>
      <c r="AO24" s="1041">
        <f t="shared" si="17"/>
        <v>0</v>
      </c>
      <c r="AP24" s="1689"/>
      <c r="AQ24" s="1042"/>
      <c r="AR24" s="1042"/>
      <c r="AS24" s="1042"/>
      <c r="AT24" s="1042"/>
      <c r="AU24" s="1043">
        <f t="shared" si="18"/>
        <v>0</v>
      </c>
      <c r="AV24" s="1692">
        <v>1866.86</v>
      </c>
      <c r="AW24" s="1693">
        <v>466.72</v>
      </c>
      <c r="AX24" s="1693">
        <v>0</v>
      </c>
      <c r="AY24" s="1693">
        <v>0</v>
      </c>
      <c r="AZ24" s="1694">
        <v>0</v>
      </c>
      <c r="BA24" s="1039">
        <f t="shared" si="19"/>
        <v>2333.58</v>
      </c>
      <c r="BB24" s="1677"/>
      <c r="BC24" s="1045"/>
      <c r="BD24" s="1045"/>
      <c r="BE24" s="1045"/>
      <c r="BF24" s="1045"/>
      <c r="BG24" s="1046">
        <f t="shared" si="20"/>
        <v>0</v>
      </c>
      <c r="BH24" s="1677"/>
      <c r="BI24" s="1045"/>
      <c r="BJ24" s="1045"/>
      <c r="BK24" s="1045"/>
      <c r="BL24" s="1045"/>
      <c r="BM24" s="1046">
        <f t="shared" si="21"/>
        <v>0</v>
      </c>
      <c r="BN24" s="1677"/>
      <c r="BO24" s="1045"/>
      <c r="BP24" s="1045"/>
      <c r="BQ24" s="1045"/>
      <c r="BR24" s="1678"/>
      <c r="BS24" s="1049">
        <f t="shared" si="22"/>
        <v>0</v>
      </c>
      <c r="BT24" s="1675">
        <v>1319.6025617838905</v>
      </c>
      <c r="BU24" s="1115">
        <v>6901.4074382161098</v>
      </c>
      <c r="BV24" s="1115">
        <v>1508</v>
      </c>
      <c r="BW24" s="1115">
        <v>-0.02</v>
      </c>
      <c r="BX24" s="1676">
        <v>0</v>
      </c>
      <c r="BY24" s="1049">
        <f t="shared" si="23"/>
        <v>9728.99</v>
      </c>
      <c r="BZ24" s="1677"/>
      <c r="CA24" s="1045"/>
      <c r="CB24" s="1045"/>
      <c r="CC24" s="1045"/>
      <c r="CD24" s="1678"/>
      <c r="CE24" s="1049">
        <f t="shared" si="24"/>
        <v>0</v>
      </c>
      <c r="CF24" s="1677"/>
      <c r="CG24" s="1045"/>
      <c r="CH24" s="1045"/>
      <c r="CI24" s="1045"/>
      <c r="CJ24" s="1045"/>
      <c r="CK24" s="1046">
        <f t="shared" si="25"/>
        <v>0</v>
      </c>
      <c r="CL24" s="1677"/>
      <c r="CM24" s="1045"/>
      <c r="CN24" s="1045"/>
      <c r="CO24" s="1045"/>
      <c r="CP24" s="1678"/>
      <c r="CQ24" s="1049">
        <f t="shared" si="26"/>
        <v>0</v>
      </c>
      <c r="CR24" s="1677"/>
      <c r="CS24" s="1045"/>
      <c r="CT24" s="1045"/>
      <c r="CU24" s="1045"/>
      <c r="CV24" s="1045"/>
      <c r="CW24" s="1046">
        <f t="shared" si="27"/>
        <v>0</v>
      </c>
      <c r="CX24" s="1675"/>
      <c r="CY24" s="1115"/>
      <c r="CZ24" s="1115"/>
      <c r="DA24" s="1115"/>
      <c r="DB24" s="1676"/>
      <c r="DC24" s="1049">
        <f t="shared" si="28"/>
        <v>0</v>
      </c>
      <c r="DD24" s="1675"/>
      <c r="DE24" s="1115"/>
      <c r="DF24" s="1115"/>
      <c r="DG24" s="1115"/>
      <c r="DH24" s="1115"/>
      <c r="DI24" s="1114">
        <f t="shared" si="29"/>
        <v>0</v>
      </c>
      <c r="DJ24" s="1115"/>
      <c r="DK24" s="1115"/>
      <c r="DL24" s="1115"/>
      <c r="DM24" s="1115"/>
      <c r="DN24" s="1115"/>
      <c r="DO24" s="1115">
        <f t="shared" si="30"/>
        <v>0</v>
      </c>
      <c r="DP24" s="1675">
        <v>3712.51</v>
      </c>
      <c r="DQ24" s="1115">
        <v>2561.63</v>
      </c>
      <c r="DR24" s="1115">
        <v>1150.8800000000001</v>
      </c>
      <c r="DS24" s="1115">
        <v>-0.02</v>
      </c>
      <c r="DT24" s="1676">
        <v>0</v>
      </c>
      <c r="DU24" s="1050">
        <f t="shared" si="31"/>
        <v>7425</v>
      </c>
      <c r="DV24" s="1675">
        <v>-54.95</v>
      </c>
      <c r="DW24" s="1115">
        <v>0</v>
      </c>
      <c r="DX24" s="1115">
        <v>-10.1</v>
      </c>
      <c r="DY24" s="1115">
        <v>0.05</v>
      </c>
      <c r="DZ24" s="1676">
        <v>0</v>
      </c>
      <c r="EA24" s="1049">
        <f t="shared" si="32"/>
        <v>-65</v>
      </c>
    </row>
    <row r="25" spans="1:131" ht="15" customHeight="1" x14ac:dyDescent="0.25">
      <c r="A25" s="716" t="s">
        <v>56</v>
      </c>
      <c r="B25" s="810" t="s">
        <v>295</v>
      </c>
      <c r="C25" s="911" t="s">
        <v>266</v>
      </c>
      <c r="D25" s="808">
        <f t="shared" si="5"/>
        <v>265447.56041003269</v>
      </c>
      <c r="E25" s="808">
        <f t="shared" si="6"/>
        <v>277788.08958996728</v>
      </c>
      <c r="F25" s="808">
        <f t="shared" si="7"/>
        <v>105404.12000000001</v>
      </c>
      <c r="G25" s="808">
        <f t="shared" si="8"/>
        <v>-7540.0599999999995</v>
      </c>
      <c r="H25" s="808">
        <f t="shared" si="9"/>
        <v>-55.08</v>
      </c>
      <c r="I25" s="1391">
        <f t="shared" si="10"/>
        <v>641044.62999999989</v>
      </c>
      <c r="J25" s="809">
        <f t="shared" si="11"/>
        <v>-7595.1399999999994</v>
      </c>
      <c r="K25" s="1392">
        <f t="shared" si="12"/>
        <v>97808.98000000001</v>
      </c>
      <c r="L25" s="1656"/>
      <c r="M25" s="1035"/>
      <c r="N25" s="1035"/>
      <c r="O25" s="1035"/>
      <c r="P25" s="1035"/>
      <c r="Q25" s="1036">
        <f t="shared" si="13"/>
        <v>0</v>
      </c>
      <c r="R25" s="1650"/>
      <c r="S25" s="1040"/>
      <c r="T25" s="1040"/>
      <c r="U25" s="1040"/>
      <c r="V25" s="1651"/>
      <c r="W25" s="1039">
        <f t="shared" si="14"/>
        <v>0</v>
      </c>
      <c r="X25" s="1664">
        <v>33198.71</v>
      </c>
      <c r="Y25" s="1665">
        <v>197.6</v>
      </c>
      <c r="Z25" s="1665">
        <v>6125.9699999999993</v>
      </c>
      <c r="AA25" s="1665">
        <v>-20.009999999999998</v>
      </c>
      <c r="AB25" s="1666">
        <v>-55.08</v>
      </c>
      <c r="AC25" s="1037">
        <f t="shared" si="15"/>
        <v>39447.189999999995</v>
      </c>
      <c r="AD25" s="1675">
        <v>14153.48</v>
      </c>
      <c r="AE25" s="1115">
        <v>0</v>
      </c>
      <c r="AF25" s="1115">
        <v>3538.35</v>
      </c>
      <c r="AG25" s="1115">
        <v>120</v>
      </c>
      <c r="AH25" s="1676">
        <v>0</v>
      </c>
      <c r="AI25" s="1049">
        <f t="shared" si="16"/>
        <v>17811.829999999998</v>
      </c>
      <c r="AJ25" s="1667"/>
      <c r="AK25" s="1038"/>
      <c r="AL25" s="1038"/>
      <c r="AM25" s="1038"/>
      <c r="AN25" s="1038"/>
      <c r="AO25" s="1041">
        <f t="shared" si="17"/>
        <v>0</v>
      </c>
      <c r="AP25" s="1686">
        <v>2483.1799999999998</v>
      </c>
      <c r="AQ25" s="1687">
        <v>620.78</v>
      </c>
      <c r="AR25" s="1687">
        <v>0</v>
      </c>
      <c r="AS25" s="1687">
        <v>0</v>
      </c>
      <c r="AT25" s="1688">
        <v>0</v>
      </c>
      <c r="AU25" s="1043">
        <f t="shared" si="18"/>
        <v>3103.96</v>
      </c>
      <c r="AV25" s="1692">
        <v>5876.08</v>
      </c>
      <c r="AW25" s="1693">
        <v>1469.02</v>
      </c>
      <c r="AX25" s="1693">
        <v>0</v>
      </c>
      <c r="AY25" s="1693">
        <v>0</v>
      </c>
      <c r="AZ25" s="1694">
        <v>0</v>
      </c>
      <c r="BA25" s="1039">
        <f t="shared" si="19"/>
        <v>7345.1</v>
      </c>
      <c r="BB25" s="1675">
        <v>400.95</v>
      </c>
      <c r="BC25" s="1115">
        <v>724.05</v>
      </c>
      <c r="BD25" s="1115">
        <v>0</v>
      </c>
      <c r="BE25" s="1115">
        <v>0</v>
      </c>
      <c r="BF25" s="1676">
        <v>0</v>
      </c>
      <c r="BG25" s="1046">
        <f t="shared" si="20"/>
        <v>1125</v>
      </c>
      <c r="BH25" s="1675">
        <v>150230.14000000001</v>
      </c>
      <c r="BI25" s="1115">
        <v>19029.16</v>
      </c>
      <c r="BJ25" s="1115">
        <v>31047.55</v>
      </c>
      <c r="BK25" s="1115">
        <v>130.01000000000002</v>
      </c>
      <c r="BL25" s="1676">
        <v>0</v>
      </c>
      <c r="BM25" s="1046">
        <f t="shared" si="21"/>
        <v>200436.86000000002</v>
      </c>
      <c r="BN25" s="1675"/>
      <c r="BO25" s="1115"/>
      <c r="BP25" s="1115"/>
      <c r="BQ25" s="1115"/>
      <c r="BR25" s="1676"/>
      <c r="BS25" s="1049">
        <f t="shared" si="22"/>
        <v>0</v>
      </c>
      <c r="BT25" s="1675">
        <v>41121.880410032667</v>
      </c>
      <c r="BU25" s="1115">
        <v>249084.14958996733</v>
      </c>
      <c r="BV25" s="1115">
        <v>53233.08</v>
      </c>
      <c r="BW25" s="1115">
        <v>-7770.12</v>
      </c>
      <c r="BX25" s="1676">
        <v>0</v>
      </c>
      <c r="BY25" s="1049">
        <f t="shared" si="23"/>
        <v>335668.99000000005</v>
      </c>
      <c r="BZ25" s="1675">
        <v>5091.53</v>
      </c>
      <c r="CA25" s="1115">
        <v>0</v>
      </c>
      <c r="CB25" s="1115">
        <v>7573.96</v>
      </c>
      <c r="CC25" s="1115">
        <v>0</v>
      </c>
      <c r="CD25" s="1676">
        <v>0</v>
      </c>
      <c r="CE25" s="1049">
        <f t="shared" si="24"/>
        <v>12665.49</v>
      </c>
      <c r="CF25" s="1677"/>
      <c r="CG25" s="1045"/>
      <c r="CH25" s="1045"/>
      <c r="CI25" s="1045"/>
      <c r="CJ25" s="1045"/>
      <c r="CK25" s="1046">
        <f t="shared" si="25"/>
        <v>0</v>
      </c>
      <c r="CL25" s="1675"/>
      <c r="CM25" s="1115"/>
      <c r="CN25" s="1115"/>
      <c r="CO25" s="1115"/>
      <c r="CP25" s="1676"/>
      <c r="CQ25" s="1049">
        <f t="shared" si="26"/>
        <v>0</v>
      </c>
      <c r="CR25" s="1675"/>
      <c r="CS25" s="1115"/>
      <c r="CT25" s="1115"/>
      <c r="CU25" s="1115"/>
      <c r="CV25" s="1676"/>
      <c r="CW25" s="1046">
        <f t="shared" si="27"/>
        <v>0</v>
      </c>
      <c r="CX25" s="1675">
        <v>-512.96</v>
      </c>
      <c r="CY25" s="1115">
        <v>-512.96</v>
      </c>
      <c r="CZ25" s="1115">
        <v>0</v>
      </c>
      <c r="DA25" s="1115">
        <v>0.01</v>
      </c>
      <c r="DB25" s="1676">
        <v>0</v>
      </c>
      <c r="DC25" s="1049">
        <f t="shared" si="28"/>
        <v>-1025.9100000000001</v>
      </c>
      <c r="DD25" s="1675"/>
      <c r="DE25" s="1115"/>
      <c r="DF25" s="1115"/>
      <c r="DG25" s="1115"/>
      <c r="DH25" s="1115"/>
      <c r="DI25" s="1114">
        <f t="shared" si="29"/>
        <v>0</v>
      </c>
      <c r="DJ25" s="1115">
        <v>-300</v>
      </c>
      <c r="DK25" s="1115">
        <v>-300</v>
      </c>
      <c r="DL25" s="1115">
        <v>0</v>
      </c>
      <c r="DM25" s="1115">
        <v>0</v>
      </c>
      <c r="DN25" s="1115">
        <v>0</v>
      </c>
      <c r="DO25" s="1115">
        <f t="shared" si="30"/>
        <v>-600</v>
      </c>
      <c r="DP25" s="1675">
        <v>10835.21</v>
      </c>
      <c r="DQ25" s="1115">
        <v>7476.29</v>
      </c>
      <c r="DR25" s="1115">
        <v>3358.91</v>
      </c>
      <c r="DS25" s="1115">
        <v>-0.03</v>
      </c>
      <c r="DT25" s="1676">
        <v>0</v>
      </c>
      <c r="DU25" s="1050">
        <f t="shared" si="31"/>
        <v>21670.38</v>
      </c>
      <c r="DV25" s="1675">
        <v>2869.3599999999997</v>
      </c>
      <c r="DW25" s="1115">
        <v>0</v>
      </c>
      <c r="DX25" s="1115">
        <v>526.30000000000007</v>
      </c>
      <c r="DY25" s="1115">
        <v>0.08</v>
      </c>
      <c r="DZ25" s="1676">
        <v>0</v>
      </c>
      <c r="EA25" s="1049">
        <f t="shared" si="32"/>
        <v>3395.74</v>
      </c>
    </row>
    <row r="26" spans="1:131" ht="15" customHeight="1" x14ac:dyDescent="0.25">
      <c r="A26" s="716" t="s">
        <v>58</v>
      </c>
      <c r="B26" s="810" t="s">
        <v>59</v>
      </c>
      <c r="C26" s="911" t="s">
        <v>267</v>
      </c>
      <c r="D26" s="808">
        <f t="shared" si="5"/>
        <v>32176.249390414549</v>
      </c>
      <c r="E26" s="808">
        <f t="shared" si="6"/>
        <v>5403.6806095854517</v>
      </c>
      <c r="F26" s="808">
        <f t="shared" si="7"/>
        <v>14823.3</v>
      </c>
      <c r="G26" s="808">
        <f t="shared" si="8"/>
        <v>1570.6200000000001</v>
      </c>
      <c r="H26" s="808">
        <f t="shared" si="9"/>
        <v>0</v>
      </c>
      <c r="I26" s="1391">
        <f t="shared" si="10"/>
        <v>53973.85</v>
      </c>
      <c r="J26" s="809">
        <f t="shared" si="11"/>
        <v>1570.6200000000001</v>
      </c>
      <c r="K26" s="1392">
        <f t="shared" si="12"/>
        <v>16393.919999999998</v>
      </c>
      <c r="L26" s="1656"/>
      <c r="M26" s="1035"/>
      <c r="N26" s="1035"/>
      <c r="O26" s="1035"/>
      <c r="P26" s="1035"/>
      <c r="Q26" s="1036">
        <f t="shared" si="13"/>
        <v>0</v>
      </c>
      <c r="R26" s="1650"/>
      <c r="S26" s="1040"/>
      <c r="T26" s="1040"/>
      <c r="U26" s="1040"/>
      <c r="V26" s="1651"/>
      <c r="W26" s="1039">
        <f t="shared" si="14"/>
        <v>0</v>
      </c>
      <c r="X26" s="1664"/>
      <c r="Y26" s="1665"/>
      <c r="Z26" s="1665"/>
      <c r="AA26" s="1665"/>
      <c r="AB26" s="1666"/>
      <c r="AC26" s="1037">
        <f t="shared" si="15"/>
        <v>0</v>
      </c>
      <c r="AD26" s="1675">
        <v>7244.59</v>
      </c>
      <c r="AE26" s="1115">
        <v>0</v>
      </c>
      <c r="AF26" s="1115">
        <v>1811.12</v>
      </c>
      <c r="AG26" s="1115">
        <v>0</v>
      </c>
      <c r="AH26" s="1676">
        <v>0</v>
      </c>
      <c r="AI26" s="1049">
        <f t="shared" si="16"/>
        <v>9055.7099999999991</v>
      </c>
      <c r="AJ26" s="1667"/>
      <c r="AK26" s="1038"/>
      <c r="AL26" s="1038"/>
      <c r="AM26" s="1038"/>
      <c r="AN26" s="1038"/>
      <c r="AO26" s="1041">
        <f t="shared" si="17"/>
        <v>0</v>
      </c>
      <c r="AP26" s="1689"/>
      <c r="AQ26" s="1042"/>
      <c r="AR26" s="1042"/>
      <c r="AS26" s="1042"/>
      <c r="AT26" s="1042"/>
      <c r="AU26" s="1043">
        <f t="shared" si="18"/>
        <v>0</v>
      </c>
      <c r="AV26" s="1652"/>
      <c r="AW26" s="1113"/>
      <c r="AX26" s="1113"/>
      <c r="AY26" s="1113"/>
      <c r="AZ26" s="1653"/>
      <c r="BA26" s="1039">
        <f t="shared" si="19"/>
        <v>0</v>
      </c>
      <c r="BB26" s="1677"/>
      <c r="BC26" s="1045"/>
      <c r="BD26" s="1045"/>
      <c r="BE26" s="1045"/>
      <c r="BF26" s="1045"/>
      <c r="BG26" s="1046">
        <f t="shared" si="20"/>
        <v>0</v>
      </c>
      <c r="BH26" s="1675">
        <v>14030.65</v>
      </c>
      <c r="BI26" s="1115">
        <v>1777.22</v>
      </c>
      <c r="BJ26" s="1115">
        <v>2899.69</v>
      </c>
      <c r="BK26" s="1115">
        <v>-0.04</v>
      </c>
      <c r="BL26" s="1676">
        <v>0</v>
      </c>
      <c r="BM26" s="1046">
        <f t="shared" si="21"/>
        <v>18707.519999999997</v>
      </c>
      <c r="BN26" s="1675"/>
      <c r="BO26" s="1115"/>
      <c r="BP26" s="1115"/>
      <c r="BQ26" s="1115"/>
      <c r="BR26" s="1676"/>
      <c r="BS26" s="1049">
        <f t="shared" si="22"/>
        <v>0</v>
      </c>
      <c r="BT26" s="1675">
        <v>426.15939041454789</v>
      </c>
      <c r="BU26" s="1115">
        <v>927.35060958545205</v>
      </c>
      <c r="BV26" s="1115">
        <v>248.27</v>
      </c>
      <c r="BW26" s="1115">
        <v>0</v>
      </c>
      <c r="BX26" s="1676">
        <v>0</v>
      </c>
      <c r="BY26" s="1049">
        <f t="shared" si="23"/>
        <v>1601.78</v>
      </c>
      <c r="BZ26" s="1675">
        <v>5115.2</v>
      </c>
      <c r="CA26" s="1115">
        <v>0</v>
      </c>
      <c r="CB26" s="1115">
        <v>7609.1</v>
      </c>
      <c r="CC26" s="1115">
        <v>-0.02</v>
      </c>
      <c r="CD26" s="1676">
        <v>0</v>
      </c>
      <c r="CE26" s="1049">
        <f t="shared" si="24"/>
        <v>12724.279999999999</v>
      </c>
      <c r="CF26" s="1675">
        <v>304.91000000000003</v>
      </c>
      <c r="CG26" s="1115">
        <v>0</v>
      </c>
      <c r="CH26" s="1115">
        <v>832.81</v>
      </c>
      <c r="CI26" s="1115">
        <v>0</v>
      </c>
      <c r="CJ26" s="1676">
        <v>0</v>
      </c>
      <c r="CK26" s="1046">
        <f t="shared" si="25"/>
        <v>1137.72</v>
      </c>
      <c r="CL26" s="1677"/>
      <c r="CM26" s="1045"/>
      <c r="CN26" s="1045"/>
      <c r="CO26" s="1045"/>
      <c r="CP26" s="1678"/>
      <c r="CQ26" s="1049">
        <f t="shared" si="26"/>
        <v>0</v>
      </c>
      <c r="CR26" s="1677"/>
      <c r="CS26" s="1045"/>
      <c r="CT26" s="1045"/>
      <c r="CU26" s="1045"/>
      <c r="CV26" s="1045"/>
      <c r="CW26" s="1046">
        <f t="shared" si="27"/>
        <v>0</v>
      </c>
      <c r="CX26" s="1675"/>
      <c r="CY26" s="1115"/>
      <c r="CZ26" s="1115"/>
      <c r="DA26" s="1115"/>
      <c r="DB26" s="1676"/>
      <c r="DC26" s="1049">
        <f t="shared" si="28"/>
        <v>0</v>
      </c>
      <c r="DD26" s="1675"/>
      <c r="DE26" s="1115"/>
      <c r="DF26" s="1115"/>
      <c r="DG26" s="1115"/>
      <c r="DH26" s="1115"/>
      <c r="DI26" s="1114">
        <f t="shared" si="29"/>
        <v>0</v>
      </c>
      <c r="DJ26" s="1115"/>
      <c r="DK26" s="1115"/>
      <c r="DL26" s="1115"/>
      <c r="DM26" s="1115"/>
      <c r="DN26" s="1115"/>
      <c r="DO26" s="1115">
        <f t="shared" si="30"/>
        <v>0</v>
      </c>
      <c r="DP26" s="1675">
        <v>3911.77</v>
      </c>
      <c r="DQ26" s="1115">
        <v>2699.11</v>
      </c>
      <c r="DR26" s="1115">
        <v>1212.6500000000001</v>
      </c>
      <c r="DS26" s="1115">
        <v>1570.68</v>
      </c>
      <c r="DT26" s="1676">
        <v>0</v>
      </c>
      <c r="DU26" s="1050">
        <f t="shared" si="31"/>
        <v>9394.2100000000009</v>
      </c>
      <c r="DV26" s="1675">
        <v>1142.97</v>
      </c>
      <c r="DW26" s="1115">
        <v>0</v>
      </c>
      <c r="DX26" s="1115">
        <v>209.66</v>
      </c>
      <c r="DY26" s="1115">
        <v>0</v>
      </c>
      <c r="DZ26" s="1676">
        <v>0</v>
      </c>
      <c r="EA26" s="1049">
        <f t="shared" si="32"/>
        <v>1352.63</v>
      </c>
    </row>
    <row r="27" spans="1:131" ht="15" customHeight="1" x14ac:dyDescent="0.25">
      <c r="A27" s="716" t="s">
        <v>60</v>
      </c>
      <c r="B27" s="810" t="s">
        <v>61</v>
      </c>
      <c r="C27" s="911" t="s">
        <v>265</v>
      </c>
      <c r="D27" s="808">
        <f t="shared" si="5"/>
        <v>12919.971631710327</v>
      </c>
      <c r="E27" s="808">
        <f t="shared" si="6"/>
        <v>4811.0583682896759</v>
      </c>
      <c r="F27" s="808">
        <f t="shared" si="7"/>
        <v>3204.87</v>
      </c>
      <c r="G27" s="808">
        <f t="shared" si="8"/>
        <v>-2909.8500000000004</v>
      </c>
      <c r="H27" s="808">
        <f t="shared" si="9"/>
        <v>0</v>
      </c>
      <c r="I27" s="1391">
        <f t="shared" si="10"/>
        <v>18026.050000000003</v>
      </c>
      <c r="J27" s="809">
        <f t="shared" si="11"/>
        <v>-2909.8500000000004</v>
      </c>
      <c r="K27" s="1392">
        <f t="shared" si="12"/>
        <v>295.01999999999953</v>
      </c>
      <c r="L27" s="1656"/>
      <c r="M27" s="1035"/>
      <c r="N27" s="1035"/>
      <c r="O27" s="1035"/>
      <c r="P27" s="1035"/>
      <c r="Q27" s="1036">
        <f t="shared" si="13"/>
        <v>0</v>
      </c>
      <c r="R27" s="1650"/>
      <c r="S27" s="1040"/>
      <c r="T27" s="1040"/>
      <c r="U27" s="1040"/>
      <c r="V27" s="1651"/>
      <c r="W27" s="1039">
        <f t="shared" si="14"/>
        <v>0</v>
      </c>
      <c r="X27" s="1667">
        <v>783.02</v>
      </c>
      <c r="Y27" s="1038">
        <v>4.66</v>
      </c>
      <c r="Z27" s="1038">
        <v>144.47999999999999</v>
      </c>
      <c r="AA27" s="1038">
        <v>0</v>
      </c>
      <c r="AB27" s="1668">
        <v>0</v>
      </c>
      <c r="AC27" s="1037">
        <f t="shared" si="15"/>
        <v>932.16</v>
      </c>
      <c r="AD27" s="1677">
        <v>788</v>
      </c>
      <c r="AE27" s="1045">
        <v>0</v>
      </c>
      <c r="AF27" s="1045">
        <v>197</v>
      </c>
      <c r="AG27" s="1045">
        <v>0</v>
      </c>
      <c r="AH27" s="1678">
        <v>0</v>
      </c>
      <c r="AI27" s="1049">
        <f t="shared" si="16"/>
        <v>985</v>
      </c>
      <c r="AJ27" s="1667"/>
      <c r="AK27" s="1038"/>
      <c r="AL27" s="1038"/>
      <c r="AM27" s="1038"/>
      <c r="AN27" s="1038"/>
      <c r="AO27" s="1041">
        <f t="shared" si="17"/>
        <v>0</v>
      </c>
      <c r="AP27" s="1686"/>
      <c r="AQ27" s="1687"/>
      <c r="AR27" s="1687"/>
      <c r="AS27" s="1687"/>
      <c r="AT27" s="1688"/>
      <c r="AU27" s="1043">
        <f t="shared" si="18"/>
        <v>0</v>
      </c>
      <c r="AV27" s="1652">
        <v>263.2</v>
      </c>
      <c r="AW27" s="1113">
        <v>65.8</v>
      </c>
      <c r="AX27" s="1113">
        <v>0</v>
      </c>
      <c r="AY27" s="1113">
        <v>0</v>
      </c>
      <c r="AZ27" s="1653">
        <v>0</v>
      </c>
      <c r="BA27" s="1039">
        <f t="shared" si="19"/>
        <v>329</v>
      </c>
      <c r="BB27" s="1675">
        <v>77.11</v>
      </c>
      <c r="BC27" s="1115">
        <v>139.25</v>
      </c>
      <c r="BD27" s="1115">
        <v>0</v>
      </c>
      <c r="BE27" s="1115">
        <v>0</v>
      </c>
      <c r="BF27" s="1676">
        <v>0</v>
      </c>
      <c r="BG27" s="1046">
        <f t="shared" si="20"/>
        <v>216.36</v>
      </c>
      <c r="BH27" s="1675">
        <v>6604.87</v>
      </c>
      <c r="BI27" s="1115">
        <v>836.61</v>
      </c>
      <c r="BJ27" s="1115">
        <v>1365.01</v>
      </c>
      <c r="BK27" s="1115">
        <v>-0.02</v>
      </c>
      <c r="BL27" s="1676">
        <v>0</v>
      </c>
      <c r="BM27" s="1046">
        <f t="shared" si="21"/>
        <v>8806.4699999999993</v>
      </c>
      <c r="BN27" s="1675"/>
      <c r="BO27" s="1115"/>
      <c r="BP27" s="1115"/>
      <c r="BQ27" s="1115"/>
      <c r="BR27" s="1676"/>
      <c r="BS27" s="1049">
        <f t="shared" si="22"/>
        <v>0</v>
      </c>
      <c r="BT27" s="1675">
        <v>245.56163171032449</v>
      </c>
      <c r="BU27" s="1115">
        <v>1487.7383682896755</v>
      </c>
      <c r="BV27" s="1115">
        <v>317.97000000000003</v>
      </c>
      <c r="BW27" s="1115">
        <v>-7.0000000000000007E-2</v>
      </c>
      <c r="BX27" s="1676">
        <v>0</v>
      </c>
      <c r="BY27" s="1049">
        <f t="shared" si="23"/>
        <v>2051.1999999999998</v>
      </c>
      <c r="BZ27" s="1677"/>
      <c r="CA27" s="1045"/>
      <c r="CB27" s="1045"/>
      <c r="CC27" s="1045"/>
      <c r="CD27" s="1678"/>
      <c r="CE27" s="1049">
        <f t="shared" si="24"/>
        <v>0</v>
      </c>
      <c r="CF27" s="1677"/>
      <c r="CG27" s="1045"/>
      <c r="CH27" s="1045"/>
      <c r="CI27" s="1045"/>
      <c r="CJ27" s="1045"/>
      <c r="CK27" s="1046">
        <f t="shared" si="25"/>
        <v>0</v>
      </c>
      <c r="CL27" s="1675"/>
      <c r="CM27" s="1115"/>
      <c r="CN27" s="1115"/>
      <c r="CO27" s="1115"/>
      <c r="CP27" s="1676"/>
      <c r="CQ27" s="1049">
        <f t="shared" si="26"/>
        <v>0</v>
      </c>
      <c r="CR27" s="1675"/>
      <c r="CS27" s="1115"/>
      <c r="CT27" s="1115"/>
      <c r="CU27" s="1115"/>
      <c r="CV27" s="1676"/>
      <c r="CW27" s="1046">
        <f t="shared" si="27"/>
        <v>0</v>
      </c>
      <c r="CX27" s="1675"/>
      <c r="CY27" s="1115"/>
      <c r="CZ27" s="1115"/>
      <c r="DA27" s="1115"/>
      <c r="DB27" s="1676"/>
      <c r="DC27" s="1049">
        <f t="shared" si="28"/>
        <v>0</v>
      </c>
      <c r="DD27" s="1675"/>
      <c r="DE27" s="1115"/>
      <c r="DF27" s="1115"/>
      <c r="DG27" s="1115"/>
      <c r="DH27" s="1115"/>
      <c r="DI27" s="1114">
        <f t="shared" si="29"/>
        <v>0</v>
      </c>
      <c r="DJ27" s="1115"/>
      <c r="DK27" s="1115"/>
      <c r="DL27" s="1115"/>
      <c r="DM27" s="1115"/>
      <c r="DN27" s="1115"/>
      <c r="DO27" s="1115">
        <f t="shared" si="30"/>
        <v>0</v>
      </c>
      <c r="DP27" s="1675">
        <v>3300.01</v>
      </c>
      <c r="DQ27" s="1115">
        <v>2277</v>
      </c>
      <c r="DR27" s="1115">
        <v>1023</v>
      </c>
      <c r="DS27" s="1115">
        <v>-2909.78</v>
      </c>
      <c r="DT27" s="1676">
        <v>0</v>
      </c>
      <c r="DU27" s="1050">
        <f t="shared" si="31"/>
        <v>3690.23</v>
      </c>
      <c r="DV27" s="1675">
        <v>858.2</v>
      </c>
      <c r="DW27" s="1115">
        <v>0</v>
      </c>
      <c r="DX27" s="1115">
        <v>157.41</v>
      </c>
      <c r="DY27" s="1115">
        <v>0.02</v>
      </c>
      <c r="DZ27" s="1676">
        <v>0</v>
      </c>
      <c r="EA27" s="1049">
        <f t="shared" si="32"/>
        <v>1015.63</v>
      </c>
    </row>
    <row r="28" spans="1:131" ht="15" customHeight="1" x14ac:dyDescent="0.25">
      <c r="A28" s="716" t="s">
        <v>62</v>
      </c>
      <c r="B28" s="810" t="s">
        <v>63</v>
      </c>
      <c r="C28" s="911" t="s">
        <v>267</v>
      </c>
      <c r="D28" s="808">
        <f t="shared" si="5"/>
        <v>58732.892367986497</v>
      </c>
      <c r="E28" s="808">
        <f t="shared" si="6"/>
        <v>107903.9676320135</v>
      </c>
      <c r="F28" s="808">
        <f t="shared" si="7"/>
        <v>31773.129999999997</v>
      </c>
      <c r="G28" s="808">
        <f t="shared" si="8"/>
        <v>-0.24999999999999997</v>
      </c>
      <c r="H28" s="808">
        <f t="shared" si="9"/>
        <v>0</v>
      </c>
      <c r="I28" s="1391">
        <f t="shared" si="10"/>
        <v>198409.74</v>
      </c>
      <c r="J28" s="809">
        <f t="shared" si="11"/>
        <v>-0.24999999999999997</v>
      </c>
      <c r="K28" s="1392">
        <f t="shared" si="12"/>
        <v>31772.879999999997</v>
      </c>
      <c r="L28" s="1656"/>
      <c r="M28" s="1035"/>
      <c r="N28" s="1035"/>
      <c r="O28" s="1035"/>
      <c r="P28" s="1035"/>
      <c r="Q28" s="1036">
        <f t="shared" si="13"/>
        <v>0</v>
      </c>
      <c r="R28" s="1650"/>
      <c r="S28" s="1040"/>
      <c r="T28" s="1040"/>
      <c r="U28" s="1040"/>
      <c r="V28" s="1651"/>
      <c r="W28" s="1039">
        <f t="shared" si="14"/>
        <v>0</v>
      </c>
      <c r="X28" s="1664">
        <v>3522.31</v>
      </c>
      <c r="Y28" s="1665">
        <v>20.97</v>
      </c>
      <c r="Z28" s="1665">
        <v>649.97</v>
      </c>
      <c r="AA28" s="1665">
        <v>-0.03</v>
      </c>
      <c r="AB28" s="1666">
        <v>0</v>
      </c>
      <c r="AC28" s="1037">
        <f t="shared" si="15"/>
        <v>4193.22</v>
      </c>
      <c r="AD28" s="1675">
        <v>13763.04</v>
      </c>
      <c r="AE28" s="1115">
        <v>0</v>
      </c>
      <c r="AF28" s="1115">
        <v>3440.71</v>
      </c>
      <c r="AG28" s="1115">
        <v>0</v>
      </c>
      <c r="AH28" s="1676">
        <v>0</v>
      </c>
      <c r="AI28" s="1049">
        <f t="shared" si="16"/>
        <v>17203.75</v>
      </c>
      <c r="AJ28" s="1667"/>
      <c r="AK28" s="1038"/>
      <c r="AL28" s="1038"/>
      <c r="AM28" s="1038"/>
      <c r="AN28" s="1038"/>
      <c r="AO28" s="1041">
        <f t="shared" si="17"/>
        <v>0</v>
      </c>
      <c r="AP28" s="1686">
        <v>1349.31</v>
      </c>
      <c r="AQ28" s="1687">
        <v>337.33</v>
      </c>
      <c r="AR28" s="1687">
        <v>0</v>
      </c>
      <c r="AS28" s="1687">
        <v>0</v>
      </c>
      <c r="AT28" s="1688">
        <v>0</v>
      </c>
      <c r="AU28" s="1043">
        <f t="shared" si="18"/>
        <v>1686.6399999999999</v>
      </c>
      <c r="AV28" s="1692">
        <v>2808.95</v>
      </c>
      <c r="AW28" s="1693">
        <v>702.22</v>
      </c>
      <c r="AX28" s="1693">
        <v>0</v>
      </c>
      <c r="AY28" s="1693">
        <v>0</v>
      </c>
      <c r="AZ28" s="1694">
        <v>0</v>
      </c>
      <c r="BA28" s="1039">
        <f t="shared" si="19"/>
        <v>3511.17</v>
      </c>
      <c r="BB28" s="1677">
        <v>570.30999999999995</v>
      </c>
      <c r="BC28" s="1045">
        <v>1029.8900000000001</v>
      </c>
      <c r="BD28" s="1045">
        <v>0</v>
      </c>
      <c r="BE28" s="1045">
        <v>0</v>
      </c>
      <c r="BF28" s="1045">
        <v>0</v>
      </c>
      <c r="BG28" s="1046">
        <f t="shared" si="20"/>
        <v>1600.2</v>
      </c>
      <c r="BH28" s="1675">
        <v>3945</v>
      </c>
      <c r="BI28" s="1115">
        <v>499.72</v>
      </c>
      <c r="BJ28" s="1115">
        <v>815.32</v>
      </c>
      <c r="BK28" s="1115">
        <v>-0.04</v>
      </c>
      <c r="BL28" s="1676">
        <v>0</v>
      </c>
      <c r="BM28" s="1046">
        <f t="shared" si="21"/>
        <v>5260</v>
      </c>
      <c r="BN28" s="1675"/>
      <c r="BO28" s="1115"/>
      <c r="BP28" s="1115"/>
      <c r="BQ28" s="1115"/>
      <c r="BR28" s="1676"/>
      <c r="BS28" s="1049">
        <f t="shared" si="22"/>
        <v>0</v>
      </c>
      <c r="BT28" s="1675">
        <v>21476.532367986496</v>
      </c>
      <c r="BU28" s="1115">
        <v>101193.3276320135</v>
      </c>
      <c r="BV28" s="1115">
        <v>22501.599999999999</v>
      </c>
      <c r="BW28" s="1115">
        <v>-0.18</v>
      </c>
      <c r="BX28" s="1676">
        <v>0</v>
      </c>
      <c r="BY28" s="1049">
        <f t="shared" si="23"/>
        <v>145171.28</v>
      </c>
      <c r="BZ28" s="1675">
        <v>1102.0899999999999</v>
      </c>
      <c r="CA28" s="1115">
        <v>0</v>
      </c>
      <c r="CB28" s="1115">
        <v>1639.39</v>
      </c>
      <c r="CC28" s="1115">
        <v>0</v>
      </c>
      <c r="CD28" s="1676">
        <v>0</v>
      </c>
      <c r="CE28" s="1049">
        <f t="shared" si="24"/>
        <v>2741.48</v>
      </c>
      <c r="CF28" s="1677"/>
      <c r="CG28" s="1045"/>
      <c r="CH28" s="1045"/>
      <c r="CI28" s="1045"/>
      <c r="CJ28" s="1045"/>
      <c r="CK28" s="1046">
        <f t="shared" si="25"/>
        <v>0</v>
      </c>
      <c r="CL28" s="1675">
        <v>-251</v>
      </c>
      <c r="CM28" s="1115">
        <v>0</v>
      </c>
      <c r="CN28" s="1115">
        <v>0</v>
      </c>
      <c r="CO28" s="1115">
        <v>0</v>
      </c>
      <c r="CP28" s="1676">
        <v>0</v>
      </c>
      <c r="CQ28" s="1049">
        <f t="shared" si="26"/>
        <v>-251</v>
      </c>
      <c r="CR28" s="1675">
        <v>-37.5</v>
      </c>
      <c r="CS28" s="1115">
        <v>-37.5</v>
      </c>
      <c r="CT28" s="1115">
        <v>0</v>
      </c>
      <c r="CU28" s="1115">
        <v>0</v>
      </c>
      <c r="CV28" s="1676">
        <v>0</v>
      </c>
      <c r="CW28" s="1046">
        <f t="shared" si="27"/>
        <v>-75</v>
      </c>
      <c r="CX28" s="1675">
        <v>-110</v>
      </c>
      <c r="CY28" s="1115">
        <v>-110</v>
      </c>
      <c r="CZ28" s="1115">
        <v>0</v>
      </c>
      <c r="DA28" s="1115">
        <v>0</v>
      </c>
      <c r="DB28" s="1676">
        <v>0</v>
      </c>
      <c r="DC28" s="1049">
        <f t="shared" si="28"/>
        <v>-220</v>
      </c>
      <c r="DD28" s="1675"/>
      <c r="DE28" s="1115"/>
      <c r="DF28" s="1115"/>
      <c r="DG28" s="1115"/>
      <c r="DH28" s="1115"/>
      <c r="DI28" s="1114">
        <f t="shared" si="29"/>
        <v>0</v>
      </c>
      <c r="DJ28" s="1115"/>
      <c r="DK28" s="1115"/>
      <c r="DL28" s="1115"/>
      <c r="DM28" s="1115"/>
      <c r="DN28" s="1115"/>
      <c r="DO28" s="1115">
        <f t="shared" si="30"/>
        <v>0</v>
      </c>
      <c r="DP28" s="1677">
        <v>6185.51</v>
      </c>
      <c r="DQ28" s="1045">
        <v>4268.01</v>
      </c>
      <c r="DR28" s="1045">
        <v>1917.52</v>
      </c>
      <c r="DS28" s="1045">
        <v>-0.04</v>
      </c>
      <c r="DT28" s="1045">
        <v>0</v>
      </c>
      <c r="DU28" s="1050">
        <f t="shared" si="31"/>
        <v>12371</v>
      </c>
      <c r="DV28" s="1675">
        <v>4408.34</v>
      </c>
      <c r="DW28" s="1115">
        <v>0</v>
      </c>
      <c r="DX28" s="1115">
        <v>808.62</v>
      </c>
      <c r="DY28" s="1115">
        <v>0.04</v>
      </c>
      <c r="DZ28" s="1676">
        <v>0</v>
      </c>
      <c r="EA28" s="1049">
        <f t="shared" si="32"/>
        <v>5217</v>
      </c>
    </row>
    <row r="29" spans="1:131" ht="15" customHeight="1" x14ac:dyDescent="0.25">
      <c r="A29" s="716" t="s">
        <v>64</v>
      </c>
      <c r="B29" s="810" t="s">
        <v>65</v>
      </c>
      <c r="C29" s="911" t="s">
        <v>266</v>
      </c>
      <c r="D29" s="808">
        <f t="shared" si="5"/>
        <v>19625.879869089134</v>
      </c>
      <c r="E29" s="808">
        <f t="shared" si="6"/>
        <v>54211.080130910865</v>
      </c>
      <c r="F29" s="808">
        <f t="shared" si="7"/>
        <v>13940.51</v>
      </c>
      <c r="G29" s="808">
        <f t="shared" si="8"/>
        <v>-2.0000000000000004E-2</v>
      </c>
      <c r="H29" s="808">
        <f t="shared" si="9"/>
        <v>0</v>
      </c>
      <c r="I29" s="1391">
        <f t="shared" si="10"/>
        <v>87777.449999999983</v>
      </c>
      <c r="J29" s="809">
        <f t="shared" si="11"/>
        <v>-2.0000000000000004E-2</v>
      </c>
      <c r="K29" s="1392">
        <f t="shared" si="12"/>
        <v>13940.49</v>
      </c>
      <c r="L29" s="1656"/>
      <c r="M29" s="1035"/>
      <c r="N29" s="1035"/>
      <c r="O29" s="1035"/>
      <c r="P29" s="1035"/>
      <c r="Q29" s="1036">
        <f t="shared" si="13"/>
        <v>0</v>
      </c>
      <c r="R29" s="1650"/>
      <c r="S29" s="1040"/>
      <c r="T29" s="1040"/>
      <c r="U29" s="1040"/>
      <c r="V29" s="1651"/>
      <c r="W29" s="1039">
        <f t="shared" si="14"/>
        <v>0</v>
      </c>
      <c r="X29" s="1664">
        <v>806.37</v>
      </c>
      <c r="Y29" s="1665">
        <v>4.8</v>
      </c>
      <c r="Z29" s="1665">
        <v>148.80000000000001</v>
      </c>
      <c r="AA29" s="1665">
        <v>-0.01</v>
      </c>
      <c r="AB29" s="1666">
        <v>0</v>
      </c>
      <c r="AC29" s="1037">
        <f t="shared" si="15"/>
        <v>959.96</v>
      </c>
      <c r="AD29" s="1675">
        <v>5591.66</v>
      </c>
      <c r="AE29" s="1115">
        <v>0</v>
      </c>
      <c r="AF29" s="1115">
        <v>1397.95</v>
      </c>
      <c r="AG29" s="1115">
        <v>0</v>
      </c>
      <c r="AH29" s="1676">
        <v>0</v>
      </c>
      <c r="AI29" s="1049">
        <f t="shared" si="16"/>
        <v>6989.61</v>
      </c>
      <c r="AJ29" s="1667"/>
      <c r="AK29" s="1038"/>
      <c r="AL29" s="1038"/>
      <c r="AM29" s="1038"/>
      <c r="AN29" s="1038"/>
      <c r="AO29" s="1041">
        <f t="shared" si="17"/>
        <v>0</v>
      </c>
      <c r="AP29" s="1689"/>
      <c r="AQ29" s="1042"/>
      <c r="AR29" s="1042"/>
      <c r="AS29" s="1042"/>
      <c r="AT29" s="1042"/>
      <c r="AU29" s="1043">
        <f t="shared" si="18"/>
        <v>0</v>
      </c>
      <c r="AV29" s="1692"/>
      <c r="AW29" s="1693"/>
      <c r="AX29" s="1693"/>
      <c r="AY29" s="1693"/>
      <c r="AZ29" s="1694"/>
      <c r="BA29" s="1039">
        <f t="shared" si="19"/>
        <v>0</v>
      </c>
      <c r="BB29" s="1677"/>
      <c r="BC29" s="1045"/>
      <c r="BD29" s="1045"/>
      <c r="BE29" s="1045"/>
      <c r="BF29" s="1045"/>
      <c r="BG29" s="1046">
        <f t="shared" si="20"/>
        <v>0</v>
      </c>
      <c r="BH29" s="1677"/>
      <c r="BI29" s="1045"/>
      <c r="BJ29" s="1045"/>
      <c r="BK29" s="1045"/>
      <c r="BL29" s="1045"/>
      <c r="BM29" s="1046">
        <f t="shared" si="21"/>
        <v>0</v>
      </c>
      <c r="BN29" s="1675"/>
      <c r="BO29" s="1115"/>
      <c r="BP29" s="1115"/>
      <c r="BQ29" s="1115"/>
      <c r="BR29" s="1676"/>
      <c r="BS29" s="1049">
        <f t="shared" si="22"/>
        <v>0</v>
      </c>
      <c r="BT29" s="1675">
        <v>9202.6698690891353</v>
      </c>
      <c r="BU29" s="1115">
        <v>51426.030130910862</v>
      </c>
      <c r="BV29" s="1115">
        <v>11121.23</v>
      </c>
      <c r="BW29" s="1115">
        <v>-0.05</v>
      </c>
      <c r="BX29" s="1676">
        <v>0</v>
      </c>
      <c r="BY29" s="1049">
        <f t="shared" si="23"/>
        <v>71749.87999999999</v>
      </c>
      <c r="BZ29" s="1677"/>
      <c r="CA29" s="1045"/>
      <c r="CB29" s="1045"/>
      <c r="CC29" s="1045"/>
      <c r="CD29" s="1678"/>
      <c r="CE29" s="1049">
        <f t="shared" si="24"/>
        <v>0</v>
      </c>
      <c r="CF29" s="1677"/>
      <c r="CG29" s="1045"/>
      <c r="CH29" s="1045"/>
      <c r="CI29" s="1045"/>
      <c r="CJ29" s="1045"/>
      <c r="CK29" s="1046">
        <f t="shared" si="25"/>
        <v>0</v>
      </c>
      <c r="CL29" s="1677"/>
      <c r="CM29" s="1045"/>
      <c r="CN29" s="1045"/>
      <c r="CO29" s="1045"/>
      <c r="CP29" s="1678"/>
      <c r="CQ29" s="1049">
        <f t="shared" si="26"/>
        <v>0</v>
      </c>
      <c r="CR29" s="1677"/>
      <c r="CS29" s="1045"/>
      <c r="CT29" s="1045"/>
      <c r="CU29" s="1045"/>
      <c r="CV29" s="1045"/>
      <c r="CW29" s="1046">
        <f t="shared" si="27"/>
        <v>0</v>
      </c>
      <c r="CX29" s="1675">
        <v>-66</v>
      </c>
      <c r="CY29" s="1115">
        <v>-66</v>
      </c>
      <c r="CZ29" s="1115">
        <v>0</v>
      </c>
      <c r="DA29" s="1115">
        <v>0</v>
      </c>
      <c r="DB29" s="1676">
        <v>0</v>
      </c>
      <c r="DC29" s="1049">
        <f t="shared" si="28"/>
        <v>-132</v>
      </c>
      <c r="DD29" s="1675"/>
      <c r="DE29" s="1115"/>
      <c r="DF29" s="1115"/>
      <c r="DG29" s="1115"/>
      <c r="DH29" s="1115"/>
      <c r="DI29" s="1114">
        <f t="shared" si="29"/>
        <v>0</v>
      </c>
      <c r="DJ29" s="1115"/>
      <c r="DK29" s="1115"/>
      <c r="DL29" s="1115"/>
      <c r="DM29" s="1115"/>
      <c r="DN29" s="1115"/>
      <c r="DO29" s="1115">
        <f t="shared" si="30"/>
        <v>0</v>
      </c>
      <c r="DP29" s="1675">
        <v>4125</v>
      </c>
      <c r="DQ29" s="1115">
        <v>2846.25</v>
      </c>
      <c r="DR29" s="1115">
        <v>1278.75</v>
      </c>
      <c r="DS29" s="1115">
        <v>0</v>
      </c>
      <c r="DT29" s="1676">
        <v>0</v>
      </c>
      <c r="DU29" s="1050">
        <f t="shared" si="31"/>
        <v>8250</v>
      </c>
      <c r="DV29" s="1677">
        <v>-33.82</v>
      </c>
      <c r="DW29" s="1045">
        <v>0</v>
      </c>
      <c r="DX29" s="1045">
        <v>-6.22</v>
      </c>
      <c r="DY29" s="1045">
        <v>0.04</v>
      </c>
      <c r="DZ29" s="1678">
        <v>0</v>
      </c>
      <c r="EA29" s="1049">
        <f t="shared" si="32"/>
        <v>-40</v>
      </c>
    </row>
    <row r="30" spans="1:131" ht="15" customHeight="1" x14ac:dyDescent="0.25">
      <c r="A30" s="716" t="s">
        <v>68</v>
      </c>
      <c r="B30" s="810" t="s">
        <v>69</v>
      </c>
      <c r="C30" s="911" t="s">
        <v>268</v>
      </c>
      <c r="D30" s="808">
        <f t="shared" si="5"/>
        <v>84613.829984959943</v>
      </c>
      <c r="E30" s="808">
        <f t="shared" si="6"/>
        <v>20115.510015040043</v>
      </c>
      <c r="F30" s="808">
        <f t="shared" si="7"/>
        <v>21684.74</v>
      </c>
      <c r="G30" s="808">
        <f t="shared" si="8"/>
        <v>-0.05</v>
      </c>
      <c r="H30" s="808">
        <f t="shared" si="9"/>
        <v>0</v>
      </c>
      <c r="I30" s="1391">
        <f t="shared" si="10"/>
        <v>126414.02999999998</v>
      </c>
      <c r="J30" s="809">
        <f t="shared" si="11"/>
        <v>-0.05</v>
      </c>
      <c r="K30" s="1392">
        <f t="shared" si="12"/>
        <v>21684.690000000002</v>
      </c>
      <c r="L30" s="1657"/>
      <c r="M30" s="1658"/>
      <c r="N30" s="1658"/>
      <c r="O30" s="1658"/>
      <c r="P30" s="1659"/>
      <c r="Q30" s="1036">
        <f t="shared" si="13"/>
        <v>0</v>
      </c>
      <c r="R30" s="1650"/>
      <c r="S30" s="1040"/>
      <c r="T30" s="1040"/>
      <c r="U30" s="1040"/>
      <c r="V30" s="1651"/>
      <c r="W30" s="1039">
        <f t="shared" si="14"/>
        <v>0</v>
      </c>
      <c r="X30" s="1664">
        <v>8193.67</v>
      </c>
      <c r="Y30" s="1665">
        <v>48.78</v>
      </c>
      <c r="Z30" s="1665">
        <v>1511.92</v>
      </c>
      <c r="AA30" s="1665">
        <v>0</v>
      </c>
      <c r="AB30" s="1666">
        <v>0</v>
      </c>
      <c r="AC30" s="1037">
        <f t="shared" si="15"/>
        <v>9754.3700000000008</v>
      </c>
      <c r="AD30" s="1675">
        <v>28621.69</v>
      </c>
      <c r="AE30" s="1115">
        <v>0</v>
      </c>
      <c r="AF30" s="1115">
        <v>7155.42</v>
      </c>
      <c r="AG30" s="1115">
        <v>0</v>
      </c>
      <c r="AH30" s="1676">
        <v>0</v>
      </c>
      <c r="AI30" s="1049">
        <f t="shared" si="16"/>
        <v>35777.11</v>
      </c>
      <c r="AJ30" s="1667"/>
      <c r="AK30" s="1038"/>
      <c r="AL30" s="1038"/>
      <c r="AM30" s="1038"/>
      <c r="AN30" s="1038"/>
      <c r="AO30" s="1041">
        <f t="shared" si="17"/>
        <v>0</v>
      </c>
      <c r="AP30" s="1686">
        <v>5325.31</v>
      </c>
      <c r="AQ30" s="1687">
        <v>1331.33</v>
      </c>
      <c r="AR30" s="1687">
        <v>0</v>
      </c>
      <c r="AS30" s="1687">
        <v>0</v>
      </c>
      <c r="AT30" s="1688">
        <v>0</v>
      </c>
      <c r="AU30" s="1043">
        <f t="shared" si="18"/>
        <v>6656.64</v>
      </c>
      <c r="AV30" s="1692">
        <v>6602.98</v>
      </c>
      <c r="AW30" s="1693">
        <v>1650.75</v>
      </c>
      <c r="AX30" s="1693">
        <v>0</v>
      </c>
      <c r="AY30" s="1693">
        <v>0</v>
      </c>
      <c r="AZ30" s="1694">
        <v>0</v>
      </c>
      <c r="BA30" s="1039">
        <f t="shared" si="19"/>
        <v>8253.73</v>
      </c>
      <c r="BB30" s="1675">
        <v>812.59</v>
      </c>
      <c r="BC30" s="1115">
        <v>1467.41</v>
      </c>
      <c r="BD30" s="1115">
        <v>0</v>
      </c>
      <c r="BE30" s="1115">
        <v>0</v>
      </c>
      <c r="BF30" s="1676">
        <v>0</v>
      </c>
      <c r="BG30" s="1046">
        <f t="shared" si="20"/>
        <v>2280</v>
      </c>
      <c r="BH30" s="1675">
        <v>22503.33</v>
      </c>
      <c r="BI30" s="1115">
        <v>2850.42</v>
      </c>
      <c r="BJ30" s="1115">
        <v>4650.71</v>
      </c>
      <c r="BK30" s="1115">
        <v>-0.05</v>
      </c>
      <c r="BL30" s="1676">
        <v>0</v>
      </c>
      <c r="BM30" s="1046">
        <f t="shared" si="21"/>
        <v>30004.41</v>
      </c>
      <c r="BN30" s="1675"/>
      <c r="BO30" s="1115"/>
      <c r="BP30" s="1115"/>
      <c r="BQ30" s="1115"/>
      <c r="BR30" s="1676"/>
      <c r="BS30" s="1049">
        <f t="shared" si="22"/>
        <v>0</v>
      </c>
      <c r="BT30" s="1675">
        <v>1693.0599849599548</v>
      </c>
      <c r="BU30" s="1115">
        <v>10255.220015040046</v>
      </c>
      <c r="BV30" s="1115">
        <v>2191.69</v>
      </c>
      <c r="BW30" s="1115">
        <v>0</v>
      </c>
      <c r="BX30" s="1676">
        <v>0</v>
      </c>
      <c r="BY30" s="1049">
        <f t="shared" si="23"/>
        <v>14139.970000000001</v>
      </c>
      <c r="BZ30" s="1675">
        <v>2531.42</v>
      </c>
      <c r="CA30" s="1115">
        <v>0</v>
      </c>
      <c r="CB30" s="1115">
        <v>3765.64</v>
      </c>
      <c r="CC30" s="1115">
        <v>0</v>
      </c>
      <c r="CD30" s="1676">
        <v>0</v>
      </c>
      <c r="CE30" s="1049">
        <f t="shared" si="24"/>
        <v>6297.0599999999995</v>
      </c>
      <c r="CF30" s="1675">
        <v>160.80000000000001</v>
      </c>
      <c r="CG30" s="1115">
        <v>0</v>
      </c>
      <c r="CH30" s="1115">
        <v>439.2</v>
      </c>
      <c r="CI30" s="1115">
        <v>0</v>
      </c>
      <c r="CJ30" s="1676">
        <v>0</v>
      </c>
      <c r="CK30" s="1046">
        <f t="shared" si="25"/>
        <v>600</v>
      </c>
      <c r="CL30" s="1675"/>
      <c r="CM30" s="1115"/>
      <c r="CN30" s="1115"/>
      <c r="CO30" s="1115"/>
      <c r="CP30" s="1676"/>
      <c r="CQ30" s="1049">
        <f t="shared" si="26"/>
        <v>0</v>
      </c>
      <c r="CR30" s="1677"/>
      <c r="CS30" s="1045"/>
      <c r="CT30" s="1045"/>
      <c r="CU30" s="1045"/>
      <c r="CV30" s="1045"/>
      <c r="CW30" s="1046">
        <f t="shared" si="27"/>
        <v>0</v>
      </c>
      <c r="CX30" s="1675"/>
      <c r="CY30" s="1115"/>
      <c r="CZ30" s="1115"/>
      <c r="DA30" s="1115"/>
      <c r="DB30" s="1676"/>
      <c r="DC30" s="1049">
        <f t="shared" si="28"/>
        <v>0</v>
      </c>
      <c r="DD30" s="1675">
        <v>-60</v>
      </c>
      <c r="DE30" s="1115">
        <v>0</v>
      </c>
      <c r="DF30" s="1115">
        <v>0</v>
      </c>
      <c r="DG30" s="1115">
        <v>0</v>
      </c>
      <c r="DH30" s="1115">
        <v>0</v>
      </c>
      <c r="DI30" s="1114">
        <f t="shared" si="29"/>
        <v>-60</v>
      </c>
      <c r="DJ30" s="1115"/>
      <c r="DK30" s="1115"/>
      <c r="DL30" s="1115"/>
      <c r="DM30" s="1115"/>
      <c r="DN30" s="1115"/>
      <c r="DO30" s="1115">
        <f t="shared" si="30"/>
        <v>0</v>
      </c>
      <c r="DP30" s="1675">
        <v>3640</v>
      </c>
      <c r="DQ30" s="1115">
        <v>2511.6</v>
      </c>
      <c r="DR30" s="1115">
        <v>1128.4000000000001</v>
      </c>
      <c r="DS30" s="1115">
        <v>0</v>
      </c>
      <c r="DT30" s="1676">
        <v>0</v>
      </c>
      <c r="DU30" s="1050">
        <f t="shared" si="31"/>
        <v>7280</v>
      </c>
      <c r="DV30" s="1675">
        <v>4588.9799999999996</v>
      </c>
      <c r="DW30" s="1115">
        <v>0</v>
      </c>
      <c r="DX30" s="1115">
        <v>841.76</v>
      </c>
      <c r="DY30" s="1115">
        <v>0</v>
      </c>
      <c r="DZ30" s="1676">
        <v>0</v>
      </c>
      <c r="EA30" s="1049">
        <f t="shared" si="32"/>
        <v>5430.74</v>
      </c>
    </row>
    <row r="31" spans="1:131" ht="15" customHeight="1" x14ac:dyDescent="0.25">
      <c r="A31" s="716" t="s">
        <v>70</v>
      </c>
      <c r="B31" s="810" t="s">
        <v>71</v>
      </c>
      <c r="C31" s="911" t="s">
        <v>264</v>
      </c>
      <c r="D31" s="808">
        <f t="shared" si="5"/>
        <v>74953.307955584285</v>
      </c>
      <c r="E31" s="808">
        <f t="shared" si="6"/>
        <v>16865.552044415723</v>
      </c>
      <c r="F31" s="808">
        <f t="shared" si="7"/>
        <v>19637.050000000003</v>
      </c>
      <c r="G31" s="808">
        <f t="shared" si="8"/>
        <v>102041.31999999999</v>
      </c>
      <c r="H31" s="808">
        <f t="shared" si="9"/>
        <v>0</v>
      </c>
      <c r="I31" s="1391">
        <f t="shared" si="10"/>
        <v>213497.23</v>
      </c>
      <c r="J31" s="809">
        <f t="shared" si="11"/>
        <v>102041.31999999999</v>
      </c>
      <c r="K31" s="1392">
        <f t="shared" si="12"/>
        <v>121678.37</v>
      </c>
      <c r="L31" s="1656"/>
      <c r="M31" s="1035"/>
      <c r="N31" s="1035"/>
      <c r="O31" s="1035"/>
      <c r="P31" s="1035"/>
      <c r="Q31" s="1036">
        <f t="shared" si="13"/>
        <v>0</v>
      </c>
      <c r="R31" s="1650"/>
      <c r="S31" s="1040"/>
      <c r="T31" s="1040"/>
      <c r="U31" s="1040"/>
      <c r="V31" s="1651"/>
      <c r="W31" s="1039">
        <f t="shared" si="14"/>
        <v>0</v>
      </c>
      <c r="X31" s="1664">
        <v>1644.6</v>
      </c>
      <c r="Y31" s="1665">
        <v>9.7899999999999991</v>
      </c>
      <c r="Z31" s="1665">
        <v>303.47000000000003</v>
      </c>
      <c r="AA31" s="1665">
        <v>0</v>
      </c>
      <c r="AB31" s="1666">
        <v>0</v>
      </c>
      <c r="AC31" s="1037">
        <f t="shared" si="15"/>
        <v>1957.86</v>
      </c>
      <c r="AD31" s="1675">
        <v>48000.01</v>
      </c>
      <c r="AE31" s="1115">
        <v>0</v>
      </c>
      <c r="AF31" s="1115">
        <v>11999.99</v>
      </c>
      <c r="AG31" s="1115">
        <v>101596.59</v>
      </c>
      <c r="AH31" s="1676">
        <v>0</v>
      </c>
      <c r="AI31" s="1049">
        <f t="shared" si="16"/>
        <v>161596.59</v>
      </c>
      <c r="AJ31" s="1667"/>
      <c r="AK31" s="1038"/>
      <c r="AL31" s="1038"/>
      <c r="AM31" s="1038"/>
      <c r="AN31" s="1038"/>
      <c r="AO31" s="1041">
        <f t="shared" si="17"/>
        <v>0</v>
      </c>
      <c r="AP31" s="1686">
        <v>-1083.4000000000001</v>
      </c>
      <c r="AQ31" s="1687">
        <v>-270.85000000000002</v>
      </c>
      <c r="AR31" s="1687">
        <v>0</v>
      </c>
      <c r="AS31" s="1687">
        <v>0</v>
      </c>
      <c r="AT31" s="1688">
        <v>0</v>
      </c>
      <c r="AU31" s="1043">
        <f t="shared" si="18"/>
        <v>-1354.25</v>
      </c>
      <c r="AV31" s="1692">
        <v>2115.1799999999998</v>
      </c>
      <c r="AW31" s="1693">
        <v>528.78</v>
      </c>
      <c r="AX31" s="1693">
        <v>0</v>
      </c>
      <c r="AY31" s="1693">
        <v>0</v>
      </c>
      <c r="AZ31" s="1694">
        <v>0</v>
      </c>
      <c r="BA31" s="1039">
        <f t="shared" si="19"/>
        <v>2643.96</v>
      </c>
      <c r="BB31" s="1677">
        <v>318.97000000000003</v>
      </c>
      <c r="BC31" s="1045">
        <v>576.03</v>
      </c>
      <c r="BD31" s="1045">
        <v>0</v>
      </c>
      <c r="BE31" s="1045">
        <v>0</v>
      </c>
      <c r="BF31" s="1045">
        <v>0</v>
      </c>
      <c r="BG31" s="1046">
        <f t="shared" si="20"/>
        <v>895</v>
      </c>
      <c r="BH31" s="1675">
        <v>14368.51</v>
      </c>
      <c r="BI31" s="1115">
        <v>1820.02</v>
      </c>
      <c r="BJ31" s="1115">
        <v>2969.51</v>
      </c>
      <c r="BK31" s="1115">
        <v>444.81</v>
      </c>
      <c r="BL31" s="1676">
        <v>0</v>
      </c>
      <c r="BM31" s="1046">
        <f t="shared" si="21"/>
        <v>19602.850000000002</v>
      </c>
      <c r="BN31" s="1675"/>
      <c r="BO31" s="1115"/>
      <c r="BP31" s="1115"/>
      <c r="BQ31" s="1115"/>
      <c r="BR31" s="1676"/>
      <c r="BS31" s="1049">
        <f t="shared" si="22"/>
        <v>0</v>
      </c>
      <c r="BT31" s="1675">
        <v>2016.7579555842758</v>
      </c>
      <c r="BU31" s="1115">
        <v>11860.262044415724</v>
      </c>
      <c r="BV31" s="1115">
        <v>2545.5</v>
      </c>
      <c r="BW31" s="1115">
        <v>-7.0000000000000007E-2</v>
      </c>
      <c r="BX31" s="1676">
        <v>0</v>
      </c>
      <c r="BY31" s="1049">
        <f t="shared" si="23"/>
        <v>16422.45</v>
      </c>
      <c r="BZ31" s="1677"/>
      <c r="CA31" s="1045"/>
      <c r="CB31" s="1045"/>
      <c r="CC31" s="1045"/>
      <c r="CD31" s="1678"/>
      <c r="CE31" s="1049">
        <f t="shared" si="24"/>
        <v>0</v>
      </c>
      <c r="CF31" s="1677"/>
      <c r="CG31" s="1045"/>
      <c r="CH31" s="1045"/>
      <c r="CI31" s="1045"/>
      <c r="CJ31" s="1045"/>
      <c r="CK31" s="1046">
        <f t="shared" si="25"/>
        <v>0</v>
      </c>
      <c r="CL31" s="1675"/>
      <c r="CM31" s="1115"/>
      <c r="CN31" s="1115"/>
      <c r="CO31" s="1115"/>
      <c r="CP31" s="1676"/>
      <c r="CQ31" s="1049">
        <f t="shared" si="26"/>
        <v>0</v>
      </c>
      <c r="CR31" s="1675"/>
      <c r="CS31" s="1115"/>
      <c r="CT31" s="1115"/>
      <c r="CU31" s="1115"/>
      <c r="CV31" s="1676"/>
      <c r="CW31" s="1046">
        <f t="shared" si="27"/>
        <v>0</v>
      </c>
      <c r="CX31" s="1675"/>
      <c r="CY31" s="1115"/>
      <c r="CZ31" s="1115"/>
      <c r="DA31" s="1115"/>
      <c r="DB31" s="1676"/>
      <c r="DC31" s="1049">
        <f t="shared" si="28"/>
        <v>0</v>
      </c>
      <c r="DD31" s="1675"/>
      <c r="DE31" s="1115"/>
      <c r="DF31" s="1115"/>
      <c r="DG31" s="1115"/>
      <c r="DH31" s="1115"/>
      <c r="DI31" s="1114">
        <f t="shared" si="29"/>
        <v>0</v>
      </c>
      <c r="DJ31" s="1115"/>
      <c r="DK31" s="1115"/>
      <c r="DL31" s="1115"/>
      <c r="DM31" s="1115"/>
      <c r="DN31" s="1115"/>
      <c r="DO31" s="1115">
        <f t="shared" si="30"/>
        <v>0</v>
      </c>
      <c r="DP31" s="1675">
        <v>3393.5</v>
      </c>
      <c r="DQ31" s="1115">
        <v>2341.52</v>
      </c>
      <c r="DR31" s="1115">
        <v>1051.99</v>
      </c>
      <c r="DS31" s="1115">
        <v>-0.01</v>
      </c>
      <c r="DT31" s="1676">
        <v>0</v>
      </c>
      <c r="DU31" s="1050">
        <f t="shared" si="31"/>
        <v>6787</v>
      </c>
      <c r="DV31" s="1675">
        <v>4179.18</v>
      </c>
      <c r="DW31" s="1115">
        <v>0</v>
      </c>
      <c r="DX31" s="1115">
        <v>766.59</v>
      </c>
      <c r="DY31" s="1115">
        <v>0</v>
      </c>
      <c r="DZ31" s="1676">
        <v>0</v>
      </c>
      <c r="EA31" s="1049">
        <f t="shared" si="32"/>
        <v>4945.7700000000004</v>
      </c>
    </row>
    <row r="32" spans="1:131" ht="15" customHeight="1" x14ac:dyDescent="0.25">
      <c r="A32" s="716" t="s">
        <v>72</v>
      </c>
      <c r="B32" s="810" t="s">
        <v>73</v>
      </c>
      <c r="C32" s="911" t="s">
        <v>266</v>
      </c>
      <c r="D32" s="808">
        <f t="shared" si="5"/>
        <v>28019.476405417732</v>
      </c>
      <c r="E32" s="808">
        <f t="shared" si="6"/>
        <v>13554.763594582269</v>
      </c>
      <c r="F32" s="808">
        <f t="shared" si="7"/>
        <v>8076.95</v>
      </c>
      <c r="G32" s="808">
        <f t="shared" si="8"/>
        <v>-6.0000000000000005E-2</v>
      </c>
      <c r="H32" s="808">
        <f t="shared" si="9"/>
        <v>0</v>
      </c>
      <c r="I32" s="1391">
        <f t="shared" si="10"/>
        <v>49651.130000000005</v>
      </c>
      <c r="J32" s="809">
        <f t="shared" si="11"/>
        <v>-6.0000000000000005E-2</v>
      </c>
      <c r="K32" s="1392">
        <f t="shared" si="12"/>
        <v>8076.8899999999994</v>
      </c>
      <c r="L32" s="1656"/>
      <c r="M32" s="1035"/>
      <c r="N32" s="1035"/>
      <c r="O32" s="1035"/>
      <c r="P32" s="1035"/>
      <c r="Q32" s="1036">
        <f t="shared" si="13"/>
        <v>0</v>
      </c>
      <c r="R32" s="1652"/>
      <c r="S32" s="1113"/>
      <c r="T32" s="1113"/>
      <c r="U32" s="1113"/>
      <c r="V32" s="1653"/>
      <c r="W32" s="1039">
        <f t="shared" si="14"/>
        <v>0</v>
      </c>
      <c r="X32" s="1664">
        <v>378</v>
      </c>
      <c r="Y32" s="1665">
        <v>2.25</v>
      </c>
      <c r="Z32" s="1665">
        <v>69.75</v>
      </c>
      <c r="AA32" s="1665">
        <v>0</v>
      </c>
      <c r="AB32" s="1666">
        <v>0</v>
      </c>
      <c r="AC32" s="1037">
        <f t="shared" si="15"/>
        <v>450</v>
      </c>
      <c r="AD32" s="1675">
        <v>10762.13</v>
      </c>
      <c r="AE32" s="1115">
        <v>0</v>
      </c>
      <c r="AF32" s="1115">
        <v>2690.54</v>
      </c>
      <c r="AG32" s="1115">
        <v>0</v>
      </c>
      <c r="AH32" s="1676">
        <v>0</v>
      </c>
      <c r="AI32" s="1049">
        <f t="shared" si="16"/>
        <v>13452.669999999998</v>
      </c>
      <c r="AJ32" s="1667"/>
      <c r="AK32" s="1038"/>
      <c r="AL32" s="1038"/>
      <c r="AM32" s="1038"/>
      <c r="AN32" s="1038"/>
      <c r="AO32" s="1041">
        <f t="shared" si="17"/>
        <v>0</v>
      </c>
      <c r="AP32" s="1689">
        <v>57.6</v>
      </c>
      <c r="AQ32" s="1042">
        <v>14.4</v>
      </c>
      <c r="AR32" s="1042">
        <v>0</v>
      </c>
      <c r="AS32" s="1042">
        <v>0</v>
      </c>
      <c r="AT32" s="1042">
        <v>0</v>
      </c>
      <c r="AU32" s="1043">
        <f t="shared" si="18"/>
        <v>72</v>
      </c>
      <c r="AV32" s="1650">
        <v>966.02</v>
      </c>
      <c r="AW32" s="1040">
        <v>241.5</v>
      </c>
      <c r="AX32" s="1040">
        <v>0</v>
      </c>
      <c r="AY32" s="1040">
        <v>0</v>
      </c>
      <c r="AZ32" s="1651">
        <v>0</v>
      </c>
      <c r="BA32" s="1039">
        <f t="shared" si="19"/>
        <v>1207.52</v>
      </c>
      <c r="BB32" s="1677">
        <v>59.88</v>
      </c>
      <c r="BC32" s="1045">
        <v>108.12</v>
      </c>
      <c r="BD32" s="1045">
        <v>0</v>
      </c>
      <c r="BE32" s="1045">
        <v>0</v>
      </c>
      <c r="BF32" s="1045">
        <v>0</v>
      </c>
      <c r="BG32" s="1046">
        <f t="shared" si="20"/>
        <v>168</v>
      </c>
      <c r="BH32" s="1675">
        <v>13507.27</v>
      </c>
      <c r="BI32" s="1115">
        <v>1710.94</v>
      </c>
      <c r="BJ32" s="1115">
        <v>2791.52</v>
      </c>
      <c r="BK32" s="1115">
        <v>-0.04</v>
      </c>
      <c r="BL32" s="1676">
        <v>0</v>
      </c>
      <c r="BM32" s="1046">
        <f t="shared" si="21"/>
        <v>18009.689999999999</v>
      </c>
      <c r="BN32" s="1675"/>
      <c r="BO32" s="1115"/>
      <c r="BP32" s="1115"/>
      <c r="BQ32" s="1115"/>
      <c r="BR32" s="1676"/>
      <c r="BS32" s="1049">
        <f t="shared" si="22"/>
        <v>0</v>
      </c>
      <c r="BT32" s="1675">
        <v>2292.8064054177321</v>
      </c>
      <c r="BU32" s="1115">
        <v>11477.553594582268</v>
      </c>
      <c r="BV32" s="1115">
        <v>2525.92</v>
      </c>
      <c r="BW32" s="1115">
        <v>-0.03</v>
      </c>
      <c r="BX32" s="1676">
        <v>0</v>
      </c>
      <c r="BY32" s="1049">
        <f t="shared" si="23"/>
        <v>16296.25</v>
      </c>
      <c r="BZ32" s="1677"/>
      <c r="CA32" s="1045"/>
      <c r="CB32" s="1045"/>
      <c r="CC32" s="1045"/>
      <c r="CD32" s="1678"/>
      <c r="CE32" s="1049">
        <f t="shared" si="24"/>
        <v>0</v>
      </c>
      <c r="CF32" s="1677"/>
      <c r="CG32" s="1045"/>
      <c r="CH32" s="1045"/>
      <c r="CI32" s="1045"/>
      <c r="CJ32" s="1045"/>
      <c r="CK32" s="1046">
        <f t="shared" si="25"/>
        <v>0</v>
      </c>
      <c r="CL32" s="1675"/>
      <c r="CM32" s="1115"/>
      <c r="CN32" s="1115"/>
      <c r="CO32" s="1115"/>
      <c r="CP32" s="1676"/>
      <c r="CQ32" s="1049">
        <f t="shared" si="26"/>
        <v>0</v>
      </c>
      <c r="CR32" s="1675"/>
      <c r="CS32" s="1115"/>
      <c r="CT32" s="1115"/>
      <c r="CU32" s="1115"/>
      <c r="CV32" s="1676"/>
      <c r="CW32" s="1046">
        <f t="shared" si="27"/>
        <v>0</v>
      </c>
      <c r="CX32" s="1675"/>
      <c r="CY32" s="1115"/>
      <c r="CZ32" s="1115"/>
      <c r="DA32" s="1115"/>
      <c r="DB32" s="1676"/>
      <c r="DC32" s="1049">
        <f t="shared" si="28"/>
        <v>0</v>
      </c>
      <c r="DD32" s="1675"/>
      <c r="DE32" s="1115"/>
      <c r="DF32" s="1115"/>
      <c r="DG32" s="1115"/>
      <c r="DH32" s="1115"/>
      <c r="DI32" s="1114">
        <f t="shared" si="29"/>
        <v>0</v>
      </c>
      <c r="DJ32" s="1115"/>
      <c r="DK32" s="1115"/>
      <c r="DL32" s="1115"/>
      <c r="DM32" s="1115"/>
      <c r="DN32" s="1115"/>
      <c r="DO32" s="1115">
        <f t="shared" si="30"/>
        <v>0</v>
      </c>
      <c r="DP32" s="1675"/>
      <c r="DQ32" s="1115"/>
      <c r="DR32" s="1115"/>
      <c r="DS32" s="1115"/>
      <c r="DT32" s="1676"/>
      <c r="DU32" s="1050">
        <f t="shared" si="31"/>
        <v>0</v>
      </c>
      <c r="DV32" s="1677">
        <v>-4.2300000000000004</v>
      </c>
      <c r="DW32" s="1045">
        <v>0</v>
      </c>
      <c r="DX32" s="1045">
        <v>-0.78</v>
      </c>
      <c r="DY32" s="1045">
        <v>0.01</v>
      </c>
      <c r="DZ32" s="1678">
        <v>0</v>
      </c>
      <c r="EA32" s="1049">
        <f t="shared" si="32"/>
        <v>-5.0000000000000009</v>
      </c>
    </row>
    <row r="33" spans="1:131" ht="15" customHeight="1" x14ac:dyDescent="0.25">
      <c r="A33" s="716" t="s">
        <v>74</v>
      </c>
      <c r="B33" s="810" t="s">
        <v>302</v>
      </c>
      <c r="C33" s="911" t="s">
        <v>267</v>
      </c>
      <c r="D33" s="808">
        <f t="shared" si="5"/>
        <v>1225190.8208141366</v>
      </c>
      <c r="E33" s="808">
        <f t="shared" si="6"/>
        <v>781035.05918586336</v>
      </c>
      <c r="F33" s="808">
        <f t="shared" si="7"/>
        <v>448039.76</v>
      </c>
      <c r="G33" s="808">
        <f t="shared" si="8"/>
        <v>-4175.2800000000007</v>
      </c>
      <c r="H33" s="808">
        <f t="shared" si="9"/>
        <v>950108.62999999989</v>
      </c>
      <c r="I33" s="1391">
        <f t="shared" si="10"/>
        <v>3400198.9899999998</v>
      </c>
      <c r="J33" s="809">
        <f t="shared" si="11"/>
        <v>945933.34999999986</v>
      </c>
      <c r="K33" s="1392">
        <f t="shared" si="12"/>
        <v>1393973.1099999999</v>
      </c>
      <c r="L33" s="1656"/>
      <c r="M33" s="1035"/>
      <c r="N33" s="1035"/>
      <c r="O33" s="1035"/>
      <c r="P33" s="1035"/>
      <c r="Q33" s="1036">
        <f t="shared" si="13"/>
        <v>0</v>
      </c>
      <c r="R33" s="1652"/>
      <c r="S33" s="1113"/>
      <c r="T33" s="1113"/>
      <c r="U33" s="1113"/>
      <c r="V33" s="1653"/>
      <c r="W33" s="1039">
        <f t="shared" si="14"/>
        <v>0</v>
      </c>
      <c r="X33" s="1664">
        <v>52440.34</v>
      </c>
      <c r="Y33" s="1665">
        <v>312.14999999999998</v>
      </c>
      <c r="Z33" s="1665">
        <v>9676.5</v>
      </c>
      <c r="AA33" s="1665">
        <v>0.01</v>
      </c>
      <c r="AB33" s="1666">
        <v>0</v>
      </c>
      <c r="AC33" s="1037">
        <f t="shared" si="15"/>
        <v>62429</v>
      </c>
      <c r="AD33" s="1675">
        <v>725599.99</v>
      </c>
      <c r="AE33" s="1115">
        <v>0</v>
      </c>
      <c r="AF33" s="1115">
        <v>181400.01</v>
      </c>
      <c r="AG33" s="1115">
        <v>0</v>
      </c>
      <c r="AH33" s="1676">
        <v>853502.4</v>
      </c>
      <c r="AI33" s="1049">
        <f t="shared" si="16"/>
        <v>1760502.4</v>
      </c>
      <c r="AJ33" s="1664">
        <v>18468.240000000002</v>
      </c>
      <c r="AK33" s="1665">
        <v>2910.28</v>
      </c>
      <c r="AL33" s="1665">
        <v>3921.52</v>
      </c>
      <c r="AM33" s="1665">
        <v>-0.04</v>
      </c>
      <c r="AN33" s="1666">
        <v>597.70000000000005</v>
      </c>
      <c r="AO33" s="1041">
        <f t="shared" si="17"/>
        <v>25897.7</v>
      </c>
      <c r="AP33" s="1686">
        <v>48177.43</v>
      </c>
      <c r="AQ33" s="1687">
        <v>12044.35</v>
      </c>
      <c r="AR33" s="1687">
        <v>0</v>
      </c>
      <c r="AS33" s="1687">
        <v>0</v>
      </c>
      <c r="AT33" s="1688">
        <v>0</v>
      </c>
      <c r="AU33" s="1043">
        <f t="shared" si="18"/>
        <v>60221.78</v>
      </c>
      <c r="AV33" s="1692">
        <v>44910.78</v>
      </c>
      <c r="AW33" s="1693">
        <v>11227.7</v>
      </c>
      <c r="AX33" s="1693">
        <v>0</v>
      </c>
      <c r="AY33" s="1693">
        <v>0</v>
      </c>
      <c r="AZ33" s="1694">
        <v>0</v>
      </c>
      <c r="BA33" s="1039">
        <f t="shared" si="19"/>
        <v>56138.479999999996</v>
      </c>
      <c r="BB33" s="1675">
        <v>6058.79</v>
      </c>
      <c r="BC33" s="1115">
        <v>10941.21</v>
      </c>
      <c r="BD33" s="1115">
        <v>0</v>
      </c>
      <c r="BE33" s="1115">
        <v>0</v>
      </c>
      <c r="BF33" s="1676">
        <v>0</v>
      </c>
      <c r="BG33" s="1046">
        <f t="shared" si="20"/>
        <v>17000</v>
      </c>
      <c r="BH33" s="1675">
        <v>28650.01</v>
      </c>
      <c r="BI33" s="1115">
        <v>3629.01</v>
      </c>
      <c r="BJ33" s="1115">
        <v>5921.01</v>
      </c>
      <c r="BK33" s="1115">
        <v>-0.03</v>
      </c>
      <c r="BL33" s="1676">
        <v>6558.49</v>
      </c>
      <c r="BM33" s="1046">
        <f t="shared" si="21"/>
        <v>44758.49</v>
      </c>
      <c r="BN33" s="1675"/>
      <c r="BO33" s="1115"/>
      <c r="BP33" s="1115"/>
      <c r="BQ33" s="1115"/>
      <c r="BR33" s="1676"/>
      <c r="BS33" s="1049">
        <f t="shared" si="22"/>
        <v>0</v>
      </c>
      <c r="BT33" s="1675">
        <v>186742.03081413661</v>
      </c>
      <c r="BU33" s="1115">
        <v>705512.98918586341</v>
      </c>
      <c r="BV33" s="1115">
        <v>163668.16</v>
      </c>
      <c r="BW33" s="1115">
        <v>-0.18</v>
      </c>
      <c r="BX33" s="1676">
        <v>88549.33</v>
      </c>
      <c r="BY33" s="1049">
        <f t="shared" si="23"/>
        <v>1144472.33</v>
      </c>
      <c r="BZ33" s="1675">
        <v>41831.86</v>
      </c>
      <c r="CA33" s="1115">
        <v>0</v>
      </c>
      <c r="CB33" s="1115">
        <v>62227.51</v>
      </c>
      <c r="CC33" s="1115">
        <v>0</v>
      </c>
      <c r="CD33" s="1676">
        <v>0</v>
      </c>
      <c r="CE33" s="1049">
        <f t="shared" si="24"/>
        <v>104059.37</v>
      </c>
      <c r="CF33" s="1675"/>
      <c r="CG33" s="1115"/>
      <c r="CH33" s="1115"/>
      <c r="CI33" s="1115"/>
      <c r="CJ33" s="1676"/>
      <c r="CK33" s="1046">
        <f t="shared" si="25"/>
        <v>0</v>
      </c>
      <c r="CL33" s="1675"/>
      <c r="CM33" s="1115"/>
      <c r="CN33" s="1115"/>
      <c r="CO33" s="1115"/>
      <c r="CP33" s="1676"/>
      <c r="CQ33" s="1049">
        <f t="shared" si="26"/>
        <v>0</v>
      </c>
      <c r="CR33" s="1675"/>
      <c r="CS33" s="1115"/>
      <c r="CT33" s="1115"/>
      <c r="CU33" s="1115"/>
      <c r="CV33" s="1676"/>
      <c r="CW33" s="1046">
        <f t="shared" si="27"/>
        <v>0</v>
      </c>
      <c r="CX33" s="1675"/>
      <c r="CY33" s="1115"/>
      <c r="CZ33" s="1115"/>
      <c r="DA33" s="1115"/>
      <c r="DB33" s="1676"/>
      <c r="DC33" s="1049">
        <f t="shared" si="28"/>
        <v>0</v>
      </c>
      <c r="DD33" s="1675">
        <v>-7886.87</v>
      </c>
      <c r="DE33" s="1115">
        <v>0</v>
      </c>
      <c r="DF33" s="1115">
        <v>0</v>
      </c>
      <c r="DG33" s="1115">
        <v>0</v>
      </c>
      <c r="DH33" s="1115">
        <v>0</v>
      </c>
      <c r="DI33" s="1114">
        <f t="shared" si="29"/>
        <v>-7886.87</v>
      </c>
      <c r="DJ33" s="1115">
        <v>-527.70000000000005</v>
      </c>
      <c r="DK33" s="1115">
        <v>-527.70000000000005</v>
      </c>
      <c r="DL33" s="1115">
        <v>0</v>
      </c>
      <c r="DM33" s="1115">
        <v>0</v>
      </c>
      <c r="DN33" s="1115">
        <v>0</v>
      </c>
      <c r="DO33" s="1115">
        <f t="shared" si="30"/>
        <v>-1055.4000000000001</v>
      </c>
      <c r="DP33" s="1675">
        <v>50703.040000000001</v>
      </c>
      <c r="DQ33" s="1115">
        <v>34985.07</v>
      </c>
      <c r="DR33" s="1115">
        <v>15717.92</v>
      </c>
      <c r="DS33" s="1115">
        <v>-0.03</v>
      </c>
      <c r="DT33" s="1676">
        <v>0</v>
      </c>
      <c r="DU33" s="1050">
        <f t="shared" si="31"/>
        <v>101406</v>
      </c>
      <c r="DV33" s="1675">
        <v>30022.880000000001</v>
      </c>
      <c r="DW33" s="1115">
        <v>0</v>
      </c>
      <c r="DX33" s="1115">
        <v>5507.13</v>
      </c>
      <c r="DY33" s="1115">
        <v>-4175.01</v>
      </c>
      <c r="DZ33" s="1676">
        <v>900.71</v>
      </c>
      <c r="EA33" s="1049">
        <f t="shared" si="32"/>
        <v>32255.71</v>
      </c>
    </row>
    <row r="34" spans="1:131" ht="15" customHeight="1" x14ac:dyDescent="0.25">
      <c r="A34" s="716" t="s">
        <v>76</v>
      </c>
      <c r="B34" s="810" t="s">
        <v>77</v>
      </c>
      <c r="C34" s="911" t="s">
        <v>267</v>
      </c>
      <c r="D34" s="808">
        <f t="shared" si="5"/>
        <v>85002.181664975607</v>
      </c>
      <c r="E34" s="808">
        <f t="shared" si="6"/>
        <v>30440.728335024389</v>
      </c>
      <c r="F34" s="808">
        <f t="shared" si="7"/>
        <v>32166.92</v>
      </c>
      <c r="G34" s="808">
        <f t="shared" si="8"/>
        <v>1815.7400000000002</v>
      </c>
      <c r="H34" s="808">
        <f t="shared" si="9"/>
        <v>0</v>
      </c>
      <c r="I34" s="1391">
        <f t="shared" si="10"/>
        <v>149425.57</v>
      </c>
      <c r="J34" s="809">
        <f t="shared" si="11"/>
        <v>1815.7400000000002</v>
      </c>
      <c r="K34" s="1392">
        <f t="shared" si="12"/>
        <v>33982.659999999996</v>
      </c>
      <c r="L34" s="1656"/>
      <c r="M34" s="1035"/>
      <c r="N34" s="1035"/>
      <c r="O34" s="1035"/>
      <c r="P34" s="1035"/>
      <c r="Q34" s="1036">
        <f t="shared" si="13"/>
        <v>0</v>
      </c>
      <c r="R34" s="1652"/>
      <c r="S34" s="1113"/>
      <c r="T34" s="1113"/>
      <c r="U34" s="1113">
        <v>649.63</v>
      </c>
      <c r="V34" s="1653"/>
      <c r="W34" s="1039">
        <f t="shared" si="14"/>
        <v>649.63</v>
      </c>
      <c r="X34" s="1664"/>
      <c r="Y34" s="1665"/>
      <c r="Z34" s="1665"/>
      <c r="AA34" s="1665"/>
      <c r="AB34" s="1666"/>
      <c r="AC34" s="1037">
        <f t="shared" si="15"/>
        <v>0</v>
      </c>
      <c r="AD34" s="1675">
        <v>62528.61</v>
      </c>
      <c r="AE34" s="1115">
        <v>0</v>
      </c>
      <c r="AF34" s="1115">
        <v>15632.15</v>
      </c>
      <c r="AG34" s="1115">
        <v>0</v>
      </c>
      <c r="AH34" s="1676">
        <v>0</v>
      </c>
      <c r="AI34" s="1049">
        <f t="shared" si="16"/>
        <v>78160.759999999995</v>
      </c>
      <c r="AJ34" s="1667"/>
      <c r="AK34" s="1038"/>
      <c r="AL34" s="1038"/>
      <c r="AM34" s="1038"/>
      <c r="AN34" s="1038"/>
      <c r="AO34" s="1041">
        <f t="shared" si="17"/>
        <v>0</v>
      </c>
      <c r="AP34" s="1686">
        <v>4040</v>
      </c>
      <c r="AQ34" s="1687">
        <v>1010</v>
      </c>
      <c r="AR34" s="1687">
        <v>0</v>
      </c>
      <c r="AS34" s="1687">
        <v>0</v>
      </c>
      <c r="AT34" s="1688">
        <v>0</v>
      </c>
      <c r="AU34" s="1043">
        <f t="shared" si="18"/>
        <v>5050</v>
      </c>
      <c r="AV34" s="1692">
        <v>722.54</v>
      </c>
      <c r="AW34" s="1693">
        <v>180.64</v>
      </c>
      <c r="AX34" s="1693">
        <v>0</v>
      </c>
      <c r="AY34" s="1693">
        <v>0</v>
      </c>
      <c r="AZ34" s="1694">
        <v>0</v>
      </c>
      <c r="BA34" s="1039">
        <f t="shared" si="19"/>
        <v>903.18</v>
      </c>
      <c r="BB34" s="1677"/>
      <c r="BC34" s="1045"/>
      <c r="BD34" s="1045"/>
      <c r="BE34" s="1045"/>
      <c r="BF34" s="1045"/>
      <c r="BG34" s="1046">
        <f t="shared" si="20"/>
        <v>0</v>
      </c>
      <c r="BH34" s="1677"/>
      <c r="BI34" s="1045"/>
      <c r="BJ34" s="1045"/>
      <c r="BK34" s="1045"/>
      <c r="BL34" s="1045"/>
      <c r="BM34" s="1046">
        <f t="shared" si="21"/>
        <v>0</v>
      </c>
      <c r="BN34" s="1675"/>
      <c r="BO34" s="1115"/>
      <c r="BP34" s="1115"/>
      <c r="BQ34" s="1115"/>
      <c r="BR34" s="1676"/>
      <c r="BS34" s="1049">
        <f t="shared" si="22"/>
        <v>0</v>
      </c>
      <c r="BT34" s="1675">
        <v>4828.9616649756081</v>
      </c>
      <c r="BU34" s="1115">
        <v>29250.088335024389</v>
      </c>
      <c r="BV34" s="1115">
        <v>6251.18</v>
      </c>
      <c r="BW34" s="1115">
        <v>-0.04</v>
      </c>
      <c r="BX34" s="1676">
        <v>0</v>
      </c>
      <c r="BY34" s="1049">
        <f t="shared" si="23"/>
        <v>40330.189999999995</v>
      </c>
      <c r="BZ34" s="1675">
        <v>6073.47</v>
      </c>
      <c r="CA34" s="1115">
        <v>0</v>
      </c>
      <c r="CB34" s="1115">
        <v>9034.67</v>
      </c>
      <c r="CC34" s="1115">
        <v>0</v>
      </c>
      <c r="CD34" s="1676">
        <v>0</v>
      </c>
      <c r="CE34" s="1049">
        <f t="shared" si="24"/>
        <v>15108.14</v>
      </c>
      <c r="CF34" s="1677"/>
      <c r="CG34" s="1045"/>
      <c r="CH34" s="1045"/>
      <c r="CI34" s="1045"/>
      <c r="CJ34" s="1045"/>
      <c r="CK34" s="1046">
        <f t="shared" si="25"/>
        <v>0</v>
      </c>
      <c r="CL34" s="1675"/>
      <c r="CM34" s="1115"/>
      <c r="CN34" s="1115"/>
      <c r="CO34" s="1115"/>
      <c r="CP34" s="1676"/>
      <c r="CQ34" s="1049">
        <f t="shared" si="26"/>
        <v>0</v>
      </c>
      <c r="CR34" s="1675"/>
      <c r="CS34" s="1115"/>
      <c r="CT34" s="1115"/>
      <c r="CU34" s="1115"/>
      <c r="CV34" s="1676"/>
      <c r="CW34" s="1046">
        <f t="shared" si="27"/>
        <v>0</v>
      </c>
      <c r="CX34" s="1675"/>
      <c r="CY34" s="1115"/>
      <c r="CZ34" s="1115"/>
      <c r="DA34" s="1115"/>
      <c r="DB34" s="1676"/>
      <c r="DC34" s="1049">
        <f t="shared" si="28"/>
        <v>0</v>
      </c>
      <c r="DD34" s="1675"/>
      <c r="DE34" s="1115"/>
      <c r="DF34" s="1115"/>
      <c r="DG34" s="1115"/>
      <c r="DH34" s="1115"/>
      <c r="DI34" s="1114">
        <f t="shared" si="29"/>
        <v>0</v>
      </c>
      <c r="DJ34" s="1115"/>
      <c r="DK34" s="1115"/>
      <c r="DL34" s="1115"/>
      <c r="DM34" s="1115"/>
      <c r="DN34" s="1115"/>
      <c r="DO34" s="1115">
        <f t="shared" si="30"/>
        <v>0</v>
      </c>
      <c r="DP34" s="1675"/>
      <c r="DQ34" s="1115"/>
      <c r="DR34" s="1115"/>
      <c r="DS34" s="1115"/>
      <c r="DT34" s="1676"/>
      <c r="DU34" s="1050">
        <f t="shared" si="31"/>
        <v>0</v>
      </c>
      <c r="DV34" s="1675">
        <v>6808.6</v>
      </c>
      <c r="DW34" s="1115">
        <v>0</v>
      </c>
      <c r="DX34" s="1115">
        <v>1248.92</v>
      </c>
      <c r="DY34" s="1115">
        <v>1166.1500000000001</v>
      </c>
      <c r="DZ34" s="1676">
        <v>0</v>
      </c>
      <c r="EA34" s="1049">
        <f t="shared" si="32"/>
        <v>9223.67</v>
      </c>
    </row>
    <row r="35" spans="1:131" ht="15" customHeight="1" x14ac:dyDescent="0.25">
      <c r="A35" s="716" t="s">
        <v>78</v>
      </c>
      <c r="B35" s="810" t="s">
        <v>79</v>
      </c>
      <c r="C35" s="911" t="s">
        <v>268</v>
      </c>
      <c r="D35" s="808">
        <f t="shared" si="5"/>
        <v>12831.313091106971</v>
      </c>
      <c r="E35" s="808">
        <f t="shared" si="6"/>
        <v>8937.5369088930311</v>
      </c>
      <c r="F35" s="808">
        <f t="shared" si="7"/>
        <v>4283</v>
      </c>
      <c r="G35" s="808">
        <f t="shared" si="8"/>
        <v>-0.08</v>
      </c>
      <c r="H35" s="808">
        <f t="shared" si="9"/>
        <v>0</v>
      </c>
      <c r="I35" s="1391">
        <f t="shared" si="10"/>
        <v>26051.77</v>
      </c>
      <c r="J35" s="809">
        <f t="shared" si="11"/>
        <v>-0.08</v>
      </c>
      <c r="K35" s="1392">
        <f t="shared" si="12"/>
        <v>4282.92</v>
      </c>
      <c r="L35" s="1656"/>
      <c r="M35" s="1035"/>
      <c r="N35" s="1035"/>
      <c r="O35" s="1035"/>
      <c r="P35" s="1035"/>
      <c r="Q35" s="1036">
        <f t="shared" si="13"/>
        <v>0</v>
      </c>
      <c r="R35" s="1650"/>
      <c r="S35" s="1040"/>
      <c r="T35" s="1040"/>
      <c r="U35" s="1040"/>
      <c r="V35" s="1651"/>
      <c r="W35" s="1039">
        <f t="shared" si="14"/>
        <v>0</v>
      </c>
      <c r="X35" s="1664">
        <v>668.96</v>
      </c>
      <c r="Y35" s="1665">
        <v>3.99</v>
      </c>
      <c r="Z35" s="1665">
        <v>123.44</v>
      </c>
      <c r="AA35" s="1665">
        <v>-0.01</v>
      </c>
      <c r="AB35" s="1666">
        <v>0</v>
      </c>
      <c r="AC35" s="1037">
        <f t="shared" si="15"/>
        <v>796.38000000000011</v>
      </c>
      <c r="AD35" s="1675">
        <v>6667.56</v>
      </c>
      <c r="AE35" s="1115">
        <v>0</v>
      </c>
      <c r="AF35" s="1115">
        <v>1666.85</v>
      </c>
      <c r="AG35" s="1115">
        <v>0</v>
      </c>
      <c r="AH35" s="1676">
        <v>0</v>
      </c>
      <c r="AI35" s="1049">
        <f t="shared" si="16"/>
        <v>8334.41</v>
      </c>
      <c r="AJ35" s="1667"/>
      <c r="AK35" s="1038"/>
      <c r="AL35" s="1038"/>
      <c r="AM35" s="1038"/>
      <c r="AN35" s="1038"/>
      <c r="AO35" s="1041">
        <f t="shared" si="17"/>
        <v>0</v>
      </c>
      <c r="AP35" s="1686">
        <v>140</v>
      </c>
      <c r="AQ35" s="1687">
        <v>35</v>
      </c>
      <c r="AR35" s="1687">
        <v>0</v>
      </c>
      <c r="AS35" s="1687">
        <v>0</v>
      </c>
      <c r="AT35" s="1688">
        <v>0</v>
      </c>
      <c r="AU35" s="1043">
        <f t="shared" si="18"/>
        <v>175</v>
      </c>
      <c r="AV35" s="1692">
        <v>531.35</v>
      </c>
      <c r="AW35" s="1693">
        <v>132.84</v>
      </c>
      <c r="AX35" s="1693">
        <v>0</v>
      </c>
      <c r="AY35" s="1693">
        <v>0</v>
      </c>
      <c r="AZ35" s="1694">
        <v>0</v>
      </c>
      <c r="BA35" s="1039">
        <f t="shared" si="19"/>
        <v>664.19</v>
      </c>
      <c r="BB35" s="1677"/>
      <c r="BC35" s="1045"/>
      <c r="BD35" s="1045"/>
      <c r="BE35" s="1045"/>
      <c r="BF35" s="1045"/>
      <c r="BG35" s="1046">
        <f t="shared" si="20"/>
        <v>0</v>
      </c>
      <c r="BH35" s="1675">
        <v>395.59</v>
      </c>
      <c r="BI35" s="1115">
        <v>50.11</v>
      </c>
      <c r="BJ35" s="1115">
        <v>81.75</v>
      </c>
      <c r="BK35" s="1115">
        <v>0.01</v>
      </c>
      <c r="BL35" s="1676">
        <v>0</v>
      </c>
      <c r="BM35" s="1046">
        <f t="shared" si="21"/>
        <v>527.46</v>
      </c>
      <c r="BN35" s="1675"/>
      <c r="BO35" s="1115"/>
      <c r="BP35" s="1115"/>
      <c r="BQ35" s="1115"/>
      <c r="BR35" s="1676"/>
      <c r="BS35" s="1049">
        <f t="shared" si="22"/>
        <v>0</v>
      </c>
      <c r="BT35" s="1675">
        <v>1067.9830911069689</v>
      </c>
      <c r="BU35" s="1115">
        <v>6469.2969088930313</v>
      </c>
      <c r="BV35" s="1115">
        <v>1382.63</v>
      </c>
      <c r="BW35" s="1115">
        <v>-0.12</v>
      </c>
      <c r="BX35" s="1676">
        <v>0</v>
      </c>
      <c r="BY35" s="1049">
        <f t="shared" si="23"/>
        <v>8919.7899999999991</v>
      </c>
      <c r="BZ35" s="1677"/>
      <c r="CA35" s="1045"/>
      <c r="CB35" s="1045"/>
      <c r="CC35" s="1045"/>
      <c r="CD35" s="1678"/>
      <c r="CE35" s="1049">
        <f t="shared" si="24"/>
        <v>0</v>
      </c>
      <c r="CF35" s="1677"/>
      <c r="CG35" s="1045"/>
      <c r="CH35" s="1045"/>
      <c r="CI35" s="1045"/>
      <c r="CJ35" s="1045"/>
      <c r="CK35" s="1046">
        <f t="shared" si="25"/>
        <v>0</v>
      </c>
      <c r="CL35" s="1675"/>
      <c r="CM35" s="1115"/>
      <c r="CN35" s="1115"/>
      <c r="CO35" s="1115"/>
      <c r="CP35" s="1676"/>
      <c r="CQ35" s="1049">
        <f t="shared" si="26"/>
        <v>0</v>
      </c>
      <c r="CR35" s="1675"/>
      <c r="CS35" s="1115"/>
      <c r="CT35" s="1115"/>
      <c r="CU35" s="1115"/>
      <c r="CV35" s="1676"/>
      <c r="CW35" s="1046">
        <f t="shared" si="27"/>
        <v>0</v>
      </c>
      <c r="CX35" s="1675"/>
      <c r="CY35" s="1115"/>
      <c r="CZ35" s="1115"/>
      <c r="DA35" s="1115"/>
      <c r="DB35" s="1676"/>
      <c r="DC35" s="1049">
        <f t="shared" si="28"/>
        <v>0</v>
      </c>
      <c r="DD35" s="1675"/>
      <c r="DE35" s="1115"/>
      <c r="DF35" s="1115"/>
      <c r="DG35" s="1115"/>
      <c r="DH35" s="1115"/>
      <c r="DI35" s="1114">
        <f t="shared" si="29"/>
        <v>0</v>
      </c>
      <c r="DJ35" s="1115"/>
      <c r="DK35" s="1115"/>
      <c r="DL35" s="1115"/>
      <c r="DM35" s="1115"/>
      <c r="DN35" s="1115"/>
      <c r="DO35" s="1115">
        <f t="shared" si="30"/>
        <v>0</v>
      </c>
      <c r="DP35" s="1675">
        <v>3255.5</v>
      </c>
      <c r="DQ35" s="1115">
        <v>2246.3000000000002</v>
      </c>
      <c r="DR35" s="1115">
        <v>1009.21</v>
      </c>
      <c r="DS35" s="1115">
        <v>-0.01</v>
      </c>
      <c r="DT35" s="1676">
        <v>0</v>
      </c>
      <c r="DU35" s="1050">
        <f t="shared" si="31"/>
        <v>6511</v>
      </c>
      <c r="DV35" s="1677">
        <v>104.37</v>
      </c>
      <c r="DW35" s="1045">
        <v>0</v>
      </c>
      <c r="DX35" s="1045">
        <v>19.12</v>
      </c>
      <c r="DY35" s="1045">
        <v>0.05</v>
      </c>
      <c r="DZ35" s="1678">
        <v>0</v>
      </c>
      <c r="EA35" s="1049">
        <f t="shared" si="32"/>
        <v>123.54</v>
      </c>
    </row>
    <row r="36" spans="1:131" ht="15" customHeight="1" x14ac:dyDescent="0.25">
      <c r="A36" s="716" t="s">
        <v>80</v>
      </c>
      <c r="B36" s="810" t="s">
        <v>81</v>
      </c>
      <c r="C36" s="911" t="s">
        <v>266</v>
      </c>
      <c r="D36" s="808">
        <f t="shared" si="5"/>
        <v>37684.568086358442</v>
      </c>
      <c r="E36" s="808">
        <f t="shared" si="6"/>
        <v>14777.471913641553</v>
      </c>
      <c r="F36" s="808">
        <f t="shared" si="7"/>
        <v>9180.5499999999993</v>
      </c>
      <c r="G36" s="808">
        <f t="shared" si="8"/>
        <v>-0.02</v>
      </c>
      <c r="H36" s="808">
        <f t="shared" si="9"/>
        <v>0</v>
      </c>
      <c r="I36" s="1391">
        <f t="shared" si="10"/>
        <v>61642.57</v>
      </c>
      <c r="J36" s="809">
        <f t="shared" si="11"/>
        <v>-0.02</v>
      </c>
      <c r="K36" s="1392">
        <f t="shared" si="12"/>
        <v>9180.5299999999988</v>
      </c>
      <c r="L36" s="1656"/>
      <c r="M36" s="1035"/>
      <c r="N36" s="1035"/>
      <c r="O36" s="1035"/>
      <c r="P36" s="1035"/>
      <c r="Q36" s="1036">
        <f t="shared" si="13"/>
        <v>0</v>
      </c>
      <c r="R36" s="1650"/>
      <c r="S36" s="1040"/>
      <c r="T36" s="1040"/>
      <c r="U36" s="1040"/>
      <c r="V36" s="1651"/>
      <c r="W36" s="1039">
        <f t="shared" si="14"/>
        <v>0</v>
      </c>
      <c r="X36" s="1664">
        <v>2926.09</v>
      </c>
      <c r="Y36" s="1665">
        <v>17.43</v>
      </c>
      <c r="Z36" s="1665">
        <v>539.94000000000005</v>
      </c>
      <c r="AA36" s="1665">
        <v>-0.02</v>
      </c>
      <c r="AB36" s="1666">
        <v>0</v>
      </c>
      <c r="AC36" s="1037">
        <f t="shared" si="15"/>
        <v>3483.44</v>
      </c>
      <c r="AD36" s="1675">
        <v>9013.89</v>
      </c>
      <c r="AE36" s="1115">
        <v>0</v>
      </c>
      <c r="AF36" s="1115">
        <v>2253.4499999999998</v>
      </c>
      <c r="AG36" s="1115">
        <v>0</v>
      </c>
      <c r="AH36" s="1676">
        <v>0</v>
      </c>
      <c r="AI36" s="1049">
        <f t="shared" si="16"/>
        <v>11267.34</v>
      </c>
      <c r="AJ36" s="1667"/>
      <c r="AK36" s="1038"/>
      <c r="AL36" s="1038"/>
      <c r="AM36" s="1038"/>
      <c r="AN36" s="1038"/>
      <c r="AO36" s="1041">
        <f t="shared" si="17"/>
        <v>0</v>
      </c>
      <c r="AP36" s="1686">
        <v>2880</v>
      </c>
      <c r="AQ36" s="1687">
        <v>720</v>
      </c>
      <c r="AR36" s="1687">
        <v>0</v>
      </c>
      <c r="AS36" s="1687">
        <v>0</v>
      </c>
      <c r="AT36" s="1688">
        <v>0</v>
      </c>
      <c r="AU36" s="1043">
        <f t="shared" si="18"/>
        <v>3600</v>
      </c>
      <c r="AV36" s="1692">
        <v>2067.1999999999998</v>
      </c>
      <c r="AW36" s="1693">
        <v>516.79999999999995</v>
      </c>
      <c r="AX36" s="1693">
        <v>0</v>
      </c>
      <c r="AY36" s="1693">
        <v>0</v>
      </c>
      <c r="AZ36" s="1694">
        <v>0</v>
      </c>
      <c r="BA36" s="1039">
        <f t="shared" si="19"/>
        <v>2584</v>
      </c>
      <c r="BB36" s="1677"/>
      <c r="BC36" s="1045"/>
      <c r="BD36" s="1045"/>
      <c r="BE36" s="1045"/>
      <c r="BF36" s="1045"/>
      <c r="BG36" s="1046">
        <f t="shared" si="20"/>
        <v>0</v>
      </c>
      <c r="BH36" s="1675">
        <v>13135.01</v>
      </c>
      <c r="BI36" s="1115">
        <v>1663.79</v>
      </c>
      <c r="BJ36" s="1115">
        <v>2714.57</v>
      </c>
      <c r="BK36" s="1115">
        <v>-0.03</v>
      </c>
      <c r="BL36" s="1676">
        <v>0</v>
      </c>
      <c r="BM36" s="1046">
        <f t="shared" si="21"/>
        <v>17513.34</v>
      </c>
      <c r="BN36" s="1675"/>
      <c r="BO36" s="1115"/>
      <c r="BP36" s="1115"/>
      <c r="BQ36" s="1115"/>
      <c r="BR36" s="1676"/>
      <c r="BS36" s="1049">
        <f t="shared" si="22"/>
        <v>0</v>
      </c>
      <c r="BT36" s="1675">
        <v>2232.1380863584454</v>
      </c>
      <c r="BU36" s="1115">
        <v>9644.2319136415535</v>
      </c>
      <c r="BV36" s="1115">
        <v>2178.4699999999998</v>
      </c>
      <c r="BW36" s="1115">
        <v>0.01</v>
      </c>
      <c r="BX36" s="1676">
        <v>0</v>
      </c>
      <c r="BY36" s="1049">
        <f t="shared" si="23"/>
        <v>14054.849999999999</v>
      </c>
      <c r="BZ36" s="1675"/>
      <c r="CA36" s="1115"/>
      <c r="CB36" s="1115"/>
      <c r="CC36" s="1115"/>
      <c r="CD36" s="1676"/>
      <c r="CE36" s="1049">
        <f t="shared" si="24"/>
        <v>0</v>
      </c>
      <c r="CF36" s="1677"/>
      <c r="CG36" s="1045"/>
      <c r="CH36" s="1045"/>
      <c r="CI36" s="1045"/>
      <c r="CJ36" s="1045"/>
      <c r="CK36" s="1046">
        <f t="shared" si="25"/>
        <v>0</v>
      </c>
      <c r="CL36" s="1675"/>
      <c r="CM36" s="1115"/>
      <c r="CN36" s="1115"/>
      <c r="CO36" s="1115"/>
      <c r="CP36" s="1676"/>
      <c r="CQ36" s="1049">
        <f t="shared" si="26"/>
        <v>0</v>
      </c>
      <c r="CR36" s="1675"/>
      <c r="CS36" s="1115"/>
      <c r="CT36" s="1115"/>
      <c r="CU36" s="1115"/>
      <c r="CV36" s="1676"/>
      <c r="CW36" s="1046">
        <f t="shared" si="27"/>
        <v>0</v>
      </c>
      <c r="CX36" s="1675">
        <v>-250</v>
      </c>
      <c r="CY36" s="1115">
        <v>-250</v>
      </c>
      <c r="CZ36" s="1115">
        <v>0</v>
      </c>
      <c r="DA36" s="1115">
        <v>0</v>
      </c>
      <c r="DB36" s="1676">
        <v>0</v>
      </c>
      <c r="DC36" s="1049">
        <f t="shared" si="28"/>
        <v>-500</v>
      </c>
      <c r="DD36" s="1675"/>
      <c r="DE36" s="1115"/>
      <c r="DF36" s="1115"/>
      <c r="DG36" s="1115"/>
      <c r="DH36" s="1115"/>
      <c r="DI36" s="1114">
        <f t="shared" si="29"/>
        <v>0</v>
      </c>
      <c r="DJ36" s="1115"/>
      <c r="DK36" s="1115"/>
      <c r="DL36" s="1115"/>
      <c r="DM36" s="1115"/>
      <c r="DN36" s="1115"/>
      <c r="DO36" s="1115">
        <f t="shared" si="30"/>
        <v>0</v>
      </c>
      <c r="DP36" s="1675">
        <v>3572.79</v>
      </c>
      <c r="DQ36" s="1115">
        <v>2465.2199999999998</v>
      </c>
      <c r="DR36" s="1115">
        <v>1107.56</v>
      </c>
      <c r="DS36" s="1115">
        <v>0</v>
      </c>
      <c r="DT36" s="1676">
        <v>0</v>
      </c>
      <c r="DU36" s="1050">
        <f t="shared" si="31"/>
        <v>7145.57</v>
      </c>
      <c r="DV36" s="1675">
        <v>2107.4499999999998</v>
      </c>
      <c r="DW36" s="1115">
        <v>0</v>
      </c>
      <c r="DX36" s="1115">
        <v>386.56</v>
      </c>
      <c r="DY36" s="1115">
        <v>0.02</v>
      </c>
      <c r="DZ36" s="1676">
        <v>0</v>
      </c>
      <c r="EA36" s="1049">
        <f t="shared" si="32"/>
        <v>2494.0299999999997</v>
      </c>
    </row>
    <row r="37" spans="1:131" ht="15" customHeight="1" x14ac:dyDescent="0.25">
      <c r="A37" s="716" t="s">
        <v>84</v>
      </c>
      <c r="B37" s="810" t="s">
        <v>308</v>
      </c>
      <c r="C37" s="911" t="s">
        <v>265</v>
      </c>
      <c r="D37" s="808">
        <f t="shared" ref="D37:D68" si="33">L37+R37+X37+AD37+AJ37+AP37+AV37+BB37+BH37+BN37+BT37+BZ37+CF37+CL37+CR37+CX37+DD37+DJ37+DP37+DV37</f>
        <v>110745.64440454781</v>
      </c>
      <c r="E37" s="808">
        <f t="shared" ref="E37:E68" si="34">M37+S37+Y37+AE37+AK37+AQ37+AW37+BC37+BI37+BO37+BU37+CA37+CG37+CM37+CS37+CY37+DE37+DK37+DQ37+DW37</f>
        <v>108938.29559545219</v>
      </c>
      <c r="F37" s="808">
        <f t="shared" ref="F37:F68" si="35">N37+T37+Z37+AF37+AL37+AR37+AX37+BD37+BJ37+BP37+BV37+CB37+CH37+CN37+CT37+CZ37+DF37+DL37+DR37+DX37</f>
        <v>40193.85</v>
      </c>
      <c r="G37" s="808">
        <f t="shared" ref="G37:G68" si="36">O37+U37+AA37+AG37+AM37+AS37+AY37+BE37+BK37+BQ37+BW37+CC37+CI37+CO37+CU37+DA37+DG37+DM37+DS37+DY37</f>
        <v>-9.0000000000000011E-2</v>
      </c>
      <c r="H37" s="808">
        <f t="shared" ref="H37:H68" si="37">P37+V37+AB37+AH37+AN37+AT37+AZ37+BF37+BL37+BR37+BX37+CD37+CJ37+CP37+CV37+DB37+DH37+DN37+DT37+DZ37</f>
        <v>0</v>
      </c>
      <c r="I37" s="1391">
        <f t="shared" ref="I37:I68" si="38">SUM(D37:H37)</f>
        <v>259877.7</v>
      </c>
      <c r="J37" s="809">
        <f t="shared" ref="J37:J68" si="39">G37+H37</f>
        <v>-9.0000000000000011E-2</v>
      </c>
      <c r="K37" s="1392">
        <f t="shared" ref="K37:K68" si="40">F37+J37</f>
        <v>40193.760000000002</v>
      </c>
      <c r="L37" s="1656"/>
      <c r="M37" s="1035"/>
      <c r="N37" s="1035"/>
      <c r="O37" s="1035"/>
      <c r="P37" s="1035"/>
      <c r="Q37" s="1036">
        <f t="shared" ref="Q37:Q68" si="41">SUM(L37:P37)</f>
        <v>0</v>
      </c>
      <c r="R37" s="1650"/>
      <c r="S37" s="1040"/>
      <c r="T37" s="1040"/>
      <c r="U37" s="1040"/>
      <c r="V37" s="1651"/>
      <c r="W37" s="1039">
        <f t="shared" ref="W37:W68" si="42">SUM(R37:V37)</f>
        <v>0</v>
      </c>
      <c r="X37" s="1664">
        <v>5439.49</v>
      </c>
      <c r="Y37" s="1665">
        <v>32.380000000000003</v>
      </c>
      <c r="Z37" s="1665">
        <v>1003.72</v>
      </c>
      <c r="AA37" s="1665">
        <v>-0.01</v>
      </c>
      <c r="AB37" s="1666">
        <v>0</v>
      </c>
      <c r="AC37" s="1037">
        <f t="shared" ref="AC37:AC68" si="43">SUM(X37:AB37)</f>
        <v>6475.58</v>
      </c>
      <c r="AD37" s="1675">
        <v>25787.3</v>
      </c>
      <c r="AE37" s="1115">
        <v>0</v>
      </c>
      <c r="AF37" s="1115">
        <v>6446.85</v>
      </c>
      <c r="AG37" s="1115">
        <v>0</v>
      </c>
      <c r="AH37" s="1676">
        <v>0</v>
      </c>
      <c r="AI37" s="1049">
        <f t="shared" ref="AI37:AI68" si="44">SUM(AD37:AH37)</f>
        <v>32234.15</v>
      </c>
      <c r="AJ37" s="1667"/>
      <c r="AK37" s="1038"/>
      <c r="AL37" s="1038"/>
      <c r="AM37" s="1038"/>
      <c r="AN37" s="1038"/>
      <c r="AO37" s="1041">
        <f t="shared" ref="AO37:AO68" si="45">SUM(AJ37:AN37)</f>
        <v>0</v>
      </c>
      <c r="AP37" s="1686">
        <v>5706.66</v>
      </c>
      <c r="AQ37" s="1687">
        <v>1426.68</v>
      </c>
      <c r="AR37" s="1687">
        <v>0</v>
      </c>
      <c r="AS37" s="1687">
        <v>0</v>
      </c>
      <c r="AT37" s="1688">
        <v>0</v>
      </c>
      <c r="AU37" s="1043">
        <f t="shared" ref="AU37:AU68" si="46">SUM(AP37:AT37)</f>
        <v>7133.34</v>
      </c>
      <c r="AV37" s="1692">
        <v>11784.03</v>
      </c>
      <c r="AW37" s="1693">
        <v>2946.02</v>
      </c>
      <c r="AX37" s="1693">
        <v>0</v>
      </c>
      <c r="AY37" s="1693">
        <v>0</v>
      </c>
      <c r="AZ37" s="1694">
        <v>0</v>
      </c>
      <c r="BA37" s="1039">
        <f t="shared" ref="BA37:BA68" si="47">SUM(AV37:AZ37)</f>
        <v>14730.050000000001</v>
      </c>
      <c r="BB37" s="1675">
        <v>825.55</v>
      </c>
      <c r="BC37" s="1115">
        <v>1490.84</v>
      </c>
      <c r="BD37" s="1115">
        <v>0</v>
      </c>
      <c r="BE37" s="1115">
        <v>0</v>
      </c>
      <c r="BF37" s="1676">
        <v>0</v>
      </c>
      <c r="BG37" s="1046">
        <f t="shared" ref="BG37:BG68" si="48">SUM(BB37:BF37)</f>
        <v>2316.39</v>
      </c>
      <c r="BH37" s="1675">
        <v>34768.160000000003</v>
      </c>
      <c r="BI37" s="1115">
        <v>4403.96</v>
      </c>
      <c r="BJ37" s="1115">
        <v>7185.44</v>
      </c>
      <c r="BK37" s="1115">
        <v>-0.04</v>
      </c>
      <c r="BL37" s="1676">
        <v>0</v>
      </c>
      <c r="BM37" s="1046">
        <f t="shared" ref="BM37:BM68" si="49">SUM(BH37:BL37)</f>
        <v>46357.520000000004</v>
      </c>
      <c r="BN37" s="1675">
        <v>-151.87</v>
      </c>
      <c r="BO37" s="1115">
        <v>-151.87</v>
      </c>
      <c r="BP37" s="1115">
        <v>0</v>
      </c>
      <c r="BQ37" s="1115">
        <v>0.01</v>
      </c>
      <c r="BR37" s="1676">
        <v>0</v>
      </c>
      <c r="BS37" s="1049">
        <f t="shared" ref="BS37:BS68" si="50">SUM(BN37:BR37)</f>
        <v>-303.73</v>
      </c>
      <c r="BT37" s="1675">
        <v>16213.564404547811</v>
      </c>
      <c r="BU37" s="1115">
        <v>96421.885595452186</v>
      </c>
      <c r="BV37" s="1115">
        <v>20660.95</v>
      </c>
      <c r="BW37" s="1115">
        <v>-0.13</v>
      </c>
      <c r="BX37" s="1676">
        <v>0</v>
      </c>
      <c r="BY37" s="1049">
        <f t="shared" ref="BY37:BY68" si="51">SUM(BT37:BX37)</f>
        <v>133296.26999999999</v>
      </c>
      <c r="BZ37" s="1675">
        <v>1757.21</v>
      </c>
      <c r="CA37" s="1115">
        <v>0</v>
      </c>
      <c r="CB37" s="1115">
        <v>2613.96</v>
      </c>
      <c r="CC37" s="1115">
        <v>-0.01</v>
      </c>
      <c r="CD37" s="1676">
        <v>0</v>
      </c>
      <c r="CE37" s="1049">
        <f t="shared" ref="CE37:CE68" si="52">SUM(BZ37:CD37)</f>
        <v>4371.16</v>
      </c>
      <c r="CF37" s="1677"/>
      <c r="CG37" s="1045"/>
      <c r="CH37" s="1045"/>
      <c r="CI37" s="1045"/>
      <c r="CJ37" s="1045"/>
      <c r="CK37" s="1046">
        <f t="shared" ref="CK37:CK68" si="53">SUM(CF37:CJ37)</f>
        <v>0</v>
      </c>
      <c r="CL37" s="1675"/>
      <c r="CM37" s="1115"/>
      <c r="CN37" s="1115"/>
      <c r="CO37" s="1115"/>
      <c r="CP37" s="1676"/>
      <c r="CQ37" s="1049">
        <f t="shared" ref="CQ37:CQ68" si="54">SUM(CL37:CP37)</f>
        <v>0</v>
      </c>
      <c r="CR37" s="1677"/>
      <c r="CS37" s="1045"/>
      <c r="CT37" s="1045"/>
      <c r="CU37" s="1045"/>
      <c r="CV37" s="1045"/>
      <c r="CW37" s="1046">
        <f t="shared" ref="CW37:CW68" si="55">SUM(CR37:CV37)</f>
        <v>0</v>
      </c>
      <c r="CX37" s="1675">
        <v>-386.95</v>
      </c>
      <c r="CY37" s="1115">
        <v>-386.95</v>
      </c>
      <c r="CZ37" s="1115">
        <v>0</v>
      </c>
      <c r="DA37" s="1115">
        <v>0.01</v>
      </c>
      <c r="DB37" s="1676">
        <v>0</v>
      </c>
      <c r="DC37" s="1049">
        <f t="shared" ref="DC37:DC68" si="56">SUM(CX37:DB37)</f>
        <v>-773.89</v>
      </c>
      <c r="DD37" s="1675">
        <v>-148</v>
      </c>
      <c r="DE37" s="1115">
        <v>0</v>
      </c>
      <c r="DF37" s="1115">
        <v>0</v>
      </c>
      <c r="DG37" s="1115">
        <v>0</v>
      </c>
      <c r="DH37" s="1115">
        <v>0</v>
      </c>
      <c r="DI37" s="1114">
        <f t="shared" ref="DI37:DI68" si="57">SUM(DD37:DH37)</f>
        <v>-148</v>
      </c>
      <c r="DJ37" s="1115">
        <v>-270</v>
      </c>
      <c r="DK37" s="1115">
        <v>-270</v>
      </c>
      <c r="DL37" s="1115">
        <v>0</v>
      </c>
      <c r="DM37" s="1115">
        <v>0</v>
      </c>
      <c r="DN37" s="1115">
        <v>0</v>
      </c>
      <c r="DO37" s="1115">
        <f t="shared" ref="DO37:DO68" si="58">SUM(DJ37:DN37)</f>
        <v>-540</v>
      </c>
      <c r="DP37" s="1675">
        <v>4384.57</v>
      </c>
      <c r="DQ37" s="1115">
        <v>3025.35</v>
      </c>
      <c r="DR37" s="1115">
        <v>1359.21</v>
      </c>
      <c r="DS37" s="1115">
        <v>0</v>
      </c>
      <c r="DT37" s="1676">
        <v>0</v>
      </c>
      <c r="DU37" s="1050">
        <f t="shared" ref="DU37:DU68" si="59">SUM(DP37:DT37)</f>
        <v>8769.130000000001</v>
      </c>
      <c r="DV37" s="1675">
        <v>5035.93</v>
      </c>
      <c r="DW37" s="1115">
        <v>0</v>
      </c>
      <c r="DX37" s="1115">
        <v>923.72</v>
      </c>
      <c r="DY37" s="1115">
        <v>0.08</v>
      </c>
      <c r="DZ37" s="1676">
        <v>0</v>
      </c>
      <c r="EA37" s="1049">
        <f t="shared" ref="EA37:EA68" si="60">SUM(DV37:DZ37)</f>
        <v>5959.7300000000005</v>
      </c>
    </row>
    <row r="38" spans="1:131" ht="15" customHeight="1" x14ac:dyDescent="0.25">
      <c r="A38" s="716" t="s">
        <v>86</v>
      </c>
      <c r="B38" s="810" t="s">
        <v>87</v>
      </c>
      <c r="C38" s="911" t="s">
        <v>267</v>
      </c>
      <c r="D38" s="808">
        <f t="shared" si="33"/>
        <v>135000.7388391782</v>
      </c>
      <c r="E38" s="808">
        <f t="shared" si="34"/>
        <v>82417.641160821804</v>
      </c>
      <c r="F38" s="808">
        <f t="shared" si="35"/>
        <v>44222.92</v>
      </c>
      <c r="G38" s="808">
        <f t="shared" si="36"/>
        <v>21137.399999999998</v>
      </c>
      <c r="H38" s="808">
        <f t="shared" si="37"/>
        <v>0</v>
      </c>
      <c r="I38" s="1391">
        <f t="shared" si="38"/>
        <v>282778.7</v>
      </c>
      <c r="J38" s="809">
        <f t="shared" si="39"/>
        <v>21137.399999999998</v>
      </c>
      <c r="K38" s="1392">
        <f t="shared" si="40"/>
        <v>65360.319999999992</v>
      </c>
      <c r="L38" s="1656"/>
      <c r="M38" s="1035"/>
      <c r="N38" s="1035"/>
      <c r="O38" s="1035"/>
      <c r="P38" s="1035"/>
      <c r="Q38" s="1036">
        <f t="shared" si="41"/>
        <v>0</v>
      </c>
      <c r="R38" s="1650"/>
      <c r="S38" s="1040"/>
      <c r="T38" s="1040"/>
      <c r="U38" s="1040"/>
      <c r="V38" s="1651"/>
      <c r="W38" s="1039">
        <f t="shared" si="42"/>
        <v>0</v>
      </c>
      <c r="X38" s="1664">
        <v>7386.95</v>
      </c>
      <c r="Y38" s="1665">
        <v>43.98</v>
      </c>
      <c r="Z38" s="1665">
        <v>1363.09</v>
      </c>
      <c r="AA38" s="1665">
        <v>-0.02</v>
      </c>
      <c r="AB38" s="1666">
        <v>0</v>
      </c>
      <c r="AC38" s="1037">
        <f t="shared" si="43"/>
        <v>8793.9999999999982</v>
      </c>
      <c r="AD38" s="1675">
        <v>73864.820000000007</v>
      </c>
      <c r="AE38" s="1115">
        <v>0</v>
      </c>
      <c r="AF38" s="1115">
        <v>18466.18</v>
      </c>
      <c r="AG38" s="1115">
        <v>272.67</v>
      </c>
      <c r="AH38" s="1676">
        <v>0</v>
      </c>
      <c r="AI38" s="1049">
        <f t="shared" si="44"/>
        <v>92603.67</v>
      </c>
      <c r="AJ38" s="1667"/>
      <c r="AK38" s="1038"/>
      <c r="AL38" s="1038"/>
      <c r="AM38" s="1038"/>
      <c r="AN38" s="1038"/>
      <c r="AO38" s="1041">
        <f t="shared" si="45"/>
        <v>0</v>
      </c>
      <c r="AP38" s="1686"/>
      <c r="AQ38" s="1687"/>
      <c r="AR38" s="1687"/>
      <c r="AS38" s="1687"/>
      <c r="AT38" s="1688"/>
      <c r="AU38" s="1043">
        <f t="shared" si="46"/>
        <v>0</v>
      </c>
      <c r="AV38" s="1692">
        <v>1230.28</v>
      </c>
      <c r="AW38" s="1693">
        <v>307.56</v>
      </c>
      <c r="AX38" s="1693">
        <v>0</v>
      </c>
      <c r="AY38" s="1693">
        <v>0</v>
      </c>
      <c r="AZ38" s="1694">
        <v>0</v>
      </c>
      <c r="BA38" s="1039">
        <f t="shared" si="47"/>
        <v>1537.84</v>
      </c>
      <c r="BB38" s="1675">
        <v>570.23</v>
      </c>
      <c r="BC38" s="1115">
        <v>1029.77</v>
      </c>
      <c r="BD38" s="1115">
        <v>0</v>
      </c>
      <c r="BE38" s="1115">
        <v>0</v>
      </c>
      <c r="BF38" s="1676">
        <v>0</v>
      </c>
      <c r="BG38" s="1046">
        <f t="shared" si="48"/>
        <v>1600</v>
      </c>
      <c r="BH38" s="1677">
        <v>28433.09</v>
      </c>
      <c r="BI38" s="1045">
        <v>3601.56</v>
      </c>
      <c r="BJ38" s="1045">
        <v>5876.19</v>
      </c>
      <c r="BK38" s="1045">
        <v>-0.08</v>
      </c>
      <c r="BL38" s="1045">
        <v>0</v>
      </c>
      <c r="BM38" s="1046">
        <f t="shared" si="49"/>
        <v>37910.76</v>
      </c>
      <c r="BN38" s="1675"/>
      <c r="BO38" s="1115"/>
      <c r="BP38" s="1115"/>
      <c r="BQ38" s="1115"/>
      <c r="BR38" s="1676"/>
      <c r="BS38" s="1049">
        <f t="shared" si="50"/>
        <v>0</v>
      </c>
      <c r="BT38" s="1675">
        <v>12309.178839178188</v>
      </c>
      <c r="BU38" s="1115">
        <v>74559.321160821812</v>
      </c>
      <c r="BV38" s="1115">
        <v>15934.46</v>
      </c>
      <c r="BW38" s="1115">
        <v>-0.04</v>
      </c>
      <c r="BX38" s="1676">
        <v>0</v>
      </c>
      <c r="BY38" s="1049">
        <f t="shared" si="51"/>
        <v>102802.92</v>
      </c>
      <c r="BZ38" s="1675">
        <v>0</v>
      </c>
      <c r="CA38" s="1115">
        <v>0</v>
      </c>
      <c r="CB38" s="1115">
        <v>0</v>
      </c>
      <c r="CC38" s="1115">
        <v>20206.86</v>
      </c>
      <c r="CD38" s="1676">
        <v>0</v>
      </c>
      <c r="CE38" s="1049">
        <f t="shared" si="52"/>
        <v>20206.86</v>
      </c>
      <c r="CF38" s="1677"/>
      <c r="CG38" s="1045"/>
      <c r="CH38" s="1045"/>
      <c r="CI38" s="1045"/>
      <c r="CJ38" s="1045"/>
      <c r="CK38" s="1046">
        <f t="shared" si="53"/>
        <v>0</v>
      </c>
      <c r="CL38" s="1675"/>
      <c r="CM38" s="1115"/>
      <c r="CN38" s="1115"/>
      <c r="CO38" s="1115"/>
      <c r="CP38" s="1676"/>
      <c r="CQ38" s="1049">
        <f t="shared" si="54"/>
        <v>0</v>
      </c>
      <c r="CR38" s="1677"/>
      <c r="CS38" s="1045"/>
      <c r="CT38" s="1045"/>
      <c r="CU38" s="1045"/>
      <c r="CV38" s="1045"/>
      <c r="CW38" s="1046">
        <f t="shared" si="55"/>
        <v>0</v>
      </c>
      <c r="CX38" s="1675"/>
      <c r="CY38" s="1115"/>
      <c r="CZ38" s="1115"/>
      <c r="DA38" s="1115"/>
      <c r="DB38" s="1676"/>
      <c r="DC38" s="1049">
        <f t="shared" si="56"/>
        <v>0</v>
      </c>
      <c r="DD38" s="1675"/>
      <c r="DE38" s="1115"/>
      <c r="DF38" s="1115"/>
      <c r="DG38" s="1115"/>
      <c r="DH38" s="1115"/>
      <c r="DI38" s="1114">
        <f t="shared" si="57"/>
        <v>0</v>
      </c>
      <c r="DJ38" s="1115"/>
      <c r="DK38" s="1115"/>
      <c r="DL38" s="1115"/>
      <c r="DM38" s="1115"/>
      <c r="DN38" s="1115"/>
      <c r="DO38" s="1115">
        <f t="shared" si="58"/>
        <v>0</v>
      </c>
      <c r="DP38" s="1675">
        <v>4167.3500000000004</v>
      </c>
      <c r="DQ38" s="1115">
        <v>2875.45</v>
      </c>
      <c r="DR38" s="1115">
        <v>1291.8699999999999</v>
      </c>
      <c r="DS38" s="1115">
        <v>657.98</v>
      </c>
      <c r="DT38" s="1676">
        <v>0</v>
      </c>
      <c r="DU38" s="1050">
        <f t="shared" si="59"/>
        <v>8992.65</v>
      </c>
      <c r="DV38" s="1675">
        <v>7038.84</v>
      </c>
      <c r="DW38" s="1115">
        <v>0</v>
      </c>
      <c r="DX38" s="1115">
        <v>1291.1300000000001</v>
      </c>
      <c r="DY38" s="1115">
        <v>0.03</v>
      </c>
      <c r="DZ38" s="1676">
        <v>0</v>
      </c>
      <c r="EA38" s="1049">
        <f t="shared" si="60"/>
        <v>8330.0000000000018</v>
      </c>
    </row>
    <row r="39" spans="1:131" ht="15" customHeight="1" x14ac:dyDescent="0.25">
      <c r="A39" s="716" t="s">
        <v>92</v>
      </c>
      <c r="B39" s="810" t="s">
        <v>93</v>
      </c>
      <c r="C39" s="911" t="s">
        <v>268</v>
      </c>
      <c r="D39" s="808">
        <f t="shared" si="33"/>
        <v>40606.418623174693</v>
      </c>
      <c r="E39" s="808">
        <f t="shared" si="34"/>
        <v>8146.7613768253022</v>
      </c>
      <c r="F39" s="808">
        <f t="shared" si="35"/>
        <v>9624.0300000000007</v>
      </c>
      <c r="G39" s="808">
        <f t="shared" si="36"/>
        <v>574.95000000000005</v>
      </c>
      <c r="H39" s="808">
        <f t="shared" si="37"/>
        <v>0</v>
      </c>
      <c r="I39" s="1391">
        <f t="shared" si="38"/>
        <v>58952.159999999989</v>
      </c>
      <c r="J39" s="809">
        <f t="shared" si="39"/>
        <v>574.95000000000005</v>
      </c>
      <c r="K39" s="1392">
        <f t="shared" si="40"/>
        <v>10198.980000000001</v>
      </c>
      <c r="L39" s="1656"/>
      <c r="M39" s="1035"/>
      <c r="N39" s="1035"/>
      <c r="O39" s="1035"/>
      <c r="P39" s="1035"/>
      <c r="Q39" s="1036">
        <f t="shared" si="41"/>
        <v>0</v>
      </c>
      <c r="R39" s="1650"/>
      <c r="S39" s="1040"/>
      <c r="T39" s="1040"/>
      <c r="U39" s="1040"/>
      <c r="V39" s="1651"/>
      <c r="W39" s="1039">
        <f t="shared" si="42"/>
        <v>0</v>
      </c>
      <c r="X39" s="1664">
        <v>1677.85</v>
      </c>
      <c r="Y39" s="1665">
        <v>10</v>
      </c>
      <c r="Z39" s="1665">
        <v>309.60000000000002</v>
      </c>
      <c r="AA39" s="1665">
        <v>574.99</v>
      </c>
      <c r="AB39" s="1666">
        <v>0</v>
      </c>
      <c r="AC39" s="1037">
        <f t="shared" si="43"/>
        <v>2572.4399999999996</v>
      </c>
      <c r="AD39" s="1675">
        <v>17452.669999999998</v>
      </c>
      <c r="AE39" s="1115">
        <v>0</v>
      </c>
      <c r="AF39" s="1115">
        <v>4363.18</v>
      </c>
      <c r="AG39" s="1115">
        <v>0</v>
      </c>
      <c r="AH39" s="1676">
        <v>0</v>
      </c>
      <c r="AI39" s="1049">
        <f t="shared" si="44"/>
        <v>21815.85</v>
      </c>
      <c r="AJ39" s="1667"/>
      <c r="AK39" s="1038"/>
      <c r="AL39" s="1038"/>
      <c r="AM39" s="1038"/>
      <c r="AN39" s="1038"/>
      <c r="AO39" s="1041">
        <f t="shared" si="45"/>
        <v>0</v>
      </c>
      <c r="AP39" s="1686">
        <v>1079.3399999999999</v>
      </c>
      <c r="AQ39" s="1687">
        <v>269.83</v>
      </c>
      <c r="AR39" s="1687">
        <v>0</v>
      </c>
      <c r="AS39" s="1687">
        <v>0</v>
      </c>
      <c r="AT39" s="1688">
        <v>0</v>
      </c>
      <c r="AU39" s="1043">
        <f t="shared" si="46"/>
        <v>1349.1699999999998</v>
      </c>
      <c r="AV39" s="1692">
        <v>1016.98</v>
      </c>
      <c r="AW39" s="1693">
        <v>254.25</v>
      </c>
      <c r="AX39" s="1693">
        <v>0</v>
      </c>
      <c r="AY39" s="1693">
        <v>0</v>
      </c>
      <c r="AZ39" s="1694">
        <v>0</v>
      </c>
      <c r="BA39" s="1039">
        <f t="shared" si="47"/>
        <v>1271.23</v>
      </c>
      <c r="BB39" s="1677"/>
      <c r="BC39" s="1045"/>
      <c r="BD39" s="1045"/>
      <c r="BE39" s="1045"/>
      <c r="BF39" s="1045"/>
      <c r="BG39" s="1046">
        <f t="shared" si="48"/>
        <v>0</v>
      </c>
      <c r="BH39" s="1675">
        <v>14066.82</v>
      </c>
      <c r="BI39" s="1115">
        <v>1781.81</v>
      </c>
      <c r="BJ39" s="1115">
        <v>2907.15</v>
      </c>
      <c r="BK39" s="1115">
        <v>-0.04</v>
      </c>
      <c r="BL39" s="1676">
        <v>0</v>
      </c>
      <c r="BM39" s="1046">
        <f t="shared" si="49"/>
        <v>18755.739999999998</v>
      </c>
      <c r="BN39" s="1675"/>
      <c r="BO39" s="1115"/>
      <c r="BP39" s="1115"/>
      <c r="BQ39" s="1115"/>
      <c r="BR39" s="1676"/>
      <c r="BS39" s="1049">
        <f t="shared" si="50"/>
        <v>0</v>
      </c>
      <c r="BT39" s="1675">
        <v>1187.7586231746977</v>
      </c>
      <c r="BU39" s="1115">
        <v>2984.6213768253024</v>
      </c>
      <c r="BV39" s="1115">
        <v>765.35</v>
      </c>
      <c r="BW39" s="1115">
        <v>0</v>
      </c>
      <c r="BX39" s="1676">
        <v>0</v>
      </c>
      <c r="BY39" s="1049">
        <f t="shared" si="51"/>
        <v>4937.7300000000005</v>
      </c>
      <c r="BZ39" s="1677"/>
      <c r="CA39" s="1045"/>
      <c r="CB39" s="1045"/>
      <c r="CC39" s="1045"/>
      <c r="CD39" s="1678"/>
      <c r="CE39" s="1049">
        <f t="shared" si="52"/>
        <v>0</v>
      </c>
      <c r="CF39" s="1677"/>
      <c r="CG39" s="1045"/>
      <c r="CH39" s="1045"/>
      <c r="CI39" s="1045"/>
      <c r="CJ39" s="1045"/>
      <c r="CK39" s="1046">
        <f t="shared" si="53"/>
        <v>0</v>
      </c>
      <c r="CL39" s="1675"/>
      <c r="CM39" s="1115"/>
      <c r="CN39" s="1115"/>
      <c r="CO39" s="1115"/>
      <c r="CP39" s="1676"/>
      <c r="CQ39" s="1049">
        <f t="shared" si="54"/>
        <v>0</v>
      </c>
      <c r="CR39" s="1675"/>
      <c r="CS39" s="1115"/>
      <c r="CT39" s="1115"/>
      <c r="CU39" s="1115"/>
      <c r="CV39" s="1676"/>
      <c r="CW39" s="1046">
        <f t="shared" si="55"/>
        <v>0</v>
      </c>
      <c r="CX39" s="1675"/>
      <c r="CY39" s="1115"/>
      <c r="CZ39" s="1115"/>
      <c r="DA39" s="1115"/>
      <c r="DB39" s="1676"/>
      <c r="DC39" s="1049">
        <f t="shared" si="56"/>
        <v>0</v>
      </c>
      <c r="DD39" s="1675"/>
      <c r="DE39" s="1115"/>
      <c r="DF39" s="1115"/>
      <c r="DG39" s="1115"/>
      <c r="DH39" s="1115"/>
      <c r="DI39" s="1114">
        <f t="shared" si="57"/>
        <v>0</v>
      </c>
      <c r="DJ39" s="1115"/>
      <c r="DK39" s="1115"/>
      <c r="DL39" s="1115"/>
      <c r="DM39" s="1115"/>
      <c r="DN39" s="1115"/>
      <c r="DO39" s="1115">
        <f t="shared" si="58"/>
        <v>0</v>
      </c>
      <c r="DP39" s="1677">
        <v>4125</v>
      </c>
      <c r="DQ39" s="1045">
        <v>2846.25</v>
      </c>
      <c r="DR39" s="1045">
        <v>1278.75</v>
      </c>
      <c r="DS39" s="1045">
        <v>0</v>
      </c>
      <c r="DT39" s="1045">
        <v>0</v>
      </c>
      <c r="DU39" s="1050">
        <f t="shared" si="59"/>
        <v>8250</v>
      </c>
      <c r="DV39" s="1677"/>
      <c r="DW39" s="1045"/>
      <c r="DX39" s="1045"/>
      <c r="DY39" s="1045"/>
      <c r="DZ39" s="1678"/>
      <c r="EA39" s="1049">
        <f t="shared" si="60"/>
        <v>0</v>
      </c>
    </row>
    <row r="40" spans="1:131" ht="15" customHeight="1" x14ac:dyDescent="0.25">
      <c r="A40" s="716" t="s">
        <v>94</v>
      </c>
      <c r="B40" s="810" t="s">
        <v>95</v>
      </c>
      <c r="C40" s="911" t="s">
        <v>264</v>
      </c>
      <c r="D40" s="808">
        <f t="shared" si="33"/>
        <v>47337.7561050367</v>
      </c>
      <c r="E40" s="808">
        <f t="shared" si="34"/>
        <v>26100.183894963302</v>
      </c>
      <c r="F40" s="808">
        <f t="shared" si="35"/>
        <v>13698.48</v>
      </c>
      <c r="G40" s="808">
        <f t="shared" si="36"/>
        <v>-0.10999999999999999</v>
      </c>
      <c r="H40" s="808">
        <f t="shared" si="37"/>
        <v>0</v>
      </c>
      <c r="I40" s="1391">
        <f t="shared" si="38"/>
        <v>87136.31</v>
      </c>
      <c r="J40" s="809">
        <f t="shared" si="39"/>
        <v>-0.10999999999999999</v>
      </c>
      <c r="K40" s="1392">
        <f t="shared" si="40"/>
        <v>13698.369999999999</v>
      </c>
      <c r="L40" s="1656"/>
      <c r="M40" s="1035"/>
      <c r="N40" s="1035"/>
      <c r="O40" s="1035"/>
      <c r="P40" s="1035"/>
      <c r="Q40" s="1036">
        <f t="shared" si="41"/>
        <v>0</v>
      </c>
      <c r="R40" s="1650"/>
      <c r="S40" s="1040"/>
      <c r="T40" s="1040"/>
      <c r="U40" s="1040"/>
      <c r="V40" s="1651"/>
      <c r="W40" s="1039">
        <f t="shared" si="42"/>
        <v>0</v>
      </c>
      <c r="X40" s="1664">
        <v>1280.01</v>
      </c>
      <c r="Y40" s="1665">
        <v>7.63</v>
      </c>
      <c r="Z40" s="1665">
        <v>236.21</v>
      </c>
      <c r="AA40" s="1665">
        <v>-0.03</v>
      </c>
      <c r="AB40" s="1666">
        <v>0</v>
      </c>
      <c r="AC40" s="1037">
        <f t="shared" si="43"/>
        <v>1523.8200000000002</v>
      </c>
      <c r="AD40" s="1675">
        <v>19594</v>
      </c>
      <c r="AE40" s="1115">
        <v>0</v>
      </c>
      <c r="AF40" s="1115">
        <v>4898.5</v>
      </c>
      <c r="AG40" s="1115">
        <v>0</v>
      </c>
      <c r="AH40" s="1676">
        <v>0</v>
      </c>
      <c r="AI40" s="1049">
        <f t="shared" si="44"/>
        <v>24492.5</v>
      </c>
      <c r="AJ40" s="1667"/>
      <c r="AK40" s="1038"/>
      <c r="AL40" s="1038"/>
      <c r="AM40" s="1038"/>
      <c r="AN40" s="1038"/>
      <c r="AO40" s="1041">
        <f t="shared" si="45"/>
        <v>0</v>
      </c>
      <c r="AP40" s="1689"/>
      <c r="AQ40" s="1042"/>
      <c r="AR40" s="1042"/>
      <c r="AS40" s="1042"/>
      <c r="AT40" s="1042"/>
      <c r="AU40" s="1043">
        <f t="shared" si="46"/>
        <v>0</v>
      </c>
      <c r="AV40" s="1692">
        <v>4215.92</v>
      </c>
      <c r="AW40" s="1693">
        <v>1053.99</v>
      </c>
      <c r="AX40" s="1693">
        <v>0</v>
      </c>
      <c r="AY40" s="1693">
        <v>0</v>
      </c>
      <c r="AZ40" s="1694">
        <v>0</v>
      </c>
      <c r="BA40" s="1039">
        <f t="shared" si="47"/>
        <v>5269.91</v>
      </c>
      <c r="BB40" s="1675">
        <v>213.85</v>
      </c>
      <c r="BC40" s="1115">
        <v>386.15</v>
      </c>
      <c r="BD40" s="1115">
        <v>0</v>
      </c>
      <c r="BE40" s="1115">
        <v>0</v>
      </c>
      <c r="BF40" s="1676">
        <v>0</v>
      </c>
      <c r="BG40" s="1046">
        <f t="shared" si="48"/>
        <v>600</v>
      </c>
      <c r="BH40" s="1675">
        <v>18000.02</v>
      </c>
      <c r="BI40" s="1115">
        <v>2280.02</v>
      </c>
      <c r="BJ40" s="1115">
        <v>3720.02</v>
      </c>
      <c r="BK40" s="1115">
        <v>-0.06</v>
      </c>
      <c r="BL40" s="1676">
        <v>0</v>
      </c>
      <c r="BM40" s="1046">
        <f t="shared" si="49"/>
        <v>24000</v>
      </c>
      <c r="BN40" s="1675"/>
      <c r="BO40" s="1115"/>
      <c r="BP40" s="1115"/>
      <c r="BQ40" s="1115"/>
      <c r="BR40" s="1676"/>
      <c r="BS40" s="1049">
        <f t="shared" si="50"/>
        <v>0</v>
      </c>
      <c r="BT40" s="1675">
        <v>3693.4961050366983</v>
      </c>
      <c r="BU40" s="1115">
        <v>22372.393894963301</v>
      </c>
      <c r="BV40" s="1115">
        <v>4781.32</v>
      </c>
      <c r="BW40" s="1115">
        <v>-0.09</v>
      </c>
      <c r="BX40" s="1676">
        <v>0</v>
      </c>
      <c r="BY40" s="1049">
        <f t="shared" si="51"/>
        <v>30847.119999999999</v>
      </c>
      <c r="BZ40" s="1675"/>
      <c r="CA40" s="1115"/>
      <c r="CB40" s="1115"/>
      <c r="CC40" s="1115"/>
      <c r="CD40" s="1676"/>
      <c r="CE40" s="1049">
        <f t="shared" si="52"/>
        <v>0</v>
      </c>
      <c r="CF40" s="1677"/>
      <c r="CG40" s="1045"/>
      <c r="CH40" s="1045"/>
      <c r="CI40" s="1045"/>
      <c r="CJ40" s="1045"/>
      <c r="CK40" s="1046">
        <f t="shared" si="53"/>
        <v>0</v>
      </c>
      <c r="CL40" s="1675"/>
      <c r="CM40" s="1115"/>
      <c r="CN40" s="1115"/>
      <c r="CO40" s="1115"/>
      <c r="CP40" s="1676"/>
      <c r="CQ40" s="1049">
        <f t="shared" si="54"/>
        <v>0</v>
      </c>
      <c r="CR40" s="1677"/>
      <c r="CS40" s="1045"/>
      <c r="CT40" s="1045"/>
      <c r="CU40" s="1045"/>
      <c r="CV40" s="1045"/>
      <c r="CW40" s="1046">
        <f t="shared" si="55"/>
        <v>0</v>
      </c>
      <c r="CX40" s="1675"/>
      <c r="CY40" s="1115"/>
      <c r="CZ40" s="1115"/>
      <c r="DA40" s="1115"/>
      <c r="DB40" s="1676"/>
      <c r="DC40" s="1049">
        <f t="shared" si="56"/>
        <v>0</v>
      </c>
      <c r="DD40" s="1675"/>
      <c r="DE40" s="1115"/>
      <c r="DF40" s="1115"/>
      <c r="DG40" s="1115"/>
      <c r="DH40" s="1115"/>
      <c r="DI40" s="1114">
        <f t="shared" si="57"/>
        <v>0</v>
      </c>
      <c r="DJ40" s="1115"/>
      <c r="DK40" s="1115"/>
      <c r="DL40" s="1115"/>
      <c r="DM40" s="1115"/>
      <c r="DN40" s="1115"/>
      <c r="DO40" s="1115">
        <f t="shared" si="58"/>
        <v>0</v>
      </c>
      <c r="DP40" s="1677"/>
      <c r="DQ40" s="1045"/>
      <c r="DR40" s="1045"/>
      <c r="DS40" s="1045"/>
      <c r="DT40" s="1045"/>
      <c r="DU40" s="1050">
        <f t="shared" si="59"/>
        <v>0</v>
      </c>
      <c r="DV40" s="1675">
        <v>340.46</v>
      </c>
      <c r="DW40" s="1115">
        <v>0</v>
      </c>
      <c r="DX40" s="1115">
        <v>62.43</v>
      </c>
      <c r="DY40" s="1115">
        <v>7.0000000000000007E-2</v>
      </c>
      <c r="DZ40" s="1676">
        <v>0</v>
      </c>
      <c r="EA40" s="1049">
        <f t="shared" si="60"/>
        <v>402.96</v>
      </c>
    </row>
    <row r="41" spans="1:131" ht="15" customHeight="1" x14ac:dyDescent="0.25">
      <c r="A41" s="716" t="s">
        <v>96</v>
      </c>
      <c r="B41" s="810" t="s">
        <v>97</v>
      </c>
      <c r="C41" s="911" t="s">
        <v>266</v>
      </c>
      <c r="D41" s="808">
        <f t="shared" si="33"/>
        <v>40680.670614420618</v>
      </c>
      <c r="E41" s="808">
        <f t="shared" si="34"/>
        <v>17565.949385579381</v>
      </c>
      <c r="F41" s="808">
        <f t="shared" si="35"/>
        <v>11928.4</v>
      </c>
      <c r="G41" s="808">
        <f t="shared" si="36"/>
        <v>-7.9999999999999988E-2</v>
      </c>
      <c r="H41" s="808">
        <f t="shared" si="37"/>
        <v>75853.38</v>
      </c>
      <c r="I41" s="1391">
        <f t="shared" si="38"/>
        <v>146028.32</v>
      </c>
      <c r="J41" s="809">
        <f t="shared" si="39"/>
        <v>75853.3</v>
      </c>
      <c r="K41" s="1392">
        <f t="shared" si="40"/>
        <v>87781.7</v>
      </c>
      <c r="L41" s="1656"/>
      <c r="M41" s="1035"/>
      <c r="N41" s="1035"/>
      <c r="O41" s="1035"/>
      <c r="P41" s="1035"/>
      <c r="Q41" s="1036">
        <f t="shared" si="41"/>
        <v>0</v>
      </c>
      <c r="R41" s="1650"/>
      <c r="S41" s="1040"/>
      <c r="T41" s="1040"/>
      <c r="U41" s="1040"/>
      <c r="V41" s="1651"/>
      <c r="W41" s="1039">
        <f t="shared" si="42"/>
        <v>0</v>
      </c>
      <c r="X41" s="1664">
        <v>1367.69</v>
      </c>
      <c r="Y41" s="1665">
        <v>8.16</v>
      </c>
      <c r="Z41" s="1665">
        <v>252.39</v>
      </c>
      <c r="AA41" s="1665">
        <v>-0.03</v>
      </c>
      <c r="AB41" s="1666">
        <v>0</v>
      </c>
      <c r="AC41" s="1037">
        <f t="shared" si="43"/>
        <v>1628.2100000000003</v>
      </c>
      <c r="AD41" s="1675">
        <v>24322.18</v>
      </c>
      <c r="AE41" s="1115">
        <v>0</v>
      </c>
      <c r="AF41" s="1115">
        <v>6080.52</v>
      </c>
      <c r="AG41" s="1115">
        <v>0</v>
      </c>
      <c r="AH41" s="1676">
        <v>75853.38</v>
      </c>
      <c r="AI41" s="1049">
        <f t="shared" si="44"/>
        <v>106256.08</v>
      </c>
      <c r="AJ41" s="1667"/>
      <c r="AK41" s="1038"/>
      <c r="AL41" s="1038"/>
      <c r="AM41" s="1038"/>
      <c r="AN41" s="1038"/>
      <c r="AO41" s="1041">
        <f t="shared" si="45"/>
        <v>0</v>
      </c>
      <c r="AP41" s="1686">
        <v>1400.9</v>
      </c>
      <c r="AQ41" s="1687">
        <v>350.22</v>
      </c>
      <c r="AR41" s="1687">
        <v>0</v>
      </c>
      <c r="AS41" s="1687">
        <v>0</v>
      </c>
      <c r="AT41" s="1688">
        <v>0</v>
      </c>
      <c r="AU41" s="1043">
        <f t="shared" si="46"/>
        <v>1751.1200000000001</v>
      </c>
      <c r="AV41" s="1692">
        <v>2311.44</v>
      </c>
      <c r="AW41" s="1693">
        <v>577.86</v>
      </c>
      <c r="AX41" s="1693">
        <v>0</v>
      </c>
      <c r="AY41" s="1693">
        <v>0</v>
      </c>
      <c r="AZ41" s="1694">
        <v>0</v>
      </c>
      <c r="BA41" s="1039">
        <f t="shared" si="47"/>
        <v>2889.3</v>
      </c>
      <c r="BB41" s="1677">
        <v>93.29</v>
      </c>
      <c r="BC41" s="1045">
        <v>168.46</v>
      </c>
      <c r="BD41" s="1045">
        <v>0</v>
      </c>
      <c r="BE41" s="1045">
        <v>0</v>
      </c>
      <c r="BF41" s="1045">
        <v>0</v>
      </c>
      <c r="BG41" s="1046">
        <f t="shared" si="48"/>
        <v>261.75</v>
      </c>
      <c r="BH41" s="1677">
        <v>865.13</v>
      </c>
      <c r="BI41" s="1045">
        <v>109.58</v>
      </c>
      <c r="BJ41" s="1045">
        <v>178.79</v>
      </c>
      <c r="BK41" s="1045">
        <v>0</v>
      </c>
      <c r="BL41" s="1045">
        <v>0</v>
      </c>
      <c r="BM41" s="1046">
        <f t="shared" si="49"/>
        <v>1153.5</v>
      </c>
      <c r="BN41" s="1675"/>
      <c r="BO41" s="1115"/>
      <c r="BP41" s="1115"/>
      <c r="BQ41" s="1115"/>
      <c r="BR41" s="1676"/>
      <c r="BS41" s="1049">
        <f t="shared" si="50"/>
        <v>0</v>
      </c>
      <c r="BT41" s="1675">
        <v>2663.9606144206182</v>
      </c>
      <c r="BU41" s="1115">
        <v>13149.719385579381</v>
      </c>
      <c r="BV41" s="1115">
        <v>2900.74</v>
      </c>
      <c r="BW41" s="1115">
        <v>-0.06</v>
      </c>
      <c r="BX41" s="1676">
        <v>0</v>
      </c>
      <c r="BY41" s="1049">
        <f t="shared" si="51"/>
        <v>18714.359999999997</v>
      </c>
      <c r="BZ41" s="1677">
        <v>402</v>
      </c>
      <c r="CA41" s="1045">
        <v>0</v>
      </c>
      <c r="CB41" s="1045">
        <v>598</v>
      </c>
      <c r="CC41" s="1045">
        <v>0</v>
      </c>
      <c r="CD41" s="1678">
        <v>0</v>
      </c>
      <c r="CE41" s="1049">
        <f t="shared" si="52"/>
        <v>1000</v>
      </c>
      <c r="CF41" s="1677"/>
      <c r="CG41" s="1045"/>
      <c r="CH41" s="1045"/>
      <c r="CI41" s="1045"/>
      <c r="CJ41" s="1045"/>
      <c r="CK41" s="1046">
        <f t="shared" si="53"/>
        <v>0</v>
      </c>
      <c r="CL41" s="1675"/>
      <c r="CM41" s="1115"/>
      <c r="CN41" s="1115"/>
      <c r="CO41" s="1115"/>
      <c r="CP41" s="1676"/>
      <c r="CQ41" s="1049">
        <f t="shared" si="54"/>
        <v>0</v>
      </c>
      <c r="CR41" s="1677"/>
      <c r="CS41" s="1045"/>
      <c r="CT41" s="1045"/>
      <c r="CU41" s="1045"/>
      <c r="CV41" s="1045"/>
      <c r="CW41" s="1046">
        <f t="shared" si="55"/>
        <v>0</v>
      </c>
      <c r="CX41" s="1675"/>
      <c r="CY41" s="1115"/>
      <c r="CZ41" s="1115"/>
      <c r="DA41" s="1115"/>
      <c r="DB41" s="1676"/>
      <c r="DC41" s="1049">
        <f t="shared" si="56"/>
        <v>0</v>
      </c>
      <c r="DD41" s="1675"/>
      <c r="DE41" s="1115"/>
      <c r="DF41" s="1115"/>
      <c r="DG41" s="1115"/>
      <c r="DH41" s="1115"/>
      <c r="DI41" s="1114">
        <f t="shared" si="57"/>
        <v>0</v>
      </c>
      <c r="DJ41" s="1115"/>
      <c r="DK41" s="1115"/>
      <c r="DL41" s="1115"/>
      <c r="DM41" s="1115"/>
      <c r="DN41" s="1115"/>
      <c r="DO41" s="1115">
        <f t="shared" si="58"/>
        <v>0</v>
      </c>
      <c r="DP41" s="1675">
        <v>4640.51</v>
      </c>
      <c r="DQ41" s="1115">
        <v>3201.95</v>
      </c>
      <c r="DR41" s="1115">
        <v>1438.55</v>
      </c>
      <c r="DS41" s="1115">
        <v>-0.01</v>
      </c>
      <c r="DT41" s="1676">
        <v>0</v>
      </c>
      <c r="DU41" s="1050">
        <f t="shared" si="59"/>
        <v>9281</v>
      </c>
      <c r="DV41" s="1675">
        <v>2613.5700000000002</v>
      </c>
      <c r="DW41" s="1115">
        <v>0</v>
      </c>
      <c r="DX41" s="1115">
        <v>479.41</v>
      </c>
      <c r="DY41" s="1115">
        <v>0.02</v>
      </c>
      <c r="DZ41" s="1676">
        <v>0</v>
      </c>
      <c r="EA41" s="1049">
        <f t="shared" si="60"/>
        <v>3093</v>
      </c>
    </row>
    <row r="42" spans="1:131" ht="15" customHeight="1" x14ac:dyDescent="0.25">
      <c r="A42" s="716" t="s">
        <v>98</v>
      </c>
      <c r="B42" s="810" t="s">
        <v>99</v>
      </c>
      <c r="C42" s="911" t="s">
        <v>268</v>
      </c>
      <c r="D42" s="808">
        <f t="shared" si="33"/>
        <v>21601.004059796003</v>
      </c>
      <c r="E42" s="808">
        <f t="shared" si="34"/>
        <v>12357.495940203997</v>
      </c>
      <c r="F42" s="808">
        <f t="shared" si="35"/>
        <v>5729.5300000000007</v>
      </c>
      <c r="G42" s="808">
        <f t="shared" si="36"/>
        <v>1.999999999999999E-2</v>
      </c>
      <c r="H42" s="808">
        <f t="shared" si="37"/>
        <v>0</v>
      </c>
      <c r="I42" s="1391">
        <f t="shared" si="38"/>
        <v>39688.049999999996</v>
      </c>
      <c r="J42" s="809">
        <f t="shared" si="39"/>
        <v>1.999999999999999E-2</v>
      </c>
      <c r="K42" s="1392">
        <f t="shared" si="40"/>
        <v>5729.5500000000011</v>
      </c>
      <c r="L42" s="1656"/>
      <c r="M42" s="1035"/>
      <c r="N42" s="1035"/>
      <c r="O42" s="1035"/>
      <c r="P42" s="1035"/>
      <c r="Q42" s="1036">
        <f t="shared" si="41"/>
        <v>0</v>
      </c>
      <c r="R42" s="1650"/>
      <c r="S42" s="1040"/>
      <c r="T42" s="1040"/>
      <c r="U42" s="1040"/>
      <c r="V42" s="1651"/>
      <c r="W42" s="1039">
        <f t="shared" si="42"/>
        <v>0</v>
      </c>
      <c r="X42" s="1664">
        <v>510.16</v>
      </c>
      <c r="Y42" s="1665">
        <v>3.04</v>
      </c>
      <c r="Z42" s="1665">
        <v>94.14</v>
      </c>
      <c r="AA42" s="1665">
        <v>-0.01</v>
      </c>
      <c r="AB42" s="1666">
        <v>0</v>
      </c>
      <c r="AC42" s="1037">
        <f t="shared" si="43"/>
        <v>607.33000000000004</v>
      </c>
      <c r="AD42" s="1675">
        <v>378.22</v>
      </c>
      <c r="AE42" s="1115">
        <v>0</v>
      </c>
      <c r="AF42" s="1115">
        <v>94.56</v>
      </c>
      <c r="AG42" s="1115">
        <v>0</v>
      </c>
      <c r="AH42" s="1676">
        <v>0</v>
      </c>
      <c r="AI42" s="1049">
        <f t="shared" si="44"/>
        <v>472.78000000000003</v>
      </c>
      <c r="AJ42" s="1667"/>
      <c r="AK42" s="1038"/>
      <c r="AL42" s="1038"/>
      <c r="AM42" s="1038"/>
      <c r="AN42" s="1038"/>
      <c r="AO42" s="1041">
        <f t="shared" si="45"/>
        <v>0</v>
      </c>
      <c r="AP42" s="1686">
        <v>1039.3</v>
      </c>
      <c r="AQ42" s="1687">
        <v>259.83</v>
      </c>
      <c r="AR42" s="1687">
        <v>0</v>
      </c>
      <c r="AS42" s="1687">
        <v>0</v>
      </c>
      <c r="AT42" s="1688">
        <v>0</v>
      </c>
      <c r="AU42" s="1043">
        <f t="shared" si="46"/>
        <v>1299.1299999999999</v>
      </c>
      <c r="AV42" s="1692">
        <v>1248.8399999999999</v>
      </c>
      <c r="AW42" s="1693">
        <v>312.20999999999998</v>
      </c>
      <c r="AX42" s="1693">
        <v>0</v>
      </c>
      <c r="AY42" s="1693">
        <v>0</v>
      </c>
      <c r="AZ42" s="1694">
        <v>0</v>
      </c>
      <c r="BA42" s="1039">
        <f t="shared" si="47"/>
        <v>1561.05</v>
      </c>
      <c r="BB42" s="1677"/>
      <c r="BC42" s="1045"/>
      <c r="BD42" s="1045"/>
      <c r="BE42" s="1045"/>
      <c r="BF42" s="1045"/>
      <c r="BG42" s="1046">
        <f t="shared" si="48"/>
        <v>0</v>
      </c>
      <c r="BH42" s="1675">
        <v>8635.86</v>
      </c>
      <c r="BI42" s="1115">
        <v>1093.8699999999999</v>
      </c>
      <c r="BJ42" s="1115">
        <v>1784.74</v>
      </c>
      <c r="BK42" s="1115">
        <v>-0.02</v>
      </c>
      <c r="BL42" s="1676">
        <v>0</v>
      </c>
      <c r="BM42" s="1046">
        <f t="shared" si="49"/>
        <v>11514.449999999999</v>
      </c>
      <c r="BN42" s="1675"/>
      <c r="BO42" s="1115"/>
      <c r="BP42" s="1115"/>
      <c r="BQ42" s="1115"/>
      <c r="BR42" s="1676"/>
      <c r="BS42" s="1049">
        <f t="shared" si="50"/>
        <v>0</v>
      </c>
      <c r="BT42" s="1675">
        <v>1562.3540597960018</v>
      </c>
      <c r="BU42" s="1115">
        <v>8265.9559402039977</v>
      </c>
      <c r="BV42" s="1115">
        <v>1802.79</v>
      </c>
      <c r="BW42" s="1115">
        <v>-0.04</v>
      </c>
      <c r="BX42" s="1676">
        <v>0</v>
      </c>
      <c r="BY42" s="1049">
        <f t="shared" si="51"/>
        <v>11631.059999999998</v>
      </c>
      <c r="BZ42" s="1677"/>
      <c r="CA42" s="1045"/>
      <c r="CB42" s="1045"/>
      <c r="CC42" s="1045"/>
      <c r="CD42" s="1678"/>
      <c r="CE42" s="1049">
        <f t="shared" si="52"/>
        <v>0</v>
      </c>
      <c r="CF42" s="1677"/>
      <c r="CG42" s="1045"/>
      <c r="CH42" s="1045"/>
      <c r="CI42" s="1045"/>
      <c r="CJ42" s="1045"/>
      <c r="CK42" s="1046">
        <f t="shared" si="53"/>
        <v>0</v>
      </c>
      <c r="CL42" s="1677"/>
      <c r="CM42" s="1045"/>
      <c r="CN42" s="1045"/>
      <c r="CO42" s="1045"/>
      <c r="CP42" s="1678"/>
      <c r="CQ42" s="1049">
        <f t="shared" si="54"/>
        <v>0</v>
      </c>
      <c r="CR42" s="1677"/>
      <c r="CS42" s="1045"/>
      <c r="CT42" s="1045"/>
      <c r="CU42" s="1045"/>
      <c r="CV42" s="1045"/>
      <c r="CW42" s="1046">
        <f t="shared" si="55"/>
        <v>0</v>
      </c>
      <c r="CX42" s="1675"/>
      <c r="CY42" s="1115"/>
      <c r="CZ42" s="1115"/>
      <c r="DA42" s="1115"/>
      <c r="DB42" s="1676"/>
      <c r="DC42" s="1049">
        <f t="shared" si="56"/>
        <v>0</v>
      </c>
      <c r="DD42" s="1675"/>
      <c r="DE42" s="1115"/>
      <c r="DF42" s="1115"/>
      <c r="DG42" s="1115"/>
      <c r="DH42" s="1115"/>
      <c r="DI42" s="1114">
        <f t="shared" si="57"/>
        <v>0</v>
      </c>
      <c r="DJ42" s="1115"/>
      <c r="DK42" s="1115"/>
      <c r="DL42" s="1115"/>
      <c r="DM42" s="1115"/>
      <c r="DN42" s="1115"/>
      <c r="DO42" s="1115">
        <f t="shared" si="58"/>
        <v>0</v>
      </c>
      <c r="DP42" s="1677">
        <v>3511</v>
      </c>
      <c r="DQ42" s="1045">
        <v>2422.59</v>
      </c>
      <c r="DR42" s="1045">
        <v>1088.4100000000001</v>
      </c>
      <c r="DS42" s="1045">
        <v>0</v>
      </c>
      <c r="DT42" s="1045">
        <v>0</v>
      </c>
      <c r="DU42" s="1050">
        <f t="shared" si="59"/>
        <v>7022</v>
      </c>
      <c r="DV42" s="1675">
        <v>4715.2700000000004</v>
      </c>
      <c r="DW42" s="1115">
        <v>0</v>
      </c>
      <c r="DX42" s="1115">
        <v>864.89</v>
      </c>
      <c r="DY42" s="1115">
        <v>0.09</v>
      </c>
      <c r="DZ42" s="1676">
        <v>0</v>
      </c>
      <c r="EA42" s="1049">
        <f t="shared" si="60"/>
        <v>5580.2500000000009</v>
      </c>
    </row>
    <row r="43" spans="1:131" ht="15" customHeight="1" x14ac:dyDescent="0.25">
      <c r="A43" s="716" t="s">
        <v>100</v>
      </c>
      <c r="B43" s="810" t="s">
        <v>101</v>
      </c>
      <c r="C43" s="911" t="s">
        <v>267</v>
      </c>
      <c r="D43" s="808">
        <f t="shared" si="33"/>
        <v>16271.908868252685</v>
      </c>
      <c r="E43" s="808">
        <f t="shared" si="34"/>
        <v>29482.321131747314</v>
      </c>
      <c r="F43" s="808">
        <f t="shared" si="35"/>
        <v>8011.24</v>
      </c>
      <c r="G43" s="808">
        <f t="shared" si="36"/>
        <v>-0.09</v>
      </c>
      <c r="H43" s="808">
        <f t="shared" si="37"/>
        <v>0</v>
      </c>
      <c r="I43" s="1391">
        <f t="shared" si="38"/>
        <v>53765.38</v>
      </c>
      <c r="J43" s="809">
        <f t="shared" si="39"/>
        <v>-0.09</v>
      </c>
      <c r="K43" s="1392">
        <f t="shared" si="40"/>
        <v>8011.15</v>
      </c>
      <c r="L43" s="1656"/>
      <c r="M43" s="1035"/>
      <c r="N43" s="1035"/>
      <c r="O43" s="1035"/>
      <c r="P43" s="1035"/>
      <c r="Q43" s="1036">
        <f t="shared" si="41"/>
        <v>0</v>
      </c>
      <c r="R43" s="1650"/>
      <c r="S43" s="1040"/>
      <c r="T43" s="1040"/>
      <c r="U43" s="1040"/>
      <c r="V43" s="1651"/>
      <c r="W43" s="1039">
        <f t="shared" si="42"/>
        <v>0</v>
      </c>
      <c r="X43" s="1664">
        <v>9.09</v>
      </c>
      <c r="Y43" s="1665">
        <v>0.05</v>
      </c>
      <c r="Z43" s="1665">
        <v>1.68</v>
      </c>
      <c r="AA43" s="1665">
        <v>0</v>
      </c>
      <c r="AB43" s="1666">
        <v>0</v>
      </c>
      <c r="AC43" s="1037">
        <f t="shared" si="43"/>
        <v>10.82</v>
      </c>
      <c r="AD43" s="1675">
        <v>1080</v>
      </c>
      <c r="AE43" s="1115">
        <v>0</v>
      </c>
      <c r="AF43" s="1115">
        <v>270</v>
      </c>
      <c r="AG43" s="1115">
        <v>0</v>
      </c>
      <c r="AH43" s="1676">
        <v>0</v>
      </c>
      <c r="AI43" s="1049">
        <f t="shared" si="44"/>
        <v>1350</v>
      </c>
      <c r="AJ43" s="1667"/>
      <c r="AK43" s="1038"/>
      <c r="AL43" s="1038"/>
      <c r="AM43" s="1038"/>
      <c r="AN43" s="1038"/>
      <c r="AO43" s="1041">
        <f t="shared" si="45"/>
        <v>0</v>
      </c>
      <c r="AP43" s="1689">
        <v>1573.7</v>
      </c>
      <c r="AQ43" s="1042">
        <v>393.43</v>
      </c>
      <c r="AR43" s="1042">
        <v>0</v>
      </c>
      <c r="AS43" s="1042">
        <v>0</v>
      </c>
      <c r="AT43" s="1042">
        <v>0</v>
      </c>
      <c r="AU43" s="1043">
        <f t="shared" si="46"/>
        <v>1967.13</v>
      </c>
      <c r="AV43" s="1692">
        <v>404</v>
      </c>
      <c r="AW43" s="1693">
        <v>101</v>
      </c>
      <c r="AX43" s="1693">
        <v>0</v>
      </c>
      <c r="AY43" s="1693">
        <v>0</v>
      </c>
      <c r="AZ43" s="1694">
        <v>0</v>
      </c>
      <c r="BA43" s="1039">
        <f t="shared" si="47"/>
        <v>505</v>
      </c>
      <c r="BB43" s="1677"/>
      <c r="BC43" s="1045"/>
      <c r="BD43" s="1045"/>
      <c r="BE43" s="1045"/>
      <c r="BF43" s="1045"/>
      <c r="BG43" s="1046">
        <f t="shared" si="48"/>
        <v>0</v>
      </c>
      <c r="BH43" s="1677">
        <v>3750</v>
      </c>
      <c r="BI43" s="1045">
        <v>475</v>
      </c>
      <c r="BJ43" s="1045">
        <v>775</v>
      </c>
      <c r="BK43" s="1045">
        <v>0</v>
      </c>
      <c r="BL43" s="1045">
        <v>0</v>
      </c>
      <c r="BM43" s="1046">
        <f t="shared" si="49"/>
        <v>5000</v>
      </c>
      <c r="BN43" s="1675"/>
      <c r="BO43" s="1115"/>
      <c r="BP43" s="1115"/>
      <c r="BQ43" s="1115"/>
      <c r="BR43" s="1676"/>
      <c r="BS43" s="1049">
        <f t="shared" si="50"/>
        <v>0</v>
      </c>
      <c r="BT43" s="1675">
        <v>4707.2388682526853</v>
      </c>
      <c r="BU43" s="1115">
        <v>28512.841131747315</v>
      </c>
      <c r="BV43" s="1115">
        <v>6093.65</v>
      </c>
      <c r="BW43" s="1115">
        <v>-0.11</v>
      </c>
      <c r="BX43" s="1676">
        <v>0</v>
      </c>
      <c r="BY43" s="1049">
        <f t="shared" si="51"/>
        <v>39313.620000000003</v>
      </c>
      <c r="BZ43" s="1677"/>
      <c r="CA43" s="1045"/>
      <c r="CB43" s="1045"/>
      <c r="CC43" s="1045"/>
      <c r="CD43" s="1678"/>
      <c r="CE43" s="1049">
        <f t="shared" si="52"/>
        <v>0</v>
      </c>
      <c r="CF43" s="1677"/>
      <c r="CG43" s="1045"/>
      <c r="CH43" s="1045"/>
      <c r="CI43" s="1045"/>
      <c r="CJ43" s="1045"/>
      <c r="CK43" s="1046">
        <f t="shared" si="53"/>
        <v>0</v>
      </c>
      <c r="CL43" s="1677"/>
      <c r="CM43" s="1045"/>
      <c r="CN43" s="1045"/>
      <c r="CO43" s="1045"/>
      <c r="CP43" s="1678"/>
      <c r="CQ43" s="1049">
        <f t="shared" si="54"/>
        <v>0</v>
      </c>
      <c r="CR43" s="1675"/>
      <c r="CS43" s="1115"/>
      <c r="CT43" s="1115"/>
      <c r="CU43" s="1115"/>
      <c r="CV43" s="1676"/>
      <c r="CW43" s="1046">
        <f t="shared" si="55"/>
        <v>0</v>
      </c>
      <c r="CX43" s="1675"/>
      <c r="CY43" s="1115"/>
      <c r="CZ43" s="1115"/>
      <c r="DA43" s="1115"/>
      <c r="DB43" s="1676"/>
      <c r="DC43" s="1049">
        <f t="shared" si="56"/>
        <v>0</v>
      </c>
      <c r="DD43" s="1675"/>
      <c r="DE43" s="1115"/>
      <c r="DF43" s="1115"/>
      <c r="DG43" s="1115"/>
      <c r="DH43" s="1115"/>
      <c r="DI43" s="1114">
        <f t="shared" si="57"/>
        <v>0</v>
      </c>
      <c r="DJ43" s="1115"/>
      <c r="DK43" s="1115"/>
      <c r="DL43" s="1115"/>
      <c r="DM43" s="1115"/>
      <c r="DN43" s="1115"/>
      <c r="DO43" s="1115">
        <f t="shared" si="58"/>
        <v>0</v>
      </c>
      <c r="DP43" s="1675"/>
      <c r="DQ43" s="1115"/>
      <c r="DR43" s="1115"/>
      <c r="DS43" s="1115"/>
      <c r="DT43" s="1676"/>
      <c r="DU43" s="1050">
        <f t="shared" si="59"/>
        <v>0</v>
      </c>
      <c r="DV43" s="1675">
        <v>4747.88</v>
      </c>
      <c r="DW43" s="1115">
        <v>0</v>
      </c>
      <c r="DX43" s="1115">
        <v>870.91</v>
      </c>
      <c r="DY43" s="1115">
        <v>0.02</v>
      </c>
      <c r="DZ43" s="1676">
        <v>0</v>
      </c>
      <c r="EA43" s="1049">
        <f t="shared" si="60"/>
        <v>5618.81</v>
      </c>
    </row>
    <row r="44" spans="1:131" ht="15" customHeight="1" x14ac:dyDescent="0.25">
      <c r="A44" s="716" t="s">
        <v>102</v>
      </c>
      <c r="B44" s="810" t="s">
        <v>103</v>
      </c>
      <c r="C44" s="911" t="s">
        <v>264</v>
      </c>
      <c r="D44" s="808">
        <f t="shared" si="33"/>
        <v>78288.624125006114</v>
      </c>
      <c r="E44" s="808">
        <f t="shared" si="34"/>
        <v>80431.575874993883</v>
      </c>
      <c r="F44" s="808">
        <f t="shared" si="35"/>
        <v>30970.73</v>
      </c>
      <c r="G44" s="808">
        <f t="shared" si="36"/>
        <v>-0.12</v>
      </c>
      <c r="H44" s="808">
        <f t="shared" si="37"/>
        <v>0</v>
      </c>
      <c r="I44" s="1391">
        <f t="shared" si="38"/>
        <v>189690.81000000003</v>
      </c>
      <c r="J44" s="809">
        <f t="shared" si="39"/>
        <v>-0.12</v>
      </c>
      <c r="K44" s="1392">
        <f t="shared" si="40"/>
        <v>30970.61</v>
      </c>
      <c r="L44" s="1656"/>
      <c r="M44" s="1035"/>
      <c r="N44" s="1035"/>
      <c r="O44" s="1035"/>
      <c r="P44" s="1035"/>
      <c r="Q44" s="1036">
        <f t="shared" si="41"/>
        <v>0</v>
      </c>
      <c r="R44" s="1650"/>
      <c r="S44" s="1040"/>
      <c r="T44" s="1040"/>
      <c r="U44" s="1040"/>
      <c r="V44" s="1651"/>
      <c r="W44" s="1039">
        <f t="shared" si="42"/>
        <v>0</v>
      </c>
      <c r="X44" s="1667"/>
      <c r="Y44" s="1038"/>
      <c r="Z44" s="1038"/>
      <c r="AA44" s="1038"/>
      <c r="AB44" s="1668"/>
      <c r="AC44" s="1037">
        <f t="shared" si="43"/>
        <v>0</v>
      </c>
      <c r="AD44" s="1675">
        <v>27886.880000000001</v>
      </c>
      <c r="AE44" s="1115">
        <v>0</v>
      </c>
      <c r="AF44" s="1115">
        <v>6971.71</v>
      </c>
      <c r="AG44" s="1115">
        <v>0</v>
      </c>
      <c r="AH44" s="1676">
        <v>0</v>
      </c>
      <c r="AI44" s="1049">
        <f t="shared" si="44"/>
        <v>34858.590000000004</v>
      </c>
      <c r="AJ44" s="1667"/>
      <c r="AK44" s="1038"/>
      <c r="AL44" s="1038"/>
      <c r="AM44" s="1038"/>
      <c r="AN44" s="1038"/>
      <c r="AO44" s="1041">
        <f t="shared" si="45"/>
        <v>0</v>
      </c>
      <c r="AP44" s="1689"/>
      <c r="AQ44" s="1042"/>
      <c r="AR44" s="1042"/>
      <c r="AS44" s="1042"/>
      <c r="AT44" s="1042"/>
      <c r="AU44" s="1043">
        <f t="shared" si="46"/>
        <v>0</v>
      </c>
      <c r="AV44" s="1650"/>
      <c r="AW44" s="1040"/>
      <c r="AX44" s="1040"/>
      <c r="AY44" s="1040"/>
      <c r="AZ44" s="1651"/>
      <c r="BA44" s="1039">
        <f t="shared" si="47"/>
        <v>0</v>
      </c>
      <c r="BB44" s="1677"/>
      <c r="BC44" s="1045"/>
      <c r="BD44" s="1045"/>
      <c r="BE44" s="1045"/>
      <c r="BF44" s="1045"/>
      <c r="BG44" s="1046">
        <f t="shared" si="48"/>
        <v>0</v>
      </c>
      <c r="BH44" s="1675">
        <v>12581.64</v>
      </c>
      <c r="BI44" s="1115">
        <v>1593.68</v>
      </c>
      <c r="BJ44" s="1115">
        <v>2600.1999999999998</v>
      </c>
      <c r="BK44" s="1115">
        <v>-0.01</v>
      </c>
      <c r="BL44" s="1676">
        <v>0</v>
      </c>
      <c r="BM44" s="1046">
        <f t="shared" si="49"/>
        <v>16775.510000000002</v>
      </c>
      <c r="BN44" s="1675"/>
      <c r="BO44" s="1115"/>
      <c r="BP44" s="1115"/>
      <c r="BQ44" s="1115"/>
      <c r="BR44" s="1676"/>
      <c r="BS44" s="1049">
        <f t="shared" si="50"/>
        <v>0</v>
      </c>
      <c r="BT44" s="1675">
        <v>30210.814125006116</v>
      </c>
      <c r="BU44" s="1115">
        <v>76250.385874993895</v>
      </c>
      <c r="BV44" s="1115">
        <v>19528.41</v>
      </c>
      <c r="BW44" s="1115">
        <v>-0.12</v>
      </c>
      <c r="BX44" s="1676">
        <v>0</v>
      </c>
      <c r="BY44" s="1049">
        <f t="shared" si="51"/>
        <v>125989.49000000002</v>
      </c>
      <c r="BZ44" s="1677"/>
      <c r="CA44" s="1045"/>
      <c r="CB44" s="1045"/>
      <c r="CC44" s="1045"/>
      <c r="CD44" s="1678"/>
      <c r="CE44" s="1049">
        <f t="shared" si="52"/>
        <v>0</v>
      </c>
      <c r="CF44" s="1677"/>
      <c r="CG44" s="1045"/>
      <c r="CH44" s="1045"/>
      <c r="CI44" s="1045"/>
      <c r="CJ44" s="1045"/>
      <c r="CK44" s="1046">
        <f t="shared" si="53"/>
        <v>0</v>
      </c>
      <c r="CL44" s="1677"/>
      <c r="CM44" s="1045"/>
      <c r="CN44" s="1045"/>
      <c r="CO44" s="1045"/>
      <c r="CP44" s="1678"/>
      <c r="CQ44" s="1049">
        <f t="shared" si="54"/>
        <v>0</v>
      </c>
      <c r="CR44" s="1677"/>
      <c r="CS44" s="1045"/>
      <c r="CT44" s="1045"/>
      <c r="CU44" s="1045"/>
      <c r="CV44" s="1045"/>
      <c r="CW44" s="1046">
        <f t="shared" si="55"/>
        <v>0</v>
      </c>
      <c r="CX44" s="1675"/>
      <c r="CY44" s="1115"/>
      <c r="CZ44" s="1115"/>
      <c r="DA44" s="1115"/>
      <c r="DB44" s="1676"/>
      <c r="DC44" s="1049">
        <f t="shared" si="56"/>
        <v>0</v>
      </c>
      <c r="DD44" s="1675"/>
      <c r="DE44" s="1115"/>
      <c r="DF44" s="1115"/>
      <c r="DG44" s="1115"/>
      <c r="DH44" s="1115"/>
      <c r="DI44" s="1114">
        <f t="shared" si="57"/>
        <v>0</v>
      </c>
      <c r="DJ44" s="1115"/>
      <c r="DK44" s="1115"/>
      <c r="DL44" s="1115"/>
      <c r="DM44" s="1115"/>
      <c r="DN44" s="1115"/>
      <c r="DO44" s="1115">
        <f t="shared" si="58"/>
        <v>0</v>
      </c>
      <c r="DP44" s="1677">
        <v>3750</v>
      </c>
      <c r="DQ44" s="1045">
        <v>2587.5100000000002</v>
      </c>
      <c r="DR44" s="1045">
        <v>1162.51</v>
      </c>
      <c r="DS44" s="1045">
        <v>-0.02</v>
      </c>
      <c r="DT44" s="1045">
        <v>0</v>
      </c>
      <c r="DU44" s="1050">
        <f t="shared" si="59"/>
        <v>7500</v>
      </c>
      <c r="DV44" s="1675">
        <v>3859.29</v>
      </c>
      <c r="DW44" s="1115">
        <v>0</v>
      </c>
      <c r="DX44" s="1115">
        <v>707.9</v>
      </c>
      <c r="DY44" s="1115">
        <v>0.03</v>
      </c>
      <c r="DZ44" s="1676">
        <v>0</v>
      </c>
      <c r="EA44" s="1049">
        <f t="shared" si="60"/>
        <v>4567.2199999999993</v>
      </c>
    </row>
    <row r="45" spans="1:131" ht="15" customHeight="1" x14ac:dyDescent="0.25">
      <c r="A45" s="716" t="s">
        <v>104</v>
      </c>
      <c r="B45" s="810" t="s">
        <v>309</v>
      </c>
      <c r="C45" s="911" t="s">
        <v>265</v>
      </c>
      <c r="D45" s="808">
        <f t="shared" si="33"/>
        <v>39151.450877821488</v>
      </c>
      <c r="E45" s="808">
        <f t="shared" si="34"/>
        <v>42474.349122178508</v>
      </c>
      <c r="F45" s="808">
        <f t="shared" si="35"/>
        <v>15888.870000000003</v>
      </c>
      <c r="G45" s="808">
        <f t="shared" si="36"/>
        <v>-0.09</v>
      </c>
      <c r="H45" s="808">
        <f t="shared" si="37"/>
        <v>0</v>
      </c>
      <c r="I45" s="1391">
        <f t="shared" si="38"/>
        <v>97514.579999999987</v>
      </c>
      <c r="J45" s="809">
        <f t="shared" si="39"/>
        <v>-0.09</v>
      </c>
      <c r="K45" s="1392">
        <f t="shared" si="40"/>
        <v>15888.780000000002</v>
      </c>
      <c r="L45" s="1656"/>
      <c r="M45" s="1035"/>
      <c r="N45" s="1035"/>
      <c r="O45" s="1035"/>
      <c r="P45" s="1035"/>
      <c r="Q45" s="1036">
        <f t="shared" si="41"/>
        <v>0</v>
      </c>
      <c r="R45" s="1650"/>
      <c r="S45" s="1040"/>
      <c r="T45" s="1040"/>
      <c r="U45" s="1040"/>
      <c r="V45" s="1651"/>
      <c r="W45" s="1039">
        <f t="shared" si="42"/>
        <v>0</v>
      </c>
      <c r="X45" s="1664">
        <v>3541.95</v>
      </c>
      <c r="Y45" s="1665">
        <v>21.09</v>
      </c>
      <c r="Z45" s="1665">
        <v>653.58000000000004</v>
      </c>
      <c r="AA45" s="1665">
        <v>-0.01</v>
      </c>
      <c r="AB45" s="1666">
        <v>0</v>
      </c>
      <c r="AC45" s="1037">
        <f t="shared" si="43"/>
        <v>4216.6099999999997</v>
      </c>
      <c r="AD45" s="1675">
        <v>22865.17</v>
      </c>
      <c r="AE45" s="1115">
        <v>0</v>
      </c>
      <c r="AF45" s="1115">
        <v>5716.31</v>
      </c>
      <c r="AG45" s="1115">
        <v>0</v>
      </c>
      <c r="AH45" s="1676">
        <v>0</v>
      </c>
      <c r="AI45" s="1049">
        <f t="shared" si="44"/>
        <v>28581.48</v>
      </c>
      <c r="AJ45" s="1667"/>
      <c r="AK45" s="1038"/>
      <c r="AL45" s="1038"/>
      <c r="AM45" s="1038"/>
      <c r="AN45" s="1038"/>
      <c r="AO45" s="1041">
        <f t="shared" si="45"/>
        <v>0</v>
      </c>
      <c r="AP45" s="1686"/>
      <c r="AQ45" s="1687"/>
      <c r="AR45" s="1687"/>
      <c r="AS45" s="1687"/>
      <c r="AT45" s="1688"/>
      <c r="AU45" s="1043">
        <f t="shared" si="46"/>
        <v>0</v>
      </c>
      <c r="AV45" s="1692">
        <v>3143.26</v>
      </c>
      <c r="AW45" s="1693">
        <v>785.82</v>
      </c>
      <c r="AX45" s="1693">
        <v>0</v>
      </c>
      <c r="AY45" s="1693">
        <v>0</v>
      </c>
      <c r="AZ45" s="1694">
        <v>0</v>
      </c>
      <c r="BA45" s="1039">
        <f t="shared" si="47"/>
        <v>3929.0800000000004</v>
      </c>
      <c r="BB45" s="1675">
        <v>67.52</v>
      </c>
      <c r="BC45" s="1115">
        <v>121.93</v>
      </c>
      <c r="BD45" s="1115">
        <v>0</v>
      </c>
      <c r="BE45" s="1115">
        <v>0</v>
      </c>
      <c r="BF45" s="1676">
        <v>0</v>
      </c>
      <c r="BG45" s="1046">
        <f t="shared" si="48"/>
        <v>189.45</v>
      </c>
      <c r="BH45" s="1677"/>
      <c r="BI45" s="1045"/>
      <c r="BJ45" s="1045"/>
      <c r="BK45" s="1045"/>
      <c r="BL45" s="1045"/>
      <c r="BM45" s="1046">
        <f t="shared" si="49"/>
        <v>0</v>
      </c>
      <c r="BN45" s="1675"/>
      <c r="BO45" s="1115"/>
      <c r="BP45" s="1115"/>
      <c r="BQ45" s="1115"/>
      <c r="BR45" s="1676"/>
      <c r="BS45" s="1049">
        <f t="shared" si="50"/>
        <v>0</v>
      </c>
      <c r="BT45" s="1675">
        <v>7441.6708778214888</v>
      </c>
      <c r="BU45" s="1115">
        <v>41545.509122178511</v>
      </c>
      <c r="BV45" s="1115">
        <v>8985.8700000000008</v>
      </c>
      <c r="BW45" s="1115">
        <v>-0.09</v>
      </c>
      <c r="BX45" s="1676">
        <v>0</v>
      </c>
      <c r="BY45" s="1049">
        <f t="shared" si="51"/>
        <v>57972.960000000006</v>
      </c>
      <c r="BZ45" s="1675">
        <v>114.57</v>
      </c>
      <c r="CA45" s="1115">
        <v>0</v>
      </c>
      <c r="CB45" s="1115">
        <v>170.43</v>
      </c>
      <c r="CC45" s="1115">
        <v>0</v>
      </c>
      <c r="CD45" s="1676">
        <v>0</v>
      </c>
      <c r="CE45" s="1049">
        <f t="shared" si="52"/>
        <v>285</v>
      </c>
      <c r="CF45" s="1677"/>
      <c r="CG45" s="1045"/>
      <c r="CH45" s="1045"/>
      <c r="CI45" s="1045"/>
      <c r="CJ45" s="1045"/>
      <c r="CK45" s="1046">
        <f t="shared" si="53"/>
        <v>0</v>
      </c>
      <c r="CL45" s="1675"/>
      <c r="CM45" s="1115"/>
      <c r="CN45" s="1115"/>
      <c r="CO45" s="1115"/>
      <c r="CP45" s="1676"/>
      <c r="CQ45" s="1049">
        <f t="shared" si="54"/>
        <v>0</v>
      </c>
      <c r="CR45" s="1677"/>
      <c r="CS45" s="1045"/>
      <c r="CT45" s="1045"/>
      <c r="CU45" s="1045"/>
      <c r="CV45" s="1045"/>
      <c r="CW45" s="1046">
        <f t="shared" si="55"/>
        <v>0</v>
      </c>
      <c r="CX45" s="1675"/>
      <c r="CY45" s="1115"/>
      <c r="CZ45" s="1115"/>
      <c r="DA45" s="1115"/>
      <c r="DB45" s="1676"/>
      <c r="DC45" s="1049">
        <f t="shared" si="56"/>
        <v>0</v>
      </c>
      <c r="DD45" s="1675"/>
      <c r="DE45" s="1115"/>
      <c r="DF45" s="1115"/>
      <c r="DG45" s="1115"/>
      <c r="DH45" s="1115"/>
      <c r="DI45" s="1114">
        <f t="shared" si="57"/>
        <v>0</v>
      </c>
      <c r="DJ45" s="1115"/>
      <c r="DK45" s="1115"/>
      <c r="DL45" s="1115"/>
      <c r="DM45" s="1115"/>
      <c r="DN45" s="1115"/>
      <c r="DO45" s="1115">
        <f t="shared" si="58"/>
        <v>0</v>
      </c>
      <c r="DP45" s="1677"/>
      <c r="DQ45" s="1045"/>
      <c r="DR45" s="1045"/>
      <c r="DS45" s="1045"/>
      <c r="DT45" s="1045"/>
      <c r="DU45" s="1050">
        <f t="shared" si="59"/>
        <v>0</v>
      </c>
      <c r="DV45" s="1675">
        <v>1977.31</v>
      </c>
      <c r="DW45" s="1115">
        <v>0</v>
      </c>
      <c r="DX45" s="1115">
        <v>362.68</v>
      </c>
      <c r="DY45" s="1115">
        <v>0.01</v>
      </c>
      <c r="DZ45" s="1676">
        <v>0</v>
      </c>
      <c r="EA45" s="1049">
        <f t="shared" si="60"/>
        <v>2340</v>
      </c>
    </row>
    <row r="46" spans="1:131" ht="15" customHeight="1" x14ac:dyDescent="0.25">
      <c r="A46" s="716" t="s">
        <v>108</v>
      </c>
      <c r="B46" s="810" t="s">
        <v>109</v>
      </c>
      <c r="C46" s="911" t="s">
        <v>266</v>
      </c>
      <c r="D46" s="808">
        <f t="shared" si="33"/>
        <v>50509.565995233643</v>
      </c>
      <c r="E46" s="808">
        <f t="shared" si="34"/>
        <v>63235.394004766356</v>
      </c>
      <c r="F46" s="808">
        <f t="shared" si="35"/>
        <v>19275.730000000003</v>
      </c>
      <c r="G46" s="808">
        <f t="shared" si="36"/>
        <v>-0.10000000000000003</v>
      </c>
      <c r="H46" s="808">
        <f t="shared" si="37"/>
        <v>0</v>
      </c>
      <c r="I46" s="1391">
        <f t="shared" si="38"/>
        <v>133020.59</v>
      </c>
      <c r="J46" s="809">
        <f t="shared" si="39"/>
        <v>-0.10000000000000003</v>
      </c>
      <c r="K46" s="1392">
        <f t="shared" si="40"/>
        <v>19275.630000000005</v>
      </c>
      <c r="L46" s="1656"/>
      <c r="M46" s="1035"/>
      <c r="N46" s="1035"/>
      <c r="O46" s="1035"/>
      <c r="P46" s="1035"/>
      <c r="Q46" s="1036">
        <f t="shared" si="41"/>
        <v>0</v>
      </c>
      <c r="R46" s="1650"/>
      <c r="S46" s="1040"/>
      <c r="T46" s="1040"/>
      <c r="U46" s="1040"/>
      <c r="V46" s="1651"/>
      <c r="W46" s="1039">
        <f t="shared" si="42"/>
        <v>0</v>
      </c>
      <c r="X46" s="1664"/>
      <c r="Y46" s="1665"/>
      <c r="Z46" s="1665"/>
      <c r="AA46" s="1665"/>
      <c r="AB46" s="1666"/>
      <c r="AC46" s="1037">
        <f t="shared" si="43"/>
        <v>0</v>
      </c>
      <c r="AD46" s="1675">
        <v>2966.9</v>
      </c>
      <c r="AE46" s="1115">
        <v>0</v>
      </c>
      <c r="AF46" s="1115">
        <v>741.73</v>
      </c>
      <c r="AG46" s="1115">
        <v>0</v>
      </c>
      <c r="AH46" s="1676">
        <v>0</v>
      </c>
      <c r="AI46" s="1049">
        <f t="shared" si="44"/>
        <v>3708.63</v>
      </c>
      <c r="AJ46" s="1667"/>
      <c r="AK46" s="1038"/>
      <c r="AL46" s="1038"/>
      <c r="AM46" s="1038"/>
      <c r="AN46" s="1038"/>
      <c r="AO46" s="1041">
        <f t="shared" si="45"/>
        <v>0</v>
      </c>
      <c r="AP46" s="1686">
        <v>3440.61</v>
      </c>
      <c r="AQ46" s="1687">
        <v>860.14</v>
      </c>
      <c r="AR46" s="1687">
        <v>0</v>
      </c>
      <c r="AS46" s="1687">
        <v>0</v>
      </c>
      <c r="AT46" s="1688">
        <v>0</v>
      </c>
      <c r="AU46" s="1043">
        <f t="shared" si="46"/>
        <v>4300.75</v>
      </c>
      <c r="AV46" s="1692">
        <v>4348.18</v>
      </c>
      <c r="AW46" s="1693">
        <v>1087.04</v>
      </c>
      <c r="AX46" s="1693">
        <v>0</v>
      </c>
      <c r="AY46" s="1693">
        <v>0</v>
      </c>
      <c r="AZ46" s="1694">
        <v>0</v>
      </c>
      <c r="BA46" s="1039">
        <f t="shared" si="47"/>
        <v>5435.22</v>
      </c>
      <c r="BB46" s="1675">
        <v>86.76</v>
      </c>
      <c r="BC46" s="1115">
        <v>156.66999999999999</v>
      </c>
      <c r="BD46" s="1115">
        <v>0</v>
      </c>
      <c r="BE46" s="1115">
        <v>0</v>
      </c>
      <c r="BF46" s="1676">
        <v>0</v>
      </c>
      <c r="BG46" s="1046">
        <f t="shared" si="48"/>
        <v>243.43</v>
      </c>
      <c r="BH46" s="1675">
        <v>25194.62</v>
      </c>
      <c r="BI46" s="1115">
        <v>3191.35</v>
      </c>
      <c r="BJ46" s="1115">
        <v>5206.92</v>
      </c>
      <c r="BK46" s="1115">
        <v>-0.1</v>
      </c>
      <c r="BL46" s="1676">
        <v>0</v>
      </c>
      <c r="BM46" s="1046">
        <f t="shared" si="49"/>
        <v>33592.79</v>
      </c>
      <c r="BN46" s="1675"/>
      <c r="BO46" s="1115"/>
      <c r="BP46" s="1115"/>
      <c r="BQ46" s="1115"/>
      <c r="BR46" s="1676"/>
      <c r="BS46" s="1049">
        <f t="shared" si="50"/>
        <v>0</v>
      </c>
      <c r="BT46" s="1675">
        <v>8870.5759952336412</v>
      </c>
      <c r="BU46" s="1115">
        <v>53730.98400476636</v>
      </c>
      <c r="BV46" s="1115">
        <v>11483.11</v>
      </c>
      <c r="BW46" s="1115">
        <v>-0.05</v>
      </c>
      <c r="BX46" s="1676">
        <v>0</v>
      </c>
      <c r="BY46" s="1049">
        <f t="shared" si="51"/>
        <v>74084.62</v>
      </c>
      <c r="BZ46" s="1675">
        <v>33.99</v>
      </c>
      <c r="CA46" s="1115">
        <v>0</v>
      </c>
      <c r="CB46" s="1115">
        <v>50.56</v>
      </c>
      <c r="CC46" s="1115">
        <v>0</v>
      </c>
      <c r="CD46" s="1676">
        <v>0</v>
      </c>
      <c r="CE46" s="1049">
        <f t="shared" si="52"/>
        <v>84.550000000000011</v>
      </c>
      <c r="CF46" s="1677"/>
      <c r="CG46" s="1045"/>
      <c r="CH46" s="1045"/>
      <c r="CI46" s="1045"/>
      <c r="CJ46" s="1045"/>
      <c r="CK46" s="1046">
        <f t="shared" si="53"/>
        <v>0</v>
      </c>
      <c r="CL46" s="1675"/>
      <c r="CM46" s="1115"/>
      <c r="CN46" s="1115"/>
      <c r="CO46" s="1115"/>
      <c r="CP46" s="1676"/>
      <c r="CQ46" s="1049">
        <f t="shared" si="54"/>
        <v>0</v>
      </c>
      <c r="CR46" s="1677"/>
      <c r="CS46" s="1045"/>
      <c r="CT46" s="1045"/>
      <c r="CU46" s="1045"/>
      <c r="CV46" s="1045"/>
      <c r="CW46" s="1046">
        <f t="shared" si="55"/>
        <v>0</v>
      </c>
      <c r="CX46" s="1675"/>
      <c r="CY46" s="1115"/>
      <c r="CZ46" s="1115"/>
      <c r="DA46" s="1115"/>
      <c r="DB46" s="1676"/>
      <c r="DC46" s="1049">
        <f t="shared" si="56"/>
        <v>0</v>
      </c>
      <c r="DD46" s="1675"/>
      <c r="DE46" s="1115"/>
      <c r="DF46" s="1115"/>
      <c r="DG46" s="1115"/>
      <c r="DH46" s="1115"/>
      <c r="DI46" s="1114">
        <f t="shared" si="57"/>
        <v>0</v>
      </c>
      <c r="DJ46" s="1115"/>
      <c r="DK46" s="1115"/>
      <c r="DL46" s="1115"/>
      <c r="DM46" s="1115"/>
      <c r="DN46" s="1115"/>
      <c r="DO46" s="1115">
        <f t="shared" si="58"/>
        <v>0</v>
      </c>
      <c r="DP46" s="1675">
        <v>6100.31</v>
      </c>
      <c r="DQ46" s="1115">
        <v>4209.21</v>
      </c>
      <c r="DR46" s="1115">
        <v>1891.09</v>
      </c>
      <c r="DS46" s="1115">
        <v>-0.01</v>
      </c>
      <c r="DT46" s="1676">
        <v>0</v>
      </c>
      <c r="DU46" s="1050">
        <f t="shared" si="59"/>
        <v>12200.6</v>
      </c>
      <c r="DV46" s="1675">
        <v>-532.38</v>
      </c>
      <c r="DW46" s="1115">
        <v>0</v>
      </c>
      <c r="DX46" s="1115">
        <v>-97.68</v>
      </c>
      <c r="DY46" s="1115">
        <v>0.06</v>
      </c>
      <c r="DZ46" s="1676">
        <v>0</v>
      </c>
      <c r="EA46" s="1049">
        <f t="shared" si="60"/>
        <v>-630</v>
      </c>
    </row>
    <row r="47" spans="1:131" ht="15" customHeight="1" x14ac:dyDescent="0.25">
      <c r="A47" s="716" t="s">
        <v>110</v>
      </c>
      <c r="B47" s="810" t="s">
        <v>111</v>
      </c>
      <c r="C47" s="911" t="s">
        <v>266</v>
      </c>
      <c r="D47" s="808">
        <f t="shared" si="33"/>
        <v>445041.16925405315</v>
      </c>
      <c r="E47" s="808">
        <f t="shared" si="34"/>
        <v>940077.38074594678</v>
      </c>
      <c r="F47" s="808">
        <f t="shared" si="35"/>
        <v>268786.89</v>
      </c>
      <c r="G47" s="808">
        <f t="shared" si="36"/>
        <v>-0.35</v>
      </c>
      <c r="H47" s="808">
        <f t="shared" si="37"/>
        <v>0</v>
      </c>
      <c r="I47" s="1391">
        <f t="shared" si="38"/>
        <v>1653905.0899999999</v>
      </c>
      <c r="J47" s="809">
        <f t="shared" si="39"/>
        <v>-0.35</v>
      </c>
      <c r="K47" s="1392">
        <f t="shared" si="40"/>
        <v>268786.54000000004</v>
      </c>
      <c r="L47" s="1656"/>
      <c r="M47" s="1035"/>
      <c r="N47" s="1035"/>
      <c r="O47" s="1035"/>
      <c r="P47" s="1035"/>
      <c r="Q47" s="1036">
        <f t="shared" si="41"/>
        <v>0</v>
      </c>
      <c r="R47" s="1650"/>
      <c r="S47" s="1040"/>
      <c r="T47" s="1040"/>
      <c r="U47" s="1040"/>
      <c r="V47" s="1651"/>
      <c r="W47" s="1039">
        <f t="shared" si="42"/>
        <v>0</v>
      </c>
      <c r="X47" s="1664">
        <v>30224.87</v>
      </c>
      <c r="Y47" s="1665">
        <v>179.92</v>
      </c>
      <c r="Z47" s="1665">
        <v>5577.22</v>
      </c>
      <c r="AA47" s="1665">
        <v>-0.01</v>
      </c>
      <c r="AB47" s="1666">
        <v>0</v>
      </c>
      <c r="AC47" s="1037">
        <f t="shared" si="43"/>
        <v>35981.999999999993</v>
      </c>
      <c r="AD47" s="1675">
        <v>69738.38</v>
      </c>
      <c r="AE47" s="1115">
        <v>0</v>
      </c>
      <c r="AF47" s="1115">
        <v>17434.59</v>
      </c>
      <c r="AG47" s="1115">
        <v>0</v>
      </c>
      <c r="AH47" s="1676">
        <v>0</v>
      </c>
      <c r="AI47" s="1049">
        <f t="shared" si="44"/>
        <v>87172.97</v>
      </c>
      <c r="AJ47" s="1667"/>
      <c r="AK47" s="1038"/>
      <c r="AL47" s="1038"/>
      <c r="AM47" s="1038"/>
      <c r="AN47" s="1038"/>
      <c r="AO47" s="1041">
        <f t="shared" si="45"/>
        <v>0</v>
      </c>
      <c r="AP47" s="1686">
        <v>13101.06</v>
      </c>
      <c r="AQ47" s="1687">
        <v>3275.26</v>
      </c>
      <c r="AR47" s="1687">
        <v>0</v>
      </c>
      <c r="AS47" s="1687">
        <v>0</v>
      </c>
      <c r="AT47" s="1688">
        <v>0</v>
      </c>
      <c r="AU47" s="1043">
        <f t="shared" si="46"/>
        <v>16376.32</v>
      </c>
      <c r="AV47" s="1692">
        <v>12111.44</v>
      </c>
      <c r="AW47" s="1693">
        <v>3027.83</v>
      </c>
      <c r="AX47" s="1693">
        <v>0</v>
      </c>
      <c r="AY47" s="1693">
        <v>0</v>
      </c>
      <c r="AZ47" s="1694">
        <v>0</v>
      </c>
      <c r="BA47" s="1039">
        <f t="shared" si="47"/>
        <v>15139.27</v>
      </c>
      <c r="BB47" s="1675">
        <v>948.73</v>
      </c>
      <c r="BC47" s="1115">
        <v>1713.27</v>
      </c>
      <c r="BD47" s="1115">
        <v>0</v>
      </c>
      <c r="BE47" s="1115">
        <v>0</v>
      </c>
      <c r="BF47" s="1676">
        <v>0</v>
      </c>
      <c r="BG47" s="1046">
        <f t="shared" si="48"/>
        <v>2662</v>
      </c>
      <c r="BH47" s="1675">
        <v>126359.45</v>
      </c>
      <c r="BI47" s="1115">
        <v>16005.54</v>
      </c>
      <c r="BJ47" s="1115">
        <v>26114.29</v>
      </c>
      <c r="BK47" s="1115">
        <v>-0.03</v>
      </c>
      <c r="BL47" s="1676">
        <v>0</v>
      </c>
      <c r="BM47" s="1046">
        <f t="shared" si="49"/>
        <v>168479.25</v>
      </c>
      <c r="BN47" s="1675"/>
      <c r="BO47" s="1115"/>
      <c r="BP47" s="1115"/>
      <c r="BQ47" s="1115"/>
      <c r="BR47" s="1676"/>
      <c r="BS47" s="1049">
        <f t="shared" si="50"/>
        <v>0</v>
      </c>
      <c r="BT47" s="1675">
        <v>156002.28925405315</v>
      </c>
      <c r="BU47" s="1115">
        <v>905689.71074594674</v>
      </c>
      <c r="BV47" s="1115">
        <v>194748.28</v>
      </c>
      <c r="BW47" s="1115">
        <v>-0.35</v>
      </c>
      <c r="BX47" s="1676">
        <v>0</v>
      </c>
      <c r="BY47" s="1049">
        <f t="shared" si="51"/>
        <v>1256439.93</v>
      </c>
      <c r="BZ47" s="1675">
        <v>12458.07</v>
      </c>
      <c r="CA47" s="1115">
        <v>0</v>
      </c>
      <c r="CB47" s="1115">
        <v>18532.16</v>
      </c>
      <c r="CC47" s="1115">
        <v>0</v>
      </c>
      <c r="CD47" s="1676">
        <v>0</v>
      </c>
      <c r="CE47" s="1049">
        <f t="shared" si="52"/>
        <v>30990.23</v>
      </c>
      <c r="CF47" s="1675"/>
      <c r="CG47" s="1115"/>
      <c r="CH47" s="1115"/>
      <c r="CI47" s="1115"/>
      <c r="CJ47" s="1676"/>
      <c r="CK47" s="1046">
        <f t="shared" si="53"/>
        <v>0</v>
      </c>
      <c r="CL47" s="1675"/>
      <c r="CM47" s="1115"/>
      <c r="CN47" s="1115"/>
      <c r="CO47" s="1115"/>
      <c r="CP47" s="1676"/>
      <c r="CQ47" s="1049">
        <f t="shared" si="54"/>
        <v>0</v>
      </c>
      <c r="CR47" s="1675"/>
      <c r="CS47" s="1115"/>
      <c r="CT47" s="1115"/>
      <c r="CU47" s="1115"/>
      <c r="CV47" s="1676"/>
      <c r="CW47" s="1046">
        <f t="shared" si="55"/>
        <v>0</v>
      </c>
      <c r="CX47" s="1675">
        <v>-250.32</v>
      </c>
      <c r="CY47" s="1115">
        <v>-250.32</v>
      </c>
      <c r="CZ47" s="1115">
        <v>0</v>
      </c>
      <c r="DA47" s="1115">
        <v>0.01</v>
      </c>
      <c r="DB47" s="1676">
        <v>0</v>
      </c>
      <c r="DC47" s="1049">
        <f t="shared" si="56"/>
        <v>-500.63</v>
      </c>
      <c r="DD47" s="1675"/>
      <c r="DE47" s="1115"/>
      <c r="DF47" s="1115"/>
      <c r="DG47" s="1115"/>
      <c r="DH47" s="1115"/>
      <c r="DI47" s="1114">
        <f t="shared" si="57"/>
        <v>0</v>
      </c>
      <c r="DJ47" s="1115"/>
      <c r="DK47" s="1115"/>
      <c r="DL47" s="1115"/>
      <c r="DM47" s="1115"/>
      <c r="DN47" s="1115"/>
      <c r="DO47" s="1115">
        <f t="shared" si="58"/>
        <v>0</v>
      </c>
      <c r="DP47" s="1675">
        <v>15124.88</v>
      </c>
      <c r="DQ47" s="1115">
        <v>10436.17</v>
      </c>
      <c r="DR47" s="1115">
        <v>4688.71</v>
      </c>
      <c r="DS47" s="1115">
        <v>-0.01</v>
      </c>
      <c r="DT47" s="1676">
        <v>0</v>
      </c>
      <c r="DU47" s="1050">
        <f t="shared" si="59"/>
        <v>30249.75</v>
      </c>
      <c r="DV47" s="1675">
        <v>9222.32</v>
      </c>
      <c r="DW47" s="1115">
        <v>0</v>
      </c>
      <c r="DX47" s="1115">
        <v>1691.64</v>
      </c>
      <c r="DY47" s="1115">
        <v>0.04</v>
      </c>
      <c r="DZ47" s="1676">
        <v>0</v>
      </c>
      <c r="EA47" s="1049">
        <f t="shared" si="60"/>
        <v>10914</v>
      </c>
    </row>
    <row r="48" spans="1:131" ht="15" customHeight="1" x14ac:dyDescent="0.25">
      <c r="A48" s="716" t="s">
        <v>112</v>
      </c>
      <c r="B48" s="810" t="s">
        <v>300</v>
      </c>
      <c r="C48" s="911" t="s">
        <v>265</v>
      </c>
      <c r="D48" s="808">
        <f t="shared" si="33"/>
        <v>116788.90716415877</v>
      </c>
      <c r="E48" s="808">
        <f t="shared" si="34"/>
        <v>180890.16283584124</v>
      </c>
      <c r="F48" s="808">
        <f t="shared" si="35"/>
        <v>57014.3</v>
      </c>
      <c r="G48" s="808">
        <f t="shared" si="36"/>
        <v>-0.28000000000000003</v>
      </c>
      <c r="H48" s="808">
        <f t="shared" si="37"/>
        <v>0</v>
      </c>
      <c r="I48" s="1391">
        <f t="shared" si="38"/>
        <v>354693.08999999997</v>
      </c>
      <c r="J48" s="809">
        <f t="shared" si="39"/>
        <v>-0.28000000000000003</v>
      </c>
      <c r="K48" s="1392">
        <f t="shared" si="40"/>
        <v>57014.020000000004</v>
      </c>
      <c r="L48" s="1656"/>
      <c r="M48" s="1035"/>
      <c r="N48" s="1035"/>
      <c r="O48" s="1035"/>
      <c r="P48" s="1035"/>
      <c r="Q48" s="1036">
        <f t="shared" si="41"/>
        <v>0</v>
      </c>
      <c r="R48" s="1650"/>
      <c r="S48" s="1040"/>
      <c r="T48" s="1040"/>
      <c r="U48" s="1040"/>
      <c r="V48" s="1651"/>
      <c r="W48" s="1039">
        <f t="shared" si="42"/>
        <v>0</v>
      </c>
      <c r="X48" s="1664">
        <v>7265.75</v>
      </c>
      <c r="Y48" s="1665">
        <v>43.28</v>
      </c>
      <c r="Z48" s="1665">
        <v>1340.71</v>
      </c>
      <c r="AA48" s="1665">
        <v>-0.03</v>
      </c>
      <c r="AB48" s="1666">
        <v>0</v>
      </c>
      <c r="AC48" s="1037">
        <f t="shared" si="43"/>
        <v>8649.7099999999991</v>
      </c>
      <c r="AD48" s="1675">
        <v>33852.31</v>
      </c>
      <c r="AE48" s="1115">
        <v>0</v>
      </c>
      <c r="AF48" s="1115">
        <v>8463.08</v>
      </c>
      <c r="AG48" s="1115">
        <v>0</v>
      </c>
      <c r="AH48" s="1676">
        <v>0</v>
      </c>
      <c r="AI48" s="1049">
        <f t="shared" si="44"/>
        <v>42315.39</v>
      </c>
      <c r="AJ48" s="1664">
        <v>9304.9000000000015</v>
      </c>
      <c r="AK48" s="1665">
        <v>6128.86</v>
      </c>
      <c r="AL48" s="1665">
        <v>2831.0600000000004</v>
      </c>
      <c r="AM48" s="1665">
        <v>-7.0000000000000007E-2</v>
      </c>
      <c r="AN48" s="1666">
        <v>0</v>
      </c>
      <c r="AO48" s="1041">
        <f t="shared" si="45"/>
        <v>18264.750000000004</v>
      </c>
      <c r="AP48" s="1686"/>
      <c r="AQ48" s="1687"/>
      <c r="AR48" s="1687"/>
      <c r="AS48" s="1687"/>
      <c r="AT48" s="1688"/>
      <c r="AU48" s="1043">
        <f t="shared" si="46"/>
        <v>0</v>
      </c>
      <c r="AV48" s="1692">
        <v>1111.54</v>
      </c>
      <c r="AW48" s="1693">
        <v>277.89</v>
      </c>
      <c r="AX48" s="1693">
        <v>0</v>
      </c>
      <c r="AY48" s="1693">
        <v>0</v>
      </c>
      <c r="AZ48" s="1694">
        <v>0</v>
      </c>
      <c r="BA48" s="1039">
        <f t="shared" si="47"/>
        <v>1389.4299999999998</v>
      </c>
      <c r="BB48" s="1675">
        <v>1539.52</v>
      </c>
      <c r="BC48" s="1115">
        <v>2780.13</v>
      </c>
      <c r="BD48" s="1115">
        <v>0</v>
      </c>
      <c r="BE48" s="1115">
        <v>0</v>
      </c>
      <c r="BF48" s="1676">
        <v>0</v>
      </c>
      <c r="BG48" s="1046">
        <f t="shared" si="48"/>
        <v>4319.6499999999996</v>
      </c>
      <c r="BH48" s="1675">
        <v>25849.940000000002</v>
      </c>
      <c r="BI48" s="1115">
        <v>3274.33</v>
      </c>
      <c r="BJ48" s="1115">
        <v>5342.35</v>
      </c>
      <c r="BK48" s="1115">
        <v>-0.05</v>
      </c>
      <c r="BL48" s="1676">
        <v>0</v>
      </c>
      <c r="BM48" s="1046">
        <f t="shared" si="49"/>
        <v>34466.57</v>
      </c>
      <c r="BN48" s="1675"/>
      <c r="BO48" s="1115"/>
      <c r="BP48" s="1115"/>
      <c r="BQ48" s="1115"/>
      <c r="BR48" s="1676"/>
      <c r="BS48" s="1049">
        <f t="shared" si="50"/>
        <v>0</v>
      </c>
      <c r="BT48" s="1675">
        <v>27027.437164158757</v>
      </c>
      <c r="BU48" s="1115">
        <v>162369.98283584125</v>
      </c>
      <c r="BV48" s="1115">
        <v>34741.57</v>
      </c>
      <c r="BW48" s="1115">
        <v>-0.25</v>
      </c>
      <c r="BX48" s="1676">
        <v>0</v>
      </c>
      <c r="BY48" s="1049">
        <f t="shared" si="51"/>
        <v>224138.74000000002</v>
      </c>
      <c r="BZ48" s="1675">
        <v>919.85</v>
      </c>
      <c r="CA48" s="1115">
        <v>0</v>
      </c>
      <c r="CB48" s="1115">
        <v>1368.33</v>
      </c>
      <c r="CC48" s="1115">
        <v>0</v>
      </c>
      <c r="CD48" s="1676">
        <v>0</v>
      </c>
      <c r="CE48" s="1049">
        <f t="shared" si="52"/>
        <v>2288.1799999999998</v>
      </c>
      <c r="CF48" s="1677"/>
      <c r="CG48" s="1045"/>
      <c r="CH48" s="1045"/>
      <c r="CI48" s="1045"/>
      <c r="CJ48" s="1045"/>
      <c r="CK48" s="1046">
        <f t="shared" si="53"/>
        <v>0</v>
      </c>
      <c r="CL48" s="1677"/>
      <c r="CM48" s="1045"/>
      <c r="CN48" s="1045"/>
      <c r="CO48" s="1045"/>
      <c r="CP48" s="1678"/>
      <c r="CQ48" s="1049">
        <f t="shared" si="54"/>
        <v>0</v>
      </c>
      <c r="CR48" s="1677"/>
      <c r="CS48" s="1045"/>
      <c r="CT48" s="1045"/>
      <c r="CU48" s="1045"/>
      <c r="CV48" s="1045"/>
      <c r="CW48" s="1046">
        <f t="shared" si="55"/>
        <v>0</v>
      </c>
      <c r="CX48" s="1675">
        <v>-12.5</v>
      </c>
      <c r="CY48" s="1115">
        <v>-12.5</v>
      </c>
      <c r="CZ48" s="1115">
        <v>0</v>
      </c>
      <c r="DA48" s="1115">
        <v>0</v>
      </c>
      <c r="DB48" s="1676">
        <v>0</v>
      </c>
      <c r="DC48" s="1049">
        <f t="shared" si="56"/>
        <v>-25</v>
      </c>
      <c r="DD48" s="1675"/>
      <c r="DE48" s="1115"/>
      <c r="DF48" s="1115"/>
      <c r="DG48" s="1115"/>
      <c r="DH48" s="1115"/>
      <c r="DI48" s="1114">
        <f t="shared" si="57"/>
        <v>0</v>
      </c>
      <c r="DJ48" s="1115"/>
      <c r="DK48" s="1115"/>
      <c r="DL48" s="1115"/>
      <c r="DM48" s="1115"/>
      <c r="DN48" s="1115"/>
      <c r="DO48" s="1115">
        <f t="shared" si="58"/>
        <v>0</v>
      </c>
      <c r="DP48" s="1675">
        <v>8736.5</v>
      </c>
      <c r="DQ48" s="1115">
        <v>6028.19</v>
      </c>
      <c r="DR48" s="1115">
        <v>2708.31</v>
      </c>
      <c r="DS48" s="1115">
        <v>0</v>
      </c>
      <c r="DT48" s="1676">
        <v>0</v>
      </c>
      <c r="DU48" s="1050">
        <f t="shared" si="59"/>
        <v>17473</v>
      </c>
      <c r="DV48" s="1675">
        <v>1193.6599999999999</v>
      </c>
      <c r="DW48" s="1115">
        <v>0</v>
      </c>
      <c r="DX48" s="1115">
        <v>218.89000000000001</v>
      </c>
      <c r="DY48" s="1115">
        <v>0.12</v>
      </c>
      <c r="DZ48" s="1676">
        <v>0</v>
      </c>
      <c r="EA48" s="1049">
        <f t="shared" si="60"/>
        <v>1412.6699999999998</v>
      </c>
    </row>
    <row r="49" spans="1:131" ht="15" customHeight="1" x14ac:dyDescent="0.25">
      <c r="A49" s="716" t="s">
        <v>114</v>
      </c>
      <c r="B49" s="810" t="s">
        <v>115</v>
      </c>
      <c r="C49" s="911" t="s">
        <v>265</v>
      </c>
      <c r="D49" s="808">
        <f t="shared" si="33"/>
        <v>18738.653844573539</v>
      </c>
      <c r="E49" s="808">
        <f t="shared" si="34"/>
        <v>1562.3661554264604</v>
      </c>
      <c r="F49" s="808">
        <f t="shared" si="35"/>
        <v>4011.0099999999998</v>
      </c>
      <c r="G49" s="808">
        <f t="shared" si="36"/>
        <v>-6.0000000000000005E-2</v>
      </c>
      <c r="H49" s="808">
        <f t="shared" si="37"/>
        <v>0</v>
      </c>
      <c r="I49" s="1391">
        <f t="shared" si="38"/>
        <v>24311.969999999998</v>
      </c>
      <c r="J49" s="809">
        <f t="shared" si="39"/>
        <v>-6.0000000000000005E-2</v>
      </c>
      <c r="K49" s="1392">
        <f t="shared" si="40"/>
        <v>4010.95</v>
      </c>
      <c r="L49" s="1656"/>
      <c r="M49" s="1035"/>
      <c r="N49" s="1660"/>
      <c r="O49" s="1035"/>
      <c r="P49" s="1035"/>
      <c r="Q49" s="1036">
        <f t="shared" si="41"/>
        <v>0</v>
      </c>
      <c r="R49" s="1650"/>
      <c r="S49" s="1040"/>
      <c r="T49" s="1040"/>
      <c r="U49" s="1040"/>
      <c r="V49" s="1651"/>
      <c r="W49" s="1039">
        <f t="shared" si="42"/>
        <v>0</v>
      </c>
      <c r="X49" s="1664">
        <v>148.79</v>
      </c>
      <c r="Y49" s="1665">
        <v>0.88</v>
      </c>
      <c r="Z49" s="1665">
        <v>27.46</v>
      </c>
      <c r="AA49" s="1665">
        <v>0</v>
      </c>
      <c r="AB49" s="1666">
        <v>0</v>
      </c>
      <c r="AC49" s="1037">
        <f t="shared" si="43"/>
        <v>177.13</v>
      </c>
      <c r="AD49" s="1675">
        <v>4313.08</v>
      </c>
      <c r="AE49" s="1115">
        <v>0</v>
      </c>
      <c r="AF49" s="1115">
        <v>1078.28</v>
      </c>
      <c r="AG49" s="1115">
        <v>0</v>
      </c>
      <c r="AH49" s="1676">
        <v>0</v>
      </c>
      <c r="AI49" s="1049">
        <f t="shared" si="44"/>
        <v>5391.36</v>
      </c>
      <c r="AJ49" s="1667"/>
      <c r="AK49" s="1038"/>
      <c r="AL49" s="1038"/>
      <c r="AM49" s="1038"/>
      <c r="AN49" s="1038"/>
      <c r="AO49" s="1041">
        <f t="shared" si="45"/>
        <v>0</v>
      </c>
      <c r="AP49" s="1689"/>
      <c r="AQ49" s="1042"/>
      <c r="AR49" s="1042"/>
      <c r="AS49" s="1042"/>
      <c r="AT49" s="1042"/>
      <c r="AU49" s="1043">
        <f t="shared" si="46"/>
        <v>0</v>
      </c>
      <c r="AV49" s="1692"/>
      <c r="AW49" s="1693"/>
      <c r="AX49" s="1693"/>
      <c r="AY49" s="1693"/>
      <c r="AZ49" s="1694"/>
      <c r="BA49" s="1039">
        <f t="shared" si="47"/>
        <v>0</v>
      </c>
      <c r="BB49" s="1675"/>
      <c r="BC49" s="1115"/>
      <c r="BD49" s="1115"/>
      <c r="BE49" s="1115"/>
      <c r="BF49" s="1676"/>
      <c r="BG49" s="1046">
        <f t="shared" si="48"/>
        <v>0</v>
      </c>
      <c r="BH49" s="1675">
        <v>12266.25</v>
      </c>
      <c r="BI49" s="1115">
        <v>1553.75</v>
      </c>
      <c r="BJ49" s="1115">
        <v>2535.0500000000002</v>
      </c>
      <c r="BK49" s="1115">
        <v>-0.05</v>
      </c>
      <c r="BL49" s="1676">
        <v>0</v>
      </c>
      <c r="BM49" s="1046">
        <f t="shared" si="49"/>
        <v>16355</v>
      </c>
      <c r="BN49" s="1677"/>
      <c r="BO49" s="1045"/>
      <c r="BP49" s="1045"/>
      <c r="BQ49" s="1045"/>
      <c r="BR49" s="1678"/>
      <c r="BS49" s="1049">
        <f t="shared" si="50"/>
        <v>0</v>
      </c>
      <c r="BT49" s="1677">
        <v>4.9438445735396277</v>
      </c>
      <c r="BU49" s="1045">
        <v>7.7361554264603729</v>
      </c>
      <c r="BV49" s="1045">
        <v>2.33</v>
      </c>
      <c r="BW49" s="1045">
        <v>-0.01</v>
      </c>
      <c r="BX49" s="1678">
        <v>0</v>
      </c>
      <c r="BY49" s="1049">
        <f t="shared" si="51"/>
        <v>15</v>
      </c>
      <c r="BZ49" s="1677"/>
      <c r="CA49" s="1045"/>
      <c r="CB49" s="1045"/>
      <c r="CC49" s="1045"/>
      <c r="CD49" s="1678"/>
      <c r="CE49" s="1049">
        <f t="shared" si="52"/>
        <v>0</v>
      </c>
      <c r="CF49" s="1677"/>
      <c r="CG49" s="1045"/>
      <c r="CH49" s="1045"/>
      <c r="CI49" s="1045"/>
      <c r="CJ49" s="1045"/>
      <c r="CK49" s="1046">
        <f t="shared" si="53"/>
        <v>0</v>
      </c>
      <c r="CL49" s="1677"/>
      <c r="CM49" s="1045"/>
      <c r="CN49" s="1045"/>
      <c r="CO49" s="1045"/>
      <c r="CP49" s="1678"/>
      <c r="CQ49" s="1049">
        <f t="shared" si="54"/>
        <v>0</v>
      </c>
      <c r="CR49" s="1677"/>
      <c r="CS49" s="1045"/>
      <c r="CT49" s="1045"/>
      <c r="CU49" s="1045"/>
      <c r="CV49" s="1045"/>
      <c r="CW49" s="1046">
        <f t="shared" si="55"/>
        <v>0</v>
      </c>
      <c r="CX49" s="1677"/>
      <c r="CY49" s="1045"/>
      <c r="CZ49" s="1045"/>
      <c r="DA49" s="1045"/>
      <c r="DB49" s="1678"/>
      <c r="DC49" s="1049">
        <f t="shared" si="56"/>
        <v>0</v>
      </c>
      <c r="DD49" s="1675"/>
      <c r="DE49" s="1115"/>
      <c r="DF49" s="1115"/>
      <c r="DG49" s="1115"/>
      <c r="DH49" s="1115"/>
      <c r="DI49" s="1114">
        <f t="shared" si="57"/>
        <v>0</v>
      </c>
      <c r="DJ49" s="1115"/>
      <c r="DK49" s="1115"/>
      <c r="DL49" s="1115"/>
      <c r="DM49" s="1115"/>
      <c r="DN49" s="1115"/>
      <c r="DO49" s="1115">
        <f t="shared" si="58"/>
        <v>0</v>
      </c>
      <c r="DP49" s="1677"/>
      <c r="DQ49" s="1045"/>
      <c r="DR49" s="1045"/>
      <c r="DS49" s="1045"/>
      <c r="DT49" s="1045"/>
      <c r="DU49" s="1050">
        <f t="shared" si="59"/>
        <v>0</v>
      </c>
      <c r="DV49" s="1675">
        <v>2005.59</v>
      </c>
      <c r="DW49" s="1115">
        <v>0</v>
      </c>
      <c r="DX49" s="1115">
        <v>367.89</v>
      </c>
      <c r="DY49" s="1115">
        <v>0</v>
      </c>
      <c r="DZ49" s="1676">
        <v>0</v>
      </c>
      <c r="EA49" s="1049">
        <f t="shared" si="60"/>
        <v>2373.48</v>
      </c>
    </row>
    <row r="50" spans="1:131" ht="15" customHeight="1" x14ac:dyDescent="0.25">
      <c r="A50" s="716" t="s">
        <v>118</v>
      </c>
      <c r="B50" s="810" t="s">
        <v>119</v>
      </c>
      <c r="C50" s="911" t="s">
        <v>264</v>
      </c>
      <c r="D50" s="808">
        <f t="shared" si="33"/>
        <v>43008.078886363226</v>
      </c>
      <c r="E50" s="808">
        <f t="shared" si="34"/>
        <v>14812.871113636773</v>
      </c>
      <c r="F50" s="808">
        <f t="shared" si="35"/>
        <v>13321.810000000001</v>
      </c>
      <c r="G50" s="808">
        <f t="shared" si="36"/>
        <v>3429.9399999999996</v>
      </c>
      <c r="H50" s="808">
        <f t="shared" si="37"/>
        <v>0</v>
      </c>
      <c r="I50" s="1391">
        <f t="shared" si="38"/>
        <v>74572.7</v>
      </c>
      <c r="J50" s="809">
        <f t="shared" si="39"/>
        <v>3429.9399999999996</v>
      </c>
      <c r="K50" s="1392">
        <f t="shared" si="40"/>
        <v>16751.75</v>
      </c>
      <c r="L50" s="1656"/>
      <c r="M50" s="1035"/>
      <c r="N50" s="1035"/>
      <c r="O50" s="1035"/>
      <c r="P50" s="1035"/>
      <c r="Q50" s="1036">
        <f t="shared" si="41"/>
        <v>0</v>
      </c>
      <c r="R50" s="1652"/>
      <c r="S50" s="1113"/>
      <c r="T50" s="1113"/>
      <c r="U50" s="1113">
        <v>-1</v>
      </c>
      <c r="V50" s="1653"/>
      <c r="W50" s="1039">
        <f t="shared" si="42"/>
        <v>-1</v>
      </c>
      <c r="X50" s="1664">
        <v>1283.55</v>
      </c>
      <c r="Y50" s="1665">
        <v>7.64</v>
      </c>
      <c r="Z50" s="1665">
        <v>236.85</v>
      </c>
      <c r="AA50" s="1665">
        <v>-0.01</v>
      </c>
      <c r="AB50" s="1666">
        <v>0</v>
      </c>
      <c r="AC50" s="1037">
        <f t="shared" si="43"/>
        <v>1528.03</v>
      </c>
      <c r="AD50" s="1675">
        <v>19554.990000000002</v>
      </c>
      <c r="AE50" s="1115">
        <v>0</v>
      </c>
      <c r="AF50" s="1115">
        <v>4888.7700000000004</v>
      </c>
      <c r="AG50" s="1115">
        <v>0</v>
      </c>
      <c r="AH50" s="1676">
        <v>0</v>
      </c>
      <c r="AI50" s="1049">
        <f t="shared" si="44"/>
        <v>24443.760000000002</v>
      </c>
      <c r="AJ50" s="1667"/>
      <c r="AK50" s="1038"/>
      <c r="AL50" s="1038"/>
      <c r="AM50" s="1038"/>
      <c r="AN50" s="1038"/>
      <c r="AO50" s="1041">
        <f t="shared" si="45"/>
        <v>0</v>
      </c>
      <c r="AP50" s="1689"/>
      <c r="AQ50" s="1042"/>
      <c r="AR50" s="1042"/>
      <c r="AS50" s="1042"/>
      <c r="AT50" s="1042"/>
      <c r="AU50" s="1043">
        <f t="shared" si="46"/>
        <v>0</v>
      </c>
      <c r="AV50" s="1692">
        <v>112.69</v>
      </c>
      <c r="AW50" s="1693">
        <v>28.17</v>
      </c>
      <c r="AX50" s="1693">
        <v>0</v>
      </c>
      <c r="AY50" s="1693">
        <v>0</v>
      </c>
      <c r="AZ50" s="1694">
        <v>0</v>
      </c>
      <c r="BA50" s="1039">
        <f t="shared" si="47"/>
        <v>140.86000000000001</v>
      </c>
      <c r="BB50" s="1675">
        <v>235.23</v>
      </c>
      <c r="BC50" s="1115">
        <v>424.77</v>
      </c>
      <c r="BD50" s="1115">
        <v>0</v>
      </c>
      <c r="BE50" s="1115">
        <v>0</v>
      </c>
      <c r="BF50" s="1676">
        <v>0</v>
      </c>
      <c r="BG50" s="1046">
        <f t="shared" si="48"/>
        <v>660</v>
      </c>
      <c r="BH50" s="1675">
        <v>13400.64</v>
      </c>
      <c r="BI50" s="1115">
        <v>1697.45</v>
      </c>
      <c r="BJ50" s="1115">
        <v>2769.5</v>
      </c>
      <c r="BK50" s="1115">
        <v>34.92</v>
      </c>
      <c r="BL50" s="1676">
        <v>0</v>
      </c>
      <c r="BM50" s="1046">
        <f t="shared" si="49"/>
        <v>17902.509999999998</v>
      </c>
      <c r="BN50" s="1675">
        <v>-112.5</v>
      </c>
      <c r="BO50" s="1115">
        <v>-112.5</v>
      </c>
      <c r="BP50" s="1115">
        <v>0</v>
      </c>
      <c r="BQ50" s="1115">
        <v>2154</v>
      </c>
      <c r="BR50" s="1676">
        <v>0</v>
      </c>
      <c r="BS50" s="1049">
        <f t="shared" si="50"/>
        <v>1929</v>
      </c>
      <c r="BT50" s="1675">
        <v>1947.6588863632278</v>
      </c>
      <c r="BU50" s="1115">
        <v>10936.401113636772</v>
      </c>
      <c r="BV50" s="1115">
        <v>2363.3200000000002</v>
      </c>
      <c r="BW50" s="1115">
        <v>709.96</v>
      </c>
      <c r="BX50" s="1676">
        <v>0</v>
      </c>
      <c r="BY50" s="1049">
        <f t="shared" si="51"/>
        <v>15957.34</v>
      </c>
      <c r="BZ50" s="1675">
        <v>1165.07</v>
      </c>
      <c r="CA50" s="1115">
        <v>0</v>
      </c>
      <c r="CB50" s="1115">
        <v>1733.15</v>
      </c>
      <c r="CC50" s="1115">
        <v>652.1</v>
      </c>
      <c r="CD50" s="1676">
        <v>0</v>
      </c>
      <c r="CE50" s="1049">
        <f t="shared" si="52"/>
        <v>3550.32</v>
      </c>
      <c r="CF50" s="1677"/>
      <c r="CG50" s="1045"/>
      <c r="CH50" s="1045"/>
      <c r="CI50" s="1045"/>
      <c r="CJ50" s="1045"/>
      <c r="CK50" s="1046">
        <f t="shared" si="53"/>
        <v>0</v>
      </c>
      <c r="CL50" s="1675"/>
      <c r="CM50" s="1115"/>
      <c r="CN50" s="1115"/>
      <c r="CO50" s="1115"/>
      <c r="CP50" s="1676"/>
      <c r="CQ50" s="1049">
        <f t="shared" si="54"/>
        <v>0</v>
      </c>
      <c r="CR50" s="1675"/>
      <c r="CS50" s="1115"/>
      <c r="CT50" s="1115"/>
      <c r="CU50" s="1115"/>
      <c r="CV50" s="1676"/>
      <c r="CW50" s="1046">
        <f t="shared" si="55"/>
        <v>0</v>
      </c>
      <c r="CX50" s="1675"/>
      <c r="CY50" s="1115"/>
      <c r="CZ50" s="1115"/>
      <c r="DA50" s="1115"/>
      <c r="DB50" s="1676"/>
      <c r="DC50" s="1049">
        <f t="shared" si="56"/>
        <v>0</v>
      </c>
      <c r="DD50" s="1675"/>
      <c r="DE50" s="1115"/>
      <c r="DF50" s="1115"/>
      <c r="DG50" s="1115"/>
      <c r="DH50" s="1115"/>
      <c r="DI50" s="1114">
        <f t="shared" si="57"/>
        <v>0</v>
      </c>
      <c r="DJ50" s="1115"/>
      <c r="DK50" s="1115"/>
      <c r="DL50" s="1115"/>
      <c r="DM50" s="1115"/>
      <c r="DN50" s="1115"/>
      <c r="DO50" s="1115">
        <f t="shared" si="58"/>
        <v>0</v>
      </c>
      <c r="DP50" s="1675">
        <v>2653.54</v>
      </c>
      <c r="DQ50" s="1115">
        <v>1830.94</v>
      </c>
      <c r="DR50" s="1115">
        <v>822.6</v>
      </c>
      <c r="DS50" s="1115">
        <v>24.99</v>
      </c>
      <c r="DT50" s="1676">
        <v>0</v>
      </c>
      <c r="DU50" s="1050">
        <f t="shared" si="59"/>
        <v>5332.07</v>
      </c>
      <c r="DV50" s="1675">
        <v>2767.21</v>
      </c>
      <c r="DW50" s="1115">
        <v>0</v>
      </c>
      <c r="DX50" s="1115">
        <v>507.62</v>
      </c>
      <c r="DY50" s="1115">
        <v>-145.02000000000001</v>
      </c>
      <c r="DZ50" s="1676">
        <v>0</v>
      </c>
      <c r="EA50" s="1049">
        <f t="shared" si="60"/>
        <v>3129.81</v>
      </c>
    </row>
    <row r="51" spans="1:131" ht="15" customHeight="1" x14ac:dyDescent="0.25">
      <c r="A51" s="716" t="s">
        <v>120</v>
      </c>
      <c r="B51" s="810" t="s">
        <v>121</v>
      </c>
      <c r="C51" s="911" t="s">
        <v>264</v>
      </c>
      <c r="D51" s="808">
        <f t="shared" si="33"/>
        <v>43079.002333405639</v>
      </c>
      <c r="E51" s="808">
        <f t="shared" si="34"/>
        <v>66010.807666594366</v>
      </c>
      <c r="F51" s="808">
        <f t="shared" si="35"/>
        <v>21101.72</v>
      </c>
      <c r="G51" s="808">
        <f t="shared" si="36"/>
        <v>-0.12000000000000001</v>
      </c>
      <c r="H51" s="808">
        <f t="shared" si="37"/>
        <v>0</v>
      </c>
      <c r="I51" s="1391">
        <f t="shared" si="38"/>
        <v>130191.41</v>
      </c>
      <c r="J51" s="809">
        <f t="shared" si="39"/>
        <v>-0.12000000000000001</v>
      </c>
      <c r="K51" s="1392">
        <f t="shared" si="40"/>
        <v>21101.600000000002</v>
      </c>
      <c r="L51" s="1656"/>
      <c r="M51" s="1035"/>
      <c r="N51" s="1035"/>
      <c r="O51" s="1035"/>
      <c r="P51" s="1035"/>
      <c r="Q51" s="1036">
        <f t="shared" si="41"/>
        <v>0</v>
      </c>
      <c r="R51" s="1650"/>
      <c r="S51" s="1040"/>
      <c r="T51" s="1040"/>
      <c r="U51" s="1040"/>
      <c r="V51" s="1651"/>
      <c r="W51" s="1039">
        <f t="shared" si="42"/>
        <v>0</v>
      </c>
      <c r="X51" s="1664">
        <v>3718.43</v>
      </c>
      <c r="Y51" s="1665">
        <v>22.13</v>
      </c>
      <c r="Z51" s="1665">
        <v>686.13</v>
      </c>
      <c r="AA51" s="1665">
        <v>0.02</v>
      </c>
      <c r="AB51" s="1666">
        <v>0</v>
      </c>
      <c r="AC51" s="1037">
        <f t="shared" si="43"/>
        <v>4426.71</v>
      </c>
      <c r="AD51" s="1675">
        <v>17677.900000000001</v>
      </c>
      <c r="AE51" s="1115">
        <v>0</v>
      </c>
      <c r="AF51" s="1115">
        <v>4419.4799999999996</v>
      </c>
      <c r="AG51" s="1115">
        <v>0</v>
      </c>
      <c r="AH51" s="1676">
        <v>0</v>
      </c>
      <c r="AI51" s="1049">
        <f t="shared" si="44"/>
        <v>22097.38</v>
      </c>
      <c r="AJ51" s="1667"/>
      <c r="AK51" s="1038"/>
      <c r="AL51" s="1038"/>
      <c r="AM51" s="1038"/>
      <c r="AN51" s="1038"/>
      <c r="AO51" s="1041">
        <f t="shared" si="45"/>
        <v>0</v>
      </c>
      <c r="AP51" s="1686"/>
      <c r="AQ51" s="1687"/>
      <c r="AR51" s="1687"/>
      <c r="AS51" s="1687"/>
      <c r="AT51" s="1688"/>
      <c r="AU51" s="1043">
        <f t="shared" si="46"/>
        <v>0</v>
      </c>
      <c r="AV51" s="1692"/>
      <c r="AW51" s="1693"/>
      <c r="AX51" s="1693"/>
      <c r="AY51" s="1693"/>
      <c r="AZ51" s="1694"/>
      <c r="BA51" s="1039">
        <f t="shared" si="47"/>
        <v>0</v>
      </c>
      <c r="BB51" s="1675">
        <v>543.51</v>
      </c>
      <c r="BC51" s="1115">
        <v>981.49</v>
      </c>
      <c r="BD51" s="1115">
        <v>0</v>
      </c>
      <c r="BE51" s="1115">
        <v>0</v>
      </c>
      <c r="BF51" s="1676">
        <v>0</v>
      </c>
      <c r="BG51" s="1046">
        <f t="shared" si="48"/>
        <v>1525</v>
      </c>
      <c r="BH51" s="1677"/>
      <c r="BI51" s="1045"/>
      <c r="BJ51" s="1045"/>
      <c r="BK51" s="1045"/>
      <c r="BL51" s="1045"/>
      <c r="BM51" s="1046">
        <f t="shared" si="49"/>
        <v>0</v>
      </c>
      <c r="BN51" s="1675"/>
      <c r="BO51" s="1115"/>
      <c r="BP51" s="1115"/>
      <c r="BQ51" s="1115"/>
      <c r="BR51" s="1676"/>
      <c r="BS51" s="1049">
        <f t="shared" si="50"/>
        <v>0</v>
      </c>
      <c r="BT51" s="1675">
        <v>11708.90233340564</v>
      </c>
      <c r="BU51" s="1115">
        <v>62600.927666594362</v>
      </c>
      <c r="BV51" s="1115">
        <v>13630.84</v>
      </c>
      <c r="BW51" s="1115">
        <v>-0.16</v>
      </c>
      <c r="BX51" s="1676">
        <v>0</v>
      </c>
      <c r="BY51" s="1049">
        <f t="shared" si="51"/>
        <v>87940.51</v>
      </c>
      <c r="BZ51" s="1675"/>
      <c r="CA51" s="1115"/>
      <c r="CB51" s="1115"/>
      <c r="CC51" s="1115"/>
      <c r="CD51" s="1676"/>
      <c r="CE51" s="1049">
        <f t="shared" si="52"/>
        <v>0</v>
      </c>
      <c r="CF51" s="1675"/>
      <c r="CG51" s="1115"/>
      <c r="CH51" s="1115"/>
      <c r="CI51" s="1115"/>
      <c r="CJ51" s="1676"/>
      <c r="CK51" s="1046">
        <f t="shared" si="53"/>
        <v>0</v>
      </c>
      <c r="CL51" s="1675"/>
      <c r="CM51" s="1115"/>
      <c r="CN51" s="1115"/>
      <c r="CO51" s="1115"/>
      <c r="CP51" s="1676"/>
      <c r="CQ51" s="1049">
        <f t="shared" si="54"/>
        <v>0</v>
      </c>
      <c r="CR51" s="1675">
        <v>-529</v>
      </c>
      <c r="CS51" s="1115">
        <v>-529</v>
      </c>
      <c r="CT51" s="1115">
        <v>0</v>
      </c>
      <c r="CU51" s="1115">
        <v>0</v>
      </c>
      <c r="CV51" s="1676">
        <v>0</v>
      </c>
      <c r="CW51" s="1046">
        <f t="shared" si="55"/>
        <v>-1058</v>
      </c>
      <c r="CX51" s="1675"/>
      <c r="CY51" s="1115"/>
      <c r="CZ51" s="1115"/>
      <c r="DA51" s="1115"/>
      <c r="DB51" s="1676"/>
      <c r="DC51" s="1049">
        <f t="shared" si="56"/>
        <v>0</v>
      </c>
      <c r="DD51" s="1675"/>
      <c r="DE51" s="1115"/>
      <c r="DF51" s="1115"/>
      <c r="DG51" s="1115"/>
      <c r="DH51" s="1115"/>
      <c r="DI51" s="1114">
        <f t="shared" si="57"/>
        <v>0</v>
      </c>
      <c r="DJ51" s="1115"/>
      <c r="DK51" s="1115"/>
      <c r="DL51" s="1115"/>
      <c r="DM51" s="1115"/>
      <c r="DN51" s="1115"/>
      <c r="DO51" s="1115">
        <f t="shared" si="58"/>
        <v>0</v>
      </c>
      <c r="DP51" s="1675">
        <v>4254</v>
      </c>
      <c r="DQ51" s="1115">
        <v>2935.26</v>
      </c>
      <c r="DR51" s="1115">
        <v>1318.74</v>
      </c>
      <c r="DS51" s="1115">
        <v>0</v>
      </c>
      <c r="DT51" s="1676">
        <v>0</v>
      </c>
      <c r="DU51" s="1050">
        <f t="shared" si="59"/>
        <v>8508</v>
      </c>
      <c r="DV51" s="1675">
        <v>5705.26</v>
      </c>
      <c r="DW51" s="1115">
        <v>0</v>
      </c>
      <c r="DX51" s="1115">
        <v>1046.53</v>
      </c>
      <c r="DY51" s="1115">
        <v>0.02</v>
      </c>
      <c r="DZ51" s="1676">
        <v>0</v>
      </c>
      <c r="EA51" s="1049">
        <f t="shared" si="60"/>
        <v>6751.81</v>
      </c>
    </row>
    <row r="52" spans="1:131" ht="15" customHeight="1" x14ac:dyDescent="0.25">
      <c r="A52" s="716" t="s">
        <v>122</v>
      </c>
      <c r="B52" s="810" t="s">
        <v>271</v>
      </c>
      <c r="C52" s="911" t="s">
        <v>266</v>
      </c>
      <c r="D52" s="808">
        <f t="shared" si="33"/>
        <v>17139.577169120905</v>
      </c>
      <c r="E52" s="808">
        <f t="shared" si="34"/>
        <v>3710.372830879096</v>
      </c>
      <c r="F52" s="808">
        <f t="shared" si="35"/>
        <v>3419.15</v>
      </c>
      <c r="G52" s="808">
        <f t="shared" si="36"/>
        <v>0</v>
      </c>
      <c r="H52" s="808">
        <f t="shared" si="37"/>
        <v>0</v>
      </c>
      <c r="I52" s="1391">
        <f t="shared" si="38"/>
        <v>24269.100000000002</v>
      </c>
      <c r="J52" s="809">
        <f t="shared" si="39"/>
        <v>0</v>
      </c>
      <c r="K52" s="1392">
        <f t="shared" si="40"/>
        <v>3419.15</v>
      </c>
      <c r="L52" s="1656"/>
      <c r="M52" s="1035"/>
      <c r="N52" s="1035"/>
      <c r="O52" s="1035"/>
      <c r="P52" s="1035"/>
      <c r="Q52" s="1036">
        <f t="shared" si="41"/>
        <v>0</v>
      </c>
      <c r="R52" s="1650"/>
      <c r="S52" s="1040"/>
      <c r="T52" s="1040"/>
      <c r="U52" s="1040"/>
      <c r="V52" s="1651"/>
      <c r="W52" s="1039">
        <f t="shared" si="42"/>
        <v>0</v>
      </c>
      <c r="X52" s="1667"/>
      <c r="Y52" s="1038"/>
      <c r="Z52" s="1038"/>
      <c r="AA52" s="1038"/>
      <c r="AB52" s="1668"/>
      <c r="AC52" s="1037">
        <f t="shared" si="43"/>
        <v>0</v>
      </c>
      <c r="AD52" s="1675"/>
      <c r="AE52" s="1115"/>
      <c r="AF52" s="1115"/>
      <c r="AG52" s="1115"/>
      <c r="AH52" s="1676"/>
      <c r="AI52" s="1049">
        <f t="shared" si="44"/>
        <v>0</v>
      </c>
      <c r="AJ52" s="1667"/>
      <c r="AK52" s="1038"/>
      <c r="AL52" s="1038"/>
      <c r="AM52" s="1038"/>
      <c r="AN52" s="1038"/>
      <c r="AO52" s="1041">
        <f t="shared" si="45"/>
        <v>0</v>
      </c>
      <c r="AP52" s="1686">
        <v>1568</v>
      </c>
      <c r="AQ52" s="1687">
        <v>392</v>
      </c>
      <c r="AR52" s="1687">
        <v>0</v>
      </c>
      <c r="AS52" s="1687">
        <v>0</v>
      </c>
      <c r="AT52" s="1688">
        <v>0</v>
      </c>
      <c r="AU52" s="1043">
        <f t="shared" si="46"/>
        <v>1960</v>
      </c>
      <c r="AV52" s="1692">
        <v>200</v>
      </c>
      <c r="AW52" s="1693">
        <v>50</v>
      </c>
      <c r="AX52" s="1693">
        <v>0</v>
      </c>
      <c r="AY52" s="1693">
        <v>0</v>
      </c>
      <c r="AZ52" s="1694">
        <v>0</v>
      </c>
      <c r="BA52" s="1039">
        <f t="shared" si="47"/>
        <v>250</v>
      </c>
      <c r="BB52" s="1675"/>
      <c r="BC52" s="1115"/>
      <c r="BD52" s="1115"/>
      <c r="BE52" s="1115"/>
      <c r="BF52" s="1676"/>
      <c r="BG52" s="1046">
        <f t="shared" si="48"/>
        <v>0</v>
      </c>
      <c r="BH52" s="1675">
        <v>13500</v>
      </c>
      <c r="BI52" s="1115">
        <v>1710</v>
      </c>
      <c r="BJ52" s="1115">
        <v>2790</v>
      </c>
      <c r="BK52" s="1115">
        <v>0</v>
      </c>
      <c r="BL52" s="1676">
        <v>0</v>
      </c>
      <c r="BM52" s="1046">
        <f t="shared" si="49"/>
        <v>18000</v>
      </c>
      <c r="BN52" s="1675"/>
      <c r="BO52" s="1115"/>
      <c r="BP52" s="1115"/>
      <c r="BQ52" s="1115"/>
      <c r="BR52" s="1676"/>
      <c r="BS52" s="1049">
        <f t="shared" si="50"/>
        <v>0</v>
      </c>
      <c r="BT52" s="1675">
        <v>747.68716912090395</v>
      </c>
      <c r="BU52" s="1115">
        <v>1558.372830879096</v>
      </c>
      <c r="BV52" s="1115">
        <v>423.01</v>
      </c>
      <c r="BW52" s="1115">
        <v>-0.04</v>
      </c>
      <c r="BX52" s="1676">
        <v>0</v>
      </c>
      <c r="BY52" s="1049">
        <f t="shared" si="51"/>
        <v>2729.0299999999997</v>
      </c>
      <c r="BZ52" s="1677"/>
      <c r="CA52" s="1045"/>
      <c r="CB52" s="1045"/>
      <c r="CC52" s="1045"/>
      <c r="CD52" s="1678"/>
      <c r="CE52" s="1049">
        <f t="shared" si="52"/>
        <v>0</v>
      </c>
      <c r="CF52" s="1677"/>
      <c r="CG52" s="1045"/>
      <c r="CH52" s="1045"/>
      <c r="CI52" s="1045"/>
      <c r="CJ52" s="1045"/>
      <c r="CK52" s="1046">
        <f t="shared" si="53"/>
        <v>0</v>
      </c>
      <c r="CL52" s="1677"/>
      <c r="CM52" s="1045"/>
      <c r="CN52" s="1045"/>
      <c r="CO52" s="1045"/>
      <c r="CP52" s="1678"/>
      <c r="CQ52" s="1049">
        <f t="shared" si="54"/>
        <v>0</v>
      </c>
      <c r="CR52" s="1675"/>
      <c r="CS52" s="1115"/>
      <c r="CT52" s="1115"/>
      <c r="CU52" s="1115"/>
      <c r="CV52" s="1676"/>
      <c r="CW52" s="1046">
        <f t="shared" si="55"/>
        <v>0</v>
      </c>
      <c r="CX52" s="1675"/>
      <c r="CY52" s="1115"/>
      <c r="CZ52" s="1115"/>
      <c r="DA52" s="1115"/>
      <c r="DB52" s="1676"/>
      <c r="DC52" s="1049">
        <f t="shared" si="56"/>
        <v>0</v>
      </c>
      <c r="DD52" s="1675"/>
      <c r="DE52" s="1115"/>
      <c r="DF52" s="1115"/>
      <c r="DG52" s="1115"/>
      <c r="DH52" s="1115"/>
      <c r="DI52" s="1114">
        <f t="shared" si="57"/>
        <v>0</v>
      </c>
      <c r="DJ52" s="1115"/>
      <c r="DK52" s="1115"/>
      <c r="DL52" s="1115"/>
      <c r="DM52" s="1115"/>
      <c r="DN52" s="1115"/>
      <c r="DO52" s="1115">
        <f t="shared" si="58"/>
        <v>0</v>
      </c>
      <c r="DP52" s="1675"/>
      <c r="DQ52" s="1115"/>
      <c r="DR52" s="1115"/>
      <c r="DS52" s="1115"/>
      <c r="DT52" s="1676"/>
      <c r="DU52" s="1050">
        <f t="shared" si="59"/>
        <v>0</v>
      </c>
      <c r="DV52" s="1675">
        <v>1123.8900000000001</v>
      </c>
      <c r="DW52" s="1115">
        <v>0</v>
      </c>
      <c r="DX52" s="1115">
        <v>206.14</v>
      </c>
      <c r="DY52" s="1115">
        <v>0.04</v>
      </c>
      <c r="DZ52" s="1676">
        <v>0</v>
      </c>
      <c r="EA52" s="1049">
        <f t="shared" si="60"/>
        <v>1330.0700000000002</v>
      </c>
    </row>
    <row r="53" spans="1:131" ht="15" customHeight="1" x14ac:dyDescent="0.25">
      <c r="A53" s="716" t="s">
        <v>124</v>
      </c>
      <c r="B53" s="810" t="s">
        <v>125</v>
      </c>
      <c r="C53" s="911" t="s">
        <v>267</v>
      </c>
      <c r="D53" s="808">
        <f t="shared" si="33"/>
        <v>24077.599455907799</v>
      </c>
      <c r="E53" s="808">
        <f t="shared" si="34"/>
        <v>12435.800544092199</v>
      </c>
      <c r="F53" s="808">
        <f t="shared" si="35"/>
        <v>6376.4099999999989</v>
      </c>
      <c r="G53" s="808">
        <f t="shared" si="36"/>
        <v>-0.08</v>
      </c>
      <c r="H53" s="808">
        <f t="shared" si="37"/>
        <v>0</v>
      </c>
      <c r="I53" s="1391">
        <f t="shared" si="38"/>
        <v>42889.729999999989</v>
      </c>
      <c r="J53" s="809">
        <f t="shared" si="39"/>
        <v>-0.08</v>
      </c>
      <c r="K53" s="1392">
        <f t="shared" si="40"/>
        <v>6376.329999999999</v>
      </c>
      <c r="L53" s="1656"/>
      <c r="M53" s="1035"/>
      <c r="N53" s="1035"/>
      <c r="O53" s="1035"/>
      <c r="P53" s="1035"/>
      <c r="Q53" s="1036">
        <f t="shared" si="41"/>
        <v>0</v>
      </c>
      <c r="R53" s="1650"/>
      <c r="S53" s="1040"/>
      <c r="T53" s="1040"/>
      <c r="U53" s="1040"/>
      <c r="V53" s="1651"/>
      <c r="W53" s="1039">
        <f t="shared" si="42"/>
        <v>0</v>
      </c>
      <c r="X53" s="1664"/>
      <c r="Y53" s="1665"/>
      <c r="Z53" s="1665"/>
      <c r="AA53" s="1665"/>
      <c r="AB53" s="1666"/>
      <c r="AC53" s="1037">
        <f t="shared" si="43"/>
        <v>0</v>
      </c>
      <c r="AD53" s="1675">
        <v>3559.2</v>
      </c>
      <c r="AE53" s="1115">
        <v>0</v>
      </c>
      <c r="AF53" s="1115">
        <v>889.8</v>
      </c>
      <c r="AG53" s="1115">
        <v>0</v>
      </c>
      <c r="AH53" s="1676">
        <v>0</v>
      </c>
      <c r="AI53" s="1049">
        <f t="shared" si="44"/>
        <v>4449</v>
      </c>
      <c r="AJ53" s="1667"/>
      <c r="AK53" s="1038"/>
      <c r="AL53" s="1038"/>
      <c r="AM53" s="1038"/>
      <c r="AN53" s="1038"/>
      <c r="AO53" s="1041">
        <f t="shared" si="45"/>
        <v>0</v>
      </c>
      <c r="AP53" s="1686"/>
      <c r="AQ53" s="1687"/>
      <c r="AR53" s="1687"/>
      <c r="AS53" s="1687"/>
      <c r="AT53" s="1688"/>
      <c r="AU53" s="1043">
        <f t="shared" si="46"/>
        <v>0</v>
      </c>
      <c r="AV53" s="1692">
        <v>1796.8</v>
      </c>
      <c r="AW53" s="1693">
        <v>449.2</v>
      </c>
      <c r="AX53" s="1693">
        <v>0</v>
      </c>
      <c r="AY53" s="1693">
        <v>0</v>
      </c>
      <c r="AZ53" s="1694">
        <v>0</v>
      </c>
      <c r="BA53" s="1039">
        <f t="shared" si="47"/>
        <v>2246</v>
      </c>
      <c r="BB53" s="1675">
        <v>284.18</v>
      </c>
      <c r="BC53" s="1115">
        <v>513.15</v>
      </c>
      <c r="BD53" s="1115">
        <v>0</v>
      </c>
      <c r="BE53" s="1115">
        <v>-0.01</v>
      </c>
      <c r="BF53" s="1676">
        <v>0</v>
      </c>
      <c r="BG53" s="1046">
        <f t="shared" si="48"/>
        <v>797.31999999999994</v>
      </c>
      <c r="BH53" s="1675">
        <v>11306.1</v>
      </c>
      <c r="BI53" s="1115">
        <v>1432.11</v>
      </c>
      <c r="BJ53" s="1115">
        <v>2336.6</v>
      </c>
      <c r="BK53" s="1115">
        <v>-0.03</v>
      </c>
      <c r="BL53" s="1676">
        <v>0</v>
      </c>
      <c r="BM53" s="1046">
        <f t="shared" si="49"/>
        <v>15074.78</v>
      </c>
      <c r="BN53" s="1675"/>
      <c r="BO53" s="1115"/>
      <c r="BP53" s="1115"/>
      <c r="BQ53" s="1115"/>
      <c r="BR53" s="1676"/>
      <c r="BS53" s="1049">
        <f t="shared" si="50"/>
        <v>0</v>
      </c>
      <c r="BT53" s="1675">
        <v>1705.7994559078015</v>
      </c>
      <c r="BU53" s="1115">
        <v>10041.3405440922</v>
      </c>
      <c r="BV53" s="1115">
        <v>2154.81</v>
      </c>
      <c r="BW53" s="1115">
        <v>-0.06</v>
      </c>
      <c r="BX53" s="1676">
        <v>0</v>
      </c>
      <c r="BY53" s="1049">
        <f t="shared" si="51"/>
        <v>13901.890000000001</v>
      </c>
      <c r="BZ53" s="1677"/>
      <c r="CA53" s="1045"/>
      <c r="CB53" s="1045"/>
      <c r="CC53" s="1045"/>
      <c r="CD53" s="1678"/>
      <c r="CE53" s="1049">
        <f t="shared" si="52"/>
        <v>0</v>
      </c>
      <c r="CF53" s="1677"/>
      <c r="CG53" s="1045"/>
      <c r="CH53" s="1045"/>
      <c r="CI53" s="1045"/>
      <c r="CJ53" s="1045"/>
      <c r="CK53" s="1046">
        <f t="shared" si="53"/>
        <v>0</v>
      </c>
      <c r="CL53" s="1675"/>
      <c r="CM53" s="1115"/>
      <c r="CN53" s="1115"/>
      <c r="CO53" s="1115"/>
      <c r="CP53" s="1676"/>
      <c r="CQ53" s="1049">
        <f t="shared" si="54"/>
        <v>0</v>
      </c>
      <c r="CR53" s="1675"/>
      <c r="CS53" s="1115"/>
      <c r="CT53" s="1115"/>
      <c r="CU53" s="1115"/>
      <c r="CV53" s="1676"/>
      <c r="CW53" s="1046">
        <f t="shared" si="55"/>
        <v>0</v>
      </c>
      <c r="CX53" s="1675"/>
      <c r="CY53" s="1115"/>
      <c r="CZ53" s="1115"/>
      <c r="DA53" s="1115"/>
      <c r="DB53" s="1676"/>
      <c r="DC53" s="1049">
        <f t="shared" si="56"/>
        <v>0</v>
      </c>
      <c r="DD53" s="1675"/>
      <c r="DE53" s="1115"/>
      <c r="DF53" s="1115"/>
      <c r="DG53" s="1115"/>
      <c r="DH53" s="1115"/>
      <c r="DI53" s="1114">
        <f t="shared" si="57"/>
        <v>0</v>
      </c>
      <c r="DJ53" s="1115"/>
      <c r="DK53" s="1115"/>
      <c r="DL53" s="1115"/>
      <c r="DM53" s="1115"/>
      <c r="DN53" s="1115"/>
      <c r="DO53" s="1115">
        <f t="shared" si="58"/>
        <v>0</v>
      </c>
      <c r="DP53" s="1675"/>
      <c r="DQ53" s="1115"/>
      <c r="DR53" s="1115"/>
      <c r="DS53" s="1115"/>
      <c r="DT53" s="1676"/>
      <c r="DU53" s="1050">
        <f t="shared" si="59"/>
        <v>0</v>
      </c>
      <c r="DV53" s="1675">
        <v>5425.52</v>
      </c>
      <c r="DW53" s="1115">
        <v>0</v>
      </c>
      <c r="DX53" s="1115">
        <v>995.2</v>
      </c>
      <c r="DY53" s="1115">
        <v>0.02</v>
      </c>
      <c r="DZ53" s="1676">
        <v>0</v>
      </c>
      <c r="EA53" s="1049">
        <f t="shared" si="60"/>
        <v>6420.7400000000007</v>
      </c>
    </row>
    <row r="54" spans="1:131" ht="15" customHeight="1" x14ac:dyDescent="0.25">
      <c r="A54" s="716" t="s">
        <v>126</v>
      </c>
      <c r="B54" s="810" t="s">
        <v>127</v>
      </c>
      <c r="C54" s="911" t="s">
        <v>266</v>
      </c>
      <c r="D54" s="808">
        <f t="shared" si="33"/>
        <v>25387.484927119738</v>
      </c>
      <c r="E54" s="808">
        <f t="shared" si="34"/>
        <v>11855.645072880259</v>
      </c>
      <c r="F54" s="808">
        <f t="shared" si="35"/>
        <v>6503.4</v>
      </c>
      <c r="G54" s="808">
        <f t="shared" si="36"/>
        <v>-6.0000000000000005E-2</v>
      </c>
      <c r="H54" s="808">
        <f t="shared" si="37"/>
        <v>0</v>
      </c>
      <c r="I54" s="1391">
        <f t="shared" si="38"/>
        <v>43746.47</v>
      </c>
      <c r="J54" s="809">
        <f t="shared" si="39"/>
        <v>-6.0000000000000005E-2</v>
      </c>
      <c r="K54" s="1392">
        <f t="shared" si="40"/>
        <v>6503.3399999999992</v>
      </c>
      <c r="L54" s="1656"/>
      <c r="M54" s="1035"/>
      <c r="N54" s="1035"/>
      <c r="O54" s="1035"/>
      <c r="P54" s="1035"/>
      <c r="Q54" s="1036">
        <f t="shared" si="41"/>
        <v>0</v>
      </c>
      <c r="R54" s="1650"/>
      <c r="S54" s="1040"/>
      <c r="T54" s="1040"/>
      <c r="U54" s="1040"/>
      <c r="V54" s="1651"/>
      <c r="W54" s="1039">
        <f t="shared" si="42"/>
        <v>0</v>
      </c>
      <c r="X54" s="1664">
        <v>1121.21</v>
      </c>
      <c r="Y54" s="1665">
        <v>6.68</v>
      </c>
      <c r="Z54" s="1665">
        <v>206.89</v>
      </c>
      <c r="AA54" s="1665">
        <v>0</v>
      </c>
      <c r="AB54" s="1666">
        <v>0</v>
      </c>
      <c r="AC54" s="1037">
        <f t="shared" si="43"/>
        <v>1334.7800000000002</v>
      </c>
      <c r="AD54" s="1675">
        <v>2323.1999999999998</v>
      </c>
      <c r="AE54" s="1115">
        <v>0</v>
      </c>
      <c r="AF54" s="1115">
        <v>580.79999999999995</v>
      </c>
      <c r="AG54" s="1115">
        <v>0</v>
      </c>
      <c r="AH54" s="1676">
        <v>0</v>
      </c>
      <c r="AI54" s="1049">
        <f t="shared" si="44"/>
        <v>2904</v>
      </c>
      <c r="AJ54" s="1667"/>
      <c r="AK54" s="1038"/>
      <c r="AL54" s="1038"/>
      <c r="AM54" s="1038"/>
      <c r="AN54" s="1038"/>
      <c r="AO54" s="1041">
        <f t="shared" si="45"/>
        <v>0</v>
      </c>
      <c r="AP54" s="1689">
        <v>1066.4000000000001</v>
      </c>
      <c r="AQ54" s="1042">
        <v>266.60000000000002</v>
      </c>
      <c r="AR54" s="1042">
        <v>0</v>
      </c>
      <c r="AS54" s="1042">
        <v>0</v>
      </c>
      <c r="AT54" s="1042">
        <v>0</v>
      </c>
      <c r="AU54" s="1043">
        <f t="shared" si="46"/>
        <v>1333</v>
      </c>
      <c r="AV54" s="1692">
        <v>1039.3599999999999</v>
      </c>
      <c r="AW54" s="1693">
        <v>259.83999999999997</v>
      </c>
      <c r="AX54" s="1693">
        <v>0</v>
      </c>
      <c r="AY54" s="1693">
        <v>0</v>
      </c>
      <c r="AZ54" s="1694">
        <v>0</v>
      </c>
      <c r="BA54" s="1039">
        <f t="shared" si="47"/>
        <v>1299.1999999999998</v>
      </c>
      <c r="BB54" s="1677"/>
      <c r="BC54" s="1045"/>
      <c r="BD54" s="1045"/>
      <c r="BE54" s="1045"/>
      <c r="BF54" s="1045"/>
      <c r="BG54" s="1046">
        <f t="shared" si="48"/>
        <v>0</v>
      </c>
      <c r="BH54" s="1675">
        <v>13500</v>
      </c>
      <c r="BI54" s="1115">
        <v>1710.01</v>
      </c>
      <c r="BJ54" s="1115">
        <v>2789.99</v>
      </c>
      <c r="BK54" s="1115">
        <v>0</v>
      </c>
      <c r="BL54" s="1676">
        <v>0</v>
      </c>
      <c r="BM54" s="1046">
        <f t="shared" si="49"/>
        <v>18000</v>
      </c>
      <c r="BN54" s="1675"/>
      <c r="BO54" s="1115"/>
      <c r="BP54" s="1115"/>
      <c r="BQ54" s="1115"/>
      <c r="BR54" s="1676"/>
      <c r="BS54" s="1049">
        <f t="shared" si="50"/>
        <v>0</v>
      </c>
      <c r="BT54" s="1675">
        <v>1224.1449271197416</v>
      </c>
      <c r="BU54" s="1115">
        <v>7335.5150728802582</v>
      </c>
      <c r="BV54" s="1115">
        <v>1570.12</v>
      </c>
      <c r="BW54" s="1115">
        <v>-0.05</v>
      </c>
      <c r="BX54" s="1676">
        <v>0</v>
      </c>
      <c r="BY54" s="1049">
        <f t="shared" si="51"/>
        <v>10129.73</v>
      </c>
      <c r="BZ54" s="1677"/>
      <c r="CA54" s="1045"/>
      <c r="CB54" s="1045"/>
      <c r="CC54" s="1045"/>
      <c r="CD54" s="1678"/>
      <c r="CE54" s="1049">
        <f t="shared" si="52"/>
        <v>0</v>
      </c>
      <c r="CF54" s="1677"/>
      <c r="CG54" s="1045"/>
      <c r="CH54" s="1045"/>
      <c r="CI54" s="1045"/>
      <c r="CJ54" s="1045"/>
      <c r="CK54" s="1046">
        <f t="shared" si="53"/>
        <v>0</v>
      </c>
      <c r="CL54" s="1675"/>
      <c r="CM54" s="1115"/>
      <c r="CN54" s="1115"/>
      <c r="CO54" s="1115"/>
      <c r="CP54" s="1676"/>
      <c r="CQ54" s="1049">
        <f t="shared" si="54"/>
        <v>0</v>
      </c>
      <c r="CR54" s="1675"/>
      <c r="CS54" s="1115"/>
      <c r="CT54" s="1115"/>
      <c r="CU54" s="1115"/>
      <c r="CV54" s="1676"/>
      <c r="CW54" s="1046">
        <f t="shared" si="55"/>
        <v>0</v>
      </c>
      <c r="CX54" s="1675"/>
      <c r="CY54" s="1115"/>
      <c r="CZ54" s="1115"/>
      <c r="DA54" s="1115"/>
      <c r="DB54" s="1676"/>
      <c r="DC54" s="1049">
        <f t="shared" si="56"/>
        <v>0</v>
      </c>
      <c r="DD54" s="1675"/>
      <c r="DE54" s="1115"/>
      <c r="DF54" s="1115"/>
      <c r="DG54" s="1115"/>
      <c r="DH54" s="1115"/>
      <c r="DI54" s="1114">
        <f t="shared" si="57"/>
        <v>0</v>
      </c>
      <c r="DJ54" s="1115"/>
      <c r="DK54" s="1115"/>
      <c r="DL54" s="1115"/>
      <c r="DM54" s="1115"/>
      <c r="DN54" s="1115"/>
      <c r="DO54" s="1115">
        <f t="shared" si="58"/>
        <v>0</v>
      </c>
      <c r="DP54" s="1675">
        <v>3300</v>
      </c>
      <c r="DQ54" s="1115">
        <v>2277</v>
      </c>
      <c r="DR54" s="1115">
        <v>1023</v>
      </c>
      <c r="DS54" s="1115">
        <v>0</v>
      </c>
      <c r="DT54" s="1676">
        <v>0</v>
      </c>
      <c r="DU54" s="1050">
        <f t="shared" si="59"/>
        <v>6600</v>
      </c>
      <c r="DV54" s="1675">
        <v>1813.17</v>
      </c>
      <c r="DW54" s="1115">
        <v>0</v>
      </c>
      <c r="DX54" s="1115">
        <v>332.6</v>
      </c>
      <c r="DY54" s="1115">
        <v>-0.01</v>
      </c>
      <c r="DZ54" s="1676">
        <v>0</v>
      </c>
      <c r="EA54" s="1049">
        <f t="shared" si="60"/>
        <v>2145.7599999999998</v>
      </c>
    </row>
    <row r="55" spans="1:131" ht="15" customHeight="1" x14ac:dyDescent="0.25">
      <c r="A55" s="716" t="s">
        <v>128</v>
      </c>
      <c r="B55" s="810" t="s">
        <v>129</v>
      </c>
      <c r="C55" s="911" t="s">
        <v>266</v>
      </c>
      <c r="D55" s="808">
        <f t="shared" si="33"/>
        <v>22610.085270392472</v>
      </c>
      <c r="E55" s="808">
        <f t="shared" si="34"/>
        <v>5187.994729607527</v>
      </c>
      <c r="F55" s="808">
        <f t="shared" si="35"/>
        <v>5318.670000000001</v>
      </c>
      <c r="G55" s="808">
        <f t="shared" si="36"/>
        <v>-0.06</v>
      </c>
      <c r="H55" s="808">
        <f t="shared" si="37"/>
        <v>0</v>
      </c>
      <c r="I55" s="1391">
        <f t="shared" si="38"/>
        <v>33116.69</v>
      </c>
      <c r="J55" s="809">
        <f t="shared" si="39"/>
        <v>-0.06</v>
      </c>
      <c r="K55" s="1392">
        <f t="shared" si="40"/>
        <v>5318.6100000000006</v>
      </c>
      <c r="L55" s="1656"/>
      <c r="M55" s="1035"/>
      <c r="N55" s="1035"/>
      <c r="O55" s="1035"/>
      <c r="P55" s="1035"/>
      <c r="Q55" s="1036">
        <f t="shared" si="41"/>
        <v>0</v>
      </c>
      <c r="R55" s="1650"/>
      <c r="S55" s="1040"/>
      <c r="T55" s="1040"/>
      <c r="U55" s="1040"/>
      <c r="V55" s="1651"/>
      <c r="W55" s="1039">
        <f t="shared" si="42"/>
        <v>0</v>
      </c>
      <c r="X55" s="1664">
        <v>1865.22</v>
      </c>
      <c r="Y55" s="1665">
        <v>11.11</v>
      </c>
      <c r="Z55" s="1665">
        <v>344.19</v>
      </c>
      <c r="AA55" s="1665">
        <v>-0.02</v>
      </c>
      <c r="AB55" s="1666">
        <v>0</v>
      </c>
      <c r="AC55" s="1037">
        <f t="shared" si="43"/>
        <v>2220.5</v>
      </c>
      <c r="AD55" s="1675">
        <v>3298.8</v>
      </c>
      <c r="AE55" s="1115">
        <v>0</v>
      </c>
      <c r="AF55" s="1115">
        <v>824.7</v>
      </c>
      <c r="AG55" s="1115">
        <v>0</v>
      </c>
      <c r="AH55" s="1676">
        <v>0</v>
      </c>
      <c r="AI55" s="1049">
        <f t="shared" si="44"/>
        <v>4123.5</v>
      </c>
      <c r="AJ55" s="1667"/>
      <c r="AK55" s="1038"/>
      <c r="AL55" s="1038"/>
      <c r="AM55" s="1038"/>
      <c r="AN55" s="1038"/>
      <c r="AO55" s="1041">
        <f t="shared" si="45"/>
        <v>0</v>
      </c>
      <c r="AP55" s="1686"/>
      <c r="AQ55" s="1687"/>
      <c r="AR55" s="1687"/>
      <c r="AS55" s="1687"/>
      <c r="AT55" s="1688"/>
      <c r="AU55" s="1043">
        <f t="shared" si="46"/>
        <v>0</v>
      </c>
      <c r="AV55" s="1652"/>
      <c r="AW55" s="1113"/>
      <c r="AX55" s="1113"/>
      <c r="AY55" s="1113"/>
      <c r="AZ55" s="1653"/>
      <c r="BA55" s="1039">
        <f t="shared" si="47"/>
        <v>0</v>
      </c>
      <c r="BB55" s="1677"/>
      <c r="BC55" s="1045"/>
      <c r="BD55" s="1045"/>
      <c r="BE55" s="1045"/>
      <c r="BF55" s="1045"/>
      <c r="BG55" s="1046">
        <f t="shared" si="48"/>
        <v>0</v>
      </c>
      <c r="BH55" s="1675">
        <v>12624.19</v>
      </c>
      <c r="BI55" s="1115">
        <v>1599.06</v>
      </c>
      <c r="BJ55" s="1115">
        <v>2609</v>
      </c>
      <c r="BK55" s="1115">
        <v>-0.01</v>
      </c>
      <c r="BL55" s="1676">
        <v>0</v>
      </c>
      <c r="BM55" s="1046">
        <f t="shared" si="49"/>
        <v>16832.240000000002</v>
      </c>
      <c r="BN55" s="1675"/>
      <c r="BO55" s="1115"/>
      <c r="BP55" s="1115"/>
      <c r="BQ55" s="1115"/>
      <c r="BR55" s="1676"/>
      <c r="BS55" s="1049">
        <f t="shared" si="50"/>
        <v>0</v>
      </c>
      <c r="BT55" s="1675">
        <v>1315.7352703924728</v>
      </c>
      <c r="BU55" s="1115">
        <v>3577.8247296075274</v>
      </c>
      <c r="BV55" s="1115">
        <v>897.64</v>
      </c>
      <c r="BW55" s="1115">
        <v>-0.05</v>
      </c>
      <c r="BX55" s="1676">
        <v>0</v>
      </c>
      <c r="BY55" s="1049">
        <f t="shared" si="51"/>
        <v>5791.1500000000005</v>
      </c>
      <c r="BZ55" s="1677"/>
      <c r="CA55" s="1045"/>
      <c r="CB55" s="1045"/>
      <c r="CC55" s="1045"/>
      <c r="CD55" s="1678"/>
      <c r="CE55" s="1049">
        <f t="shared" si="52"/>
        <v>0</v>
      </c>
      <c r="CF55" s="1677"/>
      <c r="CG55" s="1045"/>
      <c r="CH55" s="1045"/>
      <c r="CI55" s="1045"/>
      <c r="CJ55" s="1045"/>
      <c r="CK55" s="1046">
        <f t="shared" si="53"/>
        <v>0</v>
      </c>
      <c r="CL55" s="1677"/>
      <c r="CM55" s="1045"/>
      <c r="CN55" s="1045"/>
      <c r="CO55" s="1045"/>
      <c r="CP55" s="1678"/>
      <c r="CQ55" s="1049">
        <f t="shared" si="54"/>
        <v>0</v>
      </c>
      <c r="CR55" s="1677"/>
      <c r="CS55" s="1045"/>
      <c r="CT55" s="1045"/>
      <c r="CU55" s="1045"/>
      <c r="CV55" s="1045"/>
      <c r="CW55" s="1046">
        <f t="shared" si="55"/>
        <v>0</v>
      </c>
      <c r="CX55" s="1675"/>
      <c r="CY55" s="1115"/>
      <c r="CZ55" s="1115"/>
      <c r="DA55" s="1115"/>
      <c r="DB55" s="1676"/>
      <c r="DC55" s="1049">
        <f t="shared" si="56"/>
        <v>0</v>
      </c>
      <c r="DD55" s="1675"/>
      <c r="DE55" s="1115"/>
      <c r="DF55" s="1115"/>
      <c r="DG55" s="1115"/>
      <c r="DH55" s="1115"/>
      <c r="DI55" s="1114">
        <f t="shared" si="57"/>
        <v>0</v>
      </c>
      <c r="DJ55" s="1115"/>
      <c r="DK55" s="1115"/>
      <c r="DL55" s="1115"/>
      <c r="DM55" s="1115"/>
      <c r="DN55" s="1115"/>
      <c r="DO55" s="1115">
        <f t="shared" si="58"/>
        <v>0</v>
      </c>
      <c r="DP55" s="1675"/>
      <c r="DQ55" s="1115"/>
      <c r="DR55" s="1115"/>
      <c r="DS55" s="1115"/>
      <c r="DT55" s="1676"/>
      <c r="DU55" s="1050">
        <f t="shared" si="59"/>
        <v>0</v>
      </c>
      <c r="DV55" s="1675">
        <v>3506.14</v>
      </c>
      <c r="DW55" s="1115">
        <v>0</v>
      </c>
      <c r="DX55" s="1115">
        <v>643.14</v>
      </c>
      <c r="DY55" s="1115">
        <v>0.02</v>
      </c>
      <c r="DZ55" s="1676">
        <v>0</v>
      </c>
      <c r="EA55" s="1049">
        <f t="shared" si="60"/>
        <v>4149.3</v>
      </c>
    </row>
    <row r="56" spans="1:131" ht="15" customHeight="1" x14ac:dyDescent="0.25">
      <c r="A56" s="716" t="s">
        <v>130</v>
      </c>
      <c r="B56" s="810" t="s">
        <v>131</v>
      </c>
      <c r="C56" s="911" t="s">
        <v>268</v>
      </c>
      <c r="D56" s="808">
        <f t="shared" si="33"/>
        <v>136280.78963451134</v>
      </c>
      <c r="E56" s="808">
        <f t="shared" si="34"/>
        <v>148426.2203654887</v>
      </c>
      <c r="F56" s="808">
        <f t="shared" si="35"/>
        <v>57033.32</v>
      </c>
      <c r="G56" s="808">
        <f t="shared" si="36"/>
        <v>-7.9999999999999988E-2</v>
      </c>
      <c r="H56" s="808">
        <f t="shared" si="37"/>
        <v>0</v>
      </c>
      <c r="I56" s="1391">
        <f t="shared" si="38"/>
        <v>341740.25</v>
      </c>
      <c r="J56" s="809">
        <f t="shared" si="39"/>
        <v>-7.9999999999999988E-2</v>
      </c>
      <c r="K56" s="1392">
        <f t="shared" si="40"/>
        <v>57033.24</v>
      </c>
      <c r="L56" s="1656"/>
      <c r="M56" s="1035"/>
      <c r="N56" s="1035"/>
      <c r="O56" s="1035"/>
      <c r="P56" s="1035"/>
      <c r="Q56" s="1036">
        <f t="shared" si="41"/>
        <v>0</v>
      </c>
      <c r="R56" s="1652"/>
      <c r="S56" s="1113"/>
      <c r="T56" s="1113"/>
      <c r="U56" s="1113"/>
      <c r="V56" s="1653"/>
      <c r="W56" s="1039">
        <f t="shared" si="42"/>
        <v>0</v>
      </c>
      <c r="X56" s="1664">
        <v>3818.22</v>
      </c>
      <c r="Y56" s="1665">
        <v>22.73</v>
      </c>
      <c r="Z56" s="1665">
        <v>704.55</v>
      </c>
      <c r="AA56" s="1665">
        <v>0</v>
      </c>
      <c r="AB56" s="1666">
        <v>0</v>
      </c>
      <c r="AC56" s="1037">
        <f t="shared" si="43"/>
        <v>4545.5</v>
      </c>
      <c r="AD56" s="1675">
        <v>84773.37</v>
      </c>
      <c r="AE56" s="1115">
        <v>0</v>
      </c>
      <c r="AF56" s="1115">
        <v>21193.33</v>
      </c>
      <c r="AG56" s="1115">
        <v>0</v>
      </c>
      <c r="AH56" s="1676">
        <v>0</v>
      </c>
      <c r="AI56" s="1049">
        <f t="shared" si="44"/>
        <v>105966.7</v>
      </c>
      <c r="AJ56" s="1667"/>
      <c r="AK56" s="1038"/>
      <c r="AL56" s="1038"/>
      <c r="AM56" s="1038"/>
      <c r="AN56" s="1038"/>
      <c r="AO56" s="1041">
        <f t="shared" si="45"/>
        <v>0</v>
      </c>
      <c r="AP56" s="1686">
        <v>1632</v>
      </c>
      <c r="AQ56" s="1687">
        <v>408</v>
      </c>
      <c r="AR56" s="1687">
        <v>0</v>
      </c>
      <c r="AS56" s="1687">
        <v>0</v>
      </c>
      <c r="AT56" s="1688">
        <v>0</v>
      </c>
      <c r="AU56" s="1043">
        <f t="shared" si="46"/>
        <v>2040</v>
      </c>
      <c r="AV56" s="1692">
        <v>2806.6</v>
      </c>
      <c r="AW56" s="1693">
        <v>701.65</v>
      </c>
      <c r="AX56" s="1693">
        <v>0</v>
      </c>
      <c r="AY56" s="1693">
        <v>0</v>
      </c>
      <c r="AZ56" s="1694">
        <v>0</v>
      </c>
      <c r="BA56" s="1039">
        <f t="shared" si="47"/>
        <v>3508.25</v>
      </c>
      <c r="BB56" s="1675"/>
      <c r="BC56" s="1115"/>
      <c r="BD56" s="1115"/>
      <c r="BE56" s="1115"/>
      <c r="BF56" s="1676"/>
      <c r="BG56" s="1046">
        <f t="shared" si="48"/>
        <v>0</v>
      </c>
      <c r="BH56" s="1675">
        <v>14801.9</v>
      </c>
      <c r="BI56" s="1115">
        <v>1874.91</v>
      </c>
      <c r="BJ56" s="1115">
        <v>3059.06</v>
      </c>
      <c r="BK56" s="1115">
        <v>-0.01</v>
      </c>
      <c r="BL56" s="1676">
        <v>0</v>
      </c>
      <c r="BM56" s="1046">
        <f t="shared" si="49"/>
        <v>19735.860000000004</v>
      </c>
      <c r="BN56" s="1675"/>
      <c r="BO56" s="1115"/>
      <c r="BP56" s="1115"/>
      <c r="BQ56" s="1115"/>
      <c r="BR56" s="1676"/>
      <c r="BS56" s="1049">
        <f t="shared" si="50"/>
        <v>0</v>
      </c>
      <c r="BT56" s="1675">
        <v>24596.499634511318</v>
      </c>
      <c r="BU56" s="1115">
        <v>142857.99036548869</v>
      </c>
      <c r="BV56" s="1115">
        <v>30716.51</v>
      </c>
      <c r="BW56" s="1115">
        <v>-0.06</v>
      </c>
      <c r="BX56" s="1676">
        <v>0</v>
      </c>
      <c r="BY56" s="1049">
        <f t="shared" si="51"/>
        <v>198170.94</v>
      </c>
      <c r="BZ56" s="1675">
        <v>140.69999999999999</v>
      </c>
      <c r="CA56" s="1115">
        <v>0</v>
      </c>
      <c r="CB56" s="1115">
        <v>209.3</v>
      </c>
      <c r="CC56" s="1115">
        <v>0</v>
      </c>
      <c r="CD56" s="1676">
        <v>0</v>
      </c>
      <c r="CE56" s="1049">
        <f t="shared" si="52"/>
        <v>350</v>
      </c>
      <c r="CF56" s="1677"/>
      <c r="CG56" s="1045"/>
      <c r="CH56" s="1045"/>
      <c r="CI56" s="1045"/>
      <c r="CJ56" s="1045"/>
      <c r="CK56" s="1046">
        <f t="shared" si="53"/>
        <v>0</v>
      </c>
      <c r="CL56" s="1677"/>
      <c r="CM56" s="1045"/>
      <c r="CN56" s="1045"/>
      <c r="CO56" s="1045"/>
      <c r="CP56" s="1678"/>
      <c r="CQ56" s="1049">
        <f t="shared" si="54"/>
        <v>0</v>
      </c>
      <c r="CR56" s="1677"/>
      <c r="CS56" s="1045"/>
      <c r="CT56" s="1045"/>
      <c r="CU56" s="1045"/>
      <c r="CV56" s="1045"/>
      <c r="CW56" s="1046">
        <f t="shared" si="55"/>
        <v>0</v>
      </c>
      <c r="CX56" s="1675"/>
      <c r="CY56" s="1115"/>
      <c r="CZ56" s="1115"/>
      <c r="DA56" s="1115"/>
      <c r="DB56" s="1676"/>
      <c r="DC56" s="1049">
        <f t="shared" si="56"/>
        <v>0</v>
      </c>
      <c r="DD56" s="1675"/>
      <c r="DE56" s="1115"/>
      <c r="DF56" s="1115"/>
      <c r="DG56" s="1115"/>
      <c r="DH56" s="1115"/>
      <c r="DI56" s="1114">
        <f t="shared" si="57"/>
        <v>0</v>
      </c>
      <c r="DJ56" s="1115"/>
      <c r="DK56" s="1115"/>
      <c r="DL56" s="1115"/>
      <c r="DM56" s="1115"/>
      <c r="DN56" s="1115"/>
      <c r="DO56" s="1115">
        <f t="shared" si="58"/>
        <v>0</v>
      </c>
      <c r="DP56" s="1675">
        <v>3711.5</v>
      </c>
      <c r="DQ56" s="1115">
        <v>2560.94</v>
      </c>
      <c r="DR56" s="1115">
        <v>1150.57</v>
      </c>
      <c r="DS56" s="1115">
        <v>-0.01</v>
      </c>
      <c r="DT56" s="1676">
        <v>0</v>
      </c>
      <c r="DU56" s="1050">
        <f t="shared" si="59"/>
        <v>7423</v>
      </c>
      <c r="DV56" s="1677"/>
      <c r="DW56" s="1045"/>
      <c r="DX56" s="1045"/>
      <c r="DY56" s="1045"/>
      <c r="DZ56" s="1678"/>
      <c r="EA56" s="1049">
        <f t="shared" si="60"/>
        <v>0</v>
      </c>
    </row>
    <row r="57" spans="1:131" ht="15" customHeight="1" x14ac:dyDescent="0.25">
      <c r="A57" s="716" t="s">
        <v>132</v>
      </c>
      <c r="B57" s="810" t="s">
        <v>133</v>
      </c>
      <c r="C57" s="911" t="s">
        <v>267</v>
      </c>
      <c r="D57" s="808">
        <f t="shared" si="33"/>
        <v>345373.8611068562</v>
      </c>
      <c r="E57" s="808">
        <f t="shared" si="34"/>
        <v>232965.54889314377</v>
      </c>
      <c r="F57" s="808">
        <f t="shared" si="35"/>
        <v>120210.14</v>
      </c>
      <c r="G57" s="808">
        <f t="shared" si="36"/>
        <v>-900.37</v>
      </c>
      <c r="H57" s="808">
        <f t="shared" si="37"/>
        <v>864136.85</v>
      </c>
      <c r="I57" s="1391">
        <f t="shared" si="38"/>
        <v>1561786.0299999998</v>
      </c>
      <c r="J57" s="809">
        <f t="shared" si="39"/>
        <v>863236.48</v>
      </c>
      <c r="K57" s="1392">
        <f t="shared" si="40"/>
        <v>983446.62</v>
      </c>
      <c r="L57" s="1656"/>
      <c r="M57" s="1035"/>
      <c r="N57" s="1035"/>
      <c r="O57" s="1035"/>
      <c r="P57" s="1035"/>
      <c r="Q57" s="1036">
        <f t="shared" si="41"/>
        <v>0</v>
      </c>
      <c r="R57" s="1650"/>
      <c r="S57" s="1040"/>
      <c r="T57" s="1040"/>
      <c r="U57" s="1040"/>
      <c r="V57" s="1651"/>
      <c r="W57" s="1039">
        <f t="shared" si="42"/>
        <v>0</v>
      </c>
      <c r="X57" s="1664">
        <v>22875.21</v>
      </c>
      <c r="Y57" s="1665">
        <v>136.16999999999999</v>
      </c>
      <c r="Z57" s="1665">
        <v>4221.03</v>
      </c>
      <c r="AA57" s="1665">
        <v>-0.02</v>
      </c>
      <c r="AB57" s="1666">
        <v>0</v>
      </c>
      <c r="AC57" s="1037">
        <f t="shared" si="43"/>
        <v>27232.389999999996</v>
      </c>
      <c r="AD57" s="1675">
        <v>176000</v>
      </c>
      <c r="AE57" s="1115">
        <v>0</v>
      </c>
      <c r="AF57" s="1115">
        <v>44000</v>
      </c>
      <c r="AG57" s="1115">
        <v>0</v>
      </c>
      <c r="AH57" s="1676">
        <v>864136.85</v>
      </c>
      <c r="AI57" s="1049">
        <f t="shared" si="44"/>
        <v>1084136.8500000001</v>
      </c>
      <c r="AJ57" s="1667"/>
      <c r="AK57" s="1038"/>
      <c r="AL57" s="1038"/>
      <c r="AM57" s="1038"/>
      <c r="AN57" s="1038"/>
      <c r="AO57" s="1041">
        <f t="shared" si="45"/>
        <v>0</v>
      </c>
      <c r="AP57" s="1686">
        <v>4818.43</v>
      </c>
      <c r="AQ57" s="1687">
        <v>1204.6099999999999</v>
      </c>
      <c r="AR57" s="1687">
        <v>0</v>
      </c>
      <c r="AS57" s="1687">
        <v>0</v>
      </c>
      <c r="AT57" s="1688">
        <v>0</v>
      </c>
      <c r="AU57" s="1043">
        <f t="shared" si="46"/>
        <v>6023.04</v>
      </c>
      <c r="AV57" s="1692">
        <v>9223.19</v>
      </c>
      <c r="AW57" s="1693">
        <v>2305.8000000000002</v>
      </c>
      <c r="AX57" s="1693">
        <v>0</v>
      </c>
      <c r="AY57" s="1693">
        <v>0</v>
      </c>
      <c r="AZ57" s="1694">
        <v>0</v>
      </c>
      <c r="BA57" s="1039">
        <f t="shared" si="47"/>
        <v>11528.990000000002</v>
      </c>
      <c r="BB57" s="1675">
        <v>981.87</v>
      </c>
      <c r="BC57" s="1115">
        <v>1773.13</v>
      </c>
      <c r="BD57" s="1115">
        <v>0</v>
      </c>
      <c r="BE57" s="1115">
        <v>0</v>
      </c>
      <c r="BF57" s="1676">
        <v>0</v>
      </c>
      <c r="BG57" s="1046">
        <f t="shared" si="48"/>
        <v>2755</v>
      </c>
      <c r="BH57" s="1675">
        <v>80914.8</v>
      </c>
      <c r="BI57" s="1115">
        <v>10249.219999999999</v>
      </c>
      <c r="BJ57" s="1115">
        <v>16722.400000000001</v>
      </c>
      <c r="BK57" s="1115">
        <v>-0.05</v>
      </c>
      <c r="BL57" s="1676">
        <v>0</v>
      </c>
      <c r="BM57" s="1046">
        <f t="shared" si="49"/>
        <v>107886.37000000001</v>
      </c>
      <c r="BN57" s="1675"/>
      <c r="BO57" s="1115"/>
      <c r="BP57" s="1115"/>
      <c r="BQ57" s="1115"/>
      <c r="BR57" s="1676"/>
      <c r="BS57" s="1049">
        <f t="shared" si="50"/>
        <v>0</v>
      </c>
      <c r="BT57" s="1675">
        <v>42511.151106856225</v>
      </c>
      <c r="BU57" s="1115">
        <v>212406.25889314379</v>
      </c>
      <c r="BV57" s="1115">
        <v>46760.04</v>
      </c>
      <c r="BW57" s="1115">
        <v>-0.25</v>
      </c>
      <c r="BX57" s="1676">
        <v>0</v>
      </c>
      <c r="BY57" s="1049">
        <f t="shared" si="51"/>
        <v>301677.2</v>
      </c>
      <c r="BZ57" s="1675">
        <v>2602.9699999999998</v>
      </c>
      <c r="CA57" s="1115">
        <v>0</v>
      </c>
      <c r="CB57" s="1115">
        <v>3872.06</v>
      </c>
      <c r="CC57" s="1115">
        <v>0</v>
      </c>
      <c r="CD57" s="1676">
        <v>0</v>
      </c>
      <c r="CE57" s="1049">
        <f t="shared" si="52"/>
        <v>6475.03</v>
      </c>
      <c r="CF57" s="1677"/>
      <c r="CG57" s="1045"/>
      <c r="CH57" s="1045"/>
      <c r="CI57" s="1045"/>
      <c r="CJ57" s="1045"/>
      <c r="CK57" s="1046">
        <f t="shared" si="53"/>
        <v>0</v>
      </c>
      <c r="CL57" s="1675"/>
      <c r="CM57" s="1115"/>
      <c r="CN57" s="1115"/>
      <c r="CO57" s="1115"/>
      <c r="CP57" s="1676"/>
      <c r="CQ57" s="1049">
        <f t="shared" si="54"/>
        <v>0</v>
      </c>
      <c r="CR57" s="1675"/>
      <c r="CS57" s="1115"/>
      <c r="CT57" s="1115"/>
      <c r="CU57" s="1115"/>
      <c r="CV57" s="1676"/>
      <c r="CW57" s="1046">
        <f t="shared" si="55"/>
        <v>0</v>
      </c>
      <c r="CX57" s="1675"/>
      <c r="CY57" s="1115"/>
      <c r="CZ57" s="1115"/>
      <c r="DA57" s="1115"/>
      <c r="DB57" s="1676"/>
      <c r="DC57" s="1049">
        <f t="shared" si="56"/>
        <v>0</v>
      </c>
      <c r="DD57" s="1675">
        <v>-9873</v>
      </c>
      <c r="DE57" s="1115">
        <v>0</v>
      </c>
      <c r="DF57" s="1115">
        <v>0</v>
      </c>
      <c r="DG57" s="1115">
        <v>0</v>
      </c>
      <c r="DH57" s="1115">
        <v>0</v>
      </c>
      <c r="DI57" s="1114">
        <f t="shared" si="57"/>
        <v>-9873</v>
      </c>
      <c r="DJ57" s="1115">
        <v>-2528.1999999999998</v>
      </c>
      <c r="DK57" s="1115">
        <v>-2528.1999999999998</v>
      </c>
      <c r="DL57" s="1115">
        <v>0</v>
      </c>
      <c r="DM57" s="1115">
        <v>0</v>
      </c>
      <c r="DN57" s="1115">
        <v>0</v>
      </c>
      <c r="DO57" s="1115">
        <f t="shared" si="58"/>
        <v>-5056.3999999999996</v>
      </c>
      <c r="DP57" s="1675">
        <v>10751.5</v>
      </c>
      <c r="DQ57" s="1115">
        <v>7418.56</v>
      </c>
      <c r="DR57" s="1115">
        <v>3332.99</v>
      </c>
      <c r="DS57" s="1115">
        <v>-0.05</v>
      </c>
      <c r="DT57" s="1676">
        <v>0</v>
      </c>
      <c r="DU57" s="1050">
        <f t="shared" si="59"/>
        <v>21503.000000000004</v>
      </c>
      <c r="DV57" s="1675">
        <v>7095.94</v>
      </c>
      <c r="DW57" s="1115">
        <v>0</v>
      </c>
      <c r="DX57" s="1115">
        <v>1301.6199999999999</v>
      </c>
      <c r="DY57" s="1115">
        <v>-900</v>
      </c>
      <c r="DZ57" s="1676">
        <v>0</v>
      </c>
      <c r="EA57" s="1049">
        <f t="shared" si="60"/>
        <v>7497.5599999999995</v>
      </c>
    </row>
    <row r="58" spans="1:131" ht="15" customHeight="1" x14ac:dyDescent="0.25">
      <c r="A58" s="716" t="s">
        <v>134</v>
      </c>
      <c r="B58" s="810" t="s">
        <v>135</v>
      </c>
      <c r="C58" s="911" t="s">
        <v>267</v>
      </c>
      <c r="D58" s="808">
        <f t="shared" si="33"/>
        <v>34513.455295466527</v>
      </c>
      <c r="E58" s="808">
        <f t="shared" si="34"/>
        <v>12291.054704533472</v>
      </c>
      <c r="F58" s="808">
        <f t="shared" si="35"/>
        <v>8023.22</v>
      </c>
      <c r="G58" s="808">
        <f t="shared" si="36"/>
        <v>-0.17000000000000004</v>
      </c>
      <c r="H58" s="808">
        <f t="shared" si="37"/>
        <v>0</v>
      </c>
      <c r="I58" s="1391">
        <f t="shared" si="38"/>
        <v>54827.56</v>
      </c>
      <c r="J58" s="809">
        <f t="shared" si="39"/>
        <v>-0.17000000000000004</v>
      </c>
      <c r="K58" s="1392">
        <f t="shared" si="40"/>
        <v>8023.05</v>
      </c>
      <c r="L58" s="1656"/>
      <c r="M58" s="1035"/>
      <c r="N58" s="1035"/>
      <c r="O58" s="1035"/>
      <c r="P58" s="1035"/>
      <c r="Q58" s="1036">
        <f t="shared" si="41"/>
        <v>0</v>
      </c>
      <c r="R58" s="1650"/>
      <c r="S58" s="1040"/>
      <c r="T58" s="1040"/>
      <c r="U58" s="1040"/>
      <c r="V58" s="1651"/>
      <c r="W58" s="1039">
        <f t="shared" si="42"/>
        <v>0</v>
      </c>
      <c r="X58" s="1664">
        <v>3871.16</v>
      </c>
      <c r="Y58" s="1665">
        <v>23.04</v>
      </c>
      <c r="Z58" s="1665">
        <v>714.33</v>
      </c>
      <c r="AA58" s="1665">
        <v>-0.01</v>
      </c>
      <c r="AB58" s="1666">
        <v>0</v>
      </c>
      <c r="AC58" s="1037">
        <f t="shared" si="43"/>
        <v>4608.5199999999995</v>
      </c>
      <c r="AD58" s="1675">
        <v>5755.07</v>
      </c>
      <c r="AE58" s="1115">
        <v>0</v>
      </c>
      <c r="AF58" s="1115">
        <v>1438.78</v>
      </c>
      <c r="AG58" s="1115">
        <v>0</v>
      </c>
      <c r="AH58" s="1676">
        <v>0</v>
      </c>
      <c r="AI58" s="1049">
        <f t="shared" si="44"/>
        <v>7193.8499999999995</v>
      </c>
      <c r="AJ58" s="1667"/>
      <c r="AK58" s="1038"/>
      <c r="AL58" s="1038"/>
      <c r="AM58" s="1038"/>
      <c r="AN58" s="1038"/>
      <c r="AO58" s="1041">
        <f t="shared" si="45"/>
        <v>0</v>
      </c>
      <c r="AP58" s="1686">
        <v>2102.4499999999998</v>
      </c>
      <c r="AQ58" s="1687">
        <v>525.61</v>
      </c>
      <c r="AR58" s="1687">
        <v>0</v>
      </c>
      <c r="AS58" s="1687">
        <v>0</v>
      </c>
      <c r="AT58" s="1688">
        <v>0</v>
      </c>
      <c r="AU58" s="1043">
        <f t="shared" si="46"/>
        <v>2628.06</v>
      </c>
      <c r="AV58" s="1692">
        <v>2354.71</v>
      </c>
      <c r="AW58" s="1693">
        <v>588.67999999999995</v>
      </c>
      <c r="AX58" s="1693">
        <v>0</v>
      </c>
      <c r="AY58" s="1693">
        <v>0</v>
      </c>
      <c r="AZ58" s="1694">
        <v>0</v>
      </c>
      <c r="BA58" s="1039">
        <f t="shared" si="47"/>
        <v>2943.39</v>
      </c>
      <c r="BB58" s="1675">
        <v>276.20999999999998</v>
      </c>
      <c r="BC58" s="1115">
        <v>498.79</v>
      </c>
      <c r="BD58" s="1115">
        <v>0</v>
      </c>
      <c r="BE58" s="1115">
        <v>0</v>
      </c>
      <c r="BF58" s="1676">
        <v>0</v>
      </c>
      <c r="BG58" s="1046">
        <f t="shared" si="48"/>
        <v>775</v>
      </c>
      <c r="BH58" s="1675">
        <v>14222.52</v>
      </c>
      <c r="BI58" s="1115">
        <v>1801.56</v>
      </c>
      <c r="BJ58" s="1115">
        <v>2939.34</v>
      </c>
      <c r="BK58" s="1115">
        <v>-0.14000000000000001</v>
      </c>
      <c r="BL58" s="1676">
        <v>0</v>
      </c>
      <c r="BM58" s="1046">
        <f t="shared" si="49"/>
        <v>18963.28</v>
      </c>
      <c r="BN58" s="1675"/>
      <c r="BO58" s="1115"/>
      <c r="BP58" s="1115"/>
      <c r="BQ58" s="1115"/>
      <c r="BR58" s="1676"/>
      <c r="BS58" s="1049">
        <f t="shared" si="50"/>
        <v>0</v>
      </c>
      <c r="BT58" s="1675">
        <v>1480.9652954665289</v>
      </c>
      <c r="BU58" s="1115">
        <v>8970.5347045334711</v>
      </c>
      <c r="BV58" s="1115">
        <v>1917.16</v>
      </c>
      <c r="BW58" s="1115">
        <v>-0.03</v>
      </c>
      <c r="BX58" s="1676">
        <v>0</v>
      </c>
      <c r="BY58" s="1049">
        <f t="shared" si="51"/>
        <v>12368.63</v>
      </c>
      <c r="BZ58" s="1675">
        <v>134.77000000000001</v>
      </c>
      <c r="CA58" s="1115">
        <v>0</v>
      </c>
      <c r="CB58" s="1115">
        <v>200.49</v>
      </c>
      <c r="CC58" s="1115">
        <v>0</v>
      </c>
      <c r="CD58" s="1676">
        <v>0</v>
      </c>
      <c r="CE58" s="1049">
        <f t="shared" si="52"/>
        <v>335.26</v>
      </c>
      <c r="CF58" s="1677"/>
      <c r="CG58" s="1045"/>
      <c r="CH58" s="1045"/>
      <c r="CI58" s="1045"/>
      <c r="CJ58" s="1045"/>
      <c r="CK58" s="1046">
        <f t="shared" si="53"/>
        <v>0</v>
      </c>
      <c r="CL58" s="1677"/>
      <c r="CM58" s="1045"/>
      <c r="CN58" s="1045"/>
      <c r="CO58" s="1045"/>
      <c r="CP58" s="1678"/>
      <c r="CQ58" s="1049">
        <f t="shared" si="54"/>
        <v>0</v>
      </c>
      <c r="CR58" s="1675"/>
      <c r="CS58" s="1115"/>
      <c r="CT58" s="1115"/>
      <c r="CU58" s="1115"/>
      <c r="CV58" s="1676"/>
      <c r="CW58" s="1046">
        <f t="shared" si="55"/>
        <v>0</v>
      </c>
      <c r="CX58" s="1675">
        <v>-117.16</v>
      </c>
      <c r="CY58" s="1115">
        <v>-117.16</v>
      </c>
      <c r="CZ58" s="1115">
        <v>0</v>
      </c>
      <c r="DA58" s="1115">
        <v>0.02</v>
      </c>
      <c r="DB58" s="1676">
        <v>0</v>
      </c>
      <c r="DC58" s="1049">
        <f t="shared" si="56"/>
        <v>-234.29999999999998</v>
      </c>
      <c r="DD58" s="1675"/>
      <c r="DE58" s="1115"/>
      <c r="DF58" s="1115"/>
      <c r="DG58" s="1115"/>
      <c r="DH58" s="1115"/>
      <c r="DI58" s="1114">
        <f t="shared" si="57"/>
        <v>0</v>
      </c>
      <c r="DJ58" s="1115"/>
      <c r="DK58" s="1115"/>
      <c r="DL58" s="1115"/>
      <c r="DM58" s="1115"/>
      <c r="DN58" s="1115"/>
      <c r="DO58" s="1115">
        <f t="shared" si="58"/>
        <v>0</v>
      </c>
      <c r="DP58" s="1675"/>
      <c r="DQ58" s="1115"/>
      <c r="DR58" s="1115"/>
      <c r="DS58" s="1115"/>
      <c r="DT58" s="1676"/>
      <c r="DU58" s="1050">
        <f t="shared" si="59"/>
        <v>0</v>
      </c>
      <c r="DV58" s="1677">
        <v>4432.76</v>
      </c>
      <c r="DW58" s="1045">
        <v>0</v>
      </c>
      <c r="DX58" s="1045">
        <v>813.12</v>
      </c>
      <c r="DY58" s="1045">
        <v>-0.01</v>
      </c>
      <c r="DZ58" s="1678">
        <v>0</v>
      </c>
      <c r="EA58" s="1049">
        <f t="shared" si="60"/>
        <v>5245.87</v>
      </c>
    </row>
    <row r="59" spans="1:131" ht="15" customHeight="1" x14ac:dyDescent="0.25">
      <c r="A59" s="716" t="s">
        <v>136</v>
      </c>
      <c r="B59" s="810" t="s">
        <v>137</v>
      </c>
      <c r="C59" s="911" t="s">
        <v>266</v>
      </c>
      <c r="D59" s="808">
        <f t="shared" si="33"/>
        <v>8813.080483070431</v>
      </c>
      <c r="E59" s="808">
        <f t="shared" si="34"/>
        <v>9132.8895169295683</v>
      </c>
      <c r="F59" s="808">
        <f t="shared" si="35"/>
        <v>3407.27</v>
      </c>
      <c r="G59" s="808">
        <f t="shared" si="36"/>
        <v>-0.04</v>
      </c>
      <c r="H59" s="808">
        <f t="shared" si="37"/>
        <v>0</v>
      </c>
      <c r="I59" s="1391">
        <f t="shared" si="38"/>
        <v>21353.200000000001</v>
      </c>
      <c r="J59" s="809">
        <f t="shared" si="39"/>
        <v>-0.04</v>
      </c>
      <c r="K59" s="1392">
        <f t="shared" si="40"/>
        <v>3407.23</v>
      </c>
      <c r="L59" s="1656"/>
      <c r="M59" s="1035"/>
      <c r="N59" s="1035"/>
      <c r="O59" s="1035"/>
      <c r="P59" s="1035"/>
      <c r="Q59" s="1036">
        <f t="shared" si="41"/>
        <v>0</v>
      </c>
      <c r="R59" s="1650"/>
      <c r="S59" s="1040"/>
      <c r="T59" s="1040"/>
      <c r="U59" s="1040"/>
      <c r="V59" s="1651"/>
      <c r="W59" s="1039">
        <f t="shared" si="42"/>
        <v>0</v>
      </c>
      <c r="X59" s="1664">
        <v>646.27</v>
      </c>
      <c r="Y59" s="1665">
        <v>3.85</v>
      </c>
      <c r="Z59" s="1665">
        <v>119.26</v>
      </c>
      <c r="AA59" s="1665">
        <v>-0.01</v>
      </c>
      <c r="AB59" s="1666">
        <v>0</v>
      </c>
      <c r="AC59" s="1037">
        <f t="shared" si="43"/>
        <v>769.37</v>
      </c>
      <c r="AD59" s="1675">
        <v>2905.98</v>
      </c>
      <c r="AE59" s="1115">
        <v>0</v>
      </c>
      <c r="AF59" s="1115">
        <v>726.5</v>
      </c>
      <c r="AG59" s="1115">
        <v>0</v>
      </c>
      <c r="AH59" s="1676">
        <v>0</v>
      </c>
      <c r="AI59" s="1049">
        <f t="shared" si="44"/>
        <v>3632.48</v>
      </c>
      <c r="AJ59" s="1667"/>
      <c r="AK59" s="1038"/>
      <c r="AL59" s="1038"/>
      <c r="AM59" s="1038"/>
      <c r="AN59" s="1038"/>
      <c r="AO59" s="1041">
        <f t="shared" si="45"/>
        <v>0</v>
      </c>
      <c r="AP59" s="1689">
        <v>367.09</v>
      </c>
      <c r="AQ59" s="1042">
        <v>91.77</v>
      </c>
      <c r="AR59" s="1042">
        <v>0</v>
      </c>
      <c r="AS59" s="1042">
        <v>0</v>
      </c>
      <c r="AT59" s="1042">
        <v>0</v>
      </c>
      <c r="AU59" s="1043">
        <f t="shared" si="46"/>
        <v>458.85999999999996</v>
      </c>
      <c r="AV59" s="1650">
        <v>-26.65</v>
      </c>
      <c r="AW59" s="1040">
        <v>-6.66</v>
      </c>
      <c r="AX59" s="1040">
        <v>0</v>
      </c>
      <c r="AY59" s="1040">
        <v>0</v>
      </c>
      <c r="AZ59" s="1651">
        <v>0</v>
      </c>
      <c r="BA59" s="1039">
        <f t="shared" si="47"/>
        <v>-33.31</v>
      </c>
      <c r="BB59" s="1677"/>
      <c r="BC59" s="1045"/>
      <c r="BD59" s="1045"/>
      <c r="BE59" s="1045"/>
      <c r="BF59" s="1045"/>
      <c r="BG59" s="1046">
        <f t="shared" si="48"/>
        <v>0</v>
      </c>
      <c r="BH59" s="1677"/>
      <c r="BI59" s="1045"/>
      <c r="BJ59" s="1045"/>
      <c r="BK59" s="1045"/>
      <c r="BL59" s="1045"/>
      <c r="BM59" s="1046">
        <f t="shared" si="49"/>
        <v>0</v>
      </c>
      <c r="BN59" s="1675"/>
      <c r="BO59" s="1115"/>
      <c r="BP59" s="1115"/>
      <c r="BQ59" s="1115"/>
      <c r="BR59" s="1676"/>
      <c r="BS59" s="1049">
        <f t="shared" si="50"/>
        <v>0</v>
      </c>
      <c r="BT59" s="1675">
        <v>1226.3004830704313</v>
      </c>
      <c r="BU59" s="1115">
        <v>7427.9495169295678</v>
      </c>
      <c r="BV59" s="1115">
        <v>1587.47</v>
      </c>
      <c r="BW59" s="1115">
        <v>-0.03</v>
      </c>
      <c r="BX59" s="1676">
        <v>0</v>
      </c>
      <c r="BY59" s="1049">
        <f t="shared" si="51"/>
        <v>10241.689999999999</v>
      </c>
      <c r="BZ59" s="1677"/>
      <c r="CA59" s="1045"/>
      <c r="CB59" s="1045"/>
      <c r="CC59" s="1045"/>
      <c r="CD59" s="1678"/>
      <c r="CE59" s="1049">
        <f t="shared" si="52"/>
        <v>0</v>
      </c>
      <c r="CF59" s="1677"/>
      <c r="CG59" s="1045"/>
      <c r="CH59" s="1045"/>
      <c r="CI59" s="1045"/>
      <c r="CJ59" s="1045"/>
      <c r="CK59" s="1046">
        <f t="shared" si="53"/>
        <v>0</v>
      </c>
      <c r="CL59" s="1677"/>
      <c r="CM59" s="1045"/>
      <c r="CN59" s="1045"/>
      <c r="CO59" s="1045"/>
      <c r="CP59" s="1678"/>
      <c r="CQ59" s="1049">
        <f t="shared" si="54"/>
        <v>0</v>
      </c>
      <c r="CR59" s="1675"/>
      <c r="CS59" s="1115"/>
      <c r="CT59" s="1115"/>
      <c r="CU59" s="1115"/>
      <c r="CV59" s="1676"/>
      <c r="CW59" s="1046">
        <f t="shared" si="55"/>
        <v>0</v>
      </c>
      <c r="CX59" s="1675"/>
      <c r="CY59" s="1115"/>
      <c r="CZ59" s="1115"/>
      <c r="DA59" s="1115"/>
      <c r="DB59" s="1676"/>
      <c r="DC59" s="1049">
        <f t="shared" si="56"/>
        <v>0</v>
      </c>
      <c r="DD59" s="1675"/>
      <c r="DE59" s="1115"/>
      <c r="DF59" s="1115"/>
      <c r="DG59" s="1115"/>
      <c r="DH59" s="1115"/>
      <c r="DI59" s="1114">
        <f t="shared" si="57"/>
        <v>0</v>
      </c>
      <c r="DJ59" s="1115"/>
      <c r="DK59" s="1115"/>
      <c r="DL59" s="1115"/>
      <c r="DM59" s="1115"/>
      <c r="DN59" s="1115"/>
      <c r="DO59" s="1115">
        <f t="shared" si="58"/>
        <v>0</v>
      </c>
      <c r="DP59" s="1675">
        <v>2342</v>
      </c>
      <c r="DQ59" s="1115">
        <v>1615.98</v>
      </c>
      <c r="DR59" s="1115">
        <v>726.02</v>
      </c>
      <c r="DS59" s="1115">
        <v>0</v>
      </c>
      <c r="DT59" s="1676">
        <v>0</v>
      </c>
      <c r="DU59" s="1050">
        <f t="shared" si="59"/>
        <v>4684</v>
      </c>
      <c r="DV59" s="1675">
        <v>1352.09</v>
      </c>
      <c r="DW59" s="1115">
        <v>0</v>
      </c>
      <c r="DX59" s="1115">
        <v>248.02</v>
      </c>
      <c r="DY59" s="1115">
        <v>0</v>
      </c>
      <c r="DZ59" s="1676">
        <v>0</v>
      </c>
      <c r="EA59" s="1049">
        <f t="shared" si="60"/>
        <v>1600.11</v>
      </c>
    </row>
    <row r="60" spans="1:131" ht="15" customHeight="1" x14ac:dyDescent="0.25">
      <c r="A60" s="716" t="s">
        <v>140</v>
      </c>
      <c r="B60" s="810" t="s">
        <v>141</v>
      </c>
      <c r="C60" s="911" t="s">
        <v>267</v>
      </c>
      <c r="D60" s="808">
        <f t="shared" si="33"/>
        <v>34769.422176178392</v>
      </c>
      <c r="E60" s="808">
        <f t="shared" si="34"/>
        <v>13412.287823821602</v>
      </c>
      <c r="F60" s="808">
        <f t="shared" si="35"/>
        <v>7205.4700000000012</v>
      </c>
      <c r="G60" s="808">
        <f t="shared" si="36"/>
        <v>-0.09</v>
      </c>
      <c r="H60" s="808">
        <f t="shared" si="37"/>
        <v>0</v>
      </c>
      <c r="I60" s="1391">
        <f t="shared" si="38"/>
        <v>55387.09</v>
      </c>
      <c r="J60" s="809">
        <f t="shared" si="39"/>
        <v>-0.09</v>
      </c>
      <c r="K60" s="1392">
        <f t="shared" si="40"/>
        <v>7205.380000000001</v>
      </c>
      <c r="L60" s="1656"/>
      <c r="M60" s="1035"/>
      <c r="N60" s="1035"/>
      <c r="O60" s="1035"/>
      <c r="P60" s="1035"/>
      <c r="Q60" s="1036">
        <f t="shared" si="41"/>
        <v>0</v>
      </c>
      <c r="R60" s="1650"/>
      <c r="S60" s="1040"/>
      <c r="T60" s="1040"/>
      <c r="U60" s="1040"/>
      <c r="V60" s="1651"/>
      <c r="W60" s="1039">
        <f t="shared" si="42"/>
        <v>0</v>
      </c>
      <c r="X60" s="1664">
        <v>1172.6300000000001</v>
      </c>
      <c r="Y60" s="1665">
        <v>6.98</v>
      </c>
      <c r="Z60" s="1665">
        <v>216.38</v>
      </c>
      <c r="AA60" s="1665">
        <v>0</v>
      </c>
      <c r="AB60" s="1666">
        <v>0</v>
      </c>
      <c r="AC60" s="1037">
        <f t="shared" si="43"/>
        <v>1395.9900000000002</v>
      </c>
      <c r="AD60" s="1675">
        <v>6743.25</v>
      </c>
      <c r="AE60" s="1115">
        <v>0</v>
      </c>
      <c r="AF60" s="1115">
        <v>1685.79</v>
      </c>
      <c r="AG60" s="1115">
        <v>0</v>
      </c>
      <c r="AH60" s="1676">
        <v>0</v>
      </c>
      <c r="AI60" s="1049">
        <f t="shared" si="44"/>
        <v>8429.0400000000009</v>
      </c>
      <c r="AJ60" s="1667"/>
      <c r="AK60" s="1038"/>
      <c r="AL60" s="1038"/>
      <c r="AM60" s="1038"/>
      <c r="AN60" s="1038"/>
      <c r="AO60" s="1041">
        <f t="shared" si="45"/>
        <v>0</v>
      </c>
      <c r="AP60" s="1686">
        <v>3866.17</v>
      </c>
      <c r="AQ60" s="1687">
        <v>966.54</v>
      </c>
      <c r="AR60" s="1687">
        <v>0</v>
      </c>
      <c r="AS60" s="1687">
        <v>0</v>
      </c>
      <c r="AT60" s="1688">
        <v>0</v>
      </c>
      <c r="AU60" s="1043">
        <f t="shared" si="46"/>
        <v>4832.71</v>
      </c>
      <c r="AV60" s="1692">
        <v>4155.8599999999997</v>
      </c>
      <c r="AW60" s="1693">
        <v>1038.96</v>
      </c>
      <c r="AX60" s="1693">
        <v>0</v>
      </c>
      <c r="AY60" s="1693">
        <v>0</v>
      </c>
      <c r="AZ60" s="1694">
        <v>0</v>
      </c>
      <c r="BA60" s="1039">
        <f t="shared" si="47"/>
        <v>5194.82</v>
      </c>
      <c r="BB60" s="1675">
        <v>470.45</v>
      </c>
      <c r="BC60" s="1115">
        <v>849.55</v>
      </c>
      <c r="BD60" s="1115">
        <v>0</v>
      </c>
      <c r="BE60" s="1115">
        <v>0</v>
      </c>
      <c r="BF60" s="1676">
        <v>0</v>
      </c>
      <c r="BG60" s="1046">
        <f t="shared" si="48"/>
        <v>1320</v>
      </c>
      <c r="BH60" s="1675">
        <v>12449.27</v>
      </c>
      <c r="BI60" s="1115">
        <v>1576.93</v>
      </c>
      <c r="BJ60" s="1115">
        <v>2572.87</v>
      </c>
      <c r="BK60" s="1115">
        <v>-0.05</v>
      </c>
      <c r="BL60" s="1676">
        <v>0</v>
      </c>
      <c r="BM60" s="1046">
        <f t="shared" si="49"/>
        <v>16599.02</v>
      </c>
      <c r="BN60" s="1675"/>
      <c r="BO60" s="1115"/>
      <c r="BP60" s="1115"/>
      <c r="BQ60" s="1115"/>
      <c r="BR60" s="1676"/>
      <c r="BS60" s="1049">
        <f t="shared" si="50"/>
        <v>0</v>
      </c>
      <c r="BT60" s="1675">
        <v>1650.8021761783971</v>
      </c>
      <c r="BU60" s="1115">
        <v>6844.8578238216032</v>
      </c>
      <c r="BV60" s="1115">
        <v>1558.4</v>
      </c>
      <c r="BW60" s="1115">
        <v>-0.04</v>
      </c>
      <c r="BX60" s="1676">
        <v>0</v>
      </c>
      <c r="BY60" s="1049">
        <f t="shared" si="51"/>
        <v>10054.019999999999</v>
      </c>
      <c r="BZ60" s="1677"/>
      <c r="CA60" s="1045"/>
      <c r="CB60" s="1045"/>
      <c r="CC60" s="1045"/>
      <c r="CD60" s="1678"/>
      <c r="CE60" s="1049">
        <f t="shared" si="52"/>
        <v>0</v>
      </c>
      <c r="CF60" s="1677"/>
      <c r="CG60" s="1045"/>
      <c r="CH60" s="1045"/>
      <c r="CI60" s="1045"/>
      <c r="CJ60" s="1045"/>
      <c r="CK60" s="1046">
        <f t="shared" si="53"/>
        <v>0</v>
      </c>
      <c r="CL60" s="1675"/>
      <c r="CM60" s="1115"/>
      <c r="CN60" s="1115"/>
      <c r="CO60" s="1115"/>
      <c r="CP60" s="1676"/>
      <c r="CQ60" s="1049">
        <f t="shared" si="54"/>
        <v>0</v>
      </c>
      <c r="CR60" s="1677"/>
      <c r="CS60" s="1045"/>
      <c r="CT60" s="1045"/>
      <c r="CU60" s="1045"/>
      <c r="CV60" s="1045"/>
      <c r="CW60" s="1046">
        <f t="shared" si="55"/>
        <v>0</v>
      </c>
      <c r="CX60" s="1675"/>
      <c r="CY60" s="1115"/>
      <c r="CZ60" s="1115"/>
      <c r="DA60" s="1115"/>
      <c r="DB60" s="1676"/>
      <c r="DC60" s="1049">
        <f t="shared" si="56"/>
        <v>0</v>
      </c>
      <c r="DD60" s="1675"/>
      <c r="DE60" s="1115"/>
      <c r="DF60" s="1115"/>
      <c r="DG60" s="1115"/>
      <c r="DH60" s="1115"/>
      <c r="DI60" s="1114">
        <f t="shared" si="57"/>
        <v>0</v>
      </c>
      <c r="DJ60" s="1115"/>
      <c r="DK60" s="1115"/>
      <c r="DL60" s="1115"/>
      <c r="DM60" s="1115"/>
      <c r="DN60" s="1115"/>
      <c r="DO60" s="1115">
        <f t="shared" si="58"/>
        <v>0</v>
      </c>
      <c r="DP60" s="1675">
        <v>3084.75</v>
      </c>
      <c r="DQ60" s="1115">
        <v>2128.4699999999998</v>
      </c>
      <c r="DR60" s="1115">
        <v>956.27</v>
      </c>
      <c r="DS60" s="1115">
        <v>0</v>
      </c>
      <c r="DT60" s="1676">
        <v>0</v>
      </c>
      <c r="DU60" s="1050">
        <f t="shared" si="59"/>
        <v>6169.49</v>
      </c>
      <c r="DV60" s="1675">
        <v>1176.24</v>
      </c>
      <c r="DW60" s="1115">
        <v>0</v>
      </c>
      <c r="DX60" s="1115">
        <v>215.76</v>
      </c>
      <c r="DY60" s="1115">
        <v>0</v>
      </c>
      <c r="DZ60" s="1676">
        <v>0</v>
      </c>
      <c r="EA60" s="1049">
        <f t="shared" si="60"/>
        <v>1392</v>
      </c>
    </row>
    <row r="61" spans="1:131" ht="15" customHeight="1" x14ac:dyDescent="0.25">
      <c r="A61" s="716" t="s">
        <v>146</v>
      </c>
      <c r="B61" s="810" t="s">
        <v>147</v>
      </c>
      <c r="C61" s="911" t="s">
        <v>264</v>
      </c>
      <c r="D61" s="808">
        <f t="shared" si="33"/>
        <v>51187.599325604708</v>
      </c>
      <c r="E61" s="808">
        <f t="shared" si="34"/>
        <v>8670.1306743952937</v>
      </c>
      <c r="F61" s="808">
        <f t="shared" si="35"/>
        <v>13823.899999999998</v>
      </c>
      <c r="G61" s="808">
        <f t="shared" si="36"/>
        <v>2999.95</v>
      </c>
      <c r="H61" s="808">
        <f t="shared" si="37"/>
        <v>0</v>
      </c>
      <c r="I61" s="1391">
        <f t="shared" si="38"/>
        <v>76681.58</v>
      </c>
      <c r="J61" s="809">
        <f t="shared" si="39"/>
        <v>2999.95</v>
      </c>
      <c r="K61" s="1392">
        <f t="shared" si="40"/>
        <v>16823.849999999999</v>
      </c>
      <c r="L61" s="1656"/>
      <c r="M61" s="1035"/>
      <c r="N61" s="1035"/>
      <c r="O61" s="1035"/>
      <c r="P61" s="1035"/>
      <c r="Q61" s="1036">
        <f t="shared" si="41"/>
        <v>0</v>
      </c>
      <c r="R61" s="1650"/>
      <c r="S61" s="1040"/>
      <c r="T61" s="1040"/>
      <c r="U61" s="1040"/>
      <c r="V61" s="1651"/>
      <c r="W61" s="1039">
        <f t="shared" si="42"/>
        <v>0</v>
      </c>
      <c r="X61" s="1664"/>
      <c r="Y61" s="1665"/>
      <c r="Z61" s="1665"/>
      <c r="AA61" s="1665"/>
      <c r="AB61" s="1666"/>
      <c r="AC61" s="1037">
        <f t="shared" si="43"/>
        <v>0</v>
      </c>
      <c r="AD61" s="1675">
        <v>33123.199999999997</v>
      </c>
      <c r="AE61" s="1115">
        <v>0</v>
      </c>
      <c r="AF61" s="1115">
        <v>8280.7999999999993</v>
      </c>
      <c r="AG61" s="1115">
        <v>3000</v>
      </c>
      <c r="AH61" s="1676">
        <v>0</v>
      </c>
      <c r="AI61" s="1049">
        <f t="shared" si="44"/>
        <v>44404</v>
      </c>
      <c r="AJ61" s="1667"/>
      <c r="AK61" s="1038"/>
      <c r="AL61" s="1038"/>
      <c r="AM61" s="1038"/>
      <c r="AN61" s="1038"/>
      <c r="AO61" s="1041">
        <f t="shared" si="45"/>
        <v>0</v>
      </c>
      <c r="AP61" s="1689"/>
      <c r="AQ61" s="1042"/>
      <c r="AR61" s="1042"/>
      <c r="AS61" s="1042"/>
      <c r="AT61" s="1042"/>
      <c r="AU61" s="1043">
        <f t="shared" si="46"/>
        <v>0</v>
      </c>
      <c r="AV61" s="1650"/>
      <c r="AW61" s="1040"/>
      <c r="AX61" s="1040"/>
      <c r="AY61" s="1040"/>
      <c r="AZ61" s="1651"/>
      <c r="BA61" s="1039">
        <f t="shared" si="47"/>
        <v>0</v>
      </c>
      <c r="BB61" s="1677">
        <v>152.30000000000001</v>
      </c>
      <c r="BC61" s="1045">
        <v>275.02999999999997</v>
      </c>
      <c r="BD61" s="1045">
        <v>0</v>
      </c>
      <c r="BE61" s="1045">
        <v>0</v>
      </c>
      <c r="BF61" s="1045">
        <v>0</v>
      </c>
      <c r="BG61" s="1046">
        <f t="shared" si="48"/>
        <v>427.33</v>
      </c>
      <c r="BH61" s="1675">
        <v>11037.63</v>
      </c>
      <c r="BI61" s="1115">
        <v>1398.13</v>
      </c>
      <c r="BJ61" s="1115">
        <v>2281.15</v>
      </c>
      <c r="BK61" s="1115">
        <v>-7.0000000000000007E-2</v>
      </c>
      <c r="BL61" s="1676">
        <v>0</v>
      </c>
      <c r="BM61" s="1046">
        <f t="shared" si="49"/>
        <v>14716.839999999998</v>
      </c>
      <c r="BN61" s="1675"/>
      <c r="BO61" s="1115"/>
      <c r="BP61" s="1115"/>
      <c r="BQ61" s="1115"/>
      <c r="BR61" s="1676"/>
      <c r="BS61" s="1049">
        <f t="shared" si="50"/>
        <v>0</v>
      </c>
      <c r="BT61" s="1675">
        <v>685.23932560470621</v>
      </c>
      <c r="BU61" s="1115">
        <v>4150.7206743952938</v>
      </c>
      <c r="BV61" s="1115">
        <v>887.07</v>
      </c>
      <c r="BW61" s="1115">
        <v>-0.02</v>
      </c>
      <c r="BX61" s="1676">
        <v>0</v>
      </c>
      <c r="BY61" s="1049">
        <f t="shared" si="51"/>
        <v>5723.0099999999993</v>
      </c>
      <c r="BZ61" s="1675">
        <v>550.17999999999995</v>
      </c>
      <c r="CA61" s="1115">
        <v>0</v>
      </c>
      <c r="CB61" s="1115">
        <v>818.42</v>
      </c>
      <c r="CC61" s="1115">
        <v>0</v>
      </c>
      <c r="CD61" s="1676">
        <v>0</v>
      </c>
      <c r="CE61" s="1049">
        <f t="shared" si="52"/>
        <v>1368.6</v>
      </c>
      <c r="CF61" s="1677"/>
      <c r="CG61" s="1045"/>
      <c r="CH61" s="1045"/>
      <c r="CI61" s="1045"/>
      <c r="CJ61" s="1045"/>
      <c r="CK61" s="1046">
        <f t="shared" si="53"/>
        <v>0</v>
      </c>
      <c r="CL61" s="1677"/>
      <c r="CM61" s="1045"/>
      <c r="CN61" s="1045"/>
      <c r="CO61" s="1045"/>
      <c r="CP61" s="1678"/>
      <c r="CQ61" s="1049">
        <f t="shared" si="54"/>
        <v>0</v>
      </c>
      <c r="CR61" s="1675"/>
      <c r="CS61" s="1115"/>
      <c r="CT61" s="1115"/>
      <c r="CU61" s="1115"/>
      <c r="CV61" s="1676"/>
      <c r="CW61" s="1046">
        <f t="shared" si="55"/>
        <v>0</v>
      </c>
      <c r="CX61" s="1675"/>
      <c r="CY61" s="1115"/>
      <c r="CZ61" s="1115"/>
      <c r="DA61" s="1115"/>
      <c r="DB61" s="1676"/>
      <c r="DC61" s="1049">
        <f t="shared" si="56"/>
        <v>0</v>
      </c>
      <c r="DD61" s="1675"/>
      <c r="DE61" s="1115"/>
      <c r="DF61" s="1115"/>
      <c r="DG61" s="1115"/>
      <c r="DH61" s="1115"/>
      <c r="DI61" s="1114">
        <f t="shared" si="57"/>
        <v>0</v>
      </c>
      <c r="DJ61" s="1115"/>
      <c r="DK61" s="1115"/>
      <c r="DL61" s="1115"/>
      <c r="DM61" s="1115"/>
      <c r="DN61" s="1115"/>
      <c r="DO61" s="1115">
        <f t="shared" si="58"/>
        <v>0</v>
      </c>
      <c r="DP61" s="1675">
        <v>4125</v>
      </c>
      <c r="DQ61" s="1115">
        <v>2846.25</v>
      </c>
      <c r="DR61" s="1115">
        <v>1278.75</v>
      </c>
      <c r="DS61" s="1115">
        <v>0</v>
      </c>
      <c r="DT61" s="1676">
        <v>0</v>
      </c>
      <c r="DU61" s="1050">
        <f t="shared" si="59"/>
        <v>8250</v>
      </c>
      <c r="DV61" s="1675">
        <v>1514.05</v>
      </c>
      <c r="DW61" s="1115">
        <v>0</v>
      </c>
      <c r="DX61" s="1115">
        <v>277.70999999999998</v>
      </c>
      <c r="DY61" s="1115">
        <v>0.04</v>
      </c>
      <c r="DZ61" s="1676">
        <v>0</v>
      </c>
      <c r="EA61" s="1049">
        <f t="shared" si="60"/>
        <v>1791.8</v>
      </c>
    </row>
    <row r="62" spans="1:131" ht="15" customHeight="1" x14ac:dyDescent="0.25">
      <c r="A62" s="716" t="s">
        <v>148</v>
      </c>
      <c r="B62" s="810" t="s">
        <v>149</v>
      </c>
      <c r="C62" s="911" t="s">
        <v>265</v>
      </c>
      <c r="D62" s="808">
        <f t="shared" si="33"/>
        <v>31452.836520356159</v>
      </c>
      <c r="E62" s="808">
        <f t="shared" si="34"/>
        <v>28812.85347964384</v>
      </c>
      <c r="F62" s="808">
        <f t="shared" si="35"/>
        <v>11481.95</v>
      </c>
      <c r="G62" s="808">
        <f t="shared" si="36"/>
        <v>-9.0000000000000011E-2</v>
      </c>
      <c r="H62" s="808">
        <f t="shared" si="37"/>
        <v>0</v>
      </c>
      <c r="I62" s="1391">
        <f t="shared" si="38"/>
        <v>71747.55</v>
      </c>
      <c r="J62" s="809">
        <f t="shared" si="39"/>
        <v>-9.0000000000000011E-2</v>
      </c>
      <c r="K62" s="1392">
        <f t="shared" si="40"/>
        <v>11481.86</v>
      </c>
      <c r="L62" s="1656"/>
      <c r="M62" s="1035"/>
      <c r="N62" s="1035"/>
      <c r="O62" s="1035"/>
      <c r="P62" s="1035"/>
      <c r="Q62" s="1036">
        <f t="shared" si="41"/>
        <v>0</v>
      </c>
      <c r="R62" s="1650"/>
      <c r="S62" s="1040"/>
      <c r="T62" s="1040"/>
      <c r="U62" s="1040"/>
      <c r="V62" s="1651"/>
      <c r="W62" s="1039">
        <f t="shared" si="42"/>
        <v>0</v>
      </c>
      <c r="X62" s="1664">
        <v>2518.92</v>
      </c>
      <c r="Y62" s="1665">
        <v>14.99</v>
      </c>
      <c r="Z62" s="1665">
        <v>464.8</v>
      </c>
      <c r="AA62" s="1665">
        <v>0</v>
      </c>
      <c r="AB62" s="1666">
        <v>0</v>
      </c>
      <c r="AC62" s="1037">
        <f t="shared" si="43"/>
        <v>2998.71</v>
      </c>
      <c r="AD62" s="1675"/>
      <c r="AE62" s="1115"/>
      <c r="AF62" s="1115"/>
      <c r="AG62" s="1115"/>
      <c r="AH62" s="1676"/>
      <c r="AI62" s="1049">
        <f t="shared" si="44"/>
        <v>0</v>
      </c>
      <c r="AJ62" s="1667"/>
      <c r="AK62" s="1038"/>
      <c r="AL62" s="1038"/>
      <c r="AM62" s="1038"/>
      <c r="AN62" s="1038"/>
      <c r="AO62" s="1041">
        <f t="shared" si="45"/>
        <v>0</v>
      </c>
      <c r="AP62" s="1689"/>
      <c r="AQ62" s="1042"/>
      <c r="AR62" s="1042"/>
      <c r="AS62" s="1042"/>
      <c r="AT62" s="1042"/>
      <c r="AU62" s="1043">
        <f t="shared" si="46"/>
        <v>0</v>
      </c>
      <c r="AV62" s="1650"/>
      <c r="AW62" s="1040"/>
      <c r="AX62" s="1040"/>
      <c r="AY62" s="1040"/>
      <c r="AZ62" s="1651"/>
      <c r="BA62" s="1039">
        <f t="shared" si="47"/>
        <v>0</v>
      </c>
      <c r="BB62" s="1677"/>
      <c r="BC62" s="1045"/>
      <c r="BD62" s="1045"/>
      <c r="BE62" s="1045"/>
      <c r="BF62" s="1045"/>
      <c r="BG62" s="1046">
        <f t="shared" si="48"/>
        <v>0</v>
      </c>
      <c r="BH62" s="1675">
        <v>15863.67</v>
      </c>
      <c r="BI62" s="1115">
        <v>2009.41</v>
      </c>
      <c r="BJ62" s="1115">
        <v>3278.49</v>
      </c>
      <c r="BK62" s="1115">
        <v>-0.06</v>
      </c>
      <c r="BL62" s="1676">
        <v>0</v>
      </c>
      <c r="BM62" s="1046">
        <f t="shared" si="49"/>
        <v>21151.51</v>
      </c>
      <c r="BN62" s="1675"/>
      <c r="BO62" s="1115"/>
      <c r="BP62" s="1115"/>
      <c r="BQ62" s="1115"/>
      <c r="BR62" s="1676"/>
      <c r="BS62" s="1049">
        <f t="shared" si="50"/>
        <v>0</v>
      </c>
      <c r="BT62" s="1675">
        <v>4315.9965203561587</v>
      </c>
      <c r="BU62" s="1115">
        <v>26069.60347964384</v>
      </c>
      <c r="BV62" s="1115">
        <v>5573.66</v>
      </c>
      <c r="BW62" s="1115">
        <v>-0.04</v>
      </c>
      <c r="BX62" s="1676">
        <v>0</v>
      </c>
      <c r="BY62" s="1049">
        <f t="shared" si="51"/>
        <v>35959.219999999994</v>
      </c>
      <c r="BZ62" s="1675">
        <v>320.64</v>
      </c>
      <c r="CA62" s="1115">
        <v>0</v>
      </c>
      <c r="CB62" s="1115">
        <v>476.97</v>
      </c>
      <c r="CC62" s="1115">
        <v>0</v>
      </c>
      <c r="CD62" s="1676">
        <v>0</v>
      </c>
      <c r="CE62" s="1049">
        <f t="shared" si="52"/>
        <v>797.61</v>
      </c>
      <c r="CF62" s="1677"/>
      <c r="CG62" s="1045"/>
      <c r="CH62" s="1045"/>
      <c r="CI62" s="1045"/>
      <c r="CJ62" s="1045"/>
      <c r="CK62" s="1046">
        <f t="shared" si="53"/>
        <v>0</v>
      </c>
      <c r="CL62" s="1677"/>
      <c r="CM62" s="1045"/>
      <c r="CN62" s="1045"/>
      <c r="CO62" s="1045"/>
      <c r="CP62" s="1678"/>
      <c r="CQ62" s="1049">
        <f t="shared" si="54"/>
        <v>0</v>
      </c>
      <c r="CR62" s="1677"/>
      <c r="CS62" s="1045"/>
      <c r="CT62" s="1045"/>
      <c r="CU62" s="1045"/>
      <c r="CV62" s="1045"/>
      <c r="CW62" s="1046">
        <f t="shared" si="55"/>
        <v>0</v>
      </c>
      <c r="CX62" s="1675">
        <v>-25</v>
      </c>
      <c r="CY62" s="1115">
        <v>-25</v>
      </c>
      <c r="CZ62" s="1115">
        <v>0</v>
      </c>
      <c r="DA62" s="1115">
        <v>0</v>
      </c>
      <c r="DB62" s="1676">
        <v>0</v>
      </c>
      <c r="DC62" s="1049">
        <f t="shared" si="56"/>
        <v>-50</v>
      </c>
      <c r="DD62" s="1675"/>
      <c r="DE62" s="1115"/>
      <c r="DF62" s="1115"/>
      <c r="DG62" s="1115"/>
      <c r="DH62" s="1115"/>
      <c r="DI62" s="1114">
        <f t="shared" si="57"/>
        <v>0</v>
      </c>
      <c r="DJ62" s="1115"/>
      <c r="DK62" s="1115"/>
      <c r="DL62" s="1115"/>
      <c r="DM62" s="1115"/>
      <c r="DN62" s="1115"/>
      <c r="DO62" s="1115">
        <f t="shared" si="58"/>
        <v>0</v>
      </c>
      <c r="DP62" s="1675">
        <v>1078.06</v>
      </c>
      <c r="DQ62" s="1115">
        <v>743.85</v>
      </c>
      <c r="DR62" s="1115">
        <v>334.2</v>
      </c>
      <c r="DS62" s="1115">
        <v>0</v>
      </c>
      <c r="DT62" s="1676">
        <v>0</v>
      </c>
      <c r="DU62" s="1050">
        <f t="shared" si="59"/>
        <v>2156.1099999999997</v>
      </c>
      <c r="DV62" s="1675">
        <v>7380.55</v>
      </c>
      <c r="DW62" s="1115">
        <v>0</v>
      </c>
      <c r="DX62" s="1115">
        <v>1353.83</v>
      </c>
      <c r="DY62" s="1115">
        <v>0.01</v>
      </c>
      <c r="DZ62" s="1676">
        <v>0</v>
      </c>
      <c r="EA62" s="1049">
        <f t="shared" si="60"/>
        <v>8734.3900000000012</v>
      </c>
    </row>
    <row r="63" spans="1:131" ht="15" customHeight="1" x14ac:dyDescent="0.25">
      <c r="A63" s="716" t="s">
        <v>150</v>
      </c>
      <c r="B63" s="810" t="s">
        <v>151</v>
      </c>
      <c r="C63" s="911" t="s">
        <v>266</v>
      </c>
      <c r="D63" s="808">
        <f t="shared" si="33"/>
        <v>49441.451715467869</v>
      </c>
      <c r="E63" s="808">
        <f t="shared" si="34"/>
        <v>40967.728284532124</v>
      </c>
      <c r="F63" s="808">
        <f t="shared" si="35"/>
        <v>18380.850000000002</v>
      </c>
      <c r="G63" s="808">
        <f t="shared" si="36"/>
        <v>-9.0000000000000011E-2</v>
      </c>
      <c r="H63" s="808">
        <f t="shared" si="37"/>
        <v>0</v>
      </c>
      <c r="I63" s="1391">
        <f t="shared" si="38"/>
        <v>108789.94</v>
      </c>
      <c r="J63" s="809">
        <f t="shared" si="39"/>
        <v>-9.0000000000000011E-2</v>
      </c>
      <c r="K63" s="1392">
        <f t="shared" si="40"/>
        <v>18380.760000000002</v>
      </c>
      <c r="L63" s="1656"/>
      <c r="M63" s="1035"/>
      <c r="N63" s="1035"/>
      <c r="O63" s="1035"/>
      <c r="P63" s="1035"/>
      <c r="Q63" s="1036">
        <f t="shared" si="41"/>
        <v>0</v>
      </c>
      <c r="R63" s="1650"/>
      <c r="S63" s="1040"/>
      <c r="T63" s="1040"/>
      <c r="U63" s="1040"/>
      <c r="V63" s="1651"/>
      <c r="W63" s="1039">
        <f t="shared" si="42"/>
        <v>0</v>
      </c>
      <c r="X63" s="1664">
        <v>798</v>
      </c>
      <c r="Y63" s="1665">
        <v>4.76</v>
      </c>
      <c r="Z63" s="1665">
        <v>147.26</v>
      </c>
      <c r="AA63" s="1665">
        <v>-0.02</v>
      </c>
      <c r="AB63" s="1666">
        <v>0</v>
      </c>
      <c r="AC63" s="1037">
        <f t="shared" si="43"/>
        <v>950</v>
      </c>
      <c r="AD63" s="1675">
        <v>21599.599999999999</v>
      </c>
      <c r="AE63" s="1115">
        <v>0</v>
      </c>
      <c r="AF63" s="1115">
        <v>5399.9</v>
      </c>
      <c r="AG63" s="1115">
        <v>0</v>
      </c>
      <c r="AH63" s="1676">
        <v>0</v>
      </c>
      <c r="AI63" s="1049">
        <f t="shared" si="44"/>
        <v>26999.5</v>
      </c>
      <c r="AJ63" s="1667"/>
      <c r="AK63" s="1038"/>
      <c r="AL63" s="1038"/>
      <c r="AM63" s="1038"/>
      <c r="AN63" s="1038"/>
      <c r="AO63" s="1041">
        <f t="shared" si="45"/>
        <v>0</v>
      </c>
      <c r="AP63" s="1686"/>
      <c r="AQ63" s="1687"/>
      <c r="AR63" s="1687"/>
      <c r="AS63" s="1687"/>
      <c r="AT63" s="1688"/>
      <c r="AU63" s="1043">
        <f t="shared" si="46"/>
        <v>0</v>
      </c>
      <c r="AV63" s="1692"/>
      <c r="AW63" s="1693"/>
      <c r="AX63" s="1693"/>
      <c r="AY63" s="1693"/>
      <c r="AZ63" s="1694"/>
      <c r="BA63" s="1039">
        <f t="shared" si="47"/>
        <v>0</v>
      </c>
      <c r="BB63" s="1677">
        <v>78.41</v>
      </c>
      <c r="BC63" s="1045">
        <v>141.59</v>
      </c>
      <c r="BD63" s="1045">
        <v>0</v>
      </c>
      <c r="BE63" s="1045">
        <v>0</v>
      </c>
      <c r="BF63" s="1045">
        <v>0</v>
      </c>
      <c r="BG63" s="1046">
        <f t="shared" si="48"/>
        <v>220</v>
      </c>
      <c r="BH63" s="1675">
        <v>13484.8</v>
      </c>
      <c r="BI63" s="1115">
        <v>1708.08</v>
      </c>
      <c r="BJ63" s="1115">
        <v>2786.87</v>
      </c>
      <c r="BK63" s="1115">
        <v>-0.05</v>
      </c>
      <c r="BL63" s="1676">
        <v>0</v>
      </c>
      <c r="BM63" s="1046">
        <f t="shared" si="49"/>
        <v>17979.7</v>
      </c>
      <c r="BN63" s="1675"/>
      <c r="BO63" s="1115"/>
      <c r="BP63" s="1115"/>
      <c r="BQ63" s="1115"/>
      <c r="BR63" s="1676"/>
      <c r="BS63" s="1049">
        <f t="shared" si="50"/>
        <v>0</v>
      </c>
      <c r="BT63" s="1675">
        <v>6193.2917154678762</v>
      </c>
      <c r="BU63" s="1115">
        <v>34559.298284532124</v>
      </c>
      <c r="BV63" s="1115">
        <v>7475.32</v>
      </c>
      <c r="BW63" s="1115">
        <v>-7.0000000000000007E-2</v>
      </c>
      <c r="BX63" s="1676">
        <v>0</v>
      </c>
      <c r="BY63" s="1049">
        <f t="shared" si="51"/>
        <v>48227.839999999997</v>
      </c>
      <c r="BZ63" s="1675">
        <v>306.27999999999997</v>
      </c>
      <c r="CA63" s="1115">
        <v>0</v>
      </c>
      <c r="CB63" s="1115">
        <v>455.62</v>
      </c>
      <c r="CC63" s="1115">
        <v>0</v>
      </c>
      <c r="CD63" s="1676">
        <v>0</v>
      </c>
      <c r="CE63" s="1049">
        <f t="shared" si="52"/>
        <v>761.9</v>
      </c>
      <c r="CF63" s="1677"/>
      <c r="CG63" s="1045"/>
      <c r="CH63" s="1045"/>
      <c r="CI63" s="1045"/>
      <c r="CJ63" s="1045"/>
      <c r="CK63" s="1046">
        <f t="shared" si="53"/>
        <v>0</v>
      </c>
      <c r="CL63" s="1675"/>
      <c r="CM63" s="1115"/>
      <c r="CN63" s="1115"/>
      <c r="CO63" s="1115"/>
      <c r="CP63" s="1676"/>
      <c r="CQ63" s="1049">
        <f t="shared" si="54"/>
        <v>0</v>
      </c>
      <c r="CR63" s="1677"/>
      <c r="CS63" s="1045"/>
      <c r="CT63" s="1045"/>
      <c r="CU63" s="1045"/>
      <c r="CV63" s="1045"/>
      <c r="CW63" s="1046">
        <f t="shared" si="55"/>
        <v>0</v>
      </c>
      <c r="CX63" s="1675"/>
      <c r="CY63" s="1115"/>
      <c r="CZ63" s="1115"/>
      <c r="DA63" s="1115"/>
      <c r="DB63" s="1676"/>
      <c r="DC63" s="1049">
        <f t="shared" si="56"/>
        <v>0</v>
      </c>
      <c r="DD63" s="1675"/>
      <c r="DE63" s="1115"/>
      <c r="DF63" s="1115"/>
      <c r="DG63" s="1115"/>
      <c r="DH63" s="1115"/>
      <c r="DI63" s="1114">
        <f t="shared" si="57"/>
        <v>0</v>
      </c>
      <c r="DJ63" s="1115"/>
      <c r="DK63" s="1115"/>
      <c r="DL63" s="1115"/>
      <c r="DM63" s="1115"/>
      <c r="DN63" s="1115"/>
      <c r="DO63" s="1115">
        <f t="shared" si="58"/>
        <v>0</v>
      </c>
      <c r="DP63" s="1675">
        <v>6600</v>
      </c>
      <c r="DQ63" s="1115">
        <v>4554</v>
      </c>
      <c r="DR63" s="1115">
        <v>2046</v>
      </c>
      <c r="DS63" s="1115">
        <v>0</v>
      </c>
      <c r="DT63" s="1676">
        <v>0</v>
      </c>
      <c r="DU63" s="1050">
        <f t="shared" si="59"/>
        <v>13200</v>
      </c>
      <c r="DV63" s="1675">
        <v>381.07</v>
      </c>
      <c r="DW63" s="1115">
        <v>0</v>
      </c>
      <c r="DX63" s="1115">
        <v>69.88</v>
      </c>
      <c r="DY63" s="1115">
        <v>0.05</v>
      </c>
      <c r="DZ63" s="1676">
        <v>0</v>
      </c>
      <c r="EA63" s="1049">
        <f t="shared" si="60"/>
        <v>451</v>
      </c>
    </row>
    <row r="64" spans="1:131" ht="15" customHeight="1" x14ac:dyDescent="0.25">
      <c r="A64" s="716" t="s">
        <v>152</v>
      </c>
      <c r="B64" s="810" t="s">
        <v>153</v>
      </c>
      <c r="C64" s="911" t="s">
        <v>268</v>
      </c>
      <c r="D64" s="808">
        <f t="shared" si="33"/>
        <v>76842.746830734599</v>
      </c>
      <c r="E64" s="808">
        <f t="shared" si="34"/>
        <v>43149.523169265412</v>
      </c>
      <c r="F64" s="808">
        <f t="shared" si="35"/>
        <v>23337.71</v>
      </c>
      <c r="G64" s="808">
        <f t="shared" si="36"/>
        <v>-0.09</v>
      </c>
      <c r="H64" s="808">
        <f t="shared" si="37"/>
        <v>0</v>
      </c>
      <c r="I64" s="1391">
        <f t="shared" si="38"/>
        <v>143329.89000000001</v>
      </c>
      <c r="J64" s="809">
        <f t="shared" si="39"/>
        <v>-0.09</v>
      </c>
      <c r="K64" s="1392">
        <f t="shared" si="40"/>
        <v>23337.62</v>
      </c>
      <c r="L64" s="1657"/>
      <c r="M64" s="1658">
        <v>548</v>
      </c>
      <c r="N64" s="1660"/>
      <c r="O64" s="1658"/>
      <c r="P64" s="1659"/>
      <c r="Q64" s="1036">
        <f t="shared" si="41"/>
        <v>548</v>
      </c>
      <c r="R64" s="1652"/>
      <c r="S64" s="1113"/>
      <c r="T64" s="1113"/>
      <c r="U64" s="1113"/>
      <c r="V64" s="1653"/>
      <c r="W64" s="1039">
        <f t="shared" si="42"/>
        <v>0</v>
      </c>
      <c r="X64" s="1664">
        <v>1193.98</v>
      </c>
      <c r="Y64" s="1665">
        <v>7.11</v>
      </c>
      <c r="Z64" s="1665">
        <v>220.32</v>
      </c>
      <c r="AA64" s="1665">
        <v>-0.01</v>
      </c>
      <c r="AB64" s="1666">
        <v>0</v>
      </c>
      <c r="AC64" s="1037">
        <f t="shared" si="43"/>
        <v>1421.3999999999999</v>
      </c>
      <c r="AD64" s="1675">
        <v>32518.55</v>
      </c>
      <c r="AE64" s="1115">
        <v>0</v>
      </c>
      <c r="AF64" s="1115">
        <v>8129.65</v>
      </c>
      <c r="AG64" s="1115">
        <v>0</v>
      </c>
      <c r="AH64" s="1676">
        <v>0</v>
      </c>
      <c r="AI64" s="1049">
        <f t="shared" si="44"/>
        <v>40648.199999999997</v>
      </c>
      <c r="AJ64" s="1667"/>
      <c r="AK64" s="1038"/>
      <c r="AL64" s="1038"/>
      <c r="AM64" s="1038"/>
      <c r="AN64" s="1038"/>
      <c r="AO64" s="1041">
        <f t="shared" si="45"/>
        <v>0</v>
      </c>
      <c r="AP64" s="1686">
        <v>612.67999999999995</v>
      </c>
      <c r="AQ64" s="1687">
        <v>153.16999999999999</v>
      </c>
      <c r="AR64" s="1687">
        <v>0</v>
      </c>
      <c r="AS64" s="1687">
        <v>0</v>
      </c>
      <c r="AT64" s="1688">
        <v>0</v>
      </c>
      <c r="AU64" s="1043">
        <f t="shared" si="46"/>
        <v>765.84999999999991</v>
      </c>
      <c r="AV64" s="1692">
        <v>2487.4</v>
      </c>
      <c r="AW64" s="1693">
        <v>621.86</v>
      </c>
      <c r="AX64" s="1693">
        <v>0</v>
      </c>
      <c r="AY64" s="1693">
        <v>0</v>
      </c>
      <c r="AZ64" s="1694">
        <v>0</v>
      </c>
      <c r="BA64" s="1039">
        <f t="shared" si="47"/>
        <v>3109.26</v>
      </c>
      <c r="BB64" s="1675">
        <v>50.62</v>
      </c>
      <c r="BC64" s="1115">
        <v>91.41</v>
      </c>
      <c r="BD64" s="1115">
        <v>0</v>
      </c>
      <c r="BE64" s="1115">
        <v>0</v>
      </c>
      <c r="BF64" s="1676">
        <v>0</v>
      </c>
      <c r="BG64" s="1046">
        <f t="shared" si="48"/>
        <v>142.03</v>
      </c>
      <c r="BH64" s="1675">
        <v>20212.87</v>
      </c>
      <c r="BI64" s="1115">
        <v>2560.31</v>
      </c>
      <c r="BJ64" s="1115">
        <v>4177.34</v>
      </c>
      <c r="BK64" s="1115">
        <v>-0.05</v>
      </c>
      <c r="BL64" s="1676">
        <v>0</v>
      </c>
      <c r="BM64" s="1046">
        <f t="shared" si="49"/>
        <v>26950.47</v>
      </c>
      <c r="BN64" s="1675"/>
      <c r="BO64" s="1115"/>
      <c r="BP64" s="1115"/>
      <c r="BQ64" s="1115"/>
      <c r="BR64" s="1676"/>
      <c r="BS64" s="1049">
        <f t="shared" si="50"/>
        <v>0</v>
      </c>
      <c r="BT64" s="1675">
        <v>5487.3168307345877</v>
      </c>
      <c r="BU64" s="1115">
        <v>33237.803169265411</v>
      </c>
      <c r="BV64" s="1115">
        <v>7103.41</v>
      </c>
      <c r="BW64" s="1115">
        <v>-0.06</v>
      </c>
      <c r="BX64" s="1676">
        <v>0</v>
      </c>
      <c r="BY64" s="1049">
        <f t="shared" si="51"/>
        <v>45828.47</v>
      </c>
      <c r="BZ64" s="1677"/>
      <c r="CA64" s="1045"/>
      <c r="CB64" s="1045"/>
      <c r="CC64" s="1045"/>
      <c r="CD64" s="1678"/>
      <c r="CE64" s="1049">
        <f t="shared" si="52"/>
        <v>0</v>
      </c>
      <c r="CF64" s="1677"/>
      <c r="CG64" s="1045"/>
      <c r="CH64" s="1045"/>
      <c r="CI64" s="1045"/>
      <c r="CJ64" s="1045"/>
      <c r="CK64" s="1046">
        <f t="shared" si="53"/>
        <v>0</v>
      </c>
      <c r="CL64" s="1675"/>
      <c r="CM64" s="1115"/>
      <c r="CN64" s="1115"/>
      <c r="CO64" s="1115"/>
      <c r="CP64" s="1676"/>
      <c r="CQ64" s="1049">
        <f t="shared" si="54"/>
        <v>0</v>
      </c>
      <c r="CR64" s="1677"/>
      <c r="CS64" s="1045"/>
      <c r="CT64" s="1045"/>
      <c r="CU64" s="1045"/>
      <c r="CV64" s="1045"/>
      <c r="CW64" s="1046">
        <f t="shared" si="55"/>
        <v>0</v>
      </c>
      <c r="CX64" s="1675"/>
      <c r="CY64" s="1115"/>
      <c r="CZ64" s="1115"/>
      <c r="DA64" s="1115"/>
      <c r="DB64" s="1676"/>
      <c r="DC64" s="1049">
        <f t="shared" si="56"/>
        <v>0</v>
      </c>
      <c r="DD64" s="1675"/>
      <c r="DE64" s="1115"/>
      <c r="DF64" s="1115"/>
      <c r="DG64" s="1115"/>
      <c r="DH64" s="1115"/>
      <c r="DI64" s="1114">
        <f t="shared" si="57"/>
        <v>0</v>
      </c>
      <c r="DJ64" s="1115"/>
      <c r="DK64" s="1115"/>
      <c r="DL64" s="1115"/>
      <c r="DM64" s="1115"/>
      <c r="DN64" s="1115"/>
      <c r="DO64" s="1115">
        <f t="shared" si="58"/>
        <v>0</v>
      </c>
      <c r="DP64" s="1675">
        <v>8594</v>
      </c>
      <c r="DQ64" s="1115">
        <v>5929.86</v>
      </c>
      <c r="DR64" s="1115">
        <v>2664.14</v>
      </c>
      <c r="DS64" s="1115">
        <v>0</v>
      </c>
      <c r="DT64" s="1676">
        <v>0</v>
      </c>
      <c r="DU64" s="1050">
        <f t="shared" si="59"/>
        <v>17188</v>
      </c>
      <c r="DV64" s="1675">
        <v>5685.33</v>
      </c>
      <c r="DW64" s="1115">
        <v>0</v>
      </c>
      <c r="DX64" s="1115">
        <v>1042.8499999999999</v>
      </c>
      <c r="DY64" s="1115">
        <v>0.03</v>
      </c>
      <c r="DZ64" s="1676">
        <v>0</v>
      </c>
      <c r="EA64" s="1049">
        <f t="shared" si="60"/>
        <v>6728.21</v>
      </c>
    </row>
    <row r="65" spans="1:131" ht="15" customHeight="1" x14ac:dyDescent="0.25">
      <c r="A65" s="716" t="s">
        <v>154</v>
      </c>
      <c r="B65" s="810" t="s">
        <v>155</v>
      </c>
      <c r="C65" s="911" t="s">
        <v>265</v>
      </c>
      <c r="D65" s="808">
        <f t="shared" si="33"/>
        <v>10320.051482630361</v>
      </c>
      <c r="E65" s="808">
        <f t="shared" si="34"/>
        <v>7238.888517369639</v>
      </c>
      <c r="F65" s="808">
        <f t="shared" si="35"/>
        <v>3653.17</v>
      </c>
      <c r="G65" s="808">
        <f t="shared" si="36"/>
        <v>-0.04</v>
      </c>
      <c r="H65" s="808">
        <f t="shared" si="37"/>
        <v>0</v>
      </c>
      <c r="I65" s="1391">
        <f t="shared" si="38"/>
        <v>21212.07</v>
      </c>
      <c r="J65" s="809">
        <f t="shared" si="39"/>
        <v>-0.04</v>
      </c>
      <c r="K65" s="1392">
        <f t="shared" si="40"/>
        <v>3653.13</v>
      </c>
      <c r="L65" s="1656"/>
      <c r="M65" s="1035"/>
      <c r="N65" s="1035"/>
      <c r="O65" s="1035"/>
      <c r="P65" s="1035"/>
      <c r="Q65" s="1036">
        <f t="shared" si="41"/>
        <v>0</v>
      </c>
      <c r="R65" s="1652"/>
      <c r="S65" s="1113"/>
      <c r="T65" s="1113"/>
      <c r="U65" s="1113"/>
      <c r="V65" s="1653"/>
      <c r="W65" s="1039">
        <f t="shared" si="42"/>
        <v>0</v>
      </c>
      <c r="X65" s="1664">
        <v>254.1</v>
      </c>
      <c r="Y65" s="1665">
        <v>1.51</v>
      </c>
      <c r="Z65" s="1665">
        <v>46.89</v>
      </c>
      <c r="AA65" s="1665">
        <v>0</v>
      </c>
      <c r="AB65" s="1666">
        <v>0</v>
      </c>
      <c r="AC65" s="1037">
        <f t="shared" si="43"/>
        <v>302.5</v>
      </c>
      <c r="AD65" s="1675">
        <v>6493.91</v>
      </c>
      <c r="AE65" s="1115">
        <v>0</v>
      </c>
      <c r="AF65" s="1115">
        <v>1623.49</v>
      </c>
      <c r="AG65" s="1115">
        <v>0</v>
      </c>
      <c r="AH65" s="1676">
        <v>0</v>
      </c>
      <c r="AI65" s="1049">
        <f t="shared" si="44"/>
        <v>8117.4</v>
      </c>
      <c r="AJ65" s="1667"/>
      <c r="AK65" s="1038"/>
      <c r="AL65" s="1038"/>
      <c r="AM65" s="1038"/>
      <c r="AN65" s="1038"/>
      <c r="AO65" s="1041">
        <f t="shared" si="45"/>
        <v>0</v>
      </c>
      <c r="AP65" s="1689"/>
      <c r="AQ65" s="1042"/>
      <c r="AR65" s="1042"/>
      <c r="AS65" s="1042"/>
      <c r="AT65" s="1042"/>
      <c r="AU65" s="1043">
        <f t="shared" si="46"/>
        <v>0</v>
      </c>
      <c r="AV65" s="1650"/>
      <c r="AW65" s="1040"/>
      <c r="AX65" s="1040"/>
      <c r="AY65" s="1040"/>
      <c r="AZ65" s="1651"/>
      <c r="BA65" s="1039">
        <f t="shared" si="47"/>
        <v>0</v>
      </c>
      <c r="BB65" s="1677"/>
      <c r="BC65" s="1045"/>
      <c r="BD65" s="1045"/>
      <c r="BE65" s="1045"/>
      <c r="BF65" s="1045"/>
      <c r="BG65" s="1046">
        <f t="shared" si="48"/>
        <v>0</v>
      </c>
      <c r="BH65" s="1677"/>
      <c r="BI65" s="1045"/>
      <c r="BJ65" s="1045"/>
      <c r="BK65" s="1045"/>
      <c r="BL65" s="1045"/>
      <c r="BM65" s="1046">
        <f t="shared" si="49"/>
        <v>0</v>
      </c>
      <c r="BN65" s="1675"/>
      <c r="BO65" s="1115"/>
      <c r="BP65" s="1115"/>
      <c r="BQ65" s="1115"/>
      <c r="BR65" s="1676"/>
      <c r="BS65" s="1049">
        <f t="shared" si="50"/>
        <v>0</v>
      </c>
      <c r="BT65" s="1675">
        <v>983.21148263036093</v>
      </c>
      <c r="BU65" s="1115">
        <v>5451.0885173696388</v>
      </c>
      <c r="BV65" s="1115">
        <v>1180.25</v>
      </c>
      <c r="BW65" s="1115">
        <v>-0.03</v>
      </c>
      <c r="BX65" s="1676">
        <v>0</v>
      </c>
      <c r="BY65" s="1049">
        <f t="shared" si="51"/>
        <v>7614.5199999999995</v>
      </c>
      <c r="BZ65" s="1677"/>
      <c r="CA65" s="1045"/>
      <c r="CB65" s="1045"/>
      <c r="CC65" s="1045"/>
      <c r="CD65" s="1678"/>
      <c r="CE65" s="1049">
        <f t="shared" si="52"/>
        <v>0</v>
      </c>
      <c r="CF65" s="1677"/>
      <c r="CG65" s="1045"/>
      <c r="CH65" s="1045"/>
      <c r="CI65" s="1045"/>
      <c r="CJ65" s="1045"/>
      <c r="CK65" s="1046">
        <f t="shared" si="53"/>
        <v>0</v>
      </c>
      <c r="CL65" s="1675"/>
      <c r="CM65" s="1115"/>
      <c r="CN65" s="1115"/>
      <c r="CO65" s="1115"/>
      <c r="CP65" s="1676"/>
      <c r="CQ65" s="1049">
        <f t="shared" si="54"/>
        <v>0</v>
      </c>
      <c r="CR65" s="1677"/>
      <c r="CS65" s="1045"/>
      <c r="CT65" s="1045"/>
      <c r="CU65" s="1045"/>
      <c r="CV65" s="1045"/>
      <c r="CW65" s="1046">
        <f t="shared" si="55"/>
        <v>0</v>
      </c>
      <c r="CX65" s="1675"/>
      <c r="CY65" s="1115"/>
      <c r="CZ65" s="1115"/>
      <c r="DA65" s="1115"/>
      <c r="DB65" s="1676"/>
      <c r="DC65" s="1049">
        <f t="shared" si="56"/>
        <v>0</v>
      </c>
      <c r="DD65" s="1675"/>
      <c r="DE65" s="1115"/>
      <c r="DF65" s="1115"/>
      <c r="DG65" s="1115"/>
      <c r="DH65" s="1115"/>
      <c r="DI65" s="1114">
        <f t="shared" si="57"/>
        <v>0</v>
      </c>
      <c r="DJ65" s="1115"/>
      <c r="DK65" s="1115"/>
      <c r="DL65" s="1115"/>
      <c r="DM65" s="1115"/>
      <c r="DN65" s="1115"/>
      <c r="DO65" s="1115">
        <f t="shared" si="58"/>
        <v>0</v>
      </c>
      <c r="DP65" s="1675">
        <v>2588.83</v>
      </c>
      <c r="DQ65" s="1115">
        <v>1786.29</v>
      </c>
      <c r="DR65" s="1115">
        <v>802.54</v>
      </c>
      <c r="DS65" s="1115">
        <v>-0.01</v>
      </c>
      <c r="DT65" s="1676">
        <v>0</v>
      </c>
      <c r="DU65" s="1050">
        <f t="shared" si="59"/>
        <v>5177.6499999999996</v>
      </c>
      <c r="DV65" s="1677"/>
      <c r="DW65" s="1045"/>
      <c r="DX65" s="1045"/>
      <c r="DY65" s="1045"/>
      <c r="DZ65" s="1678"/>
      <c r="EA65" s="1049">
        <f t="shared" si="60"/>
        <v>0</v>
      </c>
    </row>
    <row r="66" spans="1:131" ht="15" customHeight="1" x14ac:dyDescent="0.25">
      <c r="A66" s="716" t="s">
        <v>156</v>
      </c>
      <c r="B66" s="810" t="s">
        <v>157</v>
      </c>
      <c r="C66" s="911" t="s">
        <v>266</v>
      </c>
      <c r="D66" s="808">
        <f t="shared" si="33"/>
        <v>11332.493215632756</v>
      </c>
      <c r="E66" s="808">
        <f t="shared" si="34"/>
        <v>16809.996784367242</v>
      </c>
      <c r="F66" s="808">
        <f t="shared" si="35"/>
        <v>5324.87</v>
      </c>
      <c r="G66" s="808">
        <f t="shared" si="36"/>
        <v>1.0000000000000002E-2</v>
      </c>
      <c r="H66" s="808">
        <f t="shared" si="37"/>
        <v>0</v>
      </c>
      <c r="I66" s="1391">
        <f t="shared" si="38"/>
        <v>33467.370000000003</v>
      </c>
      <c r="J66" s="809">
        <f t="shared" si="39"/>
        <v>1.0000000000000002E-2</v>
      </c>
      <c r="K66" s="1392">
        <f t="shared" si="40"/>
        <v>5324.88</v>
      </c>
      <c r="L66" s="1656"/>
      <c r="M66" s="1035"/>
      <c r="N66" s="1035"/>
      <c r="O66" s="1035"/>
      <c r="P66" s="1035"/>
      <c r="Q66" s="1036">
        <f t="shared" si="41"/>
        <v>0</v>
      </c>
      <c r="R66" s="1650"/>
      <c r="S66" s="1040"/>
      <c r="T66" s="1040"/>
      <c r="U66" s="1040"/>
      <c r="V66" s="1651"/>
      <c r="W66" s="1039">
        <f t="shared" si="42"/>
        <v>0</v>
      </c>
      <c r="X66" s="1664">
        <v>1150.8</v>
      </c>
      <c r="Y66" s="1665">
        <v>6.85</v>
      </c>
      <c r="Z66" s="1665">
        <v>212.35</v>
      </c>
      <c r="AA66" s="1665">
        <v>0</v>
      </c>
      <c r="AB66" s="1666">
        <v>0</v>
      </c>
      <c r="AC66" s="1037">
        <f t="shared" si="43"/>
        <v>1369.9999999999998</v>
      </c>
      <c r="AD66" s="1677">
        <v>2856.77</v>
      </c>
      <c r="AE66" s="1045">
        <v>0</v>
      </c>
      <c r="AF66" s="1045">
        <v>714.19</v>
      </c>
      <c r="AG66" s="1045">
        <v>0</v>
      </c>
      <c r="AH66" s="1678">
        <v>0</v>
      </c>
      <c r="AI66" s="1049">
        <f t="shared" si="44"/>
        <v>3570.96</v>
      </c>
      <c r="AJ66" s="1667"/>
      <c r="AK66" s="1038"/>
      <c r="AL66" s="1038"/>
      <c r="AM66" s="1038"/>
      <c r="AN66" s="1038"/>
      <c r="AO66" s="1041">
        <f t="shared" si="45"/>
        <v>0</v>
      </c>
      <c r="AP66" s="1689"/>
      <c r="AQ66" s="1042"/>
      <c r="AR66" s="1042"/>
      <c r="AS66" s="1042"/>
      <c r="AT66" s="1042"/>
      <c r="AU66" s="1043">
        <f t="shared" si="46"/>
        <v>0</v>
      </c>
      <c r="AV66" s="1650">
        <v>120</v>
      </c>
      <c r="AW66" s="1040">
        <v>30</v>
      </c>
      <c r="AX66" s="1040">
        <v>0</v>
      </c>
      <c r="AY66" s="1040">
        <v>0</v>
      </c>
      <c r="AZ66" s="1651">
        <v>0</v>
      </c>
      <c r="BA66" s="1039">
        <f t="shared" si="47"/>
        <v>150</v>
      </c>
      <c r="BB66" s="1677"/>
      <c r="BC66" s="1045"/>
      <c r="BD66" s="1045"/>
      <c r="BE66" s="1045"/>
      <c r="BF66" s="1045"/>
      <c r="BG66" s="1046">
        <f t="shared" si="48"/>
        <v>0</v>
      </c>
      <c r="BH66" s="1677"/>
      <c r="BI66" s="1045"/>
      <c r="BJ66" s="1045"/>
      <c r="BK66" s="1045"/>
      <c r="BL66" s="1045"/>
      <c r="BM66" s="1046">
        <f t="shared" si="49"/>
        <v>0</v>
      </c>
      <c r="BN66" s="1675"/>
      <c r="BO66" s="1115"/>
      <c r="BP66" s="1115"/>
      <c r="BQ66" s="1115"/>
      <c r="BR66" s="1676"/>
      <c r="BS66" s="1049">
        <f t="shared" si="50"/>
        <v>0</v>
      </c>
      <c r="BT66" s="1675">
        <v>2393.1932156327557</v>
      </c>
      <c r="BU66" s="1115">
        <v>14496.146784367244</v>
      </c>
      <c r="BV66" s="1115">
        <v>3098.05</v>
      </c>
      <c r="BW66" s="1115">
        <v>-0.03</v>
      </c>
      <c r="BX66" s="1676">
        <v>0</v>
      </c>
      <c r="BY66" s="1049">
        <f t="shared" si="51"/>
        <v>19987.36</v>
      </c>
      <c r="BZ66" s="1677"/>
      <c r="CA66" s="1045"/>
      <c r="CB66" s="1045"/>
      <c r="CC66" s="1045"/>
      <c r="CD66" s="1678"/>
      <c r="CE66" s="1049">
        <f t="shared" si="52"/>
        <v>0</v>
      </c>
      <c r="CF66" s="1677"/>
      <c r="CG66" s="1045"/>
      <c r="CH66" s="1045"/>
      <c r="CI66" s="1045"/>
      <c r="CJ66" s="1045"/>
      <c r="CK66" s="1046">
        <f t="shared" si="53"/>
        <v>0</v>
      </c>
      <c r="CL66" s="1675"/>
      <c r="CM66" s="1115"/>
      <c r="CN66" s="1115"/>
      <c r="CO66" s="1115"/>
      <c r="CP66" s="1676"/>
      <c r="CQ66" s="1049">
        <f t="shared" si="54"/>
        <v>0</v>
      </c>
      <c r="CR66" s="1675"/>
      <c r="CS66" s="1115"/>
      <c r="CT66" s="1115"/>
      <c r="CU66" s="1115"/>
      <c r="CV66" s="1676"/>
      <c r="CW66" s="1046">
        <f t="shared" si="55"/>
        <v>0</v>
      </c>
      <c r="CX66" s="1675"/>
      <c r="CY66" s="1115"/>
      <c r="CZ66" s="1115"/>
      <c r="DA66" s="1115"/>
      <c r="DB66" s="1676"/>
      <c r="DC66" s="1049">
        <f t="shared" si="56"/>
        <v>0</v>
      </c>
      <c r="DD66" s="1675"/>
      <c r="DE66" s="1115"/>
      <c r="DF66" s="1115"/>
      <c r="DG66" s="1115"/>
      <c r="DH66" s="1115"/>
      <c r="DI66" s="1114">
        <f t="shared" si="57"/>
        <v>0</v>
      </c>
      <c r="DJ66" s="1115"/>
      <c r="DK66" s="1115"/>
      <c r="DL66" s="1115"/>
      <c r="DM66" s="1115"/>
      <c r="DN66" s="1115"/>
      <c r="DO66" s="1115">
        <f t="shared" si="58"/>
        <v>0</v>
      </c>
      <c r="DP66" s="1675">
        <v>3300</v>
      </c>
      <c r="DQ66" s="1115">
        <v>2277</v>
      </c>
      <c r="DR66" s="1115">
        <v>1023</v>
      </c>
      <c r="DS66" s="1115">
        <v>0</v>
      </c>
      <c r="DT66" s="1676">
        <v>0</v>
      </c>
      <c r="DU66" s="1050">
        <f t="shared" si="59"/>
        <v>6600</v>
      </c>
      <c r="DV66" s="1675">
        <v>1511.73</v>
      </c>
      <c r="DW66" s="1115">
        <v>0</v>
      </c>
      <c r="DX66" s="1115">
        <v>277.27999999999997</v>
      </c>
      <c r="DY66" s="1115">
        <v>0.04</v>
      </c>
      <c r="DZ66" s="1676">
        <v>0</v>
      </c>
      <c r="EA66" s="1049">
        <f t="shared" si="60"/>
        <v>1789.05</v>
      </c>
    </row>
    <row r="67" spans="1:131" ht="15" customHeight="1" x14ac:dyDescent="0.25">
      <c r="A67" s="716" t="s">
        <v>162</v>
      </c>
      <c r="B67" s="810" t="s">
        <v>163</v>
      </c>
      <c r="C67" s="911" t="s">
        <v>264</v>
      </c>
      <c r="D67" s="808">
        <f t="shared" si="33"/>
        <v>51850.470532496074</v>
      </c>
      <c r="E67" s="808">
        <f t="shared" si="34"/>
        <v>20602.389467503923</v>
      </c>
      <c r="F67" s="808">
        <f t="shared" si="35"/>
        <v>14565.03</v>
      </c>
      <c r="G67" s="808">
        <f t="shared" si="36"/>
        <v>-4.0000000000000008E-2</v>
      </c>
      <c r="H67" s="808">
        <f t="shared" si="37"/>
        <v>0</v>
      </c>
      <c r="I67" s="1391">
        <f t="shared" si="38"/>
        <v>87017.85</v>
      </c>
      <c r="J67" s="809">
        <f t="shared" si="39"/>
        <v>-4.0000000000000008E-2</v>
      </c>
      <c r="K67" s="1392">
        <f t="shared" si="40"/>
        <v>14564.99</v>
      </c>
      <c r="L67" s="1657"/>
      <c r="M67" s="1658"/>
      <c r="N67" s="1658"/>
      <c r="O67" s="1658"/>
      <c r="P67" s="1659"/>
      <c r="Q67" s="1036">
        <f t="shared" si="41"/>
        <v>0</v>
      </c>
      <c r="R67" s="1650"/>
      <c r="S67" s="1040"/>
      <c r="T67" s="1040"/>
      <c r="U67" s="1040"/>
      <c r="V67" s="1651"/>
      <c r="W67" s="1039">
        <f t="shared" si="42"/>
        <v>0</v>
      </c>
      <c r="X67" s="1664">
        <v>1401.46</v>
      </c>
      <c r="Y67" s="1665">
        <v>8.34</v>
      </c>
      <c r="Z67" s="1665">
        <v>258.60000000000002</v>
      </c>
      <c r="AA67" s="1665">
        <v>0.01</v>
      </c>
      <c r="AB67" s="1666">
        <v>0</v>
      </c>
      <c r="AC67" s="1037">
        <f t="shared" si="43"/>
        <v>1668.41</v>
      </c>
      <c r="AD67" s="1675">
        <v>24646.03</v>
      </c>
      <c r="AE67" s="1115">
        <v>0</v>
      </c>
      <c r="AF67" s="1115">
        <v>6161.44</v>
      </c>
      <c r="AG67" s="1115">
        <v>0</v>
      </c>
      <c r="AH67" s="1676">
        <v>0</v>
      </c>
      <c r="AI67" s="1049">
        <f t="shared" si="44"/>
        <v>30807.469999999998</v>
      </c>
      <c r="AJ67" s="1667"/>
      <c r="AK67" s="1038"/>
      <c r="AL67" s="1038"/>
      <c r="AM67" s="1038"/>
      <c r="AN67" s="1038"/>
      <c r="AO67" s="1041">
        <f t="shared" si="45"/>
        <v>0</v>
      </c>
      <c r="AP67" s="1689">
        <v>910.81</v>
      </c>
      <c r="AQ67" s="1042">
        <v>227.7</v>
      </c>
      <c r="AR67" s="1042">
        <v>0</v>
      </c>
      <c r="AS67" s="1042">
        <v>0</v>
      </c>
      <c r="AT67" s="1042">
        <v>0</v>
      </c>
      <c r="AU67" s="1043">
        <f t="shared" si="46"/>
        <v>1138.51</v>
      </c>
      <c r="AV67" s="1692">
        <v>1284.1199999999999</v>
      </c>
      <c r="AW67" s="1693">
        <v>321.04000000000002</v>
      </c>
      <c r="AX67" s="1693">
        <v>0</v>
      </c>
      <c r="AY67" s="1693">
        <v>0</v>
      </c>
      <c r="AZ67" s="1694">
        <v>0</v>
      </c>
      <c r="BA67" s="1039">
        <f t="shared" si="47"/>
        <v>1605.1599999999999</v>
      </c>
      <c r="BB67" s="1675"/>
      <c r="BC67" s="1115"/>
      <c r="BD67" s="1115"/>
      <c r="BE67" s="1115"/>
      <c r="BF67" s="1676"/>
      <c r="BG67" s="1046">
        <f t="shared" si="48"/>
        <v>0</v>
      </c>
      <c r="BH67" s="1675">
        <v>862.9</v>
      </c>
      <c r="BI67" s="1115">
        <v>109.3</v>
      </c>
      <c r="BJ67" s="1115">
        <v>178.33</v>
      </c>
      <c r="BK67" s="1115">
        <v>0</v>
      </c>
      <c r="BL67" s="1676">
        <v>0</v>
      </c>
      <c r="BM67" s="1046">
        <f t="shared" si="49"/>
        <v>1150.53</v>
      </c>
      <c r="BN67" s="1675"/>
      <c r="BO67" s="1115"/>
      <c r="BP67" s="1115"/>
      <c r="BQ67" s="1115"/>
      <c r="BR67" s="1676"/>
      <c r="BS67" s="1049">
        <f t="shared" si="50"/>
        <v>0</v>
      </c>
      <c r="BT67" s="1675">
        <v>3426.4105324960765</v>
      </c>
      <c r="BU67" s="1115">
        <v>19936.009467503922</v>
      </c>
      <c r="BV67" s="1115">
        <v>4285.3999999999996</v>
      </c>
      <c r="BW67" s="1115">
        <v>-7.0000000000000007E-2</v>
      </c>
      <c r="BX67" s="1676">
        <v>0</v>
      </c>
      <c r="BY67" s="1049">
        <f t="shared" si="51"/>
        <v>27647.75</v>
      </c>
      <c r="BZ67" s="1675">
        <v>105.51</v>
      </c>
      <c r="CA67" s="1115">
        <v>0</v>
      </c>
      <c r="CB67" s="1115">
        <v>156.94</v>
      </c>
      <c r="CC67" s="1115">
        <v>0</v>
      </c>
      <c r="CD67" s="1676">
        <v>0</v>
      </c>
      <c r="CE67" s="1049">
        <f t="shared" si="52"/>
        <v>262.45</v>
      </c>
      <c r="CF67" s="1677"/>
      <c r="CG67" s="1045"/>
      <c r="CH67" s="1045"/>
      <c r="CI67" s="1045"/>
      <c r="CJ67" s="1045"/>
      <c r="CK67" s="1046">
        <f t="shared" si="53"/>
        <v>0</v>
      </c>
      <c r="CL67" s="1675"/>
      <c r="CM67" s="1115"/>
      <c r="CN67" s="1115"/>
      <c r="CO67" s="1115"/>
      <c r="CP67" s="1676"/>
      <c r="CQ67" s="1049">
        <f t="shared" si="54"/>
        <v>0</v>
      </c>
      <c r="CR67" s="1677"/>
      <c r="CS67" s="1045"/>
      <c r="CT67" s="1045"/>
      <c r="CU67" s="1045"/>
      <c r="CV67" s="1045"/>
      <c r="CW67" s="1046">
        <f t="shared" si="55"/>
        <v>0</v>
      </c>
      <c r="CX67" s="1675"/>
      <c r="CY67" s="1115"/>
      <c r="CZ67" s="1115"/>
      <c r="DA67" s="1115"/>
      <c r="DB67" s="1676"/>
      <c r="DC67" s="1049">
        <f t="shared" si="56"/>
        <v>0</v>
      </c>
      <c r="DD67" s="1675"/>
      <c r="DE67" s="1115"/>
      <c r="DF67" s="1115"/>
      <c r="DG67" s="1115"/>
      <c r="DH67" s="1115"/>
      <c r="DI67" s="1114">
        <f t="shared" si="57"/>
        <v>0</v>
      </c>
      <c r="DJ67" s="1115"/>
      <c r="DK67" s="1115"/>
      <c r="DL67" s="1115"/>
      <c r="DM67" s="1115"/>
      <c r="DN67" s="1115"/>
      <c r="DO67" s="1115">
        <f t="shared" si="58"/>
        <v>0</v>
      </c>
      <c r="DP67" s="1675"/>
      <c r="DQ67" s="1115"/>
      <c r="DR67" s="1115"/>
      <c r="DS67" s="1115"/>
      <c r="DT67" s="1676"/>
      <c r="DU67" s="1050">
        <f t="shared" si="59"/>
        <v>0</v>
      </c>
      <c r="DV67" s="1675">
        <v>19213.23</v>
      </c>
      <c r="DW67" s="1115">
        <v>0</v>
      </c>
      <c r="DX67" s="1115">
        <v>3524.32</v>
      </c>
      <c r="DY67" s="1115">
        <v>0.02</v>
      </c>
      <c r="DZ67" s="1676">
        <v>0</v>
      </c>
      <c r="EA67" s="1049">
        <f t="shared" si="60"/>
        <v>22737.57</v>
      </c>
    </row>
    <row r="68" spans="1:131" ht="15" customHeight="1" x14ac:dyDescent="0.25">
      <c r="A68" s="716" t="s">
        <v>164</v>
      </c>
      <c r="B68" s="810" t="s">
        <v>165</v>
      </c>
      <c r="C68" s="911" t="s">
        <v>266</v>
      </c>
      <c r="D68" s="808">
        <f t="shared" si="33"/>
        <v>26775.463692894151</v>
      </c>
      <c r="E68" s="808">
        <f t="shared" si="34"/>
        <v>7638.2463071058473</v>
      </c>
      <c r="F68" s="808">
        <f t="shared" si="35"/>
        <v>6770.55</v>
      </c>
      <c r="G68" s="808">
        <f t="shared" si="36"/>
        <v>-4.0000000000000008E-2</v>
      </c>
      <c r="H68" s="808">
        <f t="shared" si="37"/>
        <v>0</v>
      </c>
      <c r="I68" s="1391">
        <f t="shared" si="38"/>
        <v>41184.22</v>
      </c>
      <c r="J68" s="809">
        <f t="shared" si="39"/>
        <v>-4.0000000000000008E-2</v>
      </c>
      <c r="K68" s="1392">
        <f t="shared" si="40"/>
        <v>6770.51</v>
      </c>
      <c r="L68" s="1656"/>
      <c r="M68" s="1035"/>
      <c r="N68" s="1035"/>
      <c r="O68" s="1035"/>
      <c r="P68" s="1035"/>
      <c r="Q68" s="1036">
        <f t="shared" si="41"/>
        <v>0</v>
      </c>
      <c r="R68" s="1650"/>
      <c r="S68" s="1040"/>
      <c r="T68" s="1040"/>
      <c r="U68" s="1040"/>
      <c r="V68" s="1651"/>
      <c r="W68" s="1039">
        <f t="shared" si="42"/>
        <v>0</v>
      </c>
      <c r="X68" s="1664">
        <v>840</v>
      </c>
      <c r="Y68" s="1665">
        <v>5.01</v>
      </c>
      <c r="Z68" s="1665">
        <v>155.01</v>
      </c>
      <c r="AA68" s="1665">
        <v>-0.02</v>
      </c>
      <c r="AB68" s="1666">
        <v>0</v>
      </c>
      <c r="AC68" s="1037">
        <f t="shared" si="43"/>
        <v>1000</v>
      </c>
      <c r="AD68" s="1675">
        <v>7326.24</v>
      </c>
      <c r="AE68" s="1115">
        <v>0</v>
      </c>
      <c r="AF68" s="1115">
        <v>1831.57</v>
      </c>
      <c r="AG68" s="1115">
        <v>0</v>
      </c>
      <c r="AH68" s="1676">
        <v>0</v>
      </c>
      <c r="AI68" s="1049">
        <f t="shared" si="44"/>
        <v>9157.81</v>
      </c>
      <c r="AJ68" s="1667"/>
      <c r="AK68" s="1038"/>
      <c r="AL68" s="1038"/>
      <c r="AM68" s="1038"/>
      <c r="AN68" s="1038"/>
      <c r="AO68" s="1041">
        <f t="shared" si="45"/>
        <v>0</v>
      </c>
      <c r="AP68" s="1689"/>
      <c r="AQ68" s="1042"/>
      <c r="AR68" s="1042"/>
      <c r="AS68" s="1042"/>
      <c r="AT68" s="1042"/>
      <c r="AU68" s="1043">
        <f t="shared" si="46"/>
        <v>0</v>
      </c>
      <c r="AV68" s="1692">
        <v>528.79999999999995</v>
      </c>
      <c r="AW68" s="1693">
        <v>132.19999999999999</v>
      </c>
      <c r="AX68" s="1693">
        <v>0</v>
      </c>
      <c r="AY68" s="1693">
        <v>0</v>
      </c>
      <c r="AZ68" s="1694">
        <v>0</v>
      </c>
      <c r="BA68" s="1039">
        <f t="shared" si="47"/>
        <v>661</v>
      </c>
      <c r="BB68" s="1675">
        <v>21.38</v>
      </c>
      <c r="BC68" s="1115">
        <v>38.619999999999997</v>
      </c>
      <c r="BD68" s="1115">
        <v>0</v>
      </c>
      <c r="BE68" s="1115">
        <v>0</v>
      </c>
      <c r="BF68" s="1676">
        <v>0</v>
      </c>
      <c r="BG68" s="1046">
        <f t="shared" si="48"/>
        <v>60</v>
      </c>
      <c r="BH68" s="1675">
        <v>13500.03</v>
      </c>
      <c r="BI68" s="1115">
        <v>1710.01</v>
      </c>
      <c r="BJ68" s="1115">
        <v>2790.01</v>
      </c>
      <c r="BK68" s="1115">
        <v>-0.05</v>
      </c>
      <c r="BL68" s="1676">
        <v>0</v>
      </c>
      <c r="BM68" s="1046">
        <f t="shared" si="49"/>
        <v>18000.000000000004</v>
      </c>
      <c r="BN68" s="1675"/>
      <c r="BO68" s="1115"/>
      <c r="BP68" s="1115"/>
      <c r="BQ68" s="1115"/>
      <c r="BR68" s="1676"/>
      <c r="BS68" s="1049">
        <f t="shared" si="50"/>
        <v>0</v>
      </c>
      <c r="BT68" s="1675">
        <v>543.68369289415273</v>
      </c>
      <c r="BU68" s="1115">
        <v>3185.6563071058472</v>
      </c>
      <c r="BV68" s="1115">
        <v>684.07</v>
      </c>
      <c r="BW68" s="1115">
        <v>0</v>
      </c>
      <c r="BX68" s="1676">
        <v>0</v>
      </c>
      <c r="BY68" s="1049">
        <f t="shared" si="51"/>
        <v>4413.41</v>
      </c>
      <c r="BZ68" s="1677"/>
      <c r="CA68" s="1045"/>
      <c r="CB68" s="1045"/>
      <c r="CC68" s="1045"/>
      <c r="CD68" s="1678"/>
      <c r="CE68" s="1049">
        <f t="shared" si="52"/>
        <v>0</v>
      </c>
      <c r="CF68" s="1677"/>
      <c r="CG68" s="1045"/>
      <c r="CH68" s="1045"/>
      <c r="CI68" s="1045"/>
      <c r="CJ68" s="1045"/>
      <c r="CK68" s="1046">
        <f t="shared" si="53"/>
        <v>0</v>
      </c>
      <c r="CL68" s="1675"/>
      <c r="CM68" s="1115"/>
      <c r="CN68" s="1115"/>
      <c r="CO68" s="1115"/>
      <c r="CP68" s="1676"/>
      <c r="CQ68" s="1049">
        <f t="shared" si="54"/>
        <v>0</v>
      </c>
      <c r="CR68" s="1677"/>
      <c r="CS68" s="1045"/>
      <c r="CT68" s="1045"/>
      <c r="CU68" s="1045"/>
      <c r="CV68" s="1045"/>
      <c r="CW68" s="1046">
        <f t="shared" si="55"/>
        <v>0</v>
      </c>
      <c r="CX68" s="1675">
        <v>-279.5</v>
      </c>
      <c r="CY68" s="1115">
        <v>-279.5</v>
      </c>
      <c r="CZ68" s="1115">
        <v>0</v>
      </c>
      <c r="DA68" s="1115">
        <v>0</v>
      </c>
      <c r="DB68" s="1676">
        <v>0</v>
      </c>
      <c r="DC68" s="1049">
        <f t="shared" si="56"/>
        <v>-559</v>
      </c>
      <c r="DD68" s="1675"/>
      <c r="DE68" s="1115"/>
      <c r="DF68" s="1115"/>
      <c r="DG68" s="1115"/>
      <c r="DH68" s="1115"/>
      <c r="DI68" s="1114">
        <f t="shared" si="57"/>
        <v>0</v>
      </c>
      <c r="DJ68" s="1115"/>
      <c r="DK68" s="1115"/>
      <c r="DL68" s="1115"/>
      <c r="DM68" s="1115"/>
      <c r="DN68" s="1115"/>
      <c r="DO68" s="1115">
        <f t="shared" si="58"/>
        <v>0</v>
      </c>
      <c r="DP68" s="1675">
        <v>4125</v>
      </c>
      <c r="DQ68" s="1115">
        <v>2846.25</v>
      </c>
      <c r="DR68" s="1115">
        <v>1278.75</v>
      </c>
      <c r="DS68" s="1115">
        <v>0</v>
      </c>
      <c r="DT68" s="1676">
        <v>0</v>
      </c>
      <c r="DU68" s="1050">
        <f t="shared" si="59"/>
        <v>8250</v>
      </c>
      <c r="DV68" s="1677">
        <v>169.83</v>
      </c>
      <c r="DW68" s="1045">
        <v>0</v>
      </c>
      <c r="DX68" s="1045">
        <v>31.14</v>
      </c>
      <c r="DY68" s="1045">
        <v>0.03</v>
      </c>
      <c r="DZ68" s="1678">
        <v>0</v>
      </c>
      <c r="EA68" s="1049">
        <f t="shared" si="60"/>
        <v>201.00000000000003</v>
      </c>
    </row>
    <row r="69" spans="1:131" ht="15" customHeight="1" x14ac:dyDescent="0.25">
      <c r="A69" s="716" t="s">
        <v>168</v>
      </c>
      <c r="B69" s="810" t="s">
        <v>169</v>
      </c>
      <c r="C69" s="911" t="s">
        <v>266</v>
      </c>
      <c r="D69" s="808">
        <f t="shared" ref="D69:D100" si="61">L69+R69+X69+AD69+AJ69+AP69+AV69+BB69+BH69+BN69+BT69+BZ69+CF69+CL69+CR69+CX69+DD69+DJ69+DP69+DV69</f>
        <v>41077.092134428967</v>
      </c>
      <c r="E69" s="808">
        <f t="shared" ref="E69:E100" si="62">M69+S69+Y69+AE69+AK69+AQ69+AW69+BC69+BI69+BO69+BU69+CA69+CG69+CM69+CS69+CY69+DE69+DK69+DQ69+DW69</f>
        <v>63891.617865571039</v>
      </c>
      <c r="F69" s="808">
        <f t="shared" ref="F69:F100" si="63">N69+T69+Z69+AF69+AL69+AR69+AX69+BD69+BJ69+BP69+BV69+CB69+CH69+CN69+CT69+CZ69+DF69+DL69+DR69+DX69</f>
        <v>20529.28</v>
      </c>
      <c r="G69" s="808">
        <f t="shared" ref="G69:G100" si="64">O69+U69+AA69+AG69+AM69+AS69+AY69+BE69+BK69+BQ69+BW69+CC69+CI69+CO69+CU69+DA69+DG69+DM69+DS69+DY69</f>
        <v>-7.0000000000000007E-2</v>
      </c>
      <c r="H69" s="808">
        <f t="shared" ref="H69:H100" si="65">P69+V69+AB69+AH69+AN69+AT69+AZ69+BF69+BL69+BR69+BX69+CD69+CJ69+CP69+CV69+DB69+DH69+DN69+DT69+DZ69</f>
        <v>0</v>
      </c>
      <c r="I69" s="1391">
        <f t="shared" ref="I69:I100" si="66">SUM(D69:H69)</f>
        <v>125497.92</v>
      </c>
      <c r="J69" s="809">
        <f t="shared" ref="J69:J100" si="67">G69+H69</f>
        <v>-7.0000000000000007E-2</v>
      </c>
      <c r="K69" s="1392">
        <f t="shared" ref="K69:K100" si="68">F69+J69</f>
        <v>20529.21</v>
      </c>
      <c r="L69" s="1656"/>
      <c r="M69" s="1035"/>
      <c r="N69" s="1035"/>
      <c r="O69" s="1035"/>
      <c r="P69" s="1035"/>
      <c r="Q69" s="1036">
        <f t="shared" ref="Q69:Q100" si="69">SUM(L69:P69)</f>
        <v>0</v>
      </c>
      <c r="R69" s="1650"/>
      <c r="S69" s="1040"/>
      <c r="T69" s="1040"/>
      <c r="U69" s="1040"/>
      <c r="V69" s="1651"/>
      <c r="W69" s="1039">
        <f t="shared" ref="W69:W100" si="70">SUM(R69:V69)</f>
        <v>0</v>
      </c>
      <c r="X69" s="1664">
        <v>932.4</v>
      </c>
      <c r="Y69" s="1665">
        <v>5.56</v>
      </c>
      <c r="Z69" s="1665">
        <v>172.06</v>
      </c>
      <c r="AA69" s="1665">
        <v>-0.02</v>
      </c>
      <c r="AB69" s="1666">
        <v>0</v>
      </c>
      <c r="AC69" s="1037">
        <f t="shared" ref="AC69:AC100" si="71">SUM(X69:AB69)</f>
        <v>1110</v>
      </c>
      <c r="AD69" s="1675">
        <v>21019.86</v>
      </c>
      <c r="AE69" s="1115">
        <v>0</v>
      </c>
      <c r="AF69" s="1115">
        <v>5254.96</v>
      </c>
      <c r="AG69" s="1115">
        <v>0</v>
      </c>
      <c r="AH69" s="1676">
        <v>0</v>
      </c>
      <c r="AI69" s="1049">
        <f t="shared" ref="AI69:AI100" si="72">SUM(AD69:AH69)</f>
        <v>26274.82</v>
      </c>
      <c r="AJ69" s="1667"/>
      <c r="AK69" s="1038"/>
      <c r="AL69" s="1038"/>
      <c r="AM69" s="1038"/>
      <c r="AN69" s="1038"/>
      <c r="AO69" s="1041">
        <f t="shared" ref="AO69:AO100" si="73">SUM(AJ69:AN69)</f>
        <v>0</v>
      </c>
      <c r="AP69" s="1689"/>
      <c r="AQ69" s="1042"/>
      <c r="AR69" s="1042"/>
      <c r="AS69" s="1042"/>
      <c r="AT69" s="1042"/>
      <c r="AU69" s="1043">
        <f t="shared" ref="AU69:AU100" si="74">SUM(AP69:AT69)</f>
        <v>0</v>
      </c>
      <c r="AV69" s="1692">
        <v>543.46</v>
      </c>
      <c r="AW69" s="1693">
        <v>135.87</v>
      </c>
      <c r="AX69" s="1693">
        <v>0</v>
      </c>
      <c r="AY69" s="1693">
        <v>0</v>
      </c>
      <c r="AZ69" s="1694">
        <v>0</v>
      </c>
      <c r="BA69" s="1039">
        <f t="shared" ref="BA69:BA100" si="75">SUM(AV69:AZ69)</f>
        <v>679.33</v>
      </c>
      <c r="BB69" s="1677"/>
      <c r="BC69" s="1045"/>
      <c r="BD69" s="1045"/>
      <c r="BE69" s="1045"/>
      <c r="BF69" s="1045"/>
      <c r="BG69" s="1046">
        <f t="shared" ref="BG69:BG100" si="76">SUM(BB69:BF69)</f>
        <v>0</v>
      </c>
      <c r="BH69" s="1677">
        <v>4515.5600000000004</v>
      </c>
      <c r="BI69" s="1045">
        <v>571.98</v>
      </c>
      <c r="BJ69" s="1045">
        <v>933.23</v>
      </c>
      <c r="BK69" s="1045">
        <v>-0.03</v>
      </c>
      <c r="BL69" s="1045">
        <v>0</v>
      </c>
      <c r="BM69" s="1046">
        <f t="shared" ref="BM69:BM100" si="77">SUM(BH69:BL69)</f>
        <v>6020.7400000000007</v>
      </c>
      <c r="BN69" s="1675"/>
      <c r="BO69" s="1115"/>
      <c r="BP69" s="1115"/>
      <c r="BQ69" s="1115"/>
      <c r="BR69" s="1676"/>
      <c r="BS69" s="1049">
        <f t="shared" ref="BS69:BS100" si="78">SUM(BN69:BR69)</f>
        <v>0</v>
      </c>
      <c r="BT69" s="1675">
        <v>11237.262134428962</v>
      </c>
      <c r="BU69" s="1115">
        <v>62162.867865571039</v>
      </c>
      <c r="BV69" s="1115">
        <v>13463.95</v>
      </c>
      <c r="BW69" s="1115">
        <v>-0.05</v>
      </c>
      <c r="BX69" s="1676">
        <v>0</v>
      </c>
      <c r="BY69" s="1049">
        <f t="shared" ref="BY69:BY100" si="79">SUM(BT69:BX69)</f>
        <v>86864.03</v>
      </c>
      <c r="BZ69" s="1677"/>
      <c r="CA69" s="1045"/>
      <c r="CB69" s="1045"/>
      <c r="CC69" s="1045"/>
      <c r="CD69" s="1678"/>
      <c r="CE69" s="1049">
        <f t="shared" ref="CE69:CE100" si="80">SUM(BZ69:CD69)</f>
        <v>0</v>
      </c>
      <c r="CF69" s="1677"/>
      <c r="CG69" s="1045"/>
      <c r="CH69" s="1045"/>
      <c r="CI69" s="1045"/>
      <c r="CJ69" s="1045"/>
      <c r="CK69" s="1046">
        <f t="shared" ref="CK69:CK100" si="81">SUM(CF69:CJ69)</f>
        <v>0</v>
      </c>
      <c r="CL69" s="1677"/>
      <c r="CM69" s="1045"/>
      <c r="CN69" s="1045"/>
      <c r="CO69" s="1045"/>
      <c r="CP69" s="1678"/>
      <c r="CQ69" s="1049">
        <f t="shared" ref="CQ69:CQ100" si="82">SUM(CL69:CP69)</f>
        <v>0</v>
      </c>
      <c r="CR69" s="1675"/>
      <c r="CS69" s="1115"/>
      <c r="CT69" s="1115"/>
      <c r="CU69" s="1115"/>
      <c r="CV69" s="1676"/>
      <c r="CW69" s="1046">
        <f t="shared" ref="CW69:CW100" si="83">SUM(CR69:CV69)</f>
        <v>0</v>
      </c>
      <c r="CX69" s="1675"/>
      <c r="CY69" s="1115"/>
      <c r="CZ69" s="1115"/>
      <c r="DA69" s="1115"/>
      <c r="DB69" s="1676"/>
      <c r="DC69" s="1049">
        <f t="shared" ref="DC69:DC100" si="84">SUM(CX69:DB69)</f>
        <v>0</v>
      </c>
      <c r="DD69" s="1675"/>
      <c r="DE69" s="1115"/>
      <c r="DF69" s="1115"/>
      <c r="DG69" s="1115"/>
      <c r="DH69" s="1115"/>
      <c r="DI69" s="1114">
        <f t="shared" ref="DI69:DI100" si="85">SUM(DD69:DH69)</f>
        <v>0</v>
      </c>
      <c r="DJ69" s="1115"/>
      <c r="DK69" s="1115"/>
      <c r="DL69" s="1115"/>
      <c r="DM69" s="1115"/>
      <c r="DN69" s="1115"/>
      <c r="DO69" s="1115">
        <f t="shared" ref="DO69:DO100" si="86">SUM(DJ69:DN69)</f>
        <v>0</v>
      </c>
      <c r="DP69" s="1675">
        <v>1471.5</v>
      </c>
      <c r="DQ69" s="1115">
        <v>1015.34</v>
      </c>
      <c r="DR69" s="1115">
        <v>456.17</v>
      </c>
      <c r="DS69" s="1115">
        <v>-0.01</v>
      </c>
      <c r="DT69" s="1676">
        <v>0</v>
      </c>
      <c r="DU69" s="1050">
        <f t="shared" ref="DU69:DU100" si="87">SUM(DP69:DT69)</f>
        <v>2943</v>
      </c>
      <c r="DV69" s="1675">
        <v>1357.05</v>
      </c>
      <c r="DW69" s="1115">
        <v>0</v>
      </c>
      <c r="DX69" s="1115">
        <v>248.91</v>
      </c>
      <c r="DY69" s="1115">
        <v>0.04</v>
      </c>
      <c r="DZ69" s="1676">
        <v>0</v>
      </c>
      <c r="EA69" s="1049">
        <f t="shared" ref="EA69:EA100" si="88">SUM(DV69:DZ69)</f>
        <v>1606</v>
      </c>
    </row>
    <row r="70" spans="1:131" ht="15" customHeight="1" x14ac:dyDescent="0.25">
      <c r="A70" s="716" t="s">
        <v>170</v>
      </c>
      <c r="B70" s="810" t="s">
        <v>171</v>
      </c>
      <c r="C70" s="911" t="s">
        <v>267</v>
      </c>
      <c r="D70" s="808">
        <f t="shared" si="61"/>
        <v>42087.855720063366</v>
      </c>
      <c r="E70" s="808">
        <f t="shared" si="62"/>
        <v>24752.104279936633</v>
      </c>
      <c r="F70" s="808">
        <f t="shared" si="63"/>
        <v>15715.46</v>
      </c>
      <c r="G70" s="808">
        <f t="shared" si="64"/>
        <v>-0.11</v>
      </c>
      <c r="H70" s="808">
        <f t="shared" si="65"/>
        <v>0</v>
      </c>
      <c r="I70" s="1391">
        <f t="shared" si="66"/>
        <v>82555.309999999983</v>
      </c>
      <c r="J70" s="809">
        <f t="shared" si="67"/>
        <v>-0.11</v>
      </c>
      <c r="K70" s="1392">
        <f t="shared" si="68"/>
        <v>15715.349999999999</v>
      </c>
      <c r="L70" s="1656"/>
      <c r="M70" s="1035"/>
      <c r="N70" s="1035"/>
      <c r="O70" s="1035"/>
      <c r="P70" s="1035"/>
      <c r="Q70" s="1036">
        <f t="shared" si="69"/>
        <v>0</v>
      </c>
      <c r="R70" s="1650"/>
      <c r="S70" s="1040"/>
      <c r="T70" s="1040"/>
      <c r="U70" s="1040"/>
      <c r="V70" s="1651"/>
      <c r="W70" s="1039">
        <f t="shared" si="70"/>
        <v>0</v>
      </c>
      <c r="X70" s="1664">
        <v>1567.29</v>
      </c>
      <c r="Y70" s="1665">
        <v>9.33</v>
      </c>
      <c r="Z70" s="1665">
        <v>289.20999999999998</v>
      </c>
      <c r="AA70" s="1665">
        <v>-0.01</v>
      </c>
      <c r="AB70" s="1666">
        <v>0</v>
      </c>
      <c r="AC70" s="1037">
        <f t="shared" si="71"/>
        <v>1865.82</v>
      </c>
      <c r="AD70" s="1675">
        <v>2798.34</v>
      </c>
      <c r="AE70" s="1115">
        <v>0</v>
      </c>
      <c r="AF70" s="1115">
        <v>699.59</v>
      </c>
      <c r="AG70" s="1115">
        <v>0</v>
      </c>
      <c r="AH70" s="1676">
        <v>0</v>
      </c>
      <c r="AI70" s="1049">
        <f t="shared" si="72"/>
        <v>3497.9300000000003</v>
      </c>
      <c r="AJ70" s="1667"/>
      <c r="AK70" s="1038"/>
      <c r="AL70" s="1038"/>
      <c r="AM70" s="1038"/>
      <c r="AN70" s="1038"/>
      <c r="AO70" s="1041">
        <f t="shared" si="73"/>
        <v>0</v>
      </c>
      <c r="AP70" s="1689">
        <v>2752</v>
      </c>
      <c r="AQ70" s="1042">
        <v>688</v>
      </c>
      <c r="AR70" s="1042">
        <v>0</v>
      </c>
      <c r="AS70" s="1042">
        <v>0</v>
      </c>
      <c r="AT70" s="1042">
        <v>0</v>
      </c>
      <c r="AU70" s="1043">
        <f t="shared" si="74"/>
        <v>3440</v>
      </c>
      <c r="AV70" s="1692">
        <v>3025.93</v>
      </c>
      <c r="AW70" s="1693">
        <v>756.49</v>
      </c>
      <c r="AX70" s="1693">
        <v>0</v>
      </c>
      <c r="AY70" s="1693">
        <v>0</v>
      </c>
      <c r="AZ70" s="1694">
        <v>0</v>
      </c>
      <c r="BA70" s="1039">
        <f t="shared" si="75"/>
        <v>3782.42</v>
      </c>
      <c r="BB70" s="1675">
        <v>963.24</v>
      </c>
      <c r="BC70" s="1115">
        <v>1739.46</v>
      </c>
      <c r="BD70" s="1115">
        <v>0</v>
      </c>
      <c r="BE70" s="1115">
        <v>0</v>
      </c>
      <c r="BF70" s="1676">
        <v>0</v>
      </c>
      <c r="BG70" s="1046">
        <f t="shared" si="76"/>
        <v>2702.7</v>
      </c>
      <c r="BH70" s="1675">
        <v>11234.33</v>
      </c>
      <c r="BI70" s="1115">
        <v>1423.04</v>
      </c>
      <c r="BJ70" s="1115">
        <v>2321.79</v>
      </c>
      <c r="BK70" s="1115">
        <v>-0.1</v>
      </c>
      <c r="BL70" s="1676">
        <v>0</v>
      </c>
      <c r="BM70" s="1046">
        <f t="shared" si="77"/>
        <v>14979.06</v>
      </c>
      <c r="BN70" s="1675"/>
      <c r="BO70" s="1115"/>
      <c r="BP70" s="1115"/>
      <c r="BQ70" s="1115"/>
      <c r="BR70" s="1676"/>
      <c r="BS70" s="1049">
        <f t="shared" si="78"/>
        <v>0</v>
      </c>
      <c r="BT70" s="1675">
        <v>8654.1857200633676</v>
      </c>
      <c r="BU70" s="1115">
        <v>20808.534279936634</v>
      </c>
      <c r="BV70" s="1115">
        <v>5404.41</v>
      </c>
      <c r="BW70" s="1115">
        <v>-0.05</v>
      </c>
      <c r="BX70" s="1676">
        <v>0</v>
      </c>
      <c r="BY70" s="1049">
        <f t="shared" si="79"/>
        <v>34867.08</v>
      </c>
      <c r="BZ70" s="1675">
        <v>3627.32</v>
      </c>
      <c r="CA70" s="1115">
        <v>0</v>
      </c>
      <c r="CB70" s="1115">
        <v>5395.83</v>
      </c>
      <c r="CC70" s="1115">
        <v>0</v>
      </c>
      <c r="CD70" s="1676">
        <v>0</v>
      </c>
      <c r="CE70" s="1049">
        <f t="shared" si="80"/>
        <v>9023.15</v>
      </c>
      <c r="CF70" s="1677"/>
      <c r="CG70" s="1045"/>
      <c r="CH70" s="1045"/>
      <c r="CI70" s="1045"/>
      <c r="CJ70" s="1045"/>
      <c r="CK70" s="1046">
        <f t="shared" si="81"/>
        <v>0</v>
      </c>
      <c r="CL70" s="1675"/>
      <c r="CM70" s="1115"/>
      <c r="CN70" s="1115"/>
      <c r="CO70" s="1115"/>
      <c r="CP70" s="1676"/>
      <c r="CQ70" s="1049">
        <f t="shared" si="82"/>
        <v>0</v>
      </c>
      <c r="CR70" s="1677"/>
      <c r="CS70" s="1045"/>
      <c r="CT70" s="1045"/>
      <c r="CU70" s="1045"/>
      <c r="CV70" s="1045"/>
      <c r="CW70" s="1046">
        <f t="shared" si="83"/>
        <v>0</v>
      </c>
      <c r="CX70" s="1675">
        <v>-672.75</v>
      </c>
      <c r="CY70" s="1115">
        <v>-672.75</v>
      </c>
      <c r="CZ70" s="1115">
        <v>0</v>
      </c>
      <c r="DA70" s="1115">
        <v>0</v>
      </c>
      <c r="DB70" s="1676">
        <v>0</v>
      </c>
      <c r="DC70" s="1049">
        <f t="shared" si="84"/>
        <v>-1345.5</v>
      </c>
      <c r="DD70" s="1675">
        <v>-610</v>
      </c>
      <c r="DE70" s="1115">
        <v>0</v>
      </c>
      <c r="DF70" s="1115">
        <v>0</v>
      </c>
      <c r="DG70" s="1115">
        <v>0</v>
      </c>
      <c r="DH70" s="1115">
        <v>0</v>
      </c>
      <c r="DI70" s="1114">
        <f t="shared" si="85"/>
        <v>-610</v>
      </c>
      <c r="DJ70" s="1115"/>
      <c r="DK70" s="1115"/>
      <c r="DL70" s="1115"/>
      <c r="DM70" s="1115"/>
      <c r="DN70" s="1115"/>
      <c r="DO70" s="1115">
        <f t="shared" si="86"/>
        <v>0</v>
      </c>
      <c r="DP70" s="1677"/>
      <c r="DQ70" s="1045"/>
      <c r="DR70" s="1045"/>
      <c r="DS70" s="1045"/>
      <c r="DT70" s="1045"/>
      <c r="DU70" s="1050">
        <f t="shared" si="87"/>
        <v>0</v>
      </c>
      <c r="DV70" s="1675">
        <v>8747.9699999999993</v>
      </c>
      <c r="DW70" s="1115">
        <v>0</v>
      </c>
      <c r="DX70" s="1115">
        <v>1604.63</v>
      </c>
      <c r="DY70" s="1115">
        <v>0.05</v>
      </c>
      <c r="DZ70" s="1676">
        <v>0</v>
      </c>
      <c r="EA70" s="1049">
        <f t="shared" si="88"/>
        <v>10352.649999999998</v>
      </c>
    </row>
    <row r="71" spans="1:131" ht="15" customHeight="1" x14ac:dyDescent="0.25">
      <c r="A71" s="716" t="s">
        <v>172</v>
      </c>
      <c r="B71" s="810" t="s">
        <v>173</v>
      </c>
      <c r="C71" s="911" t="s">
        <v>267</v>
      </c>
      <c r="D71" s="808">
        <f t="shared" si="61"/>
        <v>29815.097702251584</v>
      </c>
      <c r="E71" s="808">
        <f t="shared" si="62"/>
        <v>8562.9222977484169</v>
      </c>
      <c r="F71" s="808">
        <f t="shared" si="63"/>
        <v>9442.1</v>
      </c>
      <c r="G71" s="808">
        <f t="shared" si="64"/>
        <v>1130.19</v>
      </c>
      <c r="H71" s="808">
        <f t="shared" si="65"/>
        <v>0</v>
      </c>
      <c r="I71" s="1391">
        <f t="shared" si="66"/>
        <v>48950.310000000005</v>
      </c>
      <c r="J71" s="809">
        <f t="shared" si="67"/>
        <v>1130.19</v>
      </c>
      <c r="K71" s="1392">
        <f t="shared" si="68"/>
        <v>10572.29</v>
      </c>
      <c r="L71" s="1656"/>
      <c r="M71" s="1035"/>
      <c r="N71" s="1035"/>
      <c r="O71" s="1035"/>
      <c r="P71" s="1035"/>
      <c r="Q71" s="1036">
        <f t="shared" si="69"/>
        <v>0</v>
      </c>
      <c r="R71" s="1650"/>
      <c r="S71" s="1040"/>
      <c r="T71" s="1040"/>
      <c r="U71" s="1040"/>
      <c r="V71" s="1651"/>
      <c r="W71" s="1039">
        <f t="shared" si="70"/>
        <v>0</v>
      </c>
      <c r="X71" s="1664">
        <v>1358.32</v>
      </c>
      <c r="Y71" s="1665">
        <v>8.09</v>
      </c>
      <c r="Z71" s="1665">
        <v>250.65</v>
      </c>
      <c r="AA71" s="1665">
        <v>-0.01</v>
      </c>
      <c r="AB71" s="1666">
        <v>0</v>
      </c>
      <c r="AC71" s="1037">
        <f t="shared" si="71"/>
        <v>1617.05</v>
      </c>
      <c r="AD71" s="1675">
        <v>11348.87</v>
      </c>
      <c r="AE71" s="1115">
        <v>0</v>
      </c>
      <c r="AF71" s="1115">
        <v>2837.22</v>
      </c>
      <c r="AG71" s="1115">
        <v>0</v>
      </c>
      <c r="AH71" s="1676">
        <v>0</v>
      </c>
      <c r="AI71" s="1049">
        <f t="shared" si="72"/>
        <v>14186.09</v>
      </c>
      <c r="AJ71" s="1667"/>
      <c r="AK71" s="1038"/>
      <c r="AL71" s="1038"/>
      <c r="AM71" s="1038"/>
      <c r="AN71" s="1038"/>
      <c r="AO71" s="1041">
        <f t="shared" si="73"/>
        <v>0</v>
      </c>
      <c r="AP71" s="1686"/>
      <c r="AQ71" s="1687"/>
      <c r="AR71" s="1687"/>
      <c r="AS71" s="1687"/>
      <c r="AT71" s="1688"/>
      <c r="AU71" s="1043">
        <f t="shared" si="74"/>
        <v>0</v>
      </c>
      <c r="AV71" s="1652">
        <v>452.7</v>
      </c>
      <c r="AW71" s="1113">
        <v>113.18</v>
      </c>
      <c r="AX71" s="1113">
        <v>0</v>
      </c>
      <c r="AY71" s="1113">
        <v>0</v>
      </c>
      <c r="AZ71" s="1653">
        <v>0</v>
      </c>
      <c r="BA71" s="1039">
        <f t="shared" si="75"/>
        <v>565.88</v>
      </c>
      <c r="BB71" s="1675">
        <v>212.06</v>
      </c>
      <c r="BC71" s="1115">
        <v>382.94</v>
      </c>
      <c r="BD71" s="1115">
        <v>0</v>
      </c>
      <c r="BE71" s="1115">
        <v>0</v>
      </c>
      <c r="BF71" s="1676">
        <v>0</v>
      </c>
      <c r="BG71" s="1046">
        <f t="shared" si="76"/>
        <v>595</v>
      </c>
      <c r="BH71" s="1675">
        <v>16093.26</v>
      </c>
      <c r="BI71" s="1115">
        <v>2038.48</v>
      </c>
      <c r="BJ71" s="1115">
        <v>3325.94</v>
      </c>
      <c r="BK71" s="1115">
        <v>1130.1500000000001</v>
      </c>
      <c r="BL71" s="1676">
        <v>0</v>
      </c>
      <c r="BM71" s="1046">
        <f t="shared" si="77"/>
        <v>22587.83</v>
      </c>
      <c r="BN71" s="1675"/>
      <c r="BO71" s="1115"/>
      <c r="BP71" s="1115"/>
      <c r="BQ71" s="1115"/>
      <c r="BR71" s="1676"/>
      <c r="BS71" s="1049">
        <f t="shared" si="78"/>
        <v>0</v>
      </c>
      <c r="BT71" s="1675">
        <v>1860.0177022515854</v>
      </c>
      <c r="BU71" s="1115">
        <v>8342.1822977484153</v>
      </c>
      <c r="BV71" s="1115">
        <v>1871.41</v>
      </c>
      <c r="BW71" s="1115">
        <v>-0.02</v>
      </c>
      <c r="BX71" s="1676">
        <v>0</v>
      </c>
      <c r="BY71" s="1049">
        <f t="shared" si="79"/>
        <v>12073.59</v>
      </c>
      <c r="BZ71" s="1677">
        <v>487.79</v>
      </c>
      <c r="CA71" s="1045">
        <v>0</v>
      </c>
      <c r="CB71" s="1045">
        <v>725.62</v>
      </c>
      <c r="CC71" s="1045">
        <v>0</v>
      </c>
      <c r="CD71" s="1678">
        <v>0</v>
      </c>
      <c r="CE71" s="1049">
        <f t="shared" si="80"/>
        <v>1213.4100000000001</v>
      </c>
      <c r="CF71" s="1677">
        <v>145.94</v>
      </c>
      <c r="CG71" s="1045">
        <v>0</v>
      </c>
      <c r="CH71" s="1045">
        <v>398.61</v>
      </c>
      <c r="CI71" s="1045">
        <v>0</v>
      </c>
      <c r="CJ71" s="1045">
        <v>0</v>
      </c>
      <c r="CK71" s="1046">
        <f t="shared" si="81"/>
        <v>544.54999999999995</v>
      </c>
      <c r="CL71" s="1677"/>
      <c r="CM71" s="1045"/>
      <c r="CN71" s="1045"/>
      <c r="CO71" s="1045"/>
      <c r="CP71" s="1678"/>
      <c r="CQ71" s="1049">
        <f t="shared" si="82"/>
        <v>0</v>
      </c>
      <c r="CR71" s="1675"/>
      <c r="CS71" s="1115"/>
      <c r="CT71" s="1115"/>
      <c r="CU71" s="1115"/>
      <c r="CV71" s="1676"/>
      <c r="CW71" s="1046">
        <f t="shared" si="83"/>
        <v>0</v>
      </c>
      <c r="CX71" s="1675">
        <v>-2321.9499999999998</v>
      </c>
      <c r="CY71" s="1115">
        <v>-2321.9499999999998</v>
      </c>
      <c r="CZ71" s="1115">
        <v>0</v>
      </c>
      <c r="DA71" s="1115">
        <v>0.02</v>
      </c>
      <c r="DB71" s="1676">
        <v>0</v>
      </c>
      <c r="DC71" s="1049">
        <f t="shared" si="84"/>
        <v>-4643.8799999999992</v>
      </c>
      <c r="DD71" s="1675"/>
      <c r="DE71" s="1115"/>
      <c r="DF71" s="1115"/>
      <c r="DG71" s="1115"/>
      <c r="DH71" s="1115"/>
      <c r="DI71" s="1114">
        <f t="shared" si="85"/>
        <v>0</v>
      </c>
      <c r="DJ71" s="1115"/>
      <c r="DK71" s="1115"/>
      <c r="DL71" s="1115"/>
      <c r="DM71" s="1115"/>
      <c r="DN71" s="1115"/>
      <c r="DO71" s="1115">
        <f t="shared" si="86"/>
        <v>0</v>
      </c>
      <c r="DP71" s="1675"/>
      <c r="DQ71" s="1115"/>
      <c r="DR71" s="1115"/>
      <c r="DS71" s="1115"/>
      <c r="DT71" s="1676"/>
      <c r="DU71" s="1050">
        <f t="shared" si="87"/>
        <v>0</v>
      </c>
      <c r="DV71" s="1675">
        <v>178.09</v>
      </c>
      <c r="DW71" s="1115">
        <v>0</v>
      </c>
      <c r="DX71" s="1115">
        <v>32.65</v>
      </c>
      <c r="DY71" s="1115">
        <v>0.05</v>
      </c>
      <c r="DZ71" s="1676">
        <v>0</v>
      </c>
      <c r="EA71" s="1049">
        <f t="shared" si="88"/>
        <v>210.79000000000002</v>
      </c>
    </row>
    <row r="72" spans="1:131" ht="15" customHeight="1" x14ac:dyDescent="0.25">
      <c r="A72" s="716" t="s">
        <v>174</v>
      </c>
      <c r="B72" s="810" t="s">
        <v>175</v>
      </c>
      <c r="C72" s="911" t="s">
        <v>268</v>
      </c>
      <c r="D72" s="808">
        <f t="shared" si="61"/>
        <v>36834.56026174115</v>
      </c>
      <c r="E72" s="808">
        <f t="shared" si="62"/>
        <v>24272.219738258853</v>
      </c>
      <c r="F72" s="808">
        <f t="shared" si="63"/>
        <v>12088.94</v>
      </c>
      <c r="G72" s="808">
        <f t="shared" si="64"/>
        <v>-8.0000000000000016E-2</v>
      </c>
      <c r="H72" s="808">
        <f t="shared" si="65"/>
        <v>0</v>
      </c>
      <c r="I72" s="1391">
        <f t="shared" si="66"/>
        <v>73195.64</v>
      </c>
      <c r="J72" s="809">
        <f t="shared" si="67"/>
        <v>-8.0000000000000016E-2</v>
      </c>
      <c r="K72" s="1392">
        <f t="shared" si="68"/>
        <v>12088.86</v>
      </c>
      <c r="L72" s="1656"/>
      <c r="M72" s="1035"/>
      <c r="N72" s="1035"/>
      <c r="O72" s="1035"/>
      <c r="P72" s="1035"/>
      <c r="Q72" s="1036">
        <f t="shared" si="69"/>
        <v>0</v>
      </c>
      <c r="R72" s="1650"/>
      <c r="S72" s="1040"/>
      <c r="T72" s="1040"/>
      <c r="U72" s="1040"/>
      <c r="V72" s="1651"/>
      <c r="W72" s="1039">
        <f t="shared" si="70"/>
        <v>0</v>
      </c>
      <c r="X72" s="1664">
        <v>840.59</v>
      </c>
      <c r="Y72" s="1665">
        <v>5</v>
      </c>
      <c r="Z72" s="1665">
        <v>155.11000000000001</v>
      </c>
      <c r="AA72" s="1665">
        <v>0</v>
      </c>
      <c r="AB72" s="1666">
        <v>0</v>
      </c>
      <c r="AC72" s="1037">
        <f t="shared" si="71"/>
        <v>1000.7</v>
      </c>
      <c r="AD72" s="1675">
        <v>13611.17</v>
      </c>
      <c r="AE72" s="1115">
        <v>0</v>
      </c>
      <c r="AF72" s="1115">
        <v>3402.77</v>
      </c>
      <c r="AG72" s="1115">
        <v>0</v>
      </c>
      <c r="AH72" s="1676">
        <v>0</v>
      </c>
      <c r="AI72" s="1049">
        <f t="shared" si="72"/>
        <v>17013.939999999999</v>
      </c>
      <c r="AJ72" s="1667"/>
      <c r="AK72" s="1038"/>
      <c r="AL72" s="1038"/>
      <c r="AM72" s="1038"/>
      <c r="AN72" s="1038"/>
      <c r="AO72" s="1041">
        <f t="shared" si="73"/>
        <v>0</v>
      </c>
      <c r="AP72" s="1689"/>
      <c r="AQ72" s="1042"/>
      <c r="AR72" s="1042"/>
      <c r="AS72" s="1042"/>
      <c r="AT72" s="1042"/>
      <c r="AU72" s="1043">
        <f t="shared" si="74"/>
        <v>0</v>
      </c>
      <c r="AV72" s="1652">
        <v>113.58</v>
      </c>
      <c r="AW72" s="1113">
        <v>28.4</v>
      </c>
      <c r="AX72" s="1113">
        <v>0</v>
      </c>
      <c r="AY72" s="1113">
        <v>0</v>
      </c>
      <c r="AZ72" s="1653">
        <v>0</v>
      </c>
      <c r="BA72" s="1039">
        <f t="shared" si="75"/>
        <v>141.97999999999999</v>
      </c>
      <c r="BB72" s="1677"/>
      <c r="BC72" s="1045"/>
      <c r="BD72" s="1045"/>
      <c r="BE72" s="1045"/>
      <c r="BF72" s="1045"/>
      <c r="BG72" s="1046">
        <f t="shared" si="76"/>
        <v>0</v>
      </c>
      <c r="BH72" s="1675">
        <v>9449.02</v>
      </c>
      <c r="BI72" s="1115">
        <v>1196.8699999999999</v>
      </c>
      <c r="BJ72" s="1115">
        <v>1952.8</v>
      </c>
      <c r="BK72" s="1115">
        <v>-0.02</v>
      </c>
      <c r="BL72" s="1676">
        <v>0</v>
      </c>
      <c r="BM72" s="1046">
        <f t="shared" si="77"/>
        <v>12598.669999999998</v>
      </c>
      <c r="BN72" s="1675"/>
      <c r="BO72" s="1115"/>
      <c r="BP72" s="1115"/>
      <c r="BQ72" s="1115"/>
      <c r="BR72" s="1676"/>
      <c r="BS72" s="1049">
        <f t="shared" si="78"/>
        <v>0</v>
      </c>
      <c r="BT72" s="1675">
        <v>3804.0402617411473</v>
      </c>
      <c r="BU72" s="1115">
        <v>23041.949738258852</v>
      </c>
      <c r="BV72" s="1115">
        <v>4924.42</v>
      </c>
      <c r="BW72" s="1115">
        <v>-7.0000000000000007E-2</v>
      </c>
      <c r="BX72" s="1676">
        <v>0</v>
      </c>
      <c r="BY72" s="1049">
        <f t="shared" si="79"/>
        <v>31770.339999999997</v>
      </c>
      <c r="BZ72" s="1677"/>
      <c r="CA72" s="1045"/>
      <c r="CB72" s="1045"/>
      <c r="CC72" s="1045"/>
      <c r="CD72" s="1678"/>
      <c r="CE72" s="1049">
        <f t="shared" si="80"/>
        <v>0</v>
      </c>
      <c r="CF72" s="1677"/>
      <c r="CG72" s="1045"/>
      <c r="CH72" s="1045"/>
      <c r="CI72" s="1045"/>
      <c r="CJ72" s="1045"/>
      <c r="CK72" s="1046">
        <f t="shared" si="81"/>
        <v>0</v>
      </c>
      <c r="CL72" s="1675"/>
      <c r="CM72" s="1115"/>
      <c r="CN72" s="1115"/>
      <c r="CO72" s="1115"/>
      <c r="CP72" s="1676"/>
      <c r="CQ72" s="1049">
        <f t="shared" si="82"/>
        <v>0</v>
      </c>
      <c r="CR72" s="1677"/>
      <c r="CS72" s="1045"/>
      <c r="CT72" s="1045"/>
      <c r="CU72" s="1045"/>
      <c r="CV72" s="1045"/>
      <c r="CW72" s="1046">
        <f t="shared" si="83"/>
        <v>0</v>
      </c>
      <c r="CX72" s="1675"/>
      <c r="CY72" s="1115"/>
      <c r="CZ72" s="1115"/>
      <c r="DA72" s="1115"/>
      <c r="DB72" s="1676"/>
      <c r="DC72" s="1049">
        <f t="shared" si="84"/>
        <v>0</v>
      </c>
      <c r="DD72" s="1675"/>
      <c r="DE72" s="1115"/>
      <c r="DF72" s="1115"/>
      <c r="DG72" s="1115"/>
      <c r="DH72" s="1115"/>
      <c r="DI72" s="1114">
        <f t="shared" si="85"/>
        <v>0</v>
      </c>
      <c r="DJ72" s="1115"/>
      <c r="DK72" s="1115"/>
      <c r="DL72" s="1115"/>
      <c r="DM72" s="1115"/>
      <c r="DN72" s="1115"/>
      <c r="DO72" s="1115">
        <f t="shared" si="86"/>
        <v>0</v>
      </c>
      <c r="DP72" s="1675"/>
      <c r="DQ72" s="1115"/>
      <c r="DR72" s="1115"/>
      <c r="DS72" s="1115"/>
      <c r="DT72" s="1676"/>
      <c r="DU72" s="1050">
        <f t="shared" si="87"/>
        <v>0</v>
      </c>
      <c r="DV72" s="1675">
        <v>9016.16</v>
      </c>
      <c r="DW72" s="1115">
        <v>0</v>
      </c>
      <c r="DX72" s="1115">
        <v>1653.84</v>
      </c>
      <c r="DY72" s="1115">
        <v>0.01</v>
      </c>
      <c r="DZ72" s="1676">
        <v>0</v>
      </c>
      <c r="EA72" s="1049">
        <f t="shared" si="88"/>
        <v>10670.01</v>
      </c>
    </row>
    <row r="73" spans="1:131" ht="15" customHeight="1" x14ac:dyDescent="0.25">
      <c r="A73" s="716" t="s">
        <v>178</v>
      </c>
      <c r="B73" s="810" t="s">
        <v>179</v>
      </c>
      <c r="C73" s="911" t="s">
        <v>265</v>
      </c>
      <c r="D73" s="808">
        <f t="shared" si="61"/>
        <v>85544.190401397267</v>
      </c>
      <c r="E73" s="808">
        <f t="shared" si="62"/>
        <v>29501.869598602712</v>
      </c>
      <c r="F73" s="808">
        <f t="shared" si="63"/>
        <v>23110.460000000003</v>
      </c>
      <c r="G73" s="808">
        <f t="shared" si="64"/>
        <v>-0.25000000000000006</v>
      </c>
      <c r="H73" s="808">
        <f t="shared" si="65"/>
        <v>0</v>
      </c>
      <c r="I73" s="1391">
        <f t="shared" si="66"/>
        <v>138156.26999999999</v>
      </c>
      <c r="J73" s="809">
        <f t="shared" si="67"/>
        <v>-0.25000000000000006</v>
      </c>
      <c r="K73" s="1392">
        <f t="shared" si="68"/>
        <v>23110.210000000003</v>
      </c>
      <c r="L73" s="1656"/>
      <c r="M73" s="1035"/>
      <c r="N73" s="1035"/>
      <c r="O73" s="1035"/>
      <c r="P73" s="1035"/>
      <c r="Q73" s="1036">
        <f t="shared" si="69"/>
        <v>0</v>
      </c>
      <c r="R73" s="1652"/>
      <c r="S73" s="1113"/>
      <c r="T73" s="1113"/>
      <c r="U73" s="1113"/>
      <c r="V73" s="1653"/>
      <c r="W73" s="1039">
        <f t="shared" si="70"/>
        <v>0</v>
      </c>
      <c r="X73" s="1664">
        <v>3175.2</v>
      </c>
      <c r="Y73" s="1665">
        <v>18.91</v>
      </c>
      <c r="Z73" s="1665">
        <v>585.91</v>
      </c>
      <c r="AA73" s="1665">
        <v>-0.02</v>
      </c>
      <c r="AB73" s="1666">
        <v>0</v>
      </c>
      <c r="AC73" s="1037">
        <f t="shared" si="71"/>
        <v>3779.9999999999995</v>
      </c>
      <c r="AD73" s="1675">
        <v>35401.81</v>
      </c>
      <c r="AE73" s="1115">
        <v>0</v>
      </c>
      <c r="AF73" s="1115">
        <v>8850.41</v>
      </c>
      <c r="AG73" s="1115">
        <v>0</v>
      </c>
      <c r="AH73" s="1676">
        <v>0</v>
      </c>
      <c r="AI73" s="1049">
        <f t="shared" si="72"/>
        <v>44252.22</v>
      </c>
      <c r="AJ73" s="1664">
        <v>5507.71</v>
      </c>
      <c r="AK73" s="1665">
        <v>1353.17</v>
      </c>
      <c r="AL73" s="1665">
        <v>1258.53</v>
      </c>
      <c r="AM73" s="1665">
        <v>-0.06</v>
      </c>
      <c r="AN73" s="1666">
        <v>0</v>
      </c>
      <c r="AO73" s="1041">
        <f t="shared" si="73"/>
        <v>8119.3499999999995</v>
      </c>
      <c r="AP73" s="1686"/>
      <c r="AQ73" s="1687"/>
      <c r="AR73" s="1687"/>
      <c r="AS73" s="1687"/>
      <c r="AT73" s="1688"/>
      <c r="AU73" s="1043">
        <f t="shared" si="74"/>
        <v>0</v>
      </c>
      <c r="AV73" s="1692">
        <v>2088.17</v>
      </c>
      <c r="AW73" s="1693">
        <v>522.03</v>
      </c>
      <c r="AX73" s="1693">
        <v>0</v>
      </c>
      <c r="AY73" s="1693">
        <v>0</v>
      </c>
      <c r="AZ73" s="1694">
        <v>0</v>
      </c>
      <c r="BA73" s="1039">
        <f t="shared" si="75"/>
        <v>2610.1999999999998</v>
      </c>
      <c r="BB73" s="1675">
        <v>66.81</v>
      </c>
      <c r="BC73" s="1115">
        <v>120.66</v>
      </c>
      <c r="BD73" s="1115">
        <v>0</v>
      </c>
      <c r="BE73" s="1115">
        <v>0</v>
      </c>
      <c r="BF73" s="1676">
        <v>0</v>
      </c>
      <c r="BG73" s="1046">
        <f t="shared" si="76"/>
        <v>187.47</v>
      </c>
      <c r="BH73" s="1675">
        <v>17300.009999999998</v>
      </c>
      <c r="BI73" s="1115">
        <v>2191.33</v>
      </c>
      <c r="BJ73" s="1115">
        <v>3575.35</v>
      </c>
      <c r="BK73" s="1115">
        <v>-7.0000000000000007E-2</v>
      </c>
      <c r="BL73" s="1676">
        <v>0</v>
      </c>
      <c r="BM73" s="1046">
        <f t="shared" si="77"/>
        <v>23066.619999999995</v>
      </c>
      <c r="BN73" s="1675"/>
      <c r="BO73" s="1115"/>
      <c r="BP73" s="1115"/>
      <c r="BQ73" s="1115"/>
      <c r="BR73" s="1676"/>
      <c r="BS73" s="1049">
        <f t="shared" si="78"/>
        <v>0</v>
      </c>
      <c r="BT73" s="1675">
        <v>3400.5204013972871</v>
      </c>
      <c r="BU73" s="1115">
        <v>20598.249598602713</v>
      </c>
      <c r="BV73" s="1115">
        <v>4402.18</v>
      </c>
      <c r="BW73" s="1115">
        <v>-0.16</v>
      </c>
      <c r="BX73" s="1676">
        <v>0</v>
      </c>
      <c r="BY73" s="1049">
        <f t="shared" si="79"/>
        <v>28400.79</v>
      </c>
      <c r="BZ73" s="1677">
        <v>125.64</v>
      </c>
      <c r="CA73" s="1045">
        <v>0</v>
      </c>
      <c r="CB73" s="1045">
        <v>186.9</v>
      </c>
      <c r="CC73" s="1045">
        <v>0</v>
      </c>
      <c r="CD73" s="1678">
        <v>0</v>
      </c>
      <c r="CE73" s="1049">
        <f t="shared" si="80"/>
        <v>312.54000000000002</v>
      </c>
      <c r="CF73" s="1677"/>
      <c r="CG73" s="1045"/>
      <c r="CH73" s="1045"/>
      <c r="CI73" s="1045"/>
      <c r="CJ73" s="1045"/>
      <c r="CK73" s="1046">
        <f t="shared" si="81"/>
        <v>0</v>
      </c>
      <c r="CL73" s="1675"/>
      <c r="CM73" s="1115"/>
      <c r="CN73" s="1115"/>
      <c r="CO73" s="1115"/>
      <c r="CP73" s="1676"/>
      <c r="CQ73" s="1049">
        <f t="shared" si="82"/>
        <v>0</v>
      </c>
      <c r="CR73" s="1675"/>
      <c r="CS73" s="1115"/>
      <c r="CT73" s="1115"/>
      <c r="CU73" s="1115"/>
      <c r="CV73" s="1676"/>
      <c r="CW73" s="1046">
        <f t="shared" si="83"/>
        <v>0</v>
      </c>
      <c r="CX73" s="1675"/>
      <c r="CY73" s="1115"/>
      <c r="CZ73" s="1115"/>
      <c r="DA73" s="1115"/>
      <c r="DB73" s="1676"/>
      <c r="DC73" s="1049">
        <f t="shared" si="84"/>
        <v>0</v>
      </c>
      <c r="DD73" s="1675"/>
      <c r="DE73" s="1115"/>
      <c r="DF73" s="1115"/>
      <c r="DG73" s="1115"/>
      <c r="DH73" s="1115"/>
      <c r="DI73" s="1114">
        <f t="shared" si="85"/>
        <v>0</v>
      </c>
      <c r="DJ73" s="1115"/>
      <c r="DK73" s="1115"/>
      <c r="DL73" s="1115"/>
      <c r="DM73" s="1115"/>
      <c r="DN73" s="1115"/>
      <c r="DO73" s="1115">
        <f t="shared" si="86"/>
        <v>0</v>
      </c>
      <c r="DP73" s="1675">
        <v>6808</v>
      </c>
      <c r="DQ73" s="1115">
        <v>4697.5200000000004</v>
      </c>
      <c r="DR73" s="1115">
        <v>2110.48</v>
      </c>
      <c r="DS73" s="1115">
        <v>0</v>
      </c>
      <c r="DT73" s="1676">
        <v>0</v>
      </c>
      <c r="DU73" s="1050">
        <f t="shared" si="87"/>
        <v>13616</v>
      </c>
      <c r="DV73" s="1675">
        <v>11670.32</v>
      </c>
      <c r="DW73" s="1115">
        <v>0</v>
      </c>
      <c r="DX73" s="1115">
        <v>2140.6999999999998</v>
      </c>
      <c r="DY73" s="1115">
        <v>0.06</v>
      </c>
      <c r="DZ73" s="1676">
        <v>0</v>
      </c>
      <c r="EA73" s="1049">
        <f t="shared" si="88"/>
        <v>13811.08</v>
      </c>
    </row>
    <row r="74" spans="1:131" ht="15" customHeight="1" x14ac:dyDescent="0.25">
      <c r="A74" s="716" t="s">
        <v>182</v>
      </c>
      <c r="B74" s="810" t="s">
        <v>183</v>
      </c>
      <c r="C74" s="911" t="s">
        <v>266</v>
      </c>
      <c r="D74" s="808">
        <f t="shared" si="61"/>
        <v>24520.831893671148</v>
      </c>
      <c r="E74" s="808">
        <f t="shared" si="62"/>
        <v>14710.438106328853</v>
      </c>
      <c r="F74" s="808">
        <f t="shared" si="63"/>
        <v>6757.6900000000005</v>
      </c>
      <c r="G74" s="808">
        <f t="shared" si="64"/>
        <v>624.90000000000009</v>
      </c>
      <c r="H74" s="808">
        <f t="shared" si="65"/>
        <v>0</v>
      </c>
      <c r="I74" s="1391">
        <f t="shared" si="66"/>
        <v>46613.860000000008</v>
      </c>
      <c r="J74" s="809">
        <f t="shared" si="67"/>
        <v>624.90000000000009</v>
      </c>
      <c r="K74" s="1392">
        <f t="shared" si="68"/>
        <v>7382.59</v>
      </c>
      <c r="L74" s="1656"/>
      <c r="M74" s="1035"/>
      <c r="N74" s="1035"/>
      <c r="O74" s="1035"/>
      <c r="P74" s="1035"/>
      <c r="Q74" s="1036">
        <f t="shared" si="69"/>
        <v>0</v>
      </c>
      <c r="R74" s="1650"/>
      <c r="S74" s="1040"/>
      <c r="T74" s="1040"/>
      <c r="U74" s="1040"/>
      <c r="V74" s="1651"/>
      <c r="W74" s="1039">
        <f t="shared" si="70"/>
        <v>0</v>
      </c>
      <c r="X74" s="1667"/>
      <c r="Y74" s="1038"/>
      <c r="Z74" s="1038"/>
      <c r="AA74" s="1038"/>
      <c r="AB74" s="1668"/>
      <c r="AC74" s="1037">
        <f t="shared" si="71"/>
        <v>0</v>
      </c>
      <c r="AD74" s="1675">
        <v>3475.05</v>
      </c>
      <c r="AE74" s="1115">
        <v>0</v>
      </c>
      <c r="AF74" s="1115">
        <v>868.77</v>
      </c>
      <c r="AG74" s="1115">
        <v>0</v>
      </c>
      <c r="AH74" s="1676">
        <v>0</v>
      </c>
      <c r="AI74" s="1049">
        <f t="shared" si="72"/>
        <v>4343.82</v>
      </c>
      <c r="AJ74" s="1667"/>
      <c r="AK74" s="1038"/>
      <c r="AL74" s="1038"/>
      <c r="AM74" s="1038"/>
      <c r="AN74" s="1038"/>
      <c r="AO74" s="1041">
        <f t="shared" si="73"/>
        <v>0</v>
      </c>
      <c r="AP74" s="1689">
        <v>2921.8</v>
      </c>
      <c r="AQ74" s="1042">
        <v>730.44</v>
      </c>
      <c r="AR74" s="1042">
        <v>0</v>
      </c>
      <c r="AS74" s="1042">
        <v>0</v>
      </c>
      <c r="AT74" s="1042">
        <v>0</v>
      </c>
      <c r="AU74" s="1043">
        <f t="shared" si="74"/>
        <v>3652.2400000000002</v>
      </c>
      <c r="AV74" s="1652"/>
      <c r="AW74" s="1113"/>
      <c r="AX74" s="1113"/>
      <c r="AY74" s="1113"/>
      <c r="AZ74" s="1653"/>
      <c r="BA74" s="1039">
        <f t="shared" si="75"/>
        <v>0</v>
      </c>
      <c r="BB74" s="1677"/>
      <c r="BC74" s="1045"/>
      <c r="BD74" s="1045"/>
      <c r="BE74" s="1045"/>
      <c r="BF74" s="1045"/>
      <c r="BG74" s="1046">
        <f t="shared" si="76"/>
        <v>0</v>
      </c>
      <c r="BH74" s="1675">
        <v>13136.26</v>
      </c>
      <c r="BI74" s="1115">
        <v>1663.95</v>
      </c>
      <c r="BJ74" s="1115">
        <v>2714.85</v>
      </c>
      <c r="BK74" s="1115">
        <v>624.94000000000005</v>
      </c>
      <c r="BL74" s="1676">
        <v>0</v>
      </c>
      <c r="BM74" s="1046">
        <f t="shared" si="77"/>
        <v>18140</v>
      </c>
      <c r="BN74" s="1675"/>
      <c r="BO74" s="1115"/>
      <c r="BP74" s="1115"/>
      <c r="BQ74" s="1115"/>
      <c r="BR74" s="1676"/>
      <c r="BS74" s="1049">
        <f t="shared" si="78"/>
        <v>0</v>
      </c>
      <c r="BT74" s="1675">
        <v>1687.721893671147</v>
      </c>
      <c r="BU74" s="1115">
        <v>10039.028106328853</v>
      </c>
      <c r="BV74" s="1115">
        <v>2151.06</v>
      </c>
      <c r="BW74" s="1115">
        <v>-0.01</v>
      </c>
      <c r="BX74" s="1676">
        <v>0</v>
      </c>
      <c r="BY74" s="1049">
        <f t="shared" si="79"/>
        <v>13877.8</v>
      </c>
      <c r="BZ74" s="1677"/>
      <c r="CA74" s="1045"/>
      <c r="CB74" s="1045"/>
      <c r="CC74" s="1045"/>
      <c r="CD74" s="1678"/>
      <c r="CE74" s="1049">
        <f t="shared" si="80"/>
        <v>0</v>
      </c>
      <c r="CF74" s="1677"/>
      <c r="CG74" s="1045"/>
      <c r="CH74" s="1045"/>
      <c r="CI74" s="1045"/>
      <c r="CJ74" s="1045"/>
      <c r="CK74" s="1046">
        <f t="shared" si="81"/>
        <v>0</v>
      </c>
      <c r="CL74" s="1675"/>
      <c r="CM74" s="1115"/>
      <c r="CN74" s="1115"/>
      <c r="CO74" s="1115"/>
      <c r="CP74" s="1676"/>
      <c r="CQ74" s="1049">
        <f t="shared" si="82"/>
        <v>0</v>
      </c>
      <c r="CR74" s="1677"/>
      <c r="CS74" s="1045"/>
      <c r="CT74" s="1045"/>
      <c r="CU74" s="1045"/>
      <c r="CV74" s="1045"/>
      <c r="CW74" s="1046">
        <f t="shared" si="83"/>
        <v>0</v>
      </c>
      <c r="CX74" s="1675"/>
      <c r="CY74" s="1115"/>
      <c r="CZ74" s="1115"/>
      <c r="DA74" s="1115"/>
      <c r="DB74" s="1676"/>
      <c r="DC74" s="1049">
        <f t="shared" si="84"/>
        <v>0</v>
      </c>
      <c r="DD74" s="1675"/>
      <c r="DE74" s="1115"/>
      <c r="DF74" s="1115"/>
      <c r="DG74" s="1115"/>
      <c r="DH74" s="1115"/>
      <c r="DI74" s="1114">
        <f t="shared" si="85"/>
        <v>0</v>
      </c>
      <c r="DJ74" s="1115"/>
      <c r="DK74" s="1115"/>
      <c r="DL74" s="1115"/>
      <c r="DM74" s="1115"/>
      <c r="DN74" s="1115"/>
      <c r="DO74" s="1115">
        <f t="shared" si="86"/>
        <v>0</v>
      </c>
      <c r="DP74" s="1675">
        <v>3300</v>
      </c>
      <c r="DQ74" s="1115">
        <v>2277.02</v>
      </c>
      <c r="DR74" s="1115">
        <v>1023.01</v>
      </c>
      <c r="DS74" s="1115">
        <v>-0.03</v>
      </c>
      <c r="DT74" s="1676">
        <v>0</v>
      </c>
      <c r="DU74" s="1050">
        <f t="shared" si="87"/>
        <v>6600.0000000000009</v>
      </c>
      <c r="DV74" s="1677"/>
      <c r="DW74" s="1045"/>
      <c r="DX74" s="1045"/>
      <c r="DY74" s="1045"/>
      <c r="DZ74" s="1678"/>
      <c r="EA74" s="1049">
        <f t="shared" si="88"/>
        <v>0</v>
      </c>
    </row>
    <row r="75" spans="1:131" ht="15" customHeight="1" x14ac:dyDescent="0.25">
      <c r="A75" s="716" t="s">
        <v>184</v>
      </c>
      <c r="B75" s="810" t="s">
        <v>185</v>
      </c>
      <c r="C75" s="911" t="s">
        <v>266</v>
      </c>
      <c r="D75" s="808">
        <f t="shared" si="61"/>
        <v>34871.133825040022</v>
      </c>
      <c r="E75" s="808">
        <f t="shared" si="62"/>
        <v>91756.556174959987</v>
      </c>
      <c r="F75" s="808">
        <f t="shared" si="63"/>
        <v>23490.039999999997</v>
      </c>
      <c r="G75" s="808">
        <f t="shared" si="64"/>
        <v>-7.0000000000000007E-2</v>
      </c>
      <c r="H75" s="808">
        <f t="shared" si="65"/>
        <v>0</v>
      </c>
      <c r="I75" s="1391">
        <f t="shared" si="66"/>
        <v>150117.66</v>
      </c>
      <c r="J75" s="809">
        <f t="shared" si="67"/>
        <v>-7.0000000000000007E-2</v>
      </c>
      <c r="K75" s="1392">
        <f t="shared" si="68"/>
        <v>23489.969999999998</v>
      </c>
      <c r="L75" s="1657"/>
      <c r="M75" s="1658"/>
      <c r="N75" s="1658"/>
      <c r="O75" s="1658"/>
      <c r="P75" s="1659"/>
      <c r="Q75" s="1036">
        <f t="shared" si="69"/>
        <v>0</v>
      </c>
      <c r="R75" s="1650"/>
      <c r="S75" s="1040"/>
      <c r="T75" s="1040"/>
      <c r="U75" s="1040"/>
      <c r="V75" s="1651"/>
      <c r="W75" s="1039">
        <f t="shared" si="70"/>
        <v>0</v>
      </c>
      <c r="X75" s="1664"/>
      <c r="Y75" s="1665"/>
      <c r="Z75" s="1665"/>
      <c r="AA75" s="1665"/>
      <c r="AB75" s="1666"/>
      <c r="AC75" s="1037">
        <f t="shared" si="71"/>
        <v>0</v>
      </c>
      <c r="AD75" s="1675">
        <v>6645.41</v>
      </c>
      <c r="AE75" s="1115">
        <v>0</v>
      </c>
      <c r="AF75" s="1115">
        <v>1661.33</v>
      </c>
      <c r="AG75" s="1115">
        <v>0</v>
      </c>
      <c r="AH75" s="1676">
        <v>0</v>
      </c>
      <c r="AI75" s="1049">
        <f t="shared" si="72"/>
        <v>8306.74</v>
      </c>
      <c r="AJ75" s="1667"/>
      <c r="AK75" s="1038"/>
      <c r="AL75" s="1038"/>
      <c r="AM75" s="1038"/>
      <c r="AN75" s="1038"/>
      <c r="AO75" s="1041">
        <f t="shared" si="73"/>
        <v>0</v>
      </c>
      <c r="AP75" s="1689"/>
      <c r="AQ75" s="1042"/>
      <c r="AR75" s="1042"/>
      <c r="AS75" s="1042"/>
      <c r="AT75" s="1042"/>
      <c r="AU75" s="1043">
        <f t="shared" si="74"/>
        <v>0</v>
      </c>
      <c r="AV75" s="1692">
        <v>784.59</v>
      </c>
      <c r="AW75" s="1693">
        <v>196.15</v>
      </c>
      <c r="AX75" s="1693">
        <v>0</v>
      </c>
      <c r="AY75" s="1693">
        <v>0</v>
      </c>
      <c r="AZ75" s="1694">
        <v>0</v>
      </c>
      <c r="BA75" s="1039">
        <f t="shared" si="75"/>
        <v>980.74</v>
      </c>
      <c r="BB75" s="1677"/>
      <c r="BC75" s="1045"/>
      <c r="BD75" s="1045"/>
      <c r="BE75" s="1045"/>
      <c r="BF75" s="1045"/>
      <c r="BG75" s="1046">
        <f t="shared" si="76"/>
        <v>0</v>
      </c>
      <c r="BH75" s="1675">
        <v>6313.51</v>
      </c>
      <c r="BI75" s="1115">
        <v>799.72</v>
      </c>
      <c r="BJ75" s="1115">
        <v>1304.81</v>
      </c>
      <c r="BK75" s="1115">
        <v>-0.05</v>
      </c>
      <c r="BL75" s="1676">
        <v>0</v>
      </c>
      <c r="BM75" s="1046">
        <f t="shared" si="77"/>
        <v>8417.9900000000016</v>
      </c>
      <c r="BN75" s="1675"/>
      <c r="BO75" s="1115"/>
      <c r="BP75" s="1115"/>
      <c r="BQ75" s="1115"/>
      <c r="BR75" s="1676"/>
      <c r="BS75" s="1049">
        <f t="shared" si="78"/>
        <v>0</v>
      </c>
      <c r="BT75" s="1675">
        <v>14613.893825040017</v>
      </c>
      <c r="BU75" s="1115">
        <v>88483.686174959992</v>
      </c>
      <c r="BV75" s="1115">
        <v>18911.419999999998</v>
      </c>
      <c r="BW75" s="1115">
        <v>-0.06</v>
      </c>
      <c r="BX75" s="1676">
        <v>0</v>
      </c>
      <c r="BY75" s="1049">
        <f t="shared" si="79"/>
        <v>122008.94000000002</v>
      </c>
      <c r="BZ75" s="1677"/>
      <c r="CA75" s="1045"/>
      <c r="CB75" s="1045"/>
      <c r="CC75" s="1045"/>
      <c r="CD75" s="1678"/>
      <c r="CE75" s="1049">
        <f t="shared" si="80"/>
        <v>0</v>
      </c>
      <c r="CF75" s="1677"/>
      <c r="CG75" s="1045"/>
      <c r="CH75" s="1045"/>
      <c r="CI75" s="1045"/>
      <c r="CJ75" s="1045"/>
      <c r="CK75" s="1046">
        <f t="shared" si="81"/>
        <v>0</v>
      </c>
      <c r="CL75" s="1677"/>
      <c r="CM75" s="1045"/>
      <c r="CN75" s="1045"/>
      <c r="CO75" s="1045"/>
      <c r="CP75" s="1678"/>
      <c r="CQ75" s="1049">
        <f t="shared" si="82"/>
        <v>0</v>
      </c>
      <c r="CR75" s="1675"/>
      <c r="CS75" s="1115"/>
      <c r="CT75" s="1115"/>
      <c r="CU75" s="1115"/>
      <c r="CV75" s="1676"/>
      <c r="CW75" s="1046">
        <f t="shared" si="83"/>
        <v>0</v>
      </c>
      <c r="CX75" s="1675"/>
      <c r="CY75" s="1115"/>
      <c r="CZ75" s="1115"/>
      <c r="DA75" s="1115"/>
      <c r="DB75" s="1676"/>
      <c r="DC75" s="1049">
        <f t="shared" si="84"/>
        <v>0</v>
      </c>
      <c r="DD75" s="1675"/>
      <c r="DE75" s="1115"/>
      <c r="DF75" s="1115"/>
      <c r="DG75" s="1115"/>
      <c r="DH75" s="1115"/>
      <c r="DI75" s="1114">
        <f t="shared" si="85"/>
        <v>0</v>
      </c>
      <c r="DJ75" s="1115"/>
      <c r="DK75" s="1115"/>
      <c r="DL75" s="1115"/>
      <c r="DM75" s="1115"/>
      <c r="DN75" s="1115"/>
      <c r="DO75" s="1115">
        <f t="shared" si="86"/>
        <v>0</v>
      </c>
      <c r="DP75" s="1675">
        <v>3300</v>
      </c>
      <c r="DQ75" s="1115">
        <v>2277</v>
      </c>
      <c r="DR75" s="1115">
        <v>1023</v>
      </c>
      <c r="DS75" s="1115">
        <v>0</v>
      </c>
      <c r="DT75" s="1676">
        <v>0</v>
      </c>
      <c r="DU75" s="1050">
        <f t="shared" si="87"/>
        <v>6600</v>
      </c>
      <c r="DV75" s="1675">
        <v>3213.73</v>
      </c>
      <c r="DW75" s="1115">
        <v>0</v>
      </c>
      <c r="DX75" s="1115">
        <v>589.48</v>
      </c>
      <c r="DY75" s="1115">
        <v>0.04</v>
      </c>
      <c r="DZ75" s="1676">
        <v>0</v>
      </c>
      <c r="EA75" s="1049">
        <f t="shared" si="88"/>
        <v>3803.25</v>
      </c>
    </row>
    <row r="76" spans="1:131" ht="15" customHeight="1" x14ac:dyDescent="0.25">
      <c r="A76" s="716" t="s">
        <v>186</v>
      </c>
      <c r="B76" s="810" t="s">
        <v>187</v>
      </c>
      <c r="C76" s="911" t="s">
        <v>264</v>
      </c>
      <c r="D76" s="808">
        <f t="shared" si="61"/>
        <v>28592.954590996036</v>
      </c>
      <c r="E76" s="808">
        <f t="shared" si="62"/>
        <v>14454.565409003964</v>
      </c>
      <c r="F76" s="808">
        <f t="shared" si="63"/>
        <v>8427.0700000000015</v>
      </c>
      <c r="G76" s="808">
        <f t="shared" si="64"/>
        <v>-2.0000000000000004E-2</v>
      </c>
      <c r="H76" s="808">
        <f t="shared" si="65"/>
        <v>0</v>
      </c>
      <c r="I76" s="1391">
        <f t="shared" si="66"/>
        <v>51474.570000000007</v>
      </c>
      <c r="J76" s="809">
        <f t="shared" si="67"/>
        <v>-2.0000000000000004E-2</v>
      </c>
      <c r="K76" s="1392">
        <f t="shared" si="68"/>
        <v>8427.0500000000011</v>
      </c>
      <c r="L76" s="1656"/>
      <c r="M76" s="1035"/>
      <c r="N76" s="1035"/>
      <c r="O76" s="1035"/>
      <c r="P76" s="1035"/>
      <c r="Q76" s="1036">
        <f t="shared" si="69"/>
        <v>0</v>
      </c>
      <c r="R76" s="1650"/>
      <c r="S76" s="1040"/>
      <c r="T76" s="1040"/>
      <c r="U76" s="1040"/>
      <c r="V76" s="1651"/>
      <c r="W76" s="1039">
        <f t="shared" si="70"/>
        <v>0</v>
      </c>
      <c r="X76" s="1664">
        <v>434.28</v>
      </c>
      <c r="Y76" s="1665">
        <v>2.59</v>
      </c>
      <c r="Z76" s="1665">
        <v>80.14</v>
      </c>
      <c r="AA76" s="1665">
        <v>-0.01</v>
      </c>
      <c r="AB76" s="1666">
        <v>0</v>
      </c>
      <c r="AC76" s="1037">
        <f t="shared" si="71"/>
        <v>517</v>
      </c>
      <c r="AD76" s="1675">
        <v>8420.4500000000007</v>
      </c>
      <c r="AE76" s="1115">
        <v>0</v>
      </c>
      <c r="AF76" s="1115">
        <v>2105.09</v>
      </c>
      <c r="AG76" s="1115">
        <v>0</v>
      </c>
      <c r="AH76" s="1676">
        <v>0</v>
      </c>
      <c r="AI76" s="1049">
        <f t="shared" si="72"/>
        <v>10525.54</v>
      </c>
      <c r="AJ76" s="1667"/>
      <c r="AK76" s="1038"/>
      <c r="AL76" s="1038"/>
      <c r="AM76" s="1038"/>
      <c r="AN76" s="1038"/>
      <c r="AO76" s="1041">
        <f t="shared" si="73"/>
        <v>0</v>
      </c>
      <c r="AP76" s="1686"/>
      <c r="AQ76" s="1687"/>
      <c r="AR76" s="1687"/>
      <c r="AS76" s="1687"/>
      <c r="AT76" s="1688"/>
      <c r="AU76" s="1043">
        <f t="shared" si="74"/>
        <v>0</v>
      </c>
      <c r="AV76" s="1692">
        <v>731.63</v>
      </c>
      <c r="AW76" s="1693">
        <v>182.9</v>
      </c>
      <c r="AX76" s="1693">
        <v>0</v>
      </c>
      <c r="AY76" s="1693">
        <v>0</v>
      </c>
      <c r="AZ76" s="1694">
        <v>0</v>
      </c>
      <c r="BA76" s="1039">
        <f t="shared" si="75"/>
        <v>914.53</v>
      </c>
      <c r="BB76" s="1677">
        <v>185.33</v>
      </c>
      <c r="BC76" s="1045">
        <v>334.67</v>
      </c>
      <c r="BD76" s="1045">
        <v>0</v>
      </c>
      <c r="BE76" s="1045">
        <v>0</v>
      </c>
      <c r="BF76" s="1045">
        <v>0</v>
      </c>
      <c r="BG76" s="1046">
        <f t="shared" si="76"/>
        <v>520</v>
      </c>
      <c r="BH76" s="1675">
        <v>8138.36</v>
      </c>
      <c r="BI76" s="1115">
        <v>1030.8599999999999</v>
      </c>
      <c r="BJ76" s="1115">
        <v>1681.92</v>
      </c>
      <c r="BK76" s="1115">
        <v>-0.01</v>
      </c>
      <c r="BL76" s="1676">
        <v>0</v>
      </c>
      <c r="BM76" s="1046">
        <f t="shared" si="77"/>
        <v>10851.13</v>
      </c>
      <c r="BN76" s="1675"/>
      <c r="BO76" s="1115"/>
      <c r="BP76" s="1115"/>
      <c r="BQ76" s="1115"/>
      <c r="BR76" s="1676"/>
      <c r="BS76" s="1049">
        <f t="shared" si="78"/>
        <v>0</v>
      </c>
      <c r="BT76" s="1675">
        <v>1822.7045909960352</v>
      </c>
      <c r="BU76" s="1115">
        <v>10341.915409003965</v>
      </c>
      <c r="BV76" s="1115">
        <v>2231.38</v>
      </c>
      <c r="BW76" s="1115">
        <v>-0.05</v>
      </c>
      <c r="BX76" s="1676">
        <v>0</v>
      </c>
      <c r="BY76" s="1049">
        <f t="shared" si="79"/>
        <v>14395.95</v>
      </c>
      <c r="BZ76" s="1677">
        <v>59.09</v>
      </c>
      <c r="CA76" s="1045">
        <v>0</v>
      </c>
      <c r="CB76" s="1045">
        <v>87.89</v>
      </c>
      <c r="CC76" s="1045">
        <v>0</v>
      </c>
      <c r="CD76" s="1678">
        <v>0</v>
      </c>
      <c r="CE76" s="1049">
        <f t="shared" si="80"/>
        <v>146.98000000000002</v>
      </c>
      <c r="CF76" s="1677">
        <v>61.37</v>
      </c>
      <c r="CG76" s="1045">
        <v>0</v>
      </c>
      <c r="CH76" s="1045">
        <v>167.63</v>
      </c>
      <c r="CI76" s="1045">
        <v>0</v>
      </c>
      <c r="CJ76" s="1045">
        <v>0</v>
      </c>
      <c r="CK76" s="1046">
        <f t="shared" si="81"/>
        <v>229</v>
      </c>
      <c r="CL76" s="1677"/>
      <c r="CM76" s="1045"/>
      <c r="CN76" s="1045"/>
      <c r="CO76" s="1045"/>
      <c r="CP76" s="1678"/>
      <c r="CQ76" s="1049">
        <f t="shared" si="82"/>
        <v>0</v>
      </c>
      <c r="CR76" s="1677"/>
      <c r="CS76" s="1045"/>
      <c r="CT76" s="1045"/>
      <c r="CU76" s="1045"/>
      <c r="CV76" s="1045"/>
      <c r="CW76" s="1046">
        <f t="shared" si="83"/>
        <v>0</v>
      </c>
      <c r="CX76" s="1675"/>
      <c r="CY76" s="1115"/>
      <c r="CZ76" s="1115"/>
      <c r="DA76" s="1115"/>
      <c r="DB76" s="1676"/>
      <c r="DC76" s="1049">
        <f t="shared" si="84"/>
        <v>0</v>
      </c>
      <c r="DD76" s="1675"/>
      <c r="DE76" s="1115"/>
      <c r="DF76" s="1115"/>
      <c r="DG76" s="1115"/>
      <c r="DH76" s="1115"/>
      <c r="DI76" s="1114">
        <f t="shared" si="85"/>
        <v>0</v>
      </c>
      <c r="DJ76" s="1115"/>
      <c r="DK76" s="1115"/>
      <c r="DL76" s="1115"/>
      <c r="DM76" s="1115"/>
      <c r="DN76" s="1115"/>
      <c r="DO76" s="1115">
        <f t="shared" si="86"/>
        <v>0</v>
      </c>
      <c r="DP76" s="1675">
        <v>3712.5</v>
      </c>
      <c r="DQ76" s="1115">
        <v>2561.63</v>
      </c>
      <c r="DR76" s="1115">
        <v>1150.8800000000001</v>
      </c>
      <c r="DS76" s="1115">
        <v>-0.01</v>
      </c>
      <c r="DT76" s="1676">
        <v>0</v>
      </c>
      <c r="DU76" s="1050">
        <f t="shared" si="87"/>
        <v>7425</v>
      </c>
      <c r="DV76" s="1675">
        <v>5027.24</v>
      </c>
      <c r="DW76" s="1115">
        <v>0</v>
      </c>
      <c r="DX76" s="1115">
        <v>922.14</v>
      </c>
      <c r="DY76" s="1115">
        <v>0.06</v>
      </c>
      <c r="DZ76" s="1676">
        <v>0</v>
      </c>
      <c r="EA76" s="1049">
        <f t="shared" si="88"/>
        <v>5949.4400000000005</v>
      </c>
    </row>
    <row r="77" spans="1:131" ht="15" customHeight="1" x14ac:dyDescent="0.25">
      <c r="A77" s="716" t="s">
        <v>188</v>
      </c>
      <c r="B77" s="810" t="s">
        <v>189</v>
      </c>
      <c r="C77" s="911" t="s">
        <v>267</v>
      </c>
      <c r="D77" s="808">
        <f t="shared" si="61"/>
        <v>331928.20398247475</v>
      </c>
      <c r="E77" s="808">
        <f t="shared" si="62"/>
        <v>140897.56601752524</v>
      </c>
      <c r="F77" s="808">
        <f t="shared" si="63"/>
        <v>95255.34</v>
      </c>
      <c r="G77" s="808">
        <f t="shared" si="64"/>
        <v>-0.19999999999999998</v>
      </c>
      <c r="H77" s="808">
        <f t="shared" si="65"/>
        <v>7060.55</v>
      </c>
      <c r="I77" s="1391">
        <f t="shared" si="66"/>
        <v>575141.46000000008</v>
      </c>
      <c r="J77" s="809">
        <f t="shared" si="67"/>
        <v>7060.35</v>
      </c>
      <c r="K77" s="1392">
        <f t="shared" si="68"/>
        <v>102315.69</v>
      </c>
      <c r="L77" s="1656"/>
      <c r="M77" s="1035"/>
      <c r="N77" s="1035"/>
      <c r="O77" s="1035"/>
      <c r="P77" s="1035"/>
      <c r="Q77" s="1036">
        <f t="shared" si="69"/>
        <v>0</v>
      </c>
      <c r="R77" s="1650"/>
      <c r="S77" s="1040"/>
      <c r="T77" s="1040"/>
      <c r="U77" s="1040"/>
      <c r="V77" s="1651"/>
      <c r="W77" s="1039">
        <f t="shared" si="70"/>
        <v>0</v>
      </c>
      <c r="X77" s="1664">
        <v>41775.800000000003</v>
      </c>
      <c r="Y77" s="1665">
        <v>248.67</v>
      </c>
      <c r="Z77" s="1665">
        <v>7708.64</v>
      </c>
      <c r="AA77" s="1665">
        <v>-0.02</v>
      </c>
      <c r="AB77" s="1666">
        <v>0</v>
      </c>
      <c r="AC77" s="1037">
        <f t="shared" si="71"/>
        <v>49733.090000000004</v>
      </c>
      <c r="AD77" s="1675">
        <v>15740.45</v>
      </c>
      <c r="AE77" s="1115">
        <v>0</v>
      </c>
      <c r="AF77" s="1115">
        <v>3935.11</v>
      </c>
      <c r="AG77" s="1115">
        <v>0</v>
      </c>
      <c r="AH77" s="1676">
        <v>0</v>
      </c>
      <c r="AI77" s="1049">
        <f t="shared" si="72"/>
        <v>19675.560000000001</v>
      </c>
      <c r="AJ77" s="1664">
        <v>2885.11</v>
      </c>
      <c r="AK77" s="1665">
        <v>1215.28</v>
      </c>
      <c r="AL77" s="1665">
        <v>752.14</v>
      </c>
      <c r="AM77" s="1665">
        <v>-0.04</v>
      </c>
      <c r="AN77" s="1666">
        <v>0</v>
      </c>
      <c r="AO77" s="1041">
        <f t="shared" si="73"/>
        <v>4852.4900000000007</v>
      </c>
      <c r="AP77" s="1686">
        <v>3030.62</v>
      </c>
      <c r="AQ77" s="1687">
        <v>757.66</v>
      </c>
      <c r="AR77" s="1687">
        <v>0</v>
      </c>
      <c r="AS77" s="1687">
        <v>0</v>
      </c>
      <c r="AT77" s="1688">
        <v>0</v>
      </c>
      <c r="AU77" s="1043">
        <f t="shared" si="74"/>
        <v>3788.2799999999997</v>
      </c>
      <c r="AV77" s="1692">
        <v>8228.93</v>
      </c>
      <c r="AW77" s="1693">
        <v>2057.2199999999998</v>
      </c>
      <c r="AX77" s="1693">
        <v>0</v>
      </c>
      <c r="AY77" s="1693">
        <v>0</v>
      </c>
      <c r="AZ77" s="1694">
        <v>0</v>
      </c>
      <c r="BA77" s="1039">
        <f t="shared" si="75"/>
        <v>10286.15</v>
      </c>
      <c r="BB77" s="1675">
        <v>3515.87</v>
      </c>
      <c r="BC77" s="1115">
        <v>6349.13</v>
      </c>
      <c r="BD77" s="1115">
        <v>0</v>
      </c>
      <c r="BE77" s="1115">
        <v>0</v>
      </c>
      <c r="BF77" s="1676">
        <v>0</v>
      </c>
      <c r="BG77" s="1046">
        <f t="shared" si="76"/>
        <v>9865</v>
      </c>
      <c r="BH77" s="1675">
        <v>207748.5</v>
      </c>
      <c r="BI77" s="1115">
        <v>26314.82</v>
      </c>
      <c r="BJ77" s="1115">
        <v>42934.7</v>
      </c>
      <c r="BK77" s="1115">
        <v>-0.02</v>
      </c>
      <c r="BL77" s="1676">
        <v>0</v>
      </c>
      <c r="BM77" s="1046">
        <f t="shared" si="77"/>
        <v>276998</v>
      </c>
      <c r="BN77" s="1675">
        <v>-2852.28</v>
      </c>
      <c r="BO77" s="1115">
        <v>-2852.28</v>
      </c>
      <c r="BP77" s="1115">
        <v>0</v>
      </c>
      <c r="BQ77" s="1115">
        <v>0</v>
      </c>
      <c r="BR77" s="1676">
        <v>0</v>
      </c>
      <c r="BS77" s="1049">
        <f t="shared" si="78"/>
        <v>-5704.56</v>
      </c>
      <c r="BT77" s="1675">
        <v>16813.723982474723</v>
      </c>
      <c r="BU77" s="1115">
        <v>101844.42601752527</v>
      </c>
      <c r="BV77" s="1115">
        <v>21765.72</v>
      </c>
      <c r="BW77" s="1115">
        <v>-0.15</v>
      </c>
      <c r="BX77" s="1676">
        <v>0</v>
      </c>
      <c r="BY77" s="1049">
        <f t="shared" si="79"/>
        <v>140423.72</v>
      </c>
      <c r="BZ77" s="1675">
        <v>5051.6899999999996</v>
      </c>
      <c r="CA77" s="1115">
        <v>0</v>
      </c>
      <c r="CB77" s="1115">
        <v>7514.73</v>
      </c>
      <c r="CC77" s="1115">
        <v>0</v>
      </c>
      <c r="CD77" s="1676">
        <v>0</v>
      </c>
      <c r="CE77" s="1049">
        <f t="shared" si="80"/>
        <v>12566.419999999998</v>
      </c>
      <c r="CF77" s="1677"/>
      <c r="CG77" s="1045"/>
      <c r="CH77" s="1045"/>
      <c r="CI77" s="1045"/>
      <c r="CJ77" s="1045"/>
      <c r="CK77" s="1046">
        <f t="shared" si="81"/>
        <v>0</v>
      </c>
      <c r="CL77" s="1675"/>
      <c r="CM77" s="1115"/>
      <c r="CN77" s="1115"/>
      <c r="CO77" s="1115"/>
      <c r="CP77" s="1676"/>
      <c r="CQ77" s="1049">
        <f t="shared" si="82"/>
        <v>0</v>
      </c>
      <c r="CR77" s="1675">
        <v>-913.5</v>
      </c>
      <c r="CS77" s="1115">
        <v>-913.5</v>
      </c>
      <c r="CT77" s="1115">
        <v>0</v>
      </c>
      <c r="CU77" s="1115">
        <v>0</v>
      </c>
      <c r="CV77" s="1676">
        <v>0</v>
      </c>
      <c r="CW77" s="1046">
        <f t="shared" si="83"/>
        <v>-1827</v>
      </c>
      <c r="CX77" s="1675">
        <v>-3420.35</v>
      </c>
      <c r="CY77" s="1115">
        <v>-3420.35</v>
      </c>
      <c r="CZ77" s="1115">
        <v>0</v>
      </c>
      <c r="DA77" s="1115">
        <v>0</v>
      </c>
      <c r="DB77" s="1676">
        <v>0</v>
      </c>
      <c r="DC77" s="1049">
        <f t="shared" si="84"/>
        <v>-6840.7</v>
      </c>
      <c r="DD77" s="1675">
        <v>-10809.04</v>
      </c>
      <c r="DE77" s="1115">
        <v>0</v>
      </c>
      <c r="DF77" s="1115">
        <v>0</v>
      </c>
      <c r="DG77" s="1115">
        <v>0</v>
      </c>
      <c r="DH77" s="1115">
        <v>0</v>
      </c>
      <c r="DI77" s="1114">
        <f t="shared" si="85"/>
        <v>-10809.04</v>
      </c>
      <c r="DJ77" s="1115">
        <v>-1799.75</v>
      </c>
      <c r="DK77" s="1115">
        <v>-1799.75</v>
      </c>
      <c r="DL77" s="1115">
        <v>0</v>
      </c>
      <c r="DM77" s="1115">
        <v>0</v>
      </c>
      <c r="DN77" s="1115">
        <v>0</v>
      </c>
      <c r="DO77" s="1115">
        <f t="shared" si="86"/>
        <v>-3599.5</v>
      </c>
      <c r="DP77" s="1675">
        <v>16081.5</v>
      </c>
      <c r="DQ77" s="1115">
        <v>11096.24</v>
      </c>
      <c r="DR77" s="1115">
        <v>4985.2700000000004</v>
      </c>
      <c r="DS77" s="1115">
        <v>-0.01</v>
      </c>
      <c r="DT77" s="1676">
        <v>0</v>
      </c>
      <c r="DU77" s="1050">
        <f t="shared" si="87"/>
        <v>32163</v>
      </c>
      <c r="DV77" s="1675">
        <v>30850.93</v>
      </c>
      <c r="DW77" s="1115">
        <v>0</v>
      </c>
      <c r="DX77" s="1115">
        <v>5659.03</v>
      </c>
      <c r="DY77" s="1115">
        <v>0.04</v>
      </c>
      <c r="DZ77" s="1676">
        <v>7060.55</v>
      </c>
      <c r="EA77" s="1049">
        <f t="shared" si="88"/>
        <v>43570.55</v>
      </c>
    </row>
    <row r="78" spans="1:131" ht="15" customHeight="1" x14ac:dyDescent="0.25">
      <c r="A78" s="716" t="s">
        <v>190</v>
      </c>
      <c r="B78" s="810" t="s">
        <v>191</v>
      </c>
      <c r="C78" s="911" t="s">
        <v>268</v>
      </c>
      <c r="D78" s="808">
        <f t="shared" si="61"/>
        <v>78958.019879694315</v>
      </c>
      <c r="E78" s="808">
        <f t="shared" si="62"/>
        <v>25271.950120305693</v>
      </c>
      <c r="F78" s="808">
        <f t="shared" si="63"/>
        <v>19255.599999999999</v>
      </c>
      <c r="G78" s="808">
        <f t="shared" si="64"/>
        <v>-940.95</v>
      </c>
      <c r="H78" s="808">
        <f t="shared" si="65"/>
        <v>1328.98</v>
      </c>
      <c r="I78" s="1391">
        <f t="shared" si="66"/>
        <v>123873.60000000001</v>
      </c>
      <c r="J78" s="809">
        <f t="shared" si="67"/>
        <v>388.03</v>
      </c>
      <c r="K78" s="1392">
        <f t="shared" si="68"/>
        <v>19643.629999999997</v>
      </c>
      <c r="L78" s="1656"/>
      <c r="M78" s="1035"/>
      <c r="N78" s="1035"/>
      <c r="O78" s="1035"/>
      <c r="P78" s="1035"/>
      <c r="Q78" s="1036">
        <f t="shared" si="69"/>
        <v>0</v>
      </c>
      <c r="R78" s="1650"/>
      <c r="S78" s="1040"/>
      <c r="T78" s="1040"/>
      <c r="U78" s="1040"/>
      <c r="V78" s="1651"/>
      <c r="W78" s="1039">
        <f t="shared" si="70"/>
        <v>0</v>
      </c>
      <c r="X78" s="1664">
        <v>4294.91</v>
      </c>
      <c r="Y78" s="1665">
        <v>25.57</v>
      </c>
      <c r="Z78" s="1665">
        <v>792.52</v>
      </c>
      <c r="AA78" s="1665">
        <v>-0.02</v>
      </c>
      <c r="AB78" s="1666">
        <v>1328.98</v>
      </c>
      <c r="AC78" s="1037">
        <f t="shared" si="71"/>
        <v>6441.9599999999991</v>
      </c>
      <c r="AD78" s="1675">
        <v>24330.880000000001</v>
      </c>
      <c r="AE78" s="1115">
        <v>0</v>
      </c>
      <c r="AF78" s="1115">
        <v>6082.72</v>
      </c>
      <c r="AG78" s="1115">
        <v>0</v>
      </c>
      <c r="AH78" s="1676">
        <v>0</v>
      </c>
      <c r="AI78" s="1049">
        <f t="shared" si="72"/>
        <v>30413.600000000002</v>
      </c>
      <c r="AJ78" s="1667"/>
      <c r="AK78" s="1038"/>
      <c r="AL78" s="1038"/>
      <c r="AM78" s="1038"/>
      <c r="AN78" s="1038"/>
      <c r="AO78" s="1041">
        <f t="shared" si="73"/>
        <v>0</v>
      </c>
      <c r="AP78" s="1686">
        <v>3018.22</v>
      </c>
      <c r="AQ78" s="1687">
        <v>754.55</v>
      </c>
      <c r="AR78" s="1687">
        <v>0</v>
      </c>
      <c r="AS78" s="1687">
        <v>0</v>
      </c>
      <c r="AT78" s="1688">
        <v>0</v>
      </c>
      <c r="AU78" s="1043">
        <f t="shared" si="74"/>
        <v>3772.7699999999995</v>
      </c>
      <c r="AV78" s="1692">
        <v>4090.42</v>
      </c>
      <c r="AW78" s="1693">
        <v>1022.6</v>
      </c>
      <c r="AX78" s="1693">
        <v>0</v>
      </c>
      <c r="AY78" s="1693">
        <v>0</v>
      </c>
      <c r="AZ78" s="1694">
        <v>0</v>
      </c>
      <c r="BA78" s="1039">
        <f t="shared" si="75"/>
        <v>5113.0200000000004</v>
      </c>
      <c r="BB78" s="1677"/>
      <c r="BC78" s="1045"/>
      <c r="BD78" s="1045"/>
      <c r="BE78" s="1045"/>
      <c r="BF78" s="1045"/>
      <c r="BG78" s="1046">
        <f t="shared" si="76"/>
        <v>0</v>
      </c>
      <c r="BH78" s="1675">
        <v>24932.01</v>
      </c>
      <c r="BI78" s="1115">
        <v>3158.06</v>
      </c>
      <c r="BJ78" s="1115">
        <v>5152.63</v>
      </c>
      <c r="BK78" s="1115">
        <v>-940.87</v>
      </c>
      <c r="BL78" s="1676">
        <v>0</v>
      </c>
      <c r="BM78" s="1046">
        <f t="shared" si="77"/>
        <v>32301.829999999998</v>
      </c>
      <c r="BN78" s="1675"/>
      <c r="BO78" s="1115"/>
      <c r="BP78" s="1115"/>
      <c r="BQ78" s="1115"/>
      <c r="BR78" s="1676"/>
      <c r="BS78" s="1049">
        <f t="shared" si="78"/>
        <v>0</v>
      </c>
      <c r="BT78" s="1675">
        <v>2024.9998796943037</v>
      </c>
      <c r="BU78" s="1115">
        <v>12172.420120305695</v>
      </c>
      <c r="BV78" s="1115">
        <v>2604.29</v>
      </c>
      <c r="BW78" s="1115">
        <v>-0.11</v>
      </c>
      <c r="BX78" s="1676">
        <v>0</v>
      </c>
      <c r="BY78" s="1049">
        <f t="shared" si="79"/>
        <v>16801.599999999999</v>
      </c>
      <c r="BZ78" s="1677"/>
      <c r="CA78" s="1045"/>
      <c r="CB78" s="1045"/>
      <c r="CC78" s="1045"/>
      <c r="CD78" s="1678"/>
      <c r="CE78" s="1049">
        <f t="shared" si="80"/>
        <v>0</v>
      </c>
      <c r="CF78" s="1677"/>
      <c r="CG78" s="1045"/>
      <c r="CH78" s="1045"/>
      <c r="CI78" s="1045"/>
      <c r="CJ78" s="1045"/>
      <c r="CK78" s="1046">
        <f t="shared" si="81"/>
        <v>0</v>
      </c>
      <c r="CL78" s="1675"/>
      <c r="CM78" s="1115"/>
      <c r="CN78" s="1115"/>
      <c r="CO78" s="1115"/>
      <c r="CP78" s="1676"/>
      <c r="CQ78" s="1049">
        <f t="shared" si="82"/>
        <v>0</v>
      </c>
      <c r="CR78" s="1677"/>
      <c r="CS78" s="1045"/>
      <c r="CT78" s="1045"/>
      <c r="CU78" s="1045"/>
      <c r="CV78" s="1045"/>
      <c r="CW78" s="1046">
        <f t="shared" si="83"/>
        <v>0</v>
      </c>
      <c r="CX78" s="1675">
        <v>-225</v>
      </c>
      <c r="CY78" s="1115">
        <v>-225</v>
      </c>
      <c r="CZ78" s="1115">
        <v>0</v>
      </c>
      <c r="DA78" s="1115">
        <v>0</v>
      </c>
      <c r="DB78" s="1676">
        <v>0</v>
      </c>
      <c r="DC78" s="1049">
        <f t="shared" si="84"/>
        <v>-450</v>
      </c>
      <c r="DD78" s="1675"/>
      <c r="DE78" s="1115"/>
      <c r="DF78" s="1115"/>
      <c r="DG78" s="1115"/>
      <c r="DH78" s="1115"/>
      <c r="DI78" s="1114">
        <f t="shared" si="85"/>
        <v>0</v>
      </c>
      <c r="DJ78" s="1115">
        <v>-175</v>
      </c>
      <c r="DK78" s="1115">
        <v>-175</v>
      </c>
      <c r="DL78" s="1115">
        <v>0</v>
      </c>
      <c r="DM78" s="1115">
        <v>0</v>
      </c>
      <c r="DN78" s="1115">
        <v>0</v>
      </c>
      <c r="DO78" s="1115">
        <f t="shared" si="86"/>
        <v>-350</v>
      </c>
      <c r="DP78" s="1675">
        <v>12375</v>
      </c>
      <c r="DQ78" s="1115">
        <v>8538.75</v>
      </c>
      <c r="DR78" s="1115">
        <v>3836.25</v>
      </c>
      <c r="DS78" s="1115">
        <v>0</v>
      </c>
      <c r="DT78" s="1676">
        <v>0</v>
      </c>
      <c r="DU78" s="1050">
        <f t="shared" si="87"/>
        <v>24750</v>
      </c>
      <c r="DV78" s="1675">
        <v>4291.58</v>
      </c>
      <c r="DW78" s="1115">
        <v>0</v>
      </c>
      <c r="DX78" s="1115">
        <v>787.19</v>
      </c>
      <c r="DY78" s="1115">
        <v>0.05</v>
      </c>
      <c r="DZ78" s="1676">
        <v>0</v>
      </c>
      <c r="EA78" s="1049">
        <f t="shared" si="88"/>
        <v>5078.8200000000006</v>
      </c>
    </row>
    <row r="79" spans="1:131" ht="15" customHeight="1" x14ac:dyDescent="0.25">
      <c r="A79" s="716" t="s">
        <v>194</v>
      </c>
      <c r="B79" s="810" t="s">
        <v>195</v>
      </c>
      <c r="C79" s="911" t="s">
        <v>267</v>
      </c>
      <c r="D79" s="808">
        <f t="shared" si="61"/>
        <v>22513.073330920219</v>
      </c>
      <c r="E79" s="808">
        <f t="shared" si="62"/>
        <v>2325.5666690797775</v>
      </c>
      <c r="F79" s="808">
        <f t="shared" si="63"/>
        <v>4340.37</v>
      </c>
      <c r="G79" s="808">
        <f t="shared" si="64"/>
        <v>-0.12</v>
      </c>
      <c r="H79" s="808">
        <f t="shared" si="65"/>
        <v>0</v>
      </c>
      <c r="I79" s="1391">
        <f t="shared" si="66"/>
        <v>29178.889999999996</v>
      </c>
      <c r="J79" s="809">
        <f t="shared" si="67"/>
        <v>-0.12</v>
      </c>
      <c r="K79" s="1392">
        <f t="shared" si="68"/>
        <v>4340.25</v>
      </c>
      <c r="L79" s="1656"/>
      <c r="M79" s="1035"/>
      <c r="N79" s="1035"/>
      <c r="O79" s="1035"/>
      <c r="P79" s="1035"/>
      <c r="Q79" s="1036">
        <f t="shared" si="69"/>
        <v>0</v>
      </c>
      <c r="R79" s="1650"/>
      <c r="S79" s="1040"/>
      <c r="T79" s="1040"/>
      <c r="U79" s="1040"/>
      <c r="V79" s="1651"/>
      <c r="W79" s="1039">
        <f t="shared" si="70"/>
        <v>0</v>
      </c>
      <c r="X79" s="1667">
        <v>729.12</v>
      </c>
      <c r="Y79" s="1038">
        <v>4.34</v>
      </c>
      <c r="Z79" s="1038">
        <v>134.54</v>
      </c>
      <c r="AA79" s="1038">
        <v>0</v>
      </c>
      <c r="AB79" s="1668">
        <v>0</v>
      </c>
      <c r="AC79" s="1037">
        <f t="shared" si="71"/>
        <v>868</v>
      </c>
      <c r="AD79" s="1675">
        <v>2501.73</v>
      </c>
      <c r="AE79" s="1115">
        <v>0</v>
      </c>
      <c r="AF79" s="1115">
        <v>625.44000000000005</v>
      </c>
      <c r="AG79" s="1115">
        <v>0</v>
      </c>
      <c r="AH79" s="1676">
        <v>0</v>
      </c>
      <c r="AI79" s="1049">
        <f t="shared" si="72"/>
        <v>3127.17</v>
      </c>
      <c r="AJ79" s="1667"/>
      <c r="AK79" s="1038"/>
      <c r="AL79" s="1038"/>
      <c r="AM79" s="1038"/>
      <c r="AN79" s="1038"/>
      <c r="AO79" s="1041">
        <f t="shared" si="73"/>
        <v>0</v>
      </c>
      <c r="AP79" s="1689"/>
      <c r="AQ79" s="1042"/>
      <c r="AR79" s="1042"/>
      <c r="AS79" s="1042"/>
      <c r="AT79" s="1042"/>
      <c r="AU79" s="1043">
        <f t="shared" si="74"/>
        <v>0</v>
      </c>
      <c r="AV79" s="1692">
        <v>1667.77</v>
      </c>
      <c r="AW79" s="1693">
        <v>416.94</v>
      </c>
      <c r="AX79" s="1693">
        <v>0</v>
      </c>
      <c r="AY79" s="1693">
        <v>0</v>
      </c>
      <c r="AZ79" s="1694">
        <v>0</v>
      </c>
      <c r="BA79" s="1039">
        <f t="shared" si="75"/>
        <v>2084.71</v>
      </c>
      <c r="BB79" s="1677"/>
      <c r="BC79" s="1045"/>
      <c r="BD79" s="1045"/>
      <c r="BE79" s="1045"/>
      <c r="BF79" s="1045"/>
      <c r="BG79" s="1046">
        <f t="shared" si="76"/>
        <v>0</v>
      </c>
      <c r="BH79" s="1675">
        <v>12490.07</v>
      </c>
      <c r="BI79" s="1115">
        <v>1582.08</v>
      </c>
      <c r="BJ79" s="1115">
        <v>2581.29</v>
      </c>
      <c r="BK79" s="1115">
        <v>-0.05</v>
      </c>
      <c r="BL79" s="1676">
        <v>0</v>
      </c>
      <c r="BM79" s="1046">
        <f t="shared" si="77"/>
        <v>16653.39</v>
      </c>
      <c r="BN79" s="1675"/>
      <c r="BO79" s="1115"/>
      <c r="BP79" s="1115"/>
      <c r="BQ79" s="1115"/>
      <c r="BR79" s="1676"/>
      <c r="BS79" s="1049">
        <f t="shared" si="78"/>
        <v>0</v>
      </c>
      <c r="BT79" s="1675">
        <v>108.30333092022252</v>
      </c>
      <c r="BU79" s="1115">
        <v>322.2066690797775</v>
      </c>
      <c r="BV79" s="1115">
        <v>78.989999999999995</v>
      </c>
      <c r="BW79" s="1115">
        <v>-0.06</v>
      </c>
      <c r="BX79" s="1676">
        <v>0</v>
      </c>
      <c r="BY79" s="1049">
        <f t="shared" si="79"/>
        <v>509.44</v>
      </c>
      <c r="BZ79" s="1677"/>
      <c r="CA79" s="1045"/>
      <c r="CB79" s="1045"/>
      <c r="CC79" s="1045"/>
      <c r="CD79" s="1678"/>
      <c r="CE79" s="1049">
        <f t="shared" si="80"/>
        <v>0</v>
      </c>
      <c r="CF79" s="1677"/>
      <c r="CG79" s="1045"/>
      <c r="CH79" s="1045"/>
      <c r="CI79" s="1045"/>
      <c r="CJ79" s="1045"/>
      <c r="CK79" s="1046">
        <f t="shared" si="81"/>
        <v>0</v>
      </c>
      <c r="CL79" s="1675"/>
      <c r="CM79" s="1115"/>
      <c r="CN79" s="1115"/>
      <c r="CO79" s="1115"/>
      <c r="CP79" s="1676"/>
      <c r="CQ79" s="1049">
        <f t="shared" si="82"/>
        <v>0</v>
      </c>
      <c r="CR79" s="1677"/>
      <c r="CS79" s="1045"/>
      <c r="CT79" s="1045"/>
      <c r="CU79" s="1045"/>
      <c r="CV79" s="1045"/>
      <c r="CW79" s="1046">
        <f t="shared" si="83"/>
        <v>0</v>
      </c>
      <c r="CX79" s="1675"/>
      <c r="CY79" s="1115"/>
      <c r="CZ79" s="1115"/>
      <c r="DA79" s="1115"/>
      <c r="DB79" s="1676"/>
      <c r="DC79" s="1049">
        <f t="shared" si="84"/>
        <v>0</v>
      </c>
      <c r="DD79" s="1675"/>
      <c r="DE79" s="1115"/>
      <c r="DF79" s="1115"/>
      <c r="DG79" s="1115"/>
      <c r="DH79" s="1115"/>
      <c r="DI79" s="1114">
        <f t="shared" si="85"/>
        <v>0</v>
      </c>
      <c r="DJ79" s="1115"/>
      <c r="DK79" s="1115"/>
      <c r="DL79" s="1115"/>
      <c r="DM79" s="1115"/>
      <c r="DN79" s="1115"/>
      <c r="DO79" s="1115">
        <f t="shared" si="86"/>
        <v>0</v>
      </c>
      <c r="DP79" s="1677"/>
      <c r="DQ79" s="1045"/>
      <c r="DR79" s="1045"/>
      <c r="DS79" s="1045"/>
      <c r="DT79" s="1045"/>
      <c r="DU79" s="1050">
        <f t="shared" si="87"/>
        <v>0</v>
      </c>
      <c r="DV79" s="1675">
        <v>5016.08</v>
      </c>
      <c r="DW79" s="1115">
        <v>0</v>
      </c>
      <c r="DX79" s="1115">
        <v>920.11</v>
      </c>
      <c r="DY79" s="1115">
        <v>-0.01</v>
      </c>
      <c r="DZ79" s="1676">
        <v>0</v>
      </c>
      <c r="EA79" s="1049">
        <f t="shared" si="88"/>
        <v>5936.1799999999994</v>
      </c>
    </row>
    <row r="80" spans="1:131" ht="15" customHeight="1" x14ac:dyDescent="0.25">
      <c r="A80" s="716" t="s">
        <v>198</v>
      </c>
      <c r="B80" s="810" t="s">
        <v>199</v>
      </c>
      <c r="C80" s="911" t="s">
        <v>266</v>
      </c>
      <c r="D80" s="808">
        <f t="shared" si="61"/>
        <v>11928.264477319484</v>
      </c>
      <c r="E80" s="808">
        <f t="shared" si="62"/>
        <v>7517.3955226805174</v>
      </c>
      <c r="F80" s="808">
        <f t="shared" si="63"/>
        <v>3616.5800000000004</v>
      </c>
      <c r="G80" s="808">
        <f t="shared" si="64"/>
        <v>-0.04</v>
      </c>
      <c r="H80" s="808">
        <f t="shared" si="65"/>
        <v>0</v>
      </c>
      <c r="I80" s="1391">
        <f t="shared" si="66"/>
        <v>23062.200000000004</v>
      </c>
      <c r="J80" s="809">
        <f t="shared" si="67"/>
        <v>-0.04</v>
      </c>
      <c r="K80" s="1392">
        <f t="shared" si="68"/>
        <v>3616.5400000000004</v>
      </c>
      <c r="L80" s="1656"/>
      <c r="M80" s="1035"/>
      <c r="N80" s="1035"/>
      <c r="O80" s="1035"/>
      <c r="P80" s="1035"/>
      <c r="Q80" s="1036">
        <f t="shared" si="69"/>
        <v>0</v>
      </c>
      <c r="R80" s="1652"/>
      <c r="S80" s="1113"/>
      <c r="T80" s="1113"/>
      <c r="U80" s="1113"/>
      <c r="V80" s="1653"/>
      <c r="W80" s="1039">
        <f t="shared" si="70"/>
        <v>0</v>
      </c>
      <c r="X80" s="1664"/>
      <c r="Y80" s="1665"/>
      <c r="Z80" s="1665"/>
      <c r="AA80" s="1665"/>
      <c r="AB80" s="1666"/>
      <c r="AC80" s="1037">
        <f t="shared" si="71"/>
        <v>0</v>
      </c>
      <c r="AD80" s="1675">
        <v>817.6</v>
      </c>
      <c r="AE80" s="1115">
        <v>0</v>
      </c>
      <c r="AF80" s="1115">
        <v>204.4</v>
      </c>
      <c r="AG80" s="1115">
        <v>0</v>
      </c>
      <c r="AH80" s="1676">
        <v>0</v>
      </c>
      <c r="AI80" s="1049">
        <f t="shared" si="72"/>
        <v>1022</v>
      </c>
      <c r="AJ80" s="1667"/>
      <c r="AK80" s="1038"/>
      <c r="AL80" s="1038"/>
      <c r="AM80" s="1038"/>
      <c r="AN80" s="1038"/>
      <c r="AO80" s="1041">
        <f t="shared" si="73"/>
        <v>0</v>
      </c>
      <c r="AP80" s="1689"/>
      <c r="AQ80" s="1042"/>
      <c r="AR80" s="1042"/>
      <c r="AS80" s="1042"/>
      <c r="AT80" s="1042"/>
      <c r="AU80" s="1043">
        <f t="shared" si="74"/>
        <v>0</v>
      </c>
      <c r="AV80" s="1650">
        <v>21.03</v>
      </c>
      <c r="AW80" s="1040">
        <v>5.26</v>
      </c>
      <c r="AX80" s="1040">
        <v>0</v>
      </c>
      <c r="AY80" s="1040">
        <v>0</v>
      </c>
      <c r="AZ80" s="1651">
        <v>0</v>
      </c>
      <c r="BA80" s="1039">
        <f t="shared" si="75"/>
        <v>26.29</v>
      </c>
      <c r="BB80" s="1677"/>
      <c r="BC80" s="1045"/>
      <c r="BD80" s="1045"/>
      <c r="BE80" s="1045"/>
      <c r="BF80" s="1045"/>
      <c r="BG80" s="1046">
        <f t="shared" si="76"/>
        <v>0</v>
      </c>
      <c r="BH80" s="1675">
        <v>6750</v>
      </c>
      <c r="BI80" s="1115">
        <v>855</v>
      </c>
      <c r="BJ80" s="1115">
        <v>1395</v>
      </c>
      <c r="BK80" s="1115">
        <v>0</v>
      </c>
      <c r="BL80" s="1676">
        <v>0</v>
      </c>
      <c r="BM80" s="1046">
        <f t="shared" si="77"/>
        <v>9000</v>
      </c>
      <c r="BN80" s="1675"/>
      <c r="BO80" s="1115"/>
      <c r="BP80" s="1115"/>
      <c r="BQ80" s="1115"/>
      <c r="BR80" s="1676"/>
      <c r="BS80" s="1049">
        <f t="shared" si="78"/>
        <v>0</v>
      </c>
      <c r="BT80" s="1675">
        <v>935.28447731948336</v>
      </c>
      <c r="BU80" s="1115">
        <v>4380.1355226805172</v>
      </c>
      <c r="BV80" s="1115">
        <v>975.03</v>
      </c>
      <c r="BW80" s="1115">
        <v>-0.04</v>
      </c>
      <c r="BX80" s="1676">
        <v>0</v>
      </c>
      <c r="BY80" s="1049">
        <f t="shared" si="79"/>
        <v>6290.41</v>
      </c>
      <c r="BZ80" s="1677"/>
      <c r="CA80" s="1045"/>
      <c r="CB80" s="1045"/>
      <c r="CC80" s="1045"/>
      <c r="CD80" s="1678"/>
      <c r="CE80" s="1049">
        <f t="shared" si="80"/>
        <v>0</v>
      </c>
      <c r="CF80" s="1677"/>
      <c r="CG80" s="1045"/>
      <c r="CH80" s="1045"/>
      <c r="CI80" s="1045"/>
      <c r="CJ80" s="1045"/>
      <c r="CK80" s="1046">
        <f t="shared" si="81"/>
        <v>0</v>
      </c>
      <c r="CL80" s="1677"/>
      <c r="CM80" s="1045"/>
      <c r="CN80" s="1045"/>
      <c r="CO80" s="1045"/>
      <c r="CP80" s="1678"/>
      <c r="CQ80" s="1049">
        <f t="shared" si="82"/>
        <v>0</v>
      </c>
      <c r="CR80" s="1677"/>
      <c r="CS80" s="1045"/>
      <c r="CT80" s="1045"/>
      <c r="CU80" s="1045"/>
      <c r="CV80" s="1045"/>
      <c r="CW80" s="1046">
        <f t="shared" si="83"/>
        <v>0</v>
      </c>
      <c r="CX80" s="1675"/>
      <c r="CY80" s="1115"/>
      <c r="CZ80" s="1115"/>
      <c r="DA80" s="1115"/>
      <c r="DB80" s="1676"/>
      <c r="DC80" s="1049">
        <f t="shared" si="84"/>
        <v>0</v>
      </c>
      <c r="DD80" s="1675"/>
      <c r="DE80" s="1115"/>
      <c r="DF80" s="1115"/>
      <c r="DG80" s="1115"/>
      <c r="DH80" s="1115"/>
      <c r="DI80" s="1114">
        <f t="shared" si="85"/>
        <v>0</v>
      </c>
      <c r="DJ80" s="1115"/>
      <c r="DK80" s="1115"/>
      <c r="DL80" s="1115"/>
      <c r="DM80" s="1115"/>
      <c r="DN80" s="1115"/>
      <c r="DO80" s="1115">
        <f t="shared" si="86"/>
        <v>0</v>
      </c>
      <c r="DP80" s="1675">
        <v>3300</v>
      </c>
      <c r="DQ80" s="1115">
        <v>2277</v>
      </c>
      <c r="DR80" s="1115">
        <v>1023</v>
      </c>
      <c r="DS80" s="1115">
        <v>0</v>
      </c>
      <c r="DT80" s="1676">
        <v>0</v>
      </c>
      <c r="DU80" s="1050">
        <f t="shared" si="87"/>
        <v>6600</v>
      </c>
      <c r="DV80" s="1677">
        <v>104.35</v>
      </c>
      <c r="DW80" s="1045">
        <v>0</v>
      </c>
      <c r="DX80" s="1045">
        <v>19.149999999999999</v>
      </c>
      <c r="DY80" s="1045">
        <v>0</v>
      </c>
      <c r="DZ80" s="1678">
        <v>0</v>
      </c>
      <c r="EA80" s="1049">
        <f t="shared" si="88"/>
        <v>123.5</v>
      </c>
    </row>
    <row r="81" spans="1:131" ht="15" customHeight="1" x14ac:dyDescent="0.25">
      <c r="A81" s="716" t="s">
        <v>202</v>
      </c>
      <c r="B81" s="810" t="s">
        <v>203</v>
      </c>
      <c r="C81" s="911" t="s">
        <v>265</v>
      </c>
      <c r="D81" s="808">
        <f t="shared" si="61"/>
        <v>186687.39190225283</v>
      </c>
      <c r="E81" s="808">
        <f t="shared" si="62"/>
        <v>167343.27809774716</v>
      </c>
      <c r="F81" s="808">
        <f t="shared" si="63"/>
        <v>68892.360000000015</v>
      </c>
      <c r="G81" s="808">
        <f t="shared" si="64"/>
        <v>-0.38</v>
      </c>
      <c r="H81" s="808">
        <f t="shared" si="65"/>
        <v>3093.11</v>
      </c>
      <c r="I81" s="1391">
        <f t="shared" si="66"/>
        <v>426015.76</v>
      </c>
      <c r="J81" s="809">
        <f t="shared" si="67"/>
        <v>3092.73</v>
      </c>
      <c r="K81" s="1392">
        <f t="shared" si="68"/>
        <v>71985.090000000011</v>
      </c>
      <c r="L81" s="1656"/>
      <c r="M81" s="1035"/>
      <c r="N81" s="1035"/>
      <c r="O81" s="1035"/>
      <c r="P81" s="1035"/>
      <c r="Q81" s="1036">
        <f t="shared" si="69"/>
        <v>0</v>
      </c>
      <c r="R81" s="1650"/>
      <c r="S81" s="1040"/>
      <c r="T81" s="1040"/>
      <c r="U81" s="1040"/>
      <c r="V81" s="1651"/>
      <c r="W81" s="1039">
        <f t="shared" si="70"/>
        <v>0</v>
      </c>
      <c r="X81" s="1664">
        <v>11303.87</v>
      </c>
      <c r="Y81" s="1665">
        <v>67.31</v>
      </c>
      <c r="Z81" s="1665">
        <v>2085.85</v>
      </c>
      <c r="AA81" s="1665">
        <v>-0.03</v>
      </c>
      <c r="AB81" s="1666">
        <v>203.69</v>
      </c>
      <c r="AC81" s="1037">
        <f t="shared" si="71"/>
        <v>13660.69</v>
      </c>
      <c r="AD81" s="1675">
        <v>60880.01</v>
      </c>
      <c r="AE81" s="1115">
        <v>0</v>
      </c>
      <c r="AF81" s="1115">
        <v>15219.99</v>
      </c>
      <c r="AG81" s="1115">
        <v>0</v>
      </c>
      <c r="AH81" s="1676">
        <v>2889.42</v>
      </c>
      <c r="AI81" s="1049">
        <f t="shared" si="72"/>
        <v>78989.42</v>
      </c>
      <c r="AJ81" s="1664">
        <v>20296.84</v>
      </c>
      <c r="AK81" s="1665">
        <v>2960.56</v>
      </c>
      <c r="AL81" s="1665">
        <v>4266.16</v>
      </c>
      <c r="AM81" s="1665">
        <v>-0.05</v>
      </c>
      <c r="AN81" s="1666">
        <v>0</v>
      </c>
      <c r="AO81" s="1041">
        <f t="shared" si="73"/>
        <v>27523.510000000002</v>
      </c>
      <c r="AP81" s="1686">
        <v>4861.1099999999997</v>
      </c>
      <c r="AQ81" s="1687">
        <v>1215.28</v>
      </c>
      <c r="AR81" s="1687">
        <v>0</v>
      </c>
      <c r="AS81" s="1687">
        <v>0</v>
      </c>
      <c r="AT81" s="1688">
        <v>0</v>
      </c>
      <c r="AU81" s="1043">
        <f t="shared" si="74"/>
        <v>6076.3899999999994</v>
      </c>
      <c r="AV81" s="1692">
        <v>9486.92</v>
      </c>
      <c r="AW81" s="1693">
        <v>2371.7600000000002</v>
      </c>
      <c r="AX81" s="1693">
        <v>0</v>
      </c>
      <c r="AY81" s="1693">
        <v>0</v>
      </c>
      <c r="AZ81" s="1694">
        <v>0</v>
      </c>
      <c r="BA81" s="1039">
        <f t="shared" si="75"/>
        <v>11858.68</v>
      </c>
      <c r="BB81" s="1675">
        <v>1087.02</v>
      </c>
      <c r="BC81" s="1115">
        <v>1962.98</v>
      </c>
      <c r="BD81" s="1115">
        <v>0</v>
      </c>
      <c r="BE81" s="1115">
        <v>0</v>
      </c>
      <c r="BF81" s="1676">
        <v>0</v>
      </c>
      <c r="BG81" s="1046">
        <f t="shared" si="76"/>
        <v>3050</v>
      </c>
      <c r="BH81" s="1675">
        <v>35837.08</v>
      </c>
      <c r="BI81" s="1115">
        <v>4539.38</v>
      </c>
      <c r="BJ81" s="1115">
        <v>7406.32</v>
      </c>
      <c r="BK81" s="1115">
        <v>-0.02</v>
      </c>
      <c r="BL81" s="1676">
        <v>0</v>
      </c>
      <c r="BM81" s="1046">
        <f t="shared" si="77"/>
        <v>47782.76</v>
      </c>
      <c r="BN81" s="1675"/>
      <c r="BO81" s="1115"/>
      <c r="BP81" s="1115"/>
      <c r="BQ81" s="1115"/>
      <c r="BR81" s="1676"/>
      <c r="BS81" s="1049">
        <f t="shared" si="78"/>
        <v>0</v>
      </c>
      <c r="BT81" s="1675">
        <v>25958.901902252852</v>
      </c>
      <c r="BU81" s="1115">
        <v>150196.02809774716</v>
      </c>
      <c r="BV81" s="1115">
        <v>32312.45</v>
      </c>
      <c r="BW81" s="1115">
        <v>-0.28000000000000003</v>
      </c>
      <c r="BX81" s="1676">
        <v>0</v>
      </c>
      <c r="BY81" s="1049">
        <f t="shared" si="79"/>
        <v>208467.1</v>
      </c>
      <c r="BZ81" s="1675">
        <v>2874.32</v>
      </c>
      <c r="CA81" s="1115">
        <v>0</v>
      </c>
      <c r="CB81" s="1115">
        <v>4275.74</v>
      </c>
      <c r="CC81" s="1115">
        <v>-0.01</v>
      </c>
      <c r="CD81" s="1676">
        <v>0</v>
      </c>
      <c r="CE81" s="1049">
        <f t="shared" si="80"/>
        <v>7150.0499999999993</v>
      </c>
      <c r="CF81" s="1677"/>
      <c r="CG81" s="1045"/>
      <c r="CH81" s="1045"/>
      <c r="CI81" s="1045"/>
      <c r="CJ81" s="1045"/>
      <c r="CK81" s="1046">
        <f t="shared" si="81"/>
        <v>0</v>
      </c>
      <c r="CL81" s="1675"/>
      <c r="CM81" s="1115"/>
      <c r="CN81" s="1115"/>
      <c r="CO81" s="1115"/>
      <c r="CP81" s="1676"/>
      <c r="CQ81" s="1049">
        <f t="shared" si="82"/>
        <v>0</v>
      </c>
      <c r="CR81" s="1675"/>
      <c r="CS81" s="1115"/>
      <c r="CT81" s="1115"/>
      <c r="CU81" s="1115"/>
      <c r="CV81" s="1676"/>
      <c r="CW81" s="1046">
        <f t="shared" si="83"/>
        <v>0</v>
      </c>
      <c r="CX81" s="1675"/>
      <c r="CY81" s="1115"/>
      <c r="CZ81" s="1115"/>
      <c r="DA81" s="1115"/>
      <c r="DB81" s="1676"/>
      <c r="DC81" s="1049">
        <f t="shared" si="84"/>
        <v>0</v>
      </c>
      <c r="DD81" s="1675"/>
      <c r="DE81" s="1115"/>
      <c r="DF81" s="1115"/>
      <c r="DG81" s="1115"/>
      <c r="DH81" s="1115"/>
      <c r="DI81" s="1114">
        <f t="shared" si="85"/>
        <v>0</v>
      </c>
      <c r="DJ81" s="1115"/>
      <c r="DK81" s="1115"/>
      <c r="DL81" s="1115"/>
      <c r="DM81" s="1115"/>
      <c r="DN81" s="1115"/>
      <c r="DO81" s="1115">
        <f t="shared" si="86"/>
        <v>0</v>
      </c>
      <c r="DP81" s="1675">
        <v>5840.55</v>
      </c>
      <c r="DQ81" s="1115">
        <v>4029.98</v>
      </c>
      <c r="DR81" s="1115">
        <v>1810.57</v>
      </c>
      <c r="DS81" s="1115">
        <v>0</v>
      </c>
      <c r="DT81" s="1676">
        <v>0</v>
      </c>
      <c r="DU81" s="1050">
        <f t="shared" si="87"/>
        <v>11681.1</v>
      </c>
      <c r="DV81" s="1675">
        <v>8260.77</v>
      </c>
      <c r="DW81" s="1115">
        <v>0</v>
      </c>
      <c r="DX81" s="1115">
        <v>1515.28</v>
      </c>
      <c r="DY81" s="1115">
        <v>0.01</v>
      </c>
      <c r="DZ81" s="1676">
        <v>0</v>
      </c>
      <c r="EA81" s="1049">
        <f t="shared" si="88"/>
        <v>9776.0600000000013</v>
      </c>
    </row>
    <row r="82" spans="1:131" ht="15" customHeight="1" x14ac:dyDescent="0.25">
      <c r="A82" s="716" t="s">
        <v>204</v>
      </c>
      <c r="B82" s="810" t="s">
        <v>205</v>
      </c>
      <c r="C82" s="911" t="s">
        <v>265</v>
      </c>
      <c r="D82" s="808">
        <f t="shared" si="61"/>
        <v>16473.817225768795</v>
      </c>
      <c r="E82" s="808">
        <f t="shared" si="62"/>
        <v>9753.0627742312008</v>
      </c>
      <c r="F82" s="808">
        <f t="shared" si="63"/>
        <v>5117.6500000000005</v>
      </c>
      <c r="G82" s="808">
        <f t="shared" si="64"/>
        <v>-7.9999999999999988E-2</v>
      </c>
      <c r="H82" s="808">
        <f t="shared" si="65"/>
        <v>0</v>
      </c>
      <c r="I82" s="1391">
        <f t="shared" si="66"/>
        <v>31344.449999999997</v>
      </c>
      <c r="J82" s="809">
        <f t="shared" si="67"/>
        <v>-7.9999999999999988E-2</v>
      </c>
      <c r="K82" s="1392">
        <f t="shared" si="68"/>
        <v>5117.5700000000006</v>
      </c>
      <c r="L82" s="1656"/>
      <c r="M82" s="1035"/>
      <c r="N82" s="1035"/>
      <c r="O82" s="1035"/>
      <c r="P82" s="1035"/>
      <c r="Q82" s="1036">
        <f t="shared" si="69"/>
        <v>0</v>
      </c>
      <c r="R82" s="1650"/>
      <c r="S82" s="1040"/>
      <c r="T82" s="1040"/>
      <c r="U82" s="1040"/>
      <c r="V82" s="1651"/>
      <c r="W82" s="1039">
        <f t="shared" si="70"/>
        <v>0</v>
      </c>
      <c r="X82" s="1664">
        <v>661.32</v>
      </c>
      <c r="Y82" s="1665">
        <v>3.94</v>
      </c>
      <c r="Z82" s="1665">
        <v>122.03</v>
      </c>
      <c r="AA82" s="1665">
        <v>-0.01</v>
      </c>
      <c r="AB82" s="1666">
        <v>0</v>
      </c>
      <c r="AC82" s="1037">
        <f t="shared" si="71"/>
        <v>787.28000000000009</v>
      </c>
      <c r="AD82" s="1675">
        <v>5304.119999999999</v>
      </c>
      <c r="AE82" s="1115">
        <v>0</v>
      </c>
      <c r="AF82" s="1115">
        <v>1326.0299999999997</v>
      </c>
      <c r="AG82" s="1115">
        <v>0</v>
      </c>
      <c r="AH82" s="1676">
        <v>0</v>
      </c>
      <c r="AI82" s="1049">
        <f t="shared" si="72"/>
        <v>6630.1499999999987</v>
      </c>
      <c r="AJ82" s="1664">
        <v>303.5</v>
      </c>
      <c r="AK82" s="1665">
        <v>34.5</v>
      </c>
      <c r="AL82" s="1665">
        <v>62</v>
      </c>
      <c r="AM82" s="1665">
        <v>0</v>
      </c>
      <c r="AN82" s="1666">
        <v>0</v>
      </c>
      <c r="AO82" s="1041">
        <f t="shared" si="73"/>
        <v>400</v>
      </c>
      <c r="AP82" s="1686">
        <v>284.69</v>
      </c>
      <c r="AQ82" s="1687">
        <v>71.17</v>
      </c>
      <c r="AR82" s="1687">
        <v>0</v>
      </c>
      <c r="AS82" s="1687">
        <v>0</v>
      </c>
      <c r="AT82" s="1688">
        <v>0</v>
      </c>
      <c r="AU82" s="1043">
        <f t="shared" si="74"/>
        <v>355.86</v>
      </c>
      <c r="AV82" s="1692">
        <v>302.05</v>
      </c>
      <c r="AW82" s="1693">
        <v>75.510000000000005</v>
      </c>
      <c r="AX82" s="1693">
        <v>0</v>
      </c>
      <c r="AY82" s="1693">
        <v>0</v>
      </c>
      <c r="AZ82" s="1694">
        <v>0</v>
      </c>
      <c r="BA82" s="1039">
        <f t="shared" si="75"/>
        <v>377.56</v>
      </c>
      <c r="BB82" s="1677"/>
      <c r="BC82" s="1045"/>
      <c r="BD82" s="1045"/>
      <c r="BE82" s="1045"/>
      <c r="BF82" s="1045"/>
      <c r="BG82" s="1046">
        <f t="shared" si="76"/>
        <v>0</v>
      </c>
      <c r="BH82" s="1675">
        <v>8550</v>
      </c>
      <c r="BI82" s="1115">
        <v>1083.02</v>
      </c>
      <c r="BJ82" s="1115">
        <v>1767.02</v>
      </c>
      <c r="BK82" s="1115">
        <v>-0.04</v>
      </c>
      <c r="BL82" s="1676">
        <v>0</v>
      </c>
      <c r="BM82" s="1046">
        <f t="shared" si="77"/>
        <v>11400</v>
      </c>
      <c r="BN82" s="1675"/>
      <c r="BO82" s="1115"/>
      <c r="BP82" s="1115"/>
      <c r="BQ82" s="1115"/>
      <c r="BR82" s="1676"/>
      <c r="BS82" s="1049">
        <f t="shared" si="78"/>
        <v>0</v>
      </c>
      <c r="BT82" s="1675">
        <v>1400.7672257687987</v>
      </c>
      <c r="BU82" s="1115">
        <v>8484.9227742312014</v>
      </c>
      <c r="BV82" s="1115">
        <v>1813.39</v>
      </c>
      <c r="BW82" s="1115">
        <v>-0.13</v>
      </c>
      <c r="BX82" s="1676">
        <v>0</v>
      </c>
      <c r="BY82" s="1049">
        <f t="shared" si="79"/>
        <v>11698.95</v>
      </c>
      <c r="BZ82" s="1677"/>
      <c r="CA82" s="1045"/>
      <c r="CB82" s="1045"/>
      <c r="CC82" s="1045"/>
      <c r="CD82" s="1678"/>
      <c r="CE82" s="1049">
        <f t="shared" si="80"/>
        <v>0</v>
      </c>
      <c r="CF82" s="1677"/>
      <c r="CG82" s="1045"/>
      <c r="CH82" s="1045"/>
      <c r="CI82" s="1045"/>
      <c r="CJ82" s="1045"/>
      <c r="CK82" s="1046">
        <f t="shared" si="81"/>
        <v>0</v>
      </c>
      <c r="CL82" s="1675">
        <v>-200</v>
      </c>
      <c r="CM82" s="1115">
        <v>0</v>
      </c>
      <c r="CN82" s="1115">
        <v>0</v>
      </c>
      <c r="CO82" s="1115">
        <v>0</v>
      </c>
      <c r="CP82" s="1676">
        <v>0</v>
      </c>
      <c r="CQ82" s="1049">
        <f t="shared" si="82"/>
        <v>-200</v>
      </c>
      <c r="CR82" s="1677"/>
      <c r="CS82" s="1045"/>
      <c r="CT82" s="1045"/>
      <c r="CU82" s="1045"/>
      <c r="CV82" s="1045"/>
      <c r="CW82" s="1046">
        <f t="shared" si="83"/>
        <v>0</v>
      </c>
      <c r="CX82" s="1675"/>
      <c r="CY82" s="1115"/>
      <c r="CZ82" s="1115"/>
      <c r="DA82" s="1115"/>
      <c r="DB82" s="1676"/>
      <c r="DC82" s="1049">
        <f t="shared" si="84"/>
        <v>0</v>
      </c>
      <c r="DD82" s="1675">
        <v>-281</v>
      </c>
      <c r="DE82" s="1115">
        <v>0</v>
      </c>
      <c r="DF82" s="1115">
        <v>0</v>
      </c>
      <c r="DG82" s="1115">
        <v>0</v>
      </c>
      <c r="DH82" s="1115">
        <v>0</v>
      </c>
      <c r="DI82" s="1114">
        <f t="shared" si="85"/>
        <v>-281</v>
      </c>
      <c r="DJ82" s="1115"/>
      <c r="DK82" s="1115"/>
      <c r="DL82" s="1115"/>
      <c r="DM82" s="1115"/>
      <c r="DN82" s="1115"/>
      <c r="DO82" s="1115">
        <f t="shared" si="86"/>
        <v>0</v>
      </c>
      <c r="DP82" s="1677"/>
      <c r="DQ82" s="1045"/>
      <c r="DR82" s="1045"/>
      <c r="DS82" s="1045"/>
      <c r="DT82" s="1045"/>
      <c r="DU82" s="1050">
        <f t="shared" si="87"/>
        <v>0</v>
      </c>
      <c r="DV82" s="1675">
        <v>148.37</v>
      </c>
      <c r="DW82" s="1115">
        <v>0</v>
      </c>
      <c r="DX82" s="1115">
        <v>27.18</v>
      </c>
      <c r="DY82" s="1115">
        <v>0.1</v>
      </c>
      <c r="DZ82" s="1676">
        <v>0</v>
      </c>
      <c r="EA82" s="1049">
        <f t="shared" si="88"/>
        <v>175.65</v>
      </c>
    </row>
    <row r="83" spans="1:131" ht="15" customHeight="1" x14ac:dyDescent="0.25">
      <c r="A83" s="716" t="s">
        <v>206</v>
      </c>
      <c r="B83" s="810" t="s">
        <v>207</v>
      </c>
      <c r="C83" s="911" t="s">
        <v>267</v>
      </c>
      <c r="D83" s="808">
        <f t="shared" si="61"/>
        <v>165901.43131489554</v>
      </c>
      <c r="E83" s="808">
        <f t="shared" si="62"/>
        <v>146492.94868510446</v>
      </c>
      <c r="F83" s="808">
        <f t="shared" si="63"/>
        <v>57570.48</v>
      </c>
      <c r="G83" s="808">
        <f t="shared" si="64"/>
        <v>-0.10000000000000002</v>
      </c>
      <c r="H83" s="808">
        <f t="shared" si="65"/>
        <v>0</v>
      </c>
      <c r="I83" s="1391">
        <f t="shared" si="66"/>
        <v>369964.76</v>
      </c>
      <c r="J83" s="809">
        <f t="shared" si="67"/>
        <v>-0.10000000000000002</v>
      </c>
      <c r="K83" s="1392">
        <f t="shared" si="68"/>
        <v>57570.380000000005</v>
      </c>
      <c r="L83" s="1656"/>
      <c r="M83" s="1035"/>
      <c r="N83" s="1035"/>
      <c r="O83" s="1035"/>
      <c r="P83" s="1035"/>
      <c r="Q83" s="1036">
        <f t="shared" si="69"/>
        <v>0</v>
      </c>
      <c r="R83" s="1650"/>
      <c r="S83" s="1040"/>
      <c r="T83" s="1040"/>
      <c r="U83" s="1040"/>
      <c r="V83" s="1651"/>
      <c r="W83" s="1039">
        <f t="shared" si="70"/>
        <v>0</v>
      </c>
      <c r="X83" s="1664">
        <v>22997.91</v>
      </c>
      <c r="Y83" s="1665">
        <v>136.91</v>
      </c>
      <c r="Z83" s="1665">
        <v>4243.67</v>
      </c>
      <c r="AA83" s="1665">
        <v>-0.02</v>
      </c>
      <c r="AB83" s="1666">
        <v>0</v>
      </c>
      <c r="AC83" s="1037">
        <f t="shared" si="71"/>
        <v>27378.469999999998</v>
      </c>
      <c r="AD83" s="1675">
        <v>12423.9</v>
      </c>
      <c r="AE83" s="1115">
        <v>0</v>
      </c>
      <c r="AF83" s="1115">
        <v>3105.94</v>
      </c>
      <c r="AG83" s="1115">
        <v>0</v>
      </c>
      <c r="AH83" s="1676">
        <v>0</v>
      </c>
      <c r="AI83" s="1049">
        <f t="shared" si="72"/>
        <v>15529.84</v>
      </c>
      <c r="AJ83" s="1667"/>
      <c r="AK83" s="1038"/>
      <c r="AL83" s="1038"/>
      <c r="AM83" s="1038"/>
      <c r="AN83" s="1038"/>
      <c r="AO83" s="1041">
        <f t="shared" si="73"/>
        <v>0</v>
      </c>
      <c r="AP83" s="1686">
        <v>12697.439999999999</v>
      </c>
      <c r="AQ83" s="1687">
        <v>3174.3599999999997</v>
      </c>
      <c r="AR83" s="1687">
        <v>0</v>
      </c>
      <c r="AS83" s="1687">
        <v>0</v>
      </c>
      <c r="AT83" s="1688">
        <v>0</v>
      </c>
      <c r="AU83" s="1043">
        <f t="shared" si="74"/>
        <v>15871.8</v>
      </c>
      <c r="AV83" s="1692">
        <v>15486.96</v>
      </c>
      <c r="AW83" s="1693">
        <v>3871.75</v>
      </c>
      <c r="AX83" s="1693">
        <v>0</v>
      </c>
      <c r="AY83" s="1693">
        <v>0</v>
      </c>
      <c r="AZ83" s="1694">
        <v>0</v>
      </c>
      <c r="BA83" s="1039">
        <f t="shared" si="75"/>
        <v>19358.71</v>
      </c>
      <c r="BB83" s="1675">
        <v>1113.75</v>
      </c>
      <c r="BC83" s="1115">
        <v>2011.25</v>
      </c>
      <c r="BD83" s="1115">
        <v>0</v>
      </c>
      <c r="BE83" s="1115">
        <v>0</v>
      </c>
      <c r="BF83" s="1676">
        <v>0</v>
      </c>
      <c r="BG83" s="1046">
        <f t="shared" si="76"/>
        <v>3125</v>
      </c>
      <c r="BH83" s="1675">
        <v>34231.919999999998</v>
      </c>
      <c r="BI83" s="1115">
        <v>4336.0599999999995</v>
      </c>
      <c r="BJ83" s="1115">
        <v>7074.6100000000006</v>
      </c>
      <c r="BK83" s="1115">
        <v>-7.0000000000000007E-2</v>
      </c>
      <c r="BL83" s="1676">
        <v>0</v>
      </c>
      <c r="BM83" s="1046">
        <f t="shared" si="77"/>
        <v>45642.52</v>
      </c>
      <c r="BN83" s="1675"/>
      <c r="BO83" s="1115"/>
      <c r="BP83" s="1115"/>
      <c r="BQ83" s="1115"/>
      <c r="BR83" s="1676"/>
      <c r="BS83" s="1049">
        <f t="shared" si="78"/>
        <v>0</v>
      </c>
      <c r="BT83" s="1675">
        <v>47217.111314895526</v>
      </c>
      <c r="BU83" s="1115">
        <v>126056.86868510448</v>
      </c>
      <c r="BV83" s="1115">
        <v>31784.02</v>
      </c>
      <c r="BW83" s="1115">
        <v>-0.06</v>
      </c>
      <c r="BX83" s="1676">
        <v>0</v>
      </c>
      <c r="BY83" s="1049">
        <f t="shared" si="79"/>
        <v>205057.94</v>
      </c>
      <c r="BZ83" s="1675">
        <v>4940.22</v>
      </c>
      <c r="CA83" s="1115">
        <v>0</v>
      </c>
      <c r="CB83" s="1115">
        <v>7348.84</v>
      </c>
      <c r="CC83" s="1115">
        <v>0</v>
      </c>
      <c r="CD83" s="1676">
        <v>0</v>
      </c>
      <c r="CE83" s="1049">
        <f t="shared" si="80"/>
        <v>12289.060000000001</v>
      </c>
      <c r="CF83" s="1677"/>
      <c r="CG83" s="1045"/>
      <c r="CH83" s="1045"/>
      <c r="CI83" s="1045"/>
      <c r="CJ83" s="1045"/>
      <c r="CK83" s="1046">
        <f t="shared" si="81"/>
        <v>0</v>
      </c>
      <c r="CL83" s="1675"/>
      <c r="CM83" s="1115"/>
      <c r="CN83" s="1115"/>
      <c r="CO83" s="1115"/>
      <c r="CP83" s="1676"/>
      <c r="CQ83" s="1049">
        <f t="shared" si="82"/>
        <v>0</v>
      </c>
      <c r="CR83" s="1675"/>
      <c r="CS83" s="1115"/>
      <c r="CT83" s="1115"/>
      <c r="CU83" s="1115"/>
      <c r="CV83" s="1676"/>
      <c r="CW83" s="1046">
        <f t="shared" si="83"/>
        <v>0</v>
      </c>
      <c r="CX83" s="1675">
        <v>-90.85</v>
      </c>
      <c r="CY83" s="1115">
        <v>-90.85</v>
      </c>
      <c r="CZ83" s="1115">
        <v>0</v>
      </c>
      <c r="DA83" s="1115">
        <v>0</v>
      </c>
      <c r="DB83" s="1676">
        <v>0</v>
      </c>
      <c r="DC83" s="1049">
        <f t="shared" si="84"/>
        <v>-181.7</v>
      </c>
      <c r="DD83" s="1675"/>
      <c r="DE83" s="1115"/>
      <c r="DF83" s="1115"/>
      <c r="DG83" s="1115"/>
      <c r="DH83" s="1115"/>
      <c r="DI83" s="1114">
        <f t="shared" si="85"/>
        <v>0</v>
      </c>
      <c r="DJ83" s="1115"/>
      <c r="DK83" s="1115"/>
      <c r="DL83" s="1115"/>
      <c r="DM83" s="1115"/>
      <c r="DN83" s="1115"/>
      <c r="DO83" s="1115">
        <f t="shared" si="86"/>
        <v>0</v>
      </c>
      <c r="DP83" s="1675">
        <v>10140</v>
      </c>
      <c r="DQ83" s="1115">
        <v>6996.6</v>
      </c>
      <c r="DR83" s="1115">
        <v>3143.4</v>
      </c>
      <c r="DS83" s="1115">
        <v>0</v>
      </c>
      <c r="DT83" s="1676">
        <v>0</v>
      </c>
      <c r="DU83" s="1050">
        <f t="shared" si="87"/>
        <v>20280</v>
      </c>
      <c r="DV83" s="1675">
        <v>4743.07</v>
      </c>
      <c r="DW83" s="1115">
        <v>0</v>
      </c>
      <c r="DX83" s="1115">
        <v>870</v>
      </c>
      <c r="DY83" s="1115">
        <v>0.05</v>
      </c>
      <c r="DZ83" s="1676">
        <v>0</v>
      </c>
      <c r="EA83" s="1049">
        <f t="shared" si="88"/>
        <v>5613.12</v>
      </c>
    </row>
    <row r="84" spans="1:131" ht="15" customHeight="1" x14ac:dyDescent="0.25">
      <c r="A84" s="716" t="s">
        <v>208</v>
      </c>
      <c r="B84" s="810" t="s">
        <v>209</v>
      </c>
      <c r="C84" s="911" t="s">
        <v>268</v>
      </c>
      <c r="D84" s="808">
        <f t="shared" si="61"/>
        <v>82587.948018873503</v>
      </c>
      <c r="E84" s="808">
        <f t="shared" si="62"/>
        <v>35509.011981126489</v>
      </c>
      <c r="F84" s="808">
        <f t="shared" si="63"/>
        <v>22489.209999999995</v>
      </c>
      <c r="G84" s="808">
        <f t="shared" si="64"/>
        <v>-0.12</v>
      </c>
      <c r="H84" s="808">
        <f t="shared" si="65"/>
        <v>0</v>
      </c>
      <c r="I84" s="1391">
        <f t="shared" si="66"/>
        <v>140586.04999999999</v>
      </c>
      <c r="J84" s="809">
        <f t="shared" si="67"/>
        <v>-0.12</v>
      </c>
      <c r="K84" s="1392">
        <f t="shared" si="68"/>
        <v>22489.089999999997</v>
      </c>
      <c r="L84" s="1656"/>
      <c r="M84" s="1035"/>
      <c r="N84" s="1035"/>
      <c r="O84" s="1035"/>
      <c r="P84" s="1035"/>
      <c r="Q84" s="1036">
        <f t="shared" si="69"/>
        <v>0</v>
      </c>
      <c r="R84" s="1650"/>
      <c r="S84" s="1040"/>
      <c r="T84" s="1040"/>
      <c r="U84" s="1040"/>
      <c r="V84" s="1651"/>
      <c r="W84" s="1039">
        <f t="shared" si="70"/>
        <v>0</v>
      </c>
      <c r="X84" s="1664">
        <v>3549.7</v>
      </c>
      <c r="Y84" s="1665">
        <v>21.13</v>
      </c>
      <c r="Z84" s="1665">
        <v>655</v>
      </c>
      <c r="AA84" s="1665">
        <v>0</v>
      </c>
      <c r="AB84" s="1666">
        <v>0</v>
      </c>
      <c r="AC84" s="1037">
        <f t="shared" si="71"/>
        <v>4225.83</v>
      </c>
      <c r="AD84" s="1675">
        <v>29808.97</v>
      </c>
      <c r="AE84" s="1115">
        <v>0</v>
      </c>
      <c r="AF84" s="1115">
        <v>7452.24</v>
      </c>
      <c r="AG84" s="1115">
        <v>0</v>
      </c>
      <c r="AH84" s="1676">
        <v>0</v>
      </c>
      <c r="AI84" s="1049">
        <f t="shared" si="72"/>
        <v>37261.21</v>
      </c>
      <c r="AJ84" s="1667"/>
      <c r="AK84" s="1038"/>
      <c r="AL84" s="1038"/>
      <c r="AM84" s="1038"/>
      <c r="AN84" s="1038"/>
      <c r="AO84" s="1041">
        <f t="shared" si="73"/>
        <v>0</v>
      </c>
      <c r="AP84" s="1689"/>
      <c r="AQ84" s="1042"/>
      <c r="AR84" s="1042"/>
      <c r="AS84" s="1042"/>
      <c r="AT84" s="1042"/>
      <c r="AU84" s="1043">
        <f t="shared" si="74"/>
        <v>0</v>
      </c>
      <c r="AV84" s="1692">
        <v>5049.8</v>
      </c>
      <c r="AW84" s="1693">
        <v>1262.46</v>
      </c>
      <c r="AX84" s="1693">
        <v>0</v>
      </c>
      <c r="AY84" s="1693">
        <v>0</v>
      </c>
      <c r="AZ84" s="1694">
        <v>0</v>
      </c>
      <c r="BA84" s="1039">
        <f t="shared" si="75"/>
        <v>6312.26</v>
      </c>
      <c r="BB84" s="1677"/>
      <c r="BC84" s="1045"/>
      <c r="BD84" s="1045"/>
      <c r="BE84" s="1045"/>
      <c r="BF84" s="1045"/>
      <c r="BG84" s="1046">
        <f t="shared" si="76"/>
        <v>0</v>
      </c>
      <c r="BH84" s="1675">
        <v>24524.98</v>
      </c>
      <c r="BI84" s="1115">
        <v>3106.51</v>
      </c>
      <c r="BJ84" s="1115">
        <v>5068.4799999999996</v>
      </c>
      <c r="BK84" s="1115">
        <v>-0.01</v>
      </c>
      <c r="BL84" s="1676">
        <v>0</v>
      </c>
      <c r="BM84" s="1046">
        <f t="shared" si="77"/>
        <v>32699.96</v>
      </c>
      <c r="BN84" s="1675"/>
      <c r="BO84" s="1115"/>
      <c r="BP84" s="1115"/>
      <c r="BQ84" s="1115"/>
      <c r="BR84" s="1676"/>
      <c r="BS84" s="1049">
        <f t="shared" si="78"/>
        <v>0</v>
      </c>
      <c r="BT84" s="1675">
        <v>5637.7580188735083</v>
      </c>
      <c r="BU84" s="1115">
        <v>28557.281981126493</v>
      </c>
      <c r="BV84" s="1115">
        <v>6272.48</v>
      </c>
      <c r="BW84" s="1115">
        <v>-0.11</v>
      </c>
      <c r="BX84" s="1676">
        <v>0</v>
      </c>
      <c r="BY84" s="1049">
        <f t="shared" si="79"/>
        <v>40467.410000000003</v>
      </c>
      <c r="BZ84" s="1677"/>
      <c r="CA84" s="1045"/>
      <c r="CB84" s="1045"/>
      <c r="CC84" s="1045"/>
      <c r="CD84" s="1678"/>
      <c r="CE84" s="1049">
        <f t="shared" si="80"/>
        <v>0</v>
      </c>
      <c r="CF84" s="1677"/>
      <c r="CG84" s="1045"/>
      <c r="CH84" s="1045"/>
      <c r="CI84" s="1045"/>
      <c r="CJ84" s="1045"/>
      <c r="CK84" s="1046">
        <f t="shared" si="81"/>
        <v>0</v>
      </c>
      <c r="CL84" s="1677"/>
      <c r="CM84" s="1045"/>
      <c r="CN84" s="1045"/>
      <c r="CO84" s="1045"/>
      <c r="CP84" s="1678"/>
      <c r="CQ84" s="1049">
        <f t="shared" si="82"/>
        <v>0</v>
      </c>
      <c r="CR84" s="1677"/>
      <c r="CS84" s="1045"/>
      <c r="CT84" s="1045"/>
      <c r="CU84" s="1045"/>
      <c r="CV84" s="1045"/>
      <c r="CW84" s="1046">
        <f t="shared" si="83"/>
        <v>0</v>
      </c>
      <c r="CX84" s="1675"/>
      <c r="CY84" s="1115"/>
      <c r="CZ84" s="1115"/>
      <c r="DA84" s="1115"/>
      <c r="DB84" s="1676"/>
      <c r="DC84" s="1049">
        <f t="shared" si="84"/>
        <v>0</v>
      </c>
      <c r="DD84" s="1675"/>
      <c r="DE84" s="1115"/>
      <c r="DF84" s="1115"/>
      <c r="DG84" s="1115"/>
      <c r="DH84" s="1115"/>
      <c r="DI84" s="1114">
        <f t="shared" si="85"/>
        <v>0</v>
      </c>
      <c r="DJ84" s="1115"/>
      <c r="DK84" s="1115"/>
      <c r="DL84" s="1115"/>
      <c r="DM84" s="1115"/>
      <c r="DN84" s="1115"/>
      <c r="DO84" s="1115">
        <f t="shared" si="86"/>
        <v>0</v>
      </c>
      <c r="DP84" s="1677">
        <v>3712.5</v>
      </c>
      <c r="DQ84" s="1045">
        <v>2561.63</v>
      </c>
      <c r="DR84" s="1045">
        <v>1150.8699999999999</v>
      </c>
      <c r="DS84" s="1045">
        <v>0</v>
      </c>
      <c r="DT84" s="1045">
        <v>0</v>
      </c>
      <c r="DU84" s="1050">
        <f t="shared" si="87"/>
        <v>7425</v>
      </c>
      <c r="DV84" s="1675">
        <v>10304.24</v>
      </c>
      <c r="DW84" s="1115">
        <v>0</v>
      </c>
      <c r="DX84" s="1115">
        <v>1890.14</v>
      </c>
      <c r="DY84" s="1115">
        <v>0</v>
      </c>
      <c r="DZ84" s="1676">
        <v>0</v>
      </c>
      <c r="EA84" s="1049">
        <f t="shared" si="88"/>
        <v>12194.38</v>
      </c>
    </row>
    <row r="85" spans="1:131" ht="15" customHeight="1" x14ac:dyDescent="0.25">
      <c r="A85" s="716" t="s">
        <v>210</v>
      </c>
      <c r="B85" s="810" t="s">
        <v>211</v>
      </c>
      <c r="C85" s="911" t="s">
        <v>268</v>
      </c>
      <c r="D85" s="808">
        <f t="shared" si="61"/>
        <v>23306.71712376401</v>
      </c>
      <c r="E85" s="808">
        <f t="shared" si="62"/>
        <v>43761.492876235992</v>
      </c>
      <c r="F85" s="808">
        <f t="shared" si="63"/>
        <v>11200.3</v>
      </c>
      <c r="G85" s="808">
        <f t="shared" si="64"/>
        <v>-1.0000000000000002E-2</v>
      </c>
      <c r="H85" s="808">
        <f t="shared" si="65"/>
        <v>0</v>
      </c>
      <c r="I85" s="1391">
        <f t="shared" si="66"/>
        <v>78268.500000000015</v>
      </c>
      <c r="J85" s="809">
        <f t="shared" si="67"/>
        <v>-1.0000000000000002E-2</v>
      </c>
      <c r="K85" s="1392">
        <f t="shared" si="68"/>
        <v>11200.289999999999</v>
      </c>
      <c r="L85" s="1657"/>
      <c r="M85" s="1658"/>
      <c r="N85" s="1658"/>
      <c r="O85" s="1658"/>
      <c r="P85" s="1659"/>
      <c r="Q85" s="1036">
        <f t="shared" si="69"/>
        <v>0</v>
      </c>
      <c r="R85" s="1650"/>
      <c r="S85" s="1040"/>
      <c r="T85" s="1040"/>
      <c r="U85" s="1040"/>
      <c r="V85" s="1651"/>
      <c r="W85" s="1039">
        <f t="shared" si="70"/>
        <v>0</v>
      </c>
      <c r="X85" s="1664">
        <v>3289.76</v>
      </c>
      <c r="Y85" s="1665">
        <v>19.579999999999998</v>
      </c>
      <c r="Z85" s="1665">
        <v>607.04</v>
      </c>
      <c r="AA85" s="1665">
        <v>0</v>
      </c>
      <c r="AB85" s="1666">
        <v>0</v>
      </c>
      <c r="AC85" s="1037">
        <f t="shared" si="71"/>
        <v>3916.38</v>
      </c>
      <c r="AD85" s="1675">
        <v>645.01</v>
      </c>
      <c r="AE85" s="1115">
        <v>0</v>
      </c>
      <c r="AF85" s="1115">
        <v>161.26</v>
      </c>
      <c r="AG85" s="1115">
        <v>0</v>
      </c>
      <c r="AH85" s="1676">
        <v>0</v>
      </c>
      <c r="AI85" s="1049">
        <f t="shared" si="72"/>
        <v>806.27</v>
      </c>
      <c r="AJ85" s="1667"/>
      <c r="AK85" s="1038"/>
      <c r="AL85" s="1038"/>
      <c r="AM85" s="1038"/>
      <c r="AN85" s="1038"/>
      <c r="AO85" s="1041">
        <f t="shared" si="73"/>
        <v>0</v>
      </c>
      <c r="AP85" s="1686">
        <v>3088.15</v>
      </c>
      <c r="AQ85" s="1687">
        <v>772.03</v>
      </c>
      <c r="AR85" s="1687">
        <v>0</v>
      </c>
      <c r="AS85" s="1687">
        <v>0</v>
      </c>
      <c r="AT85" s="1688">
        <v>0</v>
      </c>
      <c r="AU85" s="1043">
        <f t="shared" si="74"/>
        <v>3860.1800000000003</v>
      </c>
      <c r="AV85" s="1692">
        <v>1673.84</v>
      </c>
      <c r="AW85" s="1693">
        <v>418.47</v>
      </c>
      <c r="AX85" s="1693">
        <v>0</v>
      </c>
      <c r="AY85" s="1693">
        <v>0</v>
      </c>
      <c r="AZ85" s="1694">
        <v>0</v>
      </c>
      <c r="BA85" s="1039">
        <f t="shared" si="75"/>
        <v>2092.31</v>
      </c>
      <c r="BB85" s="1675">
        <v>103.36</v>
      </c>
      <c r="BC85" s="1115">
        <v>186.64</v>
      </c>
      <c r="BD85" s="1115">
        <v>0</v>
      </c>
      <c r="BE85" s="1115">
        <v>0</v>
      </c>
      <c r="BF85" s="1676">
        <v>0</v>
      </c>
      <c r="BG85" s="1046">
        <f t="shared" si="76"/>
        <v>290</v>
      </c>
      <c r="BH85" s="1675">
        <v>1302.42</v>
      </c>
      <c r="BI85" s="1115">
        <v>164.97</v>
      </c>
      <c r="BJ85" s="1115">
        <v>269.17</v>
      </c>
      <c r="BK85" s="1115">
        <v>0</v>
      </c>
      <c r="BL85" s="1676">
        <v>0</v>
      </c>
      <c r="BM85" s="1046">
        <f t="shared" si="77"/>
        <v>1736.5600000000002</v>
      </c>
      <c r="BN85" s="1675"/>
      <c r="BO85" s="1115"/>
      <c r="BP85" s="1115"/>
      <c r="BQ85" s="1115"/>
      <c r="BR85" s="1676"/>
      <c r="BS85" s="1049">
        <f t="shared" si="78"/>
        <v>0</v>
      </c>
      <c r="BT85" s="1675">
        <v>6979.1471237640108</v>
      </c>
      <c r="BU85" s="1115">
        <v>42199.80287623599</v>
      </c>
      <c r="BV85" s="1115">
        <v>9020.98</v>
      </c>
      <c r="BW85" s="1115">
        <v>-0.04</v>
      </c>
      <c r="BX85" s="1676">
        <v>0</v>
      </c>
      <c r="BY85" s="1049">
        <f t="shared" si="79"/>
        <v>58199.889999999992</v>
      </c>
      <c r="BZ85" s="1677"/>
      <c r="CA85" s="1045"/>
      <c r="CB85" s="1045"/>
      <c r="CC85" s="1045"/>
      <c r="CD85" s="1678"/>
      <c r="CE85" s="1049">
        <f t="shared" si="80"/>
        <v>0</v>
      </c>
      <c r="CF85" s="1677"/>
      <c r="CG85" s="1045"/>
      <c r="CH85" s="1045"/>
      <c r="CI85" s="1045"/>
      <c r="CJ85" s="1045"/>
      <c r="CK85" s="1046">
        <f t="shared" si="81"/>
        <v>0</v>
      </c>
      <c r="CL85" s="1677"/>
      <c r="CM85" s="1045"/>
      <c r="CN85" s="1045"/>
      <c r="CO85" s="1045"/>
      <c r="CP85" s="1678"/>
      <c r="CQ85" s="1049">
        <f t="shared" si="82"/>
        <v>0</v>
      </c>
      <c r="CR85" s="1677"/>
      <c r="CS85" s="1045"/>
      <c r="CT85" s="1045"/>
      <c r="CU85" s="1045"/>
      <c r="CV85" s="1045"/>
      <c r="CW85" s="1046">
        <f t="shared" si="83"/>
        <v>0</v>
      </c>
      <c r="CX85" s="1675"/>
      <c r="CY85" s="1115"/>
      <c r="CZ85" s="1115"/>
      <c r="DA85" s="1115"/>
      <c r="DB85" s="1676"/>
      <c r="DC85" s="1049">
        <f t="shared" si="84"/>
        <v>0</v>
      </c>
      <c r="DD85" s="1675"/>
      <c r="DE85" s="1115"/>
      <c r="DF85" s="1115"/>
      <c r="DG85" s="1115"/>
      <c r="DH85" s="1115"/>
      <c r="DI85" s="1114">
        <f t="shared" si="85"/>
        <v>0</v>
      </c>
      <c r="DJ85" s="1115"/>
      <c r="DK85" s="1115"/>
      <c r="DL85" s="1115"/>
      <c r="DM85" s="1115"/>
      <c r="DN85" s="1115"/>
      <c r="DO85" s="1115">
        <f t="shared" si="86"/>
        <v>0</v>
      </c>
      <c r="DP85" s="1675"/>
      <c r="DQ85" s="1115"/>
      <c r="DR85" s="1115"/>
      <c r="DS85" s="1115"/>
      <c r="DT85" s="1676"/>
      <c r="DU85" s="1050">
        <f t="shared" si="87"/>
        <v>0</v>
      </c>
      <c r="DV85" s="1675">
        <v>6225.03</v>
      </c>
      <c r="DW85" s="1115">
        <v>0</v>
      </c>
      <c r="DX85" s="1115">
        <v>1141.8499999999999</v>
      </c>
      <c r="DY85" s="1115">
        <v>0.03</v>
      </c>
      <c r="DZ85" s="1676">
        <v>0</v>
      </c>
      <c r="EA85" s="1049">
        <f t="shared" si="88"/>
        <v>7366.9099999999989</v>
      </c>
    </row>
    <row r="86" spans="1:131" ht="15" customHeight="1" x14ac:dyDescent="0.25">
      <c r="A86" s="716" t="s">
        <v>212</v>
      </c>
      <c r="B86" s="810" t="s">
        <v>213</v>
      </c>
      <c r="C86" s="911" t="s">
        <v>267</v>
      </c>
      <c r="D86" s="808">
        <f t="shared" si="61"/>
        <v>45724.345457250711</v>
      </c>
      <c r="E86" s="808">
        <f t="shared" si="62"/>
        <v>39372.594542749299</v>
      </c>
      <c r="F86" s="808">
        <f t="shared" si="63"/>
        <v>15778.41</v>
      </c>
      <c r="G86" s="808">
        <f t="shared" si="64"/>
        <v>-0.16999999999999998</v>
      </c>
      <c r="H86" s="808">
        <f t="shared" si="65"/>
        <v>0</v>
      </c>
      <c r="I86" s="1391">
        <f t="shared" si="66"/>
        <v>100875.18000000001</v>
      </c>
      <c r="J86" s="809">
        <f t="shared" si="67"/>
        <v>-0.16999999999999998</v>
      </c>
      <c r="K86" s="1392">
        <f t="shared" si="68"/>
        <v>15778.24</v>
      </c>
      <c r="L86" s="1657"/>
      <c r="M86" s="1658">
        <v>5931.27</v>
      </c>
      <c r="N86" s="1658"/>
      <c r="O86" s="1658"/>
      <c r="P86" s="1659"/>
      <c r="Q86" s="1036">
        <f t="shared" si="69"/>
        <v>5931.27</v>
      </c>
      <c r="R86" s="1652"/>
      <c r="S86" s="1113"/>
      <c r="T86" s="1113"/>
      <c r="U86" s="1113"/>
      <c r="V86" s="1653"/>
      <c r="W86" s="1039">
        <f t="shared" si="70"/>
        <v>0</v>
      </c>
      <c r="X86" s="1664">
        <v>3706.25</v>
      </c>
      <c r="Y86" s="1665">
        <v>22.07</v>
      </c>
      <c r="Z86" s="1665">
        <v>683.9</v>
      </c>
      <c r="AA86" s="1665">
        <v>-0.02</v>
      </c>
      <c r="AB86" s="1666">
        <v>0</v>
      </c>
      <c r="AC86" s="1037">
        <f t="shared" si="71"/>
        <v>4412.2</v>
      </c>
      <c r="AD86" s="1675">
        <v>7501.65</v>
      </c>
      <c r="AE86" s="1115">
        <v>0</v>
      </c>
      <c r="AF86" s="1115">
        <v>1875.41</v>
      </c>
      <c r="AG86" s="1115">
        <v>0</v>
      </c>
      <c r="AH86" s="1676">
        <v>0</v>
      </c>
      <c r="AI86" s="1049">
        <f t="shared" si="72"/>
        <v>9377.06</v>
      </c>
      <c r="AJ86" s="1667"/>
      <c r="AK86" s="1038"/>
      <c r="AL86" s="1038"/>
      <c r="AM86" s="1038"/>
      <c r="AN86" s="1038"/>
      <c r="AO86" s="1041">
        <f t="shared" si="73"/>
        <v>0</v>
      </c>
      <c r="AP86" s="1686">
        <v>68</v>
      </c>
      <c r="AQ86" s="1687">
        <v>17</v>
      </c>
      <c r="AR86" s="1687">
        <v>0</v>
      </c>
      <c r="AS86" s="1687">
        <v>0</v>
      </c>
      <c r="AT86" s="1688">
        <v>0</v>
      </c>
      <c r="AU86" s="1043">
        <f t="shared" si="74"/>
        <v>85</v>
      </c>
      <c r="AV86" s="1692">
        <v>1849.59</v>
      </c>
      <c r="AW86" s="1693">
        <v>462.39</v>
      </c>
      <c r="AX86" s="1693">
        <v>0</v>
      </c>
      <c r="AY86" s="1693">
        <v>0</v>
      </c>
      <c r="AZ86" s="1694">
        <v>0</v>
      </c>
      <c r="BA86" s="1039">
        <f t="shared" si="75"/>
        <v>2311.98</v>
      </c>
      <c r="BB86" s="1677">
        <v>213.84</v>
      </c>
      <c r="BC86" s="1045">
        <v>386.16</v>
      </c>
      <c r="BD86" s="1045">
        <v>0</v>
      </c>
      <c r="BE86" s="1045">
        <v>0</v>
      </c>
      <c r="BF86" s="1045">
        <v>0</v>
      </c>
      <c r="BG86" s="1046">
        <f t="shared" si="76"/>
        <v>600</v>
      </c>
      <c r="BH86" s="1675">
        <v>16904.650000000001</v>
      </c>
      <c r="BI86" s="1115">
        <v>2141.27</v>
      </c>
      <c r="BJ86" s="1115">
        <v>3493.65</v>
      </c>
      <c r="BK86" s="1115">
        <v>-0.03</v>
      </c>
      <c r="BL86" s="1676">
        <v>0</v>
      </c>
      <c r="BM86" s="1046">
        <f t="shared" si="77"/>
        <v>22539.540000000005</v>
      </c>
      <c r="BN86" s="1675"/>
      <c r="BO86" s="1115"/>
      <c r="BP86" s="1115"/>
      <c r="BQ86" s="1115"/>
      <c r="BR86" s="1676"/>
      <c r="BS86" s="1049">
        <f t="shared" si="78"/>
        <v>0</v>
      </c>
      <c r="BT86" s="1675">
        <v>6796.5654572507065</v>
      </c>
      <c r="BU86" s="1115">
        <v>28255.214542749294</v>
      </c>
      <c r="BV86" s="1115">
        <v>6429.66</v>
      </c>
      <c r="BW86" s="1115">
        <v>-0.13</v>
      </c>
      <c r="BX86" s="1676">
        <v>0</v>
      </c>
      <c r="BY86" s="1049">
        <f t="shared" si="79"/>
        <v>41481.310000000005</v>
      </c>
      <c r="BZ86" s="1675">
        <v>818.66</v>
      </c>
      <c r="CA86" s="1115">
        <v>0</v>
      </c>
      <c r="CB86" s="1115">
        <v>1217.81</v>
      </c>
      <c r="CC86" s="1115">
        <v>0</v>
      </c>
      <c r="CD86" s="1676">
        <v>0</v>
      </c>
      <c r="CE86" s="1049">
        <f t="shared" si="80"/>
        <v>2036.4699999999998</v>
      </c>
      <c r="CF86" s="1677"/>
      <c r="CG86" s="1045"/>
      <c r="CH86" s="1045"/>
      <c r="CI86" s="1045"/>
      <c r="CJ86" s="1045"/>
      <c r="CK86" s="1046">
        <f t="shared" si="81"/>
        <v>0</v>
      </c>
      <c r="CL86" s="1677"/>
      <c r="CM86" s="1045"/>
      <c r="CN86" s="1045"/>
      <c r="CO86" s="1045"/>
      <c r="CP86" s="1678"/>
      <c r="CQ86" s="1049">
        <f t="shared" si="82"/>
        <v>0</v>
      </c>
      <c r="CR86" s="1675"/>
      <c r="CS86" s="1115"/>
      <c r="CT86" s="1115"/>
      <c r="CU86" s="1115"/>
      <c r="CV86" s="1676"/>
      <c r="CW86" s="1046">
        <f t="shared" si="83"/>
        <v>0</v>
      </c>
      <c r="CX86" s="1675"/>
      <c r="CY86" s="1115"/>
      <c r="CZ86" s="1115"/>
      <c r="DA86" s="1115"/>
      <c r="DB86" s="1676"/>
      <c r="DC86" s="1049">
        <f t="shared" si="84"/>
        <v>0</v>
      </c>
      <c r="DD86" s="1675">
        <v>-1306</v>
      </c>
      <c r="DE86" s="1115">
        <v>0</v>
      </c>
      <c r="DF86" s="1115">
        <v>0</v>
      </c>
      <c r="DG86" s="1115">
        <v>0</v>
      </c>
      <c r="DH86" s="1115">
        <v>0</v>
      </c>
      <c r="DI86" s="1114">
        <f t="shared" si="85"/>
        <v>-1306</v>
      </c>
      <c r="DJ86" s="1115"/>
      <c r="DK86" s="1115"/>
      <c r="DL86" s="1115"/>
      <c r="DM86" s="1115"/>
      <c r="DN86" s="1115"/>
      <c r="DO86" s="1115">
        <f t="shared" si="86"/>
        <v>0</v>
      </c>
      <c r="DP86" s="1675">
        <v>3126.42</v>
      </c>
      <c r="DQ86" s="1115">
        <v>2157.2199999999998</v>
      </c>
      <c r="DR86" s="1115">
        <v>969.19</v>
      </c>
      <c r="DS86" s="1115">
        <v>-0.02</v>
      </c>
      <c r="DT86" s="1676">
        <v>0</v>
      </c>
      <c r="DU86" s="1050">
        <f t="shared" si="87"/>
        <v>6252.8099999999995</v>
      </c>
      <c r="DV86" s="1675">
        <v>6044.72</v>
      </c>
      <c r="DW86" s="1115">
        <v>0</v>
      </c>
      <c r="DX86" s="1115">
        <v>1108.79</v>
      </c>
      <c r="DY86" s="1115">
        <v>0.03</v>
      </c>
      <c r="DZ86" s="1676">
        <v>0</v>
      </c>
      <c r="EA86" s="1049">
        <f t="shared" si="88"/>
        <v>7153.54</v>
      </c>
    </row>
    <row r="87" spans="1:131" ht="15" customHeight="1" x14ac:dyDescent="0.25">
      <c r="A87" s="716" t="s">
        <v>214</v>
      </c>
      <c r="B87" s="810" t="s">
        <v>215</v>
      </c>
      <c r="C87" s="911" t="s">
        <v>268</v>
      </c>
      <c r="D87" s="808">
        <f t="shared" si="61"/>
        <v>90338.655895711127</v>
      </c>
      <c r="E87" s="808">
        <f t="shared" si="62"/>
        <v>48929.524104288874</v>
      </c>
      <c r="F87" s="808">
        <f t="shared" si="63"/>
        <v>28279.03</v>
      </c>
      <c r="G87" s="808">
        <f t="shared" si="64"/>
        <v>-6.9999999999999979E-2</v>
      </c>
      <c r="H87" s="808">
        <f t="shared" si="65"/>
        <v>0</v>
      </c>
      <c r="I87" s="1391">
        <f t="shared" si="66"/>
        <v>167547.13999999998</v>
      </c>
      <c r="J87" s="809">
        <f t="shared" si="67"/>
        <v>-6.9999999999999979E-2</v>
      </c>
      <c r="K87" s="1392">
        <f t="shared" si="68"/>
        <v>28278.959999999999</v>
      </c>
      <c r="L87" s="1656"/>
      <c r="M87" s="1035"/>
      <c r="N87" s="1035"/>
      <c r="O87" s="1035"/>
      <c r="P87" s="1035"/>
      <c r="Q87" s="1036">
        <f t="shared" si="69"/>
        <v>0</v>
      </c>
      <c r="R87" s="1650"/>
      <c r="S87" s="1040"/>
      <c r="T87" s="1040"/>
      <c r="U87" s="1040"/>
      <c r="V87" s="1651"/>
      <c r="W87" s="1039">
        <f t="shared" si="70"/>
        <v>0</v>
      </c>
      <c r="X87" s="1664">
        <v>4323.49</v>
      </c>
      <c r="Y87" s="1665">
        <v>25.73</v>
      </c>
      <c r="Z87" s="1665">
        <v>797.8</v>
      </c>
      <c r="AA87" s="1665">
        <v>-0.02</v>
      </c>
      <c r="AB87" s="1666">
        <v>0</v>
      </c>
      <c r="AC87" s="1037">
        <f t="shared" si="71"/>
        <v>5146.9999999999991</v>
      </c>
      <c r="AD87" s="1675">
        <v>52673.87</v>
      </c>
      <c r="AE87" s="1115">
        <v>0</v>
      </c>
      <c r="AF87" s="1115">
        <v>13168.48</v>
      </c>
      <c r="AG87" s="1115">
        <v>0</v>
      </c>
      <c r="AH87" s="1676">
        <v>0</v>
      </c>
      <c r="AI87" s="1049">
        <f t="shared" si="72"/>
        <v>65842.350000000006</v>
      </c>
      <c r="AJ87" s="1667"/>
      <c r="AK87" s="1038"/>
      <c r="AL87" s="1038"/>
      <c r="AM87" s="1038"/>
      <c r="AN87" s="1038"/>
      <c r="AO87" s="1041">
        <f t="shared" si="73"/>
        <v>0</v>
      </c>
      <c r="AP87" s="1686">
        <v>1733.6</v>
      </c>
      <c r="AQ87" s="1687">
        <v>433.4</v>
      </c>
      <c r="AR87" s="1687">
        <v>0</v>
      </c>
      <c r="AS87" s="1687">
        <v>0</v>
      </c>
      <c r="AT87" s="1688">
        <v>0</v>
      </c>
      <c r="AU87" s="1043">
        <f t="shared" si="74"/>
        <v>2167</v>
      </c>
      <c r="AV87" s="1692">
        <v>1438.63</v>
      </c>
      <c r="AW87" s="1693">
        <v>359.66</v>
      </c>
      <c r="AX87" s="1693">
        <v>0</v>
      </c>
      <c r="AY87" s="1693">
        <v>0</v>
      </c>
      <c r="AZ87" s="1694">
        <v>0</v>
      </c>
      <c r="BA87" s="1039">
        <f t="shared" si="75"/>
        <v>1798.2900000000002</v>
      </c>
      <c r="BB87" s="1675">
        <v>89.81</v>
      </c>
      <c r="BC87" s="1115">
        <v>162.19</v>
      </c>
      <c r="BD87" s="1115">
        <v>0</v>
      </c>
      <c r="BE87" s="1115">
        <v>0</v>
      </c>
      <c r="BF87" s="1676">
        <v>0</v>
      </c>
      <c r="BG87" s="1046">
        <f t="shared" si="76"/>
        <v>252</v>
      </c>
      <c r="BH87" s="1677"/>
      <c r="BI87" s="1045"/>
      <c r="BJ87" s="1045"/>
      <c r="BK87" s="1045"/>
      <c r="BL87" s="1045"/>
      <c r="BM87" s="1046">
        <f t="shared" si="77"/>
        <v>0</v>
      </c>
      <c r="BN87" s="1675"/>
      <c r="BO87" s="1115"/>
      <c r="BP87" s="1115"/>
      <c r="BQ87" s="1115"/>
      <c r="BR87" s="1676"/>
      <c r="BS87" s="1049">
        <f t="shared" si="78"/>
        <v>0</v>
      </c>
      <c r="BT87" s="1675">
        <v>16613.135895711133</v>
      </c>
      <c r="BU87" s="1115">
        <v>44282.174104288868</v>
      </c>
      <c r="BV87" s="1115">
        <v>11170.14</v>
      </c>
      <c r="BW87" s="1115">
        <v>-0.09</v>
      </c>
      <c r="BX87" s="1676">
        <v>0</v>
      </c>
      <c r="BY87" s="1049">
        <f t="shared" si="79"/>
        <v>72065.36</v>
      </c>
      <c r="BZ87" s="1677"/>
      <c r="CA87" s="1045"/>
      <c r="CB87" s="1045"/>
      <c r="CC87" s="1045"/>
      <c r="CD87" s="1678"/>
      <c r="CE87" s="1049">
        <f t="shared" si="80"/>
        <v>0</v>
      </c>
      <c r="CF87" s="1677"/>
      <c r="CG87" s="1045"/>
      <c r="CH87" s="1045"/>
      <c r="CI87" s="1045"/>
      <c r="CJ87" s="1045"/>
      <c r="CK87" s="1046">
        <f t="shared" si="81"/>
        <v>0</v>
      </c>
      <c r="CL87" s="1675"/>
      <c r="CM87" s="1115"/>
      <c r="CN87" s="1115"/>
      <c r="CO87" s="1115"/>
      <c r="CP87" s="1676"/>
      <c r="CQ87" s="1049">
        <f t="shared" si="82"/>
        <v>0</v>
      </c>
      <c r="CR87" s="1677"/>
      <c r="CS87" s="1045"/>
      <c r="CT87" s="1045"/>
      <c r="CU87" s="1045"/>
      <c r="CV87" s="1045"/>
      <c r="CW87" s="1046">
        <f t="shared" si="83"/>
        <v>0</v>
      </c>
      <c r="CX87" s="1675"/>
      <c r="CY87" s="1115"/>
      <c r="CZ87" s="1115"/>
      <c r="DA87" s="1115"/>
      <c r="DB87" s="1676"/>
      <c r="DC87" s="1049">
        <f t="shared" si="84"/>
        <v>0</v>
      </c>
      <c r="DD87" s="1675"/>
      <c r="DE87" s="1115"/>
      <c r="DF87" s="1115"/>
      <c r="DG87" s="1115"/>
      <c r="DH87" s="1115"/>
      <c r="DI87" s="1114">
        <f t="shared" si="85"/>
        <v>0</v>
      </c>
      <c r="DJ87" s="1115"/>
      <c r="DK87" s="1115"/>
      <c r="DL87" s="1115"/>
      <c r="DM87" s="1115"/>
      <c r="DN87" s="1115"/>
      <c r="DO87" s="1115">
        <f t="shared" si="86"/>
        <v>0</v>
      </c>
      <c r="DP87" s="1675">
        <v>5313.61</v>
      </c>
      <c r="DQ87" s="1115">
        <v>3666.37</v>
      </c>
      <c r="DR87" s="1115">
        <v>1647.22</v>
      </c>
      <c r="DS87" s="1115">
        <v>-0.06</v>
      </c>
      <c r="DT87" s="1676">
        <v>0</v>
      </c>
      <c r="DU87" s="1050">
        <f t="shared" si="87"/>
        <v>10627.14</v>
      </c>
      <c r="DV87" s="1675">
        <v>8152.51</v>
      </c>
      <c r="DW87" s="1115">
        <v>0</v>
      </c>
      <c r="DX87" s="1115">
        <v>1495.39</v>
      </c>
      <c r="DY87" s="1115">
        <v>0.1</v>
      </c>
      <c r="DZ87" s="1676">
        <v>0</v>
      </c>
      <c r="EA87" s="1049">
        <f t="shared" si="88"/>
        <v>9648</v>
      </c>
    </row>
    <row r="88" spans="1:131" ht="15" customHeight="1" x14ac:dyDescent="0.25">
      <c r="A88" s="716" t="s">
        <v>216</v>
      </c>
      <c r="B88" s="810" t="s">
        <v>217</v>
      </c>
      <c r="C88" s="911" t="s">
        <v>264</v>
      </c>
      <c r="D88" s="808">
        <f t="shared" si="61"/>
        <v>69318.073633258755</v>
      </c>
      <c r="E88" s="808">
        <f t="shared" si="62"/>
        <v>41909.816366741266</v>
      </c>
      <c r="F88" s="808">
        <f t="shared" si="63"/>
        <v>22965.95</v>
      </c>
      <c r="G88" s="808">
        <f t="shared" si="64"/>
        <v>-0.15</v>
      </c>
      <c r="H88" s="808">
        <f t="shared" si="65"/>
        <v>0</v>
      </c>
      <c r="I88" s="1391">
        <f t="shared" si="66"/>
        <v>134193.69000000003</v>
      </c>
      <c r="J88" s="809">
        <f t="shared" si="67"/>
        <v>-0.15</v>
      </c>
      <c r="K88" s="1392">
        <f t="shared" si="68"/>
        <v>22965.8</v>
      </c>
      <c r="L88" s="1656"/>
      <c r="M88" s="1035"/>
      <c r="N88" s="1035"/>
      <c r="O88" s="1035"/>
      <c r="P88" s="1035"/>
      <c r="Q88" s="1036">
        <f t="shared" si="69"/>
        <v>0</v>
      </c>
      <c r="R88" s="1652"/>
      <c r="S88" s="1113"/>
      <c r="T88" s="1113"/>
      <c r="U88" s="1113"/>
      <c r="V88" s="1653"/>
      <c r="W88" s="1039">
        <f t="shared" si="70"/>
        <v>0</v>
      </c>
      <c r="X88" s="1664">
        <v>918.12</v>
      </c>
      <c r="Y88" s="1665">
        <v>5.46</v>
      </c>
      <c r="Z88" s="1665">
        <v>169.41</v>
      </c>
      <c r="AA88" s="1665">
        <v>0.01</v>
      </c>
      <c r="AB88" s="1666">
        <v>0</v>
      </c>
      <c r="AC88" s="1037">
        <f t="shared" si="71"/>
        <v>1093</v>
      </c>
      <c r="AD88" s="1675">
        <v>36683.660000000003</v>
      </c>
      <c r="AE88" s="1115">
        <v>0</v>
      </c>
      <c r="AF88" s="1115">
        <v>9170.85</v>
      </c>
      <c r="AG88" s="1115">
        <v>0</v>
      </c>
      <c r="AH88" s="1676">
        <v>0</v>
      </c>
      <c r="AI88" s="1049">
        <f t="shared" si="72"/>
        <v>45854.51</v>
      </c>
      <c r="AJ88" s="1667"/>
      <c r="AK88" s="1038"/>
      <c r="AL88" s="1038"/>
      <c r="AM88" s="1038"/>
      <c r="AN88" s="1038"/>
      <c r="AO88" s="1041">
        <f t="shared" si="73"/>
        <v>0</v>
      </c>
      <c r="AP88" s="1689"/>
      <c r="AQ88" s="1042"/>
      <c r="AR88" s="1042"/>
      <c r="AS88" s="1042"/>
      <c r="AT88" s="1042"/>
      <c r="AU88" s="1043">
        <f t="shared" si="74"/>
        <v>0</v>
      </c>
      <c r="AV88" s="1692">
        <v>528.51</v>
      </c>
      <c r="AW88" s="1693">
        <v>132.13</v>
      </c>
      <c r="AX88" s="1693">
        <v>0</v>
      </c>
      <c r="AY88" s="1693">
        <v>0</v>
      </c>
      <c r="AZ88" s="1694">
        <v>0</v>
      </c>
      <c r="BA88" s="1039">
        <f t="shared" si="75"/>
        <v>660.64</v>
      </c>
      <c r="BB88" s="1677"/>
      <c r="BC88" s="1045"/>
      <c r="BD88" s="1045"/>
      <c r="BE88" s="1045"/>
      <c r="BF88" s="1045"/>
      <c r="BG88" s="1046">
        <f t="shared" si="76"/>
        <v>0</v>
      </c>
      <c r="BH88" s="1675">
        <v>13087.53</v>
      </c>
      <c r="BI88" s="1115">
        <v>1657.76</v>
      </c>
      <c r="BJ88" s="1115">
        <v>2704.77</v>
      </c>
      <c r="BK88" s="1115">
        <v>-0.06</v>
      </c>
      <c r="BL88" s="1676">
        <v>0</v>
      </c>
      <c r="BM88" s="1046">
        <f t="shared" si="77"/>
        <v>17450</v>
      </c>
      <c r="BN88" s="1675">
        <v>-6.2</v>
      </c>
      <c r="BO88" s="1115">
        <v>-6.2</v>
      </c>
      <c r="BP88" s="1115">
        <v>0</v>
      </c>
      <c r="BQ88" s="1115">
        <v>0</v>
      </c>
      <c r="BR88" s="1676">
        <v>0</v>
      </c>
      <c r="BS88" s="1049">
        <f t="shared" si="78"/>
        <v>-12.4</v>
      </c>
      <c r="BT88" s="1675">
        <v>7029.4336332587372</v>
      </c>
      <c r="BU88" s="1115">
        <v>38299.666366741265</v>
      </c>
      <c r="BV88" s="1115">
        <v>8314.7800000000007</v>
      </c>
      <c r="BW88" s="1115">
        <v>-0.08</v>
      </c>
      <c r="BX88" s="1676">
        <v>0</v>
      </c>
      <c r="BY88" s="1049">
        <f t="shared" si="79"/>
        <v>53643.8</v>
      </c>
      <c r="BZ88" s="1677"/>
      <c r="CA88" s="1045"/>
      <c r="CB88" s="1045"/>
      <c r="CC88" s="1045"/>
      <c r="CD88" s="1678"/>
      <c r="CE88" s="1049">
        <f t="shared" si="80"/>
        <v>0</v>
      </c>
      <c r="CF88" s="1677"/>
      <c r="CG88" s="1045"/>
      <c r="CH88" s="1045"/>
      <c r="CI88" s="1045"/>
      <c r="CJ88" s="1045"/>
      <c r="CK88" s="1046">
        <f t="shared" si="81"/>
        <v>0</v>
      </c>
      <c r="CL88" s="1675">
        <v>-468.49</v>
      </c>
      <c r="CM88" s="1115">
        <v>0</v>
      </c>
      <c r="CN88" s="1115">
        <v>0</v>
      </c>
      <c r="CO88" s="1115">
        <v>0</v>
      </c>
      <c r="CP88" s="1676">
        <v>0</v>
      </c>
      <c r="CQ88" s="1049">
        <f t="shared" si="82"/>
        <v>-468.49</v>
      </c>
      <c r="CR88" s="1675"/>
      <c r="CS88" s="1115"/>
      <c r="CT88" s="1115"/>
      <c r="CU88" s="1115"/>
      <c r="CV88" s="1676"/>
      <c r="CW88" s="1046">
        <f t="shared" si="83"/>
        <v>0</v>
      </c>
      <c r="CX88" s="1675">
        <v>-243</v>
      </c>
      <c r="CY88" s="1115">
        <v>-243</v>
      </c>
      <c r="CZ88" s="1115">
        <v>0</v>
      </c>
      <c r="DA88" s="1115">
        <v>0</v>
      </c>
      <c r="DB88" s="1676">
        <v>0</v>
      </c>
      <c r="DC88" s="1049">
        <f t="shared" si="84"/>
        <v>-486</v>
      </c>
      <c r="DD88" s="1675">
        <v>-245</v>
      </c>
      <c r="DE88" s="1115">
        <v>0</v>
      </c>
      <c r="DF88" s="1115">
        <v>0</v>
      </c>
      <c r="DG88" s="1115">
        <v>0</v>
      </c>
      <c r="DH88" s="1115">
        <v>0</v>
      </c>
      <c r="DI88" s="1114">
        <f t="shared" si="85"/>
        <v>-245</v>
      </c>
      <c r="DJ88" s="1115">
        <v>-55</v>
      </c>
      <c r="DK88" s="1115">
        <v>-55</v>
      </c>
      <c r="DL88" s="1115">
        <v>0</v>
      </c>
      <c r="DM88" s="1115">
        <v>0</v>
      </c>
      <c r="DN88" s="1115">
        <v>0</v>
      </c>
      <c r="DO88" s="1115">
        <f t="shared" si="86"/>
        <v>-110</v>
      </c>
      <c r="DP88" s="1675">
        <v>3071</v>
      </c>
      <c r="DQ88" s="1115">
        <v>2119</v>
      </c>
      <c r="DR88" s="1115">
        <v>952.02</v>
      </c>
      <c r="DS88" s="1115">
        <v>-0.02</v>
      </c>
      <c r="DT88" s="1676">
        <v>0</v>
      </c>
      <c r="DU88" s="1050">
        <f t="shared" si="87"/>
        <v>6142</v>
      </c>
      <c r="DV88" s="1675">
        <v>9017.51</v>
      </c>
      <c r="DW88" s="1115">
        <v>0</v>
      </c>
      <c r="DX88" s="1115">
        <v>1654.12</v>
      </c>
      <c r="DY88" s="1115">
        <v>0</v>
      </c>
      <c r="DZ88" s="1676">
        <v>0</v>
      </c>
      <c r="EA88" s="1049">
        <f t="shared" si="88"/>
        <v>10671.630000000001</v>
      </c>
    </row>
    <row r="89" spans="1:131" ht="15" customHeight="1" x14ac:dyDescent="0.25">
      <c r="A89" s="716" t="s">
        <v>218</v>
      </c>
      <c r="B89" s="810" t="s">
        <v>219</v>
      </c>
      <c r="C89" s="911" t="s">
        <v>267</v>
      </c>
      <c r="D89" s="808">
        <f t="shared" si="61"/>
        <v>142178.24722562969</v>
      </c>
      <c r="E89" s="808">
        <f t="shared" si="62"/>
        <v>84659.98277437035</v>
      </c>
      <c r="F89" s="808">
        <f t="shared" si="63"/>
        <v>48322.07</v>
      </c>
      <c r="G89" s="808">
        <f t="shared" si="64"/>
        <v>5578.0500000000011</v>
      </c>
      <c r="H89" s="808">
        <f t="shared" si="65"/>
        <v>0</v>
      </c>
      <c r="I89" s="1391">
        <f t="shared" si="66"/>
        <v>280738.35000000003</v>
      </c>
      <c r="J89" s="809">
        <f t="shared" si="67"/>
        <v>5578.0500000000011</v>
      </c>
      <c r="K89" s="1392">
        <f t="shared" si="68"/>
        <v>53900.12</v>
      </c>
      <c r="L89" s="1656"/>
      <c r="M89" s="1035"/>
      <c r="N89" s="1035"/>
      <c r="O89" s="1035"/>
      <c r="P89" s="1035"/>
      <c r="Q89" s="1036">
        <f t="shared" si="69"/>
        <v>0</v>
      </c>
      <c r="R89" s="1652"/>
      <c r="S89" s="1113"/>
      <c r="T89" s="1113"/>
      <c r="U89" s="1113">
        <v>5578.13</v>
      </c>
      <c r="V89" s="1653"/>
      <c r="W89" s="1039">
        <f t="shared" si="70"/>
        <v>5578.13</v>
      </c>
      <c r="X89" s="1664">
        <v>10080.07</v>
      </c>
      <c r="Y89" s="1665">
        <v>60.01</v>
      </c>
      <c r="Z89" s="1665">
        <v>1860.03</v>
      </c>
      <c r="AA89" s="1665">
        <v>-0.03</v>
      </c>
      <c r="AB89" s="1666">
        <v>0</v>
      </c>
      <c r="AC89" s="1037">
        <f t="shared" si="71"/>
        <v>12000.08</v>
      </c>
      <c r="AD89" s="1675">
        <v>26305.62</v>
      </c>
      <c r="AE89" s="1115">
        <v>0</v>
      </c>
      <c r="AF89" s="1115">
        <v>6576.41</v>
      </c>
      <c r="AG89" s="1115">
        <v>0</v>
      </c>
      <c r="AH89" s="1676">
        <v>0</v>
      </c>
      <c r="AI89" s="1049">
        <f t="shared" si="72"/>
        <v>32882.03</v>
      </c>
      <c r="AJ89" s="1667"/>
      <c r="AK89" s="1038"/>
      <c r="AL89" s="1038"/>
      <c r="AM89" s="1038"/>
      <c r="AN89" s="1038"/>
      <c r="AO89" s="1041">
        <f t="shared" si="73"/>
        <v>0</v>
      </c>
      <c r="AP89" s="1686">
        <v>5869.94</v>
      </c>
      <c r="AQ89" s="1687">
        <v>1467.48</v>
      </c>
      <c r="AR89" s="1687">
        <v>0</v>
      </c>
      <c r="AS89" s="1687">
        <v>0</v>
      </c>
      <c r="AT89" s="1688">
        <v>0</v>
      </c>
      <c r="AU89" s="1043">
        <f t="shared" si="74"/>
        <v>7337.42</v>
      </c>
      <c r="AV89" s="1692">
        <v>10143.76</v>
      </c>
      <c r="AW89" s="1693">
        <v>2535.9699999999998</v>
      </c>
      <c r="AX89" s="1693">
        <v>0</v>
      </c>
      <c r="AY89" s="1693">
        <v>0</v>
      </c>
      <c r="AZ89" s="1694">
        <v>0</v>
      </c>
      <c r="BA89" s="1039">
        <f t="shared" si="75"/>
        <v>12679.73</v>
      </c>
      <c r="BB89" s="1675">
        <v>2318.4</v>
      </c>
      <c r="BC89" s="1115">
        <v>4186.6000000000004</v>
      </c>
      <c r="BD89" s="1115">
        <v>0</v>
      </c>
      <c r="BE89" s="1115">
        <v>0</v>
      </c>
      <c r="BF89" s="1676">
        <v>0</v>
      </c>
      <c r="BG89" s="1046">
        <f t="shared" si="76"/>
        <v>6505</v>
      </c>
      <c r="BH89" s="1675">
        <v>56977.51</v>
      </c>
      <c r="BI89" s="1115">
        <v>7217.17</v>
      </c>
      <c r="BJ89" s="1115">
        <v>11775.36</v>
      </c>
      <c r="BK89" s="1115">
        <v>-0.09</v>
      </c>
      <c r="BL89" s="1676">
        <v>0</v>
      </c>
      <c r="BM89" s="1046">
        <f t="shared" si="77"/>
        <v>75969.950000000012</v>
      </c>
      <c r="BN89" s="1675">
        <v>-147.06</v>
      </c>
      <c r="BO89" s="1115">
        <v>-147.06</v>
      </c>
      <c r="BP89" s="1115">
        <v>0</v>
      </c>
      <c r="BQ89" s="1115">
        <v>0.05</v>
      </c>
      <c r="BR89" s="1676">
        <v>0</v>
      </c>
      <c r="BS89" s="1049">
        <f t="shared" si="78"/>
        <v>-294.07</v>
      </c>
      <c r="BT89" s="1675">
        <v>13979.997225629653</v>
      </c>
      <c r="BU89" s="1115">
        <v>69339.812774370352</v>
      </c>
      <c r="BV89" s="1115">
        <v>15283.54</v>
      </c>
      <c r="BW89" s="1115">
        <v>-7.0000000000000007E-2</v>
      </c>
      <c r="BX89" s="1676">
        <v>0</v>
      </c>
      <c r="BY89" s="1049">
        <f t="shared" si="79"/>
        <v>98603.28</v>
      </c>
      <c r="BZ89" s="1675">
        <v>7044.62</v>
      </c>
      <c r="CA89" s="1115">
        <v>0</v>
      </c>
      <c r="CB89" s="1115">
        <v>10479.31</v>
      </c>
      <c r="CC89" s="1115">
        <v>0</v>
      </c>
      <c r="CD89" s="1676">
        <v>0</v>
      </c>
      <c r="CE89" s="1049">
        <f t="shared" si="80"/>
        <v>17523.93</v>
      </c>
      <c r="CF89" s="1677"/>
      <c r="CG89" s="1045"/>
      <c r="CH89" s="1045"/>
      <c r="CI89" s="1045"/>
      <c r="CJ89" s="1045"/>
      <c r="CK89" s="1046">
        <f t="shared" si="81"/>
        <v>0</v>
      </c>
      <c r="CL89" s="1675"/>
      <c r="CM89" s="1115"/>
      <c r="CN89" s="1115"/>
      <c r="CO89" s="1115"/>
      <c r="CP89" s="1676"/>
      <c r="CQ89" s="1049">
        <f t="shared" si="82"/>
        <v>0</v>
      </c>
      <c r="CR89" s="1677"/>
      <c r="CS89" s="1045"/>
      <c r="CT89" s="1045"/>
      <c r="CU89" s="1045"/>
      <c r="CV89" s="1045"/>
      <c r="CW89" s="1046">
        <f t="shared" si="83"/>
        <v>0</v>
      </c>
      <c r="CX89" s="1675"/>
      <c r="CY89" s="1115"/>
      <c r="CZ89" s="1115"/>
      <c r="DA89" s="1115"/>
      <c r="DB89" s="1676"/>
      <c r="DC89" s="1049">
        <f t="shared" si="84"/>
        <v>0</v>
      </c>
      <c r="DD89" s="1675">
        <v>-3192</v>
      </c>
      <c r="DE89" s="1115">
        <v>0</v>
      </c>
      <c r="DF89" s="1115">
        <v>0</v>
      </c>
      <c r="DG89" s="1115">
        <v>0</v>
      </c>
      <c r="DH89" s="1115">
        <v>0</v>
      </c>
      <c r="DI89" s="1114">
        <f t="shared" si="85"/>
        <v>-3192</v>
      </c>
      <c r="DJ89" s="1115"/>
      <c r="DK89" s="1115"/>
      <c r="DL89" s="1115"/>
      <c r="DM89" s="1115"/>
      <c r="DN89" s="1115"/>
      <c r="DO89" s="1115">
        <f t="shared" si="86"/>
        <v>0</v>
      </c>
      <c r="DP89" s="1675"/>
      <c r="DQ89" s="1115"/>
      <c r="DR89" s="1115"/>
      <c r="DS89" s="1115"/>
      <c r="DT89" s="1676"/>
      <c r="DU89" s="1050">
        <f t="shared" si="87"/>
        <v>0</v>
      </c>
      <c r="DV89" s="1675">
        <v>12797.39</v>
      </c>
      <c r="DW89" s="1115">
        <v>0</v>
      </c>
      <c r="DX89" s="1115">
        <v>2347.42</v>
      </c>
      <c r="DY89" s="1115">
        <v>0.06</v>
      </c>
      <c r="DZ89" s="1676">
        <v>0</v>
      </c>
      <c r="EA89" s="1049">
        <f t="shared" si="88"/>
        <v>15144.869999999999</v>
      </c>
    </row>
    <row r="90" spans="1:131" ht="15" customHeight="1" x14ac:dyDescent="0.25">
      <c r="A90" s="716" t="s">
        <v>220</v>
      </c>
      <c r="B90" s="810" t="s">
        <v>221</v>
      </c>
      <c r="C90" s="911" t="s">
        <v>267</v>
      </c>
      <c r="D90" s="808">
        <f t="shared" si="61"/>
        <v>33530.509179805129</v>
      </c>
      <c r="E90" s="808">
        <f t="shared" si="62"/>
        <v>40698.120820194861</v>
      </c>
      <c r="F90" s="808">
        <f t="shared" si="63"/>
        <v>16205.19</v>
      </c>
      <c r="G90" s="808">
        <f t="shared" si="64"/>
        <v>26683.230000000003</v>
      </c>
      <c r="H90" s="808">
        <f t="shared" si="65"/>
        <v>0</v>
      </c>
      <c r="I90" s="1391">
        <f t="shared" si="66"/>
        <v>117117.04999999999</v>
      </c>
      <c r="J90" s="809">
        <f t="shared" si="67"/>
        <v>26683.230000000003</v>
      </c>
      <c r="K90" s="1392">
        <f t="shared" si="68"/>
        <v>42888.420000000006</v>
      </c>
      <c r="L90" s="1656"/>
      <c r="M90" s="1035"/>
      <c r="N90" s="1035"/>
      <c r="O90" s="1035"/>
      <c r="P90" s="1035"/>
      <c r="Q90" s="1036">
        <f t="shared" si="69"/>
        <v>0</v>
      </c>
      <c r="R90" s="1652"/>
      <c r="S90" s="1113"/>
      <c r="T90" s="1113"/>
      <c r="U90" s="1113">
        <v>27083.25</v>
      </c>
      <c r="V90" s="1653"/>
      <c r="W90" s="1039">
        <f t="shared" si="70"/>
        <v>27083.25</v>
      </c>
      <c r="X90" s="1664">
        <v>228.54</v>
      </c>
      <c r="Y90" s="1665">
        <v>1.36</v>
      </c>
      <c r="Z90" s="1665">
        <v>42.17</v>
      </c>
      <c r="AA90" s="1665">
        <v>0</v>
      </c>
      <c r="AB90" s="1666">
        <v>0</v>
      </c>
      <c r="AC90" s="1037">
        <f t="shared" si="71"/>
        <v>272.07</v>
      </c>
      <c r="AD90" s="1675">
        <v>13780.8</v>
      </c>
      <c r="AE90" s="1115">
        <v>0</v>
      </c>
      <c r="AF90" s="1115">
        <v>3445.2</v>
      </c>
      <c r="AG90" s="1115">
        <v>0</v>
      </c>
      <c r="AH90" s="1676">
        <v>0</v>
      </c>
      <c r="AI90" s="1049">
        <f t="shared" si="72"/>
        <v>17226</v>
      </c>
      <c r="AJ90" s="1667"/>
      <c r="AK90" s="1038"/>
      <c r="AL90" s="1038"/>
      <c r="AM90" s="1038"/>
      <c r="AN90" s="1038"/>
      <c r="AO90" s="1041">
        <f t="shared" si="73"/>
        <v>0</v>
      </c>
      <c r="AP90" s="1686">
        <v>2821.26</v>
      </c>
      <c r="AQ90" s="1687">
        <v>705.32</v>
      </c>
      <c r="AR90" s="1687">
        <v>0</v>
      </c>
      <c r="AS90" s="1687">
        <v>0</v>
      </c>
      <c r="AT90" s="1688">
        <v>0</v>
      </c>
      <c r="AU90" s="1043">
        <f t="shared" si="74"/>
        <v>3526.5800000000004</v>
      </c>
      <c r="AV90" s="1692">
        <v>906.19</v>
      </c>
      <c r="AW90" s="1693">
        <v>226.56</v>
      </c>
      <c r="AX90" s="1693">
        <v>0</v>
      </c>
      <c r="AY90" s="1693">
        <v>0</v>
      </c>
      <c r="AZ90" s="1694">
        <v>0</v>
      </c>
      <c r="BA90" s="1039">
        <f t="shared" si="75"/>
        <v>1132.75</v>
      </c>
      <c r="BB90" s="1675">
        <v>1782</v>
      </c>
      <c r="BC90" s="1115">
        <v>3218</v>
      </c>
      <c r="BD90" s="1115">
        <v>0</v>
      </c>
      <c r="BE90" s="1115">
        <v>0</v>
      </c>
      <c r="BF90" s="1676">
        <v>0</v>
      </c>
      <c r="BG90" s="1046">
        <f t="shared" si="76"/>
        <v>5000</v>
      </c>
      <c r="BH90" s="1677"/>
      <c r="BI90" s="1045"/>
      <c r="BJ90" s="1045"/>
      <c r="BK90" s="1045"/>
      <c r="BL90" s="1045"/>
      <c r="BM90" s="1046">
        <f t="shared" si="77"/>
        <v>0</v>
      </c>
      <c r="BN90" s="1675">
        <v>-35</v>
      </c>
      <c r="BO90" s="1115">
        <v>-35</v>
      </c>
      <c r="BP90" s="1115">
        <v>0</v>
      </c>
      <c r="BQ90" s="1115">
        <v>0</v>
      </c>
      <c r="BR90" s="1676">
        <v>0</v>
      </c>
      <c r="BS90" s="1049">
        <f t="shared" si="78"/>
        <v>-70</v>
      </c>
      <c r="BT90" s="1675">
        <v>5648.9691798051317</v>
      </c>
      <c r="BU90" s="1115">
        <v>32881.750820194866</v>
      </c>
      <c r="BV90" s="1115">
        <v>7067.78</v>
      </c>
      <c r="BW90" s="1115">
        <v>0</v>
      </c>
      <c r="BX90" s="1676">
        <v>0</v>
      </c>
      <c r="BY90" s="1049">
        <f t="shared" si="79"/>
        <v>45598.5</v>
      </c>
      <c r="BZ90" s="1675">
        <v>2630.8</v>
      </c>
      <c r="CA90" s="1115">
        <v>0</v>
      </c>
      <c r="CB90" s="1115">
        <v>3913.47</v>
      </c>
      <c r="CC90" s="1115">
        <v>0</v>
      </c>
      <c r="CD90" s="1676">
        <v>0</v>
      </c>
      <c r="CE90" s="1049">
        <f t="shared" si="80"/>
        <v>6544.27</v>
      </c>
      <c r="CF90" s="1677"/>
      <c r="CG90" s="1045"/>
      <c r="CH90" s="1045"/>
      <c r="CI90" s="1045"/>
      <c r="CJ90" s="1045"/>
      <c r="CK90" s="1046">
        <f t="shared" si="81"/>
        <v>0</v>
      </c>
      <c r="CL90" s="1675"/>
      <c r="CM90" s="1115"/>
      <c r="CN90" s="1115"/>
      <c r="CO90" s="1115"/>
      <c r="CP90" s="1676"/>
      <c r="CQ90" s="1049">
        <f t="shared" si="82"/>
        <v>0</v>
      </c>
      <c r="CR90" s="1675"/>
      <c r="CS90" s="1115"/>
      <c r="CT90" s="1115"/>
      <c r="CU90" s="1115"/>
      <c r="CV90" s="1676"/>
      <c r="CW90" s="1046">
        <f t="shared" si="83"/>
        <v>0</v>
      </c>
      <c r="CX90" s="1675"/>
      <c r="CY90" s="1115"/>
      <c r="CZ90" s="1115"/>
      <c r="DA90" s="1115"/>
      <c r="DB90" s="1676"/>
      <c r="DC90" s="1049">
        <f t="shared" si="84"/>
        <v>0</v>
      </c>
      <c r="DD90" s="1675"/>
      <c r="DE90" s="1115"/>
      <c r="DF90" s="1115"/>
      <c r="DG90" s="1115"/>
      <c r="DH90" s="1115"/>
      <c r="DI90" s="1114">
        <f t="shared" si="85"/>
        <v>0</v>
      </c>
      <c r="DJ90" s="1115"/>
      <c r="DK90" s="1115"/>
      <c r="DL90" s="1115"/>
      <c r="DM90" s="1115"/>
      <c r="DN90" s="1115"/>
      <c r="DO90" s="1115">
        <f t="shared" si="86"/>
        <v>0</v>
      </c>
      <c r="DP90" s="1675">
        <v>5362.5</v>
      </c>
      <c r="DQ90" s="1115">
        <v>3700.13</v>
      </c>
      <c r="DR90" s="1115">
        <v>1662.38</v>
      </c>
      <c r="DS90" s="1115">
        <v>-0.01</v>
      </c>
      <c r="DT90" s="1676">
        <v>0</v>
      </c>
      <c r="DU90" s="1050">
        <f t="shared" si="87"/>
        <v>10725.000000000002</v>
      </c>
      <c r="DV90" s="1675">
        <v>404.45</v>
      </c>
      <c r="DW90" s="1115">
        <v>0</v>
      </c>
      <c r="DX90" s="1115">
        <v>74.19</v>
      </c>
      <c r="DY90" s="1115">
        <v>-400.01</v>
      </c>
      <c r="DZ90" s="1676">
        <v>0</v>
      </c>
      <c r="EA90" s="1049">
        <f t="shared" si="88"/>
        <v>78.63</v>
      </c>
    </row>
    <row r="91" spans="1:131" ht="15" customHeight="1" x14ac:dyDescent="0.25">
      <c r="A91" s="716" t="s">
        <v>224</v>
      </c>
      <c r="B91" s="810" t="s">
        <v>225</v>
      </c>
      <c r="C91" s="911" t="s">
        <v>264</v>
      </c>
      <c r="D91" s="808">
        <f t="shared" si="61"/>
        <v>114330.81478432231</v>
      </c>
      <c r="E91" s="808">
        <f t="shared" si="62"/>
        <v>14313.505215677671</v>
      </c>
      <c r="F91" s="808">
        <f t="shared" si="63"/>
        <v>29630.189999999995</v>
      </c>
      <c r="G91" s="808">
        <f t="shared" si="64"/>
        <v>2165.1599999999994</v>
      </c>
      <c r="H91" s="808">
        <f t="shared" si="65"/>
        <v>-222.08</v>
      </c>
      <c r="I91" s="1391">
        <f t="shared" si="66"/>
        <v>160217.59</v>
      </c>
      <c r="J91" s="809">
        <f t="shared" si="67"/>
        <v>1943.0799999999995</v>
      </c>
      <c r="K91" s="1392">
        <f t="shared" si="68"/>
        <v>31573.269999999993</v>
      </c>
      <c r="L91" s="1656"/>
      <c r="M91" s="1035"/>
      <c r="N91" s="1035"/>
      <c r="O91" s="1035"/>
      <c r="P91" s="1035"/>
      <c r="Q91" s="1036">
        <f t="shared" si="69"/>
        <v>0</v>
      </c>
      <c r="R91" s="1650"/>
      <c r="S91" s="1040"/>
      <c r="T91" s="1040"/>
      <c r="U91" s="1040"/>
      <c r="V91" s="1651"/>
      <c r="W91" s="1039">
        <f t="shared" si="70"/>
        <v>0</v>
      </c>
      <c r="X91" s="1664">
        <v>666.12</v>
      </c>
      <c r="Y91" s="1665">
        <v>3.97</v>
      </c>
      <c r="Z91" s="1665">
        <v>122.92</v>
      </c>
      <c r="AA91" s="1665">
        <v>-0.01</v>
      </c>
      <c r="AB91" s="1666">
        <v>0</v>
      </c>
      <c r="AC91" s="1037">
        <f t="shared" si="71"/>
        <v>793</v>
      </c>
      <c r="AD91" s="1675">
        <v>90624.41</v>
      </c>
      <c r="AE91" s="1115">
        <v>0</v>
      </c>
      <c r="AF91" s="1115">
        <v>22656.1</v>
      </c>
      <c r="AG91" s="1115">
        <v>2155.33</v>
      </c>
      <c r="AH91" s="1676">
        <v>-222.08</v>
      </c>
      <c r="AI91" s="1049">
        <f t="shared" si="72"/>
        <v>115213.76000000001</v>
      </c>
      <c r="AJ91" s="1664">
        <v>1505.26</v>
      </c>
      <c r="AK91" s="1665">
        <v>776.25</v>
      </c>
      <c r="AL91" s="1665">
        <v>418.51</v>
      </c>
      <c r="AM91" s="1665">
        <v>-0.02</v>
      </c>
      <c r="AN91" s="1666">
        <v>0</v>
      </c>
      <c r="AO91" s="1041">
        <f t="shared" si="73"/>
        <v>2700.0000000000005</v>
      </c>
      <c r="AP91" s="1689"/>
      <c r="AQ91" s="1042"/>
      <c r="AR91" s="1042"/>
      <c r="AS91" s="1042"/>
      <c r="AT91" s="1042"/>
      <c r="AU91" s="1043">
        <f t="shared" si="74"/>
        <v>0</v>
      </c>
      <c r="AV91" s="1652"/>
      <c r="AW91" s="1113"/>
      <c r="AX91" s="1113"/>
      <c r="AY91" s="1113"/>
      <c r="AZ91" s="1653"/>
      <c r="BA91" s="1039">
        <f t="shared" si="75"/>
        <v>0</v>
      </c>
      <c r="BB91" s="1677"/>
      <c r="BC91" s="1045"/>
      <c r="BD91" s="1045"/>
      <c r="BE91" s="1045"/>
      <c r="BF91" s="1045"/>
      <c r="BG91" s="1046">
        <f t="shared" si="76"/>
        <v>0</v>
      </c>
      <c r="BH91" s="1675">
        <v>7661.98</v>
      </c>
      <c r="BI91" s="1115">
        <v>970.52</v>
      </c>
      <c r="BJ91" s="1115">
        <v>1583.48</v>
      </c>
      <c r="BK91" s="1115">
        <v>-0.02</v>
      </c>
      <c r="BL91" s="1676">
        <v>0</v>
      </c>
      <c r="BM91" s="1046">
        <f t="shared" si="77"/>
        <v>10215.959999999999</v>
      </c>
      <c r="BN91" s="1675"/>
      <c r="BO91" s="1115"/>
      <c r="BP91" s="1115"/>
      <c r="BQ91" s="1115"/>
      <c r="BR91" s="1676"/>
      <c r="BS91" s="1049">
        <f t="shared" si="78"/>
        <v>0</v>
      </c>
      <c r="BT91" s="1675">
        <v>1865.614784322328</v>
      </c>
      <c r="BU91" s="1115">
        <v>10285.765215677671</v>
      </c>
      <c r="BV91" s="1115">
        <v>2228.9499999999998</v>
      </c>
      <c r="BW91" s="1115">
        <v>9.89</v>
      </c>
      <c r="BX91" s="1676">
        <v>0</v>
      </c>
      <c r="BY91" s="1049">
        <f t="shared" si="79"/>
        <v>14390.219999999998</v>
      </c>
      <c r="BZ91" s="1677"/>
      <c r="CA91" s="1045"/>
      <c r="CB91" s="1045"/>
      <c r="CC91" s="1045"/>
      <c r="CD91" s="1678"/>
      <c r="CE91" s="1049">
        <f t="shared" si="80"/>
        <v>0</v>
      </c>
      <c r="CF91" s="1677"/>
      <c r="CG91" s="1045"/>
      <c r="CH91" s="1045"/>
      <c r="CI91" s="1045"/>
      <c r="CJ91" s="1045"/>
      <c r="CK91" s="1046">
        <f t="shared" si="81"/>
        <v>0</v>
      </c>
      <c r="CL91" s="1675"/>
      <c r="CM91" s="1115"/>
      <c r="CN91" s="1115"/>
      <c r="CO91" s="1115"/>
      <c r="CP91" s="1676"/>
      <c r="CQ91" s="1049">
        <f t="shared" si="82"/>
        <v>0</v>
      </c>
      <c r="CR91" s="1677"/>
      <c r="CS91" s="1045"/>
      <c r="CT91" s="1045"/>
      <c r="CU91" s="1045"/>
      <c r="CV91" s="1045"/>
      <c r="CW91" s="1046">
        <f t="shared" si="83"/>
        <v>0</v>
      </c>
      <c r="CX91" s="1675"/>
      <c r="CY91" s="1115"/>
      <c r="CZ91" s="1115"/>
      <c r="DA91" s="1115"/>
      <c r="DB91" s="1676"/>
      <c r="DC91" s="1049">
        <f t="shared" si="84"/>
        <v>0</v>
      </c>
      <c r="DD91" s="1675"/>
      <c r="DE91" s="1115"/>
      <c r="DF91" s="1115"/>
      <c r="DG91" s="1115"/>
      <c r="DH91" s="1115"/>
      <c r="DI91" s="1114">
        <f t="shared" si="85"/>
        <v>0</v>
      </c>
      <c r="DJ91" s="1115"/>
      <c r="DK91" s="1115"/>
      <c r="DL91" s="1115"/>
      <c r="DM91" s="1115"/>
      <c r="DN91" s="1115"/>
      <c r="DO91" s="1115">
        <f t="shared" si="86"/>
        <v>0</v>
      </c>
      <c r="DP91" s="1675">
        <v>3300</v>
      </c>
      <c r="DQ91" s="1115">
        <v>2277</v>
      </c>
      <c r="DR91" s="1115">
        <v>1023</v>
      </c>
      <c r="DS91" s="1115">
        <v>0</v>
      </c>
      <c r="DT91" s="1676">
        <v>0</v>
      </c>
      <c r="DU91" s="1050">
        <f t="shared" si="87"/>
        <v>6600</v>
      </c>
      <c r="DV91" s="1675">
        <v>8707.43</v>
      </c>
      <c r="DW91" s="1115">
        <v>0</v>
      </c>
      <c r="DX91" s="1115">
        <v>1597.23</v>
      </c>
      <c r="DY91" s="1115">
        <v>-0.01</v>
      </c>
      <c r="DZ91" s="1676">
        <v>0</v>
      </c>
      <c r="EA91" s="1049">
        <f t="shared" si="88"/>
        <v>10304.65</v>
      </c>
    </row>
    <row r="92" spans="1:131" ht="15" customHeight="1" x14ac:dyDescent="0.25">
      <c r="A92" s="716" t="s">
        <v>226</v>
      </c>
      <c r="B92" s="810" t="s">
        <v>227</v>
      </c>
      <c r="C92" s="911" t="s">
        <v>264</v>
      </c>
      <c r="D92" s="808">
        <f t="shared" si="61"/>
        <v>43427.156812975532</v>
      </c>
      <c r="E92" s="808">
        <f t="shared" si="62"/>
        <v>11922.223187024465</v>
      </c>
      <c r="F92" s="808">
        <f t="shared" si="63"/>
        <v>12399.07</v>
      </c>
      <c r="G92" s="808">
        <f t="shared" si="64"/>
        <v>-9.0000000000000011E-2</v>
      </c>
      <c r="H92" s="808">
        <f t="shared" si="65"/>
        <v>0</v>
      </c>
      <c r="I92" s="1391">
        <f t="shared" si="66"/>
        <v>67748.36</v>
      </c>
      <c r="J92" s="809">
        <f t="shared" si="67"/>
        <v>-9.0000000000000011E-2</v>
      </c>
      <c r="K92" s="1392">
        <f t="shared" si="68"/>
        <v>12398.98</v>
      </c>
      <c r="L92" s="1656"/>
      <c r="M92" s="1035"/>
      <c r="N92" s="1035"/>
      <c r="O92" s="1035"/>
      <c r="P92" s="1035"/>
      <c r="Q92" s="1036">
        <f t="shared" si="69"/>
        <v>0</v>
      </c>
      <c r="R92" s="1652"/>
      <c r="S92" s="1113"/>
      <c r="T92" s="1113"/>
      <c r="U92" s="1113"/>
      <c r="V92" s="1653"/>
      <c r="W92" s="1039">
        <f t="shared" si="70"/>
        <v>0</v>
      </c>
      <c r="X92" s="1664"/>
      <c r="Y92" s="1665"/>
      <c r="Z92" s="1665"/>
      <c r="AA92" s="1665"/>
      <c r="AB92" s="1666"/>
      <c r="AC92" s="1037">
        <f t="shared" si="71"/>
        <v>0</v>
      </c>
      <c r="AD92" s="1675">
        <v>28720.560000000001</v>
      </c>
      <c r="AE92" s="1115">
        <v>0</v>
      </c>
      <c r="AF92" s="1115">
        <v>7180.1</v>
      </c>
      <c r="AG92" s="1115">
        <v>0</v>
      </c>
      <c r="AH92" s="1676">
        <v>0</v>
      </c>
      <c r="AI92" s="1049">
        <f t="shared" si="72"/>
        <v>35900.660000000003</v>
      </c>
      <c r="AJ92" s="1667"/>
      <c r="AK92" s="1038"/>
      <c r="AL92" s="1038"/>
      <c r="AM92" s="1038"/>
      <c r="AN92" s="1038"/>
      <c r="AO92" s="1041">
        <f t="shared" si="73"/>
        <v>0</v>
      </c>
      <c r="AP92" s="1689"/>
      <c r="AQ92" s="1042"/>
      <c r="AR92" s="1042"/>
      <c r="AS92" s="1042"/>
      <c r="AT92" s="1042"/>
      <c r="AU92" s="1043">
        <f t="shared" si="74"/>
        <v>0</v>
      </c>
      <c r="AV92" s="1692">
        <v>304</v>
      </c>
      <c r="AW92" s="1693">
        <v>76</v>
      </c>
      <c r="AX92" s="1693">
        <v>0</v>
      </c>
      <c r="AY92" s="1693">
        <v>0</v>
      </c>
      <c r="AZ92" s="1694">
        <v>0</v>
      </c>
      <c r="BA92" s="1039">
        <f t="shared" si="75"/>
        <v>380</v>
      </c>
      <c r="BB92" s="1677"/>
      <c r="BC92" s="1045"/>
      <c r="BD92" s="1045"/>
      <c r="BE92" s="1045"/>
      <c r="BF92" s="1045"/>
      <c r="BG92" s="1046">
        <f t="shared" si="76"/>
        <v>0</v>
      </c>
      <c r="BH92" s="1675">
        <v>198.1</v>
      </c>
      <c r="BI92" s="1115">
        <v>25.09</v>
      </c>
      <c r="BJ92" s="1115">
        <v>40.94</v>
      </c>
      <c r="BK92" s="1115">
        <v>0</v>
      </c>
      <c r="BL92" s="1676">
        <v>0</v>
      </c>
      <c r="BM92" s="1046">
        <f t="shared" si="77"/>
        <v>264.13</v>
      </c>
      <c r="BN92" s="1675"/>
      <c r="BO92" s="1115"/>
      <c r="BP92" s="1115"/>
      <c r="BQ92" s="1115"/>
      <c r="BR92" s="1676"/>
      <c r="BS92" s="1049">
        <f t="shared" si="78"/>
        <v>0</v>
      </c>
      <c r="BT92" s="1675">
        <v>1717.5168129755357</v>
      </c>
      <c r="BU92" s="1115">
        <v>10403.363187024464</v>
      </c>
      <c r="BV92" s="1115">
        <v>2223.36</v>
      </c>
      <c r="BW92" s="1115">
        <v>-0.1</v>
      </c>
      <c r="BX92" s="1676">
        <v>0</v>
      </c>
      <c r="BY92" s="1049">
        <f t="shared" si="79"/>
        <v>14344.140000000001</v>
      </c>
      <c r="BZ92" s="1677"/>
      <c r="CA92" s="1045"/>
      <c r="CB92" s="1045"/>
      <c r="CC92" s="1045"/>
      <c r="CD92" s="1678"/>
      <c r="CE92" s="1049">
        <f t="shared" si="80"/>
        <v>0</v>
      </c>
      <c r="CF92" s="1677"/>
      <c r="CG92" s="1045"/>
      <c r="CH92" s="1045"/>
      <c r="CI92" s="1045"/>
      <c r="CJ92" s="1045"/>
      <c r="CK92" s="1046">
        <f t="shared" si="81"/>
        <v>0</v>
      </c>
      <c r="CL92" s="1677"/>
      <c r="CM92" s="1045"/>
      <c r="CN92" s="1045"/>
      <c r="CO92" s="1045"/>
      <c r="CP92" s="1678"/>
      <c r="CQ92" s="1049">
        <f t="shared" si="82"/>
        <v>0</v>
      </c>
      <c r="CR92" s="1677"/>
      <c r="CS92" s="1045"/>
      <c r="CT92" s="1045"/>
      <c r="CU92" s="1045"/>
      <c r="CV92" s="1045"/>
      <c r="CW92" s="1046">
        <f t="shared" si="83"/>
        <v>0</v>
      </c>
      <c r="CX92" s="1675">
        <v>-1101.5</v>
      </c>
      <c r="CY92" s="1115">
        <v>-1101.5</v>
      </c>
      <c r="CZ92" s="1115">
        <v>0</v>
      </c>
      <c r="DA92" s="1115">
        <v>0</v>
      </c>
      <c r="DB92" s="1676">
        <v>0</v>
      </c>
      <c r="DC92" s="1049">
        <f t="shared" si="84"/>
        <v>-2203</v>
      </c>
      <c r="DD92" s="1675"/>
      <c r="DE92" s="1115"/>
      <c r="DF92" s="1115"/>
      <c r="DG92" s="1115"/>
      <c r="DH92" s="1115"/>
      <c r="DI92" s="1114">
        <f t="shared" si="85"/>
        <v>0</v>
      </c>
      <c r="DJ92" s="1115"/>
      <c r="DK92" s="1115"/>
      <c r="DL92" s="1115"/>
      <c r="DM92" s="1115"/>
      <c r="DN92" s="1115"/>
      <c r="DO92" s="1115">
        <f t="shared" si="86"/>
        <v>0</v>
      </c>
      <c r="DP92" s="1675">
        <v>3651.13</v>
      </c>
      <c r="DQ92" s="1115">
        <v>2519.27</v>
      </c>
      <c r="DR92" s="1115">
        <v>1131.8499999999999</v>
      </c>
      <c r="DS92" s="1115">
        <v>0</v>
      </c>
      <c r="DT92" s="1676">
        <v>0</v>
      </c>
      <c r="DU92" s="1050">
        <f t="shared" si="87"/>
        <v>7302.25</v>
      </c>
      <c r="DV92" s="1675">
        <v>9937.35</v>
      </c>
      <c r="DW92" s="1115">
        <v>0</v>
      </c>
      <c r="DX92" s="1115">
        <v>1822.82</v>
      </c>
      <c r="DY92" s="1115">
        <v>0.01</v>
      </c>
      <c r="DZ92" s="1676">
        <v>0</v>
      </c>
      <c r="EA92" s="1049">
        <f t="shared" si="88"/>
        <v>11760.18</v>
      </c>
    </row>
    <row r="93" spans="1:131" ht="15" customHeight="1" x14ac:dyDescent="0.25">
      <c r="A93" s="716" t="s">
        <v>228</v>
      </c>
      <c r="B93" s="810" t="s">
        <v>229</v>
      </c>
      <c r="C93" s="911" t="s">
        <v>268</v>
      </c>
      <c r="D93" s="808">
        <f t="shared" si="61"/>
        <v>115703.69909469782</v>
      </c>
      <c r="E93" s="808">
        <f t="shared" si="62"/>
        <v>81223.58090530218</v>
      </c>
      <c r="F93" s="808">
        <f t="shared" si="63"/>
        <v>36230.93</v>
      </c>
      <c r="G93" s="808">
        <f t="shared" si="64"/>
        <v>-0.26999999999999996</v>
      </c>
      <c r="H93" s="808">
        <f t="shared" si="65"/>
        <v>0</v>
      </c>
      <c r="I93" s="1391">
        <f t="shared" si="66"/>
        <v>233157.94</v>
      </c>
      <c r="J93" s="809">
        <f t="shared" si="67"/>
        <v>-0.26999999999999996</v>
      </c>
      <c r="K93" s="1392">
        <f t="shared" si="68"/>
        <v>36230.660000000003</v>
      </c>
      <c r="L93" s="1656"/>
      <c r="M93" s="1035"/>
      <c r="N93" s="1035"/>
      <c r="O93" s="1035"/>
      <c r="P93" s="1035"/>
      <c r="Q93" s="1036">
        <f t="shared" si="69"/>
        <v>0</v>
      </c>
      <c r="R93" s="1650"/>
      <c r="S93" s="1040"/>
      <c r="T93" s="1040"/>
      <c r="U93" s="1040"/>
      <c r="V93" s="1651"/>
      <c r="W93" s="1039">
        <f t="shared" si="70"/>
        <v>0</v>
      </c>
      <c r="X93" s="1664"/>
      <c r="Y93" s="1665"/>
      <c r="Z93" s="1665"/>
      <c r="AA93" s="1665"/>
      <c r="AB93" s="1666"/>
      <c r="AC93" s="1037">
        <f t="shared" si="71"/>
        <v>0</v>
      </c>
      <c r="AD93" s="1675">
        <v>32395.919999999998</v>
      </c>
      <c r="AE93" s="1115">
        <v>0</v>
      </c>
      <c r="AF93" s="1115">
        <v>8098.9</v>
      </c>
      <c r="AG93" s="1115">
        <v>0</v>
      </c>
      <c r="AH93" s="1676">
        <v>0</v>
      </c>
      <c r="AI93" s="1049">
        <f t="shared" si="72"/>
        <v>40494.82</v>
      </c>
      <c r="AJ93" s="1664">
        <v>26507.200000000001</v>
      </c>
      <c r="AK93" s="1665">
        <v>7140.84</v>
      </c>
      <c r="AL93" s="1665">
        <v>6172.11</v>
      </c>
      <c r="AM93" s="1665">
        <v>-0.05</v>
      </c>
      <c r="AN93" s="1666">
        <v>0</v>
      </c>
      <c r="AO93" s="1041">
        <f t="shared" si="73"/>
        <v>39820.1</v>
      </c>
      <c r="AP93" s="1686">
        <v>193.74</v>
      </c>
      <c r="AQ93" s="1687">
        <v>48.44</v>
      </c>
      <c r="AR93" s="1687">
        <v>0</v>
      </c>
      <c r="AS93" s="1687">
        <v>0</v>
      </c>
      <c r="AT93" s="1688">
        <v>0</v>
      </c>
      <c r="AU93" s="1043">
        <f t="shared" si="74"/>
        <v>242.18</v>
      </c>
      <c r="AV93" s="1692">
        <v>8459.2000000000007</v>
      </c>
      <c r="AW93" s="1693">
        <v>2114.8000000000002</v>
      </c>
      <c r="AX93" s="1693">
        <v>0</v>
      </c>
      <c r="AY93" s="1693">
        <v>0</v>
      </c>
      <c r="AZ93" s="1694">
        <v>0</v>
      </c>
      <c r="BA93" s="1039">
        <f t="shared" si="75"/>
        <v>10574</v>
      </c>
      <c r="BB93" s="1675">
        <v>124.74</v>
      </c>
      <c r="BC93" s="1115">
        <v>225.26</v>
      </c>
      <c r="BD93" s="1115">
        <v>0</v>
      </c>
      <c r="BE93" s="1115">
        <v>0</v>
      </c>
      <c r="BF93" s="1676">
        <v>0</v>
      </c>
      <c r="BG93" s="1046">
        <f t="shared" si="76"/>
        <v>350</v>
      </c>
      <c r="BH93" s="1675">
        <v>29260.400000000001</v>
      </c>
      <c r="BI93" s="1115">
        <v>3706.34</v>
      </c>
      <c r="BJ93" s="1115">
        <v>6047.18</v>
      </c>
      <c r="BK93" s="1115">
        <v>-0.06</v>
      </c>
      <c r="BL93" s="1676">
        <v>0</v>
      </c>
      <c r="BM93" s="1046">
        <f t="shared" si="77"/>
        <v>39013.860000000008</v>
      </c>
      <c r="BN93" s="1675"/>
      <c r="BO93" s="1115"/>
      <c r="BP93" s="1115"/>
      <c r="BQ93" s="1115"/>
      <c r="BR93" s="1676"/>
      <c r="BS93" s="1049">
        <f t="shared" si="78"/>
        <v>0</v>
      </c>
      <c r="BT93" s="1675">
        <v>11917.219094697808</v>
      </c>
      <c r="BU93" s="1115">
        <v>65879.480905302189</v>
      </c>
      <c r="BV93" s="1115">
        <v>14270.39</v>
      </c>
      <c r="BW93" s="1115">
        <v>-0.21</v>
      </c>
      <c r="BX93" s="1676">
        <v>0</v>
      </c>
      <c r="BY93" s="1049">
        <f t="shared" si="79"/>
        <v>92066.87999999999</v>
      </c>
      <c r="BZ93" s="1677"/>
      <c r="CA93" s="1045"/>
      <c r="CB93" s="1045"/>
      <c r="CC93" s="1045"/>
      <c r="CD93" s="1678"/>
      <c r="CE93" s="1049">
        <f t="shared" si="80"/>
        <v>0</v>
      </c>
      <c r="CF93" s="1677"/>
      <c r="CG93" s="1045"/>
      <c r="CH93" s="1045"/>
      <c r="CI93" s="1045"/>
      <c r="CJ93" s="1045"/>
      <c r="CK93" s="1046">
        <f t="shared" si="81"/>
        <v>0</v>
      </c>
      <c r="CL93" s="1675"/>
      <c r="CM93" s="1115"/>
      <c r="CN93" s="1115"/>
      <c r="CO93" s="1115"/>
      <c r="CP93" s="1676"/>
      <c r="CQ93" s="1049">
        <f t="shared" si="82"/>
        <v>0</v>
      </c>
      <c r="CR93" s="1677"/>
      <c r="CS93" s="1045"/>
      <c r="CT93" s="1045"/>
      <c r="CU93" s="1045"/>
      <c r="CV93" s="1045"/>
      <c r="CW93" s="1046">
        <f t="shared" si="83"/>
        <v>0</v>
      </c>
      <c r="CX93" s="1675"/>
      <c r="CY93" s="1115"/>
      <c r="CZ93" s="1115"/>
      <c r="DA93" s="1115"/>
      <c r="DB93" s="1676"/>
      <c r="DC93" s="1049">
        <f t="shared" si="84"/>
        <v>0</v>
      </c>
      <c r="DD93" s="1675"/>
      <c r="DE93" s="1115"/>
      <c r="DF93" s="1115"/>
      <c r="DG93" s="1115"/>
      <c r="DH93" s="1115"/>
      <c r="DI93" s="1114">
        <f t="shared" si="85"/>
        <v>0</v>
      </c>
      <c r="DJ93" s="1115"/>
      <c r="DK93" s="1115"/>
      <c r="DL93" s="1115"/>
      <c r="DM93" s="1115"/>
      <c r="DN93" s="1115"/>
      <c r="DO93" s="1115">
        <f t="shared" si="86"/>
        <v>0</v>
      </c>
      <c r="DP93" s="1675">
        <v>3055.67</v>
      </c>
      <c r="DQ93" s="1115">
        <v>2108.42</v>
      </c>
      <c r="DR93" s="1115">
        <v>947.26</v>
      </c>
      <c r="DS93" s="1115">
        <v>-0.03</v>
      </c>
      <c r="DT93" s="1676">
        <v>0</v>
      </c>
      <c r="DU93" s="1050">
        <f t="shared" si="87"/>
        <v>6111.3200000000006</v>
      </c>
      <c r="DV93" s="1675">
        <v>3789.61</v>
      </c>
      <c r="DW93" s="1115">
        <v>0</v>
      </c>
      <c r="DX93" s="1115">
        <v>695.09</v>
      </c>
      <c r="DY93" s="1115">
        <v>0.08</v>
      </c>
      <c r="DZ93" s="1676">
        <v>0</v>
      </c>
      <c r="EA93" s="1049">
        <f t="shared" si="88"/>
        <v>4484.78</v>
      </c>
    </row>
    <row r="94" spans="1:131" ht="15" customHeight="1" x14ac:dyDescent="0.25">
      <c r="A94" s="716" t="s">
        <v>232</v>
      </c>
      <c r="B94" s="810" t="s">
        <v>233</v>
      </c>
      <c r="C94" s="911" t="s">
        <v>267</v>
      </c>
      <c r="D94" s="808">
        <f t="shared" si="61"/>
        <v>17736.436145760988</v>
      </c>
      <c r="E94" s="808">
        <f t="shared" si="62"/>
        <v>38328.343854239014</v>
      </c>
      <c r="F94" s="808">
        <f t="shared" si="63"/>
        <v>10285.050000000001</v>
      </c>
      <c r="G94" s="808">
        <f t="shared" si="64"/>
        <v>-3.9999999999999987E-2</v>
      </c>
      <c r="H94" s="808">
        <f t="shared" si="65"/>
        <v>2235.8200000000002</v>
      </c>
      <c r="I94" s="1391">
        <f t="shared" si="66"/>
        <v>68585.610000000015</v>
      </c>
      <c r="J94" s="809">
        <f t="shared" si="67"/>
        <v>2235.7800000000002</v>
      </c>
      <c r="K94" s="1392">
        <f t="shared" si="68"/>
        <v>12520.830000000002</v>
      </c>
      <c r="L94" s="1656"/>
      <c r="M94" s="1035"/>
      <c r="N94" s="1035"/>
      <c r="O94" s="1035"/>
      <c r="P94" s="1035"/>
      <c r="Q94" s="1036">
        <f t="shared" si="69"/>
        <v>0</v>
      </c>
      <c r="R94" s="1650"/>
      <c r="S94" s="1040"/>
      <c r="T94" s="1040"/>
      <c r="U94" s="1040"/>
      <c r="V94" s="1651"/>
      <c r="W94" s="1039">
        <f t="shared" si="70"/>
        <v>0</v>
      </c>
      <c r="X94" s="1664">
        <v>685.77</v>
      </c>
      <c r="Y94" s="1665">
        <v>4.08</v>
      </c>
      <c r="Z94" s="1665">
        <v>126.54</v>
      </c>
      <c r="AA94" s="1665">
        <v>0.01</v>
      </c>
      <c r="AB94" s="1666">
        <v>0</v>
      </c>
      <c r="AC94" s="1037">
        <f t="shared" si="71"/>
        <v>816.4</v>
      </c>
      <c r="AD94" s="1675"/>
      <c r="AE94" s="1115"/>
      <c r="AF94" s="1115"/>
      <c r="AG94" s="1115"/>
      <c r="AH94" s="1676"/>
      <c r="AI94" s="1049">
        <f t="shared" si="72"/>
        <v>0</v>
      </c>
      <c r="AJ94" s="1667"/>
      <c r="AK94" s="1038"/>
      <c r="AL94" s="1038"/>
      <c r="AM94" s="1038"/>
      <c r="AN94" s="1038"/>
      <c r="AO94" s="1041">
        <f t="shared" si="73"/>
        <v>0</v>
      </c>
      <c r="AP94" s="1686">
        <v>984.48</v>
      </c>
      <c r="AQ94" s="1687">
        <v>246.12</v>
      </c>
      <c r="AR94" s="1687">
        <v>0</v>
      </c>
      <c r="AS94" s="1687">
        <v>0</v>
      </c>
      <c r="AT94" s="1688">
        <v>0</v>
      </c>
      <c r="AU94" s="1043">
        <f t="shared" si="74"/>
        <v>1230.5999999999999</v>
      </c>
      <c r="AV94" s="1692">
        <v>845.16</v>
      </c>
      <c r="AW94" s="1693">
        <v>211.29</v>
      </c>
      <c r="AX94" s="1693">
        <v>0</v>
      </c>
      <c r="AY94" s="1693">
        <v>0</v>
      </c>
      <c r="AZ94" s="1694">
        <v>0</v>
      </c>
      <c r="BA94" s="1039">
        <f t="shared" si="75"/>
        <v>1056.45</v>
      </c>
      <c r="BB94" s="1675">
        <v>50.37</v>
      </c>
      <c r="BC94" s="1115">
        <v>90.97</v>
      </c>
      <c r="BD94" s="1115">
        <v>0</v>
      </c>
      <c r="BE94" s="1115">
        <v>0</v>
      </c>
      <c r="BF94" s="1676">
        <v>0</v>
      </c>
      <c r="BG94" s="1046">
        <f t="shared" si="76"/>
        <v>141.34</v>
      </c>
      <c r="BH94" s="1675">
        <v>1760.23</v>
      </c>
      <c r="BI94" s="1115">
        <v>222.98</v>
      </c>
      <c r="BJ94" s="1115">
        <v>363.78</v>
      </c>
      <c r="BK94" s="1115">
        <v>-0.03</v>
      </c>
      <c r="BL94" s="1676">
        <v>0</v>
      </c>
      <c r="BM94" s="1046">
        <f t="shared" si="77"/>
        <v>2346.9599999999996</v>
      </c>
      <c r="BN94" s="1675"/>
      <c r="BO94" s="1115"/>
      <c r="BP94" s="1115"/>
      <c r="BQ94" s="1115"/>
      <c r="BR94" s="1676"/>
      <c r="BS94" s="1049">
        <f t="shared" si="78"/>
        <v>0</v>
      </c>
      <c r="BT94" s="1675">
        <v>5005.8461457609883</v>
      </c>
      <c r="BU94" s="1115">
        <v>34677.463854239009</v>
      </c>
      <c r="BV94" s="1115">
        <v>7279.21</v>
      </c>
      <c r="BW94" s="1115">
        <v>-0.06</v>
      </c>
      <c r="BX94" s="1676">
        <v>0</v>
      </c>
      <c r="BY94" s="1049">
        <f t="shared" si="79"/>
        <v>46962.46</v>
      </c>
      <c r="BZ94" s="1675">
        <v>342.33</v>
      </c>
      <c r="CA94" s="1115">
        <v>0</v>
      </c>
      <c r="CB94" s="1115">
        <v>509.23</v>
      </c>
      <c r="CC94" s="1115">
        <v>0</v>
      </c>
      <c r="CD94" s="1676">
        <v>141.56</v>
      </c>
      <c r="CE94" s="1049">
        <f t="shared" si="80"/>
        <v>993.11999999999989</v>
      </c>
      <c r="CF94" s="1677"/>
      <c r="CG94" s="1045"/>
      <c r="CH94" s="1045"/>
      <c r="CI94" s="1045"/>
      <c r="CJ94" s="1045"/>
      <c r="CK94" s="1046">
        <f t="shared" si="81"/>
        <v>0</v>
      </c>
      <c r="CL94" s="1675"/>
      <c r="CM94" s="1115"/>
      <c r="CN94" s="1115"/>
      <c r="CO94" s="1115"/>
      <c r="CP94" s="1676"/>
      <c r="CQ94" s="1049">
        <f t="shared" si="82"/>
        <v>0</v>
      </c>
      <c r="CR94" s="1675"/>
      <c r="CS94" s="1115"/>
      <c r="CT94" s="1115"/>
      <c r="CU94" s="1115"/>
      <c r="CV94" s="1676"/>
      <c r="CW94" s="1046">
        <f t="shared" si="83"/>
        <v>0</v>
      </c>
      <c r="CX94" s="1675"/>
      <c r="CY94" s="1115"/>
      <c r="CZ94" s="1115"/>
      <c r="DA94" s="1115"/>
      <c r="DB94" s="1676"/>
      <c r="DC94" s="1049">
        <f t="shared" si="84"/>
        <v>0</v>
      </c>
      <c r="DD94" s="1675"/>
      <c r="DE94" s="1115"/>
      <c r="DF94" s="1115"/>
      <c r="DG94" s="1115"/>
      <c r="DH94" s="1115"/>
      <c r="DI94" s="1114">
        <f t="shared" si="85"/>
        <v>0</v>
      </c>
      <c r="DJ94" s="1115"/>
      <c r="DK94" s="1115"/>
      <c r="DL94" s="1115"/>
      <c r="DM94" s="1115"/>
      <c r="DN94" s="1115"/>
      <c r="DO94" s="1115">
        <f t="shared" si="86"/>
        <v>0</v>
      </c>
      <c r="DP94" s="1675">
        <v>4167.33</v>
      </c>
      <c r="DQ94" s="1115">
        <v>2875.44</v>
      </c>
      <c r="DR94" s="1115">
        <v>1291.8599999999999</v>
      </c>
      <c r="DS94" s="1115">
        <v>0</v>
      </c>
      <c r="DT94" s="1676">
        <v>2094.2600000000002</v>
      </c>
      <c r="DU94" s="1050">
        <f t="shared" si="87"/>
        <v>10428.890000000001</v>
      </c>
      <c r="DV94" s="1675">
        <v>3894.92</v>
      </c>
      <c r="DW94" s="1115">
        <v>0</v>
      </c>
      <c r="DX94" s="1115">
        <v>714.43</v>
      </c>
      <c r="DY94" s="1115">
        <v>0.04</v>
      </c>
      <c r="DZ94" s="1676">
        <v>0</v>
      </c>
      <c r="EA94" s="1049">
        <f t="shared" si="88"/>
        <v>4609.3900000000003</v>
      </c>
    </row>
    <row r="95" spans="1:131" ht="15" customHeight="1" x14ac:dyDescent="0.25">
      <c r="A95" s="716" t="s">
        <v>234</v>
      </c>
      <c r="B95" s="810" t="s">
        <v>235</v>
      </c>
      <c r="C95" s="911" t="s">
        <v>268</v>
      </c>
      <c r="D95" s="808">
        <f t="shared" si="61"/>
        <v>93238.598630711786</v>
      </c>
      <c r="E95" s="808">
        <f t="shared" si="62"/>
        <v>51198.711369288205</v>
      </c>
      <c r="F95" s="808">
        <f t="shared" si="63"/>
        <v>30499.399999999994</v>
      </c>
      <c r="G95" s="808">
        <f t="shared" si="64"/>
        <v>875.12999999999988</v>
      </c>
      <c r="H95" s="808">
        <f t="shared" si="65"/>
        <v>0</v>
      </c>
      <c r="I95" s="1391">
        <f t="shared" si="66"/>
        <v>175811.84</v>
      </c>
      <c r="J95" s="809">
        <f t="shared" si="67"/>
        <v>875.12999999999988</v>
      </c>
      <c r="K95" s="1392">
        <f t="shared" si="68"/>
        <v>31374.529999999995</v>
      </c>
      <c r="L95" s="1656"/>
      <c r="M95" s="1035"/>
      <c r="N95" s="1035"/>
      <c r="O95" s="1035"/>
      <c r="P95" s="1035"/>
      <c r="Q95" s="1036">
        <f t="shared" si="69"/>
        <v>0</v>
      </c>
      <c r="R95" s="1652"/>
      <c r="S95" s="1113"/>
      <c r="T95" s="1113"/>
      <c r="U95" s="1113"/>
      <c r="V95" s="1653"/>
      <c r="W95" s="1039">
        <f t="shared" si="70"/>
        <v>0</v>
      </c>
      <c r="X95" s="1664">
        <v>7136.64</v>
      </c>
      <c r="Y95" s="1665">
        <v>42.47</v>
      </c>
      <c r="Z95" s="1665">
        <v>1316.89</v>
      </c>
      <c r="AA95" s="1665">
        <v>47.64</v>
      </c>
      <c r="AB95" s="1666">
        <v>0</v>
      </c>
      <c r="AC95" s="1037">
        <f t="shared" si="71"/>
        <v>8543.64</v>
      </c>
      <c r="AD95" s="1675">
        <v>37441.29</v>
      </c>
      <c r="AE95" s="1115">
        <v>0</v>
      </c>
      <c r="AF95" s="1115">
        <v>9360.36</v>
      </c>
      <c r="AG95" s="1115">
        <v>0</v>
      </c>
      <c r="AH95" s="1676">
        <v>0</v>
      </c>
      <c r="AI95" s="1049">
        <f t="shared" si="72"/>
        <v>46801.65</v>
      </c>
      <c r="AJ95" s="1667"/>
      <c r="AK95" s="1038"/>
      <c r="AL95" s="1038"/>
      <c r="AM95" s="1038"/>
      <c r="AN95" s="1038"/>
      <c r="AO95" s="1041">
        <f t="shared" si="73"/>
        <v>0</v>
      </c>
      <c r="AP95" s="1689"/>
      <c r="AQ95" s="1042"/>
      <c r="AR95" s="1042"/>
      <c r="AS95" s="1042"/>
      <c r="AT95" s="1042"/>
      <c r="AU95" s="1043">
        <f t="shared" si="74"/>
        <v>0</v>
      </c>
      <c r="AV95" s="1692">
        <v>3431.95</v>
      </c>
      <c r="AW95" s="1693">
        <v>858</v>
      </c>
      <c r="AX95" s="1693">
        <v>0</v>
      </c>
      <c r="AY95" s="1693">
        <v>0</v>
      </c>
      <c r="AZ95" s="1694">
        <v>0</v>
      </c>
      <c r="BA95" s="1039">
        <f t="shared" si="75"/>
        <v>4289.95</v>
      </c>
      <c r="BB95" s="1675">
        <v>213.84</v>
      </c>
      <c r="BC95" s="1115">
        <v>386.16</v>
      </c>
      <c r="BD95" s="1115">
        <v>0</v>
      </c>
      <c r="BE95" s="1115">
        <v>0</v>
      </c>
      <c r="BF95" s="1676">
        <v>0</v>
      </c>
      <c r="BG95" s="1046">
        <f t="shared" si="76"/>
        <v>600</v>
      </c>
      <c r="BH95" s="1675">
        <v>29097.03</v>
      </c>
      <c r="BI95" s="1115">
        <v>3685.62</v>
      </c>
      <c r="BJ95" s="1115">
        <v>6013.39</v>
      </c>
      <c r="BK95" s="1115">
        <v>827.54</v>
      </c>
      <c r="BL95" s="1676">
        <v>0</v>
      </c>
      <c r="BM95" s="1046">
        <f t="shared" si="77"/>
        <v>39623.58</v>
      </c>
      <c r="BN95" s="1675"/>
      <c r="BO95" s="1115"/>
      <c r="BP95" s="1115"/>
      <c r="BQ95" s="1115"/>
      <c r="BR95" s="1676"/>
      <c r="BS95" s="1049">
        <f t="shared" si="78"/>
        <v>0</v>
      </c>
      <c r="BT95" s="1675">
        <v>7517.698630711795</v>
      </c>
      <c r="BU95" s="1115">
        <v>45536.461369288205</v>
      </c>
      <c r="BV95" s="1115">
        <v>9731.81</v>
      </c>
      <c r="BW95" s="1115">
        <v>-0.1</v>
      </c>
      <c r="BX95" s="1676">
        <v>0</v>
      </c>
      <c r="BY95" s="1049">
        <f t="shared" si="79"/>
        <v>62785.87</v>
      </c>
      <c r="BZ95" s="1675">
        <v>1847.59</v>
      </c>
      <c r="CA95" s="1115">
        <v>0</v>
      </c>
      <c r="CB95" s="1115">
        <v>2748.44</v>
      </c>
      <c r="CC95" s="1115">
        <v>-0.01</v>
      </c>
      <c r="CD95" s="1676">
        <v>0</v>
      </c>
      <c r="CE95" s="1049">
        <f t="shared" si="80"/>
        <v>4596.0199999999995</v>
      </c>
      <c r="CF95" s="1677"/>
      <c r="CG95" s="1045"/>
      <c r="CH95" s="1045"/>
      <c r="CI95" s="1045"/>
      <c r="CJ95" s="1045"/>
      <c r="CK95" s="1046">
        <f t="shared" si="81"/>
        <v>0</v>
      </c>
      <c r="CL95" s="1675"/>
      <c r="CM95" s="1115"/>
      <c r="CN95" s="1115"/>
      <c r="CO95" s="1115"/>
      <c r="CP95" s="1676"/>
      <c r="CQ95" s="1049">
        <f t="shared" si="82"/>
        <v>0</v>
      </c>
      <c r="CR95" s="1675"/>
      <c r="CS95" s="1115"/>
      <c r="CT95" s="1115"/>
      <c r="CU95" s="1115"/>
      <c r="CV95" s="1676"/>
      <c r="CW95" s="1046">
        <f t="shared" si="83"/>
        <v>0</v>
      </c>
      <c r="CX95" s="1675"/>
      <c r="CY95" s="1115"/>
      <c r="CZ95" s="1115"/>
      <c r="DA95" s="1115"/>
      <c r="DB95" s="1676"/>
      <c r="DC95" s="1049">
        <f t="shared" si="84"/>
        <v>0</v>
      </c>
      <c r="DD95" s="1675"/>
      <c r="DE95" s="1115"/>
      <c r="DF95" s="1115"/>
      <c r="DG95" s="1115"/>
      <c r="DH95" s="1115"/>
      <c r="DI95" s="1114">
        <f t="shared" si="85"/>
        <v>0</v>
      </c>
      <c r="DJ95" s="1115"/>
      <c r="DK95" s="1115"/>
      <c r="DL95" s="1115"/>
      <c r="DM95" s="1115"/>
      <c r="DN95" s="1115"/>
      <c r="DO95" s="1115">
        <f t="shared" si="86"/>
        <v>0</v>
      </c>
      <c r="DP95" s="1675">
        <v>1000</v>
      </c>
      <c r="DQ95" s="1115">
        <v>690</v>
      </c>
      <c r="DR95" s="1115">
        <v>310</v>
      </c>
      <c r="DS95" s="1115">
        <v>0</v>
      </c>
      <c r="DT95" s="1676">
        <v>0</v>
      </c>
      <c r="DU95" s="1050">
        <f t="shared" si="87"/>
        <v>2000</v>
      </c>
      <c r="DV95" s="1675">
        <v>5552.56</v>
      </c>
      <c r="DW95" s="1115">
        <v>0</v>
      </c>
      <c r="DX95" s="1115">
        <v>1018.51</v>
      </c>
      <c r="DY95" s="1115">
        <v>0.06</v>
      </c>
      <c r="DZ95" s="1676">
        <v>0</v>
      </c>
      <c r="EA95" s="1049">
        <f t="shared" si="88"/>
        <v>6571.130000000001</v>
      </c>
    </row>
    <row r="96" spans="1:131" ht="15" customHeight="1" x14ac:dyDescent="0.25">
      <c r="A96" s="716" t="s">
        <v>236</v>
      </c>
      <c r="B96" s="810" t="s">
        <v>237</v>
      </c>
      <c r="C96" s="911" t="s">
        <v>266</v>
      </c>
      <c r="D96" s="808">
        <f t="shared" si="61"/>
        <v>27901.039147838335</v>
      </c>
      <c r="E96" s="808">
        <f t="shared" si="62"/>
        <v>15658.630852161663</v>
      </c>
      <c r="F96" s="808">
        <f t="shared" si="63"/>
        <v>8219.010000000002</v>
      </c>
      <c r="G96" s="808">
        <f t="shared" si="64"/>
        <v>-0.18000000000000002</v>
      </c>
      <c r="H96" s="808">
        <f t="shared" si="65"/>
        <v>0</v>
      </c>
      <c r="I96" s="1391">
        <f t="shared" si="66"/>
        <v>51778.5</v>
      </c>
      <c r="J96" s="809">
        <f t="shared" si="67"/>
        <v>-0.18000000000000002</v>
      </c>
      <c r="K96" s="1392">
        <f t="shared" si="68"/>
        <v>8218.8300000000017</v>
      </c>
      <c r="L96" s="1656"/>
      <c r="M96" s="1035"/>
      <c r="N96" s="1035"/>
      <c r="O96" s="1035"/>
      <c r="P96" s="1035"/>
      <c r="Q96" s="1036">
        <f t="shared" si="69"/>
        <v>0</v>
      </c>
      <c r="R96" s="1650"/>
      <c r="S96" s="1040"/>
      <c r="T96" s="1040"/>
      <c r="U96" s="1040"/>
      <c r="V96" s="1651"/>
      <c r="W96" s="1039">
        <f t="shared" si="70"/>
        <v>0</v>
      </c>
      <c r="X96" s="1664">
        <v>1365.38</v>
      </c>
      <c r="Y96" s="1665">
        <v>8.14</v>
      </c>
      <c r="Z96" s="1665">
        <v>251.96</v>
      </c>
      <c r="AA96" s="1665">
        <v>-0.04</v>
      </c>
      <c r="AB96" s="1666">
        <v>0</v>
      </c>
      <c r="AC96" s="1037">
        <f t="shared" si="71"/>
        <v>1625.4400000000003</v>
      </c>
      <c r="AD96" s="1675">
        <v>7431.6</v>
      </c>
      <c r="AE96" s="1115">
        <v>0</v>
      </c>
      <c r="AF96" s="1115">
        <v>1857.9</v>
      </c>
      <c r="AG96" s="1115">
        <v>0</v>
      </c>
      <c r="AH96" s="1676">
        <v>0</v>
      </c>
      <c r="AI96" s="1049">
        <f t="shared" si="72"/>
        <v>9289.5</v>
      </c>
      <c r="AJ96" s="1667"/>
      <c r="AK96" s="1038"/>
      <c r="AL96" s="1038"/>
      <c r="AM96" s="1038"/>
      <c r="AN96" s="1038"/>
      <c r="AO96" s="1041">
        <f t="shared" si="73"/>
        <v>0</v>
      </c>
      <c r="AP96" s="1689"/>
      <c r="AQ96" s="1042"/>
      <c r="AR96" s="1042"/>
      <c r="AS96" s="1042"/>
      <c r="AT96" s="1042"/>
      <c r="AU96" s="1043">
        <f t="shared" si="74"/>
        <v>0</v>
      </c>
      <c r="AV96" s="1692">
        <v>1160</v>
      </c>
      <c r="AW96" s="1693">
        <v>290</v>
      </c>
      <c r="AX96" s="1693">
        <v>0</v>
      </c>
      <c r="AY96" s="1693">
        <v>0</v>
      </c>
      <c r="AZ96" s="1694">
        <v>0</v>
      </c>
      <c r="BA96" s="1039">
        <f t="shared" si="75"/>
        <v>1450</v>
      </c>
      <c r="BB96" s="1677"/>
      <c r="BC96" s="1045"/>
      <c r="BD96" s="1045"/>
      <c r="BE96" s="1045"/>
      <c r="BF96" s="1045"/>
      <c r="BG96" s="1046">
        <f t="shared" si="76"/>
        <v>0</v>
      </c>
      <c r="BH96" s="1675">
        <v>11560.44</v>
      </c>
      <c r="BI96" s="1115">
        <v>1464.3</v>
      </c>
      <c r="BJ96" s="1115">
        <v>2389.16</v>
      </c>
      <c r="BK96" s="1115">
        <v>0.01</v>
      </c>
      <c r="BL96" s="1676">
        <v>0</v>
      </c>
      <c r="BM96" s="1046">
        <f t="shared" si="77"/>
        <v>15413.91</v>
      </c>
      <c r="BN96" s="1675"/>
      <c r="BO96" s="1115"/>
      <c r="BP96" s="1115"/>
      <c r="BQ96" s="1115"/>
      <c r="BR96" s="1676"/>
      <c r="BS96" s="1049">
        <f t="shared" si="78"/>
        <v>0</v>
      </c>
      <c r="BT96" s="1675">
        <v>1886.9991478383372</v>
      </c>
      <c r="BU96" s="1115">
        <v>11334.560852161663</v>
      </c>
      <c r="BV96" s="1115">
        <v>2425.2800000000002</v>
      </c>
      <c r="BW96" s="1115">
        <v>-0.14000000000000001</v>
      </c>
      <c r="BX96" s="1676">
        <v>0</v>
      </c>
      <c r="BY96" s="1049">
        <f t="shared" si="79"/>
        <v>15646.700000000003</v>
      </c>
      <c r="BZ96" s="1677"/>
      <c r="CA96" s="1045"/>
      <c r="CB96" s="1045"/>
      <c r="CC96" s="1045"/>
      <c r="CD96" s="1678"/>
      <c r="CE96" s="1049">
        <f t="shared" si="80"/>
        <v>0</v>
      </c>
      <c r="CF96" s="1677"/>
      <c r="CG96" s="1045"/>
      <c r="CH96" s="1045"/>
      <c r="CI96" s="1045"/>
      <c r="CJ96" s="1045"/>
      <c r="CK96" s="1046">
        <f t="shared" si="81"/>
        <v>0</v>
      </c>
      <c r="CL96" s="1677"/>
      <c r="CM96" s="1045"/>
      <c r="CN96" s="1045"/>
      <c r="CO96" s="1045"/>
      <c r="CP96" s="1678"/>
      <c r="CQ96" s="1049">
        <f t="shared" si="82"/>
        <v>0</v>
      </c>
      <c r="CR96" s="1677"/>
      <c r="CS96" s="1045"/>
      <c r="CT96" s="1045"/>
      <c r="CU96" s="1045"/>
      <c r="CV96" s="1045"/>
      <c r="CW96" s="1046">
        <f t="shared" si="83"/>
        <v>0</v>
      </c>
      <c r="CX96" s="1675"/>
      <c r="CY96" s="1115"/>
      <c r="CZ96" s="1115"/>
      <c r="DA96" s="1115"/>
      <c r="DB96" s="1676"/>
      <c r="DC96" s="1049">
        <f t="shared" si="84"/>
        <v>0</v>
      </c>
      <c r="DD96" s="1675"/>
      <c r="DE96" s="1115"/>
      <c r="DF96" s="1115"/>
      <c r="DG96" s="1115"/>
      <c r="DH96" s="1115"/>
      <c r="DI96" s="1114">
        <f t="shared" si="85"/>
        <v>0</v>
      </c>
      <c r="DJ96" s="1115"/>
      <c r="DK96" s="1115"/>
      <c r="DL96" s="1115"/>
      <c r="DM96" s="1115"/>
      <c r="DN96" s="1115"/>
      <c r="DO96" s="1115">
        <f t="shared" si="86"/>
        <v>0</v>
      </c>
      <c r="DP96" s="1675">
        <v>3712.5</v>
      </c>
      <c r="DQ96" s="1115">
        <v>2561.63</v>
      </c>
      <c r="DR96" s="1115">
        <v>1150.8800000000001</v>
      </c>
      <c r="DS96" s="1115">
        <v>-0.01</v>
      </c>
      <c r="DT96" s="1676">
        <v>0</v>
      </c>
      <c r="DU96" s="1050">
        <f t="shared" si="87"/>
        <v>7425</v>
      </c>
      <c r="DV96" s="1675">
        <v>784.12</v>
      </c>
      <c r="DW96" s="1115">
        <v>0</v>
      </c>
      <c r="DX96" s="1115">
        <v>143.83000000000001</v>
      </c>
      <c r="DY96" s="1115">
        <v>0</v>
      </c>
      <c r="DZ96" s="1676">
        <v>0</v>
      </c>
      <c r="EA96" s="1049">
        <f t="shared" si="88"/>
        <v>927.95</v>
      </c>
    </row>
    <row r="97" spans="1:131" ht="15" customHeight="1" x14ac:dyDescent="0.25">
      <c r="A97" s="716" t="s">
        <v>242</v>
      </c>
      <c r="B97" s="810" t="s">
        <v>243</v>
      </c>
      <c r="C97" s="911" t="s">
        <v>268</v>
      </c>
      <c r="D97" s="808">
        <f t="shared" si="61"/>
        <v>212366.25352247446</v>
      </c>
      <c r="E97" s="808">
        <f t="shared" si="62"/>
        <v>199822.94647752558</v>
      </c>
      <c r="F97" s="808">
        <f t="shared" si="63"/>
        <v>76338.759999999995</v>
      </c>
      <c r="G97" s="808">
        <f t="shared" si="64"/>
        <v>-6.9999999999999993E-2</v>
      </c>
      <c r="H97" s="808">
        <f t="shared" si="65"/>
        <v>0</v>
      </c>
      <c r="I97" s="1391">
        <f t="shared" si="66"/>
        <v>488527.89000000007</v>
      </c>
      <c r="J97" s="809">
        <f t="shared" si="67"/>
        <v>-6.9999999999999993E-2</v>
      </c>
      <c r="K97" s="1392">
        <f t="shared" si="68"/>
        <v>76338.689999999988</v>
      </c>
      <c r="L97" s="1656"/>
      <c r="M97" s="1035"/>
      <c r="N97" s="1035"/>
      <c r="O97" s="1035"/>
      <c r="P97" s="1035"/>
      <c r="Q97" s="1036">
        <f t="shared" si="69"/>
        <v>0</v>
      </c>
      <c r="R97" s="1650"/>
      <c r="S97" s="1040"/>
      <c r="T97" s="1040"/>
      <c r="U97" s="1040"/>
      <c r="V97" s="1651"/>
      <c r="W97" s="1039">
        <f t="shared" si="70"/>
        <v>0</v>
      </c>
      <c r="X97" s="1664">
        <v>7654.6</v>
      </c>
      <c r="Y97" s="1665">
        <v>45.56</v>
      </c>
      <c r="Z97" s="1665">
        <v>1412.46</v>
      </c>
      <c r="AA97" s="1665">
        <v>0.01</v>
      </c>
      <c r="AB97" s="1666">
        <v>0</v>
      </c>
      <c r="AC97" s="1037">
        <f t="shared" si="71"/>
        <v>9112.630000000001</v>
      </c>
      <c r="AD97" s="1675">
        <v>102456.83</v>
      </c>
      <c r="AE97" s="1115">
        <v>0</v>
      </c>
      <c r="AF97" s="1115">
        <v>25614.25</v>
      </c>
      <c r="AG97" s="1115">
        <v>0</v>
      </c>
      <c r="AH97" s="1676">
        <v>0</v>
      </c>
      <c r="AI97" s="1049">
        <f t="shared" si="72"/>
        <v>128071.08</v>
      </c>
      <c r="AJ97" s="1667"/>
      <c r="AK97" s="1038"/>
      <c r="AL97" s="1038"/>
      <c r="AM97" s="1038"/>
      <c r="AN97" s="1038"/>
      <c r="AO97" s="1041">
        <f t="shared" si="73"/>
        <v>0</v>
      </c>
      <c r="AP97" s="1686">
        <v>12794.24</v>
      </c>
      <c r="AQ97" s="1687">
        <v>3198.56</v>
      </c>
      <c r="AR97" s="1687">
        <v>0</v>
      </c>
      <c r="AS97" s="1687">
        <v>0</v>
      </c>
      <c r="AT97" s="1688">
        <v>0</v>
      </c>
      <c r="AU97" s="1043">
        <f t="shared" si="74"/>
        <v>15992.8</v>
      </c>
      <c r="AV97" s="1692">
        <v>13255.09</v>
      </c>
      <c r="AW97" s="1693">
        <v>3313.77</v>
      </c>
      <c r="AX97" s="1693">
        <v>0</v>
      </c>
      <c r="AY97" s="1693">
        <v>0</v>
      </c>
      <c r="AZ97" s="1694">
        <v>0</v>
      </c>
      <c r="BA97" s="1039">
        <f t="shared" si="75"/>
        <v>16568.86</v>
      </c>
      <c r="BB97" s="1675">
        <v>228.1</v>
      </c>
      <c r="BC97" s="1115">
        <v>411.9</v>
      </c>
      <c r="BD97" s="1115">
        <v>0</v>
      </c>
      <c r="BE97" s="1115">
        <v>0</v>
      </c>
      <c r="BF97" s="1676">
        <v>0</v>
      </c>
      <c r="BG97" s="1046">
        <f t="shared" si="76"/>
        <v>640</v>
      </c>
      <c r="BH97" s="1675">
        <v>29912.25</v>
      </c>
      <c r="BI97" s="1115">
        <v>3788.91</v>
      </c>
      <c r="BJ97" s="1115">
        <v>6181.89</v>
      </c>
      <c r="BK97" s="1115">
        <v>-0.05</v>
      </c>
      <c r="BL97" s="1676">
        <v>0</v>
      </c>
      <c r="BM97" s="1046">
        <f t="shared" si="77"/>
        <v>39883</v>
      </c>
      <c r="BN97" s="1675"/>
      <c r="BO97" s="1115"/>
      <c r="BP97" s="1115"/>
      <c r="BQ97" s="1115"/>
      <c r="BR97" s="1676"/>
      <c r="BS97" s="1049">
        <f t="shared" si="78"/>
        <v>0</v>
      </c>
      <c r="BT97" s="1675">
        <v>30765.463522474456</v>
      </c>
      <c r="BU97" s="1115">
        <v>186060.67647752556</v>
      </c>
      <c r="BV97" s="1115">
        <v>39772.79</v>
      </c>
      <c r="BW97" s="1115">
        <v>-0.11</v>
      </c>
      <c r="BX97" s="1676">
        <v>0</v>
      </c>
      <c r="BY97" s="1049">
        <f t="shared" si="79"/>
        <v>256598.82000000004</v>
      </c>
      <c r="BZ97" s="1677"/>
      <c r="CA97" s="1045"/>
      <c r="CB97" s="1045"/>
      <c r="CC97" s="1045"/>
      <c r="CD97" s="1678"/>
      <c r="CE97" s="1049">
        <f t="shared" si="80"/>
        <v>0</v>
      </c>
      <c r="CF97" s="1677"/>
      <c r="CG97" s="1045"/>
      <c r="CH97" s="1045"/>
      <c r="CI97" s="1045"/>
      <c r="CJ97" s="1045"/>
      <c r="CK97" s="1046">
        <f t="shared" si="81"/>
        <v>0</v>
      </c>
      <c r="CL97" s="1677"/>
      <c r="CM97" s="1045"/>
      <c r="CN97" s="1045"/>
      <c r="CO97" s="1045"/>
      <c r="CP97" s="1678"/>
      <c r="CQ97" s="1049">
        <f t="shared" si="82"/>
        <v>0</v>
      </c>
      <c r="CR97" s="1677"/>
      <c r="CS97" s="1045"/>
      <c r="CT97" s="1045"/>
      <c r="CU97" s="1045"/>
      <c r="CV97" s="1045"/>
      <c r="CW97" s="1046">
        <f t="shared" si="83"/>
        <v>0</v>
      </c>
      <c r="CX97" s="1675"/>
      <c r="CY97" s="1115"/>
      <c r="CZ97" s="1115"/>
      <c r="DA97" s="1115"/>
      <c r="DB97" s="1676"/>
      <c r="DC97" s="1049">
        <f t="shared" si="84"/>
        <v>0</v>
      </c>
      <c r="DD97" s="1675"/>
      <c r="DE97" s="1115"/>
      <c r="DF97" s="1115"/>
      <c r="DG97" s="1115"/>
      <c r="DH97" s="1115"/>
      <c r="DI97" s="1114">
        <f t="shared" si="85"/>
        <v>0</v>
      </c>
      <c r="DJ97" s="1115"/>
      <c r="DK97" s="1115"/>
      <c r="DL97" s="1115"/>
      <c r="DM97" s="1115"/>
      <c r="DN97" s="1115"/>
      <c r="DO97" s="1115">
        <f t="shared" si="86"/>
        <v>0</v>
      </c>
      <c r="DP97" s="1677">
        <v>4353</v>
      </c>
      <c r="DQ97" s="1045">
        <v>3003.57</v>
      </c>
      <c r="DR97" s="1045">
        <v>1349.43</v>
      </c>
      <c r="DS97" s="1045">
        <v>0</v>
      </c>
      <c r="DT97" s="1045">
        <v>0</v>
      </c>
      <c r="DU97" s="1050">
        <f t="shared" si="87"/>
        <v>8706</v>
      </c>
      <c r="DV97" s="1675">
        <v>10946.68</v>
      </c>
      <c r="DW97" s="1115">
        <v>0</v>
      </c>
      <c r="DX97" s="1115">
        <v>2007.94</v>
      </c>
      <c r="DY97" s="1115">
        <v>0.08</v>
      </c>
      <c r="DZ97" s="1676">
        <v>0</v>
      </c>
      <c r="EA97" s="1049">
        <f t="shared" si="88"/>
        <v>12954.7</v>
      </c>
    </row>
    <row r="98" spans="1:131" ht="15" customHeight="1" x14ac:dyDescent="0.25">
      <c r="A98" s="716" t="s">
        <v>244</v>
      </c>
      <c r="B98" s="810" t="s">
        <v>245</v>
      </c>
      <c r="C98" s="911" t="s">
        <v>268</v>
      </c>
      <c r="D98" s="808">
        <f t="shared" si="61"/>
        <v>93407.417938252343</v>
      </c>
      <c r="E98" s="808">
        <f t="shared" si="62"/>
        <v>28418.532061747654</v>
      </c>
      <c r="F98" s="808">
        <f t="shared" si="63"/>
        <v>21036.579999999998</v>
      </c>
      <c r="G98" s="808">
        <f t="shared" si="64"/>
        <v>-0.11000000000000001</v>
      </c>
      <c r="H98" s="808">
        <f t="shared" si="65"/>
        <v>0</v>
      </c>
      <c r="I98" s="1391">
        <f t="shared" si="66"/>
        <v>142862.42000000001</v>
      </c>
      <c r="J98" s="809">
        <f t="shared" si="67"/>
        <v>-0.11000000000000001</v>
      </c>
      <c r="K98" s="1392">
        <f t="shared" si="68"/>
        <v>21036.469999999998</v>
      </c>
      <c r="L98" s="1656"/>
      <c r="M98" s="1035"/>
      <c r="N98" s="1035"/>
      <c r="O98" s="1035"/>
      <c r="P98" s="1035"/>
      <c r="Q98" s="1036">
        <f t="shared" si="69"/>
        <v>0</v>
      </c>
      <c r="R98" s="1650"/>
      <c r="S98" s="1040"/>
      <c r="T98" s="1040"/>
      <c r="U98" s="1040"/>
      <c r="V98" s="1651"/>
      <c r="W98" s="1039">
        <f t="shared" si="70"/>
        <v>0</v>
      </c>
      <c r="X98" s="1664">
        <v>4451.78</v>
      </c>
      <c r="Y98" s="1665">
        <v>26.5</v>
      </c>
      <c r="Z98" s="1665">
        <v>821.48</v>
      </c>
      <c r="AA98" s="1665">
        <v>-0.03</v>
      </c>
      <c r="AB98" s="1666">
        <v>0</v>
      </c>
      <c r="AC98" s="1037">
        <f t="shared" si="71"/>
        <v>5299.7300000000005</v>
      </c>
      <c r="AD98" s="1675">
        <v>47308.5</v>
      </c>
      <c r="AE98" s="1115">
        <v>0</v>
      </c>
      <c r="AF98" s="1115">
        <v>11827.12</v>
      </c>
      <c r="AG98" s="1115">
        <v>0</v>
      </c>
      <c r="AH98" s="1676">
        <v>0</v>
      </c>
      <c r="AI98" s="1049">
        <f t="shared" si="72"/>
        <v>59135.62</v>
      </c>
      <c r="AJ98" s="1667"/>
      <c r="AK98" s="1038"/>
      <c r="AL98" s="1038"/>
      <c r="AM98" s="1038"/>
      <c r="AN98" s="1038"/>
      <c r="AO98" s="1041">
        <f t="shared" si="73"/>
        <v>0</v>
      </c>
      <c r="AP98" s="1686">
        <v>8932.98</v>
      </c>
      <c r="AQ98" s="1687">
        <v>2233.25</v>
      </c>
      <c r="AR98" s="1687">
        <v>0</v>
      </c>
      <c r="AS98" s="1687">
        <v>0</v>
      </c>
      <c r="AT98" s="1688">
        <v>0</v>
      </c>
      <c r="AU98" s="1043">
        <f t="shared" si="74"/>
        <v>11166.23</v>
      </c>
      <c r="AV98" s="1692">
        <v>10335.89</v>
      </c>
      <c r="AW98" s="1693">
        <v>2583.9699999999998</v>
      </c>
      <c r="AX98" s="1693">
        <v>0</v>
      </c>
      <c r="AY98" s="1693">
        <v>0</v>
      </c>
      <c r="AZ98" s="1694">
        <v>0</v>
      </c>
      <c r="BA98" s="1039">
        <f t="shared" si="75"/>
        <v>12919.859999999999</v>
      </c>
      <c r="BB98" s="1675">
        <v>124.74</v>
      </c>
      <c r="BC98" s="1115">
        <v>225.26</v>
      </c>
      <c r="BD98" s="1115">
        <v>0</v>
      </c>
      <c r="BE98" s="1115">
        <v>0</v>
      </c>
      <c r="BF98" s="1676">
        <v>0</v>
      </c>
      <c r="BG98" s="1046">
        <f t="shared" si="76"/>
        <v>350</v>
      </c>
      <c r="BH98" s="1675">
        <v>10149.370000000001</v>
      </c>
      <c r="BI98" s="1115">
        <v>1285.5999999999999</v>
      </c>
      <c r="BJ98" s="1115">
        <v>2097.54</v>
      </c>
      <c r="BK98" s="1115">
        <v>-0.05</v>
      </c>
      <c r="BL98" s="1676">
        <v>0</v>
      </c>
      <c r="BM98" s="1046">
        <f t="shared" si="77"/>
        <v>13532.460000000003</v>
      </c>
      <c r="BN98" s="1675"/>
      <c r="BO98" s="1115"/>
      <c r="BP98" s="1115"/>
      <c r="BQ98" s="1115"/>
      <c r="BR98" s="1676"/>
      <c r="BS98" s="1049">
        <f t="shared" si="78"/>
        <v>0</v>
      </c>
      <c r="BT98" s="1675">
        <v>3077.3479382523456</v>
      </c>
      <c r="BU98" s="1115">
        <v>18268.952061747652</v>
      </c>
      <c r="BV98" s="1115">
        <v>3915.6</v>
      </c>
      <c r="BW98" s="1115">
        <v>-0.06</v>
      </c>
      <c r="BX98" s="1676">
        <v>0</v>
      </c>
      <c r="BY98" s="1049">
        <f t="shared" si="79"/>
        <v>25261.839999999993</v>
      </c>
      <c r="BZ98" s="1677"/>
      <c r="CA98" s="1045"/>
      <c r="CB98" s="1045"/>
      <c r="CC98" s="1045"/>
      <c r="CD98" s="1678"/>
      <c r="CE98" s="1049">
        <f t="shared" si="80"/>
        <v>0</v>
      </c>
      <c r="CF98" s="1677"/>
      <c r="CG98" s="1045"/>
      <c r="CH98" s="1045"/>
      <c r="CI98" s="1045"/>
      <c r="CJ98" s="1045"/>
      <c r="CK98" s="1046">
        <f t="shared" si="81"/>
        <v>0</v>
      </c>
      <c r="CL98" s="1675"/>
      <c r="CM98" s="1115"/>
      <c r="CN98" s="1115"/>
      <c r="CO98" s="1115"/>
      <c r="CP98" s="1676"/>
      <c r="CQ98" s="1049">
        <f t="shared" si="82"/>
        <v>0</v>
      </c>
      <c r="CR98" s="1675"/>
      <c r="CS98" s="1115"/>
      <c r="CT98" s="1115"/>
      <c r="CU98" s="1115"/>
      <c r="CV98" s="1676"/>
      <c r="CW98" s="1046">
        <f t="shared" si="83"/>
        <v>0</v>
      </c>
      <c r="CX98" s="1675"/>
      <c r="CY98" s="1115"/>
      <c r="CZ98" s="1115"/>
      <c r="DA98" s="1115"/>
      <c r="DB98" s="1676"/>
      <c r="DC98" s="1049">
        <f t="shared" si="84"/>
        <v>0</v>
      </c>
      <c r="DD98" s="1675">
        <v>-125</v>
      </c>
      <c r="DE98" s="1115">
        <v>0</v>
      </c>
      <c r="DF98" s="1115">
        <v>0</v>
      </c>
      <c r="DG98" s="1115">
        <v>0</v>
      </c>
      <c r="DH98" s="1115">
        <v>0</v>
      </c>
      <c r="DI98" s="1114">
        <f t="shared" si="85"/>
        <v>-125</v>
      </c>
      <c r="DJ98" s="1115"/>
      <c r="DK98" s="1115"/>
      <c r="DL98" s="1115"/>
      <c r="DM98" s="1115"/>
      <c r="DN98" s="1115"/>
      <c r="DO98" s="1115">
        <f t="shared" si="86"/>
        <v>0</v>
      </c>
      <c r="DP98" s="1675">
        <v>5500</v>
      </c>
      <c r="DQ98" s="1115">
        <v>3795</v>
      </c>
      <c r="DR98" s="1115">
        <v>1705</v>
      </c>
      <c r="DS98" s="1115">
        <v>0</v>
      </c>
      <c r="DT98" s="1676">
        <v>0</v>
      </c>
      <c r="DU98" s="1050">
        <f t="shared" si="87"/>
        <v>11000</v>
      </c>
      <c r="DV98" s="1675">
        <v>3651.81</v>
      </c>
      <c r="DW98" s="1115">
        <v>0</v>
      </c>
      <c r="DX98" s="1115">
        <v>669.84</v>
      </c>
      <c r="DY98" s="1115">
        <v>0.03</v>
      </c>
      <c r="DZ98" s="1676">
        <v>0</v>
      </c>
      <c r="EA98" s="1049">
        <f t="shared" si="88"/>
        <v>4321.6799999999994</v>
      </c>
    </row>
    <row r="99" spans="1:131" ht="15" customHeight="1" x14ac:dyDescent="0.25">
      <c r="A99" s="716" t="s">
        <v>246</v>
      </c>
      <c r="B99" s="810" t="s">
        <v>310</v>
      </c>
      <c r="C99" s="911" t="s">
        <v>264</v>
      </c>
      <c r="D99" s="808">
        <f t="shared" si="61"/>
        <v>111866.43407144579</v>
      </c>
      <c r="E99" s="808">
        <f t="shared" si="62"/>
        <v>76512.45592855422</v>
      </c>
      <c r="F99" s="808">
        <f t="shared" si="63"/>
        <v>42242.920000000006</v>
      </c>
      <c r="G99" s="808">
        <f t="shared" si="64"/>
        <v>-0.14000000000000001</v>
      </c>
      <c r="H99" s="808">
        <f t="shared" si="65"/>
        <v>11.67</v>
      </c>
      <c r="I99" s="1391">
        <f t="shared" si="66"/>
        <v>230633.34000000003</v>
      </c>
      <c r="J99" s="809">
        <f t="shared" si="67"/>
        <v>11.53</v>
      </c>
      <c r="K99" s="1392">
        <f t="shared" si="68"/>
        <v>42254.450000000004</v>
      </c>
      <c r="L99" s="1656"/>
      <c r="M99" s="1035"/>
      <c r="N99" s="1035"/>
      <c r="O99" s="1035"/>
      <c r="P99" s="1035"/>
      <c r="Q99" s="1036">
        <f t="shared" si="69"/>
        <v>0</v>
      </c>
      <c r="R99" s="1650"/>
      <c r="S99" s="1040"/>
      <c r="T99" s="1040"/>
      <c r="U99" s="1040"/>
      <c r="V99" s="1651"/>
      <c r="W99" s="1039">
        <f t="shared" si="70"/>
        <v>0</v>
      </c>
      <c r="X99" s="1664">
        <v>6319.97</v>
      </c>
      <c r="Y99" s="1665">
        <v>37.619999999999997</v>
      </c>
      <c r="Z99" s="1665">
        <v>1166.19</v>
      </c>
      <c r="AA99" s="1665">
        <v>0</v>
      </c>
      <c r="AB99" s="1666">
        <v>0</v>
      </c>
      <c r="AC99" s="1037">
        <f t="shared" si="71"/>
        <v>7523.7800000000007</v>
      </c>
      <c r="AD99" s="1675">
        <v>47839.99</v>
      </c>
      <c r="AE99" s="1115">
        <v>0</v>
      </c>
      <c r="AF99" s="1115">
        <v>11960.01</v>
      </c>
      <c r="AG99" s="1115">
        <v>0</v>
      </c>
      <c r="AH99" s="1676">
        <v>11.67</v>
      </c>
      <c r="AI99" s="1049">
        <f t="shared" si="72"/>
        <v>59811.67</v>
      </c>
      <c r="AJ99" s="1667"/>
      <c r="AK99" s="1038"/>
      <c r="AL99" s="1038"/>
      <c r="AM99" s="1038"/>
      <c r="AN99" s="1038"/>
      <c r="AO99" s="1041">
        <f t="shared" si="73"/>
        <v>0</v>
      </c>
      <c r="AP99" s="1689"/>
      <c r="AQ99" s="1042"/>
      <c r="AR99" s="1042"/>
      <c r="AS99" s="1042"/>
      <c r="AT99" s="1042"/>
      <c r="AU99" s="1043">
        <f t="shared" si="74"/>
        <v>0</v>
      </c>
      <c r="AV99" s="1692">
        <v>1620.45</v>
      </c>
      <c r="AW99" s="1693">
        <v>405.11</v>
      </c>
      <c r="AX99" s="1693">
        <v>0</v>
      </c>
      <c r="AY99" s="1693">
        <v>0</v>
      </c>
      <c r="AZ99" s="1694">
        <v>0</v>
      </c>
      <c r="BA99" s="1039">
        <f t="shared" si="75"/>
        <v>2025.56</v>
      </c>
      <c r="BB99" s="1675">
        <v>843.51</v>
      </c>
      <c r="BC99" s="1115">
        <v>1523.24</v>
      </c>
      <c r="BD99" s="1115">
        <v>0</v>
      </c>
      <c r="BE99" s="1115">
        <v>0</v>
      </c>
      <c r="BF99" s="1676">
        <v>0</v>
      </c>
      <c r="BG99" s="1046">
        <f t="shared" si="76"/>
        <v>2366.75</v>
      </c>
      <c r="BH99" s="1675">
        <v>23369.279999999999</v>
      </c>
      <c r="BI99" s="1115">
        <v>2960.13</v>
      </c>
      <c r="BJ99" s="1115">
        <v>4829.67</v>
      </c>
      <c r="BK99" s="1115">
        <v>-0.08</v>
      </c>
      <c r="BL99" s="1676">
        <v>0</v>
      </c>
      <c r="BM99" s="1046">
        <f t="shared" si="77"/>
        <v>31159</v>
      </c>
      <c r="BN99" s="1675"/>
      <c r="BO99" s="1115"/>
      <c r="BP99" s="1115"/>
      <c r="BQ99" s="1115"/>
      <c r="BR99" s="1676"/>
      <c r="BS99" s="1049">
        <f t="shared" si="78"/>
        <v>0</v>
      </c>
      <c r="BT99" s="1675">
        <v>14072.394071445793</v>
      </c>
      <c r="BU99" s="1115">
        <v>66617.505928554208</v>
      </c>
      <c r="BV99" s="1115">
        <v>14801.11</v>
      </c>
      <c r="BW99" s="1115">
        <v>-0.12</v>
      </c>
      <c r="BX99" s="1676">
        <v>0</v>
      </c>
      <c r="BY99" s="1049">
        <f t="shared" si="79"/>
        <v>95490.89</v>
      </c>
      <c r="BZ99" s="1675">
        <v>3883.24</v>
      </c>
      <c r="CA99" s="1115">
        <v>0</v>
      </c>
      <c r="CB99" s="1115">
        <v>5776.53</v>
      </c>
      <c r="CC99" s="1115">
        <v>0</v>
      </c>
      <c r="CD99" s="1676">
        <v>0</v>
      </c>
      <c r="CE99" s="1049">
        <f t="shared" si="80"/>
        <v>9659.77</v>
      </c>
      <c r="CF99" s="1677"/>
      <c r="CG99" s="1045"/>
      <c r="CH99" s="1045"/>
      <c r="CI99" s="1045"/>
      <c r="CJ99" s="1045"/>
      <c r="CK99" s="1046">
        <f t="shared" si="81"/>
        <v>0</v>
      </c>
      <c r="CL99" s="1675">
        <v>-160</v>
      </c>
      <c r="CM99" s="1115">
        <v>0</v>
      </c>
      <c r="CN99" s="1115">
        <v>0</v>
      </c>
      <c r="CO99" s="1115">
        <v>0</v>
      </c>
      <c r="CP99" s="1676">
        <v>0</v>
      </c>
      <c r="CQ99" s="1049">
        <f t="shared" si="82"/>
        <v>-160</v>
      </c>
      <c r="CR99" s="1675"/>
      <c r="CS99" s="1115"/>
      <c r="CT99" s="1115"/>
      <c r="CU99" s="1115"/>
      <c r="CV99" s="1676"/>
      <c r="CW99" s="1046">
        <f t="shared" si="83"/>
        <v>0</v>
      </c>
      <c r="CX99" s="1675">
        <v>-448</v>
      </c>
      <c r="CY99" s="1115">
        <v>-448</v>
      </c>
      <c r="CZ99" s="1115">
        <v>0</v>
      </c>
      <c r="DA99" s="1115">
        <v>0</v>
      </c>
      <c r="DB99" s="1676">
        <v>0</v>
      </c>
      <c r="DC99" s="1049">
        <f t="shared" si="84"/>
        <v>-896</v>
      </c>
      <c r="DD99" s="1675">
        <v>-280</v>
      </c>
      <c r="DE99" s="1115">
        <v>0</v>
      </c>
      <c r="DF99" s="1115">
        <v>0</v>
      </c>
      <c r="DG99" s="1115">
        <v>0</v>
      </c>
      <c r="DH99" s="1115">
        <v>0</v>
      </c>
      <c r="DI99" s="1114">
        <f t="shared" si="85"/>
        <v>-280</v>
      </c>
      <c r="DJ99" s="1115"/>
      <c r="DK99" s="1115"/>
      <c r="DL99" s="1115"/>
      <c r="DM99" s="1115"/>
      <c r="DN99" s="1115"/>
      <c r="DO99" s="1115">
        <f t="shared" si="86"/>
        <v>0</v>
      </c>
      <c r="DP99" s="1675">
        <v>7850.5</v>
      </c>
      <c r="DQ99" s="1115">
        <v>5416.85</v>
      </c>
      <c r="DR99" s="1115">
        <v>2433.65</v>
      </c>
      <c r="DS99" s="1115">
        <v>0</v>
      </c>
      <c r="DT99" s="1676">
        <v>0</v>
      </c>
      <c r="DU99" s="1050">
        <f t="shared" si="87"/>
        <v>15701</v>
      </c>
      <c r="DV99" s="1675">
        <v>6955.1</v>
      </c>
      <c r="DW99" s="1115">
        <v>0</v>
      </c>
      <c r="DX99" s="1115">
        <v>1275.76</v>
      </c>
      <c r="DY99" s="1115">
        <v>0.06</v>
      </c>
      <c r="DZ99" s="1676">
        <v>0</v>
      </c>
      <c r="EA99" s="1049">
        <f t="shared" si="88"/>
        <v>8230.92</v>
      </c>
    </row>
    <row r="100" spans="1:131" ht="15" customHeight="1" x14ac:dyDescent="0.25">
      <c r="A100" s="716" t="s">
        <v>14</v>
      </c>
      <c r="B100" s="810" t="s">
        <v>15</v>
      </c>
      <c r="C100" s="911" t="s">
        <v>267</v>
      </c>
      <c r="D100" s="808">
        <f t="shared" si="61"/>
        <v>201771.5148482559</v>
      </c>
      <c r="E100" s="808">
        <f t="shared" si="62"/>
        <v>77759.71515174408</v>
      </c>
      <c r="F100" s="808">
        <f t="shared" si="63"/>
        <v>60339.229999999996</v>
      </c>
      <c r="G100" s="808">
        <f t="shared" si="64"/>
        <v>-0.13</v>
      </c>
      <c r="H100" s="808">
        <f t="shared" si="65"/>
        <v>63021.84</v>
      </c>
      <c r="I100" s="1391">
        <f t="shared" si="66"/>
        <v>402892.16999999993</v>
      </c>
      <c r="J100" s="809">
        <f t="shared" si="67"/>
        <v>63021.71</v>
      </c>
      <c r="K100" s="1392">
        <f t="shared" si="68"/>
        <v>123360.94</v>
      </c>
      <c r="L100" s="1656"/>
      <c r="M100" s="1035"/>
      <c r="N100" s="1035"/>
      <c r="O100" s="1035"/>
      <c r="P100" s="1035"/>
      <c r="Q100" s="1036">
        <f t="shared" si="69"/>
        <v>0</v>
      </c>
      <c r="R100" s="1650"/>
      <c r="S100" s="1040"/>
      <c r="T100" s="1040"/>
      <c r="U100" s="1040"/>
      <c r="V100" s="1651"/>
      <c r="W100" s="1039">
        <f t="shared" si="70"/>
        <v>0</v>
      </c>
      <c r="X100" s="1664">
        <v>6063.1</v>
      </c>
      <c r="Y100" s="1665">
        <v>36.090000000000003</v>
      </c>
      <c r="Z100" s="1665">
        <v>1118.78</v>
      </c>
      <c r="AA100" s="1665">
        <v>0.01</v>
      </c>
      <c r="AB100" s="1666">
        <v>0</v>
      </c>
      <c r="AC100" s="1037">
        <f t="shared" si="71"/>
        <v>7217.9800000000005</v>
      </c>
      <c r="AD100" s="1675">
        <v>101600</v>
      </c>
      <c r="AE100" s="1115">
        <v>0</v>
      </c>
      <c r="AF100" s="1115">
        <v>25400</v>
      </c>
      <c r="AG100" s="1115">
        <v>0</v>
      </c>
      <c r="AH100" s="1676">
        <v>63021.84</v>
      </c>
      <c r="AI100" s="1049">
        <f t="shared" si="72"/>
        <v>190021.84</v>
      </c>
      <c r="AJ100" s="1664">
        <v>14155.08</v>
      </c>
      <c r="AK100" s="1665">
        <v>4454.83</v>
      </c>
      <c r="AL100" s="1665">
        <v>3413.64</v>
      </c>
      <c r="AM100" s="1665">
        <v>-0.03</v>
      </c>
      <c r="AN100" s="1666">
        <v>0</v>
      </c>
      <c r="AO100" s="1041">
        <f t="shared" si="73"/>
        <v>22023.52</v>
      </c>
      <c r="AP100" s="1686">
        <v>7929.48</v>
      </c>
      <c r="AQ100" s="1687">
        <v>1982.37</v>
      </c>
      <c r="AR100" s="1687">
        <v>0</v>
      </c>
      <c r="AS100" s="1687">
        <v>0</v>
      </c>
      <c r="AT100" s="1688">
        <v>0</v>
      </c>
      <c r="AU100" s="1043">
        <f t="shared" si="74"/>
        <v>9911.8499999999985</v>
      </c>
      <c r="AV100" s="1692">
        <v>1231.8599999999999</v>
      </c>
      <c r="AW100" s="1693">
        <v>307.97000000000003</v>
      </c>
      <c r="AX100" s="1693">
        <v>0</v>
      </c>
      <c r="AY100" s="1693">
        <v>0</v>
      </c>
      <c r="AZ100" s="1694">
        <v>0</v>
      </c>
      <c r="BA100" s="1039">
        <f t="shared" si="75"/>
        <v>1539.83</v>
      </c>
      <c r="BB100" s="1675">
        <v>2122.36</v>
      </c>
      <c r="BC100" s="1115">
        <v>3832.64</v>
      </c>
      <c r="BD100" s="1115">
        <v>0</v>
      </c>
      <c r="BE100" s="1115">
        <v>0</v>
      </c>
      <c r="BF100" s="1676">
        <v>0</v>
      </c>
      <c r="BG100" s="1046">
        <f t="shared" si="76"/>
        <v>5955</v>
      </c>
      <c r="BH100" s="1675">
        <v>21631.22</v>
      </c>
      <c r="BI100" s="1115">
        <v>2739.94</v>
      </c>
      <c r="BJ100" s="1115">
        <v>4470.45</v>
      </c>
      <c r="BK100" s="1115">
        <v>-0.01</v>
      </c>
      <c r="BL100" s="1676">
        <v>0</v>
      </c>
      <c r="BM100" s="1046">
        <f t="shared" si="77"/>
        <v>28841.600000000002</v>
      </c>
      <c r="BN100" s="1675"/>
      <c r="BO100" s="1115"/>
      <c r="BP100" s="1115"/>
      <c r="BQ100" s="1115"/>
      <c r="BR100" s="1676"/>
      <c r="BS100" s="1049">
        <f t="shared" si="78"/>
        <v>0</v>
      </c>
      <c r="BT100" s="1675">
        <v>22504.024848255915</v>
      </c>
      <c r="BU100" s="1115">
        <v>53380.145151744087</v>
      </c>
      <c r="BV100" s="1115">
        <v>13919.61</v>
      </c>
      <c r="BW100" s="1115">
        <v>-0.08</v>
      </c>
      <c r="BX100" s="1676">
        <v>0</v>
      </c>
      <c r="BY100" s="1049">
        <f t="shared" si="79"/>
        <v>89803.7</v>
      </c>
      <c r="BZ100" s="1675">
        <v>4212.6899999999996</v>
      </c>
      <c r="CA100" s="1115">
        <v>0</v>
      </c>
      <c r="CB100" s="1115">
        <v>6266.6</v>
      </c>
      <c r="CC100" s="1115">
        <v>-0.01</v>
      </c>
      <c r="CD100" s="1676">
        <v>0</v>
      </c>
      <c r="CE100" s="1049">
        <f t="shared" si="80"/>
        <v>10479.280000000001</v>
      </c>
      <c r="CF100" s="1677"/>
      <c r="CG100" s="1045"/>
      <c r="CH100" s="1045"/>
      <c r="CI100" s="1045"/>
      <c r="CJ100" s="1045"/>
      <c r="CK100" s="1046">
        <f t="shared" si="81"/>
        <v>0</v>
      </c>
      <c r="CL100" s="1675"/>
      <c r="CM100" s="1115"/>
      <c r="CN100" s="1115"/>
      <c r="CO100" s="1115"/>
      <c r="CP100" s="1676"/>
      <c r="CQ100" s="1049">
        <f t="shared" si="82"/>
        <v>0</v>
      </c>
      <c r="CR100" s="1675"/>
      <c r="CS100" s="1115"/>
      <c r="CT100" s="1115"/>
      <c r="CU100" s="1115"/>
      <c r="CV100" s="1676"/>
      <c r="CW100" s="1046">
        <f t="shared" si="83"/>
        <v>0</v>
      </c>
      <c r="CX100" s="1675"/>
      <c r="CY100" s="1115"/>
      <c r="CZ100" s="1115"/>
      <c r="DA100" s="1115"/>
      <c r="DB100" s="1676"/>
      <c r="DC100" s="1049">
        <f t="shared" si="84"/>
        <v>0</v>
      </c>
      <c r="DD100" s="1675"/>
      <c r="DE100" s="1115"/>
      <c r="DF100" s="1115"/>
      <c r="DG100" s="1115"/>
      <c r="DH100" s="1115"/>
      <c r="DI100" s="1114">
        <f t="shared" si="85"/>
        <v>0</v>
      </c>
      <c r="DJ100" s="1115"/>
      <c r="DK100" s="1115"/>
      <c r="DL100" s="1115"/>
      <c r="DM100" s="1115"/>
      <c r="DN100" s="1115"/>
      <c r="DO100" s="1115">
        <f t="shared" si="86"/>
        <v>0</v>
      </c>
      <c r="DP100" s="1675">
        <v>15979.33</v>
      </c>
      <c r="DQ100" s="1115">
        <v>11025.73</v>
      </c>
      <c r="DR100" s="1115">
        <v>4953.6000000000004</v>
      </c>
      <c r="DS100" s="1115">
        <v>0</v>
      </c>
      <c r="DT100" s="1676">
        <v>0</v>
      </c>
      <c r="DU100" s="1050">
        <f t="shared" si="87"/>
        <v>31958.659999999996</v>
      </c>
      <c r="DV100" s="1675">
        <v>4342.37</v>
      </c>
      <c r="DW100" s="1115">
        <v>0</v>
      </c>
      <c r="DX100" s="1115">
        <v>796.55</v>
      </c>
      <c r="DY100" s="1115">
        <v>-0.01</v>
      </c>
      <c r="DZ100" s="1676">
        <v>0</v>
      </c>
      <c r="EA100" s="1049">
        <f t="shared" si="88"/>
        <v>5138.91</v>
      </c>
    </row>
    <row r="101" spans="1:131" ht="15" customHeight="1" x14ac:dyDescent="0.25">
      <c r="A101" s="716" t="s">
        <v>34</v>
      </c>
      <c r="B101" s="810" t="s">
        <v>35</v>
      </c>
      <c r="C101" s="911" t="s">
        <v>268</v>
      </c>
      <c r="D101" s="808">
        <f t="shared" ref="D101:D124" si="89">L101+R101+X101+AD101+AJ101+AP101+AV101+BB101+BH101+BN101+BT101+BZ101+CF101+CL101+CR101+CX101+DD101+DJ101+DP101+DV101</f>
        <v>85299.997358634675</v>
      </c>
      <c r="E101" s="808">
        <f t="shared" ref="E101:E124" si="90">M101+S101+Y101+AE101+AK101+AQ101+AW101+BC101+BI101+BO101+BU101+CA101+CG101+CM101+CS101+CY101+DE101+DK101+DQ101+DW101</f>
        <v>111210.66264136533</v>
      </c>
      <c r="F101" s="808">
        <f t="shared" ref="F101:F124" si="91">N101+T101+Z101+AF101+AL101+AR101+AX101+BD101+BJ101+BP101+BV101+CB101+CH101+CN101+CT101+CZ101+DF101+DL101+DR101+DX101</f>
        <v>39283.67</v>
      </c>
      <c r="G101" s="808">
        <f t="shared" ref="G101:G124" si="92">O101+U101+AA101+AG101+AM101+AS101+AY101+BE101+BK101+BQ101+BW101+CC101+CI101+CO101+CU101+DA101+DG101+DM101+DS101+DY101</f>
        <v>-0.31000000000000005</v>
      </c>
      <c r="H101" s="808">
        <f t="shared" ref="H101:H124" si="93">P101+V101+AB101+AH101+AN101+AT101+AZ101+BF101+BL101+BR101+BX101+CD101+CJ101+CP101+CV101+DB101+DH101+DN101+DT101+DZ101</f>
        <v>0</v>
      </c>
      <c r="I101" s="1391">
        <f t="shared" ref="I101:I124" si="94">SUM(D101:H101)</f>
        <v>235794.02000000002</v>
      </c>
      <c r="J101" s="809">
        <f t="shared" ref="J101:J124" si="95">G101+H101</f>
        <v>-0.31000000000000005</v>
      </c>
      <c r="K101" s="1392">
        <f t="shared" ref="K101:K124" si="96">F101+J101</f>
        <v>39283.360000000001</v>
      </c>
      <c r="L101" s="1656"/>
      <c r="M101" s="1035"/>
      <c r="N101" s="1035"/>
      <c r="O101" s="1035"/>
      <c r="P101" s="1035"/>
      <c r="Q101" s="1036">
        <f t="shared" ref="Q101:Q124" si="97">SUM(L101:P101)</f>
        <v>0</v>
      </c>
      <c r="R101" s="1650"/>
      <c r="S101" s="1040"/>
      <c r="T101" s="1040"/>
      <c r="U101" s="1040"/>
      <c r="V101" s="1651"/>
      <c r="W101" s="1039">
        <f t="shared" ref="W101:W124" si="98">SUM(R101:V101)</f>
        <v>0</v>
      </c>
      <c r="X101" s="1664">
        <v>3869.56</v>
      </c>
      <c r="Y101" s="1665">
        <v>23.04</v>
      </c>
      <c r="Z101" s="1665">
        <v>714.03</v>
      </c>
      <c r="AA101" s="1665">
        <v>-0.03</v>
      </c>
      <c r="AB101" s="1666">
        <v>0</v>
      </c>
      <c r="AC101" s="1037">
        <f t="shared" ref="AC101:AC124" si="99">SUM(X101:AB101)</f>
        <v>4606.6000000000004</v>
      </c>
      <c r="AD101" s="1675">
        <v>20821.09</v>
      </c>
      <c r="AE101" s="1115">
        <v>0</v>
      </c>
      <c r="AF101" s="1115">
        <v>5205.28</v>
      </c>
      <c r="AG101" s="1115">
        <v>0</v>
      </c>
      <c r="AH101" s="1676">
        <v>0</v>
      </c>
      <c r="AI101" s="1049">
        <f t="shared" ref="AI101:AI124" si="100">SUM(AD101:AH101)</f>
        <v>26026.37</v>
      </c>
      <c r="AJ101" s="1664">
        <v>4124.8900000000003</v>
      </c>
      <c r="AK101" s="1665">
        <v>1266.52</v>
      </c>
      <c r="AL101" s="1665">
        <v>988.97</v>
      </c>
      <c r="AM101" s="1665">
        <v>-0.06</v>
      </c>
      <c r="AN101" s="1666">
        <v>0</v>
      </c>
      <c r="AO101" s="1041">
        <f t="shared" ref="AO101:AO124" si="101">SUM(AJ101:AN101)</f>
        <v>6380.32</v>
      </c>
      <c r="AP101" s="1686">
        <v>2254.4299999999998</v>
      </c>
      <c r="AQ101" s="1687">
        <v>563.61</v>
      </c>
      <c r="AR101" s="1687">
        <v>0</v>
      </c>
      <c r="AS101" s="1687">
        <v>0</v>
      </c>
      <c r="AT101" s="1688">
        <v>0</v>
      </c>
      <c r="AU101" s="1043">
        <f t="shared" ref="AU101:AU124" si="102">SUM(AP101:AT101)</f>
        <v>2818.04</v>
      </c>
      <c r="AV101" s="1692">
        <v>7663.06</v>
      </c>
      <c r="AW101" s="1693">
        <v>1915.75</v>
      </c>
      <c r="AX101" s="1693">
        <v>0</v>
      </c>
      <c r="AY101" s="1693">
        <v>0</v>
      </c>
      <c r="AZ101" s="1694">
        <v>0</v>
      </c>
      <c r="BA101" s="1039">
        <f t="shared" ref="BA101:BA124" si="103">SUM(AV101:AZ101)</f>
        <v>9578.8100000000013</v>
      </c>
      <c r="BB101" s="1675">
        <v>21.78</v>
      </c>
      <c r="BC101" s="1115">
        <v>39.32</v>
      </c>
      <c r="BD101" s="1115">
        <v>0</v>
      </c>
      <c r="BE101" s="1115">
        <v>0</v>
      </c>
      <c r="BF101" s="1676">
        <v>0</v>
      </c>
      <c r="BG101" s="1046">
        <f t="shared" ref="BG101:BG124" si="104">SUM(BB101:BF101)</f>
        <v>61.1</v>
      </c>
      <c r="BH101" s="1675">
        <v>17367.8</v>
      </c>
      <c r="BI101" s="1115">
        <v>2199.92</v>
      </c>
      <c r="BJ101" s="1115">
        <v>3589.32</v>
      </c>
      <c r="BK101" s="1115">
        <v>-0.04</v>
      </c>
      <c r="BL101" s="1676">
        <v>0</v>
      </c>
      <c r="BM101" s="1046">
        <f t="shared" ref="BM101:BM124" si="105">SUM(BH101:BL101)</f>
        <v>23157</v>
      </c>
      <c r="BN101" s="1675"/>
      <c r="BO101" s="1115"/>
      <c r="BP101" s="1115"/>
      <c r="BQ101" s="1115"/>
      <c r="BR101" s="1676"/>
      <c r="BS101" s="1049">
        <f t="shared" ref="BS101:BS124" si="106">SUM(BN101:BR101)</f>
        <v>0</v>
      </c>
      <c r="BT101" s="1675">
        <v>19543.107358634676</v>
      </c>
      <c r="BU101" s="1115">
        <v>103705.20264136532</v>
      </c>
      <c r="BV101" s="1115">
        <v>22607.7</v>
      </c>
      <c r="BW101" s="1115">
        <v>-0.17</v>
      </c>
      <c r="BX101" s="1676">
        <v>0</v>
      </c>
      <c r="BY101" s="1049">
        <f t="shared" ref="BY101:BY124" si="107">SUM(BT101:BX101)</f>
        <v>145855.84</v>
      </c>
      <c r="BZ101" s="1675">
        <v>3171.84</v>
      </c>
      <c r="CA101" s="1115">
        <v>0</v>
      </c>
      <c r="CB101" s="1115">
        <v>4718.29</v>
      </c>
      <c r="CC101" s="1115">
        <v>0</v>
      </c>
      <c r="CD101" s="1676">
        <v>0</v>
      </c>
      <c r="CE101" s="1049">
        <f t="shared" ref="CE101:CE124" si="108">SUM(BZ101:CD101)</f>
        <v>7890.13</v>
      </c>
      <c r="CF101" s="1677"/>
      <c r="CG101" s="1045"/>
      <c r="CH101" s="1045"/>
      <c r="CI101" s="1045"/>
      <c r="CJ101" s="1045"/>
      <c r="CK101" s="1046">
        <f t="shared" ref="CK101:CK124" si="109">SUM(CF101:CJ101)</f>
        <v>0</v>
      </c>
      <c r="CL101" s="1675"/>
      <c r="CM101" s="1115"/>
      <c r="CN101" s="1115"/>
      <c r="CO101" s="1115"/>
      <c r="CP101" s="1676"/>
      <c r="CQ101" s="1049">
        <f t="shared" ref="CQ101:CQ124" si="110">SUM(CL101:CP101)</f>
        <v>0</v>
      </c>
      <c r="CR101" s="1675"/>
      <c r="CS101" s="1115"/>
      <c r="CT101" s="1115"/>
      <c r="CU101" s="1115"/>
      <c r="CV101" s="1676"/>
      <c r="CW101" s="1046">
        <f t="shared" ref="CW101:CW124" si="111">SUM(CR101:CV101)</f>
        <v>0</v>
      </c>
      <c r="CX101" s="1675"/>
      <c r="CY101" s="1115"/>
      <c r="CZ101" s="1115"/>
      <c r="DA101" s="1115"/>
      <c r="DB101" s="1676"/>
      <c r="DC101" s="1049">
        <f t="shared" ref="DC101:DC124" si="112">SUM(CX101:DB101)</f>
        <v>0</v>
      </c>
      <c r="DD101" s="1675"/>
      <c r="DE101" s="1115"/>
      <c r="DF101" s="1115"/>
      <c r="DG101" s="1115"/>
      <c r="DH101" s="1115"/>
      <c r="DI101" s="1114">
        <f t="shared" ref="DI101:DI124" si="113">SUM(DD101:DH101)</f>
        <v>0</v>
      </c>
      <c r="DJ101" s="1115"/>
      <c r="DK101" s="1115"/>
      <c r="DL101" s="1115"/>
      <c r="DM101" s="1115"/>
      <c r="DN101" s="1115"/>
      <c r="DO101" s="1115">
        <f t="shared" ref="DO101:DO124" si="114">SUM(DJ101:DN101)</f>
        <v>0</v>
      </c>
      <c r="DP101" s="1675">
        <v>2170</v>
      </c>
      <c r="DQ101" s="1115">
        <v>1497.3</v>
      </c>
      <c r="DR101" s="1115">
        <v>672.7</v>
      </c>
      <c r="DS101" s="1115">
        <v>0</v>
      </c>
      <c r="DT101" s="1676">
        <v>0</v>
      </c>
      <c r="DU101" s="1050">
        <f t="shared" ref="DU101:DU124" si="115">SUM(DP101:DT101)</f>
        <v>4340</v>
      </c>
      <c r="DV101" s="1675">
        <v>4292.4399999999996</v>
      </c>
      <c r="DW101" s="1115">
        <v>0</v>
      </c>
      <c r="DX101" s="1115">
        <v>787.38</v>
      </c>
      <c r="DY101" s="1115">
        <v>-0.01</v>
      </c>
      <c r="DZ101" s="1676">
        <v>0</v>
      </c>
      <c r="EA101" s="1049">
        <f t="shared" ref="EA101:EA124" si="116">SUM(DV101:DZ101)</f>
        <v>5079.8099999999995</v>
      </c>
    </row>
    <row r="102" spans="1:131" ht="15" customHeight="1" x14ac:dyDescent="0.25">
      <c r="A102" s="716" t="s">
        <v>52</v>
      </c>
      <c r="B102" s="810" t="s">
        <v>53</v>
      </c>
      <c r="C102" s="911" t="s">
        <v>265</v>
      </c>
      <c r="D102" s="808">
        <f t="shared" si="89"/>
        <v>158797.01645469206</v>
      </c>
      <c r="E102" s="808">
        <f t="shared" si="90"/>
        <v>84398.473545307963</v>
      </c>
      <c r="F102" s="808">
        <f t="shared" si="91"/>
        <v>59931.86</v>
      </c>
      <c r="G102" s="808">
        <f t="shared" si="92"/>
        <v>2881.18</v>
      </c>
      <c r="H102" s="808">
        <f t="shared" si="93"/>
        <v>0</v>
      </c>
      <c r="I102" s="1391">
        <f t="shared" si="94"/>
        <v>306008.53000000003</v>
      </c>
      <c r="J102" s="809">
        <f t="shared" si="95"/>
        <v>2881.18</v>
      </c>
      <c r="K102" s="1392">
        <f t="shared" si="96"/>
        <v>62813.04</v>
      </c>
      <c r="L102" s="1656"/>
      <c r="M102" s="1035"/>
      <c r="N102" s="1035"/>
      <c r="O102" s="1035"/>
      <c r="P102" s="1035"/>
      <c r="Q102" s="1036">
        <f t="shared" si="97"/>
        <v>0</v>
      </c>
      <c r="R102" s="1650"/>
      <c r="S102" s="1040"/>
      <c r="T102" s="1040"/>
      <c r="U102" s="1040"/>
      <c r="V102" s="1651"/>
      <c r="W102" s="1039">
        <f t="shared" si="98"/>
        <v>0</v>
      </c>
      <c r="X102" s="1664">
        <v>13729.21</v>
      </c>
      <c r="Y102" s="1665">
        <v>81.72</v>
      </c>
      <c r="Z102" s="1665">
        <v>2533.38</v>
      </c>
      <c r="AA102" s="1665">
        <v>-0.01</v>
      </c>
      <c r="AB102" s="1666">
        <v>0</v>
      </c>
      <c r="AC102" s="1037">
        <f t="shared" si="99"/>
        <v>16344.299999999997</v>
      </c>
      <c r="AD102" s="1675">
        <v>25801.26</v>
      </c>
      <c r="AE102" s="1115">
        <v>0</v>
      </c>
      <c r="AF102" s="1115">
        <v>6450.32</v>
      </c>
      <c r="AG102" s="1115">
        <v>0</v>
      </c>
      <c r="AH102" s="1676">
        <v>0</v>
      </c>
      <c r="AI102" s="1049">
        <f t="shared" si="100"/>
        <v>32251.579999999998</v>
      </c>
      <c r="AJ102" s="1667"/>
      <c r="AK102" s="1038"/>
      <c r="AL102" s="1038"/>
      <c r="AM102" s="1038"/>
      <c r="AN102" s="1038"/>
      <c r="AO102" s="1041">
        <f t="shared" si="101"/>
        <v>0</v>
      </c>
      <c r="AP102" s="1686">
        <v>18913.57</v>
      </c>
      <c r="AQ102" s="1687">
        <v>4728.38</v>
      </c>
      <c r="AR102" s="1687">
        <v>0</v>
      </c>
      <c r="AS102" s="1687">
        <v>0</v>
      </c>
      <c r="AT102" s="1688">
        <v>0</v>
      </c>
      <c r="AU102" s="1043">
        <f t="shared" si="102"/>
        <v>23641.95</v>
      </c>
      <c r="AV102" s="1692">
        <v>13896.4</v>
      </c>
      <c r="AW102" s="1693">
        <v>3474.09</v>
      </c>
      <c r="AX102" s="1693">
        <v>0</v>
      </c>
      <c r="AY102" s="1693">
        <v>0</v>
      </c>
      <c r="AZ102" s="1694">
        <v>0</v>
      </c>
      <c r="BA102" s="1039">
        <f t="shared" si="103"/>
        <v>17370.489999999998</v>
      </c>
      <c r="BB102" s="1675">
        <v>4812.12</v>
      </c>
      <c r="BC102" s="1115">
        <v>8689.8799999999992</v>
      </c>
      <c r="BD102" s="1115">
        <v>0</v>
      </c>
      <c r="BE102" s="1115">
        <v>0</v>
      </c>
      <c r="BF102" s="1676">
        <v>0</v>
      </c>
      <c r="BG102" s="1046">
        <f t="shared" si="104"/>
        <v>13502</v>
      </c>
      <c r="BH102" s="1675">
        <v>30697.35</v>
      </c>
      <c r="BI102" s="1115">
        <v>3888.33</v>
      </c>
      <c r="BJ102" s="1115">
        <v>6344.13</v>
      </c>
      <c r="BK102" s="1115">
        <v>-0.03</v>
      </c>
      <c r="BL102" s="1676">
        <v>0</v>
      </c>
      <c r="BM102" s="1046">
        <f t="shared" si="105"/>
        <v>40929.78</v>
      </c>
      <c r="BN102" s="1675">
        <v>-31.48</v>
      </c>
      <c r="BO102" s="1115">
        <v>-31.48</v>
      </c>
      <c r="BP102" s="1115">
        <v>0</v>
      </c>
      <c r="BQ102" s="1115">
        <v>0.02</v>
      </c>
      <c r="BR102" s="1676">
        <v>0</v>
      </c>
      <c r="BS102" s="1049">
        <f t="shared" si="106"/>
        <v>-62.94</v>
      </c>
      <c r="BT102" s="1675">
        <v>12056.07645469204</v>
      </c>
      <c r="BU102" s="1115">
        <v>56935.833545307964</v>
      </c>
      <c r="BV102" s="1115">
        <v>12655.34</v>
      </c>
      <c r="BW102" s="1115">
        <v>2881.19</v>
      </c>
      <c r="BX102" s="1676">
        <v>0</v>
      </c>
      <c r="BY102" s="1049">
        <f t="shared" si="107"/>
        <v>84528.44</v>
      </c>
      <c r="BZ102" s="1675">
        <v>18090</v>
      </c>
      <c r="CA102" s="1115">
        <v>0</v>
      </c>
      <c r="CB102" s="1115">
        <v>26910</v>
      </c>
      <c r="CC102" s="1115">
        <v>0</v>
      </c>
      <c r="CD102" s="1676">
        <v>0</v>
      </c>
      <c r="CE102" s="1049">
        <f t="shared" si="108"/>
        <v>45000</v>
      </c>
      <c r="CF102" s="1677"/>
      <c r="CG102" s="1045"/>
      <c r="CH102" s="1045"/>
      <c r="CI102" s="1045"/>
      <c r="CJ102" s="1045"/>
      <c r="CK102" s="1046">
        <f t="shared" si="109"/>
        <v>0</v>
      </c>
      <c r="CL102" s="1675"/>
      <c r="CM102" s="1115"/>
      <c r="CN102" s="1115"/>
      <c r="CO102" s="1115"/>
      <c r="CP102" s="1676"/>
      <c r="CQ102" s="1049">
        <f t="shared" si="110"/>
        <v>0</v>
      </c>
      <c r="CR102" s="1675">
        <v>-2.4</v>
      </c>
      <c r="CS102" s="1115">
        <v>-2.4</v>
      </c>
      <c r="CT102" s="1115">
        <v>0</v>
      </c>
      <c r="CU102" s="1115">
        <v>0</v>
      </c>
      <c r="CV102" s="1676">
        <v>0</v>
      </c>
      <c r="CW102" s="1046">
        <f t="shared" si="111"/>
        <v>-4.8</v>
      </c>
      <c r="CX102" s="1675"/>
      <c r="CY102" s="1115"/>
      <c r="CZ102" s="1115"/>
      <c r="DA102" s="1115"/>
      <c r="DB102" s="1676"/>
      <c r="DC102" s="1049">
        <f t="shared" si="112"/>
        <v>0</v>
      </c>
      <c r="DD102" s="1675"/>
      <c r="DE102" s="1115"/>
      <c r="DF102" s="1115"/>
      <c r="DG102" s="1115"/>
      <c r="DH102" s="1115"/>
      <c r="DI102" s="1114">
        <f t="shared" si="113"/>
        <v>0</v>
      </c>
      <c r="DJ102" s="1115"/>
      <c r="DK102" s="1115"/>
      <c r="DL102" s="1115"/>
      <c r="DM102" s="1115"/>
      <c r="DN102" s="1115"/>
      <c r="DO102" s="1115">
        <f t="shared" si="114"/>
        <v>0</v>
      </c>
      <c r="DP102" s="1677">
        <v>9614.67</v>
      </c>
      <c r="DQ102" s="1045">
        <v>6634.12</v>
      </c>
      <c r="DR102" s="1045">
        <v>2980.55</v>
      </c>
      <c r="DS102" s="1045">
        <v>-0.01</v>
      </c>
      <c r="DT102" s="1045">
        <v>0</v>
      </c>
      <c r="DU102" s="1050">
        <f t="shared" si="115"/>
        <v>19229.330000000002</v>
      </c>
      <c r="DV102" s="1675">
        <v>11220.24</v>
      </c>
      <c r="DW102" s="1115">
        <v>0</v>
      </c>
      <c r="DX102" s="1115">
        <v>2058.14</v>
      </c>
      <c r="DY102" s="1115">
        <v>0.02</v>
      </c>
      <c r="DZ102" s="1676">
        <v>0</v>
      </c>
      <c r="EA102" s="1049">
        <f t="shared" si="116"/>
        <v>13278.4</v>
      </c>
    </row>
    <row r="103" spans="1:131" ht="15" customHeight="1" x14ac:dyDescent="0.25">
      <c r="A103" s="716" t="s">
        <v>54</v>
      </c>
      <c r="B103" s="810" t="s">
        <v>55</v>
      </c>
      <c r="C103" s="911" t="s">
        <v>264</v>
      </c>
      <c r="D103" s="808">
        <f t="shared" si="89"/>
        <v>252298.55256239156</v>
      </c>
      <c r="E103" s="808">
        <f t="shared" si="90"/>
        <v>224227.96743760843</v>
      </c>
      <c r="F103" s="808">
        <f t="shared" si="91"/>
        <v>88278.24</v>
      </c>
      <c r="G103" s="808">
        <f t="shared" si="92"/>
        <v>753.81</v>
      </c>
      <c r="H103" s="808">
        <f t="shared" si="93"/>
        <v>0</v>
      </c>
      <c r="I103" s="1391">
        <f t="shared" si="94"/>
        <v>565558.57000000007</v>
      </c>
      <c r="J103" s="809">
        <f t="shared" si="95"/>
        <v>753.81</v>
      </c>
      <c r="K103" s="1392">
        <f t="shared" si="96"/>
        <v>89032.05</v>
      </c>
      <c r="L103" s="1656"/>
      <c r="M103" s="1035"/>
      <c r="N103" s="1035"/>
      <c r="O103" s="1035"/>
      <c r="P103" s="1035"/>
      <c r="Q103" s="1036">
        <f t="shared" si="97"/>
        <v>0</v>
      </c>
      <c r="R103" s="1652"/>
      <c r="S103" s="1113"/>
      <c r="T103" s="1113"/>
      <c r="U103" s="1113"/>
      <c r="V103" s="1653"/>
      <c r="W103" s="1039">
        <f t="shared" si="98"/>
        <v>0</v>
      </c>
      <c r="X103" s="1664">
        <v>16275.43</v>
      </c>
      <c r="Y103" s="1665">
        <v>96.88</v>
      </c>
      <c r="Z103" s="1665">
        <v>3003.21</v>
      </c>
      <c r="AA103" s="1665">
        <v>-0.01</v>
      </c>
      <c r="AB103" s="1666">
        <v>0</v>
      </c>
      <c r="AC103" s="1037">
        <f t="shared" si="99"/>
        <v>19375.510000000002</v>
      </c>
      <c r="AD103" s="1675">
        <v>48060.37</v>
      </c>
      <c r="AE103" s="1115">
        <v>0</v>
      </c>
      <c r="AF103" s="1115">
        <v>12015.09</v>
      </c>
      <c r="AG103" s="1115">
        <v>0</v>
      </c>
      <c r="AH103" s="1676">
        <v>0</v>
      </c>
      <c r="AI103" s="1049">
        <f t="shared" si="100"/>
        <v>60075.460000000006</v>
      </c>
      <c r="AJ103" s="1664">
        <v>2012.66</v>
      </c>
      <c r="AK103" s="1665">
        <v>845.98</v>
      </c>
      <c r="AL103" s="1665">
        <v>524.37</v>
      </c>
      <c r="AM103" s="1665">
        <v>753.81</v>
      </c>
      <c r="AN103" s="1666">
        <v>0</v>
      </c>
      <c r="AO103" s="1041">
        <f t="shared" si="101"/>
        <v>4136.82</v>
      </c>
      <c r="AP103" s="1686">
        <v>3942.15</v>
      </c>
      <c r="AQ103" s="1687">
        <v>985.54</v>
      </c>
      <c r="AR103" s="1687">
        <v>0</v>
      </c>
      <c r="AS103" s="1687">
        <v>0</v>
      </c>
      <c r="AT103" s="1688">
        <v>0</v>
      </c>
      <c r="AU103" s="1043">
        <f t="shared" si="102"/>
        <v>4927.6900000000005</v>
      </c>
      <c r="AV103" s="1692">
        <v>3687.37</v>
      </c>
      <c r="AW103" s="1693">
        <v>921.84</v>
      </c>
      <c r="AX103" s="1693">
        <v>0</v>
      </c>
      <c r="AY103" s="1693">
        <v>0</v>
      </c>
      <c r="AZ103" s="1694">
        <v>0</v>
      </c>
      <c r="BA103" s="1039">
        <f t="shared" si="103"/>
        <v>4609.21</v>
      </c>
      <c r="BB103" s="1675">
        <v>3628.17</v>
      </c>
      <c r="BC103" s="1115">
        <v>6551.83</v>
      </c>
      <c r="BD103" s="1115">
        <v>0</v>
      </c>
      <c r="BE103" s="1115">
        <v>0</v>
      </c>
      <c r="BF103" s="1676">
        <v>0</v>
      </c>
      <c r="BG103" s="1046">
        <f t="shared" si="104"/>
        <v>10180</v>
      </c>
      <c r="BH103" s="1675">
        <v>37650.160000000003</v>
      </c>
      <c r="BI103" s="1115">
        <v>4769.03</v>
      </c>
      <c r="BJ103" s="1115">
        <v>7781.02</v>
      </c>
      <c r="BK103" s="1115">
        <v>-0.02</v>
      </c>
      <c r="BL103" s="1676">
        <v>0</v>
      </c>
      <c r="BM103" s="1046">
        <f t="shared" si="105"/>
        <v>50200.19000000001</v>
      </c>
      <c r="BN103" s="1675">
        <v>-2.5</v>
      </c>
      <c r="BO103" s="1115">
        <v>-2.5</v>
      </c>
      <c r="BP103" s="1115">
        <v>0</v>
      </c>
      <c r="BQ103" s="1115">
        <v>0</v>
      </c>
      <c r="BR103" s="1676">
        <v>0</v>
      </c>
      <c r="BS103" s="1049">
        <f t="shared" si="106"/>
        <v>-5</v>
      </c>
      <c r="BT103" s="1675">
        <v>120077.37256239157</v>
      </c>
      <c r="BU103" s="1115">
        <v>207972.11743760842</v>
      </c>
      <c r="BV103" s="1115">
        <v>60174.75</v>
      </c>
      <c r="BW103" s="1115">
        <v>-0.01</v>
      </c>
      <c r="BX103" s="1676">
        <v>0</v>
      </c>
      <c r="BY103" s="1049">
        <f t="shared" si="107"/>
        <v>388224.23</v>
      </c>
      <c r="BZ103" s="1675">
        <v>966.58</v>
      </c>
      <c r="CA103" s="1115">
        <v>0</v>
      </c>
      <c r="CB103" s="1115">
        <v>1437.85</v>
      </c>
      <c r="CC103" s="1115">
        <v>0</v>
      </c>
      <c r="CD103" s="1676">
        <v>0</v>
      </c>
      <c r="CE103" s="1049">
        <f t="shared" si="108"/>
        <v>2404.4299999999998</v>
      </c>
      <c r="CF103" s="1677"/>
      <c r="CG103" s="1045"/>
      <c r="CH103" s="1045"/>
      <c r="CI103" s="1045"/>
      <c r="CJ103" s="1045"/>
      <c r="CK103" s="1046">
        <f t="shared" si="109"/>
        <v>0</v>
      </c>
      <c r="CL103" s="1675"/>
      <c r="CM103" s="1115"/>
      <c r="CN103" s="1115"/>
      <c r="CO103" s="1115"/>
      <c r="CP103" s="1676"/>
      <c r="CQ103" s="1049">
        <f t="shared" si="110"/>
        <v>0</v>
      </c>
      <c r="CR103" s="1675"/>
      <c r="CS103" s="1115"/>
      <c r="CT103" s="1115"/>
      <c r="CU103" s="1115"/>
      <c r="CV103" s="1676"/>
      <c r="CW103" s="1046">
        <f t="shared" si="111"/>
        <v>0</v>
      </c>
      <c r="CX103" s="1675"/>
      <c r="CY103" s="1115"/>
      <c r="CZ103" s="1115"/>
      <c r="DA103" s="1115"/>
      <c r="DB103" s="1676"/>
      <c r="DC103" s="1049">
        <f t="shared" si="112"/>
        <v>0</v>
      </c>
      <c r="DD103" s="1675">
        <v>-131</v>
      </c>
      <c r="DE103" s="1115">
        <v>0</v>
      </c>
      <c r="DF103" s="1115">
        <v>0</v>
      </c>
      <c r="DG103" s="1115">
        <v>0</v>
      </c>
      <c r="DH103" s="1115">
        <v>0</v>
      </c>
      <c r="DI103" s="1114">
        <f t="shared" si="113"/>
        <v>-131</v>
      </c>
      <c r="DJ103" s="1115"/>
      <c r="DK103" s="1115"/>
      <c r="DL103" s="1115"/>
      <c r="DM103" s="1115"/>
      <c r="DN103" s="1115"/>
      <c r="DO103" s="1115">
        <f t="shared" si="114"/>
        <v>0</v>
      </c>
      <c r="DP103" s="1675">
        <v>3025</v>
      </c>
      <c r="DQ103" s="1115">
        <v>2087.25</v>
      </c>
      <c r="DR103" s="1115">
        <v>937.75</v>
      </c>
      <c r="DS103" s="1115">
        <v>0</v>
      </c>
      <c r="DT103" s="1676">
        <v>0</v>
      </c>
      <c r="DU103" s="1050">
        <f t="shared" si="115"/>
        <v>6050</v>
      </c>
      <c r="DV103" s="1675">
        <v>13106.79</v>
      </c>
      <c r="DW103" s="1115">
        <v>0</v>
      </c>
      <c r="DX103" s="1115">
        <v>2404.1999999999998</v>
      </c>
      <c r="DY103" s="1115">
        <v>0.04</v>
      </c>
      <c r="DZ103" s="1676">
        <v>0</v>
      </c>
      <c r="EA103" s="1049">
        <f t="shared" si="116"/>
        <v>15511.030000000002</v>
      </c>
    </row>
    <row r="104" spans="1:131" ht="15" customHeight="1" x14ac:dyDescent="0.25">
      <c r="A104" s="716" t="s">
        <v>66</v>
      </c>
      <c r="B104" s="810" t="s">
        <v>67</v>
      </c>
      <c r="C104" s="911" t="s">
        <v>265</v>
      </c>
      <c r="D104" s="808">
        <f t="shared" si="89"/>
        <v>111043.35533792133</v>
      </c>
      <c r="E104" s="808">
        <f t="shared" si="90"/>
        <v>44463.414662078671</v>
      </c>
      <c r="F104" s="808">
        <f t="shared" si="91"/>
        <v>32895.86</v>
      </c>
      <c r="G104" s="808">
        <f t="shared" si="92"/>
        <v>-0.30999999999999994</v>
      </c>
      <c r="H104" s="808">
        <f t="shared" si="93"/>
        <v>0</v>
      </c>
      <c r="I104" s="1391">
        <f t="shared" si="94"/>
        <v>188402.32</v>
      </c>
      <c r="J104" s="809">
        <f t="shared" si="95"/>
        <v>-0.30999999999999994</v>
      </c>
      <c r="K104" s="1392">
        <f t="shared" si="96"/>
        <v>32895.550000000003</v>
      </c>
      <c r="L104" s="1656"/>
      <c r="M104" s="1035"/>
      <c r="N104" s="1035"/>
      <c r="O104" s="1035"/>
      <c r="P104" s="1035"/>
      <c r="Q104" s="1036">
        <f t="shared" si="97"/>
        <v>0</v>
      </c>
      <c r="R104" s="1650"/>
      <c r="S104" s="1040"/>
      <c r="T104" s="1040"/>
      <c r="U104" s="1040"/>
      <c r="V104" s="1651"/>
      <c r="W104" s="1039">
        <f t="shared" si="98"/>
        <v>0</v>
      </c>
      <c r="X104" s="1664">
        <v>5629.06</v>
      </c>
      <c r="Y104" s="1665">
        <v>33.5</v>
      </c>
      <c r="Z104" s="1665">
        <v>1038.71</v>
      </c>
      <c r="AA104" s="1665">
        <v>0.02</v>
      </c>
      <c r="AB104" s="1666">
        <v>0</v>
      </c>
      <c r="AC104" s="1037">
        <f t="shared" si="99"/>
        <v>6701.2900000000009</v>
      </c>
      <c r="AD104" s="1675">
        <v>46749.46</v>
      </c>
      <c r="AE104" s="1115">
        <v>0</v>
      </c>
      <c r="AF104" s="1115">
        <v>11687.35</v>
      </c>
      <c r="AG104" s="1115">
        <v>0</v>
      </c>
      <c r="AH104" s="1676">
        <v>0</v>
      </c>
      <c r="AI104" s="1049">
        <f t="shared" si="100"/>
        <v>58436.81</v>
      </c>
      <c r="AJ104" s="1664">
        <v>6614.11</v>
      </c>
      <c r="AK104" s="1665">
        <v>2046.67</v>
      </c>
      <c r="AL104" s="1665">
        <v>1588.66</v>
      </c>
      <c r="AM104" s="1665">
        <v>-0.04</v>
      </c>
      <c r="AN104" s="1666">
        <v>0</v>
      </c>
      <c r="AO104" s="1041">
        <f t="shared" si="101"/>
        <v>10249.399999999998</v>
      </c>
      <c r="AP104" s="1686"/>
      <c r="AQ104" s="1687"/>
      <c r="AR104" s="1687"/>
      <c r="AS104" s="1687"/>
      <c r="AT104" s="1688"/>
      <c r="AU104" s="1043">
        <f t="shared" si="102"/>
        <v>0</v>
      </c>
      <c r="AV104" s="1692">
        <v>9112.65</v>
      </c>
      <c r="AW104" s="1693">
        <v>2278.16</v>
      </c>
      <c r="AX104" s="1693">
        <v>0</v>
      </c>
      <c r="AY104" s="1693">
        <v>0</v>
      </c>
      <c r="AZ104" s="1694">
        <v>0</v>
      </c>
      <c r="BA104" s="1039">
        <f t="shared" si="103"/>
        <v>11390.81</v>
      </c>
      <c r="BB104" s="1675">
        <v>160.38</v>
      </c>
      <c r="BC104" s="1115">
        <v>289.62</v>
      </c>
      <c r="BD104" s="1115">
        <v>0</v>
      </c>
      <c r="BE104" s="1115">
        <v>0</v>
      </c>
      <c r="BF104" s="1676">
        <v>0</v>
      </c>
      <c r="BG104" s="1046">
        <f t="shared" si="104"/>
        <v>450</v>
      </c>
      <c r="BH104" s="1675">
        <v>28015.34</v>
      </c>
      <c r="BI104" s="1115">
        <v>3548.64</v>
      </c>
      <c r="BJ104" s="1115">
        <v>5789.88</v>
      </c>
      <c r="BK104" s="1115">
        <v>-0.15</v>
      </c>
      <c r="BL104" s="1676">
        <v>0</v>
      </c>
      <c r="BM104" s="1046">
        <f t="shared" si="105"/>
        <v>37353.71</v>
      </c>
      <c r="BN104" s="1675"/>
      <c r="BO104" s="1115"/>
      <c r="BP104" s="1115"/>
      <c r="BQ104" s="1115"/>
      <c r="BR104" s="1676"/>
      <c r="BS104" s="1049">
        <f t="shared" si="106"/>
        <v>0</v>
      </c>
      <c r="BT104" s="1675">
        <v>5521.3253379213238</v>
      </c>
      <c r="BU104" s="1115">
        <v>33444.114662078675</v>
      </c>
      <c r="BV104" s="1115">
        <v>7147.54</v>
      </c>
      <c r="BW104" s="1115">
        <v>-0.15</v>
      </c>
      <c r="BX104" s="1676">
        <v>0</v>
      </c>
      <c r="BY104" s="1049">
        <f t="shared" si="107"/>
        <v>46112.83</v>
      </c>
      <c r="BZ104" s="1675">
        <v>2630.73</v>
      </c>
      <c r="CA104" s="1115">
        <v>0</v>
      </c>
      <c r="CB104" s="1115">
        <v>3913.41</v>
      </c>
      <c r="CC104" s="1115">
        <v>0</v>
      </c>
      <c r="CD104" s="1676">
        <v>0</v>
      </c>
      <c r="CE104" s="1049">
        <f t="shared" si="108"/>
        <v>6544.1399999999994</v>
      </c>
      <c r="CF104" s="1677"/>
      <c r="CG104" s="1045"/>
      <c r="CH104" s="1045"/>
      <c r="CI104" s="1045"/>
      <c r="CJ104" s="1045"/>
      <c r="CK104" s="1046">
        <f t="shared" si="109"/>
        <v>0</v>
      </c>
      <c r="CL104" s="1675"/>
      <c r="CM104" s="1115"/>
      <c r="CN104" s="1115"/>
      <c r="CO104" s="1115"/>
      <c r="CP104" s="1676"/>
      <c r="CQ104" s="1049">
        <f t="shared" si="110"/>
        <v>0</v>
      </c>
      <c r="CR104" s="1675"/>
      <c r="CS104" s="1115"/>
      <c r="CT104" s="1115"/>
      <c r="CU104" s="1115"/>
      <c r="CV104" s="1676"/>
      <c r="CW104" s="1046">
        <f t="shared" si="111"/>
        <v>0</v>
      </c>
      <c r="CX104" s="1675"/>
      <c r="CY104" s="1115"/>
      <c r="CZ104" s="1115"/>
      <c r="DA104" s="1115"/>
      <c r="DB104" s="1676"/>
      <c r="DC104" s="1049">
        <f t="shared" si="112"/>
        <v>0</v>
      </c>
      <c r="DD104" s="1675"/>
      <c r="DE104" s="1115"/>
      <c r="DF104" s="1115"/>
      <c r="DG104" s="1115"/>
      <c r="DH104" s="1115"/>
      <c r="DI104" s="1114">
        <f t="shared" si="113"/>
        <v>0</v>
      </c>
      <c r="DJ104" s="1115"/>
      <c r="DK104" s="1115"/>
      <c r="DL104" s="1115"/>
      <c r="DM104" s="1115"/>
      <c r="DN104" s="1115"/>
      <c r="DO104" s="1115">
        <f t="shared" si="114"/>
        <v>0</v>
      </c>
      <c r="DP104" s="1675">
        <v>4090.88</v>
      </c>
      <c r="DQ104" s="1115">
        <v>2822.71</v>
      </c>
      <c r="DR104" s="1115">
        <v>1268.18</v>
      </c>
      <c r="DS104" s="1115">
        <v>-0.02</v>
      </c>
      <c r="DT104" s="1676">
        <v>0</v>
      </c>
      <c r="DU104" s="1050">
        <f t="shared" si="115"/>
        <v>8181.75</v>
      </c>
      <c r="DV104" s="1675">
        <v>2519.42</v>
      </c>
      <c r="DW104" s="1115">
        <v>0</v>
      </c>
      <c r="DX104" s="1115">
        <v>462.13</v>
      </c>
      <c r="DY104" s="1115">
        <v>0.03</v>
      </c>
      <c r="DZ104" s="1676">
        <v>0</v>
      </c>
      <c r="EA104" s="1049">
        <f t="shared" si="116"/>
        <v>2981.5800000000004</v>
      </c>
    </row>
    <row r="105" spans="1:131" ht="15" customHeight="1" x14ac:dyDescent="0.25">
      <c r="A105" s="716" t="s">
        <v>82</v>
      </c>
      <c r="B105" s="810" t="s">
        <v>311</v>
      </c>
      <c r="C105" s="911" t="s">
        <v>264</v>
      </c>
      <c r="D105" s="808">
        <f t="shared" si="89"/>
        <v>17708.255741383517</v>
      </c>
      <c r="E105" s="808">
        <f t="shared" si="90"/>
        <v>22585.944258616484</v>
      </c>
      <c r="F105" s="808">
        <f t="shared" si="91"/>
        <v>7424.5</v>
      </c>
      <c r="G105" s="808">
        <f t="shared" si="92"/>
        <v>-0.09</v>
      </c>
      <c r="H105" s="808">
        <f t="shared" si="93"/>
        <v>0</v>
      </c>
      <c r="I105" s="1391">
        <f t="shared" si="94"/>
        <v>47718.61</v>
      </c>
      <c r="J105" s="809">
        <f t="shared" si="95"/>
        <v>-0.09</v>
      </c>
      <c r="K105" s="1392">
        <f t="shared" si="96"/>
        <v>7424.41</v>
      </c>
      <c r="L105" s="1656"/>
      <c r="M105" s="1035"/>
      <c r="N105" s="1035"/>
      <c r="O105" s="1035"/>
      <c r="P105" s="1035"/>
      <c r="Q105" s="1036">
        <f t="shared" si="97"/>
        <v>0</v>
      </c>
      <c r="R105" s="1650"/>
      <c r="S105" s="1040"/>
      <c r="T105" s="1040"/>
      <c r="U105" s="1040"/>
      <c r="V105" s="1651"/>
      <c r="W105" s="1039">
        <f t="shared" si="98"/>
        <v>0</v>
      </c>
      <c r="X105" s="1664">
        <v>655.21</v>
      </c>
      <c r="Y105" s="1665">
        <v>3.9</v>
      </c>
      <c r="Z105" s="1665">
        <v>120.91</v>
      </c>
      <c r="AA105" s="1665">
        <v>-0.01</v>
      </c>
      <c r="AB105" s="1666">
        <v>0</v>
      </c>
      <c r="AC105" s="1037">
        <f t="shared" si="99"/>
        <v>780.01</v>
      </c>
      <c r="AD105" s="1675">
        <v>821.56</v>
      </c>
      <c r="AE105" s="1115">
        <v>0</v>
      </c>
      <c r="AF105" s="1115">
        <v>205.39</v>
      </c>
      <c r="AG105" s="1115">
        <v>0</v>
      </c>
      <c r="AH105" s="1676">
        <v>0</v>
      </c>
      <c r="AI105" s="1049">
        <f t="shared" si="100"/>
        <v>1026.9499999999998</v>
      </c>
      <c r="AJ105" s="1667"/>
      <c r="AK105" s="1038"/>
      <c r="AL105" s="1038"/>
      <c r="AM105" s="1038"/>
      <c r="AN105" s="1038"/>
      <c r="AO105" s="1041">
        <f t="shared" si="101"/>
        <v>0</v>
      </c>
      <c r="AP105" s="1686"/>
      <c r="AQ105" s="1687"/>
      <c r="AR105" s="1687"/>
      <c r="AS105" s="1687"/>
      <c r="AT105" s="1688"/>
      <c r="AU105" s="1043">
        <f t="shared" si="102"/>
        <v>0</v>
      </c>
      <c r="AV105" s="1692">
        <v>93.53</v>
      </c>
      <c r="AW105" s="1693">
        <v>23.39</v>
      </c>
      <c r="AX105" s="1693">
        <v>0</v>
      </c>
      <c r="AY105" s="1693">
        <v>0</v>
      </c>
      <c r="AZ105" s="1694">
        <v>0</v>
      </c>
      <c r="BA105" s="1039">
        <f t="shared" si="103"/>
        <v>116.92</v>
      </c>
      <c r="BB105" s="1677"/>
      <c r="BC105" s="1045"/>
      <c r="BD105" s="1045"/>
      <c r="BE105" s="1045"/>
      <c r="BF105" s="1045"/>
      <c r="BG105" s="1046">
        <f t="shared" si="104"/>
        <v>0</v>
      </c>
      <c r="BH105" s="1675">
        <v>10843.75</v>
      </c>
      <c r="BI105" s="1115">
        <v>1373.55</v>
      </c>
      <c r="BJ105" s="1115">
        <v>2241.04</v>
      </c>
      <c r="BK105" s="1115">
        <v>-0.03</v>
      </c>
      <c r="BL105" s="1676">
        <v>0</v>
      </c>
      <c r="BM105" s="1046">
        <f t="shared" si="105"/>
        <v>14458.31</v>
      </c>
      <c r="BN105" s="1675"/>
      <c r="BO105" s="1115"/>
      <c r="BP105" s="1115"/>
      <c r="BQ105" s="1115"/>
      <c r="BR105" s="1676"/>
      <c r="BS105" s="1049">
        <f t="shared" si="106"/>
        <v>0</v>
      </c>
      <c r="BT105" s="1675">
        <v>4817.2757413835152</v>
      </c>
      <c r="BU105" s="1115">
        <v>21185.104258616484</v>
      </c>
      <c r="BV105" s="1115">
        <v>4769.6899999999996</v>
      </c>
      <c r="BW105" s="1115">
        <v>-0.08</v>
      </c>
      <c r="BX105" s="1676">
        <v>0</v>
      </c>
      <c r="BY105" s="1049">
        <f t="shared" si="107"/>
        <v>30771.989999999994</v>
      </c>
      <c r="BZ105" s="1677"/>
      <c r="CA105" s="1045"/>
      <c r="CB105" s="1045"/>
      <c r="CC105" s="1045"/>
      <c r="CD105" s="1678"/>
      <c r="CE105" s="1049">
        <f t="shared" si="108"/>
        <v>0</v>
      </c>
      <c r="CF105" s="1677"/>
      <c r="CG105" s="1045"/>
      <c r="CH105" s="1045"/>
      <c r="CI105" s="1045"/>
      <c r="CJ105" s="1045"/>
      <c r="CK105" s="1046">
        <f t="shared" si="109"/>
        <v>0</v>
      </c>
      <c r="CL105" s="1677"/>
      <c r="CM105" s="1045"/>
      <c r="CN105" s="1045"/>
      <c r="CO105" s="1045"/>
      <c r="CP105" s="1678"/>
      <c r="CQ105" s="1049">
        <f t="shared" si="110"/>
        <v>0</v>
      </c>
      <c r="CR105" s="1677"/>
      <c r="CS105" s="1045"/>
      <c r="CT105" s="1045"/>
      <c r="CU105" s="1045"/>
      <c r="CV105" s="1045"/>
      <c r="CW105" s="1046">
        <f t="shared" si="111"/>
        <v>0</v>
      </c>
      <c r="CX105" s="1675"/>
      <c r="CY105" s="1115"/>
      <c r="CZ105" s="1115"/>
      <c r="DA105" s="1115"/>
      <c r="DB105" s="1676"/>
      <c r="DC105" s="1049">
        <f t="shared" si="112"/>
        <v>0</v>
      </c>
      <c r="DD105" s="1675"/>
      <c r="DE105" s="1115"/>
      <c r="DF105" s="1115"/>
      <c r="DG105" s="1115"/>
      <c r="DH105" s="1115"/>
      <c r="DI105" s="1114">
        <f t="shared" si="113"/>
        <v>0</v>
      </c>
      <c r="DJ105" s="1115"/>
      <c r="DK105" s="1115"/>
      <c r="DL105" s="1115"/>
      <c r="DM105" s="1115"/>
      <c r="DN105" s="1115"/>
      <c r="DO105" s="1115">
        <f t="shared" si="114"/>
        <v>0</v>
      </c>
      <c r="DP105" s="1675"/>
      <c r="DQ105" s="1115"/>
      <c r="DR105" s="1115"/>
      <c r="DS105" s="1115"/>
      <c r="DT105" s="1676"/>
      <c r="DU105" s="1050">
        <f t="shared" si="115"/>
        <v>0</v>
      </c>
      <c r="DV105" s="1675">
        <v>476.93</v>
      </c>
      <c r="DW105" s="1115">
        <v>0</v>
      </c>
      <c r="DX105" s="1115">
        <v>87.47</v>
      </c>
      <c r="DY105" s="1115">
        <v>0.03</v>
      </c>
      <c r="DZ105" s="1676">
        <v>0</v>
      </c>
      <c r="EA105" s="1049">
        <f t="shared" si="116"/>
        <v>564.42999999999995</v>
      </c>
    </row>
    <row r="106" spans="1:131" ht="15" customHeight="1" x14ac:dyDescent="0.25">
      <c r="A106" s="716" t="s">
        <v>88</v>
      </c>
      <c r="B106" s="810" t="s">
        <v>89</v>
      </c>
      <c r="C106" s="911" t="s">
        <v>267</v>
      </c>
      <c r="D106" s="808">
        <f t="shared" si="89"/>
        <v>53648.992825006579</v>
      </c>
      <c r="E106" s="808">
        <f t="shared" si="90"/>
        <v>29920.477174993415</v>
      </c>
      <c r="F106" s="808">
        <f t="shared" si="91"/>
        <v>26483.98</v>
      </c>
      <c r="G106" s="808">
        <f t="shared" si="92"/>
        <v>49.110000000000007</v>
      </c>
      <c r="H106" s="808">
        <f t="shared" si="93"/>
        <v>0</v>
      </c>
      <c r="I106" s="1391">
        <f t="shared" si="94"/>
        <v>110102.56</v>
      </c>
      <c r="J106" s="809">
        <f t="shared" si="95"/>
        <v>49.110000000000007</v>
      </c>
      <c r="K106" s="1392">
        <f t="shared" si="96"/>
        <v>26533.09</v>
      </c>
      <c r="L106" s="1657"/>
      <c r="M106" s="1658"/>
      <c r="N106" s="1658"/>
      <c r="O106" s="1658"/>
      <c r="P106" s="1659"/>
      <c r="Q106" s="1036">
        <f t="shared" si="97"/>
        <v>0</v>
      </c>
      <c r="R106" s="1650"/>
      <c r="S106" s="1040"/>
      <c r="T106" s="1040"/>
      <c r="U106" s="1040"/>
      <c r="V106" s="1651"/>
      <c r="W106" s="1039">
        <f t="shared" si="98"/>
        <v>0</v>
      </c>
      <c r="X106" s="1664">
        <v>2782.78</v>
      </c>
      <c r="Y106" s="1665">
        <v>16.57</v>
      </c>
      <c r="Z106" s="1665">
        <v>513.5</v>
      </c>
      <c r="AA106" s="1665">
        <v>-0.03</v>
      </c>
      <c r="AB106" s="1666">
        <v>0</v>
      </c>
      <c r="AC106" s="1037">
        <f t="shared" si="99"/>
        <v>3312.82</v>
      </c>
      <c r="AD106" s="1675">
        <v>9209.2099999999991</v>
      </c>
      <c r="AE106" s="1115">
        <v>0</v>
      </c>
      <c r="AF106" s="1115">
        <v>2302.3200000000002</v>
      </c>
      <c r="AG106" s="1115">
        <v>0</v>
      </c>
      <c r="AH106" s="1676">
        <v>0</v>
      </c>
      <c r="AI106" s="1049">
        <f t="shared" si="100"/>
        <v>11511.529999999999</v>
      </c>
      <c r="AJ106" s="1667"/>
      <c r="AK106" s="1038"/>
      <c r="AL106" s="1038"/>
      <c r="AM106" s="1038"/>
      <c r="AN106" s="1038"/>
      <c r="AO106" s="1041">
        <f t="shared" si="101"/>
        <v>0</v>
      </c>
      <c r="AP106" s="1686">
        <v>1066.4000000000001</v>
      </c>
      <c r="AQ106" s="1687">
        <v>266.60000000000002</v>
      </c>
      <c r="AR106" s="1687">
        <v>0</v>
      </c>
      <c r="AS106" s="1687">
        <v>0</v>
      </c>
      <c r="AT106" s="1688">
        <v>0</v>
      </c>
      <c r="AU106" s="1043">
        <f t="shared" si="102"/>
        <v>1333</v>
      </c>
      <c r="AV106" s="1692">
        <v>1814.83</v>
      </c>
      <c r="AW106" s="1693">
        <v>453.71</v>
      </c>
      <c r="AX106" s="1693">
        <v>0</v>
      </c>
      <c r="AY106" s="1693">
        <v>0</v>
      </c>
      <c r="AZ106" s="1694">
        <v>0</v>
      </c>
      <c r="BA106" s="1039">
        <f t="shared" si="103"/>
        <v>2268.54</v>
      </c>
      <c r="BB106" s="1675">
        <v>74.84</v>
      </c>
      <c r="BC106" s="1115">
        <v>135.16</v>
      </c>
      <c r="BD106" s="1115">
        <v>0</v>
      </c>
      <c r="BE106" s="1115">
        <v>0</v>
      </c>
      <c r="BF106" s="1676">
        <v>0</v>
      </c>
      <c r="BG106" s="1046">
        <f t="shared" si="104"/>
        <v>210</v>
      </c>
      <c r="BH106" s="1675">
        <v>15736.43</v>
      </c>
      <c r="BI106" s="1115">
        <v>1993.29</v>
      </c>
      <c r="BJ106" s="1115">
        <v>3252.21</v>
      </c>
      <c r="BK106" s="1115">
        <v>-7.0000000000000007E-2</v>
      </c>
      <c r="BL106" s="1676">
        <v>0</v>
      </c>
      <c r="BM106" s="1046">
        <f t="shared" si="105"/>
        <v>20981.86</v>
      </c>
      <c r="BN106" s="1675"/>
      <c r="BO106" s="1115"/>
      <c r="BP106" s="1115"/>
      <c r="BQ106" s="1115"/>
      <c r="BR106" s="1676"/>
      <c r="BS106" s="1049">
        <f t="shared" si="106"/>
        <v>0</v>
      </c>
      <c r="BT106" s="1675">
        <v>4939.0928250065881</v>
      </c>
      <c r="BU106" s="1115">
        <v>24082.967174993413</v>
      </c>
      <c r="BV106" s="1115">
        <v>5323.57</v>
      </c>
      <c r="BW106" s="1115">
        <v>-0.05</v>
      </c>
      <c r="BX106" s="1676">
        <v>0</v>
      </c>
      <c r="BY106" s="1049">
        <f t="shared" si="107"/>
        <v>34345.58</v>
      </c>
      <c r="BZ106" s="1675">
        <v>8096.31</v>
      </c>
      <c r="CA106" s="1115">
        <v>0</v>
      </c>
      <c r="CB106" s="1115">
        <v>12043.79</v>
      </c>
      <c r="CC106" s="1115">
        <v>0</v>
      </c>
      <c r="CD106" s="1676">
        <v>0</v>
      </c>
      <c r="CE106" s="1049">
        <f t="shared" si="108"/>
        <v>20140.100000000002</v>
      </c>
      <c r="CF106" s="1675">
        <v>267.70999999999998</v>
      </c>
      <c r="CG106" s="1115">
        <v>0</v>
      </c>
      <c r="CH106" s="1115">
        <v>731.21</v>
      </c>
      <c r="CI106" s="1115">
        <v>0</v>
      </c>
      <c r="CJ106" s="1676">
        <v>0</v>
      </c>
      <c r="CK106" s="1046">
        <f t="shared" si="109"/>
        <v>998.92000000000007</v>
      </c>
      <c r="CL106" s="1675"/>
      <c r="CM106" s="1115"/>
      <c r="CN106" s="1115"/>
      <c r="CO106" s="1115"/>
      <c r="CP106" s="1676"/>
      <c r="CQ106" s="1049">
        <f t="shared" si="110"/>
        <v>0</v>
      </c>
      <c r="CR106" s="1675"/>
      <c r="CS106" s="1115"/>
      <c r="CT106" s="1115"/>
      <c r="CU106" s="1115"/>
      <c r="CV106" s="1676"/>
      <c r="CW106" s="1046">
        <f t="shared" si="111"/>
        <v>0</v>
      </c>
      <c r="CX106" s="1675"/>
      <c r="CY106" s="1115"/>
      <c r="CZ106" s="1115"/>
      <c r="DA106" s="1115"/>
      <c r="DB106" s="1676"/>
      <c r="DC106" s="1049">
        <f t="shared" si="112"/>
        <v>0</v>
      </c>
      <c r="DD106" s="1675"/>
      <c r="DE106" s="1115"/>
      <c r="DF106" s="1115"/>
      <c r="DG106" s="1115"/>
      <c r="DH106" s="1115"/>
      <c r="DI106" s="1114">
        <f t="shared" si="113"/>
        <v>0</v>
      </c>
      <c r="DJ106" s="1115"/>
      <c r="DK106" s="1115"/>
      <c r="DL106" s="1115"/>
      <c r="DM106" s="1115"/>
      <c r="DN106" s="1115"/>
      <c r="DO106" s="1115">
        <f t="shared" si="114"/>
        <v>0</v>
      </c>
      <c r="DP106" s="1675">
        <v>4307.5</v>
      </c>
      <c r="DQ106" s="1115">
        <v>2972.18</v>
      </c>
      <c r="DR106" s="1115">
        <v>1335.33</v>
      </c>
      <c r="DS106" s="1115">
        <v>-0.01</v>
      </c>
      <c r="DT106" s="1676">
        <v>0</v>
      </c>
      <c r="DU106" s="1050">
        <f t="shared" si="115"/>
        <v>8615</v>
      </c>
      <c r="DV106" s="1675">
        <v>5353.89</v>
      </c>
      <c r="DW106" s="1115">
        <v>0</v>
      </c>
      <c r="DX106" s="1115">
        <v>982.05</v>
      </c>
      <c r="DY106" s="1115">
        <v>49.27</v>
      </c>
      <c r="DZ106" s="1676">
        <v>0</v>
      </c>
      <c r="EA106" s="1049">
        <f t="shared" si="116"/>
        <v>6385.2100000000009</v>
      </c>
    </row>
    <row r="107" spans="1:131" ht="15" customHeight="1" x14ac:dyDescent="0.25">
      <c r="A107" s="716" t="s">
        <v>90</v>
      </c>
      <c r="B107" s="810" t="s">
        <v>91</v>
      </c>
      <c r="C107" s="911" t="s">
        <v>268</v>
      </c>
      <c r="D107" s="808">
        <f t="shared" si="89"/>
        <v>26455.963831520283</v>
      </c>
      <c r="E107" s="808">
        <f t="shared" si="90"/>
        <v>9687.1261684797137</v>
      </c>
      <c r="F107" s="808">
        <f t="shared" si="91"/>
        <v>7309.67</v>
      </c>
      <c r="G107" s="808">
        <f t="shared" si="92"/>
        <v>-0.15000000000000002</v>
      </c>
      <c r="H107" s="808">
        <f t="shared" si="93"/>
        <v>0</v>
      </c>
      <c r="I107" s="1391">
        <f t="shared" si="94"/>
        <v>43452.609999999993</v>
      </c>
      <c r="J107" s="809">
        <f t="shared" si="95"/>
        <v>-0.15000000000000002</v>
      </c>
      <c r="K107" s="1392">
        <f t="shared" si="96"/>
        <v>7309.52</v>
      </c>
      <c r="L107" s="1656"/>
      <c r="M107" s="1035"/>
      <c r="N107" s="1035"/>
      <c r="O107" s="1035"/>
      <c r="P107" s="1035"/>
      <c r="Q107" s="1036">
        <f t="shared" si="97"/>
        <v>0</v>
      </c>
      <c r="R107" s="1650"/>
      <c r="S107" s="1040"/>
      <c r="T107" s="1040"/>
      <c r="U107" s="1040"/>
      <c r="V107" s="1651"/>
      <c r="W107" s="1039">
        <f t="shared" si="98"/>
        <v>0</v>
      </c>
      <c r="X107" s="1664">
        <v>168</v>
      </c>
      <c r="Y107" s="1665">
        <v>1</v>
      </c>
      <c r="Z107" s="1665">
        <v>31</v>
      </c>
      <c r="AA107" s="1665">
        <v>0</v>
      </c>
      <c r="AB107" s="1666">
        <v>0</v>
      </c>
      <c r="AC107" s="1037">
        <f t="shared" si="99"/>
        <v>200</v>
      </c>
      <c r="AD107" s="1675">
        <v>9027.25</v>
      </c>
      <c r="AE107" s="1115">
        <v>0</v>
      </c>
      <c r="AF107" s="1115">
        <v>2256.83</v>
      </c>
      <c r="AG107" s="1115">
        <v>0</v>
      </c>
      <c r="AH107" s="1676">
        <v>0</v>
      </c>
      <c r="AI107" s="1049">
        <f t="shared" si="100"/>
        <v>11284.08</v>
      </c>
      <c r="AJ107" s="1667"/>
      <c r="AK107" s="1038"/>
      <c r="AL107" s="1038"/>
      <c r="AM107" s="1038"/>
      <c r="AN107" s="1038"/>
      <c r="AO107" s="1041">
        <f t="shared" si="101"/>
        <v>0</v>
      </c>
      <c r="AP107" s="1689"/>
      <c r="AQ107" s="1042"/>
      <c r="AR107" s="1042"/>
      <c r="AS107" s="1042"/>
      <c r="AT107" s="1042"/>
      <c r="AU107" s="1043">
        <f t="shared" si="102"/>
        <v>0</v>
      </c>
      <c r="AV107" s="1650"/>
      <c r="AW107" s="1040"/>
      <c r="AX107" s="1040"/>
      <c r="AY107" s="1040"/>
      <c r="AZ107" s="1651"/>
      <c r="BA107" s="1039">
        <f t="shared" si="103"/>
        <v>0</v>
      </c>
      <c r="BB107" s="1677"/>
      <c r="BC107" s="1045"/>
      <c r="BD107" s="1045"/>
      <c r="BE107" s="1045"/>
      <c r="BF107" s="1045"/>
      <c r="BG107" s="1046">
        <f t="shared" si="104"/>
        <v>0</v>
      </c>
      <c r="BH107" s="1675">
        <v>10574.8</v>
      </c>
      <c r="BI107" s="1115">
        <v>1339.48</v>
      </c>
      <c r="BJ107" s="1115">
        <v>2185.48</v>
      </c>
      <c r="BK107" s="1115">
        <v>-0.04</v>
      </c>
      <c r="BL107" s="1676">
        <v>0</v>
      </c>
      <c r="BM107" s="1046">
        <f t="shared" si="105"/>
        <v>14099.719999999998</v>
      </c>
      <c r="BN107" s="1675"/>
      <c r="BO107" s="1115"/>
      <c r="BP107" s="1115"/>
      <c r="BQ107" s="1115"/>
      <c r="BR107" s="1676"/>
      <c r="BS107" s="1049">
        <f t="shared" si="106"/>
        <v>0</v>
      </c>
      <c r="BT107" s="1675">
        <v>1262.9538315202849</v>
      </c>
      <c r="BU107" s="1115">
        <v>5525.6961684797152</v>
      </c>
      <c r="BV107" s="1115">
        <v>1245.29</v>
      </c>
      <c r="BW107" s="1115">
        <v>-0.14000000000000001</v>
      </c>
      <c r="BX107" s="1676">
        <v>0</v>
      </c>
      <c r="BY107" s="1049">
        <f t="shared" si="107"/>
        <v>8033.7999999999993</v>
      </c>
      <c r="BZ107" s="1677"/>
      <c r="CA107" s="1045"/>
      <c r="CB107" s="1045"/>
      <c r="CC107" s="1045"/>
      <c r="CD107" s="1678"/>
      <c r="CE107" s="1049">
        <f t="shared" si="108"/>
        <v>0</v>
      </c>
      <c r="CF107" s="1677"/>
      <c r="CG107" s="1045"/>
      <c r="CH107" s="1045"/>
      <c r="CI107" s="1045"/>
      <c r="CJ107" s="1045"/>
      <c r="CK107" s="1046">
        <f t="shared" si="109"/>
        <v>0</v>
      </c>
      <c r="CL107" s="1675"/>
      <c r="CM107" s="1115"/>
      <c r="CN107" s="1115"/>
      <c r="CO107" s="1115"/>
      <c r="CP107" s="1676"/>
      <c r="CQ107" s="1049">
        <f t="shared" si="110"/>
        <v>0</v>
      </c>
      <c r="CR107" s="1675"/>
      <c r="CS107" s="1115"/>
      <c r="CT107" s="1115"/>
      <c r="CU107" s="1115"/>
      <c r="CV107" s="1676"/>
      <c r="CW107" s="1046">
        <f t="shared" si="111"/>
        <v>0</v>
      </c>
      <c r="CX107" s="1675">
        <v>-215</v>
      </c>
      <c r="CY107" s="1115">
        <v>-215</v>
      </c>
      <c r="CZ107" s="1115">
        <v>0</v>
      </c>
      <c r="DA107" s="1115">
        <v>0</v>
      </c>
      <c r="DB107" s="1676">
        <v>0</v>
      </c>
      <c r="DC107" s="1049">
        <f t="shared" si="112"/>
        <v>-430</v>
      </c>
      <c r="DD107" s="1675"/>
      <c r="DE107" s="1115"/>
      <c r="DF107" s="1115"/>
      <c r="DG107" s="1115"/>
      <c r="DH107" s="1115"/>
      <c r="DI107" s="1114">
        <f t="shared" si="113"/>
        <v>0</v>
      </c>
      <c r="DJ107" s="1115"/>
      <c r="DK107" s="1115"/>
      <c r="DL107" s="1115"/>
      <c r="DM107" s="1115"/>
      <c r="DN107" s="1115"/>
      <c r="DO107" s="1115">
        <f t="shared" si="114"/>
        <v>0</v>
      </c>
      <c r="DP107" s="1675">
        <v>4399.93</v>
      </c>
      <c r="DQ107" s="1115">
        <v>3035.95</v>
      </c>
      <c r="DR107" s="1115">
        <v>1363.98</v>
      </c>
      <c r="DS107" s="1115">
        <v>0</v>
      </c>
      <c r="DT107" s="1676">
        <v>0</v>
      </c>
      <c r="DU107" s="1050">
        <f t="shared" si="115"/>
        <v>8799.86</v>
      </c>
      <c r="DV107" s="1675">
        <v>1238.03</v>
      </c>
      <c r="DW107" s="1115">
        <v>0</v>
      </c>
      <c r="DX107" s="1115">
        <v>227.09</v>
      </c>
      <c r="DY107" s="1115">
        <v>0.03</v>
      </c>
      <c r="DZ107" s="1676">
        <v>0</v>
      </c>
      <c r="EA107" s="1049">
        <f t="shared" si="116"/>
        <v>1465.1499999999999</v>
      </c>
    </row>
    <row r="108" spans="1:131" ht="15" customHeight="1" x14ac:dyDescent="0.25">
      <c r="A108" s="716" t="s">
        <v>106</v>
      </c>
      <c r="B108" s="810" t="s">
        <v>107</v>
      </c>
      <c r="C108" s="911" t="s">
        <v>264</v>
      </c>
      <c r="D108" s="808">
        <f t="shared" si="89"/>
        <v>370386.4553963705</v>
      </c>
      <c r="E108" s="808">
        <f t="shared" si="90"/>
        <v>338544.59460362955</v>
      </c>
      <c r="F108" s="808">
        <f t="shared" si="91"/>
        <v>155822.21999999997</v>
      </c>
      <c r="G108" s="808">
        <f t="shared" si="92"/>
        <v>-745.18</v>
      </c>
      <c r="H108" s="808">
        <f t="shared" si="93"/>
        <v>0</v>
      </c>
      <c r="I108" s="1391">
        <f t="shared" si="94"/>
        <v>864008.09</v>
      </c>
      <c r="J108" s="809">
        <f t="shared" si="95"/>
        <v>-745.18</v>
      </c>
      <c r="K108" s="1392">
        <f t="shared" si="96"/>
        <v>155077.03999999998</v>
      </c>
      <c r="L108" s="1656"/>
      <c r="M108" s="1035"/>
      <c r="N108" s="1035"/>
      <c r="O108" s="1035"/>
      <c r="P108" s="1035"/>
      <c r="Q108" s="1036">
        <f t="shared" si="97"/>
        <v>0</v>
      </c>
      <c r="R108" s="1650"/>
      <c r="S108" s="1040"/>
      <c r="T108" s="1040"/>
      <c r="U108" s="1040"/>
      <c r="V108" s="1651"/>
      <c r="W108" s="1039">
        <f t="shared" si="98"/>
        <v>0</v>
      </c>
      <c r="X108" s="1664">
        <v>18114.810000000001</v>
      </c>
      <c r="Y108" s="1665">
        <v>107.82</v>
      </c>
      <c r="Z108" s="1665">
        <v>3342.61</v>
      </c>
      <c r="AA108" s="1665">
        <v>-0.01</v>
      </c>
      <c r="AB108" s="1666">
        <v>0</v>
      </c>
      <c r="AC108" s="1037">
        <f t="shared" si="99"/>
        <v>21565.230000000003</v>
      </c>
      <c r="AD108" s="1675">
        <v>69025.289999999994</v>
      </c>
      <c r="AE108" s="1115">
        <v>0</v>
      </c>
      <c r="AF108" s="1115">
        <v>17256.32</v>
      </c>
      <c r="AG108" s="1115">
        <v>0</v>
      </c>
      <c r="AH108" s="1676">
        <v>0</v>
      </c>
      <c r="AI108" s="1049">
        <f t="shared" si="100"/>
        <v>86281.609999999986</v>
      </c>
      <c r="AJ108" s="1664">
        <v>16834.169999999998</v>
      </c>
      <c r="AK108" s="1665">
        <v>2507.91</v>
      </c>
      <c r="AL108" s="1665">
        <v>3547.94</v>
      </c>
      <c r="AM108" s="1665">
        <v>-0.03</v>
      </c>
      <c r="AN108" s="1666">
        <v>0</v>
      </c>
      <c r="AO108" s="1041">
        <f t="shared" si="101"/>
        <v>22889.989999999998</v>
      </c>
      <c r="AP108" s="1686">
        <v>4143.6099999999997</v>
      </c>
      <c r="AQ108" s="1687">
        <v>1035.9100000000001</v>
      </c>
      <c r="AR108" s="1687">
        <v>0</v>
      </c>
      <c r="AS108" s="1687">
        <v>0</v>
      </c>
      <c r="AT108" s="1688">
        <v>0</v>
      </c>
      <c r="AU108" s="1043">
        <f t="shared" si="102"/>
        <v>5179.5199999999995</v>
      </c>
      <c r="AV108" s="1692">
        <v>4049.08</v>
      </c>
      <c r="AW108" s="1693">
        <v>1012.27</v>
      </c>
      <c r="AX108" s="1693">
        <v>0</v>
      </c>
      <c r="AY108" s="1693">
        <v>0</v>
      </c>
      <c r="AZ108" s="1694">
        <v>0</v>
      </c>
      <c r="BA108" s="1039">
        <f t="shared" si="103"/>
        <v>5061.3500000000004</v>
      </c>
      <c r="BB108" s="1675">
        <v>1192.3499999999999</v>
      </c>
      <c r="BC108" s="1115">
        <v>2153.1799999999998</v>
      </c>
      <c r="BD108" s="1115">
        <v>0</v>
      </c>
      <c r="BE108" s="1115">
        <v>0</v>
      </c>
      <c r="BF108" s="1676">
        <v>0</v>
      </c>
      <c r="BG108" s="1046">
        <f t="shared" si="104"/>
        <v>3345.5299999999997</v>
      </c>
      <c r="BH108" s="1675">
        <v>67388.55</v>
      </c>
      <c r="BI108" s="1115">
        <v>8535.9</v>
      </c>
      <c r="BJ108" s="1115">
        <v>13926.96</v>
      </c>
      <c r="BK108" s="1115">
        <v>-0.06</v>
      </c>
      <c r="BL108" s="1676">
        <v>0</v>
      </c>
      <c r="BM108" s="1046">
        <f t="shared" si="105"/>
        <v>89851.35</v>
      </c>
      <c r="BN108" s="1675">
        <v>-976.5</v>
      </c>
      <c r="BO108" s="1115">
        <v>-976.5</v>
      </c>
      <c r="BP108" s="1115">
        <v>0</v>
      </c>
      <c r="BQ108" s="1115">
        <v>0</v>
      </c>
      <c r="BR108" s="1676">
        <v>0</v>
      </c>
      <c r="BS108" s="1049">
        <f t="shared" si="106"/>
        <v>-1953</v>
      </c>
      <c r="BT108" s="1675">
        <v>147155.51539637044</v>
      </c>
      <c r="BU108" s="1115">
        <v>317741.20460362954</v>
      </c>
      <c r="BV108" s="1115">
        <v>85276.93</v>
      </c>
      <c r="BW108" s="1115">
        <v>-7.0000000000000007E-2</v>
      </c>
      <c r="BX108" s="1676">
        <v>0</v>
      </c>
      <c r="BY108" s="1049">
        <f t="shared" si="107"/>
        <v>550173.57999999996</v>
      </c>
      <c r="BZ108" s="1675">
        <v>17446.38</v>
      </c>
      <c r="CA108" s="1115">
        <v>0</v>
      </c>
      <c r="CB108" s="1115">
        <v>25952.6</v>
      </c>
      <c r="CC108" s="1115">
        <v>0</v>
      </c>
      <c r="CD108" s="1676">
        <v>0</v>
      </c>
      <c r="CE108" s="1049">
        <f t="shared" si="108"/>
        <v>43398.979999999996</v>
      </c>
      <c r="CF108" s="1675">
        <v>212.9</v>
      </c>
      <c r="CG108" s="1115">
        <v>0</v>
      </c>
      <c r="CH108" s="1115">
        <v>581.49</v>
      </c>
      <c r="CI108" s="1115">
        <v>0</v>
      </c>
      <c r="CJ108" s="1676">
        <v>0</v>
      </c>
      <c r="CK108" s="1046">
        <f t="shared" si="109"/>
        <v>794.39</v>
      </c>
      <c r="CL108" s="1675"/>
      <c r="CM108" s="1115"/>
      <c r="CN108" s="1115"/>
      <c r="CO108" s="1115"/>
      <c r="CP108" s="1676"/>
      <c r="CQ108" s="1049">
        <f t="shared" si="110"/>
        <v>0</v>
      </c>
      <c r="CR108" s="1677"/>
      <c r="CS108" s="1045"/>
      <c r="CT108" s="1045"/>
      <c r="CU108" s="1045"/>
      <c r="CV108" s="1045"/>
      <c r="CW108" s="1046">
        <f t="shared" si="111"/>
        <v>0</v>
      </c>
      <c r="CX108" s="1675">
        <v>-70.5</v>
      </c>
      <c r="CY108" s="1115">
        <v>-70.5</v>
      </c>
      <c r="CZ108" s="1115">
        <v>0</v>
      </c>
      <c r="DA108" s="1115">
        <v>0</v>
      </c>
      <c r="DB108" s="1676">
        <v>0</v>
      </c>
      <c r="DC108" s="1049">
        <f t="shared" si="112"/>
        <v>-141</v>
      </c>
      <c r="DD108" s="1675"/>
      <c r="DE108" s="1115"/>
      <c r="DF108" s="1115"/>
      <c r="DG108" s="1115"/>
      <c r="DH108" s="1115"/>
      <c r="DI108" s="1114">
        <f t="shared" si="113"/>
        <v>0</v>
      </c>
      <c r="DJ108" s="1115"/>
      <c r="DK108" s="1115"/>
      <c r="DL108" s="1115"/>
      <c r="DM108" s="1115"/>
      <c r="DN108" s="1115"/>
      <c r="DO108" s="1115">
        <f t="shared" si="114"/>
        <v>0</v>
      </c>
      <c r="DP108" s="1675">
        <v>9416.52</v>
      </c>
      <c r="DQ108" s="1115">
        <v>6497.4</v>
      </c>
      <c r="DR108" s="1115">
        <v>2919.12</v>
      </c>
      <c r="DS108" s="1115">
        <v>0</v>
      </c>
      <c r="DT108" s="1676">
        <v>0</v>
      </c>
      <c r="DU108" s="1050">
        <f t="shared" si="115"/>
        <v>18833.04</v>
      </c>
      <c r="DV108" s="1675">
        <v>16454.28</v>
      </c>
      <c r="DW108" s="1115">
        <v>0</v>
      </c>
      <c r="DX108" s="1115">
        <v>3018.25</v>
      </c>
      <c r="DY108" s="1115">
        <v>-745.01</v>
      </c>
      <c r="DZ108" s="1676">
        <v>0</v>
      </c>
      <c r="EA108" s="1049">
        <f t="shared" si="116"/>
        <v>18727.52</v>
      </c>
    </row>
    <row r="109" spans="1:131" ht="15" customHeight="1" x14ac:dyDescent="0.25">
      <c r="A109" s="716" t="s">
        <v>116</v>
      </c>
      <c r="B109" s="810" t="s">
        <v>117</v>
      </c>
      <c r="C109" s="911" t="s">
        <v>266</v>
      </c>
      <c r="D109" s="808">
        <f t="shared" si="89"/>
        <v>95339.440713088814</v>
      </c>
      <c r="E109" s="808">
        <f t="shared" si="90"/>
        <v>228101.8892869112</v>
      </c>
      <c r="F109" s="808">
        <f t="shared" si="91"/>
        <v>59717.38</v>
      </c>
      <c r="G109" s="808">
        <f t="shared" si="92"/>
        <v>-0.16000000000000003</v>
      </c>
      <c r="H109" s="808">
        <f t="shared" si="93"/>
        <v>0</v>
      </c>
      <c r="I109" s="1391">
        <f t="shared" si="94"/>
        <v>383158.55000000005</v>
      </c>
      <c r="J109" s="809">
        <f t="shared" si="95"/>
        <v>-0.16000000000000003</v>
      </c>
      <c r="K109" s="1392">
        <f t="shared" si="96"/>
        <v>59717.219999999994</v>
      </c>
      <c r="L109" s="1656"/>
      <c r="M109" s="1035"/>
      <c r="N109" s="1035"/>
      <c r="O109" s="1035"/>
      <c r="P109" s="1035"/>
      <c r="Q109" s="1036">
        <f t="shared" si="97"/>
        <v>0</v>
      </c>
      <c r="R109" s="1650"/>
      <c r="S109" s="1040"/>
      <c r="T109" s="1040"/>
      <c r="U109" s="1040"/>
      <c r="V109" s="1651"/>
      <c r="W109" s="1039">
        <f t="shared" si="98"/>
        <v>0</v>
      </c>
      <c r="X109" s="1664">
        <v>9491.8799999999992</v>
      </c>
      <c r="Y109" s="1665">
        <v>56.51</v>
      </c>
      <c r="Z109" s="1665">
        <v>1751.49</v>
      </c>
      <c r="AA109" s="1665">
        <v>0</v>
      </c>
      <c r="AB109" s="1666">
        <v>0</v>
      </c>
      <c r="AC109" s="1037">
        <f t="shared" si="99"/>
        <v>11299.88</v>
      </c>
      <c r="AD109" s="1675">
        <v>24819.87</v>
      </c>
      <c r="AE109" s="1115">
        <v>0</v>
      </c>
      <c r="AF109" s="1115">
        <v>6204.97</v>
      </c>
      <c r="AG109" s="1115">
        <v>0</v>
      </c>
      <c r="AH109" s="1676">
        <v>0</v>
      </c>
      <c r="AI109" s="1049">
        <f t="shared" si="100"/>
        <v>31024.84</v>
      </c>
      <c r="AJ109" s="1667"/>
      <c r="AK109" s="1038"/>
      <c r="AL109" s="1038"/>
      <c r="AM109" s="1038"/>
      <c r="AN109" s="1038"/>
      <c r="AO109" s="1041">
        <f t="shared" si="101"/>
        <v>0</v>
      </c>
      <c r="AP109" s="1689">
        <v>2568.8000000000002</v>
      </c>
      <c r="AQ109" s="1042">
        <v>642.20000000000005</v>
      </c>
      <c r="AR109" s="1042">
        <v>0</v>
      </c>
      <c r="AS109" s="1042">
        <v>0</v>
      </c>
      <c r="AT109" s="1042">
        <v>0</v>
      </c>
      <c r="AU109" s="1043">
        <f t="shared" si="102"/>
        <v>3211</v>
      </c>
      <c r="AV109" s="1692">
        <v>3571.42</v>
      </c>
      <c r="AW109" s="1693">
        <v>892.86</v>
      </c>
      <c r="AX109" s="1693">
        <v>0</v>
      </c>
      <c r="AY109" s="1693">
        <v>0</v>
      </c>
      <c r="AZ109" s="1694">
        <v>0</v>
      </c>
      <c r="BA109" s="1039">
        <f t="shared" si="103"/>
        <v>4464.28</v>
      </c>
      <c r="BB109" s="1677">
        <v>143.41</v>
      </c>
      <c r="BC109" s="1045">
        <v>258.98</v>
      </c>
      <c r="BD109" s="1045">
        <v>0</v>
      </c>
      <c r="BE109" s="1045">
        <v>0</v>
      </c>
      <c r="BF109" s="1045">
        <v>0</v>
      </c>
      <c r="BG109" s="1046">
        <f t="shared" si="104"/>
        <v>402.39</v>
      </c>
      <c r="BH109" s="1675">
        <v>9460.7900000000009</v>
      </c>
      <c r="BI109" s="1115">
        <v>1198.3599999999999</v>
      </c>
      <c r="BJ109" s="1115">
        <v>1955.23</v>
      </c>
      <c r="BK109" s="1115">
        <v>0</v>
      </c>
      <c r="BL109" s="1676">
        <v>0</v>
      </c>
      <c r="BM109" s="1046">
        <f t="shared" si="105"/>
        <v>12614.380000000001</v>
      </c>
      <c r="BN109" s="1675"/>
      <c r="BO109" s="1115"/>
      <c r="BP109" s="1115"/>
      <c r="BQ109" s="1115"/>
      <c r="BR109" s="1676"/>
      <c r="BS109" s="1049">
        <f t="shared" si="106"/>
        <v>0</v>
      </c>
      <c r="BT109" s="1675">
        <v>39082.860713088812</v>
      </c>
      <c r="BU109" s="1115">
        <v>222499.62928691119</v>
      </c>
      <c r="BV109" s="1115">
        <v>47982.59</v>
      </c>
      <c r="BW109" s="1115">
        <v>-0.14000000000000001</v>
      </c>
      <c r="BX109" s="1676">
        <v>0</v>
      </c>
      <c r="BY109" s="1049">
        <f t="shared" si="107"/>
        <v>309564.93999999994</v>
      </c>
      <c r="BZ109" s="1675">
        <v>166.69</v>
      </c>
      <c r="CA109" s="1115">
        <v>0</v>
      </c>
      <c r="CB109" s="1115">
        <v>247.95</v>
      </c>
      <c r="CC109" s="1115">
        <v>0</v>
      </c>
      <c r="CD109" s="1676">
        <v>0</v>
      </c>
      <c r="CE109" s="1049">
        <f t="shared" si="108"/>
        <v>414.64</v>
      </c>
      <c r="CF109" s="1677"/>
      <c r="CG109" s="1045"/>
      <c r="CH109" s="1045"/>
      <c r="CI109" s="1045"/>
      <c r="CJ109" s="1045"/>
      <c r="CK109" s="1046">
        <f t="shared" si="109"/>
        <v>0</v>
      </c>
      <c r="CL109" s="1675"/>
      <c r="CM109" s="1115"/>
      <c r="CN109" s="1115"/>
      <c r="CO109" s="1115"/>
      <c r="CP109" s="1676"/>
      <c r="CQ109" s="1049">
        <f t="shared" si="110"/>
        <v>0</v>
      </c>
      <c r="CR109" s="1677"/>
      <c r="CS109" s="1045"/>
      <c r="CT109" s="1045"/>
      <c r="CU109" s="1045"/>
      <c r="CV109" s="1045"/>
      <c r="CW109" s="1046">
        <f t="shared" si="111"/>
        <v>0</v>
      </c>
      <c r="CX109" s="1675"/>
      <c r="CY109" s="1115"/>
      <c r="CZ109" s="1115"/>
      <c r="DA109" s="1115"/>
      <c r="DB109" s="1676"/>
      <c r="DC109" s="1049">
        <f t="shared" si="112"/>
        <v>0</v>
      </c>
      <c r="DD109" s="1675"/>
      <c r="DE109" s="1115"/>
      <c r="DF109" s="1115"/>
      <c r="DG109" s="1115"/>
      <c r="DH109" s="1115"/>
      <c r="DI109" s="1114">
        <f t="shared" si="113"/>
        <v>0</v>
      </c>
      <c r="DJ109" s="1115"/>
      <c r="DK109" s="1115"/>
      <c r="DL109" s="1115"/>
      <c r="DM109" s="1115"/>
      <c r="DN109" s="1115"/>
      <c r="DO109" s="1115">
        <f t="shared" si="114"/>
        <v>0</v>
      </c>
      <c r="DP109" s="1675">
        <v>3700.5</v>
      </c>
      <c r="DQ109" s="1115">
        <v>2553.35</v>
      </c>
      <c r="DR109" s="1115">
        <v>1147.1600000000001</v>
      </c>
      <c r="DS109" s="1115">
        <v>-0.01</v>
      </c>
      <c r="DT109" s="1676">
        <v>0</v>
      </c>
      <c r="DU109" s="1050">
        <f t="shared" si="115"/>
        <v>7401</v>
      </c>
      <c r="DV109" s="1675">
        <v>2333.2199999999998</v>
      </c>
      <c r="DW109" s="1115">
        <v>0</v>
      </c>
      <c r="DX109" s="1115">
        <v>427.99</v>
      </c>
      <c r="DY109" s="1115">
        <v>-0.01</v>
      </c>
      <c r="DZ109" s="1676">
        <v>0</v>
      </c>
      <c r="EA109" s="1049">
        <f t="shared" si="116"/>
        <v>2761.2</v>
      </c>
    </row>
    <row r="110" spans="1:131" ht="15" customHeight="1" x14ac:dyDescent="0.25">
      <c r="A110" s="716" t="s">
        <v>138</v>
      </c>
      <c r="B110" s="810" t="s">
        <v>139</v>
      </c>
      <c r="C110" s="911" t="s">
        <v>265</v>
      </c>
      <c r="D110" s="808">
        <f t="shared" si="89"/>
        <v>202199.10930220989</v>
      </c>
      <c r="E110" s="808">
        <f t="shared" si="90"/>
        <v>111087.74069779013</v>
      </c>
      <c r="F110" s="808">
        <f t="shared" si="91"/>
        <v>60815.43</v>
      </c>
      <c r="G110" s="808">
        <f t="shared" si="92"/>
        <v>-0.02</v>
      </c>
      <c r="H110" s="808">
        <f t="shared" si="93"/>
        <v>0</v>
      </c>
      <c r="I110" s="1391">
        <f t="shared" si="94"/>
        <v>374102.26</v>
      </c>
      <c r="J110" s="809">
        <f t="shared" si="95"/>
        <v>-0.02</v>
      </c>
      <c r="K110" s="1392">
        <f t="shared" si="96"/>
        <v>60815.41</v>
      </c>
      <c r="L110" s="1656"/>
      <c r="M110" s="1035"/>
      <c r="N110" s="1035"/>
      <c r="O110" s="1035"/>
      <c r="P110" s="1035"/>
      <c r="Q110" s="1036">
        <f t="shared" si="97"/>
        <v>0</v>
      </c>
      <c r="R110" s="1650"/>
      <c r="S110" s="1040"/>
      <c r="T110" s="1040"/>
      <c r="U110" s="1040"/>
      <c r="V110" s="1651"/>
      <c r="W110" s="1039">
        <f t="shared" si="98"/>
        <v>0</v>
      </c>
      <c r="X110" s="1664">
        <v>7276.92</v>
      </c>
      <c r="Y110" s="1665">
        <v>43.31</v>
      </c>
      <c r="Z110" s="1665">
        <v>1342.77</v>
      </c>
      <c r="AA110" s="1665">
        <v>0</v>
      </c>
      <c r="AB110" s="1666">
        <v>0</v>
      </c>
      <c r="AC110" s="1037">
        <f t="shared" si="99"/>
        <v>8663</v>
      </c>
      <c r="AD110" s="1675">
        <v>71016.960000000006</v>
      </c>
      <c r="AE110" s="1115">
        <v>0</v>
      </c>
      <c r="AF110" s="1115">
        <v>17754.23</v>
      </c>
      <c r="AG110" s="1115">
        <v>0</v>
      </c>
      <c r="AH110" s="1676">
        <v>0</v>
      </c>
      <c r="AI110" s="1049">
        <f t="shared" si="100"/>
        <v>88771.19</v>
      </c>
      <c r="AJ110" s="1667"/>
      <c r="AK110" s="1038"/>
      <c r="AL110" s="1038"/>
      <c r="AM110" s="1038"/>
      <c r="AN110" s="1038"/>
      <c r="AO110" s="1041">
        <f t="shared" si="101"/>
        <v>0</v>
      </c>
      <c r="AP110" s="1686">
        <v>11807.3</v>
      </c>
      <c r="AQ110" s="1687">
        <v>2951.82</v>
      </c>
      <c r="AR110" s="1687">
        <v>0</v>
      </c>
      <c r="AS110" s="1687">
        <v>0</v>
      </c>
      <c r="AT110" s="1688">
        <v>0</v>
      </c>
      <c r="AU110" s="1043">
        <f t="shared" si="102"/>
        <v>14759.119999999999</v>
      </c>
      <c r="AV110" s="1692">
        <v>14455.73</v>
      </c>
      <c r="AW110" s="1693">
        <v>3613.94</v>
      </c>
      <c r="AX110" s="1693">
        <v>0</v>
      </c>
      <c r="AY110" s="1693">
        <v>0</v>
      </c>
      <c r="AZ110" s="1694">
        <v>0</v>
      </c>
      <c r="BA110" s="1039">
        <f t="shared" si="103"/>
        <v>18069.669999999998</v>
      </c>
      <c r="BB110" s="1675">
        <v>3385.81</v>
      </c>
      <c r="BC110" s="1115">
        <v>6114.19</v>
      </c>
      <c r="BD110" s="1115">
        <v>0</v>
      </c>
      <c r="BE110" s="1115">
        <v>0</v>
      </c>
      <c r="BF110" s="1676">
        <v>0</v>
      </c>
      <c r="BG110" s="1046">
        <f t="shared" si="104"/>
        <v>9500</v>
      </c>
      <c r="BH110" s="1675">
        <v>54290.26</v>
      </c>
      <c r="BI110" s="1115">
        <v>6876.77</v>
      </c>
      <c r="BJ110" s="1115">
        <v>11219.97</v>
      </c>
      <c r="BK110" s="1115">
        <v>0</v>
      </c>
      <c r="BL110" s="1676">
        <v>0</v>
      </c>
      <c r="BM110" s="1046">
        <f t="shared" si="105"/>
        <v>72387</v>
      </c>
      <c r="BN110" s="1675"/>
      <c r="BO110" s="1115"/>
      <c r="BP110" s="1115"/>
      <c r="BQ110" s="1115"/>
      <c r="BR110" s="1676"/>
      <c r="BS110" s="1049">
        <f t="shared" si="106"/>
        <v>0</v>
      </c>
      <c r="BT110" s="1675">
        <v>13737.489302209869</v>
      </c>
      <c r="BU110" s="1115">
        <v>83210.970697790122</v>
      </c>
      <c r="BV110" s="1115">
        <v>17783.45</v>
      </c>
      <c r="BW110" s="1115">
        <v>-0.03</v>
      </c>
      <c r="BX110" s="1676">
        <v>0</v>
      </c>
      <c r="BY110" s="1049">
        <f t="shared" si="107"/>
        <v>114731.87999999999</v>
      </c>
      <c r="BZ110" s="1675">
        <v>4622.2</v>
      </c>
      <c r="CA110" s="1115">
        <v>0</v>
      </c>
      <c r="CB110" s="1115">
        <v>6875.8</v>
      </c>
      <c r="CC110" s="1115">
        <v>0</v>
      </c>
      <c r="CD110" s="1676">
        <v>0</v>
      </c>
      <c r="CE110" s="1049">
        <f t="shared" si="108"/>
        <v>11498</v>
      </c>
      <c r="CF110" s="1677"/>
      <c r="CG110" s="1045"/>
      <c r="CH110" s="1045"/>
      <c r="CI110" s="1045"/>
      <c r="CJ110" s="1045"/>
      <c r="CK110" s="1046">
        <f t="shared" si="109"/>
        <v>0</v>
      </c>
      <c r="CL110" s="1675"/>
      <c r="CM110" s="1115"/>
      <c r="CN110" s="1115"/>
      <c r="CO110" s="1115"/>
      <c r="CP110" s="1676"/>
      <c r="CQ110" s="1049">
        <f t="shared" si="110"/>
        <v>0</v>
      </c>
      <c r="CR110" s="1675"/>
      <c r="CS110" s="1115"/>
      <c r="CT110" s="1115"/>
      <c r="CU110" s="1115"/>
      <c r="CV110" s="1676"/>
      <c r="CW110" s="1046">
        <f t="shared" si="111"/>
        <v>0</v>
      </c>
      <c r="CX110" s="1675"/>
      <c r="CY110" s="1115"/>
      <c r="CZ110" s="1115"/>
      <c r="DA110" s="1115"/>
      <c r="DB110" s="1676"/>
      <c r="DC110" s="1049">
        <f t="shared" si="112"/>
        <v>0</v>
      </c>
      <c r="DD110" s="1675">
        <v>-1900</v>
      </c>
      <c r="DE110" s="1115">
        <v>0</v>
      </c>
      <c r="DF110" s="1115">
        <v>0</v>
      </c>
      <c r="DG110" s="1115">
        <v>0</v>
      </c>
      <c r="DH110" s="1115">
        <v>0</v>
      </c>
      <c r="DI110" s="1114">
        <f t="shared" si="113"/>
        <v>-1900</v>
      </c>
      <c r="DJ110" s="1115">
        <v>-25</v>
      </c>
      <c r="DK110" s="1115">
        <v>-25</v>
      </c>
      <c r="DL110" s="1115">
        <v>0</v>
      </c>
      <c r="DM110" s="1115">
        <v>0</v>
      </c>
      <c r="DN110" s="1115">
        <v>0</v>
      </c>
      <c r="DO110" s="1115">
        <f t="shared" si="114"/>
        <v>-50</v>
      </c>
      <c r="DP110" s="1677">
        <v>12031.5</v>
      </c>
      <c r="DQ110" s="1045">
        <v>8301.74</v>
      </c>
      <c r="DR110" s="1045">
        <v>3729.77</v>
      </c>
      <c r="DS110" s="1045">
        <v>-0.01</v>
      </c>
      <c r="DT110" s="1045">
        <v>0</v>
      </c>
      <c r="DU110" s="1050">
        <f t="shared" si="115"/>
        <v>24063</v>
      </c>
      <c r="DV110" s="1675">
        <v>11499.94</v>
      </c>
      <c r="DW110" s="1115">
        <v>0</v>
      </c>
      <c r="DX110" s="1115">
        <v>2109.44</v>
      </c>
      <c r="DY110" s="1115">
        <v>0.02</v>
      </c>
      <c r="DZ110" s="1676">
        <v>0</v>
      </c>
      <c r="EA110" s="1049">
        <f t="shared" si="116"/>
        <v>13609.400000000001</v>
      </c>
    </row>
    <row r="111" spans="1:131" ht="15" customHeight="1" x14ac:dyDescent="0.25">
      <c r="A111" s="716" t="s">
        <v>142</v>
      </c>
      <c r="B111" s="810" t="s">
        <v>143</v>
      </c>
      <c r="C111" s="911" t="s">
        <v>267</v>
      </c>
      <c r="D111" s="808">
        <f t="shared" si="89"/>
        <v>31474.939812533987</v>
      </c>
      <c r="E111" s="808">
        <f t="shared" si="90"/>
        <v>38402.040187466009</v>
      </c>
      <c r="F111" s="808">
        <f t="shared" si="91"/>
        <v>12572.060000000001</v>
      </c>
      <c r="G111" s="808">
        <f t="shared" si="92"/>
        <v>-7.0000000000000007E-2</v>
      </c>
      <c r="H111" s="808">
        <f t="shared" si="93"/>
        <v>0</v>
      </c>
      <c r="I111" s="1391">
        <f t="shared" si="94"/>
        <v>82448.969999999987</v>
      </c>
      <c r="J111" s="809">
        <f t="shared" si="95"/>
        <v>-7.0000000000000007E-2</v>
      </c>
      <c r="K111" s="1392">
        <f t="shared" si="96"/>
        <v>12571.990000000002</v>
      </c>
      <c r="L111" s="1656"/>
      <c r="M111" s="1035"/>
      <c r="N111" s="1035"/>
      <c r="O111" s="1035"/>
      <c r="P111" s="1035"/>
      <c r="Q111" s="1036">
        <f t="shared" si="97"/>
        <v>0</v>
      </c>
      <c r="R111" s="1650"/>
      <c r="S111" s="1040"/>
      <c r="T111" s="1040"/>
      <c r="U111" s="1040"/>
      <c r="V111" s="1651"/>
      <c r="W111" s="1039">
        <f t="shared" si="98"/>
        <v>0</v>
      </c>
      <c r="X111" s="1664">
        <v>2091.38</v>
      </c>
      <c r="Y111" s="1665">
        <v>12.45</v>
      </c>
      <c r="Z111" s="1665">
        <v>385.91</v>
      </c>
      <c r="AA111" s="1665">
        <v>-0.01</v>
      </c>
      <c r="AB111" s="1666">
        <v>0</v>
      </c>
      <c r="AC111" s="1037">
        <f t="shared" si="99"/>
        <v>2489.7299999999996</v>
      </c>
      <c r="AD111" s="1675">
        <v>1146.04</v>
      </c>
      <c r="AE111" s="1115">
        <v>0</v>
      </c>
      <c r="AF111" s="1115">
        <v>286.51</v>
      </c>
      <c r="AG111" s="1115">
        <v>0</v>
      </c>
      <c r="AH111" s="1676">
        <v>0</v>
      </c>
      <c r="AI111" s="1049">
        <f t="shared" si="100"/>
        <v>1432.55</v>
      </c>
      <c r="AJ111" s="1667"/>
      <c r="AK111" s="1038"/>
      <c r="AL111" s="1038"/>
      <c r="AM111" s="1038"/>
      <c r="AN111" s="1038"/>
      <c r="AO111" s="1041">
        <f t="shared" si="101"/>
        <v>0</v>
      </c>
      <c r="AP111" s="1689"/>
      <c r="AQ111" s="1042"/>
      <c r="AR111" s="1042"/>
      <c r="AS111" s="1042"/>
      <c r="AT111" s="1042"/>
      <c r="AU111" s="1043">
        <f t="shared" si="102"/>
        <v>0</v>
      </c>
      <c r="AV111" s="1692">
        <v>843.96</v>
      </c>
      <c r="AW111" s="1693">
        <v>210.99</v>
      </c>
      <c r="AX111" s="1693">
        <v>0</v>
      </c>
      <c r="AY111" s="1693">
        <v>0</v>
      </c>
      <c r="AZ111" s="1694">
        <v>0</v>
      </c>
      <c r="BA111" s="1039">
        <f t="shared" si="103"/>
        <v>1054.95</v>
      </c>
      <c r="BB111" s="1677">
        <v>249.48</v>
      </c>
      <c r="BC111" s="1045">
        <v>450.52</v>
      </c>
      <c r="BD111" s="1045">
        <v>0</v>
      </c>
      <c r="BE111" s="1045">
        <v>0</v>
      </c>
      <c r="BF111" s="1045">
        <v>0</v>
      </c>
      <c r="BG111" s="1046">
        <f t="shared" si="104"/>
        <v>700</v>
      </c>
      <c r="BH111" s="1675">
        <v>13210.17</v>
      </c>
      <c r="BI111" s="1115">
        <v>1673.32</v>
      </c>
      <c r="BJ111" s="1115">
        <v>2730.11</v>
      </c>
      <c r="BK111" s="1115">
        <v>-0.06</v>
      </c>
      <c r="BL111" s="1676">
        <v>0</v>
      </c>
      <c r="BM111" s="1046">
        <f t="shared" si="105"/>
        <v>17613.539999999997</v>
      </c>
      <c r="BN111" s="1675"/>
      <c r="BO111" s="1115"/>
      <c r="BP111" s="1115"/>
      <c r="BQ111" s="1115"/>
      <c r="BR111" s="1676"/>
      <c r="BS111" s="1049">
        <f t="shared" si="106"/>
        <v>0</v>
      </c>
      <c r="BT111" s="1675">
        <v>5596.7898125339889</v>
      </c>
      <c r="BU111" s="1115">
        <v>32639.26018746601</v>
      </c>
      <c r="BV111" s="1115">
        <v>7013.75</v>
      </c>
      <c r="BW111" s="1115">
        <v>-0.06</v>
      </c>
      <c r="BX111" s="1676">
        <v>0</v>
      </c>
      <c r="BY111" s="1049">
        <f t="shared" si="107"/>
        <v>45249.740000000005</v>
      </c>
      <c r="BZ111" s="1675"/>
      <c r="CA111" s="1115"/>
      <c r="CB111" s="1115"/>
      <c r="CC111" s="1115"/>
      <c r="CD111" s="1676"/>
      <c r="CE111" s="1049">
        <f t="shared" si="108"/>
        <v>0</v>
      </c>
      <c r="CF111" s="1677"/>
      <c r="CG111" s="1045"/>
      <c r="CH111" s="1045"/>
      <c r="CI111" s="1045"/>
      <c r="CJ111" s="1045"/>
      <c r="CK111" s="1046">
        <f t="shared" si="109"/>
        <v>0</v>
      </c>
      <c r="CL111" s="1675"/>
      <c r="CM111" s="1115"/>
      <c r="CN111" s="1115"/>
      <c r="CO111" s="1115"/>
      <c r="CP111" s="1676"/>
      <c r="CQ111" s="1049">
        <f t="shared" si="110"/>
        <v>0</v>
      </c>
      <c r="CR111" s="1675"/>
      <c r="CS111" s="1115"/>
      <c r="CT111" s="1115"/>
      <c r="CU111" s="1115"/>
      <c r="CV111" s="1676"/>
      <c r="CW111" s="1046">
        <f t="shared" si="111"/>
        <v>0</v>
      </c>
      <c r="CX111" s="1675"/>
      <c r="CY111" s="1115"/>
      <c r="CZ111" s="1115"/>
      <c r="DA111" s="1115"/>
      <c r="DB111" s="1676"/>
      <c r="DC111" s="1049">
        <f t="shared" si="112"/>
        <v>0</v>
      </c>
      <c r="DD111" s="1675"/>
      <c r="DE111" s="1115"/>
      <c r="DF111" s="1115"/>
      <c r="DG111" s="1115"/>
      <c r="DH111" s="1115"/>
      <c r="DI111" s="1114">
        <f t="shared" si="113"/>
        <v>0</v>
      </c>
      <c r="DJ111" s="1115"/>
      <c r="DK111" s="1115"/>
      <c r="DL111" s="1115"/>
      <c r="DM111" s="1115"/>
      <c r="DN111" s="1115"/>
      <c r="DO111" s="1115">
        <f t="shared" si="114"/>
        <v>0</v>
      </c>
      <c r="DP111" s="1675">
        <v>4950</v>
      </c>
      <c r="DQ111" s="1115">
        <v>3415.5</v>
      </c>
      <c r="DR111" s="1115">
        <v>1534.5</v>
      </c>
      <c r="DS111" s="1115">
        <v>0</v>
      </c>
      <c r="DT111" s="1676">
        <v>0</v>
      </c>
      <c r="DU111" s="1050">
        <f t="shared" si="115"/>
        <v>9900</v>
      </c>
      <c r="DV111" s="1675">
        <v>3387.12</v>
      </c>
      <c r="DW111" s="1115">
        <v>0</v>
      </c>
      <c r="DX111" s="1115">
        <v>621.28</v>
      </c>
      <c r="DY111" s="1115">
        <v>0.06</v>
      </c>
      <c r="DZ111" s="1676">
        <v>0</v>
      </c>
      <c r="EA111" s="1049">
        <f t="shared" si="116"/>
        <v>4008.4599999999996</v>
      </c>
    </row>
    <row r="112" spans="1:131" ht="15" customHeight="1" x14ac:dyDescent="0.25">
      <c r="A112" s="716" t="s">
        <v>144</v>
      </c>
      <c r="B112" s="810" t="s">
        <v>145</v>
      </c>
      <c r="C112" s="911" t="s">
        <v>267</v>
      </c>
      <c r="D112" s="808">
        <f t="shared" si="89"/>
        <v>33917.760660492648</v>
      </c>
      <c r="E112" s="808">
        <f t="shared" si="90"/>
        <v>13946.779339507353</v>
      </c>
      <c r="F112" s="808">
        <f t="shared" si="91"/>
        <v>9067</v>
      </c>
      <c r="G112" s="808">
        <f t="shared" si="92"/>
        <v>-0.04</v>
      </c>
      <c r="H112" s="808">
        <f t="shared" si="93"/>
        <v>0</v>
      </c>
      <c r="I112" s="1391">
        <f t="shared" si="94"/>
        <v>56931.5</v>
      </c>
      <c r="J112" s="809">
        <f t="shared" si="95"/>
        <v>-0.04</v>
      </c>
      <c r="K112" s="1392">
        <f t="shared" si="96"/>
        <v>9066.9599999999991</v>
      </c>
      <c r="L112" s="1656"/>
      <c r="M112" s="1035"/>
      <c r="N112" s="1035"/>
      <c r="O112" s="1035"/>
      <c r="P112" s="1035"/>
      <c r="Q112" s="1036">
        <f t="shared" si="97"/>
        <v>0</v>
      </c>
      <c r="R112" s="1650"/>
      <c r="S112" s="1040"/>
      <c r="T112" s="1040"/>
      <c r="U112" s="1040"/>
      <c r="V112" s="1651"/>
      <c r="W112" s="1039">
        <f t="shared" si="98"/>
        <v>0</v>
      </c>
      <c r="X112" s="1664">
        <v>1292.1600000000001</v>
      </c>
      <c r="Y112" s="1665">
        <v>7.7</v>
      </c>
      <c r="Z112" s="1665">
        <v>238.43</v>
      </c>
      <c r="AA112" s="1665">
        <v>-0.01</v>
      </c>
      <c r="AB112" s="1666">
        <v>0</v>
      </c>
      <c r="AC112" s="1037">
        <f t="shared" si="99"/>
        <v>1538.2800000000002</v>
      </c>
      <c r="AD112" s="1675">
        <v>3624</v>
      </c>
      <c r="AE112" s="1115">
        <v>0</v>
      </c>
      <c r="AF112" s="1115">
        <v>906</v>
      </c>
      <c r="AG112" s="1115">
        <v>0</v>
      </c>
      <c r="AH112" s="1676">
        <v>0</v>
      </c>
      <c r="AI112" s="1049">
        <f t="shared" si="100"/>
        <v>4530</v>
      </c>
      <c r="AJ112" s="1667"/>
      <c r="AK112" s="1038"/>
      <c r="AL112" s="1038"/>
      <c r="AM112" s="1038"/>
      <c r="AN112" s="1038"/>
      <c r="AO112" s="1041">
        <f t="shared" si="101"/>
        <v>0</v>
      </c>
      <c r="AP112" s="1689"/>
      <c r="AQ112" s="1042"/>
      <c r="AR112" s="1042"/>
      <c r="AS112" s="1042"/>
      <c r="AT112" s="1042"/>
      <c r="AU112" s="1043">
        <f t="shared" si="102"/>
        <v>0</v>
      </c>
      <c r="AV112" s="1692"/>
      <c r="AW112" s="1693"/>
      <c r="AX112" s="1693"/>
      <c r="AY112" s="1693"/>
      <c r="AZ112" s="1694"/>
      <c r="BA112" s="1039">
        <f t="shared" si="103"/>
        <v>0</v>
      </c>
      <c r="BB112" s="1677"/>
      <c r="BC112" s="1045"/>
      <c r="BD112" s="1045"/>
      <c r="BE112" s="1045"/>
      <c r="BF112" s="1045"/>
      <c r="BG112" s="1046">
        <f t="shared" si="104"/>
        <v>0</v>
      </c>
      <c r="BH112" s="1675">
        <v>10717.27</v>
      </c>
      <c r="BI112" s="1115">
        <v>1357.51</v>
      </c>
      <c r="BJ112" s="1115">
        <v>2214.91</v>
      </c>
      <c r="BK112" s="1115">
        <v>0</v>
      </c>
      <c r="BL112" s="1676">
        <v>0</v>
      </c>
      <c r="BM112" s="1046">
        <f t="shared" si="105"/>
        <v>14289.69</v>
      </c>
      <c r="BN112" s="1675"/>
      <c r="BO112" s="1115"/>
      <c r="BP112" s="1115"/>
      <c r="BQ112" s="1115"/>
      <c r="BR112" s="1676"/>
      <c r="BS112" s="1049">
        <f t="shared" si="106"/>
        <v>0</v>
      </c>
      <c r="BT112" s="1675">
        <v>1813.460660492648</v>
      </c>
      <c r="BU112" s="1115">
        <v>5720.3193395073522</v>
      </c>
      <c r="BV112" s="1115">
        <v>1381.94</v>
      </c>
      <c r="BW112" s="1115">
        <v>-0.02</v>
      </c>
      <c r="BX112" s="1676">
        <v>0</v>
      </c>
      <c r="BY112" s="1049">
        <f t="shared" si="107"/>
        <v>8915.7000000000007</v>
      </c>
      <c r="BZ112" s="1677"/>
      <c r="CA112" s="1045"/>
      <c r="CB112" s="1045"/>
      <c r="CC112" s="1045"/>
      <c r="CD112" s="1678"/>
      <c r="CE112" s="1049">
        <f t="shared" si="108"/>
        <v>0</v>
      </c>
      <c r="CF112" s="1677"/>
      <c r="CG112" s="1045"/>
      <c r="CH112" s="1045"/>
      <c r="CI112" s="1045"/>
      <c r="CJ112" s="1045"/>
      <c r="CK112" s="1046">
        <f t="shared" si="109"/>
        <v>0</v>
      </c>
      <c r="CL112" s="1675"/>
      <c r="CM112" s="1115"/>
      <c r="CN112" s="1115"/>
      <c r="CO112" s="1115"/>
      <c r="CP112" s="1676"/>
      <c r="CQ112" s="1049">
        <f t="shared" si="110"/>
        <v>0</v>
      </c>
      <c r="CR112" s="1675">
        <v>-125</v>
      </c>
      <c r="CS112" s="1115">
        <v>-125</v>
      </c>
      <c r="CT112" s="1115">
        <v>0</v>
      </c>
      <c r="CU112" s="1115">
        <v>0</v>
      </c>
      <c r="CV112" s="1676">
        <v>0</v>
      </c>
      <c r="CW112" s="1046">
        <f t="shared" si="111"/>
        <v>-250</v>
      </c>
      <c r="CX112" s="1675"/>
      <c r="CY112" s="1115"/>
      <c r="CZ112" s="1115"/>
      <c r="DA112" s="1115"/>
      <c r="DB112" s="1676"/>
      <c r="DC112" s="1049">
        <f t="shared" si="112"/>
        <v>0</v>
      </c>
      <c r="DD112" s="1675"/>
      <c r="DE112" s="1115"/>
      <c r="DF112" s="1115"/>
      <c r="DG112" s="1115"/>
      <c r="DH112" s="1115"/>
      <c r="DI112" s="1114">
        <f t="shared" si="113"/>
        <v>0</v>
      </c>
      <c r="DJ112" s="1115"/>
      <c r="DK112" s="1115"/>
      <c r="DL112" s="1115"/>
      <c r="DM112" s="1115"/>
      <c r="DN112" s="1115"/>
      <c r="DO112" s="1115">
        <f t="shared" si="114"/>
        <v>0</v>
      </c>
      <c r="DP112" s="1675">
        <v>10125</v>
      </c>
      <c r="DQ112" s="1115">
        <v>6986.25</v>
      </c>
      <c r="DR112" s="1115">
        <v>3138.75</v>
      </c>
      <c r="DS112" s="1115">
        <v>0</v>
      </c>
      <c r="DT112" s="1676">
        <v>0</v>
      </c>
      <c r="DU112" s="1050">
        <f t="shared" si="115"/>
        <v>20250</v>
      </c>
      <c r="DV112" s="1675">
        <v>6470.87</v>
      </c>
      <c r="DW112" s="1115">
        <v>0</v>
      </c>
      <c r="DX112" s="1115">
        <v>1186.97</v>
      </c>
      <c r="DY112" s="1115">
        <v>-0.01</v>
      </c>
      <c r="DZ112" s="1676">
        <v>0</v>
      </c>
      <c r="EA112" s="1049">
        <f t="shared" si="116"/>
        <v>7657.83</v>
      </c>
    </row>
    <row r="113" spans="1:131" ht="15" customHeight="1" x14ac:dyDescent="0.25">
      <c r="A113" s="716" t="s">
        <v>158</v>
      </c>
      <c r="B113" s="810" t="s">
        <v>159</v>
      </c>
      <c r="C113" s="911" t="s">
        <v>264</v>
      </c>
      <c r="D113" s="808">
        <f t="shared" si="89"/>
        <v>426546.18078183063</v>
      </c>
      <c r="E113" s="808">
        <f t="shared" si="90"/>
        <v>512249.01921816933</v>
      </c>
      <c r="F113" s="808">
        <f t="shared" si="91"/>
        <v>194000.40999999997</v>
      </c>
      <c r="G113" s="808">
        <f t="shared" si="92"/>
        <v>-0.30000000000000004</v>
      </c>
      <c r="H113" s="808">
        <f t="shared" si="93"/>
        <v>-14096.45</v>
      </c>
      <c r="I113" s="1391">
        <f t="shared" si="94"/>
        <v>1118698.8599999999</v>
      </c>
      <c r="J113" s="809">
        <f t="shared" si="95"/>
        <v>-14096.75</v>
      </c>
      <c r="K113" s="1392">
        <f t="shared" si="96"/>
        <v>179903.65999999997</v>
      </c>
      <c r="L113" s="1656"/>
      <c r="M113" s="1035"/>
      <c r="N113" s="1035"/>
      <c r="O113" s="1035"/>
      <c r="P113" s="1035"/>
      <c r="Q113" s="1036">
        <f t="shared" si="97"/>
        <v>0</v>
      </c>
      <c r="R113" s="1650"/>
      <c r="S113" s="1040"/>
      <c r="T113" s="1040"/>
      <c r="U113" s="1040"/>
      <c r="V113" s="1651"/>
      <c r="W113" s="1039">
        <f t="shared" si="98"/>
        <v>0</v>
      </c>
      <c r="X113" s="1664">
        <v>23957.96</v>
      </c>
      <c r="Y113" s="1665">
        <v>142.62</v>
      </c>
      <c r="Z113" s="1665">
        <v>4420.84</v>
      </c>
      <c r="AA113" s="1665">
        <v>-0.05</v>
      </c>
      <c r="AB113" s="1666">
        <v>0</v>
      </c>
      <c r="AC113" s="1037">
        <f t="shared" si="99"/>
        <v>28521.37</v>
      </c>
      <c r="AD113" s="1675">
        <v>133765.6</v>
      </c>
      <c r="AE113" s="1115">
        <v>0</v>
      </c>
      <c r="AF113" s="1115">
        <v>33441.4</v>
      </c>
      <c r="AG113" s="1115">
        <v>0</v>
      </c>
      <c r="AH113" s="1676">
        <v>-14096.45</v>
      </c>
      <c r="AI113" s="1049">
        <f t="shared" si="100"/>
        <v>153110.54999999999</v>
      </c>
      <c r="AJ113" s="1664">
        <v>872.45</v>
      </c>
      <c r="AK113" s="1665">
        <v>529.13</v>
      </c>
      <c r="AL113" s="1665">
        <v>257.11</v>
      </c>
      <c r="AM113" s="1665">
        <v>-0.06</v>
      </c>
      <c r="AN113" s="1666">
        <v>0</v>
      </c>
      <c r="AO113" s="1041">
        <f t="shared" si="101"/>
        <v>1658.63</v>
      </c>
      <c r="AP113" s="1686">
        <v>10100.27</v>
      </c>
      <c r="AQ113" s="1687">
        <v>2525.0700000000002</v>
      </c>
      <c r="AR113" s="1687">
        <v>0</v>
      </c>
      <c r="AS113" s="1687">
        <v>0</v>
      </c>
      <c r="AT113" s="1688">
        <v>0</v>
      </c>
      <c r="AU113" s="1043">
        <f t="shared" si="102"/>
        <v>12625.34</v>
      </c>
      <c r="AV113" s="1692">
        <v>5656.98</v>
      </c>
      <c r="AW113" s="1693">
        <v>1414.24</v>
      </c>
      <c r="AX113" s="1693">
        <v>0</v>
      </c>
      <c r="AY113" s="1693">
        <v>0</v>
      </c>
      <c r="AZ113" s="1694">
        <v>0</v>
      </c>
      <c r="BA113" s="1039">
        <f t="shared" si="103"/>
        <v>7071.2199999999993</v>
      </c>
      <c r="BB113" s="1675">
        <v>573.80999999999995</v>
      </c>
      <c r="BC113" s="1115">
        <v>1036.19</v>
      </c>
      <c r="BD113" s="1115">
        <v>0</v>
      </c>
      <c r="BE113" s="1115">
        <v>0</v>
      </c>
      <c r="BF113" s="1676">
        <v>0</v>
      </c>
      <c r="BG113" s="1046">
        <f t="shared" si="104"/>
        <v>1610</v>
      </c>
      <c r="BH113" s="1675">
        <v>21489.75</v>
      </c>
      <c r="BI113" s="1115">
        <v>2722.05</v>
      </c>
      <c r="BJ113" s="1115">
        <v>4441.22</v>
      </c>
      <c r="BK113" s="1115">
        <v>-0.02</v>
      </c>
      <c r="BL113" s="1676">
        <v>0</v>
      </c>
      <c r="BM113" s="1046">
        <f t="shared" si="105"/>
        <v>28653</v>
      </c>
      <c r="BN113" s="1675">
        <v>-3102.74</v>
      </c>
      <c r="BO113" s="1115">
        <v>-3102.74</v>
      </c>
      <c r="BP113" s="1115">
        <v>0</v>
      </c>
      <c r="BQ113" s="1115">
        <v>0</v>
      </c>
      <c r="BR113" s="1676">
        <v>0</v>
      </c>
      <c r="BS113" s="1049">
        <f t="shared" si="106"/>
        <v>-6205.48</v>
      </c>
      <c r="BT113" s="1675">
        <v>185690.51078183064</v>
      </c>
      <c r="BU113" s="1115">
        <v>493893.98921816936</v>
      </c>
      <c r="BV113" s="1115">
        <v>124657.54</v>
      </c>
      <c r="BW113" s="1115">
        <v>-0.17</v>
      </c>
      <c r="BX113" s="1676">
        <v>0</v>
      </c>
      <c r="BY113" s="1049">
        <f t="shared" si="107"/>
        <v>804241.87</v>
      </c>
      <c r="BZ113" s="1675">
        <v>10416.31</v>
      </c>
      <c r="CA113" s="1115">
        <v>0</v>
      </c>
      <c r="CB113" s="1115">
        <v>15494.89</v>
      </c>
      <c r="CC113" s="1115">
        <v>0</v>
      </c>
      <c r="CD113" s="1676">
        <v>0</v>
      </c>
      <c r="CE113" s="1049">
        <f t="shared" si="108"/>
        <v>25911.199999999997</v>
      </c>
      <c r="CF113" s="1677"/>
      <c r="CG113" s="1045"/>
      <c r="CH113" s="1045"/>
      <c r="CI113" s="1045"/>
      <c r="CJ113" s="1045"/>
      <c r="CK113" s="1046">
        <f t="shared" si="109"/>
        <v>0</v>
      </c>
      <c r="CL113" s="1675">
        <v>-455</v>
      </c>
      <c r="CM113" s="1115">
        <v>0</v>
      </c>
      <c r="CN113" s="1115">
        <v>0</v>
      </c>
      <c r="CO113" s="1115">
        <v>0</v>
      </c>
      <c r="CP113" s="1676">
        <v>0</v>
      </c>
      <c r="CQ113" s="1049">
        <f t="shared" si="110"/>
        <v>-455</v>
      </c>
      <c r="CR113" s="1675">
        <v>-3141.58</v>
      </c>
      <c r="CS113" s="1115">
        <v>-3141.58</v>
      </c>
      <c r="CT113" s="1115">
        <v>0</v>
      </c>
      <c r="CU113" s="1115">
        <v>0.02</v>
      </c>
      <c r="CV113" s="1676">
        <v>0</v>
      </c>
      <c r="CW113" s="1046">
        <f t="shared" si="111"/>
        <v>-6283.1399999999994</v>
      </c>
      <c r="CX113" s="1675"/>
      <c r="CY113" s="1115"/>
      <c r="CZ113" s="1115"/>
      <c r="DA113" s="1115"/>
      <c r="DB113" s="1676"/>
      <c r="DC113" s="1049">
        <f t="shared" si="112"/>
        <v>0</v>
      </c>
      <c r="DD113" s="1675">
        <v>-1709</v>
      </c>
      <c r="DE113" s="1115">
        <v>0</v>
      </c>
      <c r="DF113" s="1115">
        <v>0</v>
      </c>
      <c r="DG113" s="1115">
        <v>0</v>
      </c>
      <c r="DH113" s="1115">
        <v>0</v>
      </c>
      <c r="DI113" s="1114">
        <f t="shared" si="113"/>
        <v>-1709</v>
      </c>
      <c r="DJ113" s="1115">
        <v>-1436.83</v>
      </c>
      <c r="DK113" s="1115">
        <v>-1436.83</v>
      </c>
      <c r="DL113" s="1115">
        <v>0</v>
      </c>
      <c r="DM113" s="1115">
        <v>0</v>
      </c>
      <c r="DN113" s="1115">
        <v>0</v>
      </c>
      <c r="DO113" s="1115">
        <f t="shared" si="114"/>
        <v>-2873.66</v>
      </c>
      <c r="DP113" s="1675">
        <v>25604.19</v>
      </c>
      <c r="DQ113" s="1115">
        <v>17666.88</v>
      </c>
      <c r="DR113" s="1115">
        <v>7937.3</v>
      </c>
      <c r="DS113" s="1115">
        <v>-0.02</v>
      </c>
      <c r="DT113" s="1676">
        <v>0</v>
      </c>
      <c r="DU113" s="1050">
        <f t="shared" si="115"/>
        <v>51208.350000000006</v>
      </c>
      <c r="DV113" s="1675">
        <v>18263.5</v>
      </c>
      <c r="DW113" s="1115">
        <v>0</v>
      </c>
      <c r="DX113" s="1115">
        <v>3350.11</v>
      </c>
      <c r="DY113" s="1115">
        <v>0</v>
      </c>
      <c r="DZ113" s="1676">
        <v>0</v>
      </c>
      <c r="EA113" s="1049">
        <f t="shared" si="116"/>
        <v>21613.61</v>
      </c>
    </row>
    <row r="114" spans="1:131" ht="15" customHeight="1" x14ac:dyDescent="0.25">
      <c r="A114" s="716" t="s">
        <v>160</v>
      </c>
      <c r="B114" s="810" t="s">
        <v>161</v>
      </c>
      <c r="C114" s="911" t="s">
        <v>264</v>
      </c>
      <c r="D114" s="808">
        <f t="shared" si="89"/>
        <v>397217.56103970564</v>
      </c>
      <c r="E114" s="808">
        <f t="shared" si="90"/>
        <v>321408.48896029434</v>
      </c>
      <c r="F114" s="808">
        <f t="shared" si="91"/>
        <v>134372.21</v>
      </c>
      <c r="G114" s="808">
        <f t="shared" si="92"/>
        <v>-0.34</v>
      </c>
      <c r="H114" s="808">
        <f t="shared" si="93"/>
        <v>0</v>
      </c>
      <c r="I114" s="1391">
        <f t="shared" si="94"/>
        <v>852997.92</v>
      </c>
      <c r="J114" s="809">
        <f t="shared" si="95"/>
        <v>-0.34</v>
      </c>
      <c r="K114" s="1392">
        <f t="shared" si="96"/>
        <v>134371.87</v>
      </c>
      <c r="L114" s="1656"/>
      <c r="M114" s="1035"/>
      <c r="N114" s="1035"/>
      <c r="O114" s="1035"/>
      <c r="P114" s="1035"/>
      <c r="Q114" s="1036">
        <f t="shared" si="97"/>
        <v>0</v>
      </c>
      <c r="R114" s="1650"/>
      <c r="S114" s="1040"/>
      <c r="T114" s="1040"/>
      <c r="U114" s="1040"/>
      <c r="V114" s="1651"/>
      <c r="W114" s="1039">
        <f t="shared" si="98"/>
        <v>0</v>
      </c>
      <c r="X114" s="1664">
        <v>23030.54</v>
      </c>
      <c r="Y114" s="1665">
        <v>137.09</v>
      </c>
      <c r="Z114" s="1665">
        <v>4249.6899999999996</v>
      </c>
      <c r="AA114" s="1665">
        <v>-0.02</v>
      </c>
      <c r="AB114" s="1666">
        <v>0</v>
      </c>
      <c r="AC114" s="1037">
        <f t="shared" si="99"/>
        <v>27417.3</v>
      </c>
      <c r="AD114" s="1675">
        <v>39116.75</v>
      </c>
      <c r="AE114" s="1115">
        <v>0</v>
      </c>
      <c r="AF114" s="1115">
        <v>9779.19</v>
      </c>
      <c r="AG114" s="1115">
        <v>0</v>
      </c>
      <c r="AH114" s="1676">
        <v>0</v>
      </c>
      <c r="AI114" s="1049">
        <f t="shared" si="100"/>
        <v>48895.94</v>
      </c>
      <c r="AJ114" s="1664">
        <v>60691.68</v>
      </c>
      <c r="AK114" s="1665">
        <v>6068.03</v>
      </c>
      <c r="AL114" s="1665">
        <v>12245.86</v>
      </c>
      <c r="AM114" s="1665">
        <v>-0.05</v>
      </c>
      <c r="AN114" s="1666">
        <v>0</v>
      </c>
      <c r="AO114" s="1041">
        <f t="shared" si="101"/>
        <v>79005.52</v>
      </c>
      <c r="AP114" s="1686">
        <v>5720.71</v>
      </c>
      <c r="AQ114" s="1687">
        <v>1430.17</v>
      </c>
      <c r="AR114" s="1687">
        <v>0</v>
      </c>
      <c r="AS114" s="1687">
        <v>0</v>
      </c>
      <c r="AT114" s="1688">
        <v>0</v>
      </c>
      <c r="AU114" s="1043">
        <f t="shared" si="102"/>
        <v>7150.88</v>
      </c>
      <c r="AV114" s="1692">
        <v>18297.259999999998</v>
      </c>
      <c r="AW114" s="1693">
        <v>4574.3</v>
      </c>
      <c r="AX114" s="1693">
        <v>0</v>
      </c>
      <c r="AY114" s="1693">
        <v>0</v>
      </c>
      <c r="AZ114" s="1694">
        <v>0</v>
      </c>
      <c r="BA114" s="1039">
        <f t="shared" si="103"/>
        <v>22871.559999999998</v>
      </c>
      <c r="BB114" s="1675">
        <v>3437.47</v>
      </c>
      <c r="BC114" s="1115">
        <v>6207.53</v>
      </c>
      <c r="BD114" s="1115">
        <v>0</v>
      </c>
      <c r="BE114" s="1115">
        <v>0</v>
      </c>
      <c r="BF114" s="1676">
        <v>0</v>
      </c>
      <c r="BG114" s="1046">
        <f t="shared" si="104"/>
        <v>9645</v>
      </c>
      <c r="BH114" s="1675">
        <v>137862.06</v>
      </c>
      <c r="BI114" s="1115">
        <v>17462.509999999998</v>
      </c>
      <c r="BJ114" s="1115">
        <v>28491.51</v>
      </c>
      <c r="BK114" s="1115">
        <v>-0.08</v>
      </c>
      <c r="BL114" s="1676">
        <v>0</v>
      </c>
      <c r="BM114" s="1046">
        <f t="shared" si="105"/>
        <v>183816.00000000003</v>
      </c>
      <c r="BN114" s="1675"/>
      <c r="BO114" s="1115"/>
      <c r="BP114" s="1115"/>
      <c r="BQ114" s="1115"/>
      <c r="BR114" s="1676"/>
      <c r="BS114" s="1049">
        <f t="shared" si="106"/>
        <v>0</v>
      </c>
      <c r="BT114" s="1675">
        <v>45072.001039705647</v>
      </c>
      <c r="BU114" s="1115">
        <v>272422.65896029433</v>
      </c>
      <c r="BV114" s="1115">
        <v>58238.73</v>
      </c>
      <c r="BW114" s="1115">
        <v>-0.19</v>
      </c>
      <c r="BX114" s="1676">
        <v>0</v>
      </c>
      <c r="BY114" s="1049">
        <f t="shared" si="107"/>
        <v>375733.19999999995</v>
      </c>
      <c r="BZ114" s="1675">
        <v>5540.5</v>
      </c>
      <c r="CA114" s="1115">
        <v>0</v>
      </c>
      <c r="CB114" s="1115">
        <v>8241.81</v>
      </c>
      <c r="CC114" s="1115">
        <v>0</v>
      </c>
      <c r="CD114" s="1676">
        <v>0</v>
      </c>
      <c r="CE114" s="1049">
        <f t="shared" si="108"/>
        <v>13782.31</v>
      </c>
      <c r="CF114" s="1677"/>
      <c r="CG114" s="1045"/>
      <c r="CH114" s="1045"/>
      <c r="CI114" s="1045"/>
      <c r="CJ114" s="1045"/>
      <c r="CK114" s="1046">
        <f t="shared" si="109"/>
        <v>0</v>
      </c>
      <c r="CL114" s="1675"/>
      <c r="CM114" s="1115"/>
      <c r="CN114" s="1115"/>
      <c r="CO114" s="1115"/>
      <c r="CP114" s="1676"/>
      <c r="CQ114" s="1049">
        <f t="shared" si="110"/>
        <v>0</v>
      </c>
      <c r="CR114" s="1677"/>
      <c r="CS114" s="1045"/>
      <c r="CT114" s="1045"/>
      <c r="CU114" s="1045"/>
      <c r="CV114" s="1045"/>
      <c r="CW114" s="1046">
        <f t="shared" si="111"/>
        <v>0</v>
      </c>
      <c r="CX114" s="1675"/>
      <c r="CY114" s="1115"/>
      <c r="CZ114" s="1115"/>
      <c r="DA114" s="1115"/>
      <c r="DB114" s="1676"/>
      <c r="DC114" s="1049">
        <f t="shared" si="112"/>
        <v>0</v>
      </c>
      <c r="DD114" s="1675"/>
      <c r="DE114" s="1115"/>
      <c r="DF114" s="1115"/>
      <c r="DG114" s="1115"/>
      <c r="DH114" s="1115"/>
      <c r="DI114" s="1114">
        <f t="shared" si="113"/>
        <v>0</v>
      </c>
      <c r="DJ114" s="1115"/>
      <c r="DK114" s="1115"/>
      <c r="DL114" s="1115"/>
      <c r="DM114" s="1115"/>
      <c r="DN114" s="1115"/>
      <c r="DO114" s="1115">
        <f t="shared" si="114"/>
        <v>0</v>
      </c>
      <c r="DP114" s="1675">
        <v>18994.509999999998</v>
      </c>
      <c r="DQ114" s="1115">
        <v>13106.2</v>
      </c>
      <c r="DR114" s="1115">
        <v>5888.29</v>
      </c>
      <c r="DS114" s="1115">
        <v>0</v>
      </c>
      <c r="DT114" s="1676">
        <v>0</v>
      </c>
      <c r="DU114" s="1050">
        <f t="shared" si="115"/>
        <v>37989</v>
      </c>
      <c r="DV114" s="1675">
        <v>39454.080000000002</v>
      </c>
      <c r="DW114" s="1115">
        <v>0</v>
      </c>
      <c r="DX114" s="1115">
        <v>7237.13</v>
      </c>
      <c r="DY114" s="1115">
        <v>0</v>
      </c>
      <c r="DZ114" s="1676">
        <v>0</v>
      </c>
      <c r="EA114" s="1049">
        <f t="shared" si="116"/>
        <v>46691.21</v>
      </c>
    </row>
    <row r="115" spans="1:131" ht="15" customHeight="1" x14ac:dyDescent="0.25">
      <c r="A115" s="716" t="s">
        <v>166</v>
      </c>
      <c r="B115" s="810" t="s">
        <v>167</v>
      </c>
      <c r="C115" s="911" t="s">
        <v>268</v>
      </c>
      <c r="D115" s="808">
        <f t="shared" si="89"/>
        <v>25574.676363697596</v>
      </c>
      <c r="E115" s="808">
        <f t="shared" si="90"/>
        <v>15306.7136363024</v>
      </c>
      <c r="F115" s="808">
        <f t="shared" si="91"/>
        <v>7838.89</v>
      </c>
      <c r="G115" s="808">
        <f t="shared" si="92"/>
        <v>-0.14000000000000001</v>
      </c>
      <c r="H115" s="808">
        <f t="shared" si="93"/>
        <v>0</v>
      </c>
      <c r="I115" s="1391">
        <f t="shared" si="94"/>
        <v>48720.14</v>
      </c>
      <c r="J115" s="809">
        <f t="shared" si="95"/>
        <v>-0.14000000000000001</v>
      </c>
      <c r="K115" s="1392">
        <f t="shared" si="96"/>
        <v>7838.75</v>
      </c>
      <c r="L115" s="1656"/>
      <c r="M115" s="1035"/>
      <c r="N115" s="1035"/>
      <c r="O115" s="1035"/>
      <c r="P115" s="1035"/>
      <c r="Q115" s="1036">
        <f t="shared" si="97"/>
        <v>0</v>
      </c>
      <c r="R115" s="1650"/>
      <c r="S115" s="1040"/>
      <c r="T115" s="1040"/>
      <c r="U115" s="1040"/>
      <c r="V115" s="1651"/>
      <c r="W115" s="1039">
        <f t="shared" si="98"/>
        <v>0</v>
      </c>
      <c r="X115" s="1664">
        <v>912.69</v>
      </c>
      <c r="Y115" s="1665">
        <v>5.42</v>
      </c>
      <c r="Z115" s="1665">
        <v>168.43</v>
      </c>
      <c r="AA115" s="1665">
        <v>0</v>
      </c>
      <c r="AB115" s="1666">
        <v>0</v>
      </c>
      <c r="AC115" s="1037">
        <f t="shared" si="99"/>
        <v>1086.54</v>
      </c>
      <c r="AD115" s="1675">
        <v>3756</v>
      </c>
      <c r="AE115" s="1115">
        <v>0</v>
      </c>
      <c r="AF115" s="1115">
        <v>939</v>
      </c>
      <c r="AG115" s="1115">
        <v>0</v>
      </c>
      <c r="AH115" s="1676">
        <v>0</v>
      </c>
      <c r="AI115" s="1049">
        <f t="shared" si="100"/>
        <v>4695</v>
      </c>
      <c r="AJ115" s="1667"/>
      <c r="AK115" s="1038"/>
      <c r="AL115" s="1038"/>
      <c r="AM115" s="1038"/>
      <c r="AN115" s="1038"/>
      <c r="AO115" s="1041">
        <f t="shared" si="101"/>
        <v>0</v>
      </c>
      <c r="AP115" s="1689"/>
      <c r="AQ115" s="1042"/>
      <c r="AR115" s="1042"/>
      <c r="AS115" s="1042"/>
      <c r="AT115" s="1042"/>
      <c r="AU115" s="1043">
        <f t="shared" si="102"/>
        <v>0</v>
      </c>
      <c r="AV115" s="1650"/>
      <c r="AW115" s="1040"/>
      <c r="AX115" s="1040"/>
      <c r="AY115" s="1040"/>
      <c r="AZ115" s="1651"/>
      <c r="BA115" s="1039">
        <f t="shared" si="103"/>
        <v>0</v>
      </c>
      <c r="BB115" s="1677"/>
      <c r="BC115" s="1045"/>
      <c r="BD115" s="1045"/>
      <c r="BE115" s="1045"/>
      <c r="BF115" s="1045"/>
      <c r="BG115" s="1046">
        <f t="shared" si="104"/>
        <v>0</v>
      </c>
      <c r="BH115" s="1675">
        <v>18633.759999999998</v>
      </c>
      <c r="BI115" s="1115">
        <v>2360.29</v>
      </c>
      <c r="BJ115" s="1115">
        <v>3850.99</v>
      </c>
      <c r="BK115" s="1115">
        <v>-0.04</v>
      </c>
      <c r="BL115" s="1676">
        <v>0</v>
      </c>
      <c r="BM115" s="1046">
        <f t="shared" si="105"/>
        <v>24845</v>
      </c>
      <c r="BN115" s="1675">
        <v>-245</v>
      </c>
      <c r="BO115" s="1115">
        <v>-245</v>
      </c>
      <c r="BP115" s="1115">
        <v>0</v>
      </c>
      <c r="BQ115" s="1115">
        <v>0</v>
      </c>
      <c r="BR115" s="1676">
        <v>0</v>
      </c>
      <c r="BS115" s="1049">
        <f t="shared" si="106"/>
        <v>-490</v>
      </c>
      <c r="BT115" s="1675">
        <v>2487.0563636975994</v>
      </c>
      <c r="BU115" s="1115">
        <v>13186.003636302401</v>
      </c>
      <c r="BV115" s="1115">
        <v>2874.93</v>
      </c>
      <c r="BW115" s="1115">
        <v>-0.09</v>
      </c>
      <c r="BX115" s="1676">
        <v>0</v>
      </c>
      <c r="BY115" s="1049">
        <f t="shared" si="107"/>
        <v>18547.900000000001</v>
      </c>
      <c r="BZ115" s="1677"/>
      <c r="CA115" s="1045"/>
      <c r="CB115" s="1045"/>
      <c r="CC115" s="1045"/>
      <c r="CD115" s="1678"/>
      <c r="CE115" s="1049">
        <f t="shared" si="108"/>
        <v>0</v>
      </c>
      <c r="CF115" s="1677"/>
      <c r="CG115" s="1045"/>
      <c r="CH115" s="1045"/>
      <c r="CI115" s="1045"/>
      <c r="CJ115" s="1045"/>
      <c r="CK115" s="1046">
        <f t="shared" si="109"/>
        <v>0</v>
      </c>
      <c r="CL115" s="1677"/>
      <c r="CM115" s="1045"/>
      <c r="CN115" s="1045"/>
      <c r="CO115" s="1045"/>
      <c r="CP115" s="1678"/>
      <c r="CQ115" s="1049">
        <f t="shared" si="110"/>
        <v>0</v>
      </c>
      <c r="CR115" s="1675"/>
      <c r="CS115" s="1115"/>
      <c r="CT115" s="1115"/>
      <c r="CU115" s="1115"/>
      <c r="CV115" s="1676"/>
      <c r="CW115" s="1046">
        <f t="shared" si="111"/>
        <v>0</v>
      </c>
      <c r="CX115" s="1675"/>
      <c r="CY115" s="1115"/>
      <c r="CZ115" s="1115"/>
      <c r="DA115" s="1115"/>
      <c r="DB115" s="1676"/>
      <c r="DC115" s="1049">
        <f t="shared" si="112"/>
        <v>0</v>
      </c>
      <c r="DD115" s="1675"/>
      <c r="DE115" s="1115"/>
      <c r="DF115" s="1115"/>
      <c r="DG115" s="1115"/>
      <c r="DH115" s="1115"/>
      <c r="DI115" s="1114">
        <f t="shared" si="113"/>
        <v>0</v>
      </c>
      <c r="DJ115" s="1115"/>
      <c r="DK115" s="1115"/>
      <c r="DL115" s="1115"/>
      <c r="DM115" s="1115"/>
      <c r="DN115" s="1115"/>
      <c r="DO115" s="1115">
        <f t="shared" si="114"/>
        <v>0</v>
      </c>
      <c r="DP115" s="1675"/>
      <c r="DQ115" s="1115"/>
      <c r="DR115" s="1115"/>
      <c r="DS115" s="1115"/>
      <c r="DT115" s="1676"/>
      <c r="DU115" s="1050">
        <f t="shared" si="115"/>
        <v>0</v>
      </c>
      <c r="DV115" s="1675">
        <v>30.17</v>
      </c>
      <c r="DW115" s="1115">
        <v>0</v>
      </c>
      <c r="DX115" s="1115">
        <v>5.54</v>
      </c>
      <c r="DY115" s="1115">
        <v>-0.01</v>
      </c>
      <c r="DZ115" s="1676">
        <v>0</v>
      </c>
      <c r="EA115" s="1049">
        <f t="shared" si="116"/>
        <v>35.700000000000003</v>
      </c>
    </row>
    <row r="116" spans="1:131" ht="15" customHeight="1" x14ac:dyDescent="0.25">
      <c r="A116" s="716" t="s">
        <v>176</v>
      </c>
      <c r="B116" s="810" t="s">
        <v>177</v>
      </c>
      <c r="C116" s="911" t="s">
        <v>266</v>
      </c>
      <c r="D116" s="808">
        <f t="shared" si="89"/>
        <v>87130.60223569657</v>
      </c>
      <c r="E116" s="808">
        <f t="shared" si="90"/>
        <v>190504.86776430343</v>
      </c>
      <c r="F116" s="808">
        <f t="shared" si="91"/>
        <v>51507.37</v>
      </c>
      <c r="G116" s="808">
        <f t="shared" si="92"/>
        <v>1667.7</v>
      </c>
      <c r="H116" s="808">
        <f t="shared" si="93"/>
        <v>0</v>
      </c>
      <c r="I116" s="1391">
        <f t="shared" si="94"/>
        <v>330810.53999999998</v>
      </c>
      <c r="J116" s="809">
        <f t="shared" si="95"/>
        <v>1667.7</v>
      </c>
      <c r="K116" s="1392">
        <f t="shared" si="96"/>
        <v>53175.07</v>
      </c>
      <c r="L116" s="1656"/>
      <c r="M116" s="1035"/>
      <c r="N116" s="1035"/>
      <c r="O116" s="1035"/>
      <c r="P116" s="1035"/>
      <c r="Q116" s="1036">
        <f t="shared" si="97"/>
        <v>0</v>
      </c>
      <c r="R116" s="1650"/>
      <c r="S116" s="1040"/>
      <c r="T116" s="1040"/>
      <c r="U116" s="1040"/>
      <c r="V116" s="1651"/>
      <c r="W116" s="1039">
        <f t="shared" si="98"/>
        <v>0</v>
      </c>
      <c r="X116" s="1664">
        <v>4717.08</v>
      </c>
      <c r="Y116" s="1665">
        <v>28.1</v>
      </c>
      <c r="Z116" s="1665">
        <v>870.41</v>
      </c>
      <c r="AA116" s="1665">
        <v>-0.02</v>
      </c>
      <c r="AB116" s="1666">
        <v>0</v>
      </c>
      <c r="AC116" s="1037">
        <f t="shared" si="99"/>
        <v>5615.57</v>
      </c>
      <c r="AD116" s="1675">
        <v>20289.91</v>
      </c>
      <c r="AE116" s="1115">
        <v>0</v>
      </c>
      <c r="AF116" s="1115">
        <v>5072.49</v>
      </c>
      <c r="AG116" s="1115">
        <v>1667.76</v>
      </c>
      <c r="AH116" s="1676">
        <v>0</v>
      </c>
      <c r="AI116" s="1049">
        <f t="shared" si="100"/>
        <v>27030.16</v>
      </c>
      <c r="AJ116" s="1667"/>
      <c r="AK116" s="1038"/>
      <c r="AL116" s="1038"/>
      <c r="AM116" s="1038"/>
      <c r="AN116" s="1038"/>
      <c r="AO116" s="1041">
        <f t="shared" si="101"/>
        <v>0</v>
      </c>
      <c r="AP116" s="1686">
        <v>1128</v>
      </c>
      <c r="AQ116" s="1687">
        <v>282</v>
      </c>
      <c r="AR116" s="1687">
        <v>0</v>
      </c>
      <c r="AS116" s="1687">
        <v>0</v>
      </c>
      <c r="AT116" s="1688">
        <v>0</v>
      </c>
      <c r="AU116" s="1043">
        <f t="shared" si="102"/>
        <v>1410</v>
      </c>
      <c r="AV116" s="1692">
        <v>3983.43</v>
      </c>
      <c r="AW116" s="1693">
        <v>995.86</v>
      </c>
      <c r="AX116" s="1693">
        <v>0</v>
      </c>
      <c r="AY116" s="1693">
        <v>0</v>
      </c>
      <c r="AZ116" s="1694">
        <v>0</v>
      </c>
      <c r="BA116" s="1039">
        <f t="shared" si="103"/>
        <v>4979.29</v>
      </c>
      <c r="BB116" s="1677">
        <v>58.81</v>
      </c>
      <c r="BC116" s="1045">
        <v>106.19</v>
      </c>
      <c r="BD116" s="1045">
        <v>0</v>
      </c>
      <c r="BE116" s="1045">
        <v>0</v>
      </c>
      <c r="BF116" s="1045">
        <v>0</v>
      </c>
      <c r="BG116" s="1046">
        <f t="shared" si="104"/>
        <v>165</v>
      </c>
      <c r="BH116" s="1675">
        <v>15157.8</v>
      </c>
      <c r="BI116" s="1115">
        <v>1919.99</v>
      </c>
      <c r="BJ116" s="1115">
        <v>3132.62</v>
      </c>
      <c r="BK116" s="1115">
        <v>0</v>
      </c>
      <c r="BL116" s="1676">
        <v>0</v>
      </c>
      <c r="BM116" s="1046">
        <f t="shared" si="105"/>
        <v>20210.41</v>
      </c>
      <c r="BN116" s="1675"/>
      <c r="BO116" s="1115"/>
      <c r="BP116" s="1115"/>
      <c r="BQ116" s="1115"/>
      <c r="BR116" s="1676"/>
      <c r="BS116" s="1049">
        <f t="shared" si="106"/>
        <v>0</v>
      </c>
      <c r="BT116" s="1675">
        <v>31623.012235696573</v>
      </c>
      <c r="BU116" s="1115">
        <v>186169.08776430343</v>
      </c>
      <c r="BV116" s="1115">
        <v>39950.06</v>
      </c>
      <c r="BW116" s="1115">
        <v>-0.11</v>
      </c>
      <c r="BX116" s="1676">
        <v>0</v>
      </c>
      <c r="BY116" s="1049">
        <f t="shared" si="107"/>
        <v>257742.05000000002</v>
      </c>
      <c r="BZ116" s="1675">
        <v>24.12</v>
      </c>
      <c r="CA116" s="1115">
        <v>0</v>
      </c>
      <c r="CB116" s="1115">
        <v>35.880000000000003</v>
      </c>
      <c r="CC116" s="1115">
        <v>0</v>
      </c>
      <c r="CD116" s="1676">
        <v>0</v>
      </c>
      <c r="CE116" s="1049">
        <f t="shared" si="108"/>
        <v>60</v>
      </c>
      <c r="CF116" s="1677">
        <v>90.84</v>
      </c>
      <c r="CG116" s="1045">
        <v>0</v>
      </c>
      <c r="CH116" s="1045">
        <v>248.12</v>
      </c>
      <c r="CI116" s="1045">
        <v>0</v>
      </c>
      <c r="CJ116" s="1045">
        <v>0</v>
      </c>
      <c r="CK116" s="1046">
        <f t="shared" si="109"/>
        <v>338.96000000000004</v>
      </c>
      <c r="CL116" s="1675"/>
      <c r="CM116" s="1115"/>
      <c r="CN116" s="1115"/>
      <c r="CO116" s="1115"/>
      <c r="CP116" s="1676"/>
      <c r="CQ116" s="1049">
        <f t="shared" si="110"/>
        <v>0</v>
      </c>
      <c r="CR116" s="1675">
        <v>-460.2</v>
      </c>
      <c r="CS116" s="1115">
        <v>-460.2</v>
      </c>
      <c r="CT116" s="1115">
        <v>0</v>
      </c>
      <c r="CU116" s="1115">
        <v>0</v>
      </c>
      <c r="CV116" s="1676">
        <v>0</v>
      </c>
      <c r="CW116" s="1046">
        <f t="shared" si="111"/>
        <v>-920.4</v>
      </c>
      <c r="CX116" s="1675"/>
      <c r="CY116" s="1115"/>
      <c r="CZ116" s="1115"/>
      <c r="DA116" s="1115"/>
      <c r="DB116" s="1676"/>
      <c r="DC116" s="1049">
        <f t="shared" si="112"/>
        <v>0</v>
      </c>
      <c r="DD116" s="1675"/>
      <c r="DE116" s="1115"/>
      <c r="DF116" s="1115"/>
      <c r="DG116" s="1115"/>
      <c r="DH116" s="1115"/>
      <c r="DI116" s="1114">
        <f t="shared" si="113"/>
        <v>0</v>
      </c>
      <c r="DJ116" s="1115"/>
      <c r="DK116" s="1115"/>
      <c r="DL116" s="1115"/>
      <c r="DM116" s="1115"/>
      <c r="DN116" s="1115"/>
      <c r="DO116" s="1115">
        <f t="shared" si="114"/>
        <v>0</v>
      </c>
      <c r="DP116" s="1675">
        <v>2121.5</v>
      </c>
      <c r="DQ116" s="1115">
        <v>1463.84</v>
      </c>
      <c r="DR116" s="1115">
        <v>657.67</v>
      </c>
      <c r="DS116" s="1115">
        <v>-0.01</v>
      </c>
      <c r="DT116" s="1676">
        <v>0</v>
      </c>
      <c r="DU116" s="1050">
        <f t="shared" si="115"/>
        <v>4243</v>
      </c>
      <c r="DV116" s="1675">
        <v>8396.2999999999993</v>
      </c>
      <c r="DW116" s="1115">
        <v>0</v>
      </c>
      <c r="DX116" s="1115">
        <v>1540.12</v>
      </c>
      <c r="DY116" s="1115">
        <v>0.08</v>
      </c>
      <c r="DZ116" s="1676">
        <v>0</v>
      </c>
      <c r="EA116" s="1049">
        <f t="shared" si="116"/>
        <v>9936.4999999999982</v>
      </c>
    </row>
    <row r="117" spans="1:131" ht="15" customHeight="1" x14ac:dyDescent="0.25">
      <c r="A117" s="716" t="s">
        <v>180</v>
      </c>
      <c r="B117" s="810" t="s">
        <v>181</v>
      </c>
      <c r="C117" s="911" t="s">
        <v>264</v>
      </c>
      <c r="D117" s="808">
        <f t="shared" si="89"/>
        <v>173286.96080107626</v>
      </c>
      <c r="E117" s="808">
        <f t="shared" si="90"/>
        <v>74915.019198923736</v>
      </c>
      <c r="F117" s="808">
        <f t="shared" si="91"/>
        <v>63555.659999999996</v>
      </c>
      <c r="G117" s="808">
        <f t="shared" si="92"/>
        <v>-9.9999999999999992E-2</v>
      </c>
      <c r="H117" s="808">
        <f t="shared" si="93"/>
        <v>0</v>
      </c>
      <c r="I117" s="1391">
        <f t="shared" si="94"/>
        <v>311757.53999999998</v>
      </c>
      <c r="J117" s="809">
        <f t="shared" si="95"/>
        <v>-9.9999999999999992E-2</v>
      </c>
      <c r="K117" s="1392">
        <f t="shared" si="96"/>
        <v>63555.56</v>
      </c>
      <c r="L117" s="1656"/>
      <c r="M117" s="1035"/>
      <c r="N117" s="1035"/>
      <c r="O117" s="1035"/>
      <c r="P117" s="1035"/>
      <c r="Q117" s="1036">
        <f t="shared" si="97"/>
        <v>0</v>
      </c>
      <c r="R117" s="1650"/>
      <c r="S117" s="1040"/>
      <c r="T117" s="1040"/>
      <c r="U117" s="1040"/>
      <c r="V117" s="1651"/>
      <c r="W117" s="1039">
        <f t="shared" si="98"/>
        <v>0</v>
      </c>
      <c r="X117" s="1664">
        <v>13355.18</v>
      </c>
      <c r="Y117" s="1665">
        <v>79.510000000000005</v>
      </c>
      <c r="Z117" s="1665">
        <v>2464.35</v>
      </c>
      <c r="AA117" s="1665">
        <v>-0.01</v>
      </c>
      <c r="AB117" s="1666">
        <v>0</v>
      </c>
      <c r="AC117" s="1037">
        <f t="shared" si="99"/>
        <v>15899.03</v>
      </c>
      <c r="AD117" s="1675">
        <v>39704.83</v>
      </c>
      <c r="AE117" s="1115">
        <v>0</v>
      </c>
      <c r="AF117" s="1115">
        <v>9926.17</v>
      </c>
      <c r="AG117" s="1115">
        <v>0</v>
      </c>
      <c r="AH117" s="1676">
        <v>0</v>
      </c>
      <c r="AI117" s="1049">
        <f t="shared" si="100"/>
        <v>49631</v>
      </c>
      <c r="AJ117" s="1664">
        <v>11600.52</v>
      </c>
      <c r="AK117" s="1665">
        <v>4468.3100000000004</v>
      </c>
      <c r="AL117" s="1665">
        <v>2947.54</v>
      </c>
      <c r="AM117" s="1665">
        <v>-0.05</v>
      </c>
      <c r="AN117" s="1666">
        <v>0</v>
      </c>
      <c r="AO117" s="1041">
        <f t="shared" si="101"/>
        <v>19016.320000000003</v>
      </c>
      <c r="AP117" s="1686">
        <v>1678.86</v>
      </c>
      <c r="AQ117" s="1687">
        <v>419.72</v>
      </c>
      <c r="AR117" s="1687">
        <v>0</v>
      </c>
      <c r="AS117" s="1687">
        <v>0</v>
      </c>
      <c r="AT117" s="1688">
        <v>0</v>
      </c>
      <c r="AU117" s="1043">
        <f t="shared" si="102"/>
        <v>2098.58</v>
      </c>
      <c r="AV117" s="1692">
        <v>1691.26</v>
      </c>
      <c r="AW117" s="1693">
        <v>422.81</v>
      </c>
      <c r="AX117" s="1693">
        <v>0</v>
      </c>
      <c r="AY117" s="1693">
        <v>0</v>
      </c>
      <c r="AZ117" s="1694">
        <v>0</v>
      </c>
      <c r="BA117" s="1039">
        <f t="shared" si="103"/>
        <v>2114.0700000000002</v>
      </c>
      <c r="BB117" s="1675">
        <v>384.9</v>
      </c>
      <c r="BC117" s="1115">
        <v>695.1</v>
      </c>
      <c r="BD117" s="1115">
        <v>0</v>
      </c>
      <c r="BE117" s="1115">
        <v>0</v>
      </c>
      <c r="BF117" s="1676">
        <v>0</v>
      </c>
      <c r="BG117" s="1046">
        <f t="shared" si="104"/>
        <v>1080</v>
      </c>
      <c r="BH117" s="1675">
        <v>62287.46</v>
      </c>
      <c r="BI117" s="1115">
        <v>7889.74</v>
      </c>
      <c r="BJ117" s="1115">
        <v>12872.75</v>
      </c>
      <c r="BK117" s="1115">
        <v>-0.04</v>
      </c>
      <c r="BL117" s="1676">
        <v>0</v>
      </c>
      <c r="BM117" s="1046">
        <f t="shared" si="105"/>
        <v>83049.91</v>
      </c>
      <c r="BN117" s="1675"/>
      <c r="BO117" s="1115"/>
      <c r="BP117" s="1115"/>
      <c r="BQ117" s="1115"/>
      <c r="BR117" s="1676"/>
      <c r="BS117" s="1049">
        <f t="shared" si="106"/>
        <v>0</v>
      </c>
      <c r="BT117" s="1675">
        <v>21850.120801076268</v>
      </c>
      <c r="BU117" s="1115">
        <v>56932.659198923735</v>
      </c>
      <c r="BV117" s="1115">
        <v>14451.28</v>
      </c>
      <c r="BW117" s="1115">
        <v>-0.08</v>
      </c>
      <c r="BX117" s="1676">
        <v>0</v>
      </c>
      <c r="BY117" s="1049">
        <f t="shared" si="107"/>
        <v>93233.98</v>
      </c>
      <c r="BZ117" s="1675">
        <v>6979.38</v>
      </c>
      <c r="CA117" s="1115">
        <v>0</v>
      </c>
      <c r="CB117" s="1115">
        <v>10382.25</v>
      </c>
      <c r="CC117" s="1115">
        <v>0</v>
      </c>
      <c r="CD117" s="1676">
        <v>0</v>
      </c>
      <c r="CE117" s="1049">
        <f t="shared" si="108"/>
        <v>17361.63</v>
      </c>
      <c r="CF117" s="1675">
        <v>2835.98</v>
      </c>
      <c r="CG117" s="1115">
        <v>0</v>
      </c>
      <c r="CH117" s="1115">
        <v>7746.02</v>
      </c>
      <c r="CI117" s="1115">
        <v>0</v>
      </c>
      <c r="CJ117" s="1676">
        <v>0</v>
      </c>
      <c r="CK117" s="1046">
        <f t="shared" si="109"/>
        <v>10582</v>
      </c>
      <c r="CL117" s="1675"/>
      <c r="CM117" s="1115"/>
      <c r="CN117" s="1115"/>
      <c r="CO117" s="1115"/>
      <c r="CP117" s="1676"/>
      <c r="CQ117" s="1049">
        <f t="shared" si="110"/>
        <v>0</v>
      </c>
      <c r="CR117" s="1677"/>
      <c r="CS117" s="1045"/>
      <c r="CT117" s="1045"/>
      <c r="CU117" s="1045"/>
      <c r="CV117" s="1045"/>
      <c r="CW117" s="1046">
        <f t="shared" si="111"/>
        <v>0</v>
      </c>
      <c r="CX117" s="1675"/>
      <c r="CY117" s="1115"/>
      <c r="CZ117" s="1115"/>
      <c r="DA117" s="1115"/>
      <c r="DB117" s="1676"/>
      <c r="DC117" s="1049">
        <f t="shared" si="112"/>
        <v>0</v>
      </c>
      <c r="DD117" s="1675">
        <v>-150</v>
      </c>
      <c r="DE117" s="1115">
        <v>0</v>
      </c>
      <c r="DF117" s="1115">
        <v>0</v>
      </c>
      <c r="DG117" s="1115">
        <v>0</v>
      </c>
      <c r="DH117" s="1115">
        <v>0</v>
      </c>
      <c r="DI117" s="1114">
        <f t="shared" si="113"/>
        <v>-150</v>
      </c>
      <c r="DJ117" s="1115"/>
      <c r="DK117" s="1115"/>
      <c r="DL117" s="1115"/>
      <c r="DM117" s="1115"/>
      <c r="DN117" s="1115"/>
      <c r="DO117" s="1115">
        <f t="shared" si="114"/>
        <v>0</v>
      </c>
      <c r="DP117" s="1675">
        <v>5807.49</v>
      </c>
      <c r="DQ117" s="1115">
        <v>4007.17</v>
      </c>
      <c r="DR117" s="1115">
        <v>1800.31</v>
      </c>
      <c r="DS117" s="1115">
        <v>0</v>
      </c>
      <c r="DT117" s="1676">
        <v>0</v>
      </c>
      <c r="DU117" s="1050">
        <f t="shared" si="115"/>
        <v>11614.97</v>
      </c>
      <c r="DV117" s="1675">
        <v>5260.98</v>
      </c>
      <c r="DW117" s="1115">
        <v>0</v>
      </c>
      <c r="DX117" s="1115">
        <v>964.99</v>
      </c>
      <c r="DY117" s="1115">
        <v>0.08</v>
      </c>
      <c r="DZ117" s="1676">
        <v>0</v>
      </c>
      <c r="EA117" s="1049">
        <f t="shared" si="116"/>
        <v>6226.0499999999993</v>
      </c>
    </row>
    <row r="118" spans="1:131" ht="15" customHeight="1" x14ac:dyDescent="0.25">
      <c r="A118" s="716" t="s">
        <v>192</v>
      </c>
      <c r="B118" s="810" t="s">
        <v>193</v>
      </c>
      <c r="C118" s="911" t="s">
        <v>268</v>
      </c>
      <c r="D118" s="808">
        <f t="shared" si="89"/>
        <v>19600.437849850001</v>
      </c>
      <c r="E118" s="808">
        <f t="shared" si="90"/>
        <v>14583.032150150002</v>
      </c>
      <c r="F118" s="808">
        <f t="shared" si="91"/>
        <v>5186.62</v>
      </c>
      <c r="G118" s="808">
        <f t="shared" si="92"/>
        <v>3191.11</v>
      </c>
      <c r="H118" s="808">
        <f t="shared" si="93"/>
        <v>453.18</v>
      </c>
      <c r="I118" s="1391">
        <f t="shared" si="94"/>
        <v>43014.380000000005</v>
      </c>
      <c r="J118" s="809">
        <f t="shared" si="95"/>
        <v>3644.29</v>
      </c>
      <c r="K118" s="1392">
        <f t="shared" si="96"/>
        <v>8830.91</v>
      </c>
      <c r="L118" s="1656"/>
      <c r="M118" s="1035"/>
      <c r="N118" s="1035"/>
      <c r="O118" s="1035"/>
      <c r="P118" s="1035"/>
      <c r="Q118" s="1036">
        <f t="shared" si="97"/>
        <v>0</v>
      </c>
      <c r="R118" s="1652"/>
      <c r="S118" s="1113"/>
      <c r="T118" s="1113"/>
      <c r="U118" s="1113">
        <v>3191.25</v>
      </c>
      <c r="V118" s="1653"/>
      <c r="W118" s="1039">
        <f t="shared" si="98"/>
        <v>3191.25</v>
      </c>
      <c r="X118" s="1664">
        <v>596.4</v>
      </c>
      <c r="Y118" s="1665">
        <v>3.55</v>
      </c>
      <c r="Z118" s="1665">
        <v>110.05</v>
      </c>
      <c r="AA118" s="1665">
        <v>0</v>
      </c>
      <c r="AB118" s="1666">
        <v>478.48</v>
      </c>
      <c r="AC118" s="1037">
        <f t="shared" si="99"/>
        <v>1188.48</v>
      </c>
      <c r="AD118" s="1675">
        <v>4304.92</v>
      </c>
      <c r="AE118" s="1115">
        <v>0</v>
      </c>
      <c r="AF118" s="1115">
        <v>1076.18</v>
      </c>
      <c r="AG118" s="1115">
        <v>0</v>
      </c>
      <c r="AH118" s="1676">
        <v>0</v>
      </c>
      <c r="AI118" s="1049">
        <f t="shared" si="100"/>
        <v>5381.1</v>
      </c>
      <c r="AJ118" s="1667"/>
      <c r="AK118" s="1038"/>
      <c r="AL118" s="1038"/>
      <c r="AM118" s="1038"/>
      <c r="AN118" s="1038"/>
      <c r="AO118" s="1041">
        <f t="shared" si="101"/>
        <v>0</v>
      </c>
      <c r="AP118" s="1686">
        <v>3068</v>
      </c>
      <c r="AQ118" s="1687">
        <v>767.01</v>
      </c>
      <c r="AR118" s="1687">
        <v>0</v>
      </c>
      <c r="AS118" s="1687">
        <v>0</v>
      </c>
      <c r="AT118" s="1688">
        <v>0</v>
      </c>
      <c r="AU118" s="1043">
        <f t="shared" si="102"/>
        <v>3835.01</v>
      </c>
      <c r="AV118" s="1652">
        <v>2908</v>
      </c>
      <c r="AW118" s="1113">
        <v>727</v>
      </c>
      <c r="AX118" s="1113">
        <v>0</v>
      </c>
      <c r="AY118" s="1113">
        <v>0</v>
      </c>
      <c r="AZ118" s="1653">
        <v>0</v>
      </c>
      <c r="BA118" s="1039">
        <f t="shared" si="103"/>
        <v>3635</v>
      </c>
      <c r="BB118" s="1677"/>
      <c r="BC118" s="1045"/>
      <c r="BD118" s="1045"/>
      <c r="BE118" s="1045"/>
      <c r="BF118" s="1045"/>
      <c r="BG118" s="1046">
        <f t="shared" si="104"/>
        <v>0</v>
      </c>
      <c r="BH118" s="1675"/>
      <c r="BI118" s="1115"/>
      <c r="BJ118" s="1115"/>
      <c r="BK118" s="1115"/>
      <c r="BL118" s="1676"/>
      <c r="BM118" s="1046">
        <f t="shared" si="105"/>
        <v>0</v>
      </c>
      <c r="BN118" s="1675"/>
      <c r="BO118" s="1115"/>
      <c r="BP118" s="1115"/>
      <c r="BQ118" s="1115"/>
      <c r="BR118" s="1676"/>
      <c r="BS118" s="1049">
        <f t="shared" si="106"/>
        <v>0</v>
      </c>
      <c r="BT118" s="1675">
        <v>1996.5778498499985</v>
      </c>
      <c r="BU118" s="1115">
        <v>10239.222150150003</v>
      </c>
      <c r="BV118" s="1115">
        <v>2244.4299999999998</v>
      </c>
      <c r="BW118" s="1115">
        <v>-0.14000000000000001</v>
      </c>
      <c r="BX118" s="1676">
        <v>-25.3</v>
      </c>
      <c r="BY118" s="1049">
        <f t="shared" si="107"/>
        <v>14454.790000000003</v>
      </c>
      <c r="BZ118" s="1677"/>
      <c r="CA118" s="1045"/>
      <c r="CB118" s="1045"/>
      <c r="CC118" s="1045"/>
      <c r="CD118" s="1678"/>
      <c r="CE118" s="1049">
        <f t="shared" si="108"/>
        <v>0</v>
      </c>
      <c r="CF118" s="1677"/>
      <c r="CG118" s="1045"/>
      <c r="CH118" s="1045"/>
      <c r="CI118" s="1045"/>
      <c r="CJ118" s="1045"/>
      <c r="CK118" s="1046">
        <f t="shared" si="109"/>
        <v>0</v>
      </c>
      <c r="CL118" s="1675"/>
      <c r="CM118" s="1115"/>
      <c r="CN118" s="1115"/>
      <c r="CO118" s="1115"/>
      <c r="CP118" s="1676"/>
      <c r="CQ118" s="1049">
        <f t="shared" si="110"/>
        <v>0</v>
      </c>
      <c r="CR118" s="1677"/>
      <c r="CS118" s="1045"/>
      <c r="CT118" s="1045"/>
      <c r="CU118" s="1045"/>
      <c r="CV118" s="1045"/>
      <c r="CW118" s="1046">
        <f t="shared" si="111"/>
        <v>0</v>
      </c>
      <c r="CX118" s="1675"/>
      <c r="CY118" s="1115"/>
      <c r="CZ118" s="1115"/>
      <c r="DA118" s="1115"/>
      <c r="DB118" s="1676"/>
      <c r="DC118" s="1049">
        <f t="shared" si="112"/>
        <v>0</v>
      </c>
      <c r="DD118" s="1675"/>
      <c r="DE118" s="1115"/>
      <c r="DF118" s="1115"/>
      <c r="DG118" s="1115"/>
      <c r="DH118" s="1115"/>
      <c r="DI118" s="1114">
        <f t="shared" si="113"/>
        <v>0</v>
      </c>
      <c r="DJ118" s="1115"/>
      <c r="DK118" s="1115"/>
      <c r="DL118" s="1115"/>
      <c r="DM118" s="1115"/>
      <c r="DN118" s="1115"/>
      <c r="DO118" s="1115">
        <f t="shared" si="114"/>
        <v>0</v>
      </c>
      <c r="DP118" s="1675">
        <v>4125</v>
      </c>
      <c r="DQ118" s="1115">
        <v>2846.25</v>
      </c>
      <c r="DR118" s="1115">
        <v>1278.75</v>
      </c>
      <c r="DS118" s="1115">
        <v>0</v>
      </c>
      <c r="DT118" s="1676">
        <v>0</v>
      </c>
      <c r="DU118" s="1050">
        <f t="shared" si="115"/>
        <v>8250</v>
      </c>
      <c r="DV118" s="1675">
        <v>2601.54</v>
      </c>
      <c r="DW118" s="1115">
        <v>0</v>
      </c>
      <c r="DX118" s="1115">
        <v>477.21</v>
      </c>
      <c r="DY118" s="1115">
        <v>0</v>
      </c>
      <c r="DZ118" s="1676">
        <v>0</v>
      </c>
      <c r="EA118" s="1049">
        <f t="shared" si="116"/>
        <v>3078.75</v>
      </c>
    </row>
    <row r="119" spans="1:131" ht="15" customHeight="1" x14ac:dyDescent="0.25">
      <c r="A119" s="716" t="s">
        <v>196</v>
      </c>
      <c r="B119" s="810" t="s">
        <v>312</v>
      </c>
      <c r="C119" s="911" t="s">
        <v>266</v>
      </c>
      <c r="D119" s="808">
        <f t="shared" si="89"/>
        <v>498752.38440775743</v>
      </c>
      <c r="E119" s="808">
        <f t="shared" si="90"/>
        <v>166409.19559224258</v>
      </c>
      <c r="F119" s="808">
        <f t="shared" si="91"/>
        <v>135255.70000000001</v>
      </c>
      <c r="G119" s="808">
        <f t="shared" si="92"/>
        <v>229.5</v>
      </c>
      <c r="H119" s="808">
        <f t="shared" si="93"/>
        <v>32840.28</v>
      </c>
      <c r="I119" s="1391">
        <f t="shared" si="94"/>
        <v>833487.06</v>
      </c>
      <c r="J119" s="809">
        <f t="shared" si="95"/>
        <v>33069.78</v>
      </c>
      <c r="K119" s="1392">
        <f t="shared" si="96"/>
        <v>168325.48</v>
      </c>
      <c r="L119" s="1656"/>
      <c r="M119" s="1035"/>
      <c r="N119" s="1035"/>
      <c r="O119" s="1035"/>
      <c r="P119" s="1035"/>
      <c r="Q119" s="1036">
        <f t="shared" si="97"/>
        <v>0</v>
      </c>
      <c r="R119" s="1652"/>
      <c r="S119" s="1113"/>
      <c r="T119" s="1113"/>
      <c r="U119" s="1113">
        <v>230</v>
      </c>
      <c r="V119" s="1653"/>
      <c r="W119" s="1039">
        <f t="shared" si="98"/>
        <v>230</v>
      </c>
      <c r="X119" s="1664">
        <v>19034.04</v>
      </c>
      <c r="Y119" s="1665">
        <v>113.3</v>
      </c>
      <c r="Z119" s="1665">
        <v>3512.24</v>
      </c>
      <c r="AA119" s="1665">
        <v>0</v>
      </c>
      <c r="AB119" s="1666">
        <v>0</v>
      </c>
      <c r="AC119" s="1037">
        <f t="shared" si="99"/>
        <v>22659.58</v>
      </c>
      <c r="AD119" s="1675">
        <v>237600.01</v>
      </c>
      <c r="AE119" s="1115">
        <v>0</v>
      </c>
      <c r="AF119" s="1115">
        <v>59399.99</v>
      </c>
      <c r="AG119" s="1115">
        <v>0</v>
      </c>
      <c r="AH119" s="1676">
        <v>24755.78</v>
      </c>
      <c r="AI119" s="1049">
        <f t="shared" si="100"/>
        <v>321755.78000000003</v>
      </c>
      <c r="AJ119" s="1664">
        <v>5462.84</v>
      </c>
      <c r="AK119" s="1665">
        <v>3603.29</v>
      </c>
      <c r="AL119" s="1665">
        <v>1663.02</v>
      </c>
      <c r="AM119" s="1665">
        <v>-0.03</v>
      </c>
      <c r="AN119" s="1666">
        <v>0</v>
      </c>
      <c r="AO119" s="1041">
        <f t="shared" si="101"/>
        <v>10729.12</v>
      </c>
      <c r="AP119" s="1686">
        <v>22513.62</v>
      </c>
      <c r="AQ119" s="1687">
        <v>5628.41</v>
      </c>
      <c r="AR119" s="1687">
        <v>0</v>
      </c>
      <c r="AS119" s="1687">
        <v>0</v>
      </c>
      <c r="AT119" s="1688">
        <v>0</v>
      </c>
      <c r="AU119" s="1043">
        <f t="shared" si="102"/>
        <v>28142.03</v>
      </c>
      <c r="AV119" s="1692">
        <v>27509.64</v>
      </c>
      <c r="AW119" s="1693">
        <v>6877.44</v>
      </c>
      <c r="AX119" s="1693">
        <v>0</v>
      </c>
      <c r="AY119" s="1693">
        <v>0</v>
      </c>
      <c r="AZ119" s="1694">
        <v>0</v>
      </c>
      <c r="BA119" s="1039">
        <f t="shared" si="103"/>
        <v>34387.08</v>
      </c>
      <c r="BB119" s="1675">
        <v>1719.63</v>
      </c>
      <c r="BC119" s="1115">
        <v>3105.37</v>
      </c>
      <c r="BD119" s="1115">
        <v>0</v>
      </c>
      <c r="BE119" s="1115">
        <v>0</v>
      </c>
      <c r="BF119" s="1676">
        <v>0</v>
      </c>
      <c r="BG119" s="1046">
        <f t="shared" si="104"/>
        <v>4825</v>
      </c>
      <c r="BH119" s="1675">
        <v>98926.42</v>
      </c>
      <c r="BI119" s="1115">
        <v>12530.68</v>
      </c>
      <c r="BJ119" s="1115">
        <v>20444.8</v>
      </c>
      <c r="BK119" s="1115">
        <v>-0.05</v>
      </c>
      <c r="BL119" s="1676">
        <v>0</v>
      </c>
      <c r="BM119" s="1046">
        <f t="shared" si="105"/>
        <v>131901.85</v>
      </c>
      <c r="BN119" s="1675"/>
      <c r="BO119" s="1115"/>
      <c r="BP119" s="1115"/>
      <c r="BQ119" s="1115"/>
      <c r="BR119" s="1676"/>
      <c r="BS119" s="1049">
        <f t="shared" si="106"/>
        <v>0</v>
      </c>
      <c r="BT119" s="1675">
        <v>25928.014407757415</v>
      </c>
      <c r="BU119" s="1115">
        <v>114374.89559224258</v>
      </c>
      <c r="BV119" s="1115">
        <v>25736.16</v>
      </c>
      <c r="BW119" s="1115">
        <v>-0.41</v>
      </c>
      <c r="BX119" s="1676">
        <v>0</v>
      </c>
      <c r="BY119" s="1049">
        <f t="shared" si="107"/>
        <v>166038.66</v>
      </c>
      <c r="BZ119" s="1675">
        <v>6488.66</v>
      </c>
      <c r="CA119" s="1115">
        <v>0</v>
      </c>
      <c r="CB119" s="1115">
        <v>9652.2900000000009</v>
      </c>
      <c r="CC119" s="1115">
        <v>0</v>
      </c>
      <c r="CD119" s="1676">
        <v>0</v>
      </c>
      <c r="CE119" s="1049">
        <f t="shared" si="108"/>
        <v>16140.95</v>
      </c>
      <c r="CF119" s="1677"/>
      <c r="CG119" s="1045"/>
      <c r="CH119" s="1045"/>
      <c r="CI119" s="1045"/>
      <c r="CJ119" s="1045"/>
      <c r="CK119" s="1046">
        <f t="shared" si="109"/>
        <v>0</v>
      </c>
      <c r="CL119" s="1675"/>
      <c r="CM119" s="1115"/>
      <c r="CN119" s="1115"/>
      <c r="CO119" s="1115"/>
      <c r="CP119" s="1676"/>
      <c r="CQ119" s="1049">
        <f t="shared" si="110"/>
        <v>0</v>
      </c>
      <c r="CR119" s="1677"/>
      <c r="CS119" s="1045"/>
      <c r="CT119" s="1045"/>
      <c r="CU119" s="1045"/>
      <c r="CV119" s="1045"/>
      <c r="CW119" s="1046">
        <f t="shared" si="111"/>
        <v>0</v>
      </c>
      <c r="CX119" s="1675">
        <v>-3542.94</v>
      </c>
      <c r="CY119" s="1115">
        <v>-3542.94</v>
      </c>
      <c r="CZ119" s="1115">
        <v>0</v>
      </c>
      <c r="DA119" s="1115">
        <v>0</v>
      </c>
      <c r="DB119" s="1676">
        <v>0</v>
      </c>
      <c r="DC119" s="1049">
        <f t="shared" si="112"/>
        <v>-7085.88</v>
      </c>
      <c r="DD119" s="1675">
        <v>-110</v>
      </c>
      <c r="DE119" s="1115">
        <v>0</v>
      </c>
      <c r="DF119" s="1115">
        <v>0</v>
      </c>
      <c r="DG119" s="1115">
        <v>0</v>
      </c>
      <c r="DH119" s="1115">
        <v>0</v>
      </c>
      <c r="DI119" s="1114">
        <f t="shared" si="113"/>
        <v>-110</v>
      </c>
      <c r="DJ119" s="1115"/>
      <c r="DK119" s="1115"/>
      <c r="DL119" s="1115"/>
      <c r="DM119" s="1115"/>
      <c r="DN119" s="1115"/>
      <c r="DO119" s="1115">
        <f t="shared" si="114"/>
        <v>0</v>
      </c>
      <c r="DP119" s="1675">
        <v>34375</v>
      </c>
      <c r="DQ119" s="1115">
        <v>23718.75</v>
      </c>
      <c r="DR119" s="1115">
        <v>10656.25</v>
      </c>
      <c r="DS119" s="1115">
        <v>0</v>
      </c>
      <c r="DT119" s="1676">
        <v>8084.5</v>
      </c>
      <c r="DU119" s="1050">
        <f t="shared" si="115"/>
        <v>76834.5</v>
      </c>
      <c r="DV119" s="1675">
        <v>22847.45</v>
      </c>
      <c r="DW119" s="1115">
        <v>0</v>
      </c>
      <c r="DX119" s="1115">
        <v>4190.95</v>
      </c>
      <c r="DY119" s="1115">
        <v>-0.01</v>
      </c>
      <c r="DZ119" s="1676">
        <v>0</v>
      </c>
      <c r="EA119" s="1049">
        <f t="shared" si="116"/>
        <v>27038.390000000003</v>
      </c>
    </row>
    <row r="120" spans="1:131" ht="15" customHeight="1" x14ac:dyDescent="0.25">
      <c r="A120" s="716" t="s">
        <v>200</v>
      </c>
      <c r="B120" s="810" t="s">
        <v>313</v>
      </c>
      <c r="C120" s="911" t="s">
        <v>265</v>
      </c>
      <c r="D120" s="808">
        <f t="shared" si="89"/>
        <v>301435.80284046882</v>
      </c>
      <c r="E120" s="808">
        <f t="shared" si="90"/>
        <v>275295.79715953121</v>
      </c>
      <c r="F120" s="808">
        <f t="shared" si="91"/>
        <v>109578.3</v>
      </c>
      <c r="G120" s="808">
        <f t="shared" si="92"/>
        <v>-90.33</v>
      </c>
      <c r="H120" s="808">
        <f t="shared" si="93"/>
        <v>726.65</v>
      </c>
      <c r="I120" s="1391">
        <f t="shared" si="94"/>
        <v>686946.2200000002</v>
      </c>
      <c r="J120" s="809">
        <f t="shared" si="95"/>
        <v>636.31999999999994</v>
      </c>
      <c r="K120" s="1392">
        <f t="shared" si="96"/>
        <v>110214.62000000001</v>
      </c>
      <c r="L120" s="1656"/>
      <c r="M120" s="1035"/>
      <c r="N120" s="1035"/>
      <c r="O120" s="1035"/>
      <c r="P120" s="1035"/>
      <c r="Q120" s="1036">
        <f t="shared" si="97"/>
        <v>0</v>
      </c>
      <c r="R120" s="1650"/>
      <c r="S120" s="1040"/>
      <c r="T120" s="1040"/>
      <c r="U120" s="1040"/>
      <c r="V120" s="1651"/>
      <c r="W120" s="1039">
        <f t="shared" si="98"/>
        <v>0</v>
      </c>
      <c r="X120" s="1664">
        <v>11766.65</v>
      </c>
      <c r="Y120" s="1665">
        <v>70.05</v>
      </c>
      <c r="Z120" s="1665">
        <v>2171.2199999999998</v>
      </c>
      <c r="AA120" s="1665">
        <v>-0.01</v>
      </c>
      <c r="AB120" s="1666">
        <v>0</v>
      </c>
      <c r="AC120" s="1037">
        <f t="shared" si="99"/>
        <v>14007.909999999998</v>
      </c>
      <c r="AD120" s="1675">
        <v>43483.38</v>
      </c>
      <c r="AE120" s="1115">
        <v>0</v>
      </c>
      <c r="AF120" s="1115">
        <v>10870.85</v>
      </c>
      <c r="AG120" s="1115">
        <v>0</v>
      </c>
      <c r="AH120" s="1676">
        <v>0</v>
      </c>
      <c r="AI120" s="1049">
        <f t="shared" si="100"/>
        <v>54354.229999999996</v>
      </c>
      <c r="AJ120" s="1664">
        <v>19396.07</v>
      </c>
      <c r="AK120" s="1665">
        <v>2582.62</v>
      </c>
      <c r="AL120" s="1665">
        <v>4031.61</v>
      </c>
      <c r="AM120" s="1665">
        <v>-0.04</v>
      </c>
      <c r="AN120" s="1666">
        <v>0</v>
      </c>
      <c r="AO120" s="1041">
        <f t="shared" si="101"/>
        <v>26010.26</v>
      </c>
      <c r="AP120" s="1686">
        <v>22396.79</v>
      </c>
      <c r="AQ120" s="1687">
        <v>5599.2</v>
      </c>
      <c r="AR120" s="1687">
        <v>0</v>
      </c>
      <c r="AS120" s="1687">
        <v>0</v>
      </c>
      <c r="AT120" s="1688">
        <v>726.65</v>
      </c>
      <c r="AU120" s="1043">
        <f t="shared" si="102"/>
        <v>28722.640000000003</v>
      </c>
      <c r="AV120" s="1692">
        <v>29166.02</v>
      </c>
      <c r="AW120" s="1693">
        <v>7291.49</v>
      </c>
      <c r="AX120" s="1693">
        <v>0</v>
      </c>
      <c r="AY120" s="1693">
        <v>0</v>
      </c>
      <c r="AZ120" s="1694">
        <v>0</v>
      </c>
      <c r="BA120" s="1039">
        <f t="shared" si="103"/>
        <v>36457.51</v>
      </c>
      <c r="BB120" s="1675">
        <v>2588.17</v>
      </c>
      <c r="BC120" s="1115">
        <v>4673.83</v>
      </c>
      <c r="BD120" s="1115">
        <v>0</v>
      </c>
      <c r="BE120" s="1115">
        <v>0</v>
      </c>
      <c r="BF120" s="1676">
        <v>0</v>
      </c>
      <c r="BG120" s="1046">
        <f t="shared" si="104"/>
        <v>7262</v>
      </c>
      <c r="BH120" s="1675">
        <v>79188.72</v>
      </c>
      <c r="BI120" s="1115">
        <v>10030.56</v>
      </c>
      <c r="BJ120" s="1115">
        <v>16365.7</v>
      </c>
      <c r="BK120" s="1115">
        <v>-0.09</v>
      </c>
      <c r="BL120" s="1676">
        <v>0</v>
      </c>
      <c r="BM120" s="1046">
        <f t="shared" si="105"/>
        <v>105584.89</v>
      </c>
      <c r="BN120" s="1675">
        <v>-1144.04</v>
      </c>
      <c r="BO120" s="1115">
        <v>-1144.04</v>
      </c>
      <c r="BP120" s="1115">
        <v>0</v>
      </c>
      <c r="BQ120" s="1115">
        <v>0</v>
      </c>
      <c r="BR120" s="1676">
        <v>0</v>
      </c>
      <c r="BS120" s="1049">
        <f t="shared" si="106"/>
        <v>-2288.08</v>
      </c>
      <c r="BT120" s="1675">
        <v>56538.062840468832</v>
      </c>
      <c r="BU120" s="1115">
        <v>238618.89715953119</v>
      </c>
      <c r="BV120" s="1115">
        <v>54141.25</v>
      </c>
      <c r="BW120" s="1115">
        <v>-0.17</v>
      </c>
      <c r="BX120" s="1676">
        <v>0</v>
      </c>
      <c r="BY120" s="1049">
        <f t="shared" si="107"/>
        <v>349298.04000000004</v>
      </c>
      <c r="BZ120" s="1675">
        <v>10176.65</v>
      </c>
      <c r="CA120" s="1115">
        <v>0</v>
      </c>
      <c r="CB120" s="1115">
        <v>15138.46</v>
      </c>
      <c r="CC120" s="1115">
        <v>-0.01</v>
      </c>
      <c r="CD120" s="1676">
        <v>0</v>
      </c>
      <c r="CE120" s="1049">
        <f t="shared" si="108"/>
        <v>25315.100000000002</v>
      </c>
      <c r="CF120" s="1677"/>
      <c r="CG120" s="1045"/>
      <c r="CH120" s="1045"/>
      <c r="CI120" s="1045"/>
      <c r="CJ120" s="1045"/>
      <c r="CK120" s="1046">
        <f t="shared" si="109"/>
        <v>0</v>
      </c>
      <c r="CL120" s="1675">
        <v>-500</v>
      </c>
      <c r="CM120" s="1115">
        <v>0</v>
      </c>
      <c r="CN120" s="1115">
        <v>0</v>
      </c>
      <c r="CO120" s="1115">
        <v>0</v>
      </c>
      <c r="CP120" s="1676">
        <v>0</v>
      </c>
      <c r="CQ120" s="1049">
        <f t="shared" si="110"/>
        <v>-500</v>
      </c>
      <c r="CR120" s="1675">
        <v>-211.03</v>
      </c>
      <c r="CS120" s="1115">
        <v>-211.03</v>
      </c>
      <c r="CT120" s="1115">
        <v>0</v>
      </c>
      <c r="CU120" s="1115">
        <v>0</v>
      </c>
      <c r="CV120" s="1676">
        <v>0</v>
      </c>
      <c r="CW120" s="1046">
        <f t="shared" si="111"/>
        <v>-422.06</v>
      </c>
      <c r="CX120" s="1675">
        <v>-509.55</v>
      </c>
      <c r="CY120" s="1115">
        <v>-509.55</v>
      </c>
      <c r="CZ120" s="1115">
        <v>0</v>
      </c>
      <c r="DA120" s="1115">
        <v>0.01</v>
      </c>
      <c r="DB120" s="1676">
        <v>0</v>
      </c>
      <c r="DC120" s="1049">
        <f t="shared" si="112"/>
        <v>-1019.09</v>
      </c>
      <c r="DD120" s="1675"/>
      <c r="DE120" s="1115"/>
      <c r="DF120" s="1115"/>
      <c r="DG120" s="1115"/>
      <c r="DH120" s="1115"/>
      <c r="DI120" s="1114">
        <f t="shared" si="113"/>
        <v>0</v>
      </c>
      <c r="DJ120" s="1115"/>
      <c r="DK120" s="1115"/>
      <c r="DL120" s="1115"/>
      <c r="DM120" s="1115"/>
      <c r="DN120" s="1115"/>
      <c r="DO120" s="1115">
        <f t="shared" si="114"/>
        <v>0</v>
      </c>
      <c r="DP120" s="1675">
        <v>12019.98</v>
      </c>
      <c r="DQ120" s="1115">
        <v>8293.77</v>
      </c>
      <c r="DR120" s="1115">
        <v>3726.19</v>
      </c>
      <c r="DS120" s="1115">
        <v>-0.02</v>
      </c>
      <c r="DT120" s="1676">
        <v>0</v>
      </c>
      <c r="DU120" s="1050">
        <f t="shared" si="115"/>
        <v>24039.919999999998</v>
      </c>
      <c r="DV120" s="1675">
        <v>17079.93</v>
      </c>
      <c r="DW120" s="1115">
        <v>0</v>
      </c>
      <c r="DX120" s="1115">
        <v>3133.02</v>
      </c>
      <c r="DY120" s="1115">
        <v>-90</v>
      </c>
      <c r="DZ120" s="1676">
        <v>0</v>
      </c>
      <c r="EA120" s="1049">
        <f t="shared" si="116"/>
        <v>20122.95</v>
      </c>
    </row>
    <row r="121" spans="1:131" ht="15" customHeight="1" x14ac:dyDescent="0.25">
      <c r="A121" s="716" t="s">
        <v>222</v>
      </c>
      <c r="B121" s="810" t="s">
        <v>223</v>
      </c>
      <c r="C121" s="911" t="s">
        <v>264</v>
      </c>
      <c r="D121" s="808">
        <f t="shared" si="89"/>
        <v>176665.98862750217</v>
      </c>
      <c r="E121" s="808">
        <f t="shared" si="90"/>
        <v>38961.36137249782</v>
      </c>
      <c r="F121" s="808">
        <f t="shared" si="91"/>
        <v>61292.67</v>
      </c>
      <c r="G121" s="808">
        <f t="shared" si="92"/>
        <v>-0.18</v>
      </c>
      <c r="H121" s="808">
        <f t="shared" si="93"/>
        <v>41736.639999999999</v>
      </c>
      <c r="I121" s="1391">
        <f t="shared" si="94"/>
        <v>318656.48</v>
      </c>
      <c r="J121" s="809">
        <f t="shared" si="95"/>
        <v>41736.46</v>
      </c>
      <c r="K121" s="1392">
        <f t="shared" si="96"/>
        <v>103029.13</v>
      </c>
      <c r="L121" s="1656"/>
      <c r="M121" s="1035"/>
      <c r="N121" s="1035"/>
      <c r="O121" s="1035"/>
      <c r="P121" s="1035"/>
      <c r="Q121" s="1036">
        <f t="shared" si="97"/>
        <v>0</v>
      </c>
      <c r="R121" s="1652"/>
      <c r="S121" s="1113"/>
      <c r="T121" s="1113"/>
      <c r="U121" s="1113"/>
      <c r="V121" s="1653">
        <v>41662.639999999999</v>
      </c>
      <c r="W121" s="1039">
        <f t="shared" si="98"/>
        <v>41662.639999999999</v>
      </c>
      <c r="X121" s="1664">
        <v>5980.81</v>
      </c>
      <c r="Y121" s="1665">
        <v>35.61</v>
      </c>
      <c r="Z121" s="1665">
        <v>1103.6099999999999</v>
      </c>
      <c r="AA121" s="1665">
        <v>-0.03</v>
      </c>
      <c r="AB121" s="1666">
        <v>0</v>
      </c>
      <c r="AC121" s="1037">
        <f t="shared" si="99"/>
        <v>7120</v>
      </c>
      <c r="AD121" s="1675">
        <v>90839.7</v>
      </c>
      <c r="AE121" s="1115">
        <v>0</v>
      </c>
      <c r="AF121" s="1115">
        <v>22709.93</v>
      </c>
      <c r="AG121" s="1115">
        <v>0</v>
      </c>
      <c r="AH121" s="1676">
        <v>0</v>
      </c>
      <c r="AI121" s="1049">
        <f t="shared" si="100"/>
        <v>113549.63</v>
      </c>
      <c r="AJ121" s="1667"/>
      <c r="AK121" s="1038"/>
      <c r="AL121" s="1038"/>
      <c r="AM121" s="1038"/>
      <c r="AN121" s="1038"/>
      <c r="AO121" s="1041">
        <f t="shared" si="101"/>
        <v>0</v>
      </c>
      <c r="AP121" s="1686">
        <v>5279.81</v>
      </c>
      <c r="AQ121" s="1687">
        <v>1319.94</v>
      </c>
      <c r="AR121" s="1687">
        <v>0</v>
      </c>
      <c r="AS121" s="1687">
        <v>0</v>
      </c>
      <c r="AT121" s="1688">
        <v>0</v>
      </c>
      <c r="AU121" s="1043">
        <f t="shared" si="102"/>
        <v>6599.75</v>
      </c>
      <c r="AV121" s="1692">
        <v>4220.58</v>
      </c>
      <c r="AW121" s="1693">
        <v>1055.1500000000001</v>
      </c>
      <c r="AX121" s="1693">
        <v>0</v>
      </c>
      <c r="AY121" s="1693">
        <v>0</v>
      </c>
      <c r="AZ121" s="1694">
        <v>0</v>
      </c>
      <c r="BA121" s="1039">
        <f t="shared" si="103"/>
        <v>5275.73</v>
      </c>
      <c r="BB121" s="1677"/>
      <c r="BC121" s="1045"/>
      <c r="BD121" s="1045"/>
      <c r="BE121" s="1045"/>
      <c r="BF121" s="1045"/>
      <c r="BG121" s="1046">
        <f t="shared" si="104"/>
        <v>0</v>
      </c>
      <c r="BH121" s="1675">
        <v>33115.01</v>
      </c>
      <c r="BI121" s="1115">
        <v>4194.55</v>
      </c>
      <c r="BJ121" s="1115">
        <v>6843.75</v>
      </c>
      <c r="BK121" s="1115">
        <v>0.01</v>
      </c>
      <c r="BL121" s="1676">
        <v>0</v>
      </c>
      <c r="BM121" s="1046">
        <f t="shared" si="105"/>
        <v>44153.320000000007</v>
      </c>
      <c r="BN121" s="1675"/>
      <c r="BO121" s="1115"/>
      <c r="BP121" s="1115"/>
      <c r="BQ121" s="1115"/>
      <c r="BR121" s="1676"/>
      <c r="BS121" s="1049">
        <f t="shared" si="106"/>
        <v>0</v>
      </c>
      <c r="BT121" s="1675">
        <v>6278.7986275021794</v>
      </c>
      <c r="BU121" s="1115">
        <v>27583.451372497817</v>
      </c>
      <c r="BV121" s="1115">
        <v>6211.45</v>
      </c>
      <c r="BW121" s="1115">
        <v>-0.16</v>
      </c>
      <c r="BX121" s="1676">
        <v>0</v>
      </c>
      <c r="BY121" s="1049">
        <f t="shared" si="107"/>
        <v>40073.539999999994</v>
      </c>
      <c r="BZ121" s="1675">
        <v>12220.64</v>
      </c>
      <c r="CA121" s="1115">
        <v>0</v>
      </c>
      <c r="CB121" s="1115">
        <v>18178.97</v>
      </c>
      <c r="CC121" s="1115">
        <v>0</v>
      </c>
      <c r="CD121" s="1676">
        <v>0</v>
      </c>
      <c r="CE121" s="1049">
        <f t="shared" si="108"/>
        <v>30399.61</v>
      </c>
      <c r="CF121" s="1675">
        <v>547.16999999999996</v>
      </c>
      <c r="CG121" s="1115">
        <v>0</v>
      </c>
      <c r="CH121" s="1115">
        <v>1494.52</v>
      </c>
      <c r="CI121" s="1115">
        <v>0</v>
      </c>
      <c r="CJ121" s="1676">
        <v>0</v>
      </c>
      <c r="CK121" s="1046">
        <f t="shared" si="109"/>
        <v>2041.69</v>
      </c>
      <c r="CL121" s="1675"/>
      <c r="CM121" s="1115"/>
      <c r="CN121" s="1115"/>
      <c r="CO121" s="1115"/>
      <c r="CP121" s="1676"/>
      <c r="CQ121" s="1049">
        <f t="shared" si="110"/>
        <v>0</v>
      </c>
      <c r="CR121" s="1677"/>
      <c r="CS121" s="1045"/>
      <c r="CT121" s="1045"/>
      <c r="CU121" s="1045"/>
      <c r="CV121" s="1045"/>
      <c r="CW121" s="1046">
        <f t="shared" si="111"/>
        <v>0</v>
      </c>
      <c r="CX121" s="1675">
        <v>-271.77</v>
      </c>
      <c r="CY121" s="1115">
        <v>-271.77</v>
      </c>
      <c r="CZ121" s="1115">
        <v>0</v>
      </c>
      <c r="DA121" s="1115">
        <v>0.01</v>
      </c>
      <c r="DB121" s="1676">
        <v>0</v>
      </c>
      <c r="DC121" s="1049">
        <f t="shared" si="112"/>
        <v>-543.53</v>
      </c>
      <c r="DD121" s="1675">
        <v>-627</v>
      </c>
      <c r="DE121" s="1115">
        <v>0</v>
      </c>
      <c r="DF121" s="1115">
        <v>0</v>
      </c>
      <c r="DG121" s="1115">
        <v>0</v>
      </c>
      <c r="DH121" s="1115">
        <v>0</v>
      </c>
      <c r="DI121" s="1114">
        <f t="shared" si="113"/>
        <v>-627</v>
      </c>
      <c r="DJ121" s="1115">
        <v>-885.45</v>
      </c>
      <c r="DK121" s="1115">
        <v>-885.45</v>
      </c>
      <c r="DL121" s="1115">
        <v>0</v>
      </c>
      <c r="DM121" s="1115">
        <v>0</v>
      </c>
      <c r="DN121" s="1115">
        <v>0</v>
      </c>
      <c r="DO121" s="1115">
        <f t="shared" si="114"/>
        <v>-1770.9</v>
      </c>
      <c r="DP121" s="1675">
        <v>8594</v>
      </c>
      <c r="DQ121" s="1115">
        <v>5929.88</v>
      </c>
      <c r="DR121" s="1115">
        <v>2664.16</v>
      </c>
      <c r="DS121" s="1115">
        <v>-0.04</v>
      </c>
      <c r="DT121" s="1676">
        <v>0</v>
      </c>
      <c r="DU121" s="1050">
        <f t="shared" si="115"/>
        <v>17188</v>
      </c>
      <c r="DV121" s="1675">
        <v>11373.69</v>
      </c>
      <c r="DW121" s="1115">
        <v>0</v>
      </c>
      <c r="DX121" s="1115">
        <v>2086.2800000000002</v>
      </c>
      <c r="DY121" s="1115">
        <v>0.03</v>
      </c>
      <c r="DZ121" s="1676">
        <v>74</v>
      </c>
      <c r="EA121" s="1049">
        <f t="shared" si="116"/>
        <v>13534.000000000002</v>
      </c>
    </row>
    <row r="122" spans="1:131" ht="15" customHeight="1" x14ac:dyDescent="0.25">
      <c r="A122" s="716" t="s">
        <v>230</v>
      </c>
      <c r="B122" s="810" t="s">
        <v>231</v>
      </c>
      <c r="C122" s="911" t="s">
        <v>264</v>
      </c>
      <c r="D122" s="808">
        <f t="shared" si="89"/>
        <v>415513.16886385938</v>
      </c>
      <c r="E122" s="808">
        <f t="shared" si="90"/>
        <v>87816.771136140713</v>
      </c>
      <c r="F122" s="808">
        <f t="shared" si="91"/>
        <v>104398.93</v>
      </c>
      <c r="G122" s="808">
        <f t="shared" si="92"/>
        <v>307549.04000000004</v>
      </c>
      <c r="H122" s="808">
        <f t="shared" si="93"/>
        <v>0</v>
      </c>
      <c r="I122" s="1391">
        <f t="shared" si="94"/>
        <v>915277.91000000015</v>
      </c>
      <c r="J122" s="809">
        <f t="shared" si="95"/>
        <v>307549.04000000004</v>
      </c>
      <c r="K122" s="1392">
        <f t="shared" si="96"/>
        <v>411947.97000000003</v>
      </c>
      <c r="L122" s="1656"/>
      <c r="M122" s="1035"/>
      <c r="N122" s="1035"/>
      <c r="O122" s="1035"/>
      <c r="P122" s="1035"/>
      <c r="Q122" s="1036">
        <f t="shared" si="97"/>
        <v>0</v>
      </c>
      <c r="R122" s="1652"/>
      <c r="S122" s="1113"/>
      <c r="T122" s="1113"/>
      <c r="U122" s="1113">
        <v>245950.2</v>
      </c>
      <c r="V122" s="1653"/>
      <c r="W122" s="1039">
        <f t="shared" si="98"/>
        <v>245950.2</v>
      </c>
      <c r="X122" s="1667">
        <v>17762</v>
      </c>
      <c r="Y122" s="1038">
        <v>105.75</v>
      </c>
      <c r="Z122" s="1038">
        <v>3277.53</v>
      </c>
      <c r="AA122" s="1038">
        <v>-0.04</v>
      </c>
      <c r="AB122" s="1668">
        <v>0</v>
      </c>
      <c r="AC122" s="1037">
        <f t="shared" si="99"/>
        <v>21145.239999999998</v>
      </c>
      <c r="AD122" s="1675">
        <v>195031.63</v>
      </c>
      <c r="AE122" s="1115">
        <v>0</v>
      </c>
      <c r="AF122" s="1115">
        <v>48757.919999999998</v>
      </c>
      <c r="AG122" s="1115">
        <v>0</v>
      </c>
      <c r="AH122" s="1676">
        <v>0</v>
      </c>
      <c r="AI122" s="1049">
        <f t="shared" si="100"/>
        <v>243789.55</v>
      </c>
      <c r="AJ122" s="1664">
        <v>13150.09</v>
      </c>
      <c r="AK122" s="1665">
        <v>6632.9</v>
      </c>
      <c r="AL122" s="1665">
        <v>3628.84</v>
      </c>
      <c r="AM122" s="1665">
        <v>-7.0000000000000007E-2</v>
      </c>
      <c r="AN122" s="1666">
        <v>0</v>
      </c>
      <c r="AO122" s="1041">
        <f t="shared" si="101"/>
        <v>23411.759999999998</v>
      </c>
      <c r="AP122" s="1686">
        <v>14933.6</v>
      </c>
      <c r="AQ122" s="1687">
        <v>3733.4</v>
      </c>
      <c r="AR122" s="1687">
        <v>0</v>
      </c>
      <c r="AS122" s="1687">
        <v>0</v>
      </c>
      <c r="AT122" s="1688">
        <v>0</v>
      </c>
      <c r="AU122" s="1043">
        <f t="shared" si="102"/>
        <v>18667</v>
      </c>
      <c r="AV122" s="1692">
        <v>34170.550000000003</v>
      </c>
      <c r="AW122" s="1693">
        <v>8542.6200000000008</v>
      </c>
      <c r="AX122" s="1693">
        <v>0</v>
      </c>
      <c r="AY122" s="1693">
        <v>0</v>
      </c>
      <c r="AZ122" s="1694">
        <v>0</v>
      </c>
      <c r="BA122" s="1039">
        <f t="shared" si="103"/>
        <v>42713.170000000006</v>
      </c>
      <c r="BB122" s="1675">
        <v>3335.9</v>
      </c>
      <c r="BC122" s="1115">
        <v>6024.1</v>
      </c>
      <c r="BD122" s="1115">
        <v>0</v>
      </c>
      <c r="BE122" s="1115">
        <v>0</v>
      </c>
      <c r="BF122" s="1676">
        <v>0</v>
      </c>
      <c r="BG122" s="1046">
        <f t="shared" si="104"/>
        <v>9360</v>
      </c>
      <c r="BH122" s="1675">
        <v>94010.75</v>
      </c>
      <c r="BI122" s="1115">
        <v>11908.05</v>
      </c>
      <c r="BJ122" s="1115">
        <v>19428.89</v>
      </c>
      <c r="BK122" s="1115">
        <v>-0.05</v>
      </c>
      <c r="BL122" s="1676">
        <v>0</v>
      </c>
      <c r="BM122" s="1046">
        <f t="shared" si="105"/>
        <v>125347.64</v>
      </c>
      <c r="BN122" s="1675">
        <v>-4220.4799999999996</v>
      </c>
      <c r="BO122" s="1115">
        <v>-4220.4799999999996</v>
      </c>
      <c r="BP122" s="1115">
        <v>0</v>
      </c>
      <c r="BQ122" s="1115">
        <v>0.13</v>
      </c>
      <c r="BR122" s="1676">
        <v>0</v>
      </c>
      <c r="BS122" s="1049">
        <f t="shared" si="106"/>
        <v>-8440.83</v>
      </c>
      <c r="BT122" s="1675">
        <v>11822.888863859287</v>
      </c>
      <c r="BU122" s="1115">
        <v>59938.681136140716</v>
      </c>
      <c r="BV122" s="1115">
        <v>13163.4</v>
      </c>
      <c r="BW122" s="1115">
        <v>-6304.56</v>
      </c>
      <c r="BX122" s="1676">
        <v>0</v>
      </c>
      <c r="BY122" s="1049">
        <f t="shared" si="107"/>
        <v>78620.41</v>
      </c>
      <c r="BZ122" s="1675">
        <v>3842.08</v>
      </c>
      <c r="CA122" s="1115">
        <v>0</v>
      </c>
      <c r="CB122" s="1115">
        <v>5715.35</v>
      </c>
      <c r="CC122" s="1115">
        <v>0</v>
      </c>
      <c r="CD122" s="1676">
        <v>0</v>
      </c>
      <c r="CE122" s="1049">
        <f t="shared" si="108"/>
        <v>9557.43</v>
      </c>
      <c r="CF122" s="1675">
        <v>58.96</v>
      </c>
      <c r="CG122" s="1115">
        <v>0</v>
      </c>
      <c r="CH122" s="1115">
        <v>161.04</v>
      </c>
      <c r="CI122" s="1115">
        <v>0</v>
      </c>
      <c r="CJ122" s="1676">
        <v>0</v>
      </c>
      <c r="CK122" s="1046">
        <f t="shared" si="109"/>
        <v>220</v>
      </c>
      <c r="CL122" s="1675"/>
      <c r="CM122" s="1115"/>
      <c r="CN122" s="1115"/>
      <c r="CO122" s="1115"/>
      <c r="CP122" s="1676"/>
      <c r="CQ122" s="1049">
        <f t="shared" si="110"/>
        <v>0</v>
      </c>
      <c r="CR122" s="1675"/>
      <c r="CS122" s="1115"/>
      <c r="CT122" s="1115"/>
      <c r="CU122" s="1115"/>
      <c r="CV122" s="1676"/>
      <c r="CW122" s="1046">
        <f t="shared" si="111"/>
        <v>0</v>
      </c>
      <c r="CX122" s="1675">
        <v>-3338.26</v>
      </c>
      <c r="CY122" s="1115">
        <v>-3338.26</v>
      </c>
      <c r="CZ122" s="1115">
        <v>0</v>
      </c>
      <c r="DA122" s="1115">
        <v>0.06</v>
      </c>
      <c r="DB122" s="1676">
        <v>0</v>
      </c>
      <c r="DC122" s="1049">
        <f t="shared" si="112"/>
        <v>-6676.46</v>
      </c>
      <c r="DD122" s="1675">
        <v>-19502.61</v>
      </c>
      <c r="DE122" s="1115">
        <v>0</v>
      </c>
      <c r="DF122" s="1115">
        <v>0</v>
      </c>
      <c r="DG122" s="1115">
        <v>0</v>
      </c>
      <c r="DH122" s="1115">
        <v>0</v>
      </c>
      <c r="DI122" s="1114">
        <f t="shared" si="113"/>
        <v>-19502.61</v>
      </c>
      <c r="DJ122" s="1115">
        <v>-1509.99</v>
      </c>
      <c r="DK122" s="1115">
        <v>-1509.99</v>
      </c>
      <c r="DL122" s="1115">
        <v>0</v>
      </c>
      <c r="DM122" s="1115">
        <v>0.01</v>
      </c>
      <c r="DN122" s="1115">
        <v>0</v>
      </c>
      <c r="DO122" s="1115">
        <f t="shared" si="114"/>
        <v>-3019.97</v>
      </c>
      <c r="DP122" s="1677"/>
      <c r="DQ122" s="1045"/>
      <c r="DR122" s="1045"/>
      <c r="DS122" s="1045"/>
      <c r="DT122" s="1045"/>
      <c r="DU122" s="1050">
        <f t="shared" si="115"/>
        <v>0</v>
      </c>
      <c r="DV122" s="1675">
        <v>55966.06</v>
      </c>
      <c r="DW122" s="1115">
        <v>0</v>
      </c>
      <c r="DX122" s="1115">
        <v>10265.959999999999</v>
      </c>
      <c r="DY122" s="1115">
        <v>67903.360000000001</v>
      </c>
      <c r="DZ122" s="1676">
        <v>0</v>
      </c>
      <c r="EA122" s="1049">
        <f t="shared" si="116"/>
        <v>134135.38</v>
      </c>
    </row>
    <row r="123" spans="1:131" ht="15" customHeight="1" x14ac:dyDescent="0.25">
      <c r="A123" s="716" t="s">
        <v>238</v>
      </c>
      <c r="B123" s="810" t="s">
        <v>239</v>
      </c>
      <c r="C123" s="911" t="s">
        <v>264</v>
      </c>
      <c r="D123" s="808">
        <f t="shared" si="89"/>
        <v>17273.110885573395</v>
      </c>
      <c r="E123" s="808">
        <f t="shared" si="90"/>
        <v>6903.3591144266056</v>
      </c>
      <c r="F123" s="808">
        <f t="shared" si="91"/>
        <v>5201.0999999999995</v>
      </c>
      <c r="G123" s="808">
        <f t="shared" si="92"/>
        <v>-1.999999999999999E-2</v>
      </c>
      <c r="H123" s="808">
        <f t="shared" si="93"/>
        <v>0</v>
      </c>
      <c r="I123" s="1391">
        <f t="shared" si="94"/>
        <v>29377.55</v>
      </c>
      <c r="J123" s="809">
        <f t="shared" si="95"/>
        <v>-1.999999999999999E-2</v>
      </c>
      <c r="K123" s="1392">
        <f t="shared" si="96"/>
        <v>5201.079999999999</v>
      </c>
      <c r="L123" s="1656"/>
      <c r="M123" s="1035"/>
      <c r="N123" s="1035"/>
      <c r="O123" s="1035"/>
      <c r="P123" s="1035"/>
      <c r="Q123" s="1036">
        <f t="shared" si="97"/>
        <v>0</v>
      </c>
      <c r="R123" s="1650"/>
      <c r="S123" s="1040"/>
      <c r="T123" s="1040"/>
      <c r="U123" s="1040"/>
      <c r="V123" s="1651"/>
      <c r="W123" s="1039">
        <f t="shared" si="98"/>
        <v>0</v>
      </c>
      <c r="X123" s="1664">
        <v>1113.95</v>
      </c>
      <c r="Y123" s="1665">
        <v>6.65</v>
      </c>
      <c r="Z123" s="1665">
        <v>205.57</v>
      </c>
      <c r="AA123" s="1665">
        <v>-0.04</v>
      </c>
      <c r="AB123" s="1666">
        <v>0</v>
      </c>
      <c r="AC123" s="1037">
        <f t="shared" si="99"/>
        <v>1326.13</v>
      </c>
      <c r="AD123" s="1675">
        <v>9736.75</v>
      </c>
      <c r="AE123" s="1115">
        <v>0</v>
      </c>
      <c r="AF123" s="1115">
        <v>2434.1799999999998</v>
      </c>
      <c r="AG123" s="1115">
        <v>0</v>
      </c>
      <c r="AH123" s="1676">
        <v>0</v>
      </c>
      <c r="AI123" s="1049">
        <f t="shared" si="100"/>
        <v>12170.93</v>
      </c>
      <c r="AJ123" s="1667"/>
      <c r="AK123" s="1038"/>
      <c r="AL123" s="1038"/>
      <c r="AM123" s="1038"/>
      <c r="AN123" s="1038"/>
      <c r="AO123" s="1041">
        <f t="shared" si="101"/>
        <v>0</v>
      </c>
      <c r="AP123" s="1689"/>
      <c r="AQ123" s="1042"/>
      <c r="AR123" s="1042"/>
      <c r="AS123" s="1042"/>
      <c r="AT123" s="1042"/>
      <c r="AU123" s="1043">
        <f t="shared" si="102"/>
        <v>0</v>
      </c>
      <c r="AV123" s="1692">
        <v>15.9</v>
      </c>
      <c r="AW123" s="1693">
        <v>3.98</v>
      </c>
      <c r="AX123" s="1693">
        <v>0</v>
      </c>
      <c r="AY123" s="1693">
        <v>0</v>
      </c>
      <c r="AZ123" s="1694">
        <v>0</v>
      </c>
      <c r="BA123" s="1039">
        <f t="shared" si="103"/>
        <v>19.88</v>
      </c>
      <c r="BB123" s="1677">
        <v>53.46</v>
      </c>
      <c r="BC123" s="1045">
        <v>96.54</v>
      </c>
      <c r="BD123" s="1045">
        <v>0</v>
      </c>
      <c r="BE123" s="1045">
        <v>0</v>
      </c>
      <c r="BF123" s="1045">
        <v>0</v>
      </c>
      <c r="BG123" s="1046">
        <f t="shared" si="104"/>
        <v>150</v>
      </c>
      <c r="BH123" s="1677">
        <v>227.68</v>
      </c>
      <c r="BI123" s="1045">
        <v>28.84</v>
      </c>
      <c r="BJ123" s="1045">
        <v>47.06</v>
      </c>
      <c r="BK123" s="1045">
        <v>-0.01</v>
      </c>
      <c r="BL123" s="1045">
        <v>0</v>
      </c>
      <c r="BM123" s="1046">
        <f t="shared" si="105"/>
        <v>303.57</v>
      </c>
      <c r="BN123" s="1675"/>
      <c r="BO123" s="1115"/>
      <c r="BP123" s="1115"/>
      <c r="BQ123" s="1115"/>
      <c r="BR123" s="1676"/>
      <c r="BS123" s="1049">
        <f t="shared" si="106"/>
        <v>0</v>
      </c>
      <c r="BT123" s="1675">
        <v>1117.2408855733943</v>
      </c>
      <c r="BU123" s="1115">
        <v>6767.3491144266054</v>
      </c>
      <c r="BV123" s="1115">
        <v>1446.3</v>
      </c>
      <c r="BW123" s="1115">
        <v>-0.04</v>
      </c>
      <c r="BX123" s="1676">
        <v>0</v>
      </c>
      <c r="BY123" s="1049">
        <f t="shared" si="107"/>
        <v>9330.8499999999985</v>
      </c>
      <c r="BZ123" s="1677">
        <v>114.53</v>
      </c>
      <c r="CA123" s="1045">
        <v>0</v>
      </c>
      <c r="CB123" s="1045">
        <v>170.38</v>
      </c>
      <c r="CC123" s="1045">
        <v>0</v>
      </c>
      <c r="CD123" s="1678">
        <v>0</v>
      </c>
      <c r="CE123" s="1049">
        <f t="shared" si="108"/>
        <v>284.90999999999997</v>
      </c>
      <c r="CF123" s="1677"/>
      <c r="CG123" s="1045"/>
      <c r="CH123" s="1045"/>
      <c r="CI123" s="1045"/>
      <c r="CJ123" s="1045"/>
      <c r="CK123" s="1046">
        <f t="shared" si="109"/>
        <v>0</v>
      </c>
      <c r="CL123" s="1675"/>
      <c r="CM123" s="1115"/>
      <c r="CN123" s="1115"/>
      <c r="CO123" s="1115"/>
      <c r="CP123" s="1676"/>
      <c r="CQ123" s="1049">
        <f t="shared" si="110"/>
        <v>0</v>
      </c>
      <c r="CR123" s="1677"/>
      <c r="CS123" s="1045"/>
      <c r="CT123" s="1045"/>
      <c r="CU123" s="1045"/>
      <c r="CV123" s="1045"/>
      <c r="CW123" s="1046">
        <f t="shared" si="111"/>
        <v>0</v>
      </c>
      <c r="CX123" s="1675"/>
      <c r="CY123" s="1115"/>
      <c r="CZ123" s="1115"/>
      <c r="DA123" s="1115"/>
      <c r="DB123" s="1676"/>
      <c r="DC123" s="1049">
        <f t="shared" si="112"/>
        <v>0</v>
      </c>
      <c r="DD123" s="1675"/>
      <c r="DE123" s="1115"/>
      <c r="DF123" s="1115"/>
      <c r="DG123" s="1115"/>
      <c r="DH123" s="1115"/>
      <c r="DI123" s="1114">
        <f t="shared" si="113"/>
        <v>0</v>
      </c>
      <c r="DJ123" s="1115"/>
      <c r="DK123" s="1115"/>
      <c r="DL123" s="1115"/>
      <c r="DM123" s="1115"/>
      <c r="DN123" s="1115"/>
      <c r="DO123" s="1115">
        <f t="shared" si="114"/>
        <v>0</v>
      </c>
      <c r="DP123" s="1675"/>
      <c r="DQ123" s="1115"/>
      <c r="DR123" s="1115"/>
      <c r="DS123" s="1115"/>
      <c r="DT123" s="1676"/>
      <c r="DU123" s="1050">
        <f t="shared" si="115"/>
        <v>0</v>
      </c>
      <c r="DV123" s="1675">
        <v>4893.6000000000004</v>
      </c>
      <c r="DW123" s="1115">
        <v>0</v>
      </c>
      <c r="DX123" s="1115">
        <v>897.61</v>
      </c>
      <c r="DY123" s="1115">
        <v>7.0000000000000007E-2</v>
      </c>
      <c r="DZ123" s="1676">
        <v>0</v>
      </c>
      <c r="EA123" s="1049">
        <f t="shared" si="116"/>
        <v>5791.28</v>
      </c>
    </row>
    <row r="124" spans="1:131" ht="15" customHeight="1" x14ac:dyDescent="0.25">
      <c r="A124" s="716" t="s">
        <v>240</v>
      </c>
      <c r="B124" s="810" t="s">
        <v>241</v>
      </c>
      <c r="C124" s="911" t="s">
        <v>267</v>
      </c>
      <c r="D124" s="808">
        <f t="shared" si="89"/>
        <v>44887.692205814245</v>
      </c>
      <c r="E124" s="808">
        <f t="shared" si="90"/>
        <v>46792.847794185756</v>
      </c>
      <c r="F124" s="808">
        <f t="shared" si="91"/>
        <v>15229.960000000001</v>
      </c>
      <c r="G124" s="808">
        <f t="shared" si="92"/>
        <v>20206.650000000001</v>
      </c>
      <c r="H124" s="808">
        <f t="shared" si="93"/>
        <v>0</v>
      </c>
      <c r="I124" s="1391">
        <f t="shared" si="94"/>
        <v>127117.15000000002</v>
      </c>
      <c r="J124" s="809">
        <f t="shared" si="95"/>
        <v>20206.650000000001</v>
      </c>
      <c r="K124" s="1392">
        <f t="shared" si="96"/>
        <v>35436.61</v>
      </c>
      <c r="L124" s="1656"/>
      <c r="M124" s="1035"/>
      <c r="N124" s="1035"/>
      <c r="O124" s="1035"/>
      <c r="P124" s="1035"/>
      <c r="Q124" s="1036">
        <f t="shared" si="97"/>
        <v>0</v>
      </c>
      <c r="R124" s="1650"/>
      <c r="S124" s="1040"/>
      <c r="T124" s="1040"/>
      <c r="U124" s="1040"/>
      <c r="V124" s="1651"/>
      <c r="W124" s="1039">
        <f t="shared" si="98"/>
        <v>0</v>
      </c>
      <c r="X124" s="1669">
        <v>4122.72</v>
      </c>
      <c r="Y124" s="1670">
        <v>24.57</v>
      </c>
      <c r="Z124" s="1670">
        <v>760.77</v>
      </c>
      <c r="AA124" s="1670">
        <v>-0.06</v>
      </c>
      <c r="AB124" s="1671">
        <v>0</v>
      </c>
      <c r="AC124" s="1037">
        <f t="shared" si="99"/>
        <v>4907.9999999999991</v>
      </c>
      <c r="AD124" s="1679"/>
      <c r="AE124" s="1680"/>
      <c r="AF124" s="1680"/>
      <c r="AG124" s="1680"/>
      <c r="AH124" s="1681"/>
      <c r="AI124" s="1049">
        <f t="shared" si="100"/>
        <v>0</v>
      </c>
      <c r="AJ124" s="1667"/>
      <c r="AK124" s="1038"/>
      <c r="AL124" s="1038"/>
      <c r="AM124" s="1038"/>
      <c r="AN124" s="1038"/>
      <c r="AO124" s="1041">
        <f t="shared" si="101"/>
        <v>0</v>
      </c>
      <c r="AP124" s="1825">
        <v>3200</v>
      </c>
      <c r="AQ124" s="1826">
        <v>800</v>
      </c>
      <c r="AR124" s="1826">
        <v>0</v>
      </c>
      <c r="AS124" s="1826">
        <v>0</v>
      </c>
      <c r="AT124" s="1827">
        <v>0</v>
      </c>
      <c r="AU124" s="1043">
        <f t="shared" si="102"/>
        <v>4000</v>
      </c>
      <c r="AV124" s="1692">
        <v>1506.35</v>
      </c>
      <c r="AW124" s="1693">
        <v>376.59</v>
      </c>
      <c r="AX124" s="1693">
        <v>0</v>
      </c>
      <c r="AY124" s="1693">
        <v>0</v>
      </c>
      <c r="AZ124" s="1694">
        <v>0</v>
      </c>
      <c r="BA124" s="1039">
        <f t="shared" si="103"/>
        <v>1882.9399999999998</v>
      </c>
      <c r="BB124" s="1679">
        <v>1022.87</v>
      </c>
      <c r="BC124" s="1680">
        <v>1847.13</v>
      </c>
      <c r="BD124" s="1680">
        <v>0</v>
      </c>
      <c r="BE124" s="1680">
        <v>0</v>
      </c>
      <c r="BF124" s="1681">
        <v>0</v>
      </c>
      <c r="BG124" s="1046">
        <f t="shared" si="104"/>
        <v>2870</v>
      </c>
      <c r="BH124" s="1679">
        <v>20306.27</v>
      </c>
      <c r="BI124" s="1680">
        <v>2572.14</v>
      </c>
      <c r="BJ124" s="1680">
        <v>4196.6499999999996</v>
      </c>
      <c r="BK124" s="1680">
        <v>-7.0000000000000007E-2</v>
      </c>
      <c r="BL124" s="1681">
        <v>0</v>
      </c>
      <c r="BM124" s="1046">
        <f t="shared" si="105"/>
        <v>27074.989999999998</v>
      </c>
      <c r="BN124" s="1679"/>
      <c r="BO124" s="1680"/>
      <c r="BP124" s="1680"/>
      <c r="BQ124" s="1680"/>
      <c r="BR124" s="1681"/>
      <c r="BS124" s="1049">
        <f t="shared" si="106"/>
        <v>0</v>
      </c>
      <c r="BT124" s="1679">
        <v>6373.472205814247</v>
      </c>
      <c r="BU124" s="1680">
        <v>38605.517794185755</v>
      </c>
      <c r="BV124" s="1680">
        <v>8250.59</v>
      </c>
      <c r="BW124" s="1680">
        <v>-0.08</v>
      </c>
      <c r="BX124" s="1681">
        <v>0</v>
      </c>
      <c r="BY124" s="1049">
        <f t="shared" si="107"/>
        <v>53229.5</v>
      </c>
      <c r="BZ124" s="1679">
        <v>0</v>
      </c>
      <c r="CA124" s="1680">
        <v>0</v>
      </c>
      <c r="CB124" s="1680">
        <v>0</v>
      </c>
      <c r="CC124" s="1680">
        <v>20206.86</v>
      </c>
      <c r="CD124" s="1681">
        <v>0</v>
      </c>
      <c r="CE124" s="1049">
        <f t="shared" si="108"/>
        <v>20206.86</v>
      </c>
      <c r="CF124" s="1677"/>
      <c r="CG124" s="1045"/>
      <c r="CH124" s="1045"/>
      <c r="CI124" s="1045"/>
      <c r="CJ124" s="1045"/>
      <c r="CK124" s="1046">
        <f t="shared" si="109"/>
        <v>0</v>
      </c>
      <c r="CL124" s="1679"/>
      <c r="CM124" s="1680"/>
      <c r="CN124" s="1680"/>
      <c r="CO124" s="1680"/>
      <c r="CP124" s="1681"/>
      <c r="CQ124" s="1049">
        <f t="shared" si="110"/>
        <v>0</v>
      </c>
      <c r="CR124" s="1679"/>
      <c r="CS124" s="1680"/>
      <c r="CT124" s="1680"/>
      <c r="CU124" s="1680"/>
      <c r="CV124" s="1681"/>
      <c r="CW124" s="1046">
        <f t="shared" si="111"/>
        <v>0</v>
      </c>
      <c r="CX124" s="1679">
        <v>-50</v>
      </c>
      <c r="CY124" s="1680">
        <v>-50</v>
      </c>
      <c r="CZ124" s="1680">
        <v>0</v>
      </c>
      <c r="DA124" s="1680">
        <v>0</v>
      </c>
      <c r="DB124" s="1681">
        <v>0</v>
      </c>
      <c r="DC124" s="1049">
        <f t="shared" si="112"/>
        <v>-100</v>
      </c>
      <c r="DD124" s="1679"/>
      <c r="DE124" s="1680"/>
      <c r="DF124" s="1680"/>
      <c r="DG124" s="1680"/>
      <c r="DH124" s="1680"/>
      <c r="DI124" s="1114">
        <f t="shared" si="113"/>
        <v>0</v>
      </c>
      <c r="DJ124" s="1115"/>
      <c r="DK124" s="1115"/>
      <c r="DL124" s="1115"/>
      <c r="DM124" s="1115"/>
      <c r="DN124" s="1115"/>
      <c r="DO124" s="1115">
        <f t="shared" si="114"/>
        <v>0</v>
      </c>
      <c r="DP124" s="1675">
        <v>3792.62</v>
      </c>
      <c r="DQ124" s="1115">
        <v>2616.9</v>
      </c>
      <c r="DR124" s="1115">
        <v>1175.71</v>
      </c>
      <c r="DS124" s="1115">
        <v>-0.01</v>
      </c>
      <c r="DT124" s="1676">
        <v>0</v>
      </c>
      <c r="DU124" s="1050">
        <f t="shared" si="115"/>
        <v>7585.22</v>
      </c>
      <c r="DV124" s="1679">
        <v>4613.3900000000003</v>
      </c>
      <c r="DW124" s="1680">
        <v>0</v>
      </c>
      <c r="DX124" s="1680">
        <v>846.24</v>
      </c>
      <c r="DY124" s="1680">
        <v>0.01</v>
      </c>
      <c r="DZ124" s="1681">
        <v>0</v>
      </c>
      <c r="EA124" s="1049">
        <f t="shared" si="116"/>
        <v>5459.64</v>
      </c>
    </row>
    <row r="125" spans="1:131" x14ac:dyDescent="0.25">
      <c r="AV125" s="270">
        <v>516711.79000000021</v>
      </c>
      <c r="AW125" s="270">
        <v>129178.00999999997</v>
      </c>
      <c r="AX125" s="270">
        <v>0</v>
      </c>
      <c r="AY125" s="270">
        <v>0</v>
      </c>
      <c r="AZ125" s="270">
        <v>0</v>
      </c>
      <c r="DP125" s="481"/>
      <c r="DQ125" s="481"/>
      <c r="DR125" s="481"/>
      <c r="DS125" s="481"/>
      <c r="DT125" s="481"/>
    </row>
    <row r="126" spans="1:131" x14ac:dyDescent="0.25">
      <c r="A126" s="270" t="s">
        <v>266</v>
      </c>
      <c r="D126" s="1483">
        <v>1995704.5180505393</v>
      </c>
      <c r="E126" s="1777">
        <v>2375054.5519494605</v>
      </c>
      <c r="F126" s="1777">
        <v>842029.99000000022</v>
      </c>
      <c r="G126" s="1777">
        <v>-4821.6400000000012</v>
      </c>
      <c r="H126" s="1777">
        <v>108638.58</v>
      </c>
      <c r="I126" s="1777">
        <v>5316606</v>
      </c>
      <c r="J126" s="1777">
        <v>103816.94</v>
      </c>
      <c r="K126" s="1777">
        <v>945846.93000000017</v>
      </c>
      <c r="L126" s="1777">
        <v>0</v>
      </c>
      <c r="M126" s="1777">
        <v>0</v>
      </c>
      <c r="N126" s="1777">
        <v>0</v>
      </c>
      <c r="O126" s="1777">
        <v>0</v>
      </c>
      <c r="P126" s="1777">
        <v>0</v>
      </c>
      <c r="Q126" s="1777">
        <v>0</v>
      </c>
      <c r="R126" s="1777">
        <v>0</v>
      </c>
      <c r="S126" s="1777">
        <v>0</v>
      </c>
      <c r="T126" s="1777">
        <v>0</v>
      </c>
      <c r="U126" s="1777">
        <v>230</v>
      </c>
      <c r="V126" s="1777">
        <v>0</v>
      </c>
      <c r="W126" s="1777">
        <v>230</v>
      </c>
      <c r="X126" s="1777">
        <v>114307.09000000003</v>
      </c>
      <c r="Y126" s="1777">
        <v>680.53</v>
      </c>
      <c r="Z126" s="1777">
        <v>21092.53</v>
      </c>
      <c r="AA126" s="1777">
        <v>-20.240000000000002</v>
      </c>
      <c r="AB126" s="1777">
        <v>-55.08</v>
      </c>
      <c r="AC126" s="1777">
        <v>136004.83000000005</v>
      </c>
      <c r="AD126" s="1777">
        <v>543680.72</v>
      </c>
      <c r="AE126" s="1777">
        <v>0</v>
      </c>
      <c r="AF126" s="1777">
        <v>135920.20000000001</v>
      </c>
      <c r="AG126" s="1777">
        <v>1985.6100000000001</v>
      </c>
      <c r="AH126" s="1777">
        <v>100609.16</v>
      </c>
      <c r="AI126" s="1777">
        <v>782195.69</v>
      </c>
      <c r="AJ126" s="1777">
        <v>5462.84</v>
      </c>
      <c r="AK126" s="1777">
        <v>3603.29</v>
      </c>
      <c r="AL126" s="1777">
        <v>1663.02</v>
      </c>
      <c r="AM126" s="1777">
        <v>-0.03</v>
      </c>
      <c r="AN126" s="1777">
        <v>0</v>
      </c>
      <c r="AO126" s="1777">
        <v>10729.12</v>
      </c>
      <c r="AP126" s="1777">
        <v>55993.01999999999</v>
      </c>
      <c r="AQ126" s="1777">
        <v>13998.210000000003</v>
      </c>
      <c r="AR126" s="1777">
        <v>0</v>
      </c>
      <c r="AS126" s="1777">
        <v>0</v>
      </c>
      <c r="AT126" s="1777">
        <v>0</v>
      </c>
      <c r="AU126" s="1777">
        <v>69991.23</v>
      </c>
      <c r="AV126" s="1777">
        <v>70420.36</v>
      </c>
      <c r="AW126" s="1777">
        <v>17605.110000000004</v>
      </c>
      <c r="AX126" s="1777">
        <v>0</v>
      </c>
      <c r="AY126" s="1777">
        <v>0</v>
      </c>
      <c r="AZ126" s="1777">
        <v>0</v>
      </c>
      <c r="BA126" s="1777">
        <v>88025.47</v>
      </c>
      <c r="BB126" s="1777">
        <v>3684.3100000000004</v>
      </c>
      <c r="BC126" s="1777">
        <v>6653.26</v>
      </c>
      <c r="BD126" s="1777">
        <v>0</v>
      </c>
      <c r="BE126" s="1777">
        <v>0</v>
      </c>
      <c r="BF126" s="1777">
        <v>0</v>
      </c>
      <c r="BG126" s="1777">
        <v>10337.57</v>
      </c>
      <c r="BH126" s="1777">
        <v>593643.89</v>
      </c>
      <c r="BI126" s="1777">
        <v>75195.020000000019</v>
      </c>
      <c r="BJ126" s="1777">
        <v>122686.51999999999</v>
      </c>
      <c r="BK126" s="1777">
        <v>754.51000000000022</v>
      </c>
      <c r="BL126" s="1777">
        <v>0</v>
      </c>
      <c r="BM126" s="1777">
        <v>792279.94000000006</v>
      </c>
      <c r="BN126" s="1777">
        <v>-160</v>
      </c>
      <c r="BO126" s="1777">
        <v>-160</v>
      </c>
      <c r="BP126" s="1777">
        <v>0</v>
      </c>
      <c r="BQ126" s="1777">
        <v>0</v>
      </c>
      <c r="BR126" s="1777">
        <v>0</v>
      </c>
      <c r="BS126" s="1777">
        <v>-320</v>
      </c>
      <c r="BT126" s="1777">
        <v>383470.79805053945</v>
      </c>
      <c r="BU126" s="1777">
        <v>2171458.9019494606</v>
      </c>
      <c r="BV126" s="1777">
        <v>468656.06000000006</v>
      </c>
      <c r="BW126" s="1777">
        <v>-7772.0200000000013</v>
      </c>
      <c r="BX126" s="1777">
        <v>0</v>
      </c>
      <c r="BY126" s="1777">
        <v>3015813.74</v>
      </c>
      <c r="BZ126" s="1777">
        <v>24971.339999999997</v>
      </c>
      <c r="CA126" s="1777">
        <v>0</v>
      </c>
      <c r="CB126" s="1777">
        <v>37146.42</v>
      </c>
      <c r="CC126" s="1777">
        <v>0</v>
      </c>
      <c r="CD126" s="1777">
        <v>0</v>
      </c>
      <c r="CE126" s="1777">
        <v>62117.759999999995</v>
      </c>
      <c r="CF126" s="1777">
        <v>90.84</v>
      </c>
      <c r="CG126" s="1777">
        <v>0</v>
      </c>
      <c r="CH126" s="1777">
        <v>248.12</v>
      </c>
      <c r="CI126" s="1777">
        <v>0</v>
      </c>
      <c r="CJ126" s="1777">
        <v>0</v>
      </c>
      <c r="CK126" s="1777">
        <v>338.96000000000004</v>
      </c>
      <c r="CL126" s="1777">
        <v>0</v>
      </c>
      <c r="CM126" s="1777">
        <v>0</v>
      </c>
      <c r="CN126" s="1777">
        <v>0</v>
      </c>
      <c r="CO126" s="1777">
        <v>0</v>
      </c>
      <c r="CP126" s="1777">
        <v>0</v>
      </c>
      <c r="CQ126" s="1777">
        <v>0</v>
      </c>
      <c r="CR126" s="1777">
        <v>-460.2</v>
      </c>
      <c r="CS126" s="1777">
        <v>-460.2</v>
      </c>
      <c r="CT126" s="1777">
        <v>0</v>
      </c>
      <c r="CU126" s="1777">
        <v>0</v>
      </c>
      <c r="CV126" s="1777">
        <v>0</v>
      </c>
      <c r="CW126" s="1777">
        <v>-920.4</v>
      </c>
      <c r="CX126" s="1777">
        <v>-4981.46</v>
      </c>
      <c r="CY126" s="1777">
        <v>-4981.46</v>
      </c>
      <c r="CZ126" s="1777">
        <v>0</v>
      </c>
      <c r="DA126" s="1777">
        <v>0.02</v>
      </c>
      <c r="DB126" s="1777">
        <v>0</v>
      </c>
      <c r="DC126" s="1777">
        <v>-9962.9</v>
      </c>
      <c r="DD126" s="1777">
        <v>-110</v>
      </c>
      <c r="DE126" s="1777">
        <v>0</v>
      </c>
      <c r="DF126" s="1777">
        <v>0</v>
      </c>
      <c r="DG126" s="1777">
        <v>0</v>
      </c>
      <c r="DH126" s="1777">
        <v>0</v>
      </c>
      <c r="DI126" s="1777">
        <v>-110</v>
      </c>
      <c r="DJ126" s="1777">
        <v>-300</v>
      </c>
      <c r="DK126" s="1777">
        <v>-300</v>
      </c>
      <c r="DL126" s="1777">
        <v>0</v>
      </c>
      <c r="DM126" s="1777">
        <v>0</v>
      </c>
      <c r="DN126" s="1777">
        <v>0</v>
      </c>
      <c r="DO126" s="1777">
        <v>-600</v>
      </c>
      <c r="DP126" s="1777">
        <v>132988.20000000001</v>
      </c>
      <c r="DQ126" s="1777">
        <v>91761.89</v>
      </c>
      <c r="DR126" s="1777">
        <v>41226.349999999991</v>
      </c>
      <c r="DS126" s="1777">
        <v>-0.14000000000000001</v>
      </c>
      <c r="DT126" s="1777">
        <v>8084.5</v>
      </c>
      <c r="DU126" s="1777">
        <v>274060.79999999999</v>
      </c>
      <c r="DV126" s="1777">
        <v>73002.77</v>
      </c>
      <c r="DW126" s="1777">
        <v>0</v>
      </c>
      <c r="DX126" s="1777">
        <v>13390.77</v>
      </c>
      <c r="DY126" s="1777">
        <v>0.65</v>
      </c>
      <c r="DZ126" s="1777">
        <v>0</v>
      </c>
      <c r="EA126" s="1777">
        <v>86394.19</v>
      </c>
    </row>
    <row r="127" spans="1:131" x14ac:dyDescent="0.25">
      <c r="A127" s="270" t="s">
        <v>264</v>
      </c>
      <c r="D127" s="1483">
        <v>3118255.6452704775</v>
      </c>
      <c r="E127" s="1777">
        <v>2055347.0647295229</v>
      </c>
      <c r="F127" s="1777">
        <v>1100022.82</v>
      </c>
      <c r="G127" s="1777">
        <v>419553.92000000004</v>
      </c>
      <c r="H127" s="1777">
        <v>27429.78</v>
      </c>
      <c r="I127" s="1777">
        <v>6720609.2299999995</v>
      </c>
      <c r="J127" s="1777">
        <v>446983.70000000007</v>
      </c>
      <c r="K127" s="1777">
        <v>1547006.5200000003</v>
      </c>
      <c r="L127" s="1777">
        <v>0</v>
      </c>
      <c r="M127" s="1777">
        <v>0</v>
      </c>
      <c r="N127" s="1777">
        <v>0</v>
      </c>
      <c r="O127" s="1777">
        <v>0</v>
      </c>
      <c r="P127" s="1777">
        <v>0</v>
      </c>
      <c r="Q127" s="1777">
        <v>0</v>
      </c>
      <c r="R127" s="1777">
        <v>0</v>
      </c>
      <c r="S127" s="1777">
        <v>0</v>
      </c>
      <c r="T127" s="1777">
        <v>0</v>
      </c>
      <c r="U127" s="1777">
        <v>247311.04</v>
      </c>
      <c r="V127" s="1777">
        <v>41662.639999999999</v>
      </c>
      <c r="W127" s="1777">
        <v>288973.68</v>
      </c>
      <c r="X127" s="1777">
        <v>139414.65000000002</v>
      </c>
      <c r="Y127" s="1777">
        <v>829.93999999999994</v>
      </c>
      <c r="Z127" s="1777">
        <v>25725.429999999997</v>
      </c>
      <c r="AA127" s="1777">
        <v>-0.23</v>
      </c>
      <c r="AB127" s="1777">
        <v>0</v>
      </c>
      <c r="AC127" s="1777">
        <v>165969.79</v>
      </c>
      <c r="AD127" s="1777">
        <v>1082912.5699999998</v>
      </c>
      <c r="AE127" s="1777">
        <v>0</v>
      </c>
      <c r="AF127" s="1777">
        <v>270727.93</v>
      </c>
      <c r="AG127" s="1777">
        <v>106751.92</v>
      </c>
      <c r="AH127" s="1777">
        <v>-14306.86</v>
      </c>
      <c r="AI127" s="1777">
        <v>1446085.5599999996</v>
      </c>
      <c r="AJ127" s="1777">
        <v>110354.33</v>
      </c>
      <c r="AK127" s="1777">
        <v>24372.9</v>
      </c>
      <c r="AL127" s="1777">
        <v>24713.31</v>
      </c>
      <c r="AM127" s="1777">
        <v>753.50000000000011</v>
      </c>
      <c r="AN127" s="1777">
        <v>0</v>
      </c>
      <c r="AO127" s="1777">
        <v>160194.04</v>
      </c>
      <c r="AP127" s="1777">
        <v>46469.020000000004</v>
      </c>
      <c r="AQ127" s="1777">
        <v>11617.25</v>
      </c>
      <c r="AR127" s="1777">
        <v>0</v>
      </c>
      <c r="AS127" s="1777">
        <v>0</v>
      </c>
      <c r="AT127" s="1777">
        <v>0</v>
      </c>
      <c r="AU127" s="1777">
        <v>58086.270000000004</v>
      </c>
      <c r="AV127" s="1777">
        <v>84071.14</v>
      </c>
      <c r="AW127" s="1777">
        <v>21017.75</v>
      </c>
      <c r="AX127" s="1777">
        <v>0</v>
      </c>
      <c r="AY127" s="1777">
        <v>0</v>
      </c>
      <c r="AZ127" s="1777">
        <v>0</v>
      </c>
      <c r="BA127" s="1777">
        <v>105088.89</v>
      </c>
      <c r="BB127" s="1777">
        <v>15098.759999999997</v>
      </c>
      <c r="BC127" s="1777">
        <v>27265.85</v>
      </c>
      <c r="BD127" s="1777">
        <v>0</v>
      </c>
      <c r="BE127" s="1777">
        <v>0</v>
      </c>
      <c r="BF127" s="1777">
        <v>0</v>
      </c>
      <c r="BG127" s="1777">
        <v>42364.609999999993</v>
      </c>
      <c r="BH127" s="1777">
        <v>608462.4</v>
      </c>
      <c r="BI127" s="1777">
        <v>77072.09</v>
      </c>
      <c r="BJ127" s="1777">
        <v>125749.03</v>
      </c>
      <c r="BK127" s="1777">
        <v>479.07000000000011</v>
      </c>
      <c r="BL127" s="1777">
        <v>0</v>
      </c>
      <c r="BM127" s="1777">
        <v>811762.59</v>
      </c>
      <c r="BN127" s="1777">
        <v>-8420.9199999999983</v>
      </c>
      <c r="BO127" s="1777">
        <v>-8420.9199999999983</v>
      </c>
      <c r="BP127" s="1777">
        <v>0</v>
      </c>
      <c r="BQ127" s="1777">
        <v>2154.13</v>
      </c>
      <c r="BR127" s="1777">
        <v>0</v>
      </c>
      <c r="BS127" s="1777">
        <v>-14687.709999999995</v>
      </c>
      <c r="BT127" s="1777">
        <v>629381.01527047728</v>
      </c>
      <c r="BU127" s="1777">
        <v>1835363.7947295227</v>
      </c>
      <c r="BV127" s="1777">
        <v>452113.2</v>
      </c>
      <c r="BW127" s="1777">
        <v>-5586.51</v>
      </c>
      <c r="BX127" s="1777">
        <v>0</v>
      </c>
      <c r="BY127" s="1777">
        <v>2911271.5000000005</v>
      </c>
      <c r="BZ127" s="1777">
        <v>72779.59</v>
      </c>
      <c r="CA127" s="1777">
        <v>0</v>
      </c>
      <c r="CB127" s="1777">
        <v>108264.14</v>
      </c>
      <c r="CC127" s="1777">
        <v>652.1</v>
      </c>
      <c r="CD127" s="1777">
        <v>0</v>
      </c>
      <c r="CE127" s="1777">
        <v>181695.83</v>
      </c>
      <c r="CF127" s="1777">
        <v>3716.38</v>
      </c>
      <c r="CG127" s="1777">
        <v>0</v>
      </c>
      <c r="CH127" s="1777">
        <v>10150.700000000003</v>
      </c>
      <c r="CI127" s="1777">
        <v>0</v>
      </c>
      <c r="CJ127" s="1777">
        <v>0</v>
      </c>
      <c r="CK127" s="1777">
        <v>13867.080000000002</v>
      </c>
      <c r="CL127" s="1777">
        <v>-1083.49</v>
      </c>
      <c r="CM127" s="1777">
        <v>0</v>
      </c>
      <c r="CN127" s="1777">
        <v>0</v>
      </c>
      <c r="CO127" s="1777">
        <v>0</v>
      </c>
      <c r="CP127" s="1777">
        <v>0</v>
      </c>
      <c r="CQ127" s="1777">
        <v>-1083.49</v>
      </c>
      <c r="CR127" s="1777">
        <v>-3670.58</v>
      </c>
      <c r="CS127" s="1777">
        <v>-3670.58</v>
      </c>
      <c r="CT127" s="1777">
        <v>0</v>
      </c>
      <c r="CU127" s="1777">
        <v>0.02</v>
      </c>
      <c r="CV127" s="1777">
        <v>0</v>
      </c>
      <c r="CW127" s="1777">
        <v>-7341.1399999999994</v>
      </c>
      <c r="CX127" s="1777">
        <v>-5499.5300000000007</v>
      </c>
      <c r="CY127" s="1777">
        <v>-5499.5300000000007</v>
      </c>
      <c r="CZ127" s="1777">
        <v>0</v>
      </c>
      <c r="DA127" s="1777">
        <v>6.9999999999999993E-2</v>
      </c>
      <c r="DB127" s="1777">
        <v>0</v>
      </c>
      <c r="DC127" s="1777">
        <v>-10998.990000000002</v>
      </c>
      <c r="DD127" s="1777">
        <v>-22746.61</v>
      </c>
      <c r="DE127" s="1777">
        <v>0</v>
      </c>
      <c r="DF127" s="1777">
        <v>0</v>
      </c>
      <c r="DG127" s="1777">
        <v>0</v>
      </c>
      <c r="DH127" s="1777">
        <v>0</v>
      </c>
      <c r="DI127" s="1777">
        <v>-22746.61</v>
      </c>
      <c r="DJ127" s="1777">
        <v>-3887.2699999999995</v>
      </c>
      <c r="DK127" s="1777">
        <v>-3887.2699999999995</v>
      </c>
      <c r="DL127" s="1777">
        <v>0</v>
      </c>
      <c r="DM127" s="1777">
        <v>0.01</v>
      </c>
      <c r="DN127" s="1777">
        <v>0</v>
      </c>
      <c r="DO127" s="1777">
        <v>-7774.5299999999988</v>
      </c>
      <c r="DP127" s="1777">
        <v>114906.90000000001</v>
      </c>
      <c r="DQ127" s="1777">
        <v>79285.790000000008</v>
      </c>
      <c r="DR127" s="1777">
        <v>35621.160000000003</v>
      </c>
      <c r="DS127" s="1777">
        <v>24.869999999999997</v>
      </c>
      <c r="DT127" s="1777">
        <v>0</v>
      </c>
      <c r="DU127" s="1777">
        <v>229838.72</v>
      </c>
      <c r="DV127" s="1777">
        <v>255997.29000000004</v>
      </c>
      <c r="DW127" s="1777">
        <v>0</v>
      </c>
      <c r="DX127" s="1777">
        <v>46957.919999999998</v>
      </c>
      <c r="DY127" s="1777">
        <v>67013.930000000008</v>
      </c>
      <c r="DZ127" s="1777">
        <v>74</v>
      </c>
      <c r="EA127" s="1777">
        <v>370043.14</v>
      </c>
    </row>
    <row r="128" spans="1:131" x14ac:dyDescent="0.25">
      <c r="A128" s="270" t="s">
        <v>267</v>
      </c>
      <c r="D128" s="1483">
        <v>3528868.5687666987</v>
      </c>
      <c r="E128" s="1777">
        <v>2102057.1012333012</v>
      </c>
      <c r="F128" s="1777">
        <v>1234295.8799999999</v>
      </c>
      <c r="G128" s="1777">
        <v>1217723.0999999994</v>
      </c>
      <c r="H128" s="1777">
        <v>1886563.6900000002</v>
      </c>
      <c r="I128" s="1777">
        <v>9969508.3399999999</v>
      </c>
      <c r="J128" s="1777">
        <v>3104286.7899999996</v>
      </c>
      <c r="K128" s="1777">
        <v>4338582.67</v>
      </c>
      <c r="L128" s="1777">
        <v>0</v>
      </c>
      <c r="M128" s="1777">
        <v>5931.27</v>
      </c>
      <c r="N128" s="1777">
        <v>0</v>
      </c>
      <c r="O128" s="1777">
        <v>0</v>
      </c>
      <c r="P128" s="1777">
        <v>0</v>
      </c>
      <c r="Q128" s="1777">
        <v>5931.27</v>
      </c>
      <c r="R128" s="1777">
        <v>0</v>
      </c>
      <c r="S128" s="1777">
        <v>0</v>
      </c>
      <c r="T128" s="1777">
        <v>0</v>
      </c>
      <c r="U128" s="1777">
        <v>33311.01</v>
      </c>
      <c r="V128" s="1777">
        <v>0</v>
      </c>
      <c r="W128" s="1777">
        <v>33311.01</v>
      </c>
      <c r="X128" s="1777">
        <v>199869.59000000003</v>
      </c>
      <c r="Y128" s="1777">
        <v>1189.8099999999997</v>
      </c>
      <c r="Z128" s="1777">
        <v>36880.870000000003</v>
      </c>
      <c r="AA128" s="1777">
        <v>-0.26999999999999996</v>
      </c>
      <c r="AB128" s="1777">
        <v>0</v>
      </c>
      <c r="AC128" s="1777">
        <v>237940.00000000003</v>
      </c>
      <c r="AD128" s="1777">
        <v>1443726.83</v>
      </c>
      <c r="AE128" s="1777">
        <v>0</v>
      </c>
      <c r="AF128" s="1777">
        <v>360931.62</v>
      </c>
      <c r="AG128" s="1777">
        <v>1143679.75</v>
      </c>
      <c r="AH128" s="1777">
        <v>1780661.09</v>
      </c>
      <c r="AI128" s="1777">
        <v>4728999.29</v>
      </c>
      <c r="AJ128" s="1777">
        <v>46147.460000000006</v>
      </c>
      <c r="AK128" s="1777">
        <v>12643.400000000001</v>
      </c>
      <c r="AL128" s="1777">
        <v>10784.130000000001</v>
      </c>
      <c r="AM128" s="1777">
        <v>-0.15</v>
      </c>
      <c r="AN128" s="1777">
        <v>597.70000000000005</v>
      </c>
      <c r="AO128" s="1777">
        <v>70172.540000000008</v>
      </c>
      <c r="AP128" s="1777">
        <v>121502.32999999997</v>
      </c>
      <c r="AQ128" s="1777">
        <v>30375.579999999998</v>
      </c>
      <c r="AR128" s="1777">
        <v>0</v>
      </c>
      <c r="AS128" s="1777">
        <v>0</v>
      </c>
      <c r="AT128" s="1777">
        <v>0</v>
      </c>
      <c r="AU128" s="1777">
        <v>151877.90999999997</v>
      </c>
      <c r="AV128" s="1777">
        <v>130041.48000000001</v>
      </c>
      <c r="AW128" s="1777">
        <v>32510.410000000003</v>
      </c>
      <c r="AX128" s="1777">
        <v>0</v>
      </c>
      <c r="AY128" s="1777">
        <v>0</v>
      </c>
      <c r="AZ128" s="1777">
        <v>0</v>
      </c>
      <c r="BA128" s="1777">
        <v>162551.89000000001</v>
      </c>
      <c r="BB128" s="1777">
        <v>26808.01</v>
      </c>
      <c r="BC128" s="1777">
        <v>48410.94</v>
      </c>
      <c r="BD128" s="1777">
        <v>0</v>
      </c>
      <c r="BE128" s="1777">
        <v>-0.01</v>
      </c>
      <c r="BF128" s="1777">
        <v>0</v>
      </c>
      <c r="BG128" s="1777">
        <v>75218.94</v>
      </c>
      <c r="BH128" s="1777">
        <v>706123.54000000015</v>
      </c>
      <c r="BI128" s="1777">
        <v>89442.61</v>
      </c>
      <c r="BJ128" s="1777">
        <v>145932.45999999996</v>
      </c>
      <c r="BK128" s="1777">
        <v>1966.8800000000006</v>
      </c>
      <c r="BL128" s="1777">
        <v>6558.49</v>
      </c>
      <c r="BM128" s="1777">
        <v>950023.9800000001</v>
      </c>
      <c r="BN128" s="1777">
        <v>-4212.34</v>
      </c>
      <c r="BO128" s="1777">
        <v>-4212.34</v>
      </c>
      <c r="BP128" s="1777">
        <v>0</v>
      </c>
      <c r="BQ128" s="1777">
        <v>0.05</v>
      </c>
      <c r="BR128" s="1777">
        <v>0</v>
      </c>
      <c r="BS128" s="1777">
        <v>-8424.630000000001</v>
      </c>
      <c r="BT128" s="1777">
        <v>436800.57876669872</v>
      </c>
      <c r="BU128" s="1777">
        <v>1783733.4712333016</v>
      </c>
      <c r="BV128" s="1777">
        <v>407317.41999999993</v>
      </c>
      <c r="BW128" s="1777">
        <v>-1.9200000000000004</v>
      </c>
      <c r="BX128" s="1777">
        <v>88549.33</v>
      </c>
      <c r="BY128" s="1777">
        <v>2716398.8800000004</v>
      </c>
      <c r="BZ128" s="1777">
        <v>123396.11000000002</v>
      </c>
      <c r="CA128" s="1777">
        <v>0</v>
      </c>
      <c r="CB128" s="1777">
        <v>183559.24000000002</v>
      </c>
      <c r="CC128" s="1777">
        <v>40413.680000000008</v>
      </c>
      <c r="CD128" s="1777">
        <v>141.56</v>
      </c>
      <c r="CE128" s="1777">
        <v>347510.59</v>
      </c>
      <c r="CF128" s="1777">
        <v>1227.76</v>
      </c>
      <c r="CG128" s="1777">
        <v>0</v>
      </c>
      <c r="CH128" s="1777">
        <v>3353.43</v>
      </c>
      <c r="CI128" s="1777">
        <v>0</v>
      </c>
      <c r="CJ128" s="1777">
        <v>0</v>
      </c>
      <c r="CK128" s="1777">
        <v>4581.1899999999996</v>
      </c>
      <c r="CL128" s="1777">
        <v>-251.27</v>
      </c>
      <c r="CM128" s="1777">
        <v>0</v>
      </c>
      <c r="CN128" s="1777">
        <v>0</v>
      </c>
      <c r="CO128" s="1777">
        <v>0</v>
      </c>
      <c r="CP128" s="1777">
        <v>0</v>
      </c>
      <c r="CQ128" s="1777">
        <v>-251.27</v>
      </c>
      <c r="CR128" s="1777">
        <v>-1915.74</v>
      </c>
      <c r="CS128" s="1777">
        <v>-1915.74</v>
      </c>
      <c r="CT128" s="1777">
        <v>0</v>
      </c>
      <c r="CU128" s="1777">
        <v>0.01</v>
      </c>
      <c r="CV128" s="1777">
        <v>0</v>
      </c>
      <c r="CW128" s="1777">
        <v>-3831.47</v>
      </c>
      <c r="CX128" s="1777">
        <v>-6783.0599999999995</v>
      </c>
      <c r="CY128" s="1777">
        <v>-6783.0599999999995</v>
      </c>
      <c r="CZ128" s="1777">
        <v>0</v>
      </c>
      <c r="DA128" s="1777">
        <v>0.04</v>
      </c>
      <c r="DB128" s="1777">
        <v>0</v>
      </c>
      <c r="DC128" s="1777">
        <v>-13566.079999999998</v>
      </c>
      <c r="DD128" s="1777">
        <v>-38916.910000000003</v>
      </c>
      <c r="DE128" s="1777">
        <v>0</v>
      </c>
      <c r="DF128" s="1777">
        <v>0</v>
      </c>
      <c r="DG128" s="1777">
        <v>0</v>
      </c>
      <c r="DH128" s="1777">
        <v>0</v>
      </c>
      <c r="DI128" s="1777">
        <v>-38916.910000000003</v>
      </c>
      <c r="DJ128" s="1777">
        <v>-5139.59</v>
      </c>
      <c r="DK128" s="1777">
        <v>-5139.59</v>
      </c>
      <c r="DL128" s="1777">
        <v>0</v>
      </c>
      <c r="DM128" s="1777">
        <v>0.01</v>
      </c>
      <c r="DN128" s="1777">
        <v>0</v>
      </c>
      <c r="DO128" s="1777">
        <v>-10279.17</v>
      </c>
      <c r="DP128" s="1777">
        <v>167928.12</v>
      </c>
      <c r="DQ128" s="1777">
        <v>115870.34</v>
      </c>
      <c r="DR128" s="1777">
        <v>52057.740000000005</v>
      </c>
      <c r="DS128" s="1777">
        <v>2228.4599999999991</v>
      </c>
      <c r="DT128" s="1777">
        <v>2094.2600000000002</v>
      </c>
      <c r="DU128" s="1777">
        <v>340178.92</v>
      </c>
      <c r="DV128" s="1777">
        <v>182515.67000000007</v>
      </c>
      <c r="DW128" s="1777">
        <v>0</v>
      </c>
      <c r="DX128" s="1777">
        <v>33478.97</v>
      </c>
      <c r="DY128" s="1777">
        <v>-3874.4400000000005</v>
      </c>
      <c r="DZ128" s="1777">
        <v>7961.26</v>
      </c>
      <c r="EA128" s="1777">
        <v>220081.46000000008</v>
      </c>
    </row>
    <row r="129" spans="1:131" x14ac:dyDescent="0.25">
      <c r="A129" s="270" t="s">
        <v>265</v>
      </c>
      <c r="D129" s="1483">
        <v>2307824.9945180579</v>
      </c>
      <c r="E129" s="1777">
        <v>1746268.9554819423</v>
      </c>
      <c r="F129" s="1777">
        <v>791231.2300000001</v>
      </c>
      <c r="G129" s="1777">
        <v>-121.36000000000118</v>
      </c>
      <c r="H129" s="1777">
        <v>52234.139999999992</v>
      </c>
      <c r="I129" s="1777">
        <v>4897437.9600000009</v>
      </c>
      <c r="J129" s="1777">
        <v>52112.779999999992</v>
      </c>
      <c r="K129" s="1777">
        <v>843344.01000000013</v>
      </c>
      <c r="L129" s="1777">
        <v>0</v>
      </c>
      <c r="M129" s="1777">
        <v>0</v>
      </c>
      <c r="N129" s="1777">
        <v>0</v>
      </c>
      <c r="O129" s="1777">
        <v>0</v>
      </c>
      <c r="P129" s="1777">
        <v>0</v>
      </c>
      <c r="Q129" s="1777">
        <v>0</v>
      </c>
      <c r="R129" s="1777">
        <v>0</v>
      </c>
      <c r="S129" s="1777">
        <v>0</v>
      </c>
      <c r="T129" s="1777">
        <v>0</v>
      </c>
      <c r="U129" s="1777">
        <v>0</v>
      </c>
      <c r="V129" s="1777">
        <v>48392.34</v>
      </c>
      <c r="W129" s="1777">
        <v>48392.34</v>
      </c>
      <c r="X129" s="1777">
        <v>118812.88999999997</v>
      </c>
      <c r="Y129" s="1777">
        <v>707.31</v>
      </c>
      <c r="Z129" s="1777">
        <v>21923.91</v>
      </c>
      <c r="AA129" s="1777">
        <v>-0.2</v>
      </c>
      <c r="AB129" s="1777">
        <v>203.69</v>
      </c>
      <c r="AC129" s="1777">
        <v>141647.59999999995</v>
      </c>
      <c r="AD129" s="1777">
        <v>737811.08999999985</v>
      </c>
      <c r="AE129" s="1777">
        <v>0</v>
      </c>
      <c r="AF129" s="1777">
        <v>184452.67000000004</v>
      </c>
      <c r="AG129" s="1777">
        <v>0</v>
      </c>
      <c r="AH129" s="1777">
        <v>2893.26</v>
      </c>
      <c r="AI129" s="1777">
        <v>925157.0199999999</v>
      </c>
      <c r="AJ129" s="1777">
        <v>61423.13</v>
      </c>
      <c r="AK129" s="1777">
        <v>15106.380000000001</v>
      </c>
      <c r="AL129" s="1777">
        <v>14038.02</v>
      </c>
      <c r="AM129" s="1777">
        <v>-0.26</v>
      </c>
      <c r="AN129" s="1777">
        <v>0</v>
      </c>
      <c r="AO129" s="1777">
        <v>90567.27</v>
      </c>
      <c r="AP129" s="1777">
        <v>92912.35</v>
      </c>
      <c r="AQ129" s="1777">
        <v>23228.11</v>
      </c>
      <c r="AR129" s="1777">
        <v>0</v>
      </c>
      <c r="AS129" s="1777">
        <v>0</v>
      </c>
      <c r="AT129" s="1777">
        <v>726.65</v>
      </c>
      <c r="AU129" s="1777">
        <v>116867.11</v>
      </c>
      <c r="AV129" s="1777">
        <v>150516.68999999997</v>
      </c>
      <c r="AW129" s="1777">
        <v>37629.169999999991</v>
      </c>
      <c r="AX129" s="1777">
        <v>0</v>
      </c>
      <c r="AY129" s="1777">
        <v>0</v>
      </c>
      <c r="AZ129" s="1777">
        <v>0</v>
      </c>
      <c r="BA129" s="1777">
        <v>188145.85999999996</v>
      </c>
      <c r="BB129" s="1777">
        <v>22618.700000000004</v>
      </c>
      <c r="BC129" s="1777">
        <v>40845.75</v>
      </c>
      <c r="BD129" s="1777">
        <v>0</v>
      </c>
      <c r="BE129" s="1777">
        <v>0</v>
      </c>
      <c r="BF129" s="1777">
        <v>0</v>
      </c>
      <c r="BG129" s="1777">
        <v>63464.450000000004</v>
      </c>
      <c r="BH129" s="1777">
        <v>534313.59000000008</v>
      </c>
      <c r="BI129" s="1777">
        <v>67679.850000000006</v>
      </c>
      <c r="BJ129" s="1777">
        <v>110425.02000000002</v>
      </c>
      <c r="BK129" s="1777">
        <v>-0.8600000000000001</v>
      </c>
      <c r="BL129" s="1777">
        <v>0</v>
      </c>
      <c r="BM129" s="1777">
        <v>712417.60000000009</v>
      </c>
      <c r="BN129" s="1777">
        <v>-2955.12</v>
      </c>
      <c r="BO129" s="1777">
        <v>-2955.12</v>
      </c>
      <c r="BP129" s="1777">
        <v>0</v>
      </c>
      <c r="BQ129" s="1777">
        <v>0.04</v>
      </c>
      <c r="BR129" s="1777">
        <v>0</v>
      </c>
      <c r="BS129" s="1777">
        <v>-5910.2</v>
      </c>
      <c r="BT129" s="1777">
        <v>320945.63451805792</v>
      </c>
      <c r="BU129" s="1777">
        <v>1497140.0254819421</v>
      </c>
      <c r="BV129" s="1777">
        <v>333495.42000000004</v>
      </c>
      <c r="BW129" s="1777">
        <v>2878.93</v>
      </c>
      <c r="BX129" s="1777">
        <v>0</v>
      </c>
      <c r="BY129" s="1777">
        <v>2154460.0100000002</v>
      </c>
      <c r="BZ129" s="1777">
        <v>45965.03</v>
      </c>
      <c r="CA129" s="1777">
        <v>0</v>
      </c>
      <c r="CB129" s="1777">
        <v>68375.899999999994</v>
      </c>
      <c r="CC129" s="1777">
        <v>-0.03</v>
      </c>
      <c r="CD129" s="1777">
        <v>0</v>
      </c>
      <c r="CE129" s="1777">
        <v>114340.9</v>
      </c>
      <c r="CF129" s="1777">
        <v>0</v>
      </c>
      <c r="CG129" s="1777">
        <v>0</v>
      </c>
      <c r="CH129" s="1777">
        <v>0</v>
      </c>
      <c r="CI129" s="1777">
        <v>0</v>
      </c>
      <c r="CJ129" s="1777">
        <v>0</v>
      </c>
      <c r="CK129" s="1777">
        <v>0</v>
      </c>
      <c r="CL129" s="1777">
        <v>-1908.12</v>
      </c>
      <c r="CM129" s="1777">
        <v>0</v>
      </c>
      <c r="CN129" s="1777">
        <v>0</v>
      </c>
      <c r="CO129" s="1777">
        <v>0</v>
      </c>
      <c r="CP129" s="1777">
        <v>0</v>
      </c>
      <c r="CQ129" s="1777">
        <v>-1908.12</v>
      </c>
      <c r="CR129" s="1777">
        <v>-250.54</v>
      </c>
      <c r="CS129" s="1777">
        <v>-250.54</v>
      </c>
      <c r="CT129" s="1777">
        <v>0</v>
      </c>
      <c r="CU129" s="1777">
        <v>0</v>
      </c>
      <c r="CV129" s="1777">
        <v>0</v>
      </c>
      <c r="CW129" s="1777">
        <v>-501.08</v>
      </c>
      <c r="CX129" s="1777">
        <v>-3007.51</v>
      </c>
      <c r="CY129" s="1777">
        <v>-3007.51</v>
      </c>
      <c r="CZ129" s="1777">
        <v>0</v>
      </c>
      <c r="DA129" s="1777">
        <v>0.03</v>
      </c>
      <c r="DB129" s="1777">
        <v>0</v>
      </c>
      <c r="DC129" s="1777">
        <v>-6014.9900000000007</v>
      </c>
      <c r="DD129" s="1777">
        <v>-11286.439999999999</v>
      </c>
      <c r="DE129" s="1777">
        <v>0</v>
      </c>
      <c r="DF129" s="1777">
        <v>0</v>
      </c>
      <c r="DG129" s="1777">
        <v>0</v>
      </c>
      <c r="DH129" s="1777">
        <v>0</v>
      </c>
      <c r="DI129" s="1777">
        <v>-11286.439999999999</v>
      </c>
      <c r="DJ129" s="1777">
        <v>-3486.46</v>
      </c>
      <c r="DK129" s="1777">
        <v>-3486.46</v>
      </c>
      <c r="DL129" s="1777">
        <v>0</v>
      </c>
      <c r="DM129" s="1777">
        <v>0</v>
      </c>
      <c r="DN129" s="1777">
        <v>0</v>
      </c>
      <c r="DO129" s="1777">
        <v>-6972.92</v>
      </c>
      <c r="DP129" s="1777">
        <v>106713.23</v>
      </c>
      <c r="DQ129" s="1777">
        <v>73631.990000000005</v>
      </c>
      <c r="DR129" s="1777">
        <v>33081.06</v>
      </c>
      <c r="DS129" s="1777">
        <v>-2909.9500000000007</v>
      </c>
      <c r="DT129" s="1777">
        <v>0</v>
      </c>
      <c r="DU129" s="1777">
        <v>210516.33</v>
      </c>
      <c r="DV129" s="1777">
        <v>138686.85</v>
      </c>
      <c r="DW129" s="1777">
        <v>0</v>
      </c>
      <c r="DX129" s="1777">
        <v>25439.229999999996</v>
      </c>
      <c r="DY129" s="1777">
        <v>-89.06</v>
      </c>
      <c r="DZ129" s="1777">
        <v>18.2</v>
      </c>
      <c r="EA129" s="1777">
        <v>164055.22000000003</v>
      </c>
    </row>
    <row r="130" spans="1:131" x14ac:dyDescent="0.25">
      <c r="A130" s="270" t="s">
        <v>268</v>
      </c>
      <c r="D130" s="1483">
        <v>1572299.7433942261</v>
      </c>
      <c r="E130" s="1777">
        <v>1023101.4966057738</v>
      </c>
      <c r="F130" s="1777">
        <v>503078.97999999992</v>
      </c>
      <c r="G130" s="1777">
        <v>3698.31</v>
      </c>
      <c r="H130" s="1777">
        <v>1782.16</v>
      </c>
      <c r="I130" s="1777">
        <v>3103960.69</v>
      </c>
      <c r="J130" s="1777">
        <v>5480.47</v>
      </c>
      <c r="K130" s="1777">
        <v>508559.4499999999</v>
      </c>
      <c r="L130" s="1777">
        <v>0</v>
      </c>
      <c r="M130" s="1777">
        <v>548</v>
      </c>
      <c r="N130" s="1777">
        <v>0</v>
      </c>
      <c r="O130" s="1777">
        <v>0</v>
      </c>
      <c r="P130" s="1777">
        <v>0</v>
      </c>
      <c r="Q130" s="1777">
        <v>548</v>
      </c>
      <c r="R130" s="1777">
        <v>0</v>
      </c>
      <c r="S130" s="1777">
        <v>0</v>
      </c>
      <c r="T130" s="1777">
        <v>0</v>
      </c>
      <c r="U130" s="1777">
        <v>3191.25</v>
      </c>
      <c r="V130" s="1777">
        <v>0</v>
      </c>
      <c r="W130" s="1777">
        <v>3191.25</v>
      </c>
      <c r="X130" s="1777">
        <v>65153.71</v>
      </c>
      <c r="Y130" s="1777">
        <v>387.86</v>
      </c>
      <c r="Z130" s="1777">
        <v>12022.49</v>
      </c>
      <c r="AA130" s="1777">
        <v>622.46000000000015</v>
      </c>
      <c r="AB130" s="1777">
        <v>1807.46</v>
      </c>
      <c r="AC130" s="1777">
        <v>79993.98000000001</v>
      </c>
      <c r="AD130" s="1777">
        <v>689413.00999999989</v>
      </c>
      <c r="AE130" s="1777">
        <v>0</v>
      </c>
      <c r="AF130" s="1777">
        <v>172353.26999999996</v>
      </c>
      <c r="AG130" s="1777">
        <v>0</v>
      </c>
      <c r="AH130" s="1777">
        <v>0</v>
      </c>
      <c r="AI130" s="1777">
        <v>861766.2799999998</v>
      </c>
      <c r="AJ130" s="1777">
        <v>30632.09</v>
      </c>
      <c r="AK130" s="1777">
        <v>8407.36</v>
      </c>
      <c r="AL130" s="1777">
        <v>7161.08</v>
      </c>
      <c r="AM130" s="1777">
        <v>-0.11</v>
      </c>
      <c r="AN130" s="1777">
        <v>0</v>
      </c>
      <c r="AO130" s="1777">
        <v>46200.42</v>
      </c>
      <c r="AP130" s="1777">
        <v>46360.29</v>
      </c>
      <c r="AQ130" s="1777">
        <v>11590.08</v>
      </c>
      <c r="AR130" s="1777">
        <v>0</v>
      </c>
      <c r="AS130" s="1777">
        <v>0</v>
      </c>
      <c r="AT130" s="1777">
        <v>0</v>
      </c>
      <c r="AU130" s="1777">
        <v>57950.37</v>
      </c>
      <c r="AV130" s="1777">
        <v>81662.12</v>
      </c>
      <c r="AW130" s="1777">
        <v>20415.57</v>
      </c>
      <c r="AX130" s="1777">
        <v>0</v>
      </c>
      <c r="AY130" s="1777">
        <v>0</v>
      </c>
      <c r="AZ130" s="1777">
        <v>0</v>
      </c>
      <c r="BA130" s="1777">
        <v>102077.69</v>
      </c>
      <c r="BB130" s="1777">
        <v>2158.7699999999995</v>
      </c>
      <c r="BC130" s="1777">
        <v>3898.36</v>
      </c>
      <c r="BD130" s="1777">
        <v>0</v>
      </c>
      <c r="BE130" s="1777">
        <v>0</v>
      </c>
      <c r="BF130" s="1777">
        <v>0</v>
      </c>
      <c r="BG130" s="1777">
        <v>6057.1299999999992</v>
      </c>
      <c r="BH130" s="1777">
        <v>310509.51</v>
      </c>
      <c r="BI130" s="1777">
        <v>39331.360000000008</v>
      </c>
      <c r="BJ130" s="1777">
        <v>64172.13</v>
      </c>
      <c r="BK130" s="1777">
        <v>-113.94000000000004</v>
      </c>
      <c r="BL130" s="1777">
        <v>0</v>
      </c>
      <c r="BM130" s="1777">
        <v>413899.06</v>
      </c>
      <c r="BN130" s="1777">
        <v>-1500.57</v>
      </c>
      <c r="BO130" s="1777">
        <v>-1500.57</v>
      </c>
      <c r="BP130" s="1777">
        <v>0</v>
      </c>
      <c r="BQ130" s="1777">
        <v>0</v>
      </c>
      <c r="BR130" s="1777">
        <v>0</v>
      </c>
      <c r="BS130" s="1777">
        <v>-3001.14</v>
      </c>
      <c r="BT130" s="1777">
        <v>163075.83339422627</v>
      </c>
      <c r="BU130" s="1777">
        <v>882925.31660577375</v>
      </c>
      <c r="BV130" s="1777">
        <v>191870.07999999999</v>
      </c>
      <c r="BW130" s="1777">
        <v>-1.9400000000000004</v>
      </c>
      <c r="BX130" s="1777">
        <v>-25.3</v>
      </c>
      <c r="BY130" s="1777">
        <v>1237843.99</v>
      </c>
      <c r="BZ130" s="1777">
        <v>7691.55</v>
      </c>
      <c r="CA130" s="1777">
        <v>0</v>
      </c>
      <c r="CB130" s="1777">
        <v>11441.67</v>
      </c>
      <c r="CC130" s="1777">
        <v>-0.01</v>
      </c>
      <c r="CD130" s="1777">
        <v>0</v>
      </c>
      <c r="CE130" s="1777">
        <v>19133.210000000003</v>
      </c>
      <c r="CF130" s="1777">
        <v>160.80000000000001</v>
      </c>
      <c r="CG130" s="1777">
        <v>0</v>
      </c>
      <c r="CH130" s="1777">
        <v>439.2</v>
      </c>
      <c r="CI130" s="1777">
        <v>0</v>
      </c>
      <c r="CJ130" s="1777">
        <v>0</v>
      </c>
      <c r="CK130" s="1777">
        <v>600</v>
      </c>
      <c r="CL130" s="1777">
        <v>0</v>
      </c>
      <c r="CM130" s="1777">
        <v>0</v>
      </c>
      <c r="CN130" s="1777">
        <v>0</v>
      </c>
      <c r="CO130" s="1777">
        <v>0</v>
      </c>
      <c r="CP130" s="1777">
        <v>0</v>
      </c>
      <c r="CQ130" s="1777">
        <v>0</v>
      </c>
      <c r="CR130" s="1777">
        <v>-50</v>
      </c>
      <c r="CS130" s="1777">
        <v>-50</v>
      </c>
      <c r="CT130" s="1777">
        <v>0</v>
      </c>
      <c r="CU130" s="1777">
        <v>0</v>
      </c>
      <c r="CV130" s="1777">
        <v>0</v>
      </c>
      <c r="CW130" s="1777">
        <v>-100</v>
      </c>
      <c r="CX130" s="1777">
        <v>-440</v>
      </c>
      <c r="CY130" s="1777">
        <v>-440</v>
      </c>
      <c r="CZ130" s="1777">
        <v>0</v>
      </c>
      <c r="DA130" s="1777">
        <v>0</v>
      </c>
      <c r="DB130" s="1777">
        <v>0</v>
      </c>
      <c r="DC130" s="1777">
        <v>-880</v>
      </c>
      <c r="DD130" s="1777">
        <v>-2385</v>
      </c>
      <c r="DE130" s="1777">
        <v>0</v>
      </c>
      <c r="DF130" s="1777">
        <v>0</v>
      </c>
      <c r="DG130" s="1777">
        <v>0</v>
      </c>
      <c r="DH130" s="1777">
        <v>0</v>
      </c>
      <c r="DI130" s="1777">
        <v>-2385</v>
      </c>
      <c r="DJ130" s="1777">
        <v>-175</v>
      </c>
      <c r="DK130" s="1777">
        <v>-175</v>
      </c>
      <c r="DL130" s="1777">
        <v>0</v>
      </c>
      <c r="DM130" s="1777">
        <v>0</v>
      </c>
      <c r="DN130" s="1777">
        <v>0</v>
      </c>
      <c r="DO130" s="1777">
        <v>-350</v>
      </c>
      <c r="DP130" s="1777">
        <v>83714.709999999992</v>
      </c>
      <c r="DQ130" s="1777">
        <v>57763.159999999996</v>
      </c>
      <c r="DR130" s="1777">
        <v>25951.58</v>
      </c>
      <c r="DS130" s="1777">
        <v>-0.13</v>
      </c>
      <c r="DT130" s="1777">
        <v>0</v>
      </c>
      <c r="DU130" s="1777">
        <v>167429.32</v>
      </c>
      <c r="DV130" s="1777">
        <v>96317.919999999984</v>
      </c>
      <c r="DW130" s="1777">
        <v>0</v>
      </c>
      <c r="DX130" s="1777">
        <v>17667.48</v>
      </c>
      <c r="DY130" s="1777">
        <v>0.72999999999999987</v>
      </c>
      <c r="DZ130" s="1777">
        <v>0</v>
      </c>
      <c r="EA130" s="1777">
        <v>113986.12999999998</v>
      </c>
    </row>
    <row r="131" spans="1:131" x14ac:dyDescent="0.25">
      <c r="A131" s="270" t="s">
        <v>9</v>
      </c>
      <c r="D131" s="1490">
        <f t="shared" ref="D131" si="117">SUM(D126:D130)</f>
        <v>12522953.469999999</v>
      </c>
      <c r="E131" s="1779">
        <f t="shared" ref="E131:H131" si="118">SUM(E126:E130)</f>
        <v>9301829.1700000018</v>
      </c>
      <c r="F131" s="1779">
        <f t="shared" si="118"/>
        <v>4470658.9000000004</v>
      </c>
      <c r="G131" s="1779">
        <f t="shared" si="118"/>
        <v>1636032.3299999994</v>
      </c>
      <c r="H131" s="1779">
        <f t="shared" si="118"/>
        <v>2076648.35</v>
      </c>
      <c r="I131" s="1779">
        <f t="shared" ref="I131" si="119">SUM(I126:I130)</f>
        <v>30008122.220000003</v>
      </c>
      <c r="J131" s="1779">
        <f>SUM(J126:J130)</f>
        <v>3712680.6799999997</v>
      </c>
      <c r="K131" s="1779">
        <f>SUM(K126:K130)</f>
        <v>8183339.5800000001</v>
      </c>
      <c r="L131" s="1779">
        <f t="shared" ref="L131:P131" si="120">SUM(L126:L130)</f>
        <v>0</v>
      </c>
      <c r="M131" s="1779">
        <f t="shared" si="120"/>
        <v>6479.27</v>
      </c>
      <c r="N131" s="1779">
        <f t="shared" si="120"/>
        <v>0</v>
      </c>
      <c r="O131" s="1779">
        <f t="shared" si="120"/>
        <v>0</v>
      </c>
      <c r="P131" s="1779">
        <f t="shared" si="120"/>
        <v>0</v>
      </c>
      <c r="Q131" s="1779">
        <f>SUM(Q126:Q130)</f>
        <v>6479.27</v>
      </c>
      <c r="R131" s="1779">
        <f t="shared" ref="R131:V131" si="121">SUM(R126:R130)</f>
        <v>0</v>
      </c>
      <c r="S131" s="1779">
        <f t="shared" si="121"/>
        <v>0</v>
      </c>
      <c r="T131" s="1779">
        <f t="shared" si="121"/>
        <v>0</v>
      </c>
      <c r="U131" s="1779">
        <f t="shared" si="121"/>
        <v>284043.3</v>
      </c>
      <c r="V131" s="1779">
        <f t="shared" si="121"/>
        <v>90054.98</v>
      </c>
      <c r="W131" s="1779">
        <f>SUM(W126:W130)</f>
        <v>374098.28</v>
      </c>
      <c r="X131" s="1779">
        <f t="shared" ref="X131:AB131" si="122">SUM(X126:X130)</f>
        <v>637557.93000000005</v>
      </c>
      <c r="Y131" s="1779">
        <f t="shared" si="122"/>
        <v>3795.45</v>
      </c>
      <c r="Z131" s="1779">
        <f t="shared" si="122"/>
        <v>117645.23</v>
      </c>
      <c r="AA131" s="1779">
        <f t="shared" si="122"/>
        <v>601.5200000000001</v>
      </c>
      <c r="AB131" s="1779">
        <f t="shared" si="122"/>
        <v>1956.0700000000002</v>
      </c>
      <c r="AC131" s="1779">
        <f>SUM(AC126:AC130)</f>
        <v>761556.20000000007</v>
      </c>
      <c r="AD131" s="1779">
        <f t="shared" ref="AD131:AH131" si="123">SUM(AD126:AD130)</f>
        <v>4497544.22</v>
      </c>
      <c r="AE131" s="1779">
        <f t="shared" si="123"/>
        <v>0</v>
      </c>
      <c r="AF131" s="1779">
        <f t="shared" si="123"/>
        <v>1124385.69</v>
      </c>
      <c r="AG131" s="1779">
        <f t="shared" si="123"/>
        <v>1252417.28</v>
      </c>
      <c r="AH131" s="1779">
        <f t="shared" si="123"/>
        <v>1869856.6500000001</v>
      </c>
      <c r="AI131" s="1779">
        <f>SUM(AI126:AI130)</f>
        <v>8744203.839999998</v>
      </c>
      <c r="AJ131" s="1779">
        <f t="shared" ref="AJ131:AN131" si="124">SUM(AJ126:AJ130)</f>
        <v>254019.85</v>
      </c>
      <c r="AK131" s="1779">
        <f t="shared" si="124"/>
        <v>64133.33</v>
      </c>
      <c r="AL131" s="1779">
        <f t="shared" si="124"/>
        <v>58359.560000000012</v>
      </c>
      <c r="AM131" s="1779">
        <f t="shared" si="124"/>
        <v>752.95000000000016</v>
      </c>
      <c r="AN131" s="1779">
        <f t="shared" si="124"/>
        <v>597.70000000000005</v>
      </c>
      <c r="AO131" s="1779">
        <f>SUM(AO126:AO130)</f>
        <v>377863.39</v>
      </c>
      <c r="AP131" s="1779">
        <f t="shared" ref="AP131:AT131" si="125">SUM(AP126:AP130)</f>
        <v>363237.00999999995</v>
      </c>
      <c r="AQ131" s="1779">
        <f t="shared" si="125"/>
        <v>90809.23</v>
      </c>
      <c r="AR131" s="1779">
        <f t="shared" si="125"/>
        <v>0</v>
      </c>
      <c r="AS131" s="1779">
        <f t="shared" si="125"/>
        <v>0</v>
      </c>
      <c r="AT131" s="1779">
        <f t="shared" si="125"/>
        <v>726.65</v>
      </c>
      <c r="AU131" s="1779">
        <f>SUM(AU126:AU130)</f>
        <v>454772.88999999996</v>
      </c>
      <c r="AV131" s="1779">
        <f t="shared" ref="AV131:AZ131" si="126">SUM(AV126:AV130)</f>
        <v>516711.78999999992</v>
      </c>
      <c r="AW131" s="1779">
        <f t="shared" si="126"/>
        <v>129178.01000000001</v>
      </c>
      <c r="AX131" s="1779">
        <f t="shared" si="126"/>
        <v>0</v>
      </c>
      <c r="AY131" s="1779">
        <f t="shared" si="126"/>
        <v>0</v>
      </c>
      <c r="AZ131" s="1779">
        <f t="shared" si="126"/>
        <v>0</v>
      </c>
      <c r="BA131" s="1779">
        <f>SUM(BA126:BA130)</f>
        <v>645889.80000000005</v>
      </c>
      <c r="BB131" s="1779">
        <f t="shared" ref="BB131:BF131" si="127">SUM(BB126:BB130)</f>
        <v>70368.55</v>
      </c>
      <c r="BC131" s="1779">
        <f t="shared" si="127"/>
        <v>127074.16</v>
      </c>
      <c r="BD131" s="1779">
        <f t="shared" si="127"/>
        <v>0</v>
      </c>
      <c r="BE131" s="1779">
        <f t="shared" si="127"/>
        <v>-0.01</v>
      </c>
      <c r="BF131" s="1779">
        <f t="shared" si="127"/>
        <v>0</v>
      </c>
      <c r="BG131" s="1779">
        <f>SUM(BG126:BG130)</f>
        <v>197442.7</v>
      </c>
      <c r="BH131" s="1779">
        <f t="shared" ref="BH131:BL131" si="128">SUM(BH126:BH130)</f>
        <v>2753052.9299999997</v>
      </c>
      <c r="BI131" s="1779">
        <f t="shared" si="128"/>
        <v>348720.93000000005</v>
      </c>
      <c r="BJ131" s="1779">
        <f t="shared" si="128"/>
        <v>568965.15999999992</v>
      </c>
      <c r="BK131" s="1779">
        <f t="shared" si="128"/>
        <v>3085.6600000000008</v>
      </c>
      <c r="BL131" s="1779">
        <f t="shared" si="128"/>
        <v>6558.49</v>
      </c>
      <c r="BM131" s="1779">
        <f>SUM(BM126:BM130)</f>
        <v>3680383.1700000004</v>
      </c>
      <c r="BN131" s="1779">
        <f t="shared" ref="BN131:BR131" si="129">SUM(BN126:BN130)</f>
        <v>-17248.949999999997</v>
      </c>
      <c r="BO131" s="1779">
        <f t="shared" si="129"/>
        <v>-17248.949999999997</v>
      </c>
      <c r="BP131" s="1779">
        <f t="shared" si="129"/>
        <v>0</v>
      </c>
      <c r="BQ131" s="1779">
        <f t="shared" si="129"/>
        <v>2154.2200000000003</v>
      </c>
      <c r="BR131" s="1779">
        <f t="shared" si="129"/>
        <v>0</v>
      </c>
      <c r="BS131" s="1779">
        <f>SUM(BS126:BS130)</f>
        <v>-32343.679999999997</v>
      </c>
      <c r="BT131" s="1779">
        <f t="shared" ref="BT131:BX131" si="130">SUM(BT126:BT130)</f>
        <v>1933673.8599999994</v>
      </c>
      <c r="BU131" s="1779">
        <f t="shared" si="130"/>
        <v>8170621.5100000007</v>
      </c>
      <c r="BV131" s="1779">
        <f t="shared" si="130"/>
        <v>1853452.1800000002</v>
      </c>
      <c r="BW131" s="1779">
        <f t="shared" si="130"/>
        <v>-10483.460000000003</v>
      </c>
      <c r="BX131" s="1779">
        <f t="shared" si="130"/>
        <v>88524.03</v>
      </c>
      <c r="BY131" s="1779">
        <f>SUM(BY126:BY130)</f>
        <v>12035788.120000001</v>
      </c>
      <c r="BZ131" s="1779">
        <f t="shared" ref="BZ131:CD131" si="131">SUM(BZ126:BZ130)</f>
        <v>274803.62</v>
      </c>
      <c r="CA131" s="1779">
        <f t="shared" si="131"/>
        <v>0</v>
      </c>
      <c r="CB131" s="1779">
        <f t="shared" si="131"/>
        <v>408787.37000000005</v>
      </c>
      <c r="CC131" s="1779">
        <f t="shared" si="131"/>
        <v>41065.740000000005</v>
      </c>
      <c r="CD131" s="1779">
        <f t="shared" si="131"/>
        <v>141.56</v>
      </c>
      <c r="CE131" s="1779">
        <f>SUM(CE126:CE130)</f>
        <v>724798.28999999992</v>
      </c>
      <c r="CF131" s="1779">
        <f t="shared" ref="CF131:CJ131" si="132">SUM(CF126:CF130)</f>
        <v>5195.7800000000007</v>
      </c>
      <c r="CG131" s="1779">
        <f t="shared" si="132"/>
        <v>0</v>
      </c>
      <c r="CH131" s="1779">
        <f t="shared" si="132"/>
        <v>14191.450000000004</v>
      </c>
      <c r="CI131" s="1779">
        <f t="shared" si="132"/>
        <v>0</v>
      </c>
      <c r="CJ131" s="1779">
        <f t="shared" si="132"/>
        <v>0</v>
      </c>
      <c r="CK131" s="1779">
        <f>SUM(CK126:CK130)</f>
        <v>19387.23</v>
      </c>
      <c r="CL131" s="1779">
        <f t="shared" ref="CL131:CP131" si="133">SUM(CL126:CL130)</f>
        <v>-3242.88</v>
      </c>
      <c r="CM131" s="1779">
        <f t="shared" si="133"/>
        <v>0</v>
      </c>
      <c r="CN131" s="1779">
        <f t="shared" si="133"/>
        <v>0</v>
      </c>
      <c r="CO131" s="1779">
        <f t="shared" si="133"/>
        <v>0</v>
      </c>
      <c r="CP131" s="1779">
        <f t="shared" si="133"/>
        <v>0</v>
      </c>
      <c r="CQ131" s="1779">
        <f>SUM(CQ126:CQ130)</f>
        <v>-3242.88</v>
      </c>
      <c r="CR131" s="1779">
        <f t="shared" ref="CR131:CV131" si="134">SUM(CR126:CR130)</f>
        <v>-6347.0599999999995</v>
      </c>
      <c r="CS131" s="1779">
        <f t="shared" si="134"/>
        <v>-6347.0599999999995</v>
      </c>
      <c r="CT131" s="1779">
        <f t="shared" si="134"/>
        <v>0</v>
      </c>
      <c r="CU131" s="1779">
        <f t="shared" si="134"/>
        <v>0.03</v>
      </c>
      <c r="CV131" s="1779">
        <f t="shared" si="134"/>
        <v>0</v>
      </c>
      <c r="CW131" s="1779">
        <f>SUM(CW126:CW130)</f>
        <v>-12694.089999999998</v>
      </c>
      <c r="CX131" s="1779">
        <f t="shared" ref="CX131:DB131" si="135">SUM(CX126:CX130)</f>
        <v>-20711.560000000005</v>
      </c>
      <c r="CY131" s="1779">
        <f t="shared" si="135"/>
        <v>-20711.560000000005</v>
      </c>
      <c r="CZ131" s="1779">
        <f t="shared" si="135"/>
        <v>0</v>
      </c>
      <c r="DA131" s="1779">
        <f t="shared" si="135"/>
        <v>0.16</v>
      </c>
      <c r="DB131" s="1779">
        <f t="shared" si="135"/>
        <v>0</v>
      </c>
      <c r="DC131" s="1779">
        <f>SUM(DC126:DC130)</f>
        <v>-41422.959999999999</v>
      </c>
      <c r="DD131" s="1779">
        <f t="shared" ref="DD131:DH131" si="136">SUM(DD126:DD130)</f>
        <v>-75444.960000000006</v>
      </c>
      <c r="DE131" s="1779">
        <f t="shared" si="136"/>
        <v>0</v>
      </c>
      <c r="DF131" s="1779">
        <f t="shared" si="136"/>
        <v>0</v>
      </c>
      <c r="DG131" s="1779">
        <f t="shared" si="136"/>
        <v>0</v>
      </c>
      <c r="DH131" s="1779">
        <f t="shared" si="136"/>
        <v>0</v>
      </c>
      <c r="DI131" s="1779">
        <f>SUM(DI126:DI130)</f>
        <v>-75444.960000000006</v>
      </c>
      <c r="DJ131" s="1779">
        <f t="shared" ref="DJ131:DN131" si="137">SUM(DJ126:DJ130)</f>
        <v>-12988.32</v>
      </c>
      <c r="DK131" s="1779">
        <f t="shared" si="137"/>
        <v>-12988.32</v>
      </c>
      <c r="DL131" s="1779">
        <f t="shared" si="137"/>
        <v>0</v>
      </c>
      <c r="DM131" s="1779">
        <f t="shared" si="137"/>
        <v>0.02</v>
      </c>
      <c r="DN131" s="1779">
        <f t="shared" si="137"/>
        <v>0</v>
      </c>
      <c r="DO131" s="1779">
        <f>SUM(DO126:DO130)</f>
        <v>-25976.619999999995</v>
      </c>
      <c r="DP131" s="1779">
        <f t="shared" ref="DP131:DT131" si="138">SUM(DP126:DP130)</f>
        <v>606251.16</v>
      </c>
      <c r="DQ131" s="1779">
        <f t="shared" si="138"/>
        <v>418313.17</v>
      </c>
      <c r="DR131" s="1779">
        <f t="shared" si="138"/>
        <v>187937.89</v>
      </c>
      <c r="DS131" s="1779">
        <f t="shared" si="138"/>
        <v>-656.89000000000158</v>
      </c>
      <c r="DT131" s="1779">
        <f t="shared" si="138"/>
        <v>10178.76</v>
      </c>
      <c r="DU131" s="1779">
        <f>SUM(DU126:DU130)</f>
        <v>1222024.0900000001</v>
      </c>
      <c r="DV131" s="1779">
        <f t="shared" ref="DV131:DY131" si="139">SUM(DV126:DV130)</f>
        <v>746520.5</v>
      </c>
      <c r="DW131" s="1779">
        <f t="shared" si="139"/>
        <v>0</v>
      </c>
      <c r="DX131" s="1779">
        <f t="shared" si="139"/>
        <v>136934.37</v>
      </c>
      <c r="DY131" s="1779">
        <f t="shared" si="139"/>
        <v>63051.810000000005</v>
      </c>
      <c r="DZ131" s="1779">
        <f t="shared" ref="DZ131" si="140">SUM(DZ126:DZ130)</f>
        <v>8053.46</v>
      </c>
      <c r="EA131" s="1779">
        <f>SUM(EA126:EA130)</f>
        <v>954560.14</v>
      </c>
    </row>
    <row r="133" spans="1:131" s="392" customFormat="1" x14ac:dyDescent="0.25">
      <c r="A133" s="986" t="s">
        <v>1248</v>
      </c>
      <c r="B133" s="712"/>
      <c r="C133" s="712"/>
      <c r="D133" s="662"/>
      <c r="BB133" s="1047"/>
      <c r="BC133" s="1047"/>
      <c r="BD133" s="1047"/>
      <c r="BE133" s="1047"/>
      <c r="BF133" s="1047"/>
      <c r="BG133" s="1047"/>
      <c r="BH133" s="1047"/>
      <c r="BI133" s="1047"/>
      <c r="BJ133" s="1047"/>
      <c r="BK133" s="1047"/>
      <c r="BL133" s="1047"/>
      <c r="BM133" s="1047"/>
      <c r="BN133" s="1047"/>
      <c r="BO133" s="1047"/>
      <c r="BP133" s="1047"/>
      <c r="BQ133" s="1047"/>
      <c r="BR133" s="1047"/>
      <c r="BS133" s="1047"/>
      <c r="BT133" s="1047"/>
      <c r="BU133" s="1047"/>
      <c r="BV133" s="1047"/>
      <c r="BW133" s="1047"/>
      <c r="BX133" s="1047"/>
      <c r="BY133" s="1047"/>
      <c r="BZ133" s="1047"/>
      <c r="CA133" s="1047"/>
      <c r="CB133" s="1047"/>
      <c r="CC133" s="1047"/>
      <c r="CD133" s="1047"/>
      <c r="CE133" s="1047"/>
      <c r="CF133" s="1047"/>
      <c r="CG133" s="1047"/>
      <c r="CH133" s="1047"/>
      <c r="CI133" s="1047"/>
      <c r="CJ133" s="1047"/>
      <c r="CK133" s="1047"/>
      <c r="CL133" s="1047"/>
      <c r="CM133" s="1047"/>
      <c r="CN133" s="1047"/>
      <c r="CO133" s="1047"/>
      <c r="CP133" s="1047"/>
      <c r="CQ133" s="1047"/>
      <c r="CR133" s="1047"/>
      <c r="CS133" s="1047"/>
      <c r="CT133" s="1047"/>
      <c r="CU133" s="1047"/>
      <c r="CV133" s="1047"/>
      <c r="CW133" s="1047"/>
      <c r="CX133" s="1047"/>
      <c r="CY133" s="1047"/>
      <c r="CZ133" s="1047"/>
      <c r="DA133" s="1047"/>
      <c r="DB133" s="1047"/>
      <c r="DC133" s="1047"/>
      <c r="DD133" s="1047"/>
      <c r="DE133" s="1047"/>
      <c r="DF133" s="1047"/>
      <c r="DG133" s="1047"/>
      <c r="DH133" s="1047"/>
      <c r="DI133" s="1047"/>
      <c r="DJ133" s="1047"/>
      <c r="DK133" s="1047"/>
      <c r="DL133" s="1047"/>
      <c r="DM133" s="1047"/>
      <c r="DN133" s="1047"/>
      <c r="DO133" s="1047"/>
    </row>
    <row r="134" spans="1:131" s="392" customFormat="1" x14ac:dyDescent="0.25">
      <c r="BB134" s="1047"/>
      <c r="BC134" s="1047"/>
      <c r="BD134" s="1047"/>
      <c r="BE134" s="1047"/>
      <c r="BF134" s="1047"/>
      <c r="BG134" s="1047"/>
      <c r="BH134" s="1047"/>
      <c r="BI134" s="1047"/>
      <c r="BJ134" s="1047"/>
      <c r="BK134" s="1047"/>
      <c r="BL134" s="1047"/>
      <c r="BM134" s="1047"/>
      <c r="BN134" s="1047"/>
      <c r="BO134" s="1047"/>
      <c r="BP134" s="1047"/>
      <c r="BQ134" s="1047"/>
      <c r="BR134" s="1047"/>
      <c r="BS134" s="1047"/>
      <c r="BT134" s="1047"/>
      <c r="BU134" s="1047"/>
      <c r="BV134" s="1047"/>
      <c r="BW134" s="1047"/>
      <c r="BX134" s="1047"/>
      <c r="BY134" s="1047"/>
      <c r="BZ134" s="1047"/>
      <c r="CA134" s="1047"/>
      <c r="CB134" s="1047"/>
      <c r="CC134" s="1047"/>
      <c r="CD134" s="1047"/>
      <c r="CE134" s="1047"/>
      <c r="CF134" s="1047"/>
      <c r="CG134" s="1047"/>
      <c r="CH134" s="1047"/>
      <c r="CI134" s="1047"/>
      <c r="CJ134" s="1047"/>
      <c r="CK134" s="1047"/>
      <c r="CL134" s="1047"/>
      <c r="CM134" s="1047"/>
      <c r="CN134" s="1047"/>
      <c r="CO134" s="1047"/>
      <c r="CP134" s="1047"/>
      <c r="CQ134" s="1047"/>
      <c r="CR134" s="1047"/>
      <c r="CS134" s="1047"/>
      <c r="CT134" s="1047"/>
      <c r="CU134" s="1047"/>
      <c r="CV134" s="1047"/>
      <c r="CW134" s="1047"/>
      <c r="CX134" s="1047"/>
      <c r="CY134" s="1047"/>
      <c r="CZ134" s="1047"/>
      <c r="DA134" s="1047"/>
      <c r="DB134" s="1047"/>
      <c r="DC134" s="1047"/>
      <c r="DD134" s="1047"/>
      <c r="DE134" s="1047"/>
      <c r="DF134" s="1047"/>
      <c r="DG134" s="1047"/>
      <c r="DH134" s="1047"/>
      <c r="DI134" s="1047"/>
      <c r="DJ134" s="1047"/>
      <c r="DK134" s="1047"/>
      <c r="DL134" s="1047"/>
      <c r="DM134" s="1047"/>
      <c r="DN134" s="1047"/>
      <c r="DO134" s="1047"/>
    </row>
    <row r="135" spans="1:131" s="412" customFormat="1" x14ac:dyDescent="0.25">
      <c r="A135" s="412" t="s">
        <v>248</v>
      </c>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c r="DN135" s="1048"/>
      <c r="DO135" s="1048"/>
    </row>
    <row r="136" spans="1:131" x14ac:dyDescent="0.25">
      <c r="A136" s="413" t="s">
        <v>249</v>
      </c>
      <c r="B136" s="414" t="s">
        <v>250</v>
      </c>
      <c r="C136" s="414"/>
    </row>
  </sheetData>
  <autoFilter ref="A3:B3"/>
  <sortState ref="A5:EA124">
    <sortCondition ref="A5:A124"/>
  </sortState>
  <hyperlinks>
    <hyperlink ref="B136"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102" activePane="bottomLeft" state="frozen"/>
      <selection pane="bottomLeft" activeCell="E15" sqref="E15"/>
    </sheetView>
  </sheetViews>
  <sheetFormatPr defaultRowHeight="15.75" x14ac:dyDescent="0.25"/>
  <cols>
    <col min="1" max="1" width="14.75" style="270" customWidth="1"/>
    <col min="2" max="2" width="33.75" style="270" customWidth="1"/>
    <col min="3" max="3" width="18.25" style="270" customWidth="1"/>
    <col min="4" max="4" width="16.125" style="270" customWidth="1"/>
    <col min="5" max="16384" width="9" style="270"/>
  </cols>
  <sheetData>
    <row r="1" spans="1:4" x14ac:dyDescent="0.25">
      <c r="A1" s="64" t="s">
        <v>660</v>
      </c>
    </row>
    <row r="2" spans="1:4" x14ac:dyDescent="0.25">
      <c r="A2" s="64"/>
    </row>
    <row r="3" spans="1:4" x14ac:dyDescent="0.25">
      <c r="A3" s="64" t="s">
        <v>4</v>
      </c>
      <c r="B3" s="64" t="s">
        <v>5</v>
      </c>
      <c r="C3" s="64" t="s">
        <v>251</v>
      </c>
      <c r="D3" s="64" t="s">
        <v>599</v>
      </c>
    </row>
    <row r="4" spans="1:4" x14ac:dyDescent="0.25">
      <c r="A4" s="270" t="s">
        <v>10</v>
      </c>
      <c r="B4" s="270" t="s">
        <v>11</v>
      </c>
      <c r="C4" s="270" t="s">
        <v>264</v>
      </c>
      <c r="D4" s="270" t="s">
        <v>716</v>
      </c>
    </row>
    <row r="5" spans="1:4" x14ac:dyDescent="0.25">
      <c r="A5" s="270" t="s">
        <v>12</v>
      </c>
      <c r="B5" s="270" t="s">
        <v>13</v>
      </c>
      <c r="C5" s="270" t="s">
        <v>265</v>
      </c>
      <c r="D5" s="270" t="s">
        <v>716</v>
      </c>
    </row>
    <row r="6" spans="1:4" x14ac:dyDescent="0.25">
      <c r="A6" s="270" t="s">
        <v>16</v>
      </c>
      <c r="B6" s="270" t="s">
        <v>600</v>
      </c>
      <c r="C6" s="270" t="s">
        <v>265</v>
      </c>
      <c r="D6" s="270" t="s">
        <v>717</v>
      </c>
    </row>
    <row r="7" spans="1:4" x14ac:dyDescent="0.25">
      <c r="A7" s="270" t="s">
        <v>18</v>
      </c>
      <c r="B7" s="270" t="s">
        <v>19</v>
      </c>
      <c r="C7" s="270" t="s">
        <v>266</v>
      </c>
      <c r="D7" s="270" t="s">
        <v>717</v>
      </c>
    </row>
    <row r="8" spans="1:4" x14ac:dyDescent="0.25">
      <c r="A8" s="270" t="s">
        <v>20</v>
      </c>
      <c r="B8" s="270" t="s">
        <v>21</v>
      </c>
      <c r="C8" s="270" t="s">
        <v>265</v>
      </c>
      <c r="D8" s="270" t="s">
        <v>717</v>
      </c>
    </row>
    <row r="9" spans="1:4" x14ac:dyDescent="0.25">
      <c r="A9" s="270" t="s">
        <v>22</v>
      </c>
      <c r="B9" s="270" t="s">
        <v>23</v>
      </c>
      <c r="C9" s="270" t="s">
        <v>265</v>
      </c>
      <c r="D9" s="270" t="s">
        <v>717</v>
      </c>
    </row>
    <row r="10" spans="1:4" x14ac:dyDescent="0.25">
      <c r="A10" s="270" t="s">
        <v>24</v>
      </c>
      <c r="B10" s="270" t="s">
        <v>25</v>
      </c>
      <c r="C10" s="270" t="s">
        <v>267</v>
      </c>
      <c r="D10" s="270" t="s">
        <v>716</v>
      </c>
    </row>
    <row r="11" spans="1:4" x14ac:dyDescent="0.25">
      <c r="A11" s="270" t="s">
        <v>26</v>
      </c>
      <c r="B11" s="270" t="s">
        <v>686</v>
      </c>
      <c r="C11" s="270" t="s">
        <v>265</v>
      </c>
      <c r="D11" s="270" t="s">
        <v>716</v>
      </c>
    </row>
    <row r="12" spans="1:4" x14ac:dyDescent="0.25">
      <c r="A12" s="270" t="s">
        <v>27</v>
      </c>
      <c r="B12" s="270" t="s">
        <v>28</v>
      </c>
      <c r="C12" s="270" t="s">
        <v>265</v>
      </c>
      <c r="D12" s="270" t="s">
        <v>717</v>
      </c>
    </row>
    <row r="13" spans="1:4" x14ac:dyDescent="0.25">
      <c r="A13" s="270" t="s">
        <v>29</v>
      </c>
      <c r="B13" s="481" t="s">
        <v>924</v>
      </c>
      <c r="C13" s="270" t="s">
        <v>265</v>
      </c>
      <c r="D13" s="270" t="s">
        <v>717</v>
      </c>
    </row>
    <row r="14" spans="1:4" x14ac:dyDescent="0.25">
      <c r="A14" s="270" t="s">
        <v>30</v>
      </c>
      <c r="B14" s="270" t="s">
        <v>31</v>
      </c>
      <c r="C14" s="270" t="s">
        <v>268</v>
      </c>
      <c r="D14" s="270" t="s">
        <v>717</v>
      </c>
    </row>
    <row r="15" spans="1:4" x14ac:dyDescent="0.25">
      <c r="A15" s="270" t="s">
        <v>32</v>
      </c>
      <c r="B15" s="270" t="s">
        <v>33</v>
      </c>
      <c r="C15" s="270" t="s">
        <v>265</v>
      </c>
      <c r="D15" s="270" t="s">
        <v>717</v>
      </c>
    </row>
    <row r="16" spans="1:4" x14ac:dyDescent="0.25">
      <c r="A16" s="270" t="s">
        <v>36</v>
      </c>
      <c r="B16" s="270" t="s">
        <v>37</v>
      </c>
      <c r="C16" s="270" t="s">
        <v>264</v>
      </c>
      <c r="D16" s="270" t="s">
        <v>717</v>
      </c>
    </row>
    <row r="17" spans="1:4" x14ac:dyDescent="0.25">
      <c r="A17" s="270" t="s">
        <v>38</v>
      </c>
      <c r="B17" s="1318" t="s">
        <v>39</v>
      </c>
      <c r="C17" s="270" t="s">
        <v>268</v>
      </c>
      <c r="D17" s="270" t="s">
        <v>717</v>
      </c>
    </row>
    <row r="18" spans="1:4" x14ac:dyDescent="0.25">
      <c r="A18" s="270" t="s">
        <v>40</v>
      </c>
      <c r="B18" s="270" t="s">
        <v>41</v>
      </c>
      <c r="C18" s="270" t="s">
        <v>266</v>
      </c>
      <c r="D18" s="270" t="s">
        <v>717</v>
      </c>
    </row>
    <row r="19" spans="1:4" x14ac:dyDescent="0.25">
      <c r="A19" s="270" t="s">
        <v>42</v>
      </c>
      <c r="B19" s="270" t="s">
        <v>43</v>
      </c>
      <c r="C19" s="270" t="s">
        <v>265</v>
      </c>
      <c r="D19" s="270" t="s">
        <v>717</v>
      </c>
    </row>
    <row r="20" spans="1:4" x14ac:dyDescent="0.25">
      <c r="A20" s="270" t="s">
        <v>44</v>
      </c>
      <c r="B20" s="270" t="s">
        <v>45</v>
      </c>
      <c r="C20" s="270" t="s">
        <v>266</v>
      </c>
      <c r="D20" s="270" t="s">
        <v>717</v>
      </c>
    </row>
    <row r="21" spans="1:4" x14ac:dyDescent="0.25">
      <c r="A21" s="270" t="s">
        <v>46</v>
      </c>
      <c r="B21" s="270" t="s">
        <v>47</v>
      </c>
      <c r="C21" s="270" t="s">
        <v>268</v>
      </c>
      <c r="D21" s="270" t="s">
        <v>717</v>
      </c>
    </row>
    <row r="22" spans="1:4" x14ac:dyDescent="0.25">
      <c r="A22" s="270" t="s">
        <v>48</v>
      </c>
      <c r="B22" s="270" t="s">
        <v>49</v>
      </c>
      <c r="C22" s="270" t="s">
        <v>266</v>
      </c>
      <c r="D22" s="270" t="s">
        <v>717</v>
      </c>
    </row>
    <row r="23" spans="1:4" x14ac:dyDescent="0.25">
      <c r="A23" s="270" t="s">
        <v>50</v>
      </c>
      <c r="B23" s="270" t="s">
        <v>51</v>
      </c>
      <c r="C23" s="270" t="s">
        <v>265</v>
      </c>
      <c r="D23" s="270" t="s">
        <v>717</v>
      </c>
    </row>
    <row r="24" spans="1:4" x14ac:dyDescent="0.25">
      <c r="A24" s="270" t="s">
        <v>56</v>
      </c>
      <c r="B24" s="270" t="s">
        <v>295</v>
      </c>
      <c r="C24" s="270" t="s">
        <v>266</v>
      </c>
      <c r="D24" s="270" t="s">
        <v>716</v>
      </c>
    </row>
    <row r="25" spans="1:4" x14ac:dyDescent="0.25">
      <c r="A25" s="270" t="s">
        <v>58</v>
      </c>
      <c r="B25" s="270" t="s">
        <v>59</v>
      </c>
      <c r="C25" s="270" t="s">
        <v>267</v>
      </c>
      <c r="D25" s="270" t="s">
        <v>717</v>
      </c>
    </row>
    <row r="26" spans="1:4" x14ac:dyDescent="0.25">
      <c r="A26" s="270" t="s">
        <v>60</v>
      </c>
      <c r="B26" s="270" t="s">
        <v>61</v>
      </c>
      <c r="C26" s="270" t="s">
        <v>265</v>
      </c>
      <c r="D26" s="270" t="s">
        <v>717</v>
      </c>
    </row>
    <row r="27" spans="1:4" x14ac:dyDescent="0.25">
      <c r="A27" s="270" t="s">
        <v>62</v>
      </c>
      <c r="B27" s="270" t="s">
        <v>63</v>
      </c>
      <c r="C27" s="270" t="s">
        <v>267</v>
      </c>
      <c r="D27" s="270" t="s">
        <v>717</v>
      </c>
    </row>
    <row r="28" spans="1:4" x14ac:dyDescent="0.25">
      <c r="A28" s="270" t="s">
        <v>64</v>
      </c>
      <c r="B28" s="270" t="s">
        <v>65</v>
      </c>
      <c r="C28" s="270" t="s">
        <v>266</v>
      </c>
      <c r="D28" s="270" t="s">
        <v>717</v>
      </c>
    </row>
    <row r="29" spans="1:4" x14ac:dyDescent="0.25">
      <c r="A29" s="270" t="s">
        <v>68</v>
      </c>
      <c r="B29" s="270" t="s">
        <v>69</v>
      </c>
      <c r="C29" s="270" t="s">
        <v>268</v>
      </c>
      <c r="D29" s="270" t="s">
        <v>717</v>
      </c>
    </row>
    <row r="30" spans="1:4" x14ac:dyDescent="0.25">
      <c r="A30" s="270" t="s">
        <v>70</v>
      </c>
      <c r="B30" s="270" t="s">
        <v>71</v>
      </c>
      <c r="C30" s="270" t="s">
        <v>264</v>
      </c>
      <c r="D30" s="270" t="s">
        <v>717</v>
      </c>
    </row>
    <row r="31" spans="1:4" x14ac:dyDescent="0.25">
      <c r="A31" s="270" t="s">
        <v>72</v>
      </c>
      <c r="B31" s="270" t="s">
        <v>73</v>
      </c>
      <c r="C31" s="270" t="s">
        <v>266</v>
      </c>
      <c r="D31" s="270" t="s">
        <v>717</v>
      </c>
    </row>
    <row r="32" spans="1:4" x14ac:dyDescent="0.25">
      <c r="A32" s="270" t="s">
        <v>74</v>
      </c>
      <c r="B32" s="270" t="s">
        <v>601</v>
      </c>
      <c r="C32" s="270" t="s">
        <v>267</v>
      </c>
      <c r="D32" s="270" t="s">
        <v>716</v>
      </c>
    </row>
    <row r="33" spans="1:4" x14ac:dyDescent="0.25">
      <c r="A33" s="270" t="s">
        <v>76</v>
      </c>
      <c r="B33" s="270" t="s">
        <v>77</v>
      </c>
      <c r="C33" s="270" t="s">
        <v>267</v>
      </c>
      <c r="D33" s="270" t="s">
        <v>717</v>
      </c>
    </row>
    <row r="34" spans="1:4" x14ac:dyDescent="0.25">
      <c r="A34" s="270" t="s">
        <v>78</v>
      </c>
      <c r="B34" s="270" t="s">
        <v>79</v>
      </c>
      <c r="C34" s="270" t="s">
        <v>268</v>
      </c>
      <c r="D34" s="270" t="s">
        <v>717</v>
      </c>
    </row>
    <row r="35" spans="1:4" x14ac:dyDescent="0.25">
      <c r="A35" s="270" t="s">
        <v>80</v>
      </c>
      <c r="B35" s="270" t="s">
        <v>81</v>
      </c>
      <c r="C35" s="270" t="s">
        <v>266</v>
      </c>
      <c r="D35" s="270" t="s">
        <v>717</v>
      </c>
    </row>
    <row r="36" spans="1:4" x14ac:dyDescent="0.25">
      <c r="A36" s="270" t="s">
        <v>84</v>
      </c>
      <c r="B36" s="270" t="s">
        <v>85</v>
      </c>
      <c r="C36" s="270" t="s">
        <v>265</v>
      </c>
      <c r="D36" s="270" t="s">
        <v>717</v>
      </c>
    </row>
    <row r="37" spans="1:4" x14ac:dyDescent="0.25">
      <c r="A37" s="270" t="s">
        <v>86</v>
      </c>
      <c r="B37" s="270" t="s">
        <v>87</v>
      </c>
      <c r="C37" s="270" t="s">
        <v>267</v>
      </c>
      <c r="D37" s="270" t="s">
        <v>717</v>
      </c>
    </row>
    <row r="38" spans="1:4" x14ac:dyDescent="0.25">
      <c r="A38" s="270" t="s">
        <v>92</v>
      </c>
      <c r="B38" s="270" t="s">
        <v>93</v>
      </c>
      <c r="C38" s="270" t="s">
        <v>268</v>
      </c>
      <c r="D38" s="270" t="s">
        <v>717</v>
      </c>
    </row>
    <row r="39" spans="1:4" x14ac:dyDescent="0.25">
      <c r="A39" s="270" t="s">
        <v>94</v>
      </c>
      <c r="B39" s="270" t="s">
        <v>95</v>
      </c>
      <c r="C39" s="270" t="s">
        <v>264</v>
      </c>
      <c r="D39" s="270" t="s">
        <v>717</v>
      </c>
    </row>
    <row r="40" spans="1:4" x14ac:dyDescent="0.25">
      <c r="A40" s="270" t="s">
        <v>96</v>
      </c>
      <c r="B40" s="270" t="s">
        <v>97</v>
      </c>
      <c r="C40" s="270" t="s">
        <v>266</v>
      </c>
      <c r="D40" s="270" t="s">
        <v>716</v>
      </c>
    </row>
    <row r="41" spans="1:4" x14ac:dyDescent="0.25">
      <c r="A41" s="270" t="s">
        <v>98</v>
      </c>
      <c r="B41" s="270" t="s">
        <v>99</v>
      </c>
      <c r="C41" s="270" t="s">
        <v>268</v>
      </c>
      <c r="D41" s="270" t="s">
        <v>717</v>
      </c>
    </row>
    <row r="42" spans="1:4" x14ac:dyDescent="0.25">
      <c r="A42" s="270" t="s">
        <v>100</v>
      </c>
      <c r="B42" s="270" t="s">
        <v>101</v>
      </c>
      <c r="C42" s="270" t="s">
        <v>267</v>
      </c>
      <c r="D42" s="270" t="s">
        <v>717</v>
      </c>
    </row>
    <row r="43" spans="1:4" x14ac:dyDescent="0.25">
      <c r="A43" s="270" t="s">
        <v>102</v>
      </c>
      <c r="B43" s="270" t="s">
        <v>282</v>
      </c>
      <c r="C43" s="270" t="s">
        <v>264</v>
      </c>
      <c r="D43" s="270" t="s">
        <v>717</v>
      </c>
    </row>
    <row r="44" spans="1:4" x14ac:dyDescent="0.25">
      <c r="A44" s="270" t="s">
        <v>104</v>
      </c>
      <c r="B44" s="270" t="s">
        <v>602</v>
      </c>
      <c r="C44" s="270" t="s">
        <v>265</v>
      </c>
      <c r="D44" s="270" t="s">
        <v>717</v>
      </c>
    </row>
    <row r="45" spans="1:4" x14ac:dyDescent="0.25">
      <c r="A45" s="270" t="s">
        <v>108</v>
      </c>
      <c r="B45" s="270" t="s">
        <v>109</v>
      </c>
      <c r="C45" s="270" t="s">
        <v>266</v>
      </c>
      <c r="D45" s="270" t="s">
        <v>717</v>
      </c>
    </row>
    <row r="46" spans="1:4" x14ac:dyDescent="0.25">
      <c r="A46" s="270" t="s">
        <v>110</v>
      </c>
      <c r="B46" s="270" t="s">
        <v>111</v>
      </c>
      <c r="C46" s="270" t="s">
        <v>266</v>
      </c>
      <c r="D46" s="270" t="s">
        <v>716</v>
      </c>
    </row>
    <row r="47" spans="1:4" x14ac:dyDescent="0.25">
      <c r="A47" s="270" t="s">
        <v>112</v>
      </c>
      <c r="B47" s="270" t="s">
        <v>300</v>
      </c>
      <c r="C47" s="270" t="s">
        <v>265</v>
      </c>
      <c r="D47" s="270" t="s">
        <v>717</v>
      </c>
    </row>
    <row r="48" spans="1:4" x14ac:dyDescent="0.25">
      <c r="A48" s="270" t="s">
        <v>114</v>
      </c>
      <c r="B48" s="270" t="s">
        <v>115</v>
      </c>
      <c r="C48" s="270" t="s">
        <v>265</v>
      </c>
      <c r="D48" s="270" t="s">
        <v>717</v>
      </c>
    </row>
    <row r="49" spans="1:4" x14ac:dyDescent="0.25">
      <c r="A49" s="270" t="s">
        <v>118</v>
      </c>
      <c r="B49" s="270" t="s">
        <v>119</v>
      </c>
      <c r="C49" s="270" t="s">
        <v>264</v>
      </c>
      <c r="D49" s="270" t="s">
        <v>716</v>
      </c>
    </row>
    <row r="50" spans="1:4" x14ac:dyDescent="0.25">
      <c r="A50" s="270" t="s">
        <v>120</v>
      </c>
      <c r="B50" s="270" t="s">
        <v>121</v>
      </c>
      <c r="C50" s="270" t="s">
        <v>264</v>
      </c>
      <c r="D50" s="270" t="s">
        <v>716</v>
      </c>
    </row>
    <row r="51" spans="1:4" x14ac:dyDescent="0.25">
      <c r="A51" s="270" t="s">
        <v>122</v>
      </c>
      <c r="B51" s="270" t="s">
        <v>123</v>
      </c>
      <c r="C51" s="270" t="s">
        <v>266</v>
      </c>
      <c r="D51" s="270" t="s">
        <v>717</v>
      </c>
    </row>
    <row r="52" spans="1:4" x14ac:dyDescent="0.25">
      <c r="A52" s="270" t="s">
        <v>124</v>
      </c>
      <c r="B52" s="270" t="s">
        <v>125</v>
      </c>
      <c r="C52" s="270" t="s">
        <v>267</v>
      </c>
      <c r="D52" s="270" t="s">
        <v>717</v>
      </c>
    </row>
    <row r="53" spans="1:4" x14ac:dyDescent="0.25">
      <c r="A53" s="270" t="s">
        <v>126</v>
      </c>
      <c r="B53" s="270" t="s">
        <v>127</v>
      </c>
      <c r="C53" s="270" t="s">
        <v>266</v>
      </c>
      <c r="D53" s="270" t="s">
        <v>717</v>
      </c>
    </row>
    <row r="54" spans="1:4" x14ac:dyDescent="0.25">
      <c r="A54" s="270" t="s">
        <v>128</v>
      </c>
      <c r="B54" s="270" t="s">
        <v>129</v>
      </c>
      <c r="C54" s="270" t="s">
        <v>266</v>
      </c>
      <c r="D54" s="270" t="s">
        <v>717</v>
      </c>
    </row>
    <row r="55" spans="1:4" x14ac:dyDescent="0.25">
      <c r="A55" s="270" t="s">
        <v>130</v>
      </c>
      <c r="B55" s="270" t="s">
        <v>131</v>
      </c>
      <c r="C55" s="270" t="s">
        <v>268</v>
      </c>
      <c r="D55" s="270" t="s">
        <v>717</v>
      </c>
    </row>
    <row r="56" spans="1:4" x14ac:dyDescent="0.25">
      <c r="A56" s="270" t="s">
        <v>132</v>
      </c>
      <c r="B56" s="270" t="s">
        <v>133</v>
      </c>
      <c r="C56" s="270" t="s">
        <v>267</v>
      </c>
      <c r="D56" s="270" t="s">
        <v>717</v>
      </c>
    </row>
    <row r="57" spans="1:4" x14ac:dyDescent="0.25">
      <c r="A57" s="270" t="s">
        <v>134</v>
      </c>
      <c r="B57" s="270" t="s">
        <v>135</v>
      </c>
      <c r="C57" s="270" t="s">
        <v>267</v>
      </c>
      <c r="D57" s="270" t="s">
        <v>717</v>
      </c>
    </row>
    <row r="58" spans="1:4" x14ac:dyDescent="0.25">
      <c r="A58" s="270" t="s">
        <v>136</v>
      </c>
      <c r="B58" s="270" t="s">
        <v>137</v>
      </c>
      <c r="C58" s="270" t="s">
        <v>266</v>
      </c>
      <c r="D58" s="270" t="s">
        <v>717</v>
      </c>
    </row>
    <row r="59" spans="1:4" x14ac:dyDescent="0.25">
      <c r="A59" s="270" t="s">
        <v>140</v>
      </c>
      <c r="B59" s="270" t="s">
        <v>141</v>
      </c>
      <c r="C59" s="270" t="s">
        <v>267</v>
      </c>
      <c r="D59" s="270" t="s">
        <v>717</v>
      </c>
    </row>
    <row r="60" spans="1:4" x14ac:dyDescent="0.25">
      <c r="A60" s="270" t="s">
        <v>146</v>
      </c>
      <c r="B60" s="270" t="s">
        <v>147</v>
      </c>
      <c r="C60" s="270" t="s">
        <v>264</v>
      </c>
      <c r="D60" s="270" t="s">
        <v>717</v>
      </c>
    </row>
    <row r="61" spans="1:4" x14ac:dyDescent="0.25">
      <c r="A61" s="270" t="s">
        <v>148</v>
      </c>
      <c r="B61" s="270" t="s">
        <v>149</v>
      </c>
      <c r="C61" s="270" t="s">
        <v>265</v>
      </c>
      <c r="D61" s="270" t="s">
        <v>717</v>
      </c>
    </row>
    <row r="62" spans="1:4" x14ac:dyDescent="0.25">
      <c r="A62" s="270" t="s">
        <v>150</v>
      </c>
      <c r="B62" s="270" t="s">
        <v>151</v>
      </c>
      <c r="C62" s="270" t="s">
        <v>266</v>
      </c>
      <c r="D62" s="270" t="s">
        <v>717</v>
      </c>
    </row>
    <row r="63" spans="1:4" x14ac:dyDescent="0.25">
      <c r="A63" s="270" t="s">
        <v>152</v>
      </c>
      <c r="B63" s="270" t="s">
        <v>153</v>
      </c>
      <c r="C63" s="270" t="s">
        <v>268</v>
      </c>
      <c r="D63" s="270" t="s">
        <v>717</v>
      </c>
    </row>
    <row r="64" spans="1:4" x14ac:dyDescent="0.25">
      <c r="A64" s="270" t="s">
        <v>154</v>
      </c>
      <c r="B64" s="270" t="s">
        <v>155</v>
      </c>
      <c r="C64" s="270" t="s">
        <v>265</v>
      </c>
      <c r="D64" s="270" t="s">
        <v>717</v>
      </c>
    </row>
    <row r="65" spans="1:4" x14ac:dyDescent="0.25">
      <c r="A65" s="270" t="s">
        <v>156</v>
      </c>
      <c r="B65" s="270" t="s">
        <v>157</v>
      </c>
      <c r="C65" s="270" t="s">
        <v>266</v>
      </c>
      <c r="D65" s="270" t="s">
        <v>717</v>
      </c>
    </row>
    <row r="66" spans="1:4" x14ac:dyDescent="0.25">
      <c r="A66" s="270" t="s">
        <v>162</v>
      </c>
      <c r="B66" s="270" t="s">
        <v>163</v>
      </c>
      <c r="C66" s="270" t="s">
        <v>264</v>
      </c>
      <c r="D66" s="270" t="s">
        <v>717</v>
      </c>
    </row>
    <row r="67" spans="1:4" x14ac:dyDescent="0.25">
      <c r="A67" s="270" t="s">
        <v>164</v>
      </c>
      <c r="B67" s="270" t="s">
        <v>165</v>
      </c>
      <c r="C67" s="270" t="s">
        <v>266</v>
      </c>
      <c r="D67" s="270" t="s">
        <v>717</v>
      </c>
    </row>
    <row r="68" spans="1:4" x14ac:dyDescent="0.25">
      <c r="A68" s="270" t="s">
        <v>168</v>
      </c>
      <c r="B68" s="270" t="s">
        <v>169</v>
      </c>
      <c r="C68" s="270" t="s">
        <v>266</v>
      </c>
      <c r="D68" s="270" t="s">
        <v>717</v>
      </c>
    </row>
    <row r="69" spans="1:4" x14ac:dyDescent="0.25">
      <c r="A69" s="270" t="s">
        <v>170</v>
      </c>
      <c r="B69" s="270" t="s">
        <v>171</v>
      </c>
      <c r="C69" s="270" t="s">
        <v>267</v>
      </c>
      <c r="D69" s="270" t="s">
        <v>717</v>
      </c>
    </row>
    <row r="70" spans="1:4" x14ac:dyDescent="0.25">
      <c r="A70" s="270" t="s">
        <v>172</v>
      </c>
      <c r="B70" s="270" t="s">
        <v>173</v>
      </c>
      <c r="C70" s="270" t="s">
        <v>267</v>
      </c>
      <c r="D70" s="270" t="s">
        <v>717</v>
      </c>
    </row>
    <row r="71" spans="1:4" x14ac:dyDescent="0.25">
      <c r="A71" s="270" t="s">
        <v>174</v>
      </c>
      <c r="B71" s="270" t="s">
        <v>175</v>
      </c>
      <c r="C71" s="270" t="s">
        <v>268</v>
      </c>
      <c r="D71" s="270" t="s">
        <v>717</v>
      </c>
    </row>
    <row r="72" spans="1:4" x14ac:dyDescent="0.25">
      <c r="A72" s="270" t="s">
        <v>178</v>
      </c>
      <c r="B72" s="270" t="s">
        <v>179</v>
      </c>
      <c r="C72" s="270" t="s">
        <v>265</v>
      </c>
      <c r="D72" s="270" t="s">
        <v>717</v>
      </c>
    </row>
    <row r="73" spans="1:4" x14ac:dyDescent="0.25">
      <c r="A73" s="270" t="s">
        <v>182</v>
      </c>
      <c r="B73" s="270" t="s">
        <v>183</v>
      </c>
      <c r="C73" s="270" t="s">
        <v>266</v>
      </c>
      <c r="D73" s="270" t="s">
        <v>717</v>
      </c>
    </row>
    <row r="74" spans="1:4" x14ac:dyDescent="0.25">
      <c r="A74" s="270" t="s">
        <v>184</v>
      </c>
      <c r="B74" s="270" t="s">
        <v>185</v>
      </c>
      <c r="C74" s="270" t="s">
        <v>266</v>
      </c>
      <c r="D74" s="270" t="s">
        <v>717</v>
      </c>
    </row>
    <row r="75" spans="1:4" x14ac:dyDescent="0.25">
      <c r="A75" s="270" t="s">
        <v>186</v>
      </c>
      <c r="B75" s="270" t="s">
        <v>187</v>
      </c>
      <c r="C75" s="270" t="s">
        <v>264</v>
      </c>
      <c r="D75" s="270" t="s">
        <v>717</v>
      </c>
    </row>
    <row r="76" spans="1:4" x14ac:dyDescent="0.25">
      <c r="A76" s="270" t="s">
        <v>188</v>
      </c>
      <c r="B76" s="270" t="s">
        <v>189</v>
      </c>
      <c r="C76" s="270" t="s">
        <v>267</v>
      </c>
      <c r="D76" s="270" t="s">
        <v>716</v>
      </c>
    </row>
    <row r="77" spans="1:4" x14ac:dyDescent="0.25">
      <c r="A77" s="270" t="s">
        <v>190</v>
      </c>
      <c r="B77" s="270" t="s">
        <v>191</v>
      </c>
      <c r="C77" s="270" t="s">
        <v>268</v>
      </c>
      <c r="D77" s="270" t="s">
        <v>716</v>
      </c>
    </row>
    <row r="78" spans="1:4" x14ac:dyDescent="0.25">
      <c r="A78" s="270" t="s">
        <v>194</v>
      </c>
      <c r="B78" s="270" t="s">
        <v>195</v>
      </c>
      <c r="C78" s="270" t="s">
        <v>267</v>
      </c>
      <c r="D78" s="270" t="s">
        <v>717</v>
      </c>
    </row>
    <row r="79" spans="1:4" x14ac:dyDescent="0.25">
      <c r="A79" s="270" t="s">
        <v>198</v>
      </c>
      <c r="B79" s="270" t="s">
        <v>272</v>
      </c>
      <c r="C79" s="270" t="s">
        <v>266</v>
      </c>
      <c r="D79" s="270" t="s">
        <v>717</v>
      </c>
    </row>
    <row r="80" spans="1:4" x14ac:dyDescent="0.25">
      <c r="A80" s="270" t="s">
        <v>202</v>
      </c>
      <c r="B80" s="270" t="s">
        <v>301</v>
      </c>
      <c r="C80" s="270" t="s">
        <v>265</v>
      </c>
      <c r="D80" s="270" t="s">
        <v>716</v>
      </c>
    </row>
    <row r="81" spans="1:4" x14ac:dyDescent="0.25">
      <c r="A81" s="270" t="s">
        <v>204</v>
      </c>
      <c r="B81" s="270" t="s">
        <v>293</v>
      </c>
      <c r="C81" s="270" t="s">
        <v>265</v>
      </c>
      <c r="D81" s="270" t="s">
        <v>717</v>
      </c>
    </row>
    <row r="82" spans="1:4" x14ac:dyDescent="0.25">
      <c r="A82" s="270" t="s">
        <v>206</v>
      </c>
      <c r="B82" s="270" t="s">
        <v>294</v>
      </c>
      <c r="C82" s="270" t="s">
        <v>267</v>
      </c>
      <c r="D82" s="270" t="s">
        <v>716</v>
      </c>
    </row>
    <row r="83" spans="1:4" x14ac:dyDescent="0.25">
      <c r="A83" s="270" t="s">
        <v>208</v>
      </c>
      <c r="B83" s="270" t="s">
        <v>209</v>
      </c>
      <c r="C83" s="270" t="s">
        <v>268</v>
      </c>
      <c r="D83" s="270" t="s">
        <v>717</v>
      </c>
    </row>
    <row r="84" spans="1:4" x14ac:dyDescent="0.25">
      <c r="A84" s="270" t="s">
        <v>210</v>
      </c>
      <c r="B84" s="270" t="s">
        <v>211</v>
      </c>
      <c r="C84" s="270" t="s">
        <v>268</v>
      </c>
      <c r="D84" s="270" t="s">
        <v>717</v>
      </c>
    </row>
    <row r="85" spans="1:4" x14ac:dyDescent="0.25">
      <c r="A85" s="270" t="s">
        <v>212</v>
      </c>
      <c r="B85" s="270" t="s">
        <v>213</v>
      </c>
      <c r="C85" s="270" t="s">
        <v>267</v>
      </c>
      <c r="D85" s="270" t="s">
        <v>717</v>
      </c>
    </row>
    <row r="86" spans="1:4" x14ac:dyDescent="0.25">
      <c r="A86" s="270" t="s">
        <v>214</v>
      </c>
      <c r="B86" s="270" t="s">
        <v>215</v>
      </c>
      <c r="C86" s="270" t="s">
        <v>268</v>
      </c>
      <c r="D86" s="270" t="s">
        <v>717</v>
      </c>
    </row>
    <row r="87" spans="1:4" x14ac:dyDescent="0.25">
      <c r="A87" s="270" t="s">
        <v>216</v>
      </c>
      <c r="B87" s="270" t="s">
        <v>217</v>
      </c>
      <c r="C87" s="270" t="s">
        <v>264</v>
      </c>
      <c r="D87" s="270" t="s">
        <v>717</v>
      </c>
    </row>
    <row r="88" spans="1:4" x14ac:dyDescent="0.25">
      <c r="A88" s="270" t="s">
        <v>218</v>
      </c>
      <c r="B88" s="270" t="s">
        <v>219</v>
      </c>
      <c r="C88" s="270" t="s">
        <v>267</v>
      </c>
      <c r="D88" s="270" t="s">
        <v>717</v>
      </c>
    </row>
    <row r="89" spans="1:4" x14ac:dyDescent="0.25">
      <c r="A89" s="270" t="s">
        <v>220</v>
      </c>
      <c r="B89" s="270" t="s">
        <v>221</v>
      </c>
      <c r="C89" s="270" t="s">
        <v>267</v>
      </c>
      <c r="D89" s="270" t="s">
        <v>717</v>
      </c>
    </row>
    <row r="90" spans="1:4" x14ac:dyDescent="0.25">
      <c r="A90" s="270" t="s">
        <v>224</v>
      </c>
      <c r="B90" s="270" t="s">
        <v>225</v>
      </c>
      <c r="C90" s="270" t="s">
        <v>264</v>
      </c>
      <c r="D90" s="270" t="s">
        <v>717</v>
      </c>
    </row>
    <row r="91" spans="1:4" x14ac:dyDescent="0.25">
      <c r="A91" s="270" t="s">
        <v>226</v>
      </c>
      <c r="B91" s="270" t="s">
        <v>227</v>
      </c>
      <c r="C91" s="270" t="s">
        <v>264</v>
      </c>
      <c r="D91" s="270" t="s">
        <v>717</v>
      </c>
    </row>
    <row r="92" spans="1:4" x14ac:dyDescent="0.25">
      <c r="A92" s="270" t="s">
        <v>228</v>
      </c>
      <c r="B92" s="270" t="s">
        <v>229</v>
      </c>
      <c r="C92" s="270" t="s">
        <v>268</v>
      </c>
      <c r="D92" s="270" t="s">
        <v>716</v>
      </c>
    </row>
    <row r="93" spans="1:4" x14ac:dyDescent="0.25">
      <c r="A93" s="270" t="s">
        <v>232</v>
      </c>
      <c r="B93" s="270" t="s">
        <v>233</v>
      </c>
      <c r="C93" s="270" t="s">
        <v>267</v>
      </c>
      <c r="D93" s="270" t="s">
        <v>717</v>
      </c>
    </row>
    <row r="94" spans="1:4" x14ac:dyDescent="0.25">
      <c r="A94" s="270" t="s">
        <v>234</v>
      </c>
      <c r="B94" s="270" t="s">
        <v>235</v>
      </c>
      <c r="C94" s="270" t="s">
        <v>268</v>
      </c>
      <c r="D94" s="270" t="s">
        <v>717</v>
      </c>
    </row>
    <row r="95" spans="1:4" x14ac:dyDescent="0.25">
      <c r="A95" s="270" t="s">
        <v>236</v>
      </c>
      <c r="B95" s="270" t="s">
        <v>237</v>
      </c>
      <c r="C95" s="270" t="s">
        <v>266</v>
      </c>
      <c r="D95" s="270" t="s">
        <v>717</v>
      </c>
    </row>
    <row r="96" spans="1:4" x14ac:dyDescent="0.25">
      <c r="A96" s="270" t="s">
        <v>242</v>
      </c>
      <c r="B96" s="270" t="s">
        <v>243</v>
      </c>
      <c r="C96" s="270" t="s">
        <v>268</v>
      </c>
      <c r="D96" s="270" t="s">
        <v>717</v>
      </c>
    </row>
    <row r="97" spans="1:4" x14ac:dyDescent="0.25">
      <c r="A97" s="270" t="s">
        <v>244</v>
      </c>
      <c r="B97" s="270" t="s">
        <v>245</v>
      </c>
      <c r="C97" s="270" t="s">
        <v>268</v>
      </c>
      <c r="D97" s="270" t="s">
        <v>717</v>
      </c>
    </row>
    <row r="98" spans="1:4" x14ac:dyDescent="0.25">
      <c r="A98" s="270" t="s">
        <v>246</v>
      </c>
      <c r="B98" s="270" t="s">
        <v>247</v>
      </c>
      <c r="C98" s="270" t="s">
        <v>264</v>
      </c>
      <c r="D98" s="270" t="s">
        <v>716</v>
      </c>
    </row>
    <row r="99" spans="1:4" x14ac:dyDescent="0.25">
      <c r="A99" s="270" t="s">
        <v>14</v>
      </c>
      <c r="B99" s="270" t="s">
        <v>15</v>
      </c>
      <c r="C99" s="270" t="s">
        <v>267</v>
      </c>
      <c r="D99" s="270" t="s">
        <v>716</v>
      </c>
    </row>
    <row r="100" spans="1:4" x14ac:dyDescent="0.25">
      <c r="A100" s="270" t="s">
        <v>34</v>
      </c>
      <c r="B100" s="270" t="s">
        <v>35</v>
      </c>
      <c r="C100" s="270" t="s">
        <v>268</v>
      </c>
      <c r="D100" s="270" t="s">
        <v>717</v>
      </c>
    </row>
    <row r="101" spans="1:4" x14ac:dyDescent="0.25">
      <c r="A101" s="270" t="s">
        <v>52</v>
      </c>
      <c r="B101" s="270" t="s">
        <v>53</v>
      </c>
      <c r="C101" s="270" t="s">
        <v>265</v>
      </c>
      <c r="D101" s="270" t="s">
        <v>716</v>
      </c>
    </row>
    <row r="102" spans="1:4" x14ac:dyDescent="0.25">
      <c r="A102" s="270" t="s">
        <v>54</v>
      </c>
      <c r="B102" s="270" t="s">
        <v>55</v>
      </c>
      <c r="C102" s="270" t="s">
        <v>264</v>
      </c>
      <c r="D102" s="270" t="s">
        <v>717</v>
      </c>
    </row>
    <row r="103" spans="1:4" x14ac:dyDescent="0.25">
      <c r="A103" s="270" t="s">
        <v>66</v>
      </c>
      <c r="B103" s="270" t="s">
        <v>67</v>
      </c>
      <c r="C103" s="270" t="s">
        <v>265</v>
      </c>
      <c r="D103" s="270" t="s">
        <v>717</v>
      </c>
    </row>
    <row r="104" spans="1:4" x14ac:dyDescent="0.25">
      <c r="A104" s="270" t="s">
        <v>82</v>
      </c>
      <c r="B104" s="270" t="s">
        <v>83</v>
      </c>
      <c r="C104" s="270" t="s">
        <v>264</v>
      </c>
      <c r="D104" s="270" t="s">
        <v>717</v>
      </c>
    </row>
    <row r="105" spans="1:4" x14ac:dyDescent="0.25">
      <c r="A105" s="270" t="s">
        <v>88</v>
      </c>
      <c r="B105" s="270" t="s">
        <v>89</v>
      </c>
      <c r="C105" s="270" t="s">
        <v>267</v>
      </c>
      <c r="D105" s="270" t="s">
        <v>717</v>
      </c>
    </row>
    <row r="106" spans="1:4" x14ac:dyDescent="0.25">
      <c r="A106" s="270" t="s">
        <v>90</v>
      </c>
      <c r="B106" s="270" t="s">
        <v>91</v>
      </c>
      <c r="C106" s="270" t="s">
        <v>268</v>
      </c>
      <c r="D106" s="270" t="s">
        <v>717</v>
      </c>
    </row>
    <row r="107" spans="1:4" x14ac:dyDescent="0.25">
      <c r="A107" s="270" t="s">
        <v>106</v>
      </c>
      <c r="B107" s="270" t="s">
        <v>107</v>
      </c>
      <c r="C107" s="270" t="s">
        <v>264</v>
      </c>
      <c r="D107" s="270" t="s">
        <v>716</v>
      </c>
    </row>
    <row r="108" spans="1:4" x14ac:dyDescent="0.25">
      <c r="A108" s="270" t="s">
        <v>116</v>
      </c>
      <c r="B108" s="270" t="s">
        <v>117</v>
      </c>
      <c r="C108" s="270" t="s">
        <v>266</v>
      </c>
      <c r="D108" s="270" t="s">
        <v>717</v>
      </c>
    </row>
    <row r="109" spans="1:4" x14ac:dyDescent="0.25">
      <c r="A109" s="270" t="s">
        <v>138</v>
      </c>
      <c r="B109" s="270" t="s">
        <v>139</v>
      </c>
      <c r="C109" s="270" t="s">
        <v>265</v>
      </c>
      <c r="D109" s="270" t="s">
        <v>716</v>
      </c>
    </row>
    <row r="110" spans="1:4" x14ac:dyDescent="0.25">
      <c r="A110" s="270" t="s">
        <v>142</v>
      </c>
      <c r="B110" s="270" t="s">
        <v>143</v>
      </c>
      <c r="C110" s="270" t="s">
        <v>267</v>
      </c>
      <c r="D110" s="270" t="s">
        <v>717</v>
      </c>
    </row>
    <row r="111" spans="1:4" x14ac:dyDescent="0.25">
      <c r="A111" s="270" t="s">
        <v>144</v>
      </c>
      <c r="B111" s="270" t="s">
        <v>145</v>
      </c>
      <c r="C111" s="270" t="s">
        <v>267</v>
      </c>
      <c r="D111" s="270" t="s">
        <v>717</v>
      </c>
    </row>
    <row r="112" spans="1:4" x14ac:dyDescent="0.25">
      <c r="A112" s="270" t="s">
        <v>158</v>
      </c>
      <c r="B112" s="270" t="s">
        <v>159</v>
      </c>
      <c r="C112" s="270" t="s">
        <v>264</v>
      </c>
      <c r="D112" s="270" t="s">
        <v>716</v>
      </c>
    </row>
    <row r="113" spans="1:4" x14ac:dyDescent="0.25">
      <c r="A113" s="270" t="s">
        <v>160</v>
      </c>
      <c r="B113" s="270" t="s">
        <v>161</v>
      </c>
      <c r="C113" s="270" t="s">
        <v>264</v>
      </c>
      <c r="D113" s="270" t="s">
        <v>716</v>
      </c>
    </row>
    <row r="114" spans="1:4" x14ac:dyDescent="0.25">
      <c r="A114" s="270" t="s">
        <v>166</v>
      </c>
      <c r="B114" s="270" t="s">
        <v>167</v>
      </c>
      <c r="C114" s="270" t="s">
        <v>268</v>
      </c>
      <c r="D114" s="270" t="s">
        <v>717</v>
      </c>
    </row>
    <row r="115" spans="1:4" x14ac:dyDescent="0.25">
      <c r="A115" s="270" t="s">
        <v>176</v>
      </c>
      <c r="B115" s="270" t="s">
        <v>177</v>
      </c>
      <c r="C115" s="270" t="s">
        <v>266</v>
      </c>
      <c r="D115" s="270" t="s">
        <v>717</v>
      </c>
    </row>
    <row r="116" spans="1:4" x14ac:dyDescent="0.25">
      <c r="A116" s="270" t="s">
        <v>180</v>
      </c>
      <c r="B116" s="270" t="s">
        <v>181</v>
      </c>
      <c r="C116" s="270" t="s">
        <v>264</v>
      </c>
      <c r="D116" s="270" t="s">
        <v>716</v>
      </c>
    </row>
    <row r="117" spans="1:4" x14ac:dyDescent="0.25">
      <c r="A117" s="270" t="s">
        <v>192</v>
      </c>
      <c r="B117" s="270" t="s">
        <v>193</v>
      </c>
      <c r="C117" s="270" t="s">
        <v>268</v>
      </c>
      <c r="D117" s="270" t="s">
        <v>717</v>
      </c>
    </row>
    <row r="118" spans="1:4" x14ac:dyDescent="0.25">
      <c r="A118" s="270" t="s">
        <v>196</v>
      </c>
      <c r="B118" s="270" t="s">
        <v>197</v>
      </c>
      <c r="C118" s="270" t="s">
        <v>266</v>
      </c>
      <c r="D118" s="270" t="s">
        <v>716</v>
      </c>
    </row>
    <row r="119" spans="1:4" x14ac:dyDescent="0.25">
      <c r="A119" s="270" t="s">
        <v>200</v>
      </c>
      <c r="B119" s="270" t="s">
        <v>201</v>
      </c>
      <c r="C119" s="270" t="s">
        <v>265</v>
      </c>
      <c r="D119" s="270" t="s">
        <v>716</v>
      </c>
    </row>
    <row r="120" spans="1:4" x14ac:dyDescent="0.25">
      <c r="A120" s="270" t="s">
        <v>222</v>
      </c>
      <c r="B120" s="270" t="s">
        <v>223</v>
      </c>
      <c r="C120" s="270" t="s">
        <v>264</v>
      </c>
      <c r="D120" s="270" t="s">
        <v>716</v>
      </c>
    </row>
    <row r="121" spans="1:4" x14ac:dyDescent="0.25">
      <c r="A121" s="270" t="s">
        <v>230</v>
      </c>
      <c r="B121" s="270" t="s">
        <v>231</v>
      </c>
      <c r="C121" s="270" t="s">
        <v>264</v>
      </c>
      <c r="D121" s="270" t="s">
        <v>716</v>
      </c>
    </row>
    <row r="122" spans="1:4" x14ac:dyDescent="0.25">
      <c r="A122" s="270" t="s">
        <v>238</v>
      </c>
      <c r="B122" s="270" t="s">
        <v>239</v>
      </c>
      <c r="C122" s="270" t="s">
        <v>264</v>
      </c>
      <c r="D122" s="270" t="s">
        <v>717</v>
      </c>
    </row>
    <row r="123" spans="1:4" x14ac:dyDescent="0.25">
      <c r="A123" s="270" t="s">
        <v>240</v>
      </c>
      <c r="B123" s="270" t="s">
        <v>241</v>
      </c>
      <c r="C123" s="270" t="s">
        <v>267</v>
      </c>
      <c r="D123" s="270" t="s">
        <v>717</v>
      </c>
    </row>
    <row r="125" spans="1:4" x14ac:dyDescent="0.25">
      <c r="C125" s="64" t="s">
        <v>603</v>
      </c>
      <c r="D125" s="515">
        <f>COUNTIF(D4:D123,"Full")</f>
        <v>93</v>
      </c>
    </row>
    <row r="126" spans="1:4" x14ac:dyDescent="0.25">
      <c r="C126" s="64" t="s">
        <v>604</v>
      </c>
      <c r="D126" s="515">
        <f>COUNTIF(D4:D123,"Shared")</f>
        <v>27</v>
      </c>
    </row>
    <row r="128" spans="1:4" x14ac:dyDescent="0.25">
      <c r="A128" s="270" t="s">
        <v>605</v>
      </c>
    </row>
    <row r="129" spans="1:2" x14ac:dyDescent="0.25">
      <c r="A129" s="270" t="s">
        <v>894</v>
      </c>
    </row>
    <row r="131" spans="1:2" s="412" customFormat="1" x14ac:dyDescent="0.25">
      <c r="A131" s="412" t="s">
        <v>248</v>
      </c>
    </row>
    <row r="132" spans="1:2" s="412" customFormat="1" x14ac:dyDescent="0.25">
      <c r="A132" s="413" t="s">
        <v>249</v>
      </c>
      <c r="B132" s="414" t="s">
        <v>250</v>
      </c>
    </row>
  </sheetData>
  <autoFilter ref="A3:D123"/>
  <sortState ref="A4:D123">
    <sortCondition ref="A4:A123"/>
  </sortState>
  <hyperlinks>
    <hyperlink ref="B132" r:id="rId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K122" activePane="bottomRight" state="frozen"/>
      <selection pane="topRight" activeCell="D1" sqref="D1"/>
      <selection pane="bottomLeft" activeCell="A5" sqref="A5"/>
      <selection pane="bottomRight" activeCell="M126" sqref="M126"/>
    </sheetView>
  </sheetViews>
  <sheetFormatPr defaultRowHeight="15.75" x14ac:dyDescent="0.25"/>
  <cols>
    <col min="1" max="1" width="9.125" style="270" customWidth="1"/>
    <col min="2" max="2" width="33" style="270" customWidth="1"/>
    <col min="3" max="3" width="17.125" style="270" customWidth="1"/>
    <col min="4" max="4" width="22.75" style="270" customWidth="1"/>
    <col min="5" max="6" width="14.125" style="270" customWidth="1"/>
    <col min="7" max="7" width="13.5" style="270" customWidth="1"/>
    <col min="8" max="9" width="14.5" style="270" bestFit="1" customWidth="1"/>
    <col min="10" max="10" width="13.5" style="270" bestFit="1" customWidth="1"/>
    <col min="11" max="11" width="13.5" style="270" customWidth="1"/>
    <col min="12" max="14" width="16" style="270" bestFit="1" customWidth="1"/>
    <col min="15" max="15" width="15.375" style="270" customWidth="1"/>
    <col min="16" max="16384" width="9" style="270"/>
  </cols>
  <sheetData>
    <row r="1" spans="1:15" x14ac:dyDescent="0.25">
      <c r="A1" s="261" t="s">
        <v>1232</v>
      </c>
      <c r="B1" s="820"/>
      <c r="C1" s="821"/>
      <c r="D1" s="821"/>
    </row>
    <row r="2" spans="1:15" x14ac:dyDescent="0.25">
      <c r="A2" s="821"/>
      <c r="B2" s="821"/>
      <c r="C2" s="821"/>
      <c r="D2" s="821"/>
      <c r="E2" s="822"/>
      <c r="F2" s="822"/>
      <c r="G2" s="822"/>
      <c r="H2" s="822"/>
      <c r="I2" s="822"/>
      <c r="J2" s="822"/>
      <c r="K2" s="822"/>
      <c r="L2" s="822"/>
      <c r="M2" s="822"/>
      <c r="N2" s="822"/>
    </row>
    <row r="3" spans="1:15" ht="36.75" customHeight="1" x14ac:dyDescent="0.25">
      <c r="A3" s="722" t="s">
        <v>4</v>
      </c>
      <c r="B3" s="828" t="s">
        <v>5</v>
      </c>
      <c r="C3" s="909" t="s">
        <v>251</v>
      </c>
      <c r="D3" s="829" t="s">
        <v>663</v>
      </c>
      <c r="E3" s="828" t="s">
        <v>314</v>
      </c>
      <c r="F3" s="828" t="s">
        <v>315</v>
      </c>
      <c r="G3" s="828" t="s">
        <v>316</v>
      </c>
      <c r="H3" s="830" t="s">
        <v>595</v>
      </c>
      <c r="I3" s="830" t="s">
        <v>596</v>
      </c>
      <c r="J3" s="830" t="s">
        <v>597</v>
      </c>
      <c r="K3" s="1821" t="s">
        <v>1267</v>
      </c>
      <c r="L3" s="830" t="s">
        <v>598</v>
      </c>
      <c r="M3" s="830" t="s">
        <v>392</v>
      </c>
      <c r="N3" s="830" t="s">
        <v>594</v>
      </c>
      <c r="O3" s="1410" t="s">
        <v>846</v>
      </c>
    </row>
    <row r="4" spans="1:15" x14ac:dyDescent="0.25">
      <c r="A4" s="715">
        <v>999</v>
      </c>
      <c r="B4" s="823" t="s">
        <v>9</v>
      </c>
      <c r="C4" s="823"/>
      <c r="D4" s="824">
        <f t="shared" ref="D4:O4" si="0">SUM(D5:D124)</f>
        <v>8036326049.2679644</v>
      </c>
      <c r="E4" s="824">
        <f t="shared" si="0"/>
        <v>4103369659.8053269</v>
      </c>
      <c r="F4" s="824">
        <f t="shared" si="0"/>
        <v>3913540287.0504293</v>
      </c>
      <c r="G4" s="824">
        <f t="shared" si="0"/>
        <v>19416102.41220678</v>
      </c>
      <c r="H4" s="824">
        <f t="shared" si="0"/>
        <v>264206620.24448031</v>
      </c>
      <c r="I4" s="824">
        <f t="shared" si="0"/>
        <v>217309945.29358506</v>
      </c>
      <c r="J4" s="824">
        <f t="shared" si="0"/>
        <v>46874223.586043954</v>
      </c>
      <c r="K4" s="824">
        <f t="shared" si="0"/>
        <v>22451.364851300001</v>
      </c>
      <c r="L4" s="824">
        <f t="shared" si="0"/>
        <v>7772119429.0234833</v>
      </c>
      <c r="M4" s="824">
        <f t="shared" si="0"/>
        <v>3886059714.5117421</v>
      </c>
      <c r="N4" s="824">
        <f t="shared" si="0"/>
        <v>3866666063.4643888</v>
      </c>
      <c r="O4" s="1409">
        <f t="shared" si="0"/>
        <v>19393651.047355477</v>
      </c>
    </row>
    <row r="5" spans="1:15" x14ac:dyDescent="0.25">
      <c r="A5" s="716" t="s">
        <v>10</v>
      </c>
      <c r="B5" s="825" t="s">
        <v>11</v>
      </c>
      <c r="C5" s="908" t="s">
        <v>264</v>
      </c>
      <c r="D5" s="825">
        <f t="shared" ref="D5:D36" si="1">H5+L5</f>
        <v>51692076.276761532</v>
      </c>
      <c r="E5" s="826">
        <f t="shared" ref="E5:E36" si="2">+I5+M5</f>
        <v>26428886.94119177</v>
      </c>
      <c r="F5" s="826">
        <f t="shared" ref="F5:F36" si="3">+J5+N5</f>
        <v>25190220.353054762</v>
      </c>
      <c r="G5" s="826">
        <f t="shared" ref="G5:G36" si="4">K5+O5</f>
        <v>72968.982514999996</v>
      </c>
      <c r="H5" s="1051">
        <f t="shared" ref="H5:H36" si="5">I5+J5+K5</f>
        <v>1807283.1094914842</v>
      </c>
      <c r="I5" s="1051">
        <v>1486490.3575567463</v>
      </c>
      <c r="J5" s="1051">
        <v>320792.75193473801</v>
      </c>
      <c r="K5" s="1820">
        <v>0</v>
      </c>
      <c r="L5" s="1051">
        <f t="shared" ref="L5:L36" si="6">M5+N5+O5</f>
        <v>49884793.167270049</v>
      </c>
      <c r="M5" s="1051">
        <v>24942396.583635025</v>
      </c>
      <c r="N5" s="1051">
        <v>24869427.601120025</v>
      </c>
      <c r="O5" s="1052">
        <v>72968.982514999996</v>
      </c>
    </row>
    <row r="6" spans="1:15" x14ac:dyDescent="0.25">
      <c r="A6" s="716" t="s">
        <v>12</v>
      </c>
      <c r="B6" s="825" t="s">
        <v>13</v>
      </c>
      <c r="C6" s="908" t="s">
        <v>265</v>
      </c>
      <c r="D6" s="908">
        <f t="shared" si="1"/>
        <v>61871035.388481289</v>
      </c>
      <c r="E6" s="826">
        <f t="shared" si="2"/>
        <v>31890887.682266451</v>
      </c>
      <c r="F6" s="826">
        <f t="shared" si="3"/>
        <v>29660256.63369558</v>
      </c>
      <c r="G6" s="826">
        <f t="shared" si="4"/>
        <v>319891.07251924998</v>
      </c>
      <c r="H6" s="1051">
        <f t="shared" si="5"/>
        <v>2962387.5597699592</v>
      </c>
      <c r="I6" s="1051">
        <v>2436563.7679107916</v>
      </c>
      <c r="J6" s="1051">
        <v>525423.1015376678</v>
      </c>
      <c r="K6" s="1820">
        <v>400.69032149999992</v>
      </c>
      <c r="L6" s="1051">
        <f t="shared" si="6"/>
        <v>58908647.828711331</v>
      </c>
      <c r="M6" s="1051">
        <v>29454323.914355662</v>
      </c>
      <c r="N6" s="1051">
        <v>29134833.532157913</v>
      </c>
      <c r="O6" s="1052">
        <v>319490.38219774998</v>
      </c>
    </row>
    <row r="7" spans="1:15" x14ac:dyDescent="0.25">
      <c r="A7" s="716" t="s">
        <v>16</v>
      </c>
      <c r="B7" s="825" t="s">
        <v>297</v>
      </c>
      <c r="C7" s="908" t="s">
        <v>265</v>
      </c>
      <c r="D7" s="908">
        <f t="shared" si="1"/>
        <v>34242090.002329819</v>
      </c>
      <c r="E7" s="826">
        <f t="shared" si="2"/>
        <v>17413074.991855428</v>
      </c>
      <c r="F7" s="826">
        <f t="shared" si="3"/>
        <v>16766938.631286897</v>
      </c>
      <c r="G7" s="826">
        <f t="shared" si="4"/>
        <v>62076.379187499988</v>
      </c>
      <c r="H7" s="1051">
        <f t="shared" si="5"/>
        <v>905519.35097834026</v>
      </c>
      <c r="I7" s="1051">
        <v>744789.66617968492</v>
      </c>
      <c r="J7" s="1051">
        <v>160729.68479865539</v>
      </c>
      <c r="K7" s="1820">
        <v>0</v>
      </c>
      <c r="L7" s="1051">
        <f t="shared" si="6"/>
        <v>33336570.651351478</v>
      </c>
      <c r="M7" s="1051">
        <v>16668285.325675741</v>
      </c>
      <c r="N7" s="1051">
        <v>16606208.946488241</v>
      </c>
      <c r="O7" s="1052">
        <v>62076.379187499988</v>
      </c>
    </row>
    <row r="8" spans="1:15" x14ac:dyDescent="0.25">
      <c r="A8" s="716" t="s">
        <v>18</v>
      </c>
      <c r="B8" s="825" t="s">
        <v>19</v>
      </c>
      <c r="C8" s="908" t="s">
        <v>266</v>
      </c>
      <c r="D8" s="908">
        <f t="shared" si="1"/>
        <v>17103651.174999658</v>
      </c>
      <c r="E8" s="826">
        <f t="shared" si="2"/>
        <v>8733383.4526043236</v>
      </c>
      <c r="F8" s="826">
        <f t="shared" si="3"/>
        <v>8334834.1466453345</v>
      </c>
      <c r="G8" s="826">
        <f t="shared" si="4"/>
        <v>35433.575750000004</v>
      </c>
      <c r="H8" s="1051">
        <f t="shared" si="5"/>
        <v>562970.12435502163</v>
      </c>
      <c r="I8" s="1051">
        <v>463042.92728200532</v>
      </c>
      <c r="J8" s="1051">
        <v>99927.197073016345</v>
      </c>
      <c r="K8" s="1820">
        <v>0</v>
      </c>
      <c r="L8" s="1051">
        <f t="shared" si="6"/>
        <v>16540681.050644636</v>
      </c>
      <c r="M8" s="1051">
        <v>8270340.5253223181</v>
      </c>
      <c r="N8" s="1051">
        <v>8234906.9495723182</v>
      </c>
      <c r="O8" s="1052">
        <v>35433.575750000004</v>
      </c>
    </row>
    <row r="9" spans="1:15" x14ac:dyDescent="0.25">
      <c r="A9" s="716" t="s">
        <v>20</v>
      </c>
      <c r="B9" s="825" t="s">
        <v>21</v>
      </c>
      <c r="C9" s="908" t="s">
        <v>265</v>
      </c>
      <c r="D9" s="908">
        <f t="shared" si="1"/>
        <v>45322140.519193783</v>
      </c>
      <c r="E9" s="826">
        <f t="shared" si="2"/>
        <v>23108753.591028329</v>
      </c>
      <c r="F9" s="826">
        <f t="shared" si="3"/>
        <v>22095506.835912954</v>
      </c>
      <c r="G9" s="826">
        <f t="shared" si="4"/>
        <v>117880.09225250001</v>
      </c>
      <c r="H9" s="1051">
        <f t="shared" si="5"/>
        <v>1388165.3687796528</v>
      </c>
      <c r="I9" s="1051">
        <v>1141766.0158212644</v>
      </c>
      <c r="J9" s="1051">
        <v>246399.35295838834</v>
      </c>
      <c r="K9" s="1820">
        <v>0</v>
      </c>
      <c r="L9" s="1051">
        <f t="shared" si="6"/>
        <v>43933975.150414132</v>
      </c>
      <c r="M9" s="1051">
        <v>21966987.575207066</v>
      </c>
      <c r="N9" s="1051">
        <v>21849107.482954565</v>
      </c>
      <c r="O9" s="1052">
        <v>117880.09225250001</v>
      </c>
    </row>
    <row r="10" spans="1:15" x14ac:dyDescent="0.25">
      <c r="A10" s="716" t="s">
        <v>22</v>
      </c>
      <c r="B10" s="825" t="s">
        <v>23</v>
      </c>
      <c r="C10" s="908" t="s">
        <v>265</v>
      </c>
      <c r="D10" s="908">
        <f t="shared" si="1"/>
        <v>24491914.297010567</v>
      </c>
      <c r="E10" s="826">
        <f t="shared" si="2"/>
        <v>12429950.052005952</v>
      </c>
      <c r="F10" s="826">
        <f t="shared" si="3"/>
        <v>11952515.927558988</v>
      </c>
      <c r="G10" s="826">
        <f t="shared" si="4"/>
        <v>109448.31744562501</v>
      </c>
      <c r="H10" s="1051">
        <f t="shared" si="5"/>
        <v>570520.63100982737</v>
      </c>
      <c r="I10" s="1051">
        <v>469253.21900558303</v>
      </c>
      <c r="J10" s="1051">
        <v>101267.41200424435</v>
      </c>
      <c r="K10" s="1820">
        <v>0</v>
      </c>
      <c r="L10" s="1051">
        <f t="shared" si="6"/>
        <v>23921393.666000739</v>
      </c>
      <c r="M10" s="1051">
        <v>11960696.833000369</v>
      </c>
      <c r="N10" s="1051">
        <v>11851248.515554745</v>
      </c>
      <c r="O10" s="1052">
        <v>109448.31744562501</v>
      </c>
    </row>
    <row r="11" spans="1:15" x14ac:dyDescent="0.25">
      <c r="A11" s="716" t="s">
        <v>24</v>
      </c>
      <c r="B11" s="825" t="s">
        <v>25</v>
      </c>
      <c r="C11" s="908" t="s">
        <v>267</v>
      </c>
      <c r="D11" s="908">
        <f t="shared" si="1"/>
        <v>107841527.98144335</v>
      </c>
      <c r="E11" s="826">
        <f t="shared" si="2"/>
        <v>55567217.241821393</v>
      </c>
      <c r="F11" s="826">
        <f t="shared" si="3"/>
        <v>51916115.955291942</v>
      </c>
      <c r="G11" s="826">
        <f t="shared" si="4"/>
        <v>358194.78433000005</v>
      </c>
      <c r="H11" s="1051">
        <f t="shared" si="5"/>
        <v>5105281.3987588361</v>
      </c>
      <c r="I11" s="1051">
        <v>4199093.9504791424</v>
      </c>
      <c r="J11" s="1051">
        <v>906187.44827969337</v>
      </c>
      <c r="K11" s="1820">
        <v>0</v>
      </c>
      <c r="L11" s="1051">
        <f t="shared" si="6"/>
        <v>102736246.5826845</v>
      </c>
      <c r="M11" s="1051">
        <v>51368123.291342251</v>
      </c>
      <c r="N11" s="1051">
        <v>51009928.507012248</v>
      </c>
      <c r="O11" s="1052">
        <v>358194.78433000005</v>
      </c>
    </row>
    <row r="12" spans="1:15" x14ac:dyDescent="0.25">
      <c r="A12" s="716" t="s">
        <v>26</v>
      </c>
      <c r="B12" s="825" t="s">
        <v>686</v>
      </c>
      <c r="C12" s="908" t="s">
        <v>265</v>
      </c>
      <c r="D12" s="908">
        <f t="shared" si="1"/>
        <v>125208369.01600578</v>
      </c>
      <c r="E12" s="826">
        <f t="shared" si="2"/>
        <v>64088709.572532512</v>
      </c>
      <c r="F12" s="826">
        <f t="shared" si="3"/>
        <v>60692250.491244778</v>
      </c>
      <c r="G12" s="826">
        <f t="shared" si="4"/>
        <v>427408.95222849993</v>
      </c>
      <c r="H12" s="1051">
        <f t="shared" si="5"/>
        <v>4603178.4946654793</v>
      </c>
      <c r="I12" s="1051">
        <v>3786114.3118623565</v>
      </c>
      <c r="J12" s="1051">
        <v>816941.82856062241</v>
      </c>
      <c r="K12" s="1820">
        <v>122.3542425</v>
      </c>
      <c r="L12" s="1051">
        <f t="shared" si="6"/>
        <v>120605190.52134031</v>
      </c>
      <c r="M12" s="1051">
        <v>60302595.260670155</v>
      </c>
      <c r="N12" s="1051">
        <v>59875308.662684157</v>
      </c>
      <c r="O12" s="1052">
        <v>427286.59798599995</v>
      </c>
    </row>
    <row r="13" spans="1:15" x14ac:dyDescent="0.25">
      <c r="A13" s="716" t="s">
        <v>27</v>
      </c>
      <c r="B13" s="825" t="s">
        <v>28</v>
      </c>
      <c r="C13" s="908" t="s">
        <v>265</v>
      </c>
      <c r="D13" s="908">
        <f t="shared" si="1"/>
        <v>4944709.2014696114</v>
      </c>
      <c r="E13" s="826">
        <f t="shared" si="2"/>
        <v>2525939.1135693593</v>
      </c>
      <c r="F13" s="826">
        <f t="shared" si="3"/>
        <v>2412091.9127002526</v>
      </c>
      <c r="G13" s="826">
        <f t="shared" si="4"/>
        <v>6678.1752000000006</v>
      </c>
      <c r="H13" s="1051">
        <f t="shared" si="5"/>
        <v>166153.52816915733</v>
      </c>
      <c r="I13" s="1051">
        <v>136661.27691913192</v>
      </c>
      <c r="J13" s="1051">
        <v>29492.251250025423</v>
      </c>
      <c r="K13" s="1820">
        <v>0</v>
      </c>
      <c r="L13" s="1051">
        <f t="shared" si="6"/>
        <v>4778555.6733004544</v>
      </c>
      <c r="M13" s="1051">
        <v>2389277.8366502272</v>
      </c>
      <c r="N13" s="1051">
        <v>2382599.6614502273</v>
      </c>
      <c r="O13" s="1052">
        <v>6678.1752000000006</v>
      </c>
    </row>
    <row r="14" spans="1:15" x14ac:dyDescent="0.25">
      <c r="A14" s="716" t="s">
        <v>29</v>
      </c>
      <c r="B14" s="908" t="s">
        <v>924</v>
      </c>
      <c r="C14" s="908" t="s">
        <v>265</v>
      </c>
      <c r="D14" s="908">
        <f t="shared" si="1"/>
        <v>73001166.145924047</v>
      </c>
      <c r="E14" s="826">
        <f t="shared" si="2"/>
        <v>37234112.213743366</v>
      </c>
      <c r="F14" s="826">
        <f t="shared" si="3"/>
        <v>35561464.689587064</v>
      </c>
      <c r="G14" s="826">
        <f t="shared" si="4"/>
        <v>205589.24259360004</v>
      </c>
      <c r="H14" s="1051">
        <f t="shared" si="5"/>
        <v>2274508.5218026382</v>
      </c>
      <c r="I14" s="1051">
        <v>1870783.40168267</v>
      </c>
      <c r="J14" s="1051">
        <v>403689.569167468</v>
      </c>
      <c r="K14" s="1820">
        <v>35.550952500000001</v>
      </c>
      <c r="L14" s="1051">
        <f t="shared" si="6"/>
        <v>70726657.624121413</v>
      </c>
      <c r="M14" s="1051">
        <v>35363328.812060699</v>
      </c>
      <c r="N14" s="1051">
        <v>35157775.120419599</v>
      </c>
      <c r="O14" s="1052">
        <v>205553.69164110004</v>
      </c>
    </row>
    <row r="15" spans="1:15" x14ac:dyDescent="0.25">
      <c r="A15" s="716" t="s">
        <v>30</v>
      </c>
      <c r="B15" s="825" t="s">
        <v>31</v>
      </c>
      <c r="C15" s="908" t="s">
        <v>268</v>
      </c>
      <c r="D15" s="908">
        <f t="shared" si="1"/>
        <v>7449138.1863388019</v>
      </c>
      <c r="E15" s="826">
        <f t="shared" si="2"/>
        <v>3771798.6178305484</v>
      </c>
      <c r="F15" s="826">
        <f t="shared" si="3"/>
        <v>3643292.899495753</v>
      </c>
      <c r="G15" s="826">
        <f t="shared" si="4"/>
        <v>34046.669012500002</v>
      </c>
      <c r="H15" s="1051">
        <f t="shared" si="5"/>
        <v>146448.13848417881</v>
      </c>
      <c r="I15" s="1051">
        <v>120453.59390323707</v>
      </c>
      <c r="J15" s="1051">
        <v>25994.544580941736</v>
      </c>
      <c r="K15" s="1820">
        <v>0</v>
      </c>
      <c r="L15" s="1051">
        <f t="shared" si="6"/>
        <v>7302690.0478546228</v>
      </c>
      <c r="M15" s="1051">
        <v>3651345.0239273114</v>
      </c>
      <c r="N15" s="1051">
        <v>3617298.3549148114</v>
      </c>
      <c r="O15" s="1052">
        <v>34046.669012500002</v>
      </c>
    </row>
    <row r="16" spans="1:15" x14ac:dyDescent="0.25">
      <c r="A16" s="716" t="s">
        <v>32</v>
      </c>
      <c r="B16" s="825" t="s">
        <v>33</v>
      </c>
      <c r="C16" s="908" t="s">
        <v>265</v>
      </c>
      <c r="D16" s="908">
        <f t="shared" si="1"/>
        <v>27623836.714558434</v>
      </c>
      <c r="E16" s="826">
        <f t="shared" si="2"/>
        <v>14012396.236885726</v>
      </c>
      <c r="F16" s="826">
        <f t="shared" si="3"/>
        <v>13548361.652588952</v>
      </c>
      <c r="G16" s="826">
        <f t="shared" si="4"/>
        <v>63078.825083750002</v>
      </c>
      <c r="H16" s="1051">
        <f t="shared" si="5"/>
        <v>621636.83598918305</v>
      </c>
      <c r="I16" s="1051">
        <v>511296.29760110303</v>
      </c>
      <c r="J16" s="1051">
        <v>110340.53838807996</v>
      </c>
      <c r="K16" s="1820">
        <v>0</v>
      </c>
      <c r="L16" s="1051">
        <f t="shared" si="6"/>
        <v>27002199.878569249</v>
      </c>
      <c r="M16" s="1051">
        <v>13501099.939284623</v>
      </c>
      <c r="N16" s="1051">
        <v>13438021.114200873</v>
      </c>
      <c r="O16" s="1052">
        <v>63078.825083750002</v>
      </c>
    </row>
    <row r="17" spans="1:15" x14ac:dyDescent="0.25">
      <c r="A17" s="716" t="s">
        <v>36</v>
      </c>
      <c r="B17" s="825" t="s">
        <v>37</v>
      </c>
      <c r="C17" s="908" t="s">
        <v>264</v>
      </c>
      <c r="D17" s="908">
        <f t="shared" si="1"/>
        <v>34675196.290881358</v>
      </c>
      <c r="E17" s="826">
        <f t="shared" si="2"/>
        <v>17566065.440248396</v>
      </c>
      <c r="F17" s="826">
        <f t="shared" si="3"/>
        <v>17035349.011962958</v>
      </c>
      <c r="G17" s="826">
        <f t="shared" si="4"/>
        <v>73781.838669999997</v>
      </c>
      <c r="H17" s="1051">
        <f t="shared" si="5"/>
        <v>708425.72033401323</v>
      </c>
      <c r="I17" s="1051">
        <v>582680.15497472591</v>
      </c>
      <c r="J17" s="1051">
        <v>125745.56535928734</v>
      </c>
      <c r="K17" s="1820">
        <v>0</v>
      </c>
      <c r="L17" s="1051">
        <f t="shared" si="6"/>
        <v>33966770.570547342</v>
      </c>
      <c r="M17" s="1051">
        <v>16983385.285273671</v>
      </c>
      <c r="N17" s="1051">
        <v>16909603.446603671</v>
      </c>
      <c r="O17" s="1052">
        <v>73781.838669999997</v>
      </c>
    </row>
    <row r="18" spans="1:15" x14ac:dyDescent="0.25">
      <c r="A18" s="716" t="s">
        <v>38</v>
      </c>
      <c r="B18" s="825" t="s">
        <v>39</v>
      </c>
      <c r="C18" s="908" t="s">
        <v>268</v>
      </c>
      <c r="D18" s="908">
        <f t="shared" si="1"/>
        <v>40377694.565755047</v>
      </c>
      <c r="E18" s="826">
        <f t="shared" si="2"/>
        <v>20447636.838408928</v>
      </c>
      <c r="F18" s="826">
        <f t="shared" si="3"/>
        <v>19793354.438396115</v>
      </c>
      <c r="G18" s="826">
        <f t="shared" si="4"/>
        <v>136703.28894999999</v>
      </c>
      <c r="H18" s="1051">
        <f t="shared" si="5"/>
        <v>802448.23420591431</v>
      </c>
      <c r="I18" s="1051">
        <v>660013.67263436446</v>
      </c>
      <c r="J18" s="1051">
        <v>140011.95285154978</v>
      </c>
      <c r="K18" s="1820">
        <v>2422.6087199999993</v>
      </c>
      <c r="L18" s="1051">
        <f t="shared" si="6"/>
        <v>39575246.33154913</v>
      </c>
      <c r="M18" s="1051">
        <v>19787623.165774565</v>
      </c>
      <c r="N18" s="1051">
        <v>19653342.485544566</v>
      </c>
      <c r="O18" s="1052">
        <v>134280.68023</v>
      </c>
    </row>
    <row r="19" spans="1:15" x14ac:dyDescent="0.25">
      <c r="A19" s="716" t="s">
        <v>40</v>
      </c>
      <c r="B19" s="825" t="s">
        <v>41</v>
      </c>
      <c r="C19" s="908" t="s">
        <v>266</v>
      </c>
      <c r="D19" s="908">
        <f t="shared" si="1"/>
        <v>24406160.035294801</v>
      </c>
      <c r="E19" s="826">
        <f t="shared" si="2"/>
        <v>12404856.568761228</v>
      </c>
      <c r="F19" s="826">
        <f t="shared" si="3"/>
        <v>11936804.417262949</v>
      </c>
      <c r="G19" s="826">
        <f t="shared" si="4"/>
        <v>64499.049270624993</v>
      </c>
      <c r="H19" s="1051">
        <f t="shared" si="5"/>
        <v>625663.72438396094</v>
      </c>
      <c r="I19" s="1051">
        <v>514608.41330580786</v>
      </c>
      <c r="J19" s="1051">
        <v>111055.31107815306</v>
      </c>
      <c r="K19" s="1820">
        <v>0</v>
      </c>
      <c r="L19" s="1051">
        <f t="shared" si="6"/>
        <v>23780496.31091084</v>
      </c>
      <c r="M19" s="1051">
        <v>11890248.15545542</v>
      </c>
      <c r="N19" s="1051">
        <v>11825749.106184795</v>
      </c>
      <c r="O19" s="1052">
        <v>64499.049270624993</v>
      </c>
    </row>
    <row r="20" spans="1:15" x14ac:dyDescent="0.25">
      <c r="A20" s="716" t="s">
        <v>42</v>
      </c>
      <c r="B20" s="825" t="s">
        <v>43</v>
      </c>
      <c r="C20" s="908" t="s">
        <v>265</v>
      </c>
      <c r="D20" s="908">
        <f t="shared" si="1"/>
        <v>70594724.808168545</v>
      </c>
      <c r="E20" s="826">
        <f t="shared" si="2"/>
        <v>35931845.169099234</v>
      </c>
      <c r="F20" s="826">
        <f t="shared" si="3"/>
        <v>34513796.264948077</v>
      </c>
      <c r="G20" s="826">
        <f t="shared" si="4"/>
        <v>149083.37412124997</v>
      </c>
      <c r="H20" s="1051">
        <f t="shared" si="5"/>
        <v>1967388.4186510153</v>
      </c>
      <c r="I20" s="1051">
        <v>1618176.97434046</v>
      </c>
      <c r="J20" s="1051">
        <v>349104.92858305521</v>
      </c>
      <c r="K20" s="1820">
        <v>106.5157275</v>
      </c>
      <c r="L20" s="1051">
        <f t="shared" si="6"/>
        <v>68627336.389517531</v>
      </c>
      <c r="M20" s="1051">
        <v>34313668.194758773</v>
      </c>
      <c r="N20" s="1051">
        <v>34164691.336365022</v>
      </c>
      <c r="O20" s="1052">
        <v>148976.85839374998</v>
      </c>
    </row>
    <row r="21" spans="1:15" x14ac:dyDescent="0.25">
      <c r="A21" s="716" t="s">
        <v>44</v>
      </c>
      <c r="B21" s="825" t="s">
        <v>45</v>
      </c>
      <c r="C21" s="908" t="s">
        <v>266</v>
      </c>
      <c r="D21" s="908">
        <f t="shared" si="1"/>
        <v>32180413.491913088</v>
      </c>
      <c r="E21" s="826">
        <f t="shared" si="2"/>
        <v>16513107.477588683</v>
      </c>
      <c r="F21" s="826">
        <f t="shared" si="3"/>
        <v>15584354.594794903</v>
      </c>
      <c r="G21" s="826">
        <f t="shared" si="4"/>
        <v>82951.41952950001</v>
      </c>
      <c r="H21" s="1051">
        <f t="shared" si="5"/>
        <v>1311320.0980841559</v>
      </c>
      <c r="I21" s="1051">
        <v>1078560.7806742182</v>
      </c>
      <c r="J21" s="1051">
        <v>232759.31740993768</v>
      </c>
      <c r="K21" s="1820">
        <v>0</v>
      </c>
      <c r="L21" s="1051">
        <f t="shared" si="6"/>
        <v>30869093.393828932</v>
      </c>
      <c r="M21" s="1051">
        <v>15434546.696914464</v>
      </c>
      <c r="N21" s="1051">
        <v>15351595.277384965</v>
      </c>
      <c r="O21" s="1052">
        <v>82951.41952950001</v>
      </c>
    </row>
    <row r="22" spans="1:15" x14ac:dyDescent="0.25">
      <c r="A22" s="716" t="s">
        <v>46</v>
      </c>
      <c r="B22" s="825" t="s">
        <v>47</v>
      </c>
      <c r="C22" s="908" t="s">
        <v>268</v>
      </c>
      <c r="D22" s="908">
        <f t="shared" si="1"/>
        <v>43838669.004242495</v>
      </c>
      <c r="E22" s="826">
        <f t="shared" si="2"/>
        <v>22357231.132643528</v>
      </c>
      <c r="F22" s="826">
        <f t="shared" si="3"/>
        <v>21393454.336447712</v>
      </c>
      <c r="G22" s="826">
        <f t="shared" si="4"/>
        <v>87983.53515125002</v>
      </c>
      <c r="H22" s="1051">
        <f t="shared" si="5"/>
        <v>1357819.009371419</v>
      </c>
      <c r="I22" s="1051">
        <v>1116806.135207992</v>
      </c>
      <c r="J22" s="1051">
        <v>241012.87416342687</v>
      </c>
      <c r="K22" s="1820">
        <v>0</v>
      </c>
      <c r="L22" s="1051">
        <f t="shared" si="6"/>
        <v>42480849.994871072</v>
      </c>
      <c r="M22" s="1051">
        <v>21240424.997435536</v>
      </c>
      <c r="N22" s="1051">
        <v>21152441.462284286</v>
      </c>
      <c r="O22" s="1052">
        <v>87983.53515125002</v>
      </c>
    </row>
    <row r="23" spans="1:15" x14ac:dyDescent="0.25">
      <c r="A23" s="716" t="s">
        <v>48</v>
      </c>
      <c r="B23" s="825" t="s">
        <v>269</v>
      </c>
      <c r="C23" s="908" t="s">
        <v>266</v>
      </c>
      <c r="D23" s="908">
        <f t="shared" si="1"/>
        <v>8796017.7124128565</v>
      </c>
      <c r="E23" s="826">
        <f t="shared" si="2"/>
        <v>4486695.0108585395</v>
      </c>
      <c r="F23" s="826">
        <f t="shared" si="3"/>
        <v>4309322.7015543161</v>
      </c>
      <c r="G23" s="826">
        <f t="shared" si="4"/>
        <v>0</v>
      </c>
      <c r="H23" s="1051">
        <f t="shared" si="5"/>
        <v>274995.8283786414</v>
      </c>
      <c r="I23" s="1051">
        <v>226184.06884143257</v>
      </c>
      <c r="J23" s="1051">
        <v>48811.75953720884</v>
      </c>
      <c r="K23" s="1820">
        <v>0</v>
      </c>
      <c r="L23" s="1051">
        <f t="shared" si="6"/>
        <v>8521021.8840342145</v>
      </c>
      <c r="M23" s="1051">
        <v>4260510.9420171073</v>
      </c>
      <c r="N23" s="1051">
        <v>4260510.9420171073</v>
      </c>
      <c r="O23" s="1052">
        <v>0</v>
      </c>
    </row>
    <row r="24" spans="1:15" x14ac:dyDescent="0.25">
      <c r="A24" s="716" t="s">
        <v>50</v>
      </c>
      <c r="B24" s="825" t="s">
        <v>51</v>
      </c>
      <c r="C24" s="908" t="s">
        <v>265</v>
      </c>
      <c r="D24" s="908">
        <f t="shared" si="1"/>
        <v>18484454.319172941</v>
      </c>
      <c r="E24" s="826">
        <f t="shared" si="2"/>
        <v>9388423.5289699286</v>
      </c>
      <c r="F24" s="826">
        <f t="shared" si="3"/>
        <v>9036885.560338011</v>
      </c>
      <c r="G24" s="826">
        <f t="shared" si="4"/>
        <v>59145.229865000008</v>
      </c>
      <c r="H24" s="1051">
        <f t="shared" si="5"/>
        <v>453322.07560762594</v>
      </c>
      <c r="I24" s="1051">
        <v>372857.40718727233</v>
      </c>
      <c r="J24" s="1051">
        <v>80464.668420353599</v>
      </c>
      <c r="K24" s="1820">
        <v>0</v>
      </c>
      <c r="L24" s="1051">
        <f t="shared" si="6"/>
        <v>18031132.243565314</v>
      </c>
      <c r="M24" s="1051">
        <v>9015566.1217826568</v>
      </c>
      <c r="N24" s="1051">
        <v>8956420.8919176571</v>
      </c>
      <c r="O24" s="1052">
        <v>59145.229865000008</v>
      </c>
    </row>
    <row r="25" spans="1:15" x14ac:dyDescent="0.25">
      <c r="A25" s="716" t="s">
        <v>56</v>
      </c>
      <c r="B25" s="825" t="s">
        <v>295</v>
      </c>
      <c r="C25" s="908" t="s">
        <v>266</v>
      </c>
      <c r="D25" s="908">
        <f t="shared" si="1"/>
        <v>310624167.71525091</v>
      </c>
      <c r="E25" s="826">
        <f t="shared" si="2"/>
        <v>159128248.32930404</v>
      </c>
      <c r="F25" s="826">
        <f t="shared" si="3"/>
        <v>150775517.44242975</v>
      </c>
      <c r="G25" s="826">
        <f t="shared" si="4"/>
        <v>720401.94351712486</v>
      </c>
      <c r="H25" s="1051">
        <f t="shared" si="5"/>
        <v>11833068.129235916</v>
      </c>
      <c r="I25" s="1051">
        <v>9732698.5362965409</v>
      </c>
      <c r="J25" s="1051">
        <v>2099175.6204831251</v>
      </c>
      <c r="K25" s="1820">
        <v>1193.9724562500001</v>
      </c>
      <c r="L25" s="1051">
        <f t="shared" si="6"/>
        <v>298791099.58601499</v>
      </c>
      <c r="M25" s="1051">
        <v>149395549.79300749</v>
      </c>
      <c r="N25" s="1051">
        <v>148676341.82194662</v>
      </c>
      <c r="O25" s="1052">
        <v>719207.97106087487</v>
      </c>
    </row>
    <row r="26" spans="1:15" x14ac:dyDescent="0.25">
      <c r="A26" s="716" t="s">
        <v>58</v>
      </c>
      <c r="B26" s="825" t="s">
        <v>59</v>
      </c>
      <c r="C26" s="908" t="s">
        <v>267</v>
      </c>
      <c r="D26" s="908">
        <f t="shared" si="1"/>
        <v>10039422.807995027</v>
      </c>
      <c r="E26" s="826">
        <f t="shared" si="2"/>
        <v>5127242.7370751938</v>
      </c>
      <c r="F26" s="826">
        <f t="shared" si="3"/>
        <v>4850618.5539304586</v>
      </c>
      <c r="G26" s="826">
        <f t="shared" si="4"/>
        <v>61561.516989375006</v>
      </c>
      <c r="H26" s="1051">
        <f t="shared" si="5"/>
        <v>333430.49016334827</v>
      </c>
      <c r="I26" s="1051">
        <v>274246.57815935393</v>
      </c>
      <c r="J26" s="1051">
        <v>59183.912003994308</v>
      </c>
      <c r="K26" s="1820">
        <v>0</v>
      </c>
      <c r="L26" s="1051">
        <f t="shared" si="6"/>
        <v>9705992.3178316783</v>
      </c>
      <c r="M26" s="1051">
        <v>4852996.1589158401</v>
      </c>
      <c r="N26" s="1051">
        <v>4791434.6419264646</v>
      </c>
      <c r="O26" s="1052">
        <v>61561.516989375006</v>
      </c>
    </row>
    <row r="27" spans="1:15" x14ac:dyDescent="0.25">
      <c r="A27" s="716" t="s">
        <v>60</v>
      </c>
      <c r="B27" s="825" t="s">
        <v>61</v>
      </c>
      <c r="C27" s="908" t="s">
        <v>265</v>
      </c>
      <c r="D27" s="908">
        <f t="shared" si="1"/>
        <v>5206734.8697850825</v>
      </c>
      <c r="E27" s="826">
        <f t="shared" si="2"/>
        <v>2670483.8224301701</v>
      </c>
      <c r="F27" s="826">
        <f t="shared" si="3"/>
        <v>2514395.656736162</v>
      </c>
      <c r="G27" s="826">
        <f t="shared" si="4"/>
        <v>21855.39061875</v>
      </c>
      <c r="H27" s="1051">
        <f t="shared" si="5"/>
        <v>208112.8295740436</v>
      </c>
      <c r="I27" s="1051">
        <v>171172.80232465087</v>
      </c>
      <c r="J27" s="1051">
        <v>36940.027249392733</v>
      </c>
      <c r="K27" s="1820">
        <v>0</v>
      </c>
      <c r="L27" s="1051">
        <f t="shared" si="6"/>
        <v>4998622.0402110387</v>
      </c>
      <c r="M27" s="1051">
        <v>2499311.0201055193</v>
      </c>
      <c r="N27" s="1051">
        <v>2477455.6294867694</v>
      </c>
      <c r="O27" s="1052">
        <v>21855.39061875</v>
      </c>
    </row>
    <row r="28" spans="1:15" x14ac:dyDescent="0.25">
      <c r="A28" s="716" t="s">
        <v>62</v>
      </c>
      <c r="B28" s="825" t="s">
        <v>63</v>
      </c>
      <c r="C28" s="908" t="s">
        <v>267</v>
      </c>
      <c r="D28" s="908">
        <f t="shared" si="1"/>
        <v>52590995.600971766</v>
      </c>
      <c r="E28" s="826">
        <f t="shared" si="2"/>
        <v>26991998.478956435</v>
      </c>
      <c r="F28" s="826">
        <f t="shared" si="3"/>
        <v>25274858.075578455</v>
      </c>
      <c r="G28" s="826">
        <f t="shared" si="4"/>
        <v>324139.04643687507</v>
      </c>
      <c r="H28" s="1051">
        <f t="shared" si="5"/>
        <v>2159692.0262652775</v>
      </c>
      <c r="I28" s="1051">
        <v>1776346.6916031907</v>
      </c>
      <c r="J28" s="1051">
        <v>383345.3346620868</v>
      </c>
      <c r="K28" s="1820">
        <v>0</v>
      </c>
      <c r="L28" s="1051">
        <f t="shared" si="6"/>
        <v>50431303.574706487</v>
      </c>
      <c r="M28" s="1051">
        <v>25215651.787353244</v>
      </c>
      <c r="N28" s="1051">
        <v>24891512.740916368</v>
      </c>
      <c r="O28" s="1052">
        <v>324139.04643687507</v>
      </c>
    </row>
    <row r="29" spans="1:15" x14ac:dyDescent="0.25">
      <c r="A29" s="716" t="s">
        <v>64</v>
      </c>
      <c r="B29" s="825" t="s">
        <v>65</v>
      </c>
      <c r="C29" s="908" t="s">
        <v>266</v>
      </c>
      <c r="D29" s="908">
        <f t="shared" si="1"/>
        <v>17052003.083862457</v>
      </c>
      <c r="E29" s="826">
        <f t="shared" si="2"/>
        <v>8677153.2835271973</v>
      </c>
      <c r="F29" s="826">
        <f t="shared" si="3"/>
        <v>8300812.7605352616</v>
      </c>
      <c r="G29" s="826">
        <f t="shared" si="4"/>
        <v>74037.039799999999</v>
      </c>
      <c r="H29" s="1051">
        <f t="shared" si="5"/>
        <v>468687.5708402092</v>
      </c>
      <c r="I29" s="1051">
        <v>385495.52701607207</v>
      </c>
      <c r="J29" s="1051">
        <v>83192.04382413713</v>
      </c>
      <c r="K29" s="1820">
        <v>0</v>
      </c>
      <c r="L29" s="1051">
        <f t="shared" si="6"/>
        <v>16583315.513022248</v>
      </c>
      <c r="M29" s="1051">
        <v>8291657.7565111248</v>
      </c>
      <c r="N29" s="1051">
        <v>8217620.7167111244</v>
      </c>
      <c r="O29" s="1052">
        <v>74037.039799999999</v>
      </c>
    </row>
    <row r="30" spans="1:15" x14ac:dyDescent="0.25">
      <c r="A30" s="716" t="s">
        <v>68</v>
      </c>
      <c r="B30" s="825" t="s">
        <v>69</v>
      </c>
      <c r="C30" s="908" t="s">
        <v>268</v>
      </c>
      <c r="D30" s="908">
        <f t="shared" si="1"/>
        <v>28255641.320521522</v>
      </c>
      <c r="E30" s="826">
        <f t="shared" si="2"/>
        <v>14356613.39174293</v>
      </c>
      <c r="F30" s="826">
        <f t="shared" si="3"/>
        <v>13804706.267351091</v>
      </c>
      <c r="G30" s="826">
        <f t="shared" si="4"/>
        <v>94321.661427500003</v>
      </c>
      <c r="H30" s="1051">
        <f t="shared" si="5"/>
        <v>709434.82630130055</v>
      </c>
      <c r="I30" s="1051">
        <v>583510.14463281969</v>
      </c>
      <c r="J30" s="1051">
        <v>125924.68166848086</v>
      </c>
      <c r="K30" s="1820">
        <v>0</v>
      </c>
      <c r="L30" s="1051">
        <f t="shared" si="6"/>
        <v>27546206.494220223</v>
      </c>
      <c r="M30" s="1051">
        <v>13773103.24711011</v>
      </c>
      <c r="N30" s="1051">
        <v>13678781.58568261</v>
      </c>
      <c r="O30" s="1052">
        <v>94321.661427500003</v>
      </c>
    </row>
    <row r="31" spans="1:15" x14ac:dyDescent="0.25">
      <c r="A31" s="716" t="s">
        <v>70</v>
      </c>
      <c r="B31" s="825" t="s">
        <v>71</v>
      </c>
      <c r="C31" s="908" t="s">
        <v>264</v>
      </c>
      <c r="D31" s="908">
        <f t="shared" si="1"/>
        <v>37478747.046519481</v>
      </c>
      <c r="E31" s="826">
        <f t="shared" si="2"/>
        <v>19077792.141532578</v>
      </c>
      <c r="F31" s="826">
        <f t="shared" si="3"/>
        <v>18296383.038216908</v>
      </c>
      <c r="G31" s="826">
        <f t="shared" si="4"/>
        <v>104571.86676999998</v>
      </c>
      <c r="H31" s="1051">
        <f t="shared" si="5"/>
        <v>1049360.056659953</v>
      </c>
      <c r="I31" s="1051">
        <v>863098.64660281141</v>
      </c>
      <c r="J31" s="1051">
        <v>186261.41005714165</v>
      </c>
      <c r="K31" s="1820">
        <v>0</v>
      </c>
      <c r="L31" s="1051">
        <f t="shared" si="6"/>
        <v>36429386.989859529</v>
      </c>
      <c r="M31" s="1051">
        <v>18214693.494929764</v>
      </c>
      <c r="N31" s="1051">
        <v>18110121.628159765</v>
      </c>
      <c r="O31" s="1052">
        <v>104571.86676999998</v>
      </c>
    </row>
    <row r="32" spans="1:15" x14ac:dyDescent="0.25">
      <c r="A32" s="716" t="s">
        <v>72</v>
      </c>
      <c r="B32" s="825" t="s">
        <v>73</v>
      </c>
      <c r="C32" s="908" t="s">
        <v>266</v>
      </c>
      <c r="D32" s="908">
        <f t="shared" si="1"/>
        <v>16067115.598753402</v>
      </c>
      <c r="E32" s="826">
        <f t="shared" si="2"/>
        <v>8205836.0996589642</v>
      </c>
      <c r="F32" s="826">
        <f t="shared" si="3"/>
        <v>7784527.7583594378</v>
      </c>
      <c r="G32" s="826">
        <f t="shared" si="4"/>
        <v>76751.740734999999</v>
      </c>
      <c r="H32" s="1051">
        <f t="shared" si="5"/>
        <v>534196.27994500275</v>
      </c>
      <c r="I32" s="1051">
        <v>439376.44025476475</v>
      </c>
      <c r="J32" s="1051">
        <v>94819.839690237975</v>
      </c>
      <c r="K32" s="1820">
        <v>0</v>
      </c>
      <c r="L32" s="1051">
        <f t="shared" si="6"/>
        <v>15532919.318808399</v>
      </c>
      <c r="M32" s="1051">
        <v>7766459.6594041996</v>
      </c>
      <c r="N32" s="1051">
        <v>7689707.9186691996</v>
      </c>
      <c r="O32" s="1052">
        <v>76751.740734999999</v>
      </c>
    </row>
    <row r="33" spans="1:15" x14ac:dyDescent="0.25">
      <c r="A33" s="716" t="s">
        <v>74</v>
      </c>
      <c r="B33" s="825" t="s">
        <v>302</v>
      </c>
      <c r="C33" s="908" t="s">
        <v>267</v>
      </c>
      <c r="D33" s="908">
        <f t="shared" si="1"/>
        <v>579023795.11573398</v>
      </c>
      <c r="E33" s="826">
        <f t="shared" si="2"/>
        <v>299204570.75347459</v>
      </c>
      <c r="F33" s="826">
        <f t="shared" si="3"/>
        <v>278896334.95905906</v>
      </c>
      <c r="G33" s="826">
        <f t="shared" si="4"/>
        <v>922889.40320024989</v>
      </c>
      <c r="H33" s="1051">
        <f t="shared" si="5"/>
        <v>30054800.606535293</v>
      </c>
      <c r="I33" s="1051">
        <v>24720073.498875279</v>
      </c>
      <c r="J33" s="1051">
        <v>5334727.1076600142</v>
      </c>
      <c r="K33" s="1820">
        <v>0</v>
      </c>
      <c r="L33" s="1051">
        <f t="shared" si="6"/>
        <v>548968994.50919867</v>
      </c>
      <c r="M33" s="1051">
        <v>274484497.25459933</v>
      </c>
      <c r="N33" s="1051">
        <v>273561607.85139906</v>
      </c>
      <c r="O33" s="1052">
        <v>922889.40320024989</v>
      </c>
    </row>
    <row r="34" spans="1:15" x14ac:dyDescent="0.25">
      <c r="A34" s="716" t="s">
        <v>76</v>
      </c>
      <c r="B34" s="825" t="s">
        <v>77</v>
      </c>
      <c r="C34" s="908" t="s">
        <v>267</v>
      </c>
      <c r="D34" s="908">
        <f t="shared" si="1"/>
        <v>48705799.372013211</v>
      </c>
      <c r="E34" s="826">
        <f t="shared" si="2"/>
        <v>24859082.095753197</v>
      </c>
      <c r="F34" s="826">
        <f t="shared" si="3"/>
        <v>23500767.655235007</v>
      </c>
      <c r="G34" s="826">
        <f t="shared" si="4"/>
        <v>345949.62102499994</v>
      </c>
      <c r="H34" s="1051">
        <f t="shared" si="5"/>
        <v>1569557.8596793653</v>
      </c>
      <c r="I34" s="1051">
        <v>1290961.339586278</v>
      </c>
      <c r="J34" s="1051">
        <v>278596.52009308734</v>
      </c>
      <c r="K34" s="1820">
        <v>0</v>
      </c>
      <c r="L34" s="1051">
        <f t="shared" si="6"/>
        <v>47136241.512333848</v>
      </c>
      <c r="M34" s="1051">
        <v>23568120.75616692</v>
      </c>
      <c r="N34" s="1051">
        <v>23222171.13514192</v>
      </c>
      <c r="O34" s="1052">
        <v>345949.62102499994</v>
      </c>
    </row>
    <row r="35" spans="1:15" x14ac:dyDescent="0.25">
      <c r="A35" s="716" t="s">
        <v>78</v>
      </c>
      <c r="B35" s="825" t="s">
        <v>79</v>
      </c>
      <c r="C35" s="908" t="s">
        <v>268</v>
      </c>
      <c r="D35" s="908">
        <f t="shared" si="1"/>
        <v>20437946.223650876</v>
      </c>
      <c r="E35" s="826">
        <f t="shared" si="2"/>
        <v>10494672.520551687</v>
      </c>
      <c r="F35" s="826">
        <f t="shared" si="3"/>
        <v>9913395.2240491901</v>
      </c>
      <c r="G35" s="826">
        <f t="shared" si="4"/>
        <v>29878.479050000002</v>
      </c>
      <c r="H35" s="1051">
        <f t="shared" si="5"/>
        <v>854881.88752325252</v>
      </c>
      <c r="I35" s="1051">
        <v>703140.35248787515</v>
      </c>
      <c r="J35" s="1051">
        <v>151741.53503537731</v>
      </c>
      <c r="K35" s="1820">
        <v>0</v>
      </c>
      <c r="L35" s="1051">
        <f t="shared" si="6"/>
        <v>19583064.336127624</v>
      </c>
      <c r="M35" s="1051">
        <v>9791532.168063812</v>
      </c>
      <c r="N35" s="1051">
        <v>9761653.6890138127</v>
      </c>
      <c r="O35" s="1052">
        <v>29878.479050000002</v>
      </c>
    </row>
    <row r="36" spans="1:15" x14ac:dyDescent="0.25">
      <c r="A36" s="716" t="s">
        <v>80</v>
      </c>
      <c r="B36" s="825" t="s">
        <v>81</v>
      </c>
      <c r="C36" s="908" t="s">
        <v>266</v>
      </c>
      <c r="D36" s="908">
        <f t="shared" si="1"/>
        <v>18371113.286382265</v>
      </c>
      <c r="E36" s="826">
        <f t="shared" si="2"/>
        <v>9541418.7236427292</v>
      </c>
      <c r="F36" s="826">
        <f t="shared" si="3"/>
        <v>8761733.0590976626</v>
      </c>
      <c r="G36" s="826">
        <f t="shared" si="4"/>
        <v>67961.50364187501</v>
      </c>
      <c r="H36" s="1051">
        <f t="shared" si="5"/>
        <v>1103448.3114778162</v>
      </c>
      <c r="I36" s="1051">
        <v>907586.23619050393</v>
      </c>
      <c r="J36" s="1051">
        <v>195862.07528731239</v>
      </c>
      <c r="K36" s="1820">
        <v>0</v>
      </c>
      <c r="L36" s="1051">
        <f t="shared" si="6"/>
        <v>17267664.974904448</v>
      </c>
      <c r="M36" s="1051">
        <v>8633832.4874522258</v>
      </c>
      <c r="N36" s="1051">
        <v>8565870.9838103503</v>
      </c>
      <c r="O36" s="1052">
        <v>67961.50364187501</v>
      </c>
    </row>
    <row r="37" spans="1:15" x14ac:dyDescent="0.25">
      <c r="A37" s="716" t="s">
        <v>84</v>
      </c>
      <c r="B37" s="825" t="s">
        <v>308</v>
      </c>
      <c r="C37" s="908" t="s">
        <v>265</v>
      </c>
      <c r="D37" s="908">
        <f t="shared" ref="D37:D68" si="7">H37+L37</f>
        <v>63294773.102676108</v>
      </c>
      <c r="E37" s="826">
        <f t="shared" ref="E37:E68" si="8">+I37+M37</f>
        <v>32222269.668525375</v>
      </c>
      <c r="F37" s="826">
        <f t="shared" ref="F37:F68" si="9">+J37+N37</f>
        <v>30772636.403731976</v>
      </c>
      <c r="G37" s="826">
        <f t="shared" ref="G37:G68" si="10">K37+O37</f>
        <v>299867.03041874996</v>
      </c>
      <c r="H37" s="1051">
        <f t="shared" ref="H37:H68" si="11">I37+J37+K37</f>
        <v>1782583.3091079877</v>
      </c>
      <c r="I37" s="1051">
        <v>1466174.7717413199</v>
      </c>
      <c r="J37" s="1051">
        <v>316408.53736666788</v>
      </c>
      <c r="K37" s="1820">
        <v>0</v>
      </c>
      <c r="L37" s="1051">
        <f t="shared" ref="L37:L68" si="12">M37+N37+O37</f>
        <v>61512189.793568119</v>
      </c>
      <c r="M37" s="1051">
        <v>30756094.896784056</v>
      </c>
      <c r="N37" s="1051">
        <v>30456227.866365306</v>
      </c>
      <c r="O37" s="1052">
        <v>299867.03041874996</v>
      </c>
    </row>
    <row r="38" spans="1:15" x14ac:dyDescent="0.25">
      <c r="A38" s="716" t="s">
        <v>86</v>
      </c>
      <c r="B38" s="825" t="s">
        <v>87</v>
      </c>
      <c r="C38" s="908" t="s">
        <v>267</v>
      </c>
      <c r="D38" s="908">
        <f t="shared" si="7"/>
        <v>59469005.036471501</v>
      </c>
      <c r="E38" s="826">
        <f t="shared" si="8"/>
        <v>30681781.759705223</v>
      </c>
      <c r="F38" s="826">
        <f t="shared" si="9"/>
        <v>28518347.473846782</v>
      </c>
      <c r="G38" s="826">
        <f t="shared" si="10"/>
        <v>268875.80291949998</v>
      </c>
      <c r="H38" s="1051">
        <f t="shared" si="11"/>
        <v>2937299.9735487499</v>
      </c>
      <c r="I38" s="1051">
        <v>2415929.2282438469</v>
      </c>
      <c r="J38" s="1051">
        <v>519125.13917990314</v>
      </c>
      <c r="K38" s="1820">
        <v>2245.6061249999998</v>
      </c>
      <c r="L38" s="1051">
        <f t="shared" si="12"/>
        <v>56531705.062922753</v>
      </c>
      <c r="M38" s="1051">
        <v>28265852.531461377</v>
      </c>
      <c r="N38" s="1051">
        <v>27999222.334666878</v>
      </c>
      <c r="O38" s="1052">
        <v>266630.19679449999</v>
      </c>
    </row>
    <row r="39" spans="1:15" x14ac:dyDescent="0.25">
      <c r="A39" s="716" t="s">
        <v>92</v>
      </c>
      <c r="B39" s="825" t="s">
        <v>93</v>
      </c>
      <c r="C39" s="908" t="s">
        <v>268</v>
      </c>
      <c r="D39" s="908">
        <f t="shared" si="7"/>
        <v>25069545.687411636</v>
      </c>
      <c r="E39" s="826">
        <f t="shared" si="8"/>
        <v>12874844.677035972</v>
      </c>
      <c r="F39" s="826">
        <f t="shared" si="9"/>
        <v>12139836.699256916</v>
      </c>
      <c r="G39" s="826">
        <f t="shared" si="10"/>
        <v>54864.311118750018</v>
      </c>
      <c r="H39" s="1051">
        <f t="shared" si="11"/>
        <v>1054486.3048997002</v>
      </c>
      <c r="I39" s="1051">
        <v>867314.98578000348</v>
      </c>
      <c r="J39" s="1051">
        <v>187171.3191196968</v>
      </c>
      <c r="K39" s="1820">
        <v>0</v>
      </c>
      <c r="L39" s="1051">
        <f t="shared" si="12"/>
        <v>24015059.382511936</v>
      </c>
      <c r="M39" s="1051">
        <v>12007529.691255968</v>
      </c>
      <c r="N39" s="1051">
        <v>11952665.380137218</v>
      </c>
      <c r="O39" s="1052">
        <v>54864.311118750018</v>
      </c>
    </row>
    <row r="40" spans="1:15" x14ac:dyDescent="0.25">
      <c r="A40" s="716" t="s">
        <v>94</v>
      </c>
      <c r="B40" s="825" t="s">
        <v>95</v>
      </c>
      <c r="C40" s="908" t="s">
        <v>264</v>
      </c>
      <c r="D40" s="908">
        <f t="shared" si="7"/>
        <v>35660402.968113251</v>
      </c>
      <c r="E40" s="826">
        <f t="shared" si="8"/>
        <v>18179635.515658408</v>
      </c>
      <c r="F40" s="826">
        <f t="shared" si="9"/>
        <v>17396991.286366086</v>
      </c>
      <c r="G40" s="826">
        <f t="shared" si="10"/>
        <v>83776.166088750004</v>
      </c>
      <c r="H40" s="1051">
        <f t="shared" si="11"/>
        <v>1083516.3770598036</v>
      </c>
      <c r="I40" s="1051">
        <v>891192.22013168852</v>
      </c>
      <c r="J40" s="1051">
        <v>192324.15692811512</v>
      </c>
      <c r="K40" s="1820">
        <v>0</v>
      </c>
      <c r="L40" s="1051">
        <f t="shared" si="12"/>
        <v>34576886.591053449</v>
      </c>
      <c r="M40" s="1051">
        <v>17288443.295526721</v>
      </c>
      <c r="N40" s="1051">
        <v>17204667.129437972</v>
      </c>
      <c r="O40" s="1052">
        <v>83776.166088750004</v>
      </c>
    </row>
    <row r="41" spans="1:15" x14ac:dyDescent="0.25">
      <c r="A41" s="716" t="s">
        <v>96</v>
      </c>
      <c r="B41" s="825" t="s">
        <v>97</v>
      </c>
      <c r="C41" s="908" t="s">
        <v>266</v>
      </c>
      <c r="D41" s="908">
        <f t="shared" si="7"/>
        <v>13000549.622918632</v>
      </c>
      <c r="E41" s="826">
        <f t="shared" si="8"/>
        <v>6632296.0990865296</v>
      </c>
      <c r="F41" s="826">
        <f t="shared" si="9"/>
        <v>6269275.9162233509</v>
      </c>
      <c r="G41" s="826">
        <f t="shared" si="10"/>
        <v>98977.607608749997</v>
      </c>
      <c r="H41" s="1051">
        <f t="shared" si="11"/>
        <v>409368.33372779493</v>
      </c>
      <c r="I41" s="1051">
        <v>336705.45449111133</v>
      </c>
      <c r="J41" s="1051">
        <v>72662.879236683599</v>
      </c>
      <c r="K41" s="1820">
        <v>0</v>
      </c>
      <c r="L41" s="1051">
        <f t="shared" si="12"/>
        <v>12591181.289190836</v>
      </c>
      <c r="M41" s="1051">
        <v>6295590.6445954181</v>
      </c>
      <c r="N41" s="1051">
        <v>6196613.0369866677</v>
      </c>
      <c r="O41" s="1052">
        <v>98977.607608749997</v>
      </c>
    </row>
    <row r="42" spans="1:15" x14ac:dyDescent="0.25">
      <c r="A42" s="716" t="s">
        <v>98</v>
      </c>
      <c r="B42" s="825" t="s">
        <v>99</v>
      </c>
      <c r="C42" s="908" t="s">
        <v>268</v>
      </c>
      <c r="D42" s="908">
        <f t="shared" si="7"/>
        <v>23995387.874672923</v>
      </c>
      <c r="E42" s="826">
        <f t="shared" si="8"/>
        <v>12279596.879285417</v>
      </c>
      <c r="F42" s="826">
        <f t="shared" si="9"/>
        <v>11692384.504970007</v>
      </c>
      <c r="G42" s="826">
        <f t="shared" si="10"/>
        <v>23406.490417500001</v>
      </c>
      <c r="H42" s="1051">
        <f t="shared" si="11"/>
        <v>874117.64945412753</v>
      </c>
      <c r="I42" s="1051">
        <v>718961.76667601988</v>
      </c>
      <c r="J42" s="1051">
        <v>155155.88277810765</v>
      </c>
      <c r="K42" s="1820">
        <v>0</v>
      </c>
      <c r="L42" s="1051">
        <f t="shared" si="12"/>
        <v>23121270.225218795</v>
      </c>
      <c r="M42" s="1051">
        <v>11560635.112609398</v>
      </c>
      <c r="N42" s="1051">
        <v>11537228.622191899</v>
      </c>
      <c r="O42" s="1052">
        <v>23406.490417500001</v>
      </c>
    </row>
    <row r="43" spans="1:15" x14ac:dyDescent="0.25">
      <c r="A43" s="716" t="s">
        <v>100</v>
      </c>
      <c r="B43" s="825" t="s">
        <v>101</v>
      </c>
      <c r="C43" s="908" t="s">
        <v>267</v>
      </c>
      <c r="D43" s="908">
        <f t="shared" si="7"/>
        <v>18188406.870711405</v>
      </c>
      <c r="E43" s="826">
        <f t="shared" si="8"/>
        <v>9392668.5634879582</v>
      </c>
      <c r="F43" s="826">
        <f t="shared" si="9"/>
        <v>8752859.2737496961</v>
      </c>
      <c r="G43" s="826">
        <f t="shared" si="10"/>
        <v>42879.033473750002</v>
      </c>
      <c r="H43" s="1051">
        <f t="shared" si="11"/>
        <v>925473.26552637632</v>
      </c>
      <c r="I43" s="1051">
        <v>761201.76089544455</v>
      </c>
      <c r="J43" s="1051">
        <v>164271.50463093177</v>
      </c>
      <c r="K43" s="1820">
        <v>0</v>
      </c>
      <c r="L43" s="1051">
        <f t="shared" si="12"/>
        <v>17262933.605185028</v>
      </c>
      <c r="M43" s="1051">
        <v>8631466.8025925141</v>
      </c>
      <c r="N43" s="1051">
        <v>8588587.7691187635</v>
      </c>
      <c r="O43" s="1052">
        <v>42879.033473750002</v>
      </c>
    </row>
    <row r="44" spans="1:15" x14ac:dyDescent="0.25">
      <c r="A44" s="716" t="s">
        <v>102</v>
      </c>
      <c r="B44" s="825" t="s">
        <v>103</v>
      </c>
      <c r="C44" s="908" t="s">
        <v>264</v>
      </c>
      <c r="D44" s="908">
        <f t="shared" si="7"/>
        <v>35803470.2889392</v>
      </c>
      <c r="E44" s="826">
        <f t="shared" si="8"/>
        <v>18181369.445330258</v>
      </c>
      <c r="F44" s="826">
        <f t="shared" si="9"/>
        <v>17609903.769073945</v>
      </c>
      <c r="G44" s="826">
        <f t="shared" si="10"/>
        <v>12197.074535000003</v>
      </c>
      <c r="H44" s="1051">
        <f t="shared" si="11"/>
        <v>867083.10344389791</v>
      </c>
      <c r="I44" s="1051">
        <v>713175.85258260602</v>
      </c>
      <c r="J44" s="1051">
        <v>153907.25086129189</v>
      </c>
      <c r="K44" s="1820">
        <v>0</v>
      </c>
      <c r="L44" s="1051">
        <f t="shared" si="12"/>
        <v>34936387.185495302</v>
      </c>
      <c r="M44" s="1051">
        <v>17468193.592747651</v>
      </c>
      <c r="N44" s="1051">
        <v>17455996.518212654</v>
      </c>
      <c r="O44" s="1052">
        <v>12197.074535000003</v>
      </c>
    </row>
    <row r="45" spans="1:15" x14ac:dyDescent="0.25">
      <c r="A45" s="716" t="s">
        <v>104</v>
      </c>
      <c r="B45" s="825" t="s">
        <v>309</v>
      </c>
      <c r="C45" s="908" t="s">
        <v>265</v>
      </c>
      <c r="D45" s="908">
        <f t="shared" si="7"/>
        <v>64349633.030509494</v>
      </c>
      <c r="E45" s="826">
        <f t="shared" si="8"/>
        <v>32556868.697910566</v>
      </c>
      <c r="F45" s="826">
        <f t="shared" si="9"/>
        <v>31644064.5910208</v>
      </c>
      <c r="G45" s="826">
        <f t="shared" si="10"/>
        <v>148699.74157812499</v>
      </c>
      <c r="H45" s="1051">
        <f t="shared" si="11"/>
        <v>1184657.9307157227</v>
      </c>
      <c r="I45" s="1051">
        <v>974381.14801368187</v>
      </c>
      <c r="J45" s="1051">
        <v>210276.78270204077</v>
      </c>
      <c r="K45" s="1820">
        <v>0</v>
      </c>
      <c r="L45" s="1051">
        <f t="shared" si="12"/>
        <v>63164975.099793769</v>
      </c>
      <c r="M45" s="1051">
        <v>31582487.549896885</v>
      </c>
      <c r="N45" s="1051">
        <v>31433787.80831876</v>
      </c>
      <c r="O45" s="1052">
        <v>148699.74157812499</v>
      </c>
    </row>
    <row r="46" spans="1:15" x14ac:dyDescent="0.25">
      <c r="A46" s="716" t="s">
        <v>108</v>
      </c>
      <c r="B46" s="825" t="s">
        <v>109</v>
      </c>
      <c r="C46" s="908" t="s">
        <v>266</v>
      </c>
      <c r="D46" s="908">
        <f t="shared" si="7"/>
        <v>63310264.846033931</v>
      </c>
      <c r="E46" s="826">
        <f t="shared" si="8"/>
        <v>32433458.802072369</v>
      </c>
      <c r="F46" s="826">
        <f t="shared" si="9"/>
        <v>30565125.283632807</v>
      </c>
      <c r="G46" s="826">
        <f t="shared" si="10"/>
        <v>311680.76032875001</v>
      </c>
      <c r="H46" s="1051">
        <f t="shared" si="11"/>
        <v>2413415.1288539739</v>
      </c>
      <c r="I46" s="1051">
        <v>1985033.9434823934</v>
      </c>
      <c r="J46" s="1051">
        <v>428178.05013158033</v>
      </c>
      <c r="K46" s="1820">
        <v>203.13524000000001</v>
      </c>
      <c r="L46" s="1051">
        <f t="shared" si="12"/>
        <v>60896849.717179954</v>
      </c>
      <c r="M46" s="1051">
        <v>30448424.858589977</v>
      </c>
      <c r="N46" s="1051">
        <v>30136947.233501226</v>
      </c>
      <c r="O46" s="1052">
        <v>311477.62508875004</v>
      </c>
    </row>
    <row r="47" spans="1:15" x14ac:dyDescent="0.25">
      <c r="A47" s="716" t="s">
        <v>110</v>
      </c>
      <c r="B47" s="825" t="s">
        <v>111</v>
      </c>
      <c r="C47" s="908" t="s">
        <v>266</v>
      </c>
      <c r="D47" s="908">
        <f t="shared" si="7"/>
        <v>302922655.96261811</v>
      </c>
      <c r="E47" s="826">
        <f t="shared" si="8"/>
        <v>154917223.8380954</v>
      </c>
      <c r="F47" s="826">
        <f t="shared" si="9"/>
        <v>147333636.03296459</v>
      </c>
      <c r="G47" s="826">
        <f t="shared" si="10"/>
        <v>671796.09155812487</v>
      </c>
      <c r="H47" s="1051">
        <f t="shared" si="11"/>
        <v>10715956.145073891</v>
      </c>
      <c r="I47" s="1051">
        <v>8813873.9293232746</v>
      </c>
      <c r="J47" s="1051">
        <v>1902082.2157506156</v>
      </c>
      <c r="K47" s="1820">
        <v>0</v>
      </c>
      <c r="L47" s="1051">
        <f t="shared" si="12"/>
        <v>292206699.81754422</v>
      </c>
      <c r="M47" s="1051">
        <v>146103349.90877211</v>
      </c>
      <c r="N47" s="1051">
        <v>145431553.81721398</v>
      </c>
      <c r="O47" s="1052">
        <v>671796.09155812487</v>
      </c>
    </row>
    <row r="48" spans="1:15" x14ac:dyDescent="0.25">
      <c r="A48" s="716" t="s">
        <v>112</v>
      </c>
      <c r="B48" s="825" t="s">
        <v>300</v>
      </c>
      <c r="C48" s="908" t="s">
        <v>265</v>
      </c>
      <c r="D48" s="908">
        <f t="shared" si="7"/>
        <v>136817249.28707618</v>
      </c>
      <c r="E48" s="826">
        <f t="shared" si="8"/>
        <v>69283580.029436886</v>
      </c>
      <c r="F48" s="826">
        <f t="shared" si="9"/>
        <v>67464470.136309296</v>
      </c>
      <c r="G48" s="826">
        <f t="shared" si="10"/>
        <v>69199.121330000009</v>
      </c>
      <c r="H48" s="1051">
        <f t="shared" si="11"/>
        <v>2713039.9562753206</v>
      </c>
      <c r="I48" s="1051">
        <v>2231475.3640364511</v>
      </c>
      <c r="J48" s="1051">
        <v>479504.84600136935</v>
      </c>
      <c r="K48" s="1820">
        <v>2059.7462374999996</v>
      </c>
      <c r="L48" s="1051">
        <f t="shared" si="12"/>
        <v>134104209.33080086</v>
      </c>
      <c r="M48" s="1051">
        <v>67052104.665400431</v>
      </c>
      <c r="N48" s="1051">
        <v>66984965.290307924</v>
      </c>
      <c r="O48" s="1052">
        <v>67139.375092500006</v>
      </c>
    </row>
    <row r="49" spans="1:15" x14ac:dyDescent="0.25">
      <c r="A49" s="716" t="s">
        <v>114</v>
      </c>
      <c r="B49" s="825" t="s">
        <v>115</v>
      </c>
      <c r="C49" s="908" t="s">
        <v>265</v>
      </c>
      <c r="D49" s="908">
        <f t="shared" si="7"/>
        <v>1959717.6751036216</v>
      </c>
      <c r="E49" s="826">
        <f t="shared" si="8"/>
        <v>996270.33308089199</v>
      </c>
      <c r="F49" s="826">
        <f t="shared" si="9"/>
        <v>963080.61156772962</v>
      </c>
      <c r="G49" s="826">
        <f t="shared" si="10"/>
        <v>366.73045500000001</v>
      </c>
      <c r="H49" s="1051">
        <f t="shared" si="11"/>
        <v>50888.358229709047</v>
      </c>
      <c r="I49" s="1051">
        <v>41855.674643935694</v>
      </c>
      <c r="J49" s="1051">
        <v>9032.6835857733568</v>
      </c>
      <c r="K49" s="1820">
        <v>0</v>
      </c>
      <c r="L49" s="1051">
        <f t="shared" si="12"/>
        <v>1908829.3168739125</v>
      </c>
      <c r="M49" s="1051">
        <v>954414.65843695623</v>
      </c>
      <c r="N49" s="1051">
        <v>954047.92798195628</v>
      </c>
      <c r="O49" s="1052">
        <v>366.73045500000001</v>
      </c>
    </row>
    <row r="50" spans="1:15" x14ac:dyDescent="0.25">
      <c r="A50" s="716" t="s">
        <v>118</v>
      </c>
      <c r="B50" s="825" t="s">
        <v>119</v>
      </c>
      <c r="C50" s="908" t="s">
        <v>264</v>
      </c>
      <c r="D50" s="908">
        <f t="shared" si="7"/>
        <v>34878377.231830455</v>
      </c>
      <c r="E50" s="826">
        <f t="shared" si="8"/>
        <v>17712753.740821704</v>
      </c>
      <c r="F50" s="826">
        <f t="shared" si="9"/>
        <v>17131534.49729</v>
      </c>
      <c r="G50" s="826">
        <f t="shared" si="10"/>
        <v>34088.993718749996</v>
      </c>
      <c r="H50" s="1051">
        <f t="shared" si="11"/>
        <v>848263.95319837797</v>
      </c>
      <c r="I50" s="1051">
        <v>697697.10150566592</v>
      </c>
      <c r="J50" s="1051">
        <v>150566.85169271211</v>
      </c>
      <c r="K50" s="1820">
        <v>0</v>
      </c>
      <c r="L50" s="1051">
        <f t="shared" si="12"/>
        <v>34030113.278632075</v>
      </c>
      <c r="M50" s="1051">
        <v>17015056.639316037</v>
      </c>
      <c r="N50" s="1051">
        <v>16980967.645597287</v>
      </c>
      <c r="O50" s="1052">
        <v>34088.993718749996</v>
      </c>
    </row>
    <row r="51" spans="1:15" x14ac:dyDescent="0.25">
      <c r="A51" s="716" t="s">
        <v>120</v>
      </c>
      <c r="B51" s="825" t="s">
        <v>121</v>
      </c>
      <c r="C51" s="908" t="s">
        <v>264</v>
      </c>
      <c r="D51" s="908">
        <f t="shared" si="7"/>
        <v>31434149.379699342</v>
      </c>
      <c r="E51" s="826">
        <f t="shared" si="8"/>
        <v>16224607.756441418</v>
      </c>
      <c r="F51" s="826">
        <f t="shared" si="9"/>
        <v>15124542.049190424</v>
      </c>
      <c r="G51" s="826">
        <f t="shared" si="10"/>
        <v>84999.574067499998</v>
      </c>
      <c r="H51" s="1051">
        <f t="shared" si="11"/>
        <v>1573745.9429201484</v>
      </c>
      <c r="I51" s="1051">
        <v>1294406.038051822</v>
      </c>
      <c r="J51" s="1051">
        <v>279339.90486832632</v>
      </c>
      <c r="K51" s="1820">
        <v>0</v>
      </c>
      <c r="L51" s="1051">
        <f t="shared" si="12"/>
        <v>29860403.436779194</v>
      </c>
      <c r="M51" s="1051">
        <v>14930201.718389597</v>
      </c>
      <c r="N51" s="1051">
        <v>14845202.144322097</v>
      </c>
      <c r="O51" s="1052">
        <v>84999.574067499998</v>
      </c>
    </row>
    <row r="52" spans="1:15" x14ac:dyDescent="0.25">
      <c r="A52" s="716" t="s">
        <v>122</v>
      </c>
      <c r="B52" s="825" t="s">
        <v>271</v>
      </c>
      <c r="C52" s="908" t="s">
        <v>266</v>
      </c>
      <c r="D52" s="908">
        <f t="shared" si="7"/>
        <v>8736532.584011618</v>
      </c>
      <c r="E52" s="826">
        <f t="shared" si="8"/>
        <v>4497240.7012996282</v>
      </c>
      <c r="F52" s="826">
        <f t="shared" si="9"/>
        <v>4210504.4951619906</v>
      </c>
      <c r="G52" s="826">
        <f t="shared" si="10"/>
        <v>28787.387550000003</v>
      </c>
      <c r="H52" s="1051">
        <f t="shared" si="11"/>
        <v>399920.64897308074</v>
      </c>
      <c r="I52" s="1051">
        <v>328934.73378035892</v>
      </c>
      <c r="J52" s="1051">
        <v>70985.915192721819</v>
      </c>
      <c r="K52" s="1820">
        <v>0</v>
      </c>
      <c r="L52" s="1051">
        <f t="shared" si="12"/>
        <v>8336611.9350385377</v>
      </c>
      <c r="M52" s="1051">
        <v>4168305.9675192689</v>
      </c>
      <c r="N52" s="1051">
        <v>4139518.5799692688</v>
      </c>
      <c r="O52" s="1052">
        <v>28787.387550000003</v>
      </c>
    </row>
    <row r="53" spans="1:15" x14ac:dyDescent="0.25">
      <c r="A53" s="716" t="s">
        <v>124</v>
      </c>
      <c r="B53" s="825" t="s">
        <v>125</v>
      </c>
      <c r="C53" s="908" t="s">
        <v>267</v>
      </c>
      <c r="D53" s="908">
        <f t="shared" si="7"/>
        <v>18253022.845069166</v>
      </c>
      <c r="E53" s="826">
        <f t="shared" si="8"/>
        <v>9383372.910461003</v>
      </c>
      <c r="F53" s="826">
        <f t="shared" si="9"/>
        <v>8795087.4280162919</v>
      </c>
      <c r="G53" s="826">
        <f t="shared" si="10"/>
        <v>74562.506591875019</v>
      </c>
      <c r="H53" s="1051">
        <f t="shared" si="11"/>
        <v>796469.73000439687</v>
      </c>
      <c r="I53" s="1051">
        <v>655096.35292861646</v>
      </c>
      <c r="J53" s="1051">
        <v>135816.12167890547</v>
      </c>
      <c r="K53" s="1820">
        <v>5557.255396874999</v>
      </c>
      <c r="L53" s="1051">
        <f t="shared" si="12"/>
        <v>17456553.11506477</v>
      </c>
      <c r="M53" s="1051">
        <v>8728276.5575323869</v>
      </c>
      <c r="N53" s="1051">
        <v>8659271.3063373864</v>
      </c>
      <c r="O53" s="1052">
        <v>69005.251195000019</v>
      </c>
    </row>
    <row r="54" spans="1:15" x14ac:dyDescent="0.25">
      <c r="A54" s="716" t="s">
        <v>126</v>
      </c>
      <c r="B54" s="825" t="s">
        <v>127</v>
      </c>
      <c r="C54" s="908" t="s">
        <v>266</v>
      </c>
      <c r="D54" s="908">
        <f t="shared" si="7"/>
        <v>15888471.45514081</v>
      </c>
      <c r="E54" s="826">
        <f t="shared" si="8"/>
        <v>8105602.0210728245</v>
      </c>
      <c r="F54" s="826">
        <f t="shared" si="9"/>
        <v>7723015.6078242352</v>
      </c>
      <c r="G54" s="826">
        <f t="shared" si="10"/>
        <v>59853.826243750002</v>
      </c>
      <c r="H54" s="1051">
        <f t="shared" si="11"/>
        <v>500360.60000750358</v>
      </c>
      <c r="I54" s="1051">
        <v>411546.59350617172</v>
      </c>
      <c r="J54" s="1051">
        <v>88814.006501331882</v>
      </c>
      <c r="K54" s="1820">
        <v>0</v>
      </c>
      <c r="L54" s="1051">
        <f t="shared" si="12"/>
        <v>15388110.855133306</v>
      </c>
      <c r="M54" s="1051">
        <v>7694055.4275666531</v>
      </c>
      <c r="N54" s="1051">
        <v>7634201.6013229033</v>
      </c>
      <c r="O54" s="1052">
        <v>59853.826243750002</v>
      </c>
    </row>
    <row r="55" spans="1:15" x14ac:dyDescent="0.25">
      <c r="A55" s="716" t="s">
        <v>128</v>
      </c>
      <c r="B55" s="825" t="s">
        <v>129</v>
      </c>
      <c r="C55" s="908" t="s">
        <v>266</v>
      </c>
      <c r="D55" s="908">
        <f t="shared" si="7"/>
        <v>12613089.558299536</v>
      </c>
      <c r="E55" s="826">
        <f t="shared" si="8"/>
        <v>6421998.1293907603</v>
      </c>
      <c r="F55" s="826">
        <f t="shared" si="9"/>
        <v>6081588.3964712759</v>
      </c>
      <c r="G55" s="826">
        <f t="shared" si="10"/>
        <v>109503.03243750002</v>
      </c>
      <c r="H55" s="1051">
        <f t="shared" si="11"/>
        <v>357994.88446819258</v>
      </c>
      <c r="I55" s="1051">
        <v>294450.79247508838</v>
      </c>
      <c r="J55" s="1051">
        <v>63544.091993104172</v>
      </c>
      <c r="K55" s="1820">
        <v>0</v>
      </c>
      <c r="L55" s="1051">
        <f t="shared" si="12"/>
        <v>12255094.673831344</v>
      </c>
      <c r="M55" s="1051">
        <v>6127547.3369156718</v>
      </c>
      <c r="N55" s="1051">
        <v>6018044.3044781722</v>
      </c>
      <c r="O55" s="1052">
        <v>109503.03243750002</v>
      </c>
    </row>
    <row r="56" spans="1:15" x14ac:dyDescent="0.25">
      <c r="A56" s="716" t="s">
        <v>130</v>
      </c>
      <c r="B56" s="825" t="s">
        <v>131</v>
      </c>
      <c r="C56" s="908" t="s">
        <v>268</v>
      </c>
      <c r="D56" s="908">
        <f t="shared" si="7"/>
        <v>50748376.741253763</v>
      </c>
      <c r="E56" s="826">
        <f t="shared" si="8"/>
        <v>25666885.688330837</v>
      </c>
      <c r="F56" s="826">
        <f t="shared" si="9"/>
        <v>25047907.804101054</v>
      </c>
      <c r="G56" s="826">
        <f t="shared" si="10"/>
        <v>33583.248821875</v>
      </c>
      <c r="H56" s="1051">
        <f t="shared" si="11"/>
        <v>907588.58202776976</v>
      </c>
      <c r="I56" s="1051">
        <v>746491.60871784063</v>
      </c>
      <c r="J56" s="1051">
        <v>161096.97330992913</v>
      </c>
      <c r="K56" s="1820">
        <v>0</v>
      </c>
      <c r="L56" s="1051">
        <f t="shared" si="12"/>
        <v>49840788.159225993</v>
      </c>
      <c r="M56" s="1051">
        <v>24920394.079612996</v>
      </c>
      <c r="N56" s="1051">
        <v>24886810.830791123</v>
      </c>
      <c r="O56" s="1052">
        <v>33583.248821875</v>
      </c>
    </row>
    <row r="57" spans="1:15" x14ac:dyDescent="0.25">
      <c r="A57" s="716" t="s">
        <v>132</v>
      </c>
      <c r="B57" s="825" t="s">
        <v>133</v>
      </c>
      <c r="C57" s="908" t="s">
        <v>267</v>
      </c>
      <c r="D57" s="908">
        <f t="shared" si="7"/>
        <v>134315097.5705972</v>
      </c>
      <c r="E57" s="826">
        <f t="shared" si="8"/>
        <v>69660249.784504816</v>
      </c>
      <c r="F57" s="826">
        <f t="shared" si="9"/>
        <v>64395513.980984405</v>
      </c>
      <c r="G57" s="826">
        <f t="shared" si="10"/>
        <v>259333.80510800003</v>
      </c>
      <c r="H57" s="1051">
        <f t="shared" si="11"/>
        <v>7760313.1758331861</v>
      </c>
      <c r="I57" s="1051">
        <v>6382857.5871227952</v>
      </c>
      <c r="J57" s="1051">
        <v>1377455.5887103905</v>
      </c>
      <c r="K57" s="1820">
        <v>0</v>
      </c>
      <c r="L57" s="1051">
        <f t="shared" si="12"/>
        <v>126554784.39476402</v>
      </c>
      <c r="M57" s="1051">
        <v>63277392.197382018</v>
      </c>
      <c r="N57" s="1051">
        <v>63018058.392274015</v>
      </c>
      <c r="O57" s="1052">
        <v>259333.80510800003</v>
      </c>
    </row>
    <row r="58" spans="1:15" x14ac:dyDescent="0.25">
      <c r="A58" s="716" t="s">
        <v>134</v>
      </c>
      <c r="B58" s="825" t="s">
        <v>135</v>
      </c>
      <c r="C58" s="908" t="s">
        <v>267</v>
      </c>
      <c r="D58" s="908">
        <f t="shared" si="7"/>
        <v>39611572.207463451</v>
      </c>
      <c r="E58" s="826">
        <f t="shared" si="8"/>
        <v>20262522.887644362</v>
      </c>
      <c r="F58" s="826">
        <f t="shared" si="9"/>
        <v>18993091.993582841</v>
      </c>
      <c r="G58" s="826">
        <f t="shared" si="10"/>
        <v>355957.32623625</v>
      </c>
      <c r="H58" s="1051">
        <f t="shared" si="11"/>
        <v>1416238.0896515786</v>
      </c>
      <c r="I58" s="1051">
        <v>1164855.8287384233</v>
      </c>
      <c r="J58" s="1051">
        <v>251382.26091315516</v>
      </c>
      <c r="K58" s="1820">
        <v>0</v>
      </c>
      <c r="L58" s="1051">
        <f t="shared" si="12"/>
        <v>38195334.117811874</v>
      </c>
      <c r="M58" s="1051">
        <v>19097667.058905937</v>
      </c>
      <c r="N58" s="1051">
        <v>18741709.732669685</v>
      </c>
      <c r="O58" s="1052">
        <v>355957.32623625</v>
      </c>
    </row>
    <row r="59" spans="1:15" x14ac:dyDescent="0.25">
      <c r="A59" s="716" t="s">
        <v>136</v>
      </c>
      <c r="B59" s="825" t="s">
        <v>137</v>
      </c>
      <c r="C59" s="908" t="s">
        <v>266</v>
      </c>
      <c r="D59" s="908">
        <f t="shared" si="7"/>
        <v>18473873.46257028</v>
      </c>
      <c r="E59" s="826">
        <f t="shared" si="8"/>
        <v>9419126.609795766</v>
      </c>
      <c r="F59" s="826">
        <f t="shared" si="9"/>
        <v>9018533.6386120133</v>
      </c>
      <c r="G59" s="826">
        <f t="shared" si="10"/>
        <v>36213.2141625</v>
      </c>
      <c r="H59" s="1051">
        <f t="shared" si="11"/>
        <v>564929.85584690305</v>
      </c>
      <c r="I59" s="1051">
        <v>464654.80643407779</v>
      </c>
      <c r="J59" s="1051">
        <v>100275.0494128253</v>
      </c>
      <c r="K59" s="1820">
        <v>0</v>
      </c>
      <c r="L59" s="1051">
        <f t="shared" si="12"/>
        <v>17908943.606723376</v>
      </c>
      <c r="M59" s="1051">
        <v>8954471.8033616878</v>
      </c>
      <c r="N59" s="1051">
        <v>8918258.5891991872</v>
      </c>
      <c r="O59" s="1052">
        <v>36213.2141625</v>
      </c>
    </row>
    <row r="60" spans="1:15" x14ac:dyDescent="0.25">
      <c r="A60" s="716" t="s">
        <v>140</v>
      </c>
      <c r="B60" s="825" t="s">
        <v>141</v>
      </c>
      <c r="C60" s="908" t="s">
        <v>267</v>
      </c>
      <c r="D60" s="908">
        <f t="shared" si="7"/>
        <v>14592014.695354706</v>
      </c>
      <c r="E60" s="826">
        <f t="shared" si="8"/>
        <v>7494848.607481664</v>
      </c>
      <c r="F60" s="826">
        <f t="shared" si="9"/>
        <v>6946795.5085690403</v>
      </c>
      <c r="G60" s="826">
        <f t="shared" si="10"/>
        <v>150370.57930400001</v>
      </c>
      <c r="H60" s="1051">
        <f t="shared" si="11"/>
        <v>616562.04590484232</v>
      </c>
      <c r="I60" s="1051">
        <v>507122.28275673289</v>
      </c>
      <c r="J60" s="1051">
        <v>109375.45769535952</v>
      </c>
      <c r="K60" s="1820">
        <v>64.305452750000001</v>
      </c>
      <c r="L60" s="1051">
        <f t="shared" si="12"/>
        <v>13975452.649449863</v>
      </c>
      <c r="M60" s="1051">
        <v>6987726.3247249313</v>
      </c>
      <c r="N60" s="1051">
        <v>6837420.050873681</v>
      </c>
      <c r="O60" s="1052">
        <v>150306.27385125001</v>
      </c>
    </row>
    <row r="61" spans="1:15" x14ac:dyDescent="0.25">
      <c r="A61" s="716" t="s">
        <v>146</v>
      </c>
      <c r="B61" s="825" t="s">
        <v>147</v>
      </c>
      <c r="C61" s="908" t="s">
        <v>264</v>
      </c>
      <c r="D61" s="908">
        <f t="shared" si="7"/>
        <v>11012211.806719294</v>
      </c>
      <c r="E61" s="826">
        <f t="shared" si="8"/>
        <v>5583548.7585992627</v>
      </c>
      <c r="F61" s="826">
        <f t="shared" si="9"/>
        <v>5415032.5501762815</v>
      </c>
      <c r="G61" s="826">
        <f t="shared" si="10"/>
        <v>13630.497943750001</v>
      </c>
      <c r="H61" s="1051">
        <f t="shared" si="11"/>
        <v>240132.884463925</v>
      </c>
      <c r="I61" s="1051">
        <v>197509.29747157832</v>
      </c>
      <c r="J61" s="1051">
        <v>42623.586992346682</v>
      </c>
      <c r="K61" s="1820">
        <v>0</v>
      </c>
      <c r="L61" s="1051">
        <f t="shared" si="12"/>
        <v>10772078.922255369</v>
      </c>
      <c r="M61" s="1051">
        <v>5386039.4611276845</v>
      </c>
      <c r="N61" s="1051">
        <v>5372408.9631839348</v>
      </c>
      <c r="O61" s="1052">
        <v>13630.497943750001</v>
      </c>
    </row>
    <row r="62" spans="1:15" x14ac:dyDescent="0.25">
      <c r="A62" s="716" t="s">
        <v>148</v>
      </c>
      <c r="B62" s="825" t="s">
        <v>149</v>
      </c>
      <c r="C62" s="908" t="s">
        <v>265</v>
      </c>
      <c r="D62" s="908">
        <f t="shared" si="7"/>
        <v>49583055.902704246</v>
      </c>
      <c r="E62" s="826">
        <f t="shared" si="8"/>
        <v>25153367.318330526</v>
      </c>
      <c r="F62" s="826">
        <f t="shared" si="9"/>
        <v>24292673.332172468</v>
      </c>
      <c r="G62" s="826">
        <f t="shared" si="10"/>
        <v>137015.25220125</v>
      </c>
      <c r="H62" s="1051">
        <f t="shared" si="11"/>
        <v>1121982.5332663676</v>
      </c>
      <c r="I62" s="1051">
        <v>922830.63361158734</v>
      </c>
      <c r="J62" s="1051">
        <v>199151.89965478025</v>
      </c>
      <c r="K62" s="1820">
        <v>0</v>
      </c>
      <c r="L62" s="1051">
        <f t="shared" si="12"/>
        <v>48461073.369437881</v>
      </c>
      <c r="M62" s="1051">
        <v>24230536.68471894</v>
      </c>
      <c r="N62" s="1051">
        <v>24093521.432517689</v>
      </c>
      <c r="O62" s="1052">
        <v>137015.25220125</v>
      </c>
    </row>
    <row r="63" spans="1:15" x14ac:dyDescent="0.25">
      <c r="A63" s="716" t="s">
        <v>150</v>
      </c>
      <c r="B63" s="825" t="s">
        <v>151</v>
      </c>
      <c r="C63" s="908" t="s">
        <v>266</v>
      </c>
      <c r="D63" s="908">
        <f t="shared" si="7"/>
        <v>14483085.340714101</v>
      </c>
      <c r="E63" s="826">
        <f t="shared" si="8"/>
        <v>7340024.3357149335</v>
      </c>
      <c r="F63" s="826">
        <f t="shared" si="9"/>
        <v>7142822.8676521685</v>
      </c>
      <c r="G63" s="826">
        <f t="shared" si="10"/>
        <v>238.13734700000003</v>
      </c>
      <c r="H63" s="1051">
        <f t="shared" si="11"/>
        <v>305369.50498568162</v>
      </c>
      <c r="I63" s="1051">
        <v>251166.41785072314</v>
      </c>
      <c r="J63" s="1051">
        <v>54203.087134958485</v>
      </c>
      <c r="K63" s="1820">
        <v>0</v>
      </c>
      <c r="L63" s="1051">
        <f t="shared" si="12"/>
        <v>14177715.83572842</v>
      </c>
      <c r="M63" s="1051">
        <v>7088857.91786421</v>
      </c>
      <c r="N63" s="1051">
        <v>7088619.7805172103</v>
      </c>
      <c r="O63" s="1052">
        <v>238.13734700000003</v>
      </c>
    </row>
    <row r="64" spans="1:15" x14ac:dyDescent="0.25">
      <c r="A64" s="716" t="s">
        <v>152</v>
      </c>
      <c r="B64" s="825" t="s">
        <v>153</v>
      </c>
      <c r="C64" s="908" t="s">
        <v>268</v>
      </c>
      <c r="D64" s="908">
        <f t="shared" si="7"/>
        <v>63205690.813005701</v>
      </c>
      <c r="E64" s="826">
        <f t="shared" si="8"/>
        <v>32300441.732172839</v>
      </c>
      <c r="F64" s="826">
        <f t="shared" si="9"/>
        <v>30881348.605797872</v>
      </c>
      <c r="G64" s="826">
        <f t="shared" si="10"/>
        <v>23900.475035000003</v>
      </c>
      <c r="H64" s="1051">
        <f t="shared" si="11"/>
        <v>2163089.3819224262</v>
      </c>
      <c r="I64" s="1051">
        <v>1779141.0166311956</v>
      </c>
      <c r="J64" s="1051">
        <v>383948.36529123061</v>
      </c>
      <c r="K64" s="1820">
        <v>0</v>
      </c>
      <c r="L64" s="1051">
        <f t="shared" si="12"/>
        <v>61042601.431083277</v>
      </c>
      <c r="M64" s="1051">
        <v>30521300.715541642</v>
      </c>
      <c r="N64" s="1051">
        <v>30497400.240506642</v>
      </c>
      <c r="O64" s="1052">
        <v>23900.475035000003</v>
      </c>
    </row>
    <row r="65" spans="1:15" x14ac:dyDescent="0.25">
      <c r="A65" s="716" t="s">
        <v>154</v>
      </c>
      <c r="B65" s="825" t="s">
        <v>155</v>
      </c>
      <c r="C65" s="908" t="s">
        <v>265</v>
      </c>
      <c r="D65" s="908">
        <f t="shared" si="7"/>
        <v>20217159.428735942</v>
      </c>
      <c r="E65" s="826">
        <f t="shared" si="8"/>
        <v>10397465.591856601</v>
      </c>
      <c r="F65" s="826">
        <f t="shared" si="9"/>
        <v>9769649.3040743433</v>
      </c>
      <c r="G65" s="826">
        <f t="shared" si="10"/>
        <v>50044.532804999995</v>
      </c>
      <c r="H65" s="1051">
        <f t="shared" si="11"/>
        <v>895770.16275543859</v>
      </c>
      <c r="I65" s="1051">
        <v>736770.95886634826</v>
      </c>
      <c r="J65" s="1051">
        <v>158999.20388909033</v>
      </c>
      <c r="K65" s="1820">
        <v>0</v>
      </c>
      <c r="L65" s="1051">
        <f t="shared" si="12"/>
        <v>19321389.265980504</v>
      </c>
      <c r="M65" s="1051">
        <v>9660694.6329902522</v>
      </c>
      <c r="N65" s="1051">
        <v>9610650.1001852527</v>
      </c>
      <c r="O65" s="1052">
        <v>50044.532804999995</v>
      </c>
    </row>
    <row r="66" spans="1:15" x14ac:dyDescent="0.25">
      <c r="A66" s="716" t="s">
        <v>156</v>
      </c>
      <c r="B66" s="825" t="s">
        <v>157</v>
      </c>
      <c r="C66" s="908" t="s">
        <v>266</v>
      </c>
      <c r="D66" s="908">
        <f t="shared" si="7"/>
        <v>12318123.828393755</v>
      </c>
      <c r="E66" s="826">
        <f t="shared" si="8"/>
        <v>6324503.3811075566</v>
      </c>
      <c r="F66" s="826">
        <f t="shared" si="9"/>
        <v>5933231.2310030749</v>
      </c>
      <c r="G66" s="826">
        <f t="shared" si="10"/>
        <v>60389.216283125003</v>
      </c>
      <c r="H66" s="1051">
        <f t="shared" si="11"/>
        <v>512996.79662225774</v>
      </c>
      <c r="I66" s="1051">
        <v>421939.86522180698</v>
      </c>
      <c r="J66" s="1051">
        <v>90957.992105450743</v>
      </c>
      <c r="K66" s="1820">
        <v>98.939295000000001</v>
      </c>
      <c r="L66" s="1051">
        <f t="shared" si="12"/>
        <v>11805127.031771498</v>
      </c>
      <c r="M66" s="1051">
        <v>5902563.5158857498</v>
      </c>
      <c r="N66" s="1051">
        <v>5842273.2388976244</v>
      </c>
      <c r="O66" s="1052">
        <v>60290.276988125006</v>
      </c>
    </row>
    <row r="67" spans="1:15" x14ac:dyDescent="0.25">
      <c r="A67" s="716" t="s">
        <v>162</v>
      </c>
      <c r="B67" s="825" t="s">
        <v>163</v>
      </c>
      <c r="C67" s="908" t="s">
        <v>264</v>
      </c>
      <c r="D67" s="908">
        <f t="shared" si="7"/>
        <v>30277521.81076641</v>
      </c>
      <c r="E67" s="826">
        <f t="shared" si="8"/>
        <v>15414830.715965796</v>
      </c>
      <c r="F67" s="826">
        <f t="shared" si="9"/>
        <v>14829077.799456866</v>
      </c>
      <c r="G67" s="826">
        <f t="shared" si="10"/>
        <v>33613.295343749996</v>
      </c>
      <c r="H67" s="1051">
        <f t="shared" si="11"/>
        <v>856030.42041113297</v>
      </c>
      <c r="I67" s="1051">
        <v>704085.02078815689</v>
      </c>
      <c r="J67" s="1051">
        <v>151945.39962297608</v>
      </c>
      <c r="K67" s="1820">
        <v>0</v>
      </c>
      <c r="L67" s="1051">
        <f t="shared" si="12"/>
        <v>29421491.390355278</v>
      </c>
      <c r="M67" s="1051">
        <v>14710745.695177639</v>
      </c>
      <c r="N67" s="1051">
        <v>14677132.39983389</v>
      </c>
      <c r="O67" s="1052">
        <v>33613.295343749996</v>
      </c>
    </row>
    <row r="68" spans="1:15" x14ac:dyDescent="0.25">
      <c r="A68" s="716" t="s">
        <v>164</v>
      </c>
      <c r="B68" s="825" t="s">
        <v>165</v>
      </c>
      <c r="C68" s="908" t="s">
        <v>266</v>
      </c>
      <c r="D68" s="908">
        <f t="shared" si="7"/>
        <v>13156681.348821422</v>
      </c>
      <c r="E68" s="826">
        <f t="shared" si="8"/>
        <v>6721723.7451536218</v>
      </c>
      <c r="F68" s="826">
        <f t="shared" si="9"/>
        <v>6395138.3057228001</v>
      </c>
      <c r="G68" s="826">
        <f t="shared" si="10"/>
        <v>39819.297945000006</v>
      </c>
      <c r="H68" s="1051">
        <f t="shared" si="11"/>
        <v>444598.66897026607</v>
      </c>
      <c r="I68" s="1051">
        <v>365682.40522804385</v>
      </c>
      <c r="J68" s="1051">
        <v>78916.263742222218</v>
      </c>
      <c r="K68" s="1820">
        <v>0</v>
      </c>
      <c r="L68" s="1051">
        <f t="shared" si="12"/>
        <v>12712082.679851156</v>
      </c>
      <c r="M68" s="1051">
        <v>6356041.3399255779</v>
      </c>
      <c r="N68" s="1051">
        <v>6316222.0419805776</v>
      </c>
      <c r="O68" s="1052">
        <v>39819.297945000006</v>
      </c>
    </row>
    <row r="69" spans="1:15" x14ac:dyDescent="0.25">
      <c r="A69" s="716" t="s">
        <v>168</v>
      </c>
      <c r="B69" s="825" t="s">
        <v>169</v>
      </c>
      <c r="C69" s="908" t="s">
        <v>266</v>
      </c>
      <c r="D69" s="908">
        <f t="shared" ref="D69:D100" si="13">H69+L69</f>
        <v>25136019.025779165</v>
      </c>
      <c r="E69" s="826">
        <f t="shared" ref="E69:E100" si="14">+I69+M69</f>
        <v>12775850.764936978</v>
      </c>
      <c r="F69" s="826">
        <f t="shared" ref="F69:F100" si="15">+J69+N69</f>
        <v>12296900.927562186</v>
      </c>
      <c r="G69" s="826">
        <f t="shared" ref="G69:G100" si="16">K69+O69</f>
        <v>63267.333279999999</v>
      </c>
      <c r="H69" s="1051">
        <f t="shared" ref="H69:H100" si="17">I69+J69+K69</f>
        <v>644468.99859657395</v>
      </c>
      <c r="I69" s="1051">
        <v>530075.75134568207</v>
      </c>
      <c r="J69" s="1051">
        <v>114393.24725089187</v>
      </c>
      <c r="K69" s="1820">
        <v>0</v>
      </c>
      <c r="L69" s="1051">
        <f t="shared" ref="L69:L100" si="18">M69+N69+O69</f>
        <v>24491550.02718259</v>
      </c>
      <c r="M69" s="1051">
        <v>12245775.013591295</v>
      </c>
      <c r="N69" s="1051">
        <v>12182507.680311294</v>
      </c>
      <c r="O69" s="1052">
        <v>63267.333279999999</v>
      </c>
    </row>
    <row r="70" spans="1:15" x14ac:dyDescent="0.25">
      <c r="A70" s="716" t="s">
        <v>170</v>
      </c>
      <c r="B70" s="825" t="s">
        <v>171</v>
      </c>
      <c r="C70" s="908" t="s">
        <v>267</v>
      </c>
      <c r="D70" s="908">
        <f t="shared" si="13"/>
        <v>32600527.247287761</v>
      </c>
      <c r="E70" s="826">
        <f t="shared" si="14"/>
        <v>16739751.062791182</v>
      </c>
      <c r="F70" s="826">
        <f t="shared" si="15"/>
        <v>15660719.099551706</v>
      </c>
      <c r="G70" s="826">
        <f t="shared" si="16"/>
        <v>200057.08494487498</v>
      </c>
      <c r="H70" s="1051">
        <f t="shared" si="17"/>
        <v>1362751.7492939571</v>
      </c>
      <c r="I70" s="1051">
        <v>1120863.3137942797</v>
      </c>
      <c r="J70" s="1051">
        <v>241888.43549967735</v>
      </c>
      <c r="K70" s="1820">
        <v>0</v>
      </c>
      <c r="L70" s="1051">
        <f t="shared" si="18"/>
        <v>31237775.497993805</v>
      </c>
      <c r="M70" s="1051">
        <v>15618887.748996902</v>
      </c>
      <c r="N70" s="1051">
        <v>15418830.664052028</v>
      </c>
      <c r="O70" s="1052">
        <v>200057.08494487498</v>
      </c>
    </row>
    <row r="71" spans="1:15" x14ac:dyDescent="0.25">
      <c r="A71" s="716" t="s">
        <v>172</v>
      </c>
      <c r="B71" s="825" t="s">
        <v>173</v>
      </c>
      <c r="C71" s="908" t="s">
        <v>267</v>
      </c>
      <c r="D71" s="908">
        <f t="shared" si="13"/>
        <v>28205027.679932144</v>
      </c>
      <c r="E71" s="826">
        <f t="shared" si="14"/>
        <v>14399445.007138941</v>
      </c>
      <c r="F71" s="826">
        <f t="shared" si="15"/>
        <v>13721538.320380703</v>
      </c>
      <c r="G71" s="826">
        <f t="shared" si="16"/>
        <v>84044.352412499997</v>
      </c>
      <c r="H71" s="1051">
        <f t="shared" si="17"/>
        <v>920716.79743525456</v>
      </c>
      <c r="I71" s="1051">
        <v>757289.56589049683</v>
      </c>
      <c r="J71" s="1051">
        <v>163427.23154475767</v>
      </c>
      <c r="K71" s="1820">
        <v>0</v>
      </c>
      <c r="L71" s="1051">
        <f t="shared" si="18"/>
        <v>27284310.88249689</v>
      </c>
      <c r="M71" s="1051">
        <v>13642155.441248445</v>
      </c>
      <c r="N71" s="1051">
        <v>13558111.088835945</v>
      </c>
      <c r="O71" s="1052">
        <v>84044.352412499997</v>
      </c>
    </row>
    <row r="72" spans="1:15" x14ac:dyDescent="0.25">
      <c r="A72" s="716" t="s">
        <v>174</v>
      </c>
      <c r="B72" s="825" t="s">
        <v>175</v>
      </c>
      <c r="C72" s="908" t="s">
        <v>268</v>
      </c>
      <c r="D72" s="908">
        <f t="shared" si="13"/>
        <v>26505640.823187463</v>
      </c>
      <c r="E72" s="826">
        <f t="shared" si="14"/>
        <v>13553145.210181285</v>
      </c>
      <c r="F72" s="826">
        <f t="shared" si="15"/>
        <v>12908444.534281181</v>
      </c>
      <c r="G72" s="826">
        <f t="shared" si="16"/>
        <v>44051.078724999992</v>
      </c>
      <c r="H72" s="1051">
        <f t="shared" si="17"/>
        <v>931239.68554279429</v>
      </c>
      <c r="I72" s="1051">
        <v>765944.64135894831</v>
      </c>
      <c r="J72" s="1051">
        <v>165295.04418384598</v>
      </c>
      <c r="K72" s="1820">
        <v>0</v>
      </c>
      <c r="L72" s="1051">
        <f t="shared" si="18"/>
        <v>25574401.137644667</v>
      </c>
      <c r="M72" s="1051">
        <v>12787200.568822335</v>
      </c>
      <c r="N72" s="1051">
        <v>12743149.490097335</v>
      </c>
      <c r="O72" s="1052">
        <v>44051.078724999992</v>
      </c>
    </row>
    <row r="73" spans="1:15" x14ac:dyDescent="0.25">
      <c r="A73" s="716" t="s">
        <v>178</v>
      </c>
      <c r="B73" s="825" t="s">
        <v>179</v>
      </c>
      <c r="C73" s="908" t="s">
        <v>265</v>
      </c>
      <c r="D73" s="908">
        <f t="shared" si="13"/>
        <v>91233666.766250953</v>
      </c>
      <c r="E73" s="826">
        <f t="shared" si="14"/>
        <v>46412319.989527352</v>
      </c>
      <c r="F73" s="826">
        <f t="shared" si="15"/>
        <v>44727962.14706298</v>
      </c>
      <c r="G73" s="826">
        <f t="shared" si="16"/>
        <v>93384.629660624982</v>
      </c>
      <c r="H73" s="1051">
        <f t="shared" si="17"/>
        <v>2466625.1361298524</v>
      </c>
      <c r="I73" s="1051">
        <v>2028799.1744668037</v>
      </c>
      <c r="J73" s="1051">
        <v>437825.96166304877</v>
      </c>
      <c r="K73" s="1820">
        <v>0</v>
      </c>
      <c r="L73" s="1051">
        <f t="shared" si="18"/>
        <v>88767041.630121097</v>
      </c>
      <c r="M73" s="1051">
        <v>44383520.815060548</v>
      </c>
      <c r="N73" s="1051">
        <v>44290136.185399927</v>
      </c>
      <c r="O73" s="1052">
        <v>93384.629660624982</v>
      </c>
    </row>
    <row r="74" spans="1:15" x14ac:dyDescent="0.25">
      <c r="A74" s="716" t="s">
        <v>182</v>
      </c>
      <c r="B74" s="825" t="s">
        <v>183</v>
      </c>
      <c r="C74" s="908" t="s">
        <v>266</v>
      </c>
      <c r="D74" s="908">
        <f t="shared" si="13"/>
        <v>14828039.088335749</v>
      </c>
      <c r="E74" s="826">
        <f t="shared" si="14"/>
        <v>7584756.3987102769</v>
      </c>
      <c r="F74" s="826">
        <f t="shared" si="15"/>
        <v>7023610.625154973</v>
      </c>
      <c r="G74" s="826">
        <f t="shared" si="16"/>
        <v>219672.06447049999</v>
      </c>
      <c r="H74" s="1051">
        <f t="shared" si="17"/>
        <v>529416.60323225392</v>
      </c>
      <c r="I74" s="1051">
        <v>435445.15615852887</v>
      </c>
      <c r="J74" s="1051">
        <v>93971.447073725067</v>
      </c>
      <c r="K74" s="1820">
        <v>0</v>
      </c>
      <c r="L74" s="1051">
        <f t="shared" si="18"/>
        <v>14298622.485103495</v>
      </c>
      <c r="M74" s="1051">
        <v>7149311.2425517477</v>
      </c>
      <c r="N74" s="1051">
        <v>6929639.178081248</v>
      </c>
      <c r="O74" s="1052">
        <v>219672.06447049999</v>
      </c>
    </row>
    <row r="75" spans="1:15" x14ac:dyDescent="0.25">
      <c r="A75" s="716" t="s">
        <v>184</v>
      </c>
      <c r="B75" s="825" t="s">
        <v>185</v>
      </c>
      <c r="C75" s="908" t="s">
        <v>266</v>
      </c>
      <c r="D75" s="908">
        <f t="shared" si="13"/>
        <v>31884327.532156836</v>
      </c>
      <c r="E75" s="826">
        <f t="shared" si="14"/>
        <v>16158365.527187932</v>
      </c>
      <c r="F75" s="826">
        <f t="shared" si="15"/>
        <v>15690189.502753405</v>
      </c>
      <c r="G75" s="826">
        <f t="shared" si="16"/>
        <v>35772.502215500004</v>
      </c>
      <c r="H75" s="1051">
        <f t="shared" si="17"/>
        <v>670393.0577039168</v>
      </c>
      <c r="I75" s="1051">
        <v>551398.28996147157</v>
      </c>
      <c r="J75" s="1051">
        <v>118994.76774244523</v>
      </c>
      <c r="K75" s="1820">
        <v>0</v>
      </c>
      <c r="L75" s="1051">
        <f t="shared" si="18"/>
        <v>31213934.47445292</v>
      </c>
      <c r="M75" s="1051">
        <v>15606967.23722646</v>
      </c>
      <c r="N75" s="1051">
        <v>15571194.735010959</v>
      </c>
      <c r="O75" s="1052">
        <v>35772.502215500004</v>
      </c>
    </row>
    <row r="76" spans="1:15" x14ac:dyDescent="0.25">
      <c r="A76" s="716" t="s">
        <v>186</v>
      </c>
      <c r="B76" s="825" t="s">
        <v>187</v>
      </c>
      <c r="C76" s="908" t="s">
        <v>264</v>
      </c>
      <c r="D76" s="908">
        <f t="shared" si="13"/>
        <v>24096898.548797328</v>
      </c>
      <c r="E76" s="826">
        <f t="shared" si="14"/>
        <v>12267891.93606592</v>
      </c>
      <c r="F76" s="826">
        <f t="shared" si="15"/>
        <v>11772540.895566409</v>
      </c>
      <c r="G76" s="826">
        <f t="shared" si="16"/>
        <v>56465.717165000002</v>
      </c>
      <c r="H76" s="1051">
        <f t="shared" si="17"/>
        <v>680442.36175893038</v>
      </c>
      <c r="I76" s="1051">
        <v>559663.84254672029</v>
      </c>
      <c r="J76" s="1051">
        <v>120778.51921221014</v>
      </c>
      <c r="K76" s="1820">
        <v>0</v>
      </c>
      <c r="L76" s="1051">
        <f t="shared" si="18"/>
        <v>23416456.187038399</v>
      </c>
      <c r="M76" s="1051">
        <v>11708228.0935192</v>
      </c>
      <c r="N76" s="1051">
        <v>11651762.376354199</v>
      </c>
      <c r="O76" s="1052">
        <v>56465.717165000002</v>
      </c>
    </row>
    <row r="77" spans="1:15" x14ac:dyDescent="0.25">
      <c r="A77" s="716" t="s">
        <v>188</v>
      </c>
      <c r="B77" s="825" t="s">
        <v>189</v>
      </c>
      <c r="C77" s="908" t="s">
        <v>267</v>
      </c>
      <c r="D77" s="908">
        <f t="shared" si="13"/>
        <v>295534083.46496874</v>
      </c>
      <c r="E77" s="826">
        <f t="shared" si="14"/>
        <v>153931755.53365123</v>
      </c>
      <c r="F77" s="826">
        <f t="shared" si="15"/>
        <v>140872603.73413071</v>
      </c>
      <c r="G77" s="826">
        <f t="shared" si="16"/>
        <v>729724.19718674989</v>
      </c>
      <c r="H77" s="1051">
        <f t="shared" si="17"/>
        <v>19115391.631525263</v>
      </c>
      <c r="I77" s="1051">
        <v>15722409.616929529</v>
      </c>
      <c r="J77" s="1051">
        <v>3392982.014595734</v>
      </c>
      <c r="K77" s="1820">
        <v>0</v>
      </c>
      <c r="L77" s="1051">
        <f t="shared" si="18"/>
        <v>276418691.83344346</v>
      </c>
      <c r="M77" s="1051">
        <v>138209345.9167217</v>
      </c>
      <c r="N77" s="1051">
        <v>137479621.71953496</v>
      </c>
      <c r="O77" s="1052">
        <v>729724.19718674989</v>
      </c>
    </row>
    <row r="78" spans="1:15" x14ac:dyDescent="0.25">
      <c r="A78" s="716" t="s">
        <v>190</v>
      </c>
      <c r="B78" s="825" t="s">
        <v>191</v>
      </c>
      <c r="C78" s="908" t="s">
        <v>268</v>
      </c>
      <c r="D78" s="908">
        <f t="shared" si="13"/>
        <v>48231110.381922461</v>
      </c>
      <c r="E78" s="826">
        <f t="shared" si="14"/>
        <v>24515953.480595365</v>
      </c>
      <c r="F78" s="826">
        <f t="shared" si="15"/>
        <v>23546918.476084046</v>
      </c>
      <c r="G78" s="826">
        <f t="shared" si="16"/>
        <v>168238.42524304998</v>
      </c>
      <c r="H78" s="1051">
        <f t="shared" si="17"/>
        <v>1241545.0841368502</v>
      </c>
      <c r="I78" s="1051">
        <v>1021170.8317025593</v>
      </c>
      <c r="J78" s="1051">
        <v>220343.5036434909</v>
      </c>
      <c r="K78" s="1820">
        <v>30.748790799999998</v>
      </c>
      <c r="L78" s="1051">
        <f t="shared" si="18"/>
        <v>46989565.29778561</v>
      </c>
      <c r="M78" s="1051">
        <v>23494782.648892805</v>
      </c>
      <c r="N78" s="1051">
        <v>23326574.972440556</v>
      </c>
      <c r="O78" s="1052">
        <v>168207.67645224999</v>
      </c>
    </row>
    <row r="79" spans="1:15" x14ac:dyDescent="0.25">
      <c r="A79" s="716" t="s">
        <v>194</v>
      </c>
      <c r="B79" s="825" t="s">
        <v>195</v>
      </c>
      <c r="C79" s="908" t="s">
        <v>267</v>
      </c>
      <c r="D79" s="908">
        <f t="shared" si="13"/>
        <v>4245272.5092509929</v>
      </c>
      <c r="E79" s="826">
        <f t="shared" si="14"/>
        <v>2189105.2248716243</v>
      </c>
      <c r="F79" s="826">
        <f t="shared" si="15"/>
        <v>1933837.3115498691</v>
      </c>
      <c r="G79" s="826">
        <f t="shared" si="16"/>
        <v>122329.97282950001</v>
      </c>
      <c r="H79" s="1051">
        <f t="shared" si="17"/>
        <v>206105.33409651939</v>
      </c>
      <c r="I79" s="1051">
        <v>169521.63729438721</v>
      </c>
      <c r="J79" s="1051">
        <v>36583.696802132195</v>
      </c>
      <c r="K79" s="1820">
        <v>0</v>
      </c>
      <c r="L79" s="1051">
        <f t="shared" si="18"/>
        <v>4039167.1751544736</v>
      </c>
      <c r="M79" s="1051">
        <v>2019583.5875772368</v>
      </c>
      <c r="N79" s="1051">
        <v>1897253.6147477368</v>
      </c>
      <c r="O79" s="1052">
        <v>122329.97282950001</v>
      </c>
    </row>
    <row r="80" spans="1:15" x14ac:dyDescent="0.25">
      <c r="A80" s="716" t="s">
        <v>198</v>
      </c>
      <c r="B80" s="825" t="s">
        <v>199</v>
      </c>
      <c r="C80" s="908" t="s">
        <v>266</v>
      </c>
      <c r="D80" s="908">
        <f t="shared" si="13"/>
        <v>11494301.761964474</v>
      </c>
      <c r="E80" s="826">
        <f t="shared" si="14"/>
        <v>5861062.9128024019</v>
      </c>
      <c r="F80" s="826">
        <f t="shared" si="15"/>
        <v>5683628.1309951982</v>
      </c>
      <c r="G80" s="826">
        <f t="shared" si="16"/>
        <v>-50389.281833125016</v>
      </c>
      <c r="H80" s="1051">
        <f t="shared" si="17"/>
        <v>353215.60254314559</v>
      </c>
      <c r="I80" s="1051">
        <v>290519.83309173724</v>
      </c>
      <c r="J80" s="1051">
        <v>62695.769451408334</v>
      </c>
      <c r="K80" s="1820">
        <v>0</v>
      </c>
      <c r="L80" s="1051">
        <f t="shared" si="18"/>
        <v>11141086.159421328</v>
      </c>
      <c r="M80" s="1051">
        <v>5570543.0797106642</v>
      </c>
      <c r="N80" s="1051">
        <v>5620932.3615437895</v>
      </c>
      <c r="O80" s="1052">
        <v>-50389.281833125016</v>
      </c>
    </row>
    <row r="81" spans="1:15" x14ac:dyDescent="0.25">
      <c r="A81" s="716" t="s">
        <v>202</v>
      </c>
      <c r="B81" s="825" t="s">
        <v>203</v>
      </c>
      <c r="C81" s="908" t="s">
        <v>265</v>
      </c>
      <c r="D81" s="908">
        <f t="shared" si="13"/>
        <v>95254909.112749591</v>
      </c>
      <c r="E81" s="826">
        <f t="shared" si="14"/>
        <v>48541248.830272451</v>
      </c>
      <c r="F81" s="826">
        <f t="shared" si="15"/>
        <v>46389004.807057962</v>
      </c>
      <c r="G81" s="826">
        <f t="shared" si="16"/>
        <v>324655.47541918751</v>
      </c>
      <c r="H81" s="1051">
        <f t="shared" si="17"/>
        <v>2833470.6167369084</v>
      </c>
      <c r="I81" s="1051">
        <v>2330529.5822661072</v>
      </c>
      <c r="J81" s="1051">
        <v>502790.29431830131</v>
      </c>
      <c r="K81" s="1820">
        <v>150.74015250000002</v>
      </c>
      <c r="L81" s="1051">
        <f t="shared" si="18"/>
        <v>92421438.496012688</v>
      </c>
      <c r="M81" s="1051">
        <v>46210719.248006344</v>
      </c>
      <c r="N81" s="1051">
        <v>45886214.512739658</v>
      </c>
      <c r="O81" s="1052">
        <v>324504.73526668752</v>
      </c>
    </row>
    <row r="82" spans="1:15" x14ac:dyDescent="0.25">
      <c r="A82" s="716" t="s">
        <v>204</v>
      </c>
      <c r="B82" s="825" t="s">
        <v>205</v>
      </c>
      <c r="C82" s="908" t="s">
        <v>265</v>
      </c>
      <c r="D82" s="908">
        <f t="shared" si="13"/>
        <v>37293533.307281181</v>
      </c>
      <c r="E82" s="826">
        <f t="shared" si="14"/>
        <v>18985704.378938001</v>
      </c>
      <c r="F82" s="826">
        <f t="shared" si="15"/>
        <v>18205620.661951061</v>
      </c>
      <c r="G82" s="826">
        <f t="shared" si="16"/>
        <v>102208.26639212499</v>
      </c>
      <c r="H82" s="1051">
        <f t="shared" si="17"/>
        <v>1050969.6908446755</v>
      </c>
      <c r="I82" s="1051">
        <v>864422.57071974571</v>
      </c>
      <c r="J82" s="1051">
        <v>184101.31349680491</v>
      </c>
      <c r="K82" s="1820">
        <v>2445.8066281249999</v>
      </c>
      <c r="L82" s="1051">
        <f t="shared" si="18"/>
        <v>36242563.616436504</v>
      </c>
      <c r="M82" s="1051">
        <v>18121281.808218256</v>
      </c>
      <c r="N82" s="1051">
        <v>18021519.348454256</v>
      </c>
      <c r="O82" s="1052">
        <v>99762.459763999985</v>
      </c>
    </row>
    <row r="83" spans="1:15" x14ac:dyDescent="0.25">
      <c r="A83" s="716" t="s">
        <v>206</v>
      </c>
      <c r="B83" s="825" t="s">
        <v>207</v>
      </c>
      <c r="C83" s="908" t="s">
        <v>267</v>
      </c>
      <c r="D83" s="908">
        <f t="shared" si="13"/>
        <v>103193405.60100891</v>
      </c>
      <c r="E83" s="826">
        <f t="shared" si="14"/>
        <v>53447831.25984437</v>
      </c>
      <c r="F83" s="826">
        <f t="shared" si="15"/>
        <v>49214156.631293535</v>
      </c>
      <c r="G83" s="826">
        <f t="shared" si="16"/>
        <v>531417.70987099991</v>
      </c>
      <c r="H83" s="1051">
        <f t="shared" si="17"/>
        <v>5739933.2072555553</v>
      </c>
      <c r="I83" s="1051">
        <v>4721095.0629676944</v>
      </c>
      <c r="J83" s="1051">
        <v>1018838.1442878611</v>
      </c>
      <c r="K83" s="1820">
        <v>0</v>
      </c>
      <c r="L83" s="1051">
        <f t="shared" si="18"/>
        <v>97453472.39375335</v>
      </c>
      <c r="M83" s="1051">
        <v>48726736.196876675</v>
      </c>
      <c r="N83" s="1051">
        <v>48195318.487005673</v>
      </c>
      <c r="O83" s="1052">
        <v>531417.70987099991</v>
      </c>
    </row>
    <row r="84" spans="1:15" x14ac:dyDescent="0.25">
      <c r="A84" s="716" t="s">
        <v>208</v>
      </c>
      <c r="B84" s="825" t="s">
        <v>209</v>
      </c>
      <c r="C84" s="908" t="s">
        <v>268</v>
      </c>
      <c r="D84" s="908">
        <f t="shared" si="13"/>
        <v>42930604.826679245</v>
      </c>
      <c r="E84" s="826">
        <f t="shared" si="14"/>
        <v>21853783.584483813</v>
      </c>
      <c r="F84" s="826">
        <f t="shared" si="15"/>
        <v>20980291.556467928</v>
      </c>
      <c r="G84" s="826">
        <f t="shared" si="16"/>
        <v>96529.685727499993</v>
      </c>
      <c r="H84" s="1051">
        <f t="shared" si="17"/>
        <v>1204592.7787416838</v>
      </c>
      <c r="I84" s="1051">
        <v>990777.56051503494</v>
      </c>
      <c r="J84" s="1051">
        <v>213815.21822664887</v>
      </c>
      <c r="K84" s="1820">
        <v>0</v>
      </c>
      <c r="L84" s="1051">
        <f t="shared" si="18"/>
        <v>41726012.047937557</v>
      </c>
      <c r="M84" s="1051">
        <v>20863006.023968779</v>
      </c>
      <c r="N84" s="1051">
        <v>20766476.338241279</v>
      </c>
      <c r="O84" s="1052">
        <v>96529.685727499993</v>
      </c>
    </row>
    <row r="85" spans="1:15" x14ac:dyDescent="0.25">
      <c r="A85" s="716" t="s">
        <v>210</v>
      </c>
      <c r="B85" s="825" t="s">
        <v>211</v>
      </c>
      <c r="C85" s="908" t="s">
        <v>268</v>
      </c>
      <c r="D85" s="908">
        <f t="shared" si="13"/>
        <v>35069206.74569688</v>
      </c>
      <c r="E85" s="826">
        <f t="shared" si="14"/>
        <v>17798556.929753393</v>
      </c>
      <c r="F85" s="826">
        <f t="shared" si="15"/>
        <v>17249969.40262473</v>
      </c>
      <c r="G85" s="826">
        <f t="shared" si="16"/>
        <v>20680.413318750001</v>
      </c>
      <c r="H85" s="1051">
        <f t="shared" si="17"/>
        <v>818460.64156576176</v>
      </c>
      <c r="I85" s="1051">
        <v>673183.87768783909</v>
      </c>
      <c r="J85" s="1051">
        <v>145276.76387792273</v>
      </c>
      <c r="K85" s="1820">
        <v>0</v>
      </c>
      <c r="L85" s="1051">
        <f t="shared" si="18"/>
        <v>34250746.104131117</v>
      </c>
      <c r="M85" s="1051">
        <v>17125373.052065555</v>
      </c>
      <c r="N85" s="1051">
        <v>17104692.638746805</v>
      </c>
      <c r="O85" s="1052">
        <v>20680.413318750001</v>
      </c>
    </row>
    <row r="86" spans="1:15" x14ac:dyDescent="0.25">
      <c r="A86" s="716" t="s">
        <v>212</v>
      </c>
      <c r="B86" s="825" t="s">
        <v>213</v>
      </c>
      <c r="C86" s="908" t="s">
        <v>267</v>
      </c>
      <c r="D86" s="908">
        <f t="shared" si="13"/>
        <v>46697663.922430128</v>
      </c>
      <c r="E86" s="826">
        <f t="shared" si="14"/>
        <v>23955568.976111695</v>
      </c>
      <c r="F86" s="826">
        <f t="shared" si="15"/>
        <v>22585385.747671124</v>
      </c>
      <c r="G86" s="826">
        <f t="shared" si="16"/>
        <v>156709.19864731253</v>
      </c>
      <c r="H86" s="1051">
        <f t="shared" si="17"/>
        <v>1881355.0849507861</v>
      </c>
      <c r="I86" s="1051">
        <v>1547414.5573720217</v>
      </c>
      <c r="J86" s="1051">
        <v>333940.52757876448</v>
      </c>
      <c r="K86" s="1820">
        <v>0</v>
      </c>
      <c r="L86" s="1051">
        <f t="shared" si="18"/>
        <v>44816308.837479346</v>
      </c>
      <c r="M86" s="1051">
        <v>22408154.418739673</v>
      </c>
      <c r="N86" s="1051">
        <v>22251445.22009236</v>
      </c>
      <c r="O86" s="1052">
        <v>156709.19864731253</v>
      </c>
    </row>
    <row r="87" spans="1:15" x14ac:dyDescent="0.25">
      <c r="A87" s="716" t="s">
        <v>214</v>
      </c>
      <c r="B87" s="825" t="s">
        <v>215</v>
      </c>
      <c r="C87" s="908" t="s">
        <v>268</v>
      </c>
      <c r="D87" s="908">
        <f t="shared" si="13"/>
        <v>49447766.320417598</v>
      </c>
      <c r="E87" s="826">
        <f t="shared" si="14"/>
        <v>25179316.381022535</v>
      </c>
      <c r="F87" s="826">
        <f t="shared" si="15"/>
        <v>24203597.596381314</v>
      </c>
      <c r="G87" s="826">
        <f t="shared" si="16"/>
        <v>64852.343013749989</v>
      </c>
      <c r="H87" s="1051">
        <f t="shared" si="17"/>
        <v>1412196.0335309671</v>
      </c>
      <c r="I87" s="1051">
        <v>1161531.2375792204</v>
      </c>
      <c r="J87" s="1051">
        <v>250664.79595174664</v>
      </c>
      <c r="K87" s="1820">
        <v>0</v>
      </c>
      <c r="L87" s="1051">
        <f t="shared" si="18"/>
        <v>48035570.286886632</v>
      </c>
      <c r="M87" s="1051">
        <v>24017785.143443316</v>
      </c>
      <c r="N87" s="1051">
        <v>23952932.800429568</v>
      </c>
      <c r="O87" s="1052">
        <v>64852.343013749989</v>
      </c>
    </row>
    <row r="88" spans="1:15" x14ac:dyDescent="0.25">
      <c r="A88" s="716" t="s">
        <v>216</v>
      </c>
      <c r="B88" s="825" t="s">
        <v>217</v>
      </c>
      <c r="C88" s="908" t="s">
        <v>264</v>
      </c>
      <c r="D88" s="908">
        <f t="shared" si="13"/>
        <v>26568978.772135913</v>
      </c>
      <c r="E88" s="826">
        <f t="shared" si="14"/>
        <v>13500418.489887191</v>
      </c>
      <c r="F88" s="826">
        <f t="shared" si="15"/>
        <v>12997398.89987372</v>
      </c>
      <c r="G88" s="826">
        <f t="shared" si="16"/>
        <v>71161.382374999986</v>
      </c>
      <c r="H88" s="1051">
        <f t="shared" si="17"/>
        <v>669547.60874181439</v>
      </c>
      <c r="I88" s="1051">
        <v>550702.90819014236</v>
      </c>
      <c r="J88" s="1051">
        <v>118844.70055167207</v>
      </c>
      <c r="K88" s="1820">
        <v>0</v>
      </c>
      <c r="L88" s="1051">
        <f t="shared" si="18"/>
        <v>25899431.163394097</v>
      </c>
      <c r="M88" s="1051">
        <v>12949715.581697049</v>
      </c>
      <c r="N88" s="1051">
        <v>12878554.199322049</v>
      </c>
      <c r="O88" s="1052">
        <v>71161.382374999986</v>
      </c>
    </row>
    <row r="89" spans="1:15" x14ac:dyDescent="0.25">
      <c r="A89" s="716" t="s">
        <v>218</v>
      </c>
      <c r="B89" s="825" t="s">
        <v>219</v>
      </c>
      <c r="C89" s="908" t="s">
        <v>267</v>
      </c>
      <c r="D89" s="908">
        <f t="shared" si="13"/>
        <v>111082487.10781209</v>
      </c>
      <c r="E89" s="826">
        <f t="shared" si="14"/>
        <v>56782211.838286236</v>
      </c>
      <c r="F89" s="826">
        <f t="shared" si="15"/>
        <v>53629874.864343837</v>
      </c>
      <c r="G89" s="826">
        <f t="shared" si="16"/>
        <v>670400.40518200013</v>
      </c>
      <c r="H89" s="1051">
        <f t="shared" si="17"/>
        <v>3847963.6724967486</v>
      </c>
      <c r="I89" s="1051">
        <v>3164950.1206285758</v>
      </c>
      <c r="J89" s="1051">
        <v>683013.55186817283</v>
      </c>
      <c r="K89" s="1820">
        <v>0</v>
      </c>
      <c r="L89" s="1051">
        <f t="shared" si="18"/>
        <v>107234523.43531534</v>
      </c>
      <c r="M89" s="1051">
        <v>53617261.717657663</v>
      </c>
      <c r="N89" s="1051">
        <v>52946861.312475666</v>
      </c>
      <c r="O89" s="1052">
        <v>670400.40518200013</v>
      </c>
    </row>
    <row r="90" spans="1:15" x14ac:dyDescent="0.25">
      <c r="A90" s="716" t="s">
        <v>220</v>
      </c>
      <c r="B90" s="825" t="s">
        <v>221</v>
      </c>
      <c r="C90" s="908" t="s">
        <v>267</v>
      </c>
      <c r="D90" s="908">
        <f t="shared" si="13"/>
        <v>89205728.971208304</v>
      </c>
      <c r="E90" s="826">
        <f t="shared" si="14"/>
        <v>45780067.207607478</v>
      </c>
      <c r="F90" s="826">
        <f t="shared" si="15"/>
        <v>43185387.56106247</v>
      </c>
      <c r="G90" s="826">
        <f t="shared" si="16"/>
        <v>240274.20253837499</v>
      </c>
      <c r="H90" s="1051">
        <f t="shared" si="17"/>
        <v>3650240.9984598821</v>
      </c>
      <c r="I90" s="1051">
        <v>3002323.2212332529</v>
      </c>
      <c r="J90" s="1051">
        <v>647917.77722662897</v>
      </c>
      <c r="K90" s="1820">
        <v>0</v>
      </c>
      <c r="L90" s="1051">
        <f t="shared" si="18"/>
        <v>85555487.972748429</v>
      </c>
      <c r="M90" s="1051">
        <v>42777743.986374222</v>
      </c>
      <c r="N90" s="1051">
        <v>42537469.783835843</v>
      </c>
      <c r="O90" s="1052">
        <v>240274.20253837499</v>
      </c>
    </row>
    <row r="91" spans="1:15" x14ac:dyDescent="0.25">
      <c r="A91" s="716" t="s">
        <v>224</v>
      </c>
      <c r="B91" s="825" t="s">
        <v>225</v>
      </c>
      <c r="C91" s="908" t="s">
        <v>264</v>
      </c>
      <c r="D91" s="908">
        <f t="shared" si="13"/>
        <v>8613854.8990266323</v>
      </c>
      <c r="E91" s="826">
        <f t="shared" si="14"/>
        <v>4372681.1547196163</v>
      </c>
      <c r="F91" s="826">
        <f t="shared" si="15"/>
        <v>4227864.9840570157</v>
      </c>
      <c r="G91" s="826">
        <f t="shared" si="16"/>
        <v>13308.760249999998</v>
      </c>
      <c r="H91" s="1051">
        <f t="shared" si="17"/>
        <v>203887.45800403284</v>
      </c>
      <c r="I91" s="1051">
        <v>167697.43420831702</v>
      </c>
      <c r="J91" s="1051">
        <v>36190.023795715824</v>
      </c>
      <c r="K91" s="1820">
        <v>0</v>
      </c>
      <c r="L91" s="1051">
        <f t="shared" si="18"/>
        <v>8409967.4410225991</v>
      </c>
      <c r="M91" s="1051">
        <v>4204983.7205112996</v>
      </c>
      <c r="N91" s="1051">
        <v>4191674.9602612997</v>
      </c>
      <c r="O91" s="1052">
        <v>13308.760249999998</v>
      </c>
    </row>
    <row r="92" spans="1:15" x14ac:dyDescent="0.25">
      <c r="A92" s="716" t="s">
        <v>226</v>
      </c>
      <c r="B92" s="825" t="s">
        <v>227</v>
      </c>
      <c r="C92" s="908" t="s">
        <v>264</v>
      </c>
      <c r="D92" s="908">
        <f t="shared" si="13"/>
        <v>18028903.217833977</v>
      </c>
      <c r="E92" s="826">
        <f t="shared" si="14"/>
        <v>9107863.7830881141</v>
      </c>
      <c r="F92" s="826">
        <f t="shared" si="15"/>
        <v>8910318.1325083654</v>
      </c>
      <c r="G92" s="826">
        <f t="shared" si="16"/>
        <v>10721.3022375</v>
      </c>
      <c r="H92" s="1051">
        <f t="shared" si="17"/>
        <v>289650.15246860113</v>
      </c>
      <c r="I92" s="1051">
        <v>238237.25040542445</v>
      </c>
      <c r="J92" s="1051">
        <v>51412.902063176705</v>
      </c>
      <c r="K92" s="1820">
        <v>0</v>
      </c>
      <c r="L92" s="1051">
        <f t="shared" si="18"/>
        <v>17739253.065365378</v>
      </c>
      <c r="M92" s="1051">
        <v>8869626.5326826889</v>
      </c>
      <c r="N92" s="1051">
        <v>8858905.2304451894</v>
      </c>
      <c r="O92" s="1052">
        <v>10721.3022375</v>
      </c>
    </row>
    <row r="93" spans="1:15" x14ac:dyDescent="0.25">
      <c r="A93" s="716" t="s">
        <v>228</v>
      </c>
      <c r="B93" s="825" t="s">
        <v>229</v>
      </c>
      <c r="C93" s="908" t="s">
        <v>268</v>
      </c>
      <c r="D93" s="908">
        <f t="shared" si="13"/>
        <v>58707760.33313176</v>
      </c>
      <c r="E93" s="826">
        <f t="shared" si="14"/>
        <v>29788602.930797257</v>
      </c>
      <c r="F93" s="826">
        <f t="shared" si="15"/>
        <v>28833342.322209511</v>
      </c>
      <c r="G93" s="826">
        <f t="shared" si="16"/>
        <v>85815.080125000022</v>
      </c>
      <c r="H93" s="1051">
        <f t="shared" si="17"/>
        <v>1347977.563508129</v>
      </c>
      <c r="I93" s="1051">
        <v>1108711.5459854361</v>
      </c>
      <c r="J93" s="1051">
        <v>239266.01752269288</v>
      </c>
      <c r="K93" s="1820">
        <v>0</v>
      </c>
      <c r="L93" s="1051">
        <f t="shared" si="18"/>
        <v>57359782.76962363</v>
      </c>
      <c r="M93" s="1051">
        <v>28679891.384811819</v>
      </c>
      <c r="N93" s="1051">
        <v>28594076.304686818</v>
      </c>
      <c r="O93" s="1052">
        <v>85815.080125000022</v>
      </c>
    </row>
    <row r="94" spans="1:15" x14ac:dyDescent="0.25">
      <c r="A94" s="716" t="s">
        <v>232</v>
      </c>
      <c r="B94" s="825" t="s">
        <v>233</v>
      </c>
      <c r="C94" s="908" t="s">
        <v>267</v>
      </c>
      <c r="D94" s="908">
        <f t="shared" si="13"/>
        <v>40899314.488774486</v>
      </c>
      <c r="E94" s="826">
        <f t="shared" si="14"/>
        <v>20922791.172866579</v>
      </c>
      <c r="F94" s="826">
        <f t="shared" si="15"/>
        <v>19848435.286090907</v>
      </c>
      <c r="G94" s="826">
        <f t="shared" si="16"/>
        <v>128088.029817</v>
      </c>
      <c r="H94" s="1051">
        <f t="shared" si="17"/>
        <v>1467081.9487731373</v>
      </c>
      <c r="I94" s="1051">
        <v>1206674.9028659053</v>
      </c>
      <c r="J94" s="1051">
        <v>260407.04590723186</v>
      </c>
      <c r="K94" s="1820">
        <v>0</v>
      </c>
      <c r="L94" s="1051">
        <f t="shared" si="18"/>
        <v>39432232.540001348</v>
      </c>
      <c r="M94" s="1051">
        <v>19716116.270000674</v>
      </c>
      <c r="N94" s="1051">
        <v>19588028.240183674</v>
      </c>
      <c r="O94" s="1052">
        <v>128088.029817</v>
      </c>
    </row>
    <row r="95" spans="1:15" x14ac:dyDescent="0.25">
      <c r="A95" s="716" t="s">
        <v>234</v>
      </c>
      <c r="B95" s="825" t="s">
        <v>235</v>
      </c>
      <c r="C95" s="908" t="s">
        <v>268</v>
      </c>
      <c r="D95" s="908">
        <f t="shared" si="13"/>
        <v>59458313.960954793</v>
      </c>
      <c r="E95" s="826">
        <f t="shared" si="14"/>
        <v>30269440.909279361</v>
      </c>
      <c r="F95" s="826">
        <f t="shared" si="15"/>
        <v>29112759.714575429</v>
      </c>
      <c r="G95" s="826">
        <f t="shared" si="16"/>
        <v>76113.33709999999</v>
      </c>
      <c r="H95" s="1051">
        <f t="shared" si="17"/>
        <v>1675299.0040371097</v>
      </c>
      <c r="I95" s="1051">
        <v>1377933.4308205228</v>
      </c>
      <c r="J95" s="1051">
        <v>297365.57321658696</v>
      </c>
      <c r="K95" s="1820">
        <v>0</v>
      </c>
      <c r="L95" s="1051">
        <f t="shared" si="18"/>
        <v>57783014.956917681</v>
      </c>
      <c r="M95" s="1051">
        <v>28891507.47845884</v>
      </c>
      <c r="N95" s="1051">
        <v>28815394.141358841</v>
      </c>
      <c r="O95" s="1052">
        <v>76113.33709999999</v>
      </c>
    </row>
    <row r="96" spans="1:15" x14ac:dyDescent="0.25">
      <c r="A96" s="716" t="s">
        <v>236</v>
      </c>
      <c r="B96" s="825" t="s">
        <v>237</v>
      </c>
      <c r="C96" s="908" t="s">
        <v>266</v>
      </c>
      <c r="D96" s="908">
        <f t="shared" si="13"/>
        <v>21298189.772734746</v>
      </c>
      <c r="E96" s="826">
        <f t="shared" si="14"/>
        <v>10858412.219077274</v>
      </c>
      <c r="F96" s="826">
        <f t="shared" si="15"/>
        <v>10420915.433969969</v>
      </c>
      <c r="G96" s="826">
        <f t="shared" si="16"/>
        <v>18862.119687499999</v>
      </c>
      <c r="H96" s="1051">
        <f t="shared" si="17"/>
        <v>649045.99289892241</v>
      </c>
      <c r="I96" s="1051">
        <v>533840.32915936364</v>
      </c>
      <c r="J96" s="1051">
        <v>115205.66373955872</v>
      </c>
      <c r="K96" s="1820">
        <v>0</v>
      </c>
      <c r="L96" s="1051">
        <f t="shared" si="18"/>
        <v>20649143.779835824</v>
      </c>
      <c r="M96" s="1051">
        <v>10324571.88991791</v>
      </c>
      <c r="N96" s="1051">
        <v>10305709.770230411</v>
      </c>
      <c r="O96" s="1052">
        <v>18862.119687499999</v>
      </c>
    </row>
    <row r="97" spans="1:15" x14ac:dyDescent="0.25">
      <c r="A97" s="716" t="s">
        <v>242</v>
      </c>
      <c r="B97" s="825" t="s">
        <v>243</v>
      </c>
      <c r="C97" s="908" t="s">
        <v>268</v>
      </c>
      <c r="D97" s="908">
        <f t="shared" si="13"/>
        <v>68252008.825654075</v>
      </c>
      <c r="E97" s="826">
        <f t="shared" si="14"/>
        <v>34587916.947693944</v>
      </c>
      <c r="F97" s="826">
        <f t="shared" si="15"/>
        <v>33646896.126822628</v>
      </c>
      <c r="G97" s="826">
        <f t="shared" si="16"/>
        <v>17195.751137499999</v>
      </c>
      <c r="H97" s="1051">
        <f t="shared" si="17"/>
        <v>1432286.9298198735</v>
      </c>
      <c r="I97" s="1051">
        <v>1178055.999776846</v>
      </c>
      <c r="J97" s="1051">
        <v>254230.93004302753</v>
      </c>
      <c r="K97" s="1820">
        <v>0</v>
      </c>
      <c r="L97" s="1051">
        <f t="shared" si="18"/>
        <v>66819721.8958342</v>
      </c>
      <c r="M97" s="1051">
        <v>33409860.9479171</v>
      </c>
      <c r="N97" s="1051">
        <v>33392665.196779601</v>
      </c>
      <c r="O97" s="1052">
        <v>17195.751137499999</v>
      </c>
    </row>
    <row r="98" spans="1:15" x14ac:dyDescent="0.25">
      <c r="A98" s="716" t="s">
        <v>244</v>
      </c>
      <c r="B98" s="825" t="s">
        <v>245</v>
      </c>
      <c r="C98" s="908" t="s">
        <v>268</v>
      </c>
      <c r="D98" s="908">
        <f t="shared" si="13"/>
        <v>38592185.754778005</v>
      </c>
      <c r="E98" s="826">
        <f t="shared" si="14"/>
        <v>19658886.890332643</v>
      </c>
      <c r="F98" s="826">
        <f t="shared" si="15"/>
        <v>18898714.176290356</v>
      </c>
      <c r="G98" s="826">
        <f t="shared" si="16"/>
        <v>34584.688154999996</v>
      </c>
      <c r="H98" s="1051">
        <f t="shared" si="17"/>
        <v>1124942.6757942461</v>
      </c>
      <c r="I98" s="1051">
        <v>925265.35084076738</v>
      </c>
      <c r="J98" s="1051">
        <v>199677.32495347864</v>
      </c>
      <c r="K98" s="1820">
        <v>0</v>
      </c>
      <c r="L98" s="1051">
        <f t="shared" si="18"/>
        <v>37467243.078983761</v>
      </c>
      <c r="M98" s="1051">
        <v>18733621.539491877</v>
      </c>
      <c r="N98" s="1051">
        <v>18699036.851336878</v>
      </c>
      <c r="O98" s="1052">
        <v>34584.688154999996</v>
      </c>
    </row>
    <row r="99" spans="1:15" x14ac:dyDescent="0.25">
      <c r="A99" s="716" t="s">
        <v>246</v>
      </c>
      <c r="B99" s="825" t="s">
        <v>310</v>
      </c>
      <c r="C99" s="908" t="s">
        <v>264</v>
      </c>
      <c r="D99" s="908">
        <f t="shared" si="13"/>
        <v>33087346.568884596</v>
      </c>
      <c r="E99" s="826">
        <f t="shared" si="14"/>
        <v>16874449.340625528</v>
      </c>
      <c r="F99" s="826">
        <f t="shared" si="15"/>
        <v>16111669.439602818</v>
      </c>
      <c r="G99" s="826">
        <f t="shared" si="16"/>
        <v>101227.78865624999</v>
      </c>
      <c r="H99" s="1051">
        <f t="shared" si="17"/>
        <v>1025662.1897154449</v>
      </c>
      <c r="I99" s="1051">
        <v>843607.15104095347</v>
      </c>
      <c r="J99" s="1051">
        <v>182055.03867449149</v>
      </c>
      <c r="K99" s="1820">
        <v>0</v>
      </c>
      <c r="L99" s="1051">
        <f t="shared" si="18"/>
        <v>32061684.379169151</v>
      </c>
      <c r="M99" s="1051">
        <v>16030842.189584576</v>
      </c>
      <c r="N99" s="1051">
        <v>15929614.400928326</v>
      </c>
      <c r="O99" s="1052">
        <v>101227.78865624999</v>
      </c>
    </row>
    <row r="100" spans="1:15" x14ac:dyDescent="0.25">
      <c r="A100" s="716" t="s">
        <v>14</v>
      </c>
      <c r="B100" s="825" t="s">
        <v>15</v>
      </c>
      <c r="C100" s="908" t="s">
        <v>267</v>
      </c>
      <c r="D100" s="908">
        <f t="shared" si="13"/>
        <v>103014810.88509139</v>
      </c>
      <c r="E100" s="826">
        <f t="shared" si="14"/>
        <v>53295401.55253654</v>
      </c>
      <c r="F100" s="826">
        <f t="shared" si="15"/>
        <v>49447901.751226112</v>
      </c>
      <c r="G100" s="826">
        <f t="shared" si="16"/>
        <v>271507.58132875001</v>
      </c>
      <c r="H100" s="1051">
        <f t="shared" si="17"/>
        <v>5544173.9844677188</v>
      </c>
      <c r="I100" s="1051">
        <v>4560083.1022246983</v>
      </c>
      <c r="J100" s="1051">
        <v>984090.88224301999</v>
      </c>
      <c r="K100" s="1820">
        <v>0</v>
      </c>
      <c r="L100" s="1051">
        <f t="shared" si="18"/>
        <v>97470636.900623679</v>
      </c>
      <c r="M100" s="1051">
        <v>48735318.45031184</v>
      </c>
      <c r="N100" s="1051">
        <v>48463810.86898309</v>
      </c>
      <c r="O100" s="1052">
        <v>271507.58132875001</v>
      </c>
    </row>
    <row r="101" spans="1:15" x14ac:dyDescent="0.25">
      <c r="A101" s="716" t="s">
        <v>34</v>
      </c>
      <c r="B101" s="825" t="s">
        <v>35</v>
      </c>
      <c r="C101" s="908" t="s">
        <v>268</v>
      </c>
      <c r="D101" s="908">
        <f t="shared" ref="D101:D124" si="19">H101+L101</f>
        <v>28410574.699972197</v>
      </c>
      <c r="E101" s="826">
        <f t="shared" ref="E101:E124" si="20">+I101+M101</f>
        <v>14392166.234334534</v>
      </c>
      <c r="F101" s="826">
        <f t="shared" ref="F101:F124" si="21">+J101+N101</f>
        <v>13872380.664044539</v>
      </c>
      <c r="G101" s="826">
        <f t="shared" ref="G101:G124" si="22">K101+O101</f>
        <v>146027.80159312498</v>
      </c>
      <c r="H101" s="1051">
        <f t="shared" ref="H101:H124" si="23">I101+J101+K101</f>
        <v>579469.40883235692</v>
      </c>
      <c r="I101" s="1051">
        <v>476613.58876461355</v>
      </c>
      <c r="J101" s="1051">
        <v>102855.82006774336</v>
      </c>
      <c r="K101" s="1820">
        <v>0</v>
      </c>
      <c r="L101" s="1051">
        <f t="shared" ref="L101:L124" si="24">M101+N101+O101</f>
        <v>27831105.291139841</v>
      </c>
      <c r="M101" s="1051">
        <v>13915552.645569921</v>
      </c>
      <c r="N101" s="1051">
        <v>13769524.843976796</v>
      </c>
      <c r="O101" s="1052">
        <v>146027.80159312498</v>
      </c>
    </row>
    <row r="102" spans="1:15" x14ac:dyDescent="0.25">
      <c r="A102" s="716" t="s">
        <v>52</v>
      </c>
      <c r="B102" s="825" t="s">
        <v>53</v>
      </c>
      <c r="C102" s="908" t="s">
        <v>265</v>
      </c>
      <c r="D102" s="908">
        <f t="shared" si="19"/>
        <v>54676982.706946805</v>
      </c>
      <c r="E102" s="826">
        <f t="shared" si="20"/>
        <v>27831906.892371558</v>
      </c>
      <c r="F102" s="826">
        <f t="shared" si="21"/>
        <v>26651686.834820248</v>
      </c>
      <c r="G102" s="826">
        <f t="shared" si="22"/>
        <v>193388.97975500001</v>
      </c>
      <c r="H102" s="1051">
        <f t="shared" si="23"/>
        <v>1529970.6632500892</v>
      </c>
      <c r="I102" s="1051">
        <v>1258400.8705231983</v>
      </c>
      <c r="J102" s="1051">
        <v>271569.79272689077</v>
      </c>
      <c r="K102" s="1820">
        <v>0</v>
      </c>
      <c r="L102" s="1051">
        <f t="shared" si="24"/>
        <v>53147012.043696716</v>
      </c>
      <c r="M102" s="1051">
        <v>26573506.021848358</v>
      </c>
      <c r="N102" s="1051">
        <v>26380117.042093359</v>
      </c>
      <c r="O102" s="1052">
        <v>193388.97975500001</v>
      </c>
    </row>
    <row r="103" spans="1:15" x14ac:dyDescent="0.25">
      <c r="A103" s="716" t="s">
        <v>54</v>
      </c>
      <c r="B103" s="825" t="s">
        <v>55</v>
      </c>
      <c r="C103" s="908" t="s">
        <v>264</v>
      </c>
      <c r="D103" s="908">
        <f t="shared" si="19"/>
        <v>197732689.70863011</v>
      </c>
      <c r="E103" s="826">
        <f t="shared" si="20"/>
        <v>100850288.0028009</v>
      </c>
      <c r="F103" s="826">
        <f t="shared" si="21"/>
        <v>96706769.252422959</v>
      </c>
      <c r="G103" s="826">
        <f t="shared" si="22"/>
        <v>175632.45340624996</v>
      </c>
      <c r="H103" s="1051">
        <f t="shared" si="23"/>
        <v>6151761.7007313007</v>
      </c>
      <c r="I103" s="1051">
        <v>5059823.9988514949</v>
      </c>
      <c r="J103" s="1051">
        <v>1091937.7018798059</v>
      </c>
      <c r="K103" s="1820">
        <v>0</v>
      </c>
      <c r="L103" s="1051">
        <f t="shared" si="24"/>
        <v>191580928.00789881</v>
      </c>
      <c r="M103" s="1051">
        <v>95790464.003949404</v>
      </c>
      <c r="N103" s="1051">
        <v>95614831.550543159</v>
      </c>
      <c r="O103" s="1052">
        <v>175632.45340624996</v>
      </c>
    </row>
    <row r="104" spans="1:15" x14ac:dyDescent="0.25">
      <c r="A104" s="716" t="s">
        <v>66</v>
      </c>
      <c r="B104" s="825" t="s">
        <v>67</v>
      </c>
      <c r="C104" s="908" t="s">
        <v>265</v>
      </c>
      <c r="D104" s="908">
        <f t="shared" si="19"/>
        <v>118687344.70101903</v>
      </c>
      <c r="E104" s="826">
        <f t="shared" si="20"/>
        <v>59855955.247559503</v>
      </c>
      <c r="F104" s="826">
        <f t="shared" si="21"/>
        <v>58722317.754513286</v>
      </c>
      <c r="G104" s="826">
        <f t="shared" si="22"/>
        <v>109071.69894624999</v>
      </c>
      <c r="H104" s="1051">
        <f t="shared" si="23"/>
        <v>1588474.0993797949</v>
      </c>
      <c r="I104" s="1051">
        <v>1306519.9467398813</v>
      </c>
      <c r="J104" s="1051">
        <v>276668.8180399136</v>
      </c>
      <c r="K104" s="1820">
        <v>5285.3346000000001</v>
      </c>
      <c r="L104" s="1051">
        <f t="shared" si="24"/>
        <v>117098870.60163924</v>
      </c>
      <c r="M104" s="1051">
        <v>58549435.30081962</v>
      </c>
      <c r="N104" s="1051">
        <v>58445648.93647337</v>
      </c>
      <c r="O104" s="1052">
        <v>103786.36434624999</v>
      </c>
    </row>
    <row r="105" spans="1:15" x14ac:dyDescent="0.25">
      <c r="A105" s="716" t="s">
        <v>82</v>
      </c>
      <c r="B105" s="825" t="s">
        <v>311</v>
      </c>
      <c r="C105" s="908" t="s">
        <v>264</v>
      </c>
      <c r="D105" s="908">
        <f t="shared" si="19"/>
        <v>23734364.860451881</v>
      </c>
      <c r="E105" s="826">
        <f t="shared" si="20"/>
        <v>12008613.46517003</v>
      </c>
      <c r="F105" s="826">
        <f t="shared" si="21"/>
        <v>11723302.433556849</v>
      </c>
      <c r="G105" s="826">
        <f t="shared" si="22"/>
        <v>2448.9617250000001</v>
      </c>
      <c r="H105" s="1051">
        <f t="shared" si="23"/>
        <v>438545.84478787537</v>
      </c>
      <c r="I105" s="1051">
        <v>360703.95733802748</v>
      </c>
      <c r="J105" s="1051">
        <v>77841.887449847869</v>
      </c>
      <c r="K105" s="1820">
        <v>0</v>
      </c>
      <c r="L105" s="1051">
        <f t="shared" si="24"/>
        <v>23295819.015664004</v>
      </c>
      <c r="M105" s="1051">
        <v>11647909.507832002</v>
      </c>
      <c r="N105" s="1051">
        <v>11645460.546107002</v>
      </c>
      <c r="O105" s="1052">
        <v>2448.9617250000001</v>
      </c>
    </row>
    <row r="106" spans="1:15" x14ac:dyDescent="0.25">
      <c r="A106" s="716" t="s">
        <v>88</v>
      </c>
      <c r="B106" s="825" t="s">
        <v>89</v>
      </c>
      <c r="C106" s="908" t="s">
        <v>267</v>
      </c>
      <c r="D106" s="908">
        <f t="shared" si="19"/>
        <v>33778640.019859754</v>
      </c>
      <c r="E106" s="826">
        <f t="shared" si="20"/>
        <v>17178909.80406798</v>
      </c>
      <c r="F106" s="826">
        <f t="shared" si="21"/>
        <v>16530296.378753025</v>
      </c>
      <c r="G106" s="826">
        <f t="shared" si="22"/>
        <v>69433.837038750018</v>
      </c>
      <c r="H106" s="1051">
        <f t="shared" si="23"/>
        <v>897952.85004062601</v>
      </c>
      <c r="I106" s="1051">
        <v>738566.21915841487</v>
      </c>
      <c r="J106" s="1051">
        <v>159386.63088221109</v>
      </c>
      <c r="K106" s="1820">
        <v>0</v>
      </c>
      <c r="L106" s="1051">
        <f t="shared" si="24"/>
        <v>32880687.169819128</v>
      </c>
      <c r="M106" s="1051">
        <v>16440343.584909564</v>
      </c>
      <c r="N106" s="1051">
        <v>16370909.747870814</v>
      </c>
      <c r="O106" s="1052">
        <v>69433.837038750018</v>
      </c>
    </row>
    <row r="107" spans="1:15" x14ac:dyDescent="0.25">
      <c r="A107" s="716" t="s">
        <v>90</v>
      </c>
      <c r="B107" s="825" t="s">
        <v>91</v>
      </c>
      <c r="C107" s="908" t="s">
        <v>268</v>
      </c>
      <c r="D107" s="908">
        <f t="shared" si="19"/>
        <v>16561958.049813766</v>
      </c>
      <c r="E107" s="826">
        <f t="shared" si="20"/>
        <v>8411091.3201710545</v>
      </c>
      <c r="F107" s="826">
        <f t="shared" si="21"/>
        <v>8127283.5310752094</v>
      </c>
      <c r="G107" s="826">
        <f t="shared" si="22"/>
        <v>23583.1985675</v>
      </c>
      <c r="H107" s="1051">
        <f t="shared" si="23"/>
        <v>403448.97756332636</v>
      </c>
      <c r="I107" s="1051">
        <v>331836.78404583596</v>
      </c>
      <c r="J107" s="1051">
        <v>71612.193517490436</v>
      </c>
      <c r="K107" s="1820">
        <v>0</v>
      </c>
      <c r="L107" s="1051">
        <f t="shared" si="24"/>
        <v>16158509.072250439</v>
      </c>
      <c r="M107" s="1051">
        <v>8079254.5361252194</v>
      </c>
      <c r="N107" s="1051">
        <v>8055671.3375577191</v>
      </c>
      <c r="O107" s="1052">
        <v>23583.1985675</v>
      </c>
    </row>
    <row r="108" spans="1:15" x14ac:dyDescent="0.25">
      <c r="A108" s="716" t="s">
        <v>106</v>
      </c>
      <c r="B108" s="825" t="s">
        <v>107</v>
      </c>
      <c r="C108" s="908" t="s">
        <v>264</v>
      </c>
      <c r="D108" s="908">
        <f t="shared" si="19"/>
        <v>179884064.99570936</v>
      </c>
      <c r="E108" s="826">
        <f t="shared" si="20"/>
        <v>91395986.797012791</v>
      </c>
      <c r="F108" s="826">
        <f t="shared" si="21"/>
        <v>88462545.552409053</v>
      </c>
      <c r="G108" s="826">
        <f t="shared" si="22"/>
        <v>25532.6462875</v>
      </c>
      <c r="H108" s="1051">
        <f t="shared" si="23"/>
        <v>4508385.4237461034</v>
      </c>
      <c r="I108" s="1051">
        <v>3708147.0110311704</v>
      </c>
      <c r="J108" s="1051">
        <v>800238.41271493351</v>
      </c>
      <c r="K108" s="1820">
        <v>0</v>
      </c>
      <c r="L108" s="1051">
        <f t="shared" si="24"/>
        <v>175375679.57196325</v>
      </c>
      <c r="M108" s="1051">
        <v>87687839.785981625</v>
      </c>
      <c r="N108" s="1051">
        <v>87662307.139694124</v>
      </c>
      <c r="O108" s="1052">
        <v>25532.6462875</v>
      </c>
    </row>
    <row r="109" spans="1:15" x14ac:dyDescent="0.25">
      <c r="A109" s="716" t="s">
        <v>116</v>
      </c>
      <c r="B109" s="825" t="s">
        <v>117</v>
      </c>
      <c r="C109" s="908" t="s">
        <v>266</v>
      </c>
      <c r="D109" s="908">
        <f t="shared" si="19"/>
        <v>46267668.97589273</v>
      </c>
      <c r="E109" s="826">
        <f t="shared" si="20"/>
        <v>23586722.199305505</v>
      </c>
      <c r="F109" s="826">
        <f t="shared" si="21"/>
        <v>22565773.387587469</v>
      </c>
      <c r="G109" s="826">
        <f t="shared" si="22"/>
        <v>115173.38899975001</v>
      </c>
      <c r="H109" s="1051">
        <f t="shared" si="23"/>
        <v>1404302.980958581</v>
      </c>
      <c r="I109" s="1051">
        <v>1155039.2018384328</v>
      </c>
      <c r="J109" s="1051">
        <v>249263.7791201481</v>
      </c>
      <c r="K109" s="1820">
        <v>0</v>
      </c>
      <c r="L109" s="1051">
        <f t="shared" si="24"/>
        <v>44863365.994934149</v>
      </c>
      <c r="M109" s="1051">
        <v>22431682.997467071</v>
      </c>
      <c r="N109" s="1051">
        <v>22316509.608467322</v>
      </c>
      <c r="O109" s="1052">
        <v>115173.38899975001</v>
      </c>
    </row>
    <row r="110" spans="1:15" x14ac:dyDescent="0.25">
      <c r="A110" s="716" t="s">
        <v>138</v>
      </c>
      <c r="B110" s="825" t="s">
        <v>139</v>
      </c>
      <c r="C110" s="908" t="s">
        <v>265</v>
      </c>
      <c r="D110" s="908">
        <f t="shared" si="19"/>
        <v>115319067.77438901</v>
      </c>
      <c r="E110" s="826">
        <f t="shared" si="20"/>
        <v>58450887.944320045</v>
      </c>
      <c r="F110" s="826">
        <f t="shared" si="21"/>
        <v>56473757.655173965</v>
      </c>
      <c r="G110" s="826">
        <f t="shared" si="22"/>
        <v>394422.17489500006</v>
      </c>
      <c r="H110" s="1051">
        <f t="shared" si="23"/>
        <v>2453811.0298466338</v>
      </c>
      <c r="I110" s="1051">
        <v>2018259.5720488564</v>
      </c>
      <c r="J110" s="1051">
        <v>435551.45779777755</v>
      </c>
      <c r="K110" s="1820">
        <v>0</v>
      </c>
      <c r="L110" s="1051">
        <f t="shared" si="24"/>
        <v>112865256.74454238</v>
      </c>
      <c r="M110" s="1051">
        <v>56432628.372271188</v>
      </c>
      <c r="N110" s="1051">
        <v>56038206.197376184</v>
      </c>
      <c r="O110" s="1052">
        <v>394422.17489500006</v>
      </c>
    </row>
    <row r="111" spans="1:15" x14ac:dyDescent="0.25">
      <c r="A111" s="716" t="s">
        <v>142</v>
      </c>
      <c r="B111" s="825" t="s">
        <v>143</v>
      </c>
      <c r="C111" s="908" t="s">
        <v>267</v>
      </c>
      <c r="D111" s="908">
        <f t="shared" si="19"/>
        <v>35819312.529559448</v>
      </c>
      <c r="E111" s="826">
        <f t="shared" si="20"/>
        <v>18780048.948482767</v>
      </c>
      <c r="F111" s="826">
        <f t="shared" si="21"/>
        <v>16910389.933231682</v>
      </c>
      <c r="G111" s="826">
        <f t="shared" si="22"/>
        <v>128873.647845</v>
      </c>
      <c r="H111" s="1051">
        <f t="shared" si="23"/>
        <v>2698892.0424900502</v>
      </c>
      <c r="I111" s="1051">
        <v>2219838.7049480663</v>
      </c>
      <c r="J111" s="1051">
        <v>479053.33754198387</v>
      </c>
      <c r="K111" s="1820">
        <v>0</v>
      </c>
      <c r="L111" s="1051">
        <f t="shared" si="24"/>
        <v>33120420.487069398</v>
      </c>
      <c r="M111" s="1051">
        <v>16560210.243534699</v>
      </c>
      <c r="N111" s="1051">
        <v>16431336.595689699</v>
      </c>
      <c r="O111" s="1052">
        <v>128873.647845</v>
      </c>
    </row>
    <row r="112" spans="1:15" x14ac:dyDescent="0.25">
      <c r="A112" s="716" t="s">
        <v>144</v>
      </c>
      <c r="B112" s="825" t="s">
        <v>145</v>
      </c>
      <c r="C112" s="908" t="s">
        <v>267</v>
      </c>
      <c r="D112" s="908">
        <f t="shared" si="19"/>
        <v>11971938.19465672</v>
      </c>
      <c r="E112" s="826">
        <f t="shared" si="20"/>
        <v>6401447.5137267578</v>
      </c>
      <c r="F112" s="826">
        <f t="shared" si="21"/>
        <v>5544829.9512405889</v>
      </c>
      <c r="G112" s="826">
        <f t="shared" si="22"/>
        <v>25660.729689374995</v>
      </c>
      <c r="H112" s="1051">
        <f t="shared" si="23"/>
        <v>1288305.1671268125</v>
      </c>
      <c r="I112" s="1051">
        <v>1059630.9999618032</v>
      </c>
      <c r="J112" s="1051">
        <v>228674.16716500919</v>
      </c>
      <c r="K112" s="1820">
        <v>0</v>
      </c>
      <c r="L112" s="1051">
        <f t="shared" si="24"/>
        <v>10683633.027529908</v>
      </c>
      <c r="M112" s="1051">
        <v>5341816.5137649542</v>
      </c>
      <c r="N112" s="1051">
        <v>5316155.7840755796</v>
      </c>
      <c r="O112" s="1052">
        <v>25660.729689374995</v>
      </c>
    </row>
    <row r="113" spans="1:15" x14ac:dyDescent="0.25">
      <c r="A113" s="716" t="s">
        <v>158</v>
      </c>
      <c r="B113" s="825" t="s">
        <v>159</v>
      </c>
      <c r="C113" s="908" t="s">
        <v>264</v>
      </c>
      <c r="D113" s="908">
        <f t="shared" si="19"/>
        <v>228788743.79781571</v>
      </c>
      <c r="E113" s="826">
        <f t="shared" si="20"/>
        <v>116464456.76215683</v>
      </c>
      <c r="F113" s="826">
        <f t="shared" si="21"/>
        <v>112161447.62580638</v>
      </c>
      <c r="G113" s="826">
        <f t="shared" si="22"/>
        <v>162839.40985249996</v>
      </c>
      <c r="H113" s="1051">
        <f t="shared" si="23"/>
        <v>6418867.7930200724</v>
      </c>
      <c r="I113" s="1051">
        <v>5279518.7597590098</v>
      </c>
      <c r="J113" s="1051">
        <v>1139349.0332610628</v>
      </c>
      <c r="K113" s="1820">
        <v>0</v>
      </c>
      <c r="L113" s="1051">
        <f t="shared" si="24"/>
        <v>222369876.00479564</v>
      </c>
      <c r="M113" s="1051">
        <v>111184938.00239782</v>
      </c>
      <c r="N113" s="1051">
        <v>111022098.59254532</v>
      </c>
      <c r="O113" s="1052">
        <v>162839.40985249996</v>
      </c>
    </row>
    <row r="114" spans="1:15" x14ac:dyDescent="0.25">
      <c r="A114" s="716" t="s">
        <v>160</v>
      </c>
      <c r="B114" s="825" t="s">
        <v>161</v>
      </c>
      <c r="C114" s="908" t="s">
        <v>264</v>
      </c>
      <c r="D114" s="908">
        <f t="shared" si="19"/>
        <v>351664931.35948724</v>
      </c>
      <c r="E114" s="826">
        <f t="shared" si="20"/>
        <v>177908443.57204673</v>
      </c>
      <c r="F114" s="826">
        <f t="shared" si="21"/>
        <v>173313855.39240801</v>
      </c>
      <c r="G114" s="826">
        <f t="shared" si="22"/>
        <v>442632.39503249998</v>
      </c>
      <c r="H114" s="1051">
        <f t="shared" si="23"/>
        <v>6437140.7513274597</v>
      </c>
      <c r="I114" s="1051">
        <v>5294548.2679668358</v>
      </c>
      <c r="J114" s="1051">
        <v>1142592.4833606239</v>
      </c>
      <c r="K114" s="1820">
        <v>0</v>
      </c>
      <c r="L114" s="1051">
        <f t="shared" si="24"/>
        <v>345227790.60815978</v>
      </c>
      <c r="M114" s="1051">
        <v>172613895.30407989</v>
      </c>
      <c r="N114" s="1051">
        <v>172171262.90904739</v>
      </c>
      <c r="O114" s="1052">
        <v>442632.39503249998</v>
      </c>
    </row>
    <row r="115" spans="1:15" x14ac:dyDescent="0.25">
      <c r="A115" s="716" t="s">
        <v>166</v>
      </c>
      <c r="B115" s="825" t="s">
        <v>167</v>
      </c>
      <c r="C115" s="908" t="s">
        <v>268</v>
      </c>
      <c r="D115" s="908">
        <f t="shared" si="19"/>
        <v>6747617.3547619926</v>
      </c>
      <c r="E115" s="826">
        <f t="shared" si="20"/>
        <v>3420287.2228887379</v>
      </c>
      <c r="F115" s="826">
        <f t="shared" si="21"/>
        <v>3315582.549793255</v>
      </c>
      <c r="G115" s="826">
        <f t="shared" si="22"/>
        <v>11747.582080000002</v>
      </c>
      <c r="H115" s="1051">
        <f t="shared" si="23"/>
        <v>144119.52095423732</v>
      </c>
      <c r="I115" s="1051">
        <v>118538.3059848602</v>
      </c>
      <c r="J115" s="1051">
        <v>25553.160456877122</v>
      </c>
      <c r="K115" s="1820">
        <v>28.054512500000001</v>
      </c>
      <c r="L115" s="1051">
        <f t="shared" si="24"/>
        <v>6603497.8338077553</v>
      </c>
      <c r="M115" s="1051">
        <v>3301748.9169038776</v>
      </c>
      <c r="N115" s="1051">
        <v>3290029.3893363778</v>
      </c>
      <c r="O115" s="1052">
        <v>11719.527567500001</v>
      </c>
    </row>
    <row r="116" spans="1:15" x14ac:dyDescent="0.25">
      <c r="A116" s="716" t="s">
        <v>176</v>
      </c>
      <c r="B116" s="825" t="s">
        <v>177</v>
      </c>
      <c r="C116" s="908" t="s">
        <v>266</v>
      </c>
      <c r="D116" s="908">
        <f t="shared" si="19"/>
        <v>95929945.348046064</v>
      </c>
      <c r="E116" s="826">
        <f t="shared" si="20"/>
        <v>48385262.873883545</v>
      </c>
      <c r="F116" s="826">
        <f t="shared" si="21"/>
        <v>47212342.657134399</v>
      </c>
      <c r="G116" s="826">
        <f t="shared" si="22"/>
        <v>332339.81702812493</v>
      </c>
      <c r="H116" s="1051">
        <f t="shared" si="23"/>
        <v>1303225.425924055</v>
      </c>
      <c r="I116" s="1051">
        <v>1071902.9128225353</v>
      </c>
      <c r="J116" s="1051">
        <v>231322.51310151975</v>
      </c>
      <c r="K116" s="1820">
        <v>0</v>
      </c>
      <c r="L116" s="1051">
        <f t="shared" si="24"/>
        <v>94626719.922122017</v>
      </c>
      <c r="M116" s="1051">
        <v>47313359.961061008</v>
      </c>
      <c r="N116" s="1051">
        <v>46981020.144032881</v>
      </c>
      <c r="O116" s="1052">
        <v>332339.81702812493</v>
      </c>
    </row>
    <row r="117" spans="1:15" x14ac:dyDescent="0.25">
      <c r="A117" s="716" t="s">
        <v>180</v>
      </c>
      <c r="B117" s="825" t="s">
        <v>181</v>
      </c>
      <c r="C117" s="908" t="s">
        <v>264</v>
      </c>
      <c r="D117" s="908">
        <f t="shared" si="19"/>
        <v>179888589.00324118</v>
      </c>
      <c r="E117" s="826">
        <f t="shared" si="20"/>
        <v>91100657.889019623</v>
      </c>
      <c r="F117" s="826">
        <f t="shared" si="21"/>
        <v>88672306.617287785</v>
      </c>
      <c r="G117" s="826">
        <f t="shared" si="22"/>
        <v>115624.49693374999</v>
      </c>
      <c r="H117" s="1051">
        <f t="shared" si="23"/>
        <v>3585622.9066637219</v>
      </c>
      <c r="I117" s="1051">
        <v>2949174.8407309111</v>
      </c>
      <c r="J117" s="1051">
        <v>636448.06593281066</v>
      </c>
      <c r="K117" s="1820">
        <v>0</v>
      </c>
      <c r="L117" s="1051">
        <f t="shared" si="24"/>
        <v>176302966.09657747</v>
      </c>
      <c r="M117" s="1051">
        <v>88151483.048288718</v>
      </c>
      <c r="N117" s="1051">
        <v>88035858.551354975</v>
      </c>
      <c r="O117" s="1052">
        <v>115624.49693374999</v>
      </c>
    </row>
    <row r="118" spans="1:15" x14ac:dyDescent="0.25">
      <c r="A118" s="716" t="s">
        <v>192</v>
      </c>
      <c r="B118" s="825" t="s">
        <v>193</v>
      </c>
      <c r="C118" s="908" t="s">
        <v>268</v>
      </c>
      <c r="D118" s="908">
        <f t="shared" si="19"/>
        <v>14018083.728931673</v>
      </c>
      <c r="E118" s="826">
        <f t="shared" si="20"/>
        <v>7111518.7949279668</v>
      </c>
      <c r="F118" s="826">
        <f t="shared" si="21"/>
        <v>6859908.7299755784</v>
      </c>
      <c r="G118" s="826">
        <f t="shared" si="22"/>
        <v>46656.204028125008</v>
      </c>
      <c r="H118" s="1051">
        <f t="shared" si="23"/>
        <v>317757.92391358601</v>
      </c>
      <c r="I118" s="1051">
        <v>261355.89241892452</v>
      </c>
      <c r="J118" s="1051">
        <v>56402.031494661518</v>
      </c>
      <c r="K118" s="1820">
        <v>0</v>
      </c>
      <c r="L118" s="1051">
        <f t="shared" si="24"/>
        <v>13700325.805018086</v>
      </c>
      <c r="M118" s="1051">
        <v>6850162.9025090421</v>
      </c>
      <c r="N118" s="1051">
        <v>6803506.6984809171</v>
      </c>
      <c r="O118" s="1052">
        <v>46656.204028125008</v>
      </c>
    </row>
    <row r="119" spans="1:15" x14ac:dyDescent="0.25">
      <c r="A119" s="716" t="s">
        <v>196</v>
      </c>
      <c r="B119" s="825" t="s">
        <v>312</v>
      </c>
      <c r="C119" s="908" t="s">
        <v>266</v>
      </c>
      <c r="D119" s="908">
        <f t="shared" si="19"/>
        <v>446665599.18976653</v>
      </c>
      <c r="E119" s="826">
        <f t="shared" si="20"/>
        <v>225371422.16282672</v>
      </c>
      <c r="F119" s="826">
        <f t="shared" si="21"/>
        <v>219731496.41307399</v>
      </c>
      <c r="G119" s="826">
        <f t="shared" si="22"/>
        <v>1562680.6138658747</v>
      </c>
      <c r="H119" s="1051">
        <f t="shared" si="23"/>
        <v>6321310.2881966606</v>
      </c>
      <c r="I119" s="1051">
        <v>5199277.7120417533</v>
      </c>
      <c r="J119" s="1051">
        <v>1122032.5761549072</v>
      </c>
      <c r="K119" s="1820">
        <v>0</v>
      </c>
      <c r="L119" s="1051">
        <f t="shared" si="24"/>
        <v>440344288.90156984</v>
      </c>
      <c r="M119" s="1051">
        <v>220172144.45078495</v>
      </c>
      <c r="N119" s="1051">
        <v>218609463.83691907</v>
      </c>
      <c r="O119" s="1052">
        <v>1562680.6138658747</v>
      </c>
    </row>
    <row r="120" spans="1:15" x14ac:dyDescent="0.25">
      <c r="A120" s="716" t="s">
        <v>200</v>
      </c>
      <c r="B120" s="825" t="s">
        <v>313</v>
      </c>
      <c r="C120" s="908" t="s">
        <v>265</v>
      </c>
      <c r="D120" s="908">
        <f t="shared" si="19"/>
        <v>190462616.62187764</v>
      </c>
      <c r="E120" s="826">
        <f t="shared" si="20"/>
        <v>96599733.733145431</v>
      </c>
      <c r="F120" s="826">
        <f t="shared" si="21"/>
        <v>93427668.909260228</v>
      </c>
      <c r="G120" s="826">
        <f t="shared" si="22"/>
        <v>435213.97947199992</v>
      </c>
      <c r="H120" s="1051">
        <f t="shared" si="23"/>
        <v>4243179.6037414176</v>
      </c>
      <c r="I120" s="1051">
        <v>3490015.224077316</v>
      </c>
      <c r="J120" s="1051">
        <v>753164.37966410152</v>
      </c>
      <c r="K120" s="1820">
        <v>0</v>
      </c>
      <c r="L120" s="1051">
        <f t="shared" si="24"/>
        <v>186219437.01813623</v>
      </c>
      <c r="M120" s="1051">
        <v>93109718.509068117</v>
      </c>
      <c r="N120" s="1051">
        <v>92674504.52959612</v>
      </c>
      <c r="O120" s="1052">
        <v>435213.97947199992</v>
      </c>
    </row>
    <row r="121" spans="1:15" x14ac:dyDescent="0.25">
      <c r="A121" s="716" t="s">
        <v>222</v>
      </c>
      <c r="B121" s="825" t="s">
        <v>223</v>
      </c>
      <c r="C121" s="908" t="s">
        <v>264</v>
      </c>
      <c r="D121" s="908">
        <f t="shared" si="19"/>
        <v>123687984.51075132</v>
      </c>
      <c r="E121" s="826">
        <f t="shared" si="20"/>
        <v>62525501.165865041</v>
      </c>
      <c r="F121" s="826">
        <f t="shared" si="21"/>
        <v>61086538.112326272</v>
      </c>
      <c r="G121" s="826">
        <f t="shared" si="22"/>
        <v>75945.232560000004</v>
      </c>
      <c r="H121" s="1051">
        <f t="shared" si="23"/>
        <v>2113205.9239980816</v>
      </c>
      <c r="I121" s="1051">
        <v>1738111.8724884221</v>
      </c>
      <c r="J121" s="1051">
        <v>375094.05150965945</v>
      </c>
      <c r="K121" s="1820">
        <v>0</v>
      </c>
      <c r="L121" s="1051">
        <f t="shared" si="24"/>
        <v>121574778.58675323</v>
      </c>
      <c r="M121" s="1051">
        <v>60787389.293376617</v>
      </c>
      <c r="N121" s="1051">
        <v>60711444.060816616</v>
      </c>
      <c r="O121" s="1052">
        <v>75945.232560000004</v>
      </c>
    </row>
    <row r="122" spans="1:15" x14ac:dyDescent="0.25">
      <c r="A122" s="716" t="s">
        <v>230</v>
      </c>
      <c r="B122" s="825" t="s">
        <v>231</v>
      </c>
      <c r="C122" s="908" t="s">
        <v>264</v>
      </c>
      <c r="D122" s="908">
        <f t="shared" si="19"/>
        <v>330722720.22246873</v>
      </c>
      <c r="E122" s="826">
        <f t="shared" si="20"/>
        <v>169188499.25247249</v>
      </c>
      <c r="F122" s="826">
        <f t="shared" si="21"/>
        <v>160670205.27167326</v>
      </c>
      <c r="G122" s="826">
        <f t="shared" si="22"/>
        <v>864015.69832300011</v>
      </c>
      <c r="H122" s="1051">
        <f t="shared" si="23"/>
        <v>11867098.11236622</v>
      </c>
      <c r="I122" s="1051">
        <v>9760688.1974212155</v>
      </c>
      <c r="J122" s="1051">
        <v>2106409.914945004</v>
      </c>
      <c r="K122" s="1820">
        <v>0</v>
      </c>
      <c r="L122" s="1051">
        <f t="shared" si="24"/>
        <v>318855622.11010253</v>
      </c>
      <c r="M122" s="1051">
        <v>159427811.05505127</v>
      </c>
      <c r="N122" s="1051">
        <v>158563795.35672826</v>
      </c>
      <c r="O122" s="1052">
        <v>864015.69832300011</v>
      </c>
    </row>
    <row r="123" spans="1:15" x14ac:dyDescent="0.25">
      <c r="A123" s="716" t="s">
        <v>238</v>
      </c>
      <c r="B123" s="825" t="s">
        <v>239</v>
      </c>
      <c r="C123" s="908" t="s">
        <v>264</v>
      </c>
      <c r="D123" s="908">
        <f t="shared" si="19"/>
        <v>7270169.6385167008</v>
      </c>
      <c r="E123" s="826">
        <f t="shared" si="20"/>
        <v>3707279.1610746086</v>
      </c>
      <c r="F123" s="826">
        <f t="shared" si="21"/>
        <v>3527097.9478108436</v>
      </c>
      <c r="G123" s="826">
        <f t="shared" si="22"/>
        <v>35792.529631249992</v>
      </c>
      <c r="H123" s="1051">
        <f t="shared" si="23"/>
        <v>223858.42423645704</v>
      </c>
      <c r="I123" s="1051">
        <v>184123.55393448591</v>
      </c>
      <c r="J123" s="1051">
        <v>39734.870301971117</v>
      </c>
      <c r="K123" s="1820">
        <v>0</v>
      </c>
      <c r="L123" s="1051">
        <f t="shared" si="24"/>
        <v>7046311.214280244</v>
      </c>
      <c r="M123" s="1051">
        <v>3523155.6071401224</v>
      </c>
      <c r="N123" s="1051">
        <v>3487363.0775088724</v>
      </c>
      <c r="O123" s="1052">
        <v>35792.529631249992</v>
      </c>
    </row>
    <row r="124" spans="1:15" x14ac:dyDescent="0.25">
      <c r="A124" s="716" t="s">
        <v>240</v>
      </c>
      <c r="B124" s="825" t="s">
        <v>241</v>
      </c>
      <c r="C124" s="908" t="s">
        <v>267</v>
      </c>
      <c r="D124" s="908">
        <f t="shared" si="19"/>
        <v>41304915.613076016</v>
      </c>
      <c r="E124" s="826">
        <f t="shared" si="20"/>
        <v>21138953.043591209</v>
      </c>
      <c r="F124" s="826">
        <f t="shared" si="21"/>
        <v>20031181.409977555</v>
      </c>
      <c r="G124" s="826">
        <f t="shared" si="22"/>
        <v>134781.15950724998</v>
      </c>
      <c r="H124" s="1051">
        <f t="shared" si="23"/>
        <v>1508512.3629556652</v>
      </c>
      <c r="I124" s="1051">
        <v>1240751.4185310346</v>
      </c>
      <c r="J124" s="1051">
        <v>267760.94442463061</v>
      </c>
      <c r="K124" s="1820">
        <v>0</v>
      </c>
      <c r="L124" s="1051">
        <f t="shared" si="24"/>
        <v>39796403.250120349</v>
      </c>
      <c r="M124" s="1051">
        <v>19898201.625060175</v>
      </c>
      <c r="N124" s="1051">
        <v>19763420.465552926</v>
      </c>
      <c r="O124" s="1052">
        <v>134781.15950724998</v>
      </c>
    </row>
    <row r="125" spans="1:15" x14ac:dyDescent="0.25">
      <c r="H125" s="827"/>
      <c r="I125" s="827"/>
      <c r="J125" s="827"/>
      <c r="K125" s="827"/>
      <c r="L125" s="827"/>
      <c r="M125" s="827"/>
      <c r="N125" s="827"/>
      <c r="O125" s="995"/>
    </row>
    <row r="126" spans="1:15" x14ac:dyDescent="0.25">
      <c r="A126" s="270" t="s">
        <v>266</v>
      </c>
      <c r="D126" s="908">
        <f t="shared" ref="D126" si="25">H126+L126</f>
        <v>1613008060.8030679</v>
      </c>
      <c r="E126" s="826">
        <f t="shared" ref="E126" si="26">+I126+M126</f>
        <v>821085751.66746569</v>
      </c>
      <c r="F126" s="826">
        <f t="shared" ref="F126" si="27">+J126+N126</f>
        <v>787085635.7341795</v>
      </c>
      <c r="G126" s="826">
        <f>K126+O126</f>
        <v>4836673.4014227493</v>
      </c>
      <c r="H126" s="1051">
        <f>I126+J126+K126</f>
        <v>45214639.584284373</v>
      </c>
      <c r="I126" s="1822">
        <v>37189041.058073893</v>
      </c>
      <c r="J126" s="1822">
        <v>8024102.4792192252</v>
      </c>
      <c r="K126" s="1822">
        <v>1496.04699125</v>
      </c>
      <c r="L126" s="1051">
        <f t="shared" ref="L126:L131" si="28">M126+N126+O126</f>
        <v>1567793421.2187836</v>
      </c>
      <c r="M126" s="1822">
        <v>783896710.60939181</v>
      </c>
      <c r="N126" s="1822">
        <v>779061533.2549603</v>
      </c>
      <c r="O126" s="1822">
        <v>4835177.3544314997</v>
      </c>
    </row>
    <row r="127" spans="1:15" x14ac:dyDescent="0.25">
      <c r="A127" s="270" t="s">
        <v>264</v>
      </c>
      <c r="D127" s="908">
        <f t="shared" ref="D127:D131" si="29">H127+L127</f>
        <v>2036682393.2039814</v>
      </c>
      <c r="E127" s="826">
        <f t="shared" ref="E127:E131" si="30">+I127+M127</f>
        <v>1035642521.227795</v>
      </c>
      <c r="F127" s="826">
        <f t="shared" ref="F127:F131" si="31">+J127+N127</f>
        <v>998372894.91209817</v>
      </c>
      <c r="G127" s="826">
        <f t="shared" ref="G127:G131" si="32">K127+O127</f>
        <v>2666977.064088</v>
      </c>
      <c r="H127" s="1051">
        <f t="shared" ref="H127:H131" si="33">I127+J127+K127</f>
        <v>53647518.219548851</v>
      </c>
      <c r="I127" s="1822">
        <v>44125083.735578932</v>
      </c>
      <c r="J127" s="1822">
        <v>9522434.4839699212</v>
      </c>
      <c r="K127" s="1822">
        <v>0</v>
      </c>
      <c r="L127" s="1051">
        <f t="shared" si="28"/>
        <v>1983034874.9844325</v>
      </c>
      <c r="M127" s="1822">
        <v>991517437.49221611</v>
      </c>
      <c r="N127" s="1822">
        <v>988850460.42812824</v>
      </c>
      <c r="O127" s="1822">
        <v>2666977.064088</v>
      </c>
    </row>
    <row r="128" spans="1:15" x14ac:dyDescent="0.25">
      <c r="A128" s="270" t="s">
        <v>267</v>
      </c>
      <c r="D128" s="908">
        <f t="shared" si="29"/>
        <v>2060183788.3387415</v>
      </c>
      <c r="E128" s="826">
        <f t="shared" si="30"/>
        <v>1063568843.9659405</v>
      </c>
      <c r="F128" s="826">
        <f t="shared" si="31"/>
        <v>989956928.83834791</v>
      </c>
      <c r="G128" s="826">
        <f t="shared" si="32"/>
        <v>6658015.534453311</v>
      </c>
      <c r="H128" s="1051">
        <f t="shared" si="33"/>
        <v>103804495.49323921</v>
      </c>
      <c r="I128" s="1822">
        <v>85379197.543189257</v>
      </c>
      <c r="J128" s="1822">
        <v>18417430.783075329</v>
      </c>
      <c r="K128" s="1822">
        <v>7867.1669746249981</v>
      </c>
      <c r="L128" s="1051">
        <f t="shared" si="28"/>
        <v>1956379292.8455024</v>
      </c>
      <c r="M128" s="1822">
        <v>978189646.42275119</v>
      </c>
      <c r="N128" s="1822">
        <v>971539498.05527258</v>
      </c>
      <c r="O128" s="1822">
        <v>6650148.3674786864</v>
      </c>
    </row>
    <row r="129" spans="1:15" x14ac:dyDescent="0.25">
      <c r="A129" s="270" t="s">
        <v>265</v>
      </c>
      <c r="D129" s="908">
        <f t="shared" si="29"/>
        <v>1530140884.6994197</v>
      </c>
      <c r="E129" s="826">
        <f t="shared" si="30"/>
        <v>777982154.62966168</v>
      </c>
      <c r="F129" s="826">
        <f t="shared" si="31"/>
        <v>748259057.40531397</v>
      </c>
      <c r="G129" s="826">
        <f t="shared" si="32"/>
        <v>3899672.6644440377</v>
      </c>
      <c r="H129" s="1051">
        <f t="shared" si="33"/>
        <v>40036316.705276839</v>
      </c>
      <c r="I129" s="1822">
        <v>32929870.632590197</v>
      </c>
      <c r="J129" s="1822">
        <v>7095839.3338245135</v>
      </c>
      <c r="K129" s="1822">
        <v>10606.738862124999</v>
      </c>
      <c r="L129" s="1051">
        <f t="shared" si="28"/>
        <v>1490104567.994143</v>
      </c>
      <c r="M129" s="1822">
        <v>745052283.9970715</v>
      </c>
      <c r="N129" s="1822">
        <v>741163218.07148945</v>
      </c>
      <c r="O129" s="1822">
        <v>3889065.9255819125</v>
      </c>
    </row>
    <row r="130" spans="1:15" x14ac:dyDescent="0.25">
      <c r="A130" s="270" t="s">
        <v>268</v>
      </c>
      <c r="D130" s="908">
        <f t="shared" si="29"/>
        <v>796310922.22275472</v>
      </c>
      <c r="E130" s="826">
        <f t="shared" si="30"/>
        <v>405090388.31446457</v>
      </c>
      <c r="F130" s="826">
        <f t="shared" si="31"/>
        <v>389865770.16049153</v>
      </c>
      <c r="G130" s="826">
        <f t="shared" si="32"/>
        <v>1354763.747798675</v>
      </c>
      <c r="H130" s="1051">
        <f t="shared" si="33"/>
        <v>21503650.242131013</v>
      </c>
      <c r="I130" s="1822">
        <v>17686752.32415276</v>
      </c>
      <c r="J130" s="1822">
        <v>3814416.5059549543</v>
      </c>
      <c r="K130" s="1822">
        <v>2481.412023299999</v>
      </c>
      <c r="L130" s="1051">
        <f t="shared" si="28"/>
        <v>774807271.98062372</v>
      </c>
      <c r="M130" s="1822">
        <v>387403635.9903118</v>
      </c>
      <c r="N130" s="1822">
        <v>386051353.65453655</v>
      </c>
      <c r="O130" s="1822">
        <v>1352282.3357753749</v>
      </c>
    </row>
    <row r="131" spans="1:15" x14ac:dyDescent="0.25">
      <c r="A131" s="270" t="s">
        <v>9</v>
      </c>
      <c r="D131" s="908">
        <f t="shared" si="29"/>
        <v>8036326049.2679653</v>
      </c>
      <c r="E131" s="826">
        <f t="shared" si="30"/>
        <v>4103369659.8053265</v>
      </c>
      <c r="F131" s="826">
        <f t="shared" si="31"/>
        <v>3913540287.0504313</v>
      </c>
      <c r="G131" s="826">
        <f t="shared" si="32"/>
        <v>19416102.412206773</v>
      </c>
      <c r="H131" s="1051">
        <f t="shared" si="33"/>
        <v>264206620.24448031</v>
      </c>
      <c r="I131" s="1490">
        <f t="shared" ref="I131:J131" si="34">SUM(I126:I130)</f>
        <v>217309945.29358506</v>
      </c>
      <c r="J131" s="1490">
        <f t="shared" si="34"/>
        <v>46874223.586043939</v>
      </c>
      <c r="K131" s="1490">
        <f t="shared" ref="K131" si="35">SUM(K126:K130)</f>
        <v>22451.364851299997</v>
      </c>
      <c r="L131" s="1051">
        <f t="shared" si="28"/>
        <v>7772119429.0234852</v>
      </c>
      <c r="M131" s="1490">
        <f t="shared" ref="M131:O131" si="36">SUM(M126:M130)</f>
        <v>3886059714.5117416</v>
      </c>
      <c r="N131" s="1490">
        <f t="shared" si="36"/>
        <v>3866666063.4643874</v>
      </c>
      <c r="O131" s="1490">
        <f t="shared" si="36"/>
        <v>19393651.047355473</v>
      </c>
    </row>
    <row r="132" spans="1:15" x14ac:dyDescent="0.25">
      <c r="H132" s="827"/>
      <c r="I132" s="827"/>
      <c r="J132" s="827"/>
      <c r="K132" s="827"/>
      <c r="L132" s="827"/>
      <c r="M132" s="827"/>
      <c r="N132" s="827"/>
      <c r="O132" s="995"/>
    </row>
    <row r="133" spans="1:15" s="392" customFormat="1" x14ac:dyDescent="0.25">
      <c r="A133" s="986" t="s">
        <v>1233</v>
      </c>
      <c r="B133" s="712"/>
      <c r="C133" s="712"/>
      <c r="D133" s="662"/>
      <c r="O133" s="996"/>
    </row>
    <row r="134" spans="1:15" s="392" customFormat="1" x14ac:dyDescent="0.25">
      <c r="O134" s="996"/>
    </row>
    <row r="135" spans="1:15" s="412" customFormat="1" x14ac:dyDescent="0.25">
      <c r="A135" s="412" t="s">
        <v>248</v>
      </c>
      <c r="O135" s="997"/>
    </row>
    <row r="136" spans="1:15" x14ac:dyDescent="0.25">
      <c r="A136" s="413" t="s">
        <v>249</v>
      </c>
      <c r="B136" s="414" t="s">
        <v>250</v>
      </c>
      <c r="C136" s="414"/>
      <c r="O136" s="995"/>
    </row>
    <row r="137" spans="1:15" x14ac:dyDescent="0.25">
      <c r="O137" s="995"/>
    </row>
    <row r="138" spans="1:15" x14ac:dyDescent="0.25">
      <c r="O138" s="995"/>
    </row>
    <row r="139" spans="1:15" x14ac:dyDescent="0.25">
      <c r="O139" s="995"/>
    </row>
    <row r="140" spans="1:15" x14ac:dyDescent="0.25">
      <c r="O140" s="995"/>
    </row>
    <row r="141" spans="1:15" x14ac:dyDescent="0.25">
      <c r="O141" s="995"/>
    </row>
    <row r="142" spans="1:15" x14ac:dyDescent="0.25">
      <c r="O142" s="995"/>
    </row>
    <row r="143" spans="1:15" x14ac:dyDescent="0.25">
      <c r="O143" s="995"/>
    </row>
    <row r="144" spans="1:15" x14ac:dyDescent="0.25">
      <c r="O144" s="995"/>
    </row>
    <row r="145" spans="15:15" x14ac:dyDescent="0.25">
      <c r="O145" s="995"/>
    </row>
    <row r="146" spans="15:15" x14ac:dyDescent="0.25">
      <c r="O146" s="995"/>
    </row>
  </sheetData>
  <autoFilter ref="A3:C124"/>
  <sortState ref="A5:O124">
    <sortCondition ref="A5:A124"/>
  </sortState>
  <hyperlinks>
    <hyperlink ref="B136"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105" activePane="bottomLeft" state="frozen"/>
      <selection pane="bottomLeft" activeCell="G132" sqref="G132"/>
    </sheetView>
  </sheetViews>
  <sheetFormatPr defaultRowHeight="15.75" x14ac:dyDescent="0.25"/>
  <cols>
    <col min="1" max="1" width="9.125" style="270" customWidth="1"/>
    <col min="2" max="2" width="34.125" style="270" customWidth="1"/>
    <col min="3" max="3" width="16.5" style="270" customWidth="1"/>
    <col min="4" max="4" width="14.125" style="270" bestFit="1" customWidth="1"/>
    <col min="5" max="5" width="14.125" style="270" customWidth="1"/>
    <col min="6" max="16384" width="9" style="270"/>
  </cols>
  <sheetData>
    <row r="1" spans="1:5" x14ac:dyDescent="0.25">
      <c r="A1" s="64" t="s">
        <v>1234</v>
      </c>
    </row>
    <row r="3" spans="1:5" s="1592" customFormat="1" ht="12.75" customHeight="1" x14ac:dyDescent="0.25">
      <c r="A3" s="1610" t="s">
        <v>4</v>
      </c>
      <c r="B3" s="1611" t="s">
        <v>5</v>
      </c>
      <c r="C3" s="1611" t="s">
        <v>251</v>
      </c>
      <c r="D3" s="1612" t="s">
        <v>393</v>
      </c>
      <c r="E3" s="1612" t="s">
        <v>394</v>
      </c>
    </row>
    <row r="4" spans="1:5" s="1592" customFormat="1" ht="12.75" customHeight="1" x14ac:dyDescent="0.25">
      <c r="A4" s="1613">
        <v>999</v>
      </c>
      <c r="B4" s="1614" t="s">
        <v>9</v>
      </c>
      <c r="C4" s="1614"/>
      <c r="D4" s="1615">
        <f>SUM(D5:D124)</f>
        <v>1189184711</v>
      </c>
      <c r="E4" s="1615">
        <f>SUM(E5:E124)</f>
        <v>1189184711</v>
      </c>
    </row>
    <row r="5" spans="1:5" s="1592" customFormat="1" ht="12.75" customHeight="1" x14ac:dyDescent="0.25">
      <c r="A5" s="1616" t="s">
        <v>10</v>
      </c>
      <c r="B5" s="1617" t="s">
        <v>11</v>
      </c>
      <c r="C5" s="1595" t="s">
        <v>264</v>
      </c>
      <c r="D5" s="1618">
        <f t="shared" ref="D5:D36" si="0">E5</f>
        <v>7585336</v>
      </c>
      <c r="E5" s="1618">
        <v>7585336</v>
      </c>
    </row>
    <row r="6" spans="1:5" s="1592" customFormat="1" ht="12.75" customHeight="1" x14ac:dyDescent="0.25">
      <c r="A6" s="1616" t="s">
        <v>12</v>
      </c>
      <c r="B6" s="1617" t="s">
        <v>13</v>
      </c>
      <c r="C6" s="1595" t="s">
        <v>265</v>
      </c>
      <c r="D6" s="1618">
        <f t="shared" si="0"/>
        <v>7844916</v>
      </c>
      <c r="E6" s="1618">
        <v>7844916</v>
      </c>
    </row>
    <row r="7" spans="1:5" s="1592" customFormat="1" ht="12.75" customHeight="1" x14ac:dyDescent="0.25">
      <c r="A7" s="1616" t="s">
        <v>16</v>
      </c>
      <c r="B7" s="1617" t="s">
        <v>297</v>
      </c>
      <c r="C7" s="1595" t="s">
        <v>265</v>
      </c>
      <c r="D7" s="1618">
        <f t="shared" si="0"/>
        <v>4166102</v>
      </c>
      <c r="E7" s="1618">
        <v>4166102</v>
      </c>
    </row>
    <row r="8" spans="1:5" s="1592" customFormat="1" ht="12.75" customHeight="1" x14ac:dyDescent="0.25">
      <c r="A8" s="1616" t="s">
        <v>18</v>
      </c>
      <c r="B8" s="1617" t="s">
        <v>19</v>
      </c>
      <c r="C8" s="1595" t="s">
        <v>266</v>
      </c>
      <c r="D8" s="1618">
        <f t="shared" si="0"/>
        <v>2145187</v>
      </c>
      <c r="E8" s="1618">
        <v>2145187</v>
      </c>
    </row>
    <row r="9" spans="1:5" s="1592" customFormat="1" ht="12.75" customHeight="1" x14ac:dyDescent="0.25">
      <c r="A9" s="1616" t="s">
        <v>20</v>
      </c>
      <c r="B9" s="1617" t="s">
        <v>21</v>
      </c>
      <c r="C9" s="1595" t="s">
        <v>265</v>
      </c>
      <c r="D9" s="1618">
        <f t="shared" si="0"/>
        <v>4515413</v>
      </c>
      <c r="E9" s="1618">
        <v>4515413</v>
      </c>
    </row>
    <row r="10" spans="1:5" s="1592" customFormat="1" ht="12.75" customHeight="1" x14ac:dyDescent="0.25">
      <c r="A10" s="1616" t="s">
        <v>22</v>
      </c>
      <c r="B10" s="1617" t="s">
        <v>23</v>
      </c>
      <c r="C10" s="1595" t="s">
        <v>265</v>
      </c>
      <c r="D10" s="1618">
        <f t="shared" si="0"/>
        <v>3343807</v>
      </c>
      <c r="E10" s="1618">
        <v>3343807</v>
      </c>
    </row>
    <row r="11" spans="1:5" s="1592" customFormat="1" ht="12.75" customHeight="1" x14ac:dyDescent="0.25">
      <c r="A11" s="1616" t="s">
        <v>24</v>
      </c>
      <c r="B11" s="1617" t="s">
        <v>25</v>
      </c>
      <c r="C11" s="1595" t="s">
        <v>267</v>
      </c>
      <c r="D11" s="1618">
        <f t="shared" si="0"/>
        <v>10345082</v>
      </c>
      <c r="E11" s="1618">
        <v>10345082</v>
      </c>
    </row>
    <row r="12" spans="1:5" s="1592" customFormat="1" ht="12.75" customHeight="1" x14ac:dyDescent="0.25">
      <c r="A12" s="1616" t="s">
        <v>26</v>
      </c>
      <c r="B12" s="1617" t="s">
        <v>686</v>
      </c>
      <c r="C12" s="1595" t="s">
        <v>265</v>
      </c>
      <c r="D12" s="1618">
        <f t="shared" si="0"/>
        <v>16305120</v>
      </c>
      <c r="E12" s="1618">
        <v>16305120</v>
      </c>
    </row>
    <row r="13" spans="1:5" s="1592" customFormat="1" ht="12.75" customHeight="1" x14ac:dyDescent="0.25">
      <c r="A13" s="1616" t="s">
        <v>27</v>
      </c>
      <c r="B13" s="1617" t="s">
        <v>28</v>
      </c>
      <c r="C13" s="1595" t="s">
        <v>265</v>
      </c>
      <c r="D13" s="1618">
        <f t="shared" si="0"/>
        <v>426471</v>
      </c>
      <c r="E13" s="1618">
        <v>426471</v>
      </c>
    </row>
    <row r="14" spans="1:5" s="1592" customFormat="1" ht="12.75" customHeight="1" x14ac:dyDescent="0.25">
      <c r="A14" s="1616" t="s">
        <v>29</v>
      </c>
      <c r="B14" s="1617" t="s">
        <v>924</v>
      </c>
      <c r="C14" s="1595" t="s">
        <v>265</v>
      </c>
      <c r="D14" s="1618">
        <f t="shared" si="0"/>
        <v>7928478</v>
      </c>
      <c r="E14" s="1618">
        <v>7928478</v>
      </c>
    </row>
    <row r="15" spans="1:5" s="1592" customFormat="1" ht="12.75" customHeight="1" x14ac:dyDescent="0.25">
      <c r="A15" s="1616" t="s">
        <v>30</v>
      </c>
      <c r="B15" s="1617" t="s">
        <v>31</v>
      </c>
      <c r="C15" s="1595" t="s">
        <v>268</v>
      </c>
      <c r="D15" s="1618">
        <f t="shared" si="0"/>
        <v>656050</v>
      </c>
      <c r="E15" s="1618">
        <v>656050</v>
      </c>
    </row>
    <row r="16" spans="1:5" s="1592" customFormat="1" ht="12.75" customHeight="1" x14ac:dyDescent="0.25">
      <c r="A16" s="1616" t="s">
        <v>32</v>
      </c>
      <c r="B16" s="1617" t="s">
        <v>33</v>
      </c>
      <c r="C16" s="1595" t="s">
        <v>265</v>
      </c>
      <c r="D16" s="1618">
        <f t="shared" si="0"/>
        <v>2405693</v>
      </c>
      <c r="E16" s="1618">
        <v>2405693</v>
      </c>
    </row>
    <row r="17" spans="1:5" s="1592" customFormat="1" ht="12.75" customHeight="1" x14ac:dyDescent="0.25">
      <c r="A17" s="1616" t="s">
        <v>36</v>
      </c>
      <c r="B17" s="1617" t="s">
        <v>37</v>
      </c>
      <c r="C17" s="1595" t="s">
        <v>264</v>
      </c>
      <c r="D17" s="1618">
        <f t="shared" si="0"/>
        <v>4640784</v>
      </c>
      <c r="E17" s="1618">
        <v>4640784</v>
      </c>
    </row>
    <row r="18" spans="1:5" s="1592" customFormat="1" ht="12.75" customHeight="1" x14ac:dyDescent="0.25">
      <c r="A18" s="1616" t="s">
        <v>38</v>
      </c>
      <c r="B18" s="1617" t="s">
        <v>39</v>
      </c>
      <c r="C18" s="1595" t="s">
        <v>268</v>
      </c>
      <c r="D18" s="1618">
        <f t="shared" si="0"/>
        <v>6278302</v>
      </c>
      <c r="E18" s="1618">
        <v>6278302</v>
      </c>
    </row>
    <row r="19" spans="1:5" s="1592" customFormat="1" ht="12.75" customHeight="1" x14ac:dyDescent="0.25">
      <c r="A19" s="1616" t="s">
        <v>40</v>
      </c>
      <c r="B19" s="1617" t="s">
        <v>41</v>
      </c>
      <c r="C19" s="1595" t="s">
        <v>266</v>
      </c>
      <c r="D19" s="1618">
        <f t="shared" si="0"/>
        <v>3897200</v>
      </c>
      <c r="E19" s="1618">
        <v>3897200</v>
      </c>
    </row>
    <row r="20" spans="1:5" s="1592" customFormat="1" ht="12.75" customHeight="1" x14ac:dyDescent="0.25">
      <c r="A20" s="1616" t="s">
        <v>42</v>
      </c>
      <c r="B20" s="1617" t="s">
        <v>43</v>
      </c>
      <c r="C20" s="1595" t="s">
        <v>265</v>
      </c>
      <c r="D20" s="1618">
        <f t="shared" si="0"/>
        <v>9391158</v>
      </c>
      <c r="E20" s="1618">
        <v>9391158</v>
      </c>
    </row>
    <row r="21" spans="1:5" s="1592" customFormat="1" ht="12.75" customHeight="1" x14ac:dyDescent="0.25">
      <c r="A21" s="1616" t="s">
        <v>44</v>
      </c>
      <c r="B21" s="1617" t="s">
        <v>45</v>
      </c>
      <c r="C21" s="1595" t="s">
        <v>266</v>
      </c>
      <c r="D21" s="1618">
        <f t="shared" si="0"/>
        <v>6500167</v>
      </c>
      <c r="E21" s="1618">
        <v>6500167</v>
      </c>
    </row>
    <row r="22" spans="1:5" s="1592" customFormat="1" ht="12.75" customHeight="1" x14ac:dyDescent="0.25">
      <c r="A22" s="1616" t="s">
        <v>46</v>
      </c>
      <c r="B22" s="1617" t="s">
        <v>47</v>
      </c>
      <c r="C22" s="1595" t="s">
        <v>268</v>
      </c>
      <c r="D22" s="1618">
        <f t="shared" si="0"/>
        <v>6159978</v>
      </c>
      <c r="E22" s="1618">
        <v>6159978</v>
      </c>
    </row>
    <row r="23" spans="1:5" s="1592" customFormat="1" ht="12.75" customHeight="1" x14ac:dyDescent="0.25">
      <c r="A23" s="1616" t="s">
        <v>48</v>
      </c>
      <c r="B23" s="1617" t="s">
        <v>269</v>
      </c>
      <c r="C23" s="1595" t="s">
        <v>266</v>
      </c>
      <c r="D23" s="1618">
        <f t="shared" si="0"/>
        <v>1321172</v>
      </c>
      <c r="E23" s="1618">
        <v>1321172</v>
      </c>
    </row>
    <row r="24" spans="1:5" s="1592" customFormat="1" ht="12.75" customHeight="1" x14ac:dyDescent="0.25">
      <c r="A24" s="1616" t="s">
        <v>50</v>
      </c>
      <c r="B24" s="1617" t="s">
        <v>51</v>
      </c>
      <c r="C24" s="1595" t="s">
        <v>265</v>
      </c>
      <c r="D24" s="1618">
        <f t="shared" si="0"/>
        <v>2711479</v>
      </c>
      <c r="E24" s="1618">
        <v>2711479</v>
      </c>
    </row>
    <row r="25" spans="1:5" s="1592" customFormat="1" ht="12.75" customHeight="1" x14ac:dyDescent="0.25">
      <c r="A25" s="1616" t="s">
        <v>56</v>
      </c>
      <c r="B25" s="1617" t="s">
        <v>295</v>
      </c>
      <c r="C25" s="1595" t="s">
        <v>266</v>
      </c>
      <c r="D25" s="1618">
        <f t="shared" si="0"/>
        <v>43802752</v>
      </c>
      <c r="E25" s="1618">
        <v>43802752</v>
      </c>
    </row>
    <row r="26" spans="1:5" s="1592" customFormat="1" ht="12.75" customHeight="1" x14ac:dyDescent="0.25">
      <c r="A26" s="1616" t="s">
        <v>58</v>
      </c>
      <c r="B26" s="1617" t="s">
        <v>59</v>
      </c>
      <c r="C26" s="1595" t="s">
        <v>267</v>
      </c>
      <c r="D26" s="1618">
        <f t="shared" si="0"/>
        <v>675676</v>
      </c>
      <c r="E26" s="1618">
        <v>675676</v>
      </c>
    </row>
    <row r="27" spans="1:5" s="1592" customFormat="1" ht="12.75" customHeight="1" x14ac:dyDescent="0.25">
      <c r="A27" s="1616" t="s">
        <v>60</v>
      </c>
      <c r="B27" s="1617" t="s">
        <v>61</v>
      </c>
      <c r="C27" s="1595" t="s">
        <v>265</v>
      </c>
      <c r="D27" s="1618">
        <f t="shared" si="0"/>
        <v>740206</v>
      </c>
      <c r="E27" s="1618">
        <v>740206</v>
      </c>
    </row>
    <row r="28" spans="1:5" s="1592" customFormat="1" ht="12.75" customHeight="1" x14ac:dyDescent="0.25">
      <c r="A28" s="1616" t="s">
        <v>62</v>
      </c>
      <c r="B28" s="1617" t="s">
        <v>63</v>
      </c>
      <c r="C28" s="1595" t="s">
        <v>267</v>
      </c>
      <c r="D28" s="1618">
        <f t="shared" si="0"/>
        <v>7417782</v>
      </c>
      <c r="E28" s="1618">
        <v>7417782</v>
      </c>
    </row>
    <row r="29" spans="1:5" s="1592" customFormat="1" ht="12.75" customHeight="1" x14ac:dyDescent="0.25">
      <c r="A29" s="1616" t="s">
        <v>64</v>
      </c>
      <c r="B29" s="1617" t="s">
        <v>65</v>
      </c>
      <c r="C29" s="1595" t="s">
        <v>266</v>
      </c>
      <c r="D29" s="1618">
        <f t="shared" si="0"/>
        <v>2569951</v>
      </c>
      <c r="E29" s="1618">
        <v>2569951</v>
      </c>
    </row>
    <row r="30" spans="1:5" s="1592" customFormat="1" ht="12.75" customHeight="1" x14ac:dyDescent="0.25">
      <c r="A30" s="1616" t="s">
        <v>68</v>
      </c>
      <c r="B30" s="1617" t="s">
        <v>69</v>
      </c>
      <c r="C30" s="1595" t="s">
        <v>268</v>
      </c>
      <c r="D30" s="1618">
        <f t="shared" si="0"/>
        <v>4217562</v>
      </c>
      <c r="E30" s="1618">
        <v>4217562</v>
      </c>
    </row>
    <row r="31" spans="1:5" s="1592" customFormat="1" ht="12.75" customHeight="1" x14ac:dyDescent="0.25">
      <c r="A31" s="1616" t="s">
        <v>70</v>
      </c>
      <c r="B31" s="1617" t="s">
        <v>71</v>
      </c>
      <c r="C31" s="1595" t="s">
        <v>264</v>
      </c>
      <c r="D31" s="1618">
        <f t="shared" si="0"/>
        <v>6180844</v>
      </c>
      <c r="E31" s="1618">
        <v>6180844</v>
      </c>
    </row>
    <row r="32" spans="1:5" s="1592" customFormat="1" ht="12.75" customHeight="1" x14ac:dyDescent="0.25">
      <c r="A32" s="1616" t="s">
        <v>72</v>
      </c>
      <c r="B32" s="1617" t="s">
        <v>73</v>
      </c>
      <c r="C32" s="1595" t="s">
        <v>266</v>
      </c>
      <c r="D32" s="1618">
        <f t="shared" si="0"/>
        <v>2896290</v>
      </c>
      <c r="E32" s="1618">
        <v>2896290</v>
      </c>
    </row>
    <row r="33" spans="1:5" s="1592" customFormat="1" ht="12.75" customHeight="1" x14ac:dyDescent="0.25">
      <c r="A33" s="1616" t="s">
        <v>74</v>
      </c>
      <c r="B33" s="1617" t="s">
        <v>302</v>
      </c>
      <c r="C33" s="1595" t="s">
        <v>267</v>
      </c>
      <c r="D33" s="1618">
        <f t="shared" si="0"/>
        <v>70154987</v>
      </c>
      <c r="E33" s="1618">
        <v>70154987</v>
      </c>
    </row>
    <row r="34" spans="1:5" s="1592" customFormat="1" ht="12.75" customHeight="1" x14ac:dyDescent="0.25">
      <c r="A34" s="1616" t="s">
        <v>76</v>
      </c>
      <c r="B34" s="1617" t="s">
        <v>77</v>
      </c>
      <c r="C34" s="1595" t="s">
        <v>267</v>
      </c>
      <c r="D34" s="1618">
        <f t="shared" si="0"/>
        <v>4779078</v>
      </c>
      <c r="E34" s="1618">
        <v>4779078</v>
      </c>
    </row>
    <row r="35" spans="1:5" s="1592" customFormat="1" ht="12.75" customHeight="1" x14ac:dyDescent="0.25">
      <c r="A35" s="1616" t="s">
        <v>78</v>
      </c>
      <c r="B35" s="1617" t="s">
        <v>79</v>
      </c>
      <c r="C35" s="1595" t="s">
        <v>268</v>
      </c>
      <c r="D35" s="1618">
        <f t="shared" si="0"/>
        <v>2228159</v>
      </c>
      <c r="E35" s="1618">
        <v>2228159</v>
      </c>
    </row>
    <row r="36" spans="1:5" s="1592" customFormat="1" ht="12.75" customHeight="1" x14ac:dyDescent="0.25">
      <c r="A36" s="1616" t="s">
        <v>80</v>
      </c>
      <c r="B36" s="1617" t="s">
        <v>81</v>
      </c>
      <c r="C36" s="1595" t="s">
        <v>266</v>
      </c>
      <c r="D36" s="1618">
        <f t="shared" si="0"/>
        <v>2165092</v>
      </c>
      <c r="E36" s="1618">
        <v>2165092</v>
      </c>
    </row>
    <row r="37" spans="1:5" s="1592" customFormat="1" ht="12.75" customHeight="1" x14ac:dyDescent="0.25">
      <c r="A37" s="1616" t="s">
        <v>84</v>
      </c>
      <c r="B37" s="1617" t="s">
        <v>308</v>
      </c>
      <c r="C37" s="1595" t="s">
        <v>265</v>
      </c>
      <c r="D37" s="1618">
        <f t="shared" ref="D37:D68" si="1">E37</f>
        <v>9571260</v>
      </c>
      <c r="E37" s="1618">
        <v>9571260</v>
      </c>
    </row>
    <row r="38" spans="1:5" s="1592" customFormat="1" ht="12.75" customHeight="1" x14ac:dyDescent="0.25">
      <c r="A38" s="1616" t="s">
        <v>86</v>
      </c>
      <c r="B38" s="1617" t="s">
        <v>87</v>
      </c>
      <c r="C38" s="1595" t="s">
        <v>267</v>
      </c>
      <c r="D38" s="1618">
        <f t="shared" si="1"/>
        <v>7778925</v>
      </c>
      <c r="E38" s="1618">
        <v>7778925</v>
      </c>
    </row>
    <row r="39" spans="1:5" s="1592" customFormat="1" ht="12.75" customHeight="1" x14ac:dyDescent="0.25">
      <c r="A39" s="1616" t="s">
        <v>92</v>
      </c>
      <c r="B39" s="1617" t="s">
        <v>93</v>
      </c>
      <c r="C39" s="1595" t="s">
        <v>268</v>
      </c>
      <c r="D39" s="1618">
        <f t="shared" si="1"/>
        <v>2704123</v>
      </c>
      <c r="E39" s="1618">
        <v>2704123</v>
      </c>
    </row>
    <row r="40" spans="1:5" s="1592" customFormat="1" ht="12.75" customHeight="1" x14ac:dyDescent="0.25">
      <c r="A40" s="1616" t="s">
        <v>94</v>
      </c>
      <c r="B40" s="1617" t="s">
        <v>95</v>
      </c>
      <c r="C40" s="1595" t="s">
        <v>264</v>
      </c>
      <c r="D40" s="1618">
        <f t="shared" si="1"/>
        <v>5146627</v>
      </c>
      <c r="E40" s="1618">
        <v>5146627</v>
      </c>
    </row>
    <row r="41" spans="1:5" s="1592" customFormat="1" ht="12.75" customHeight="1" x14ac:dyDescent="0.25">
      <c r="A41" s="1616" t="s">
        <v>96</v>
      </c>
      <c r="B41" s="1617" t="s">
        <v>97</v>
      </c>
      <c r="C41" s="1595" t="s">
        <v>266</v>
      </c>
      <c r="D41" s="1618">
        <f t="shared" si="1"/>
        <v>1582622</v>
      </c>
      <c r="E41" s="1618">
        <v>1582622</v>
      </c>
    </row>
    <row r="42" spans="1:5" s="1592" customFormat="1" ht="12.75" customHeight="1" x14ac:dyDescent="0.25">
      <c r="A42" s="1616" t="s">
        <v>98</v>
      </c>
      <c r="B42" s="1617" t="s">
        <v>99</v>
      </c>
      <c r="C42" s="1595" t="s">
        <v>268</v>
      </c>
      <c r="D42" s="1618">
        <f t="shared" si="1"/>
        <v>3352457</v>
      </c>
      <c r="E42" s="1618">
        <v>3352457</v>
      </c>
    </row>
    <row r="43" spans="1:5" s="1592" customFormat="1" ht="12.75" customHeight="1" x14ac:dyDescent="0.25">
      <c r="A43" s="1616" t="s">
        <v>100</v>
      </c>
      <c r="B43" s="1617" t="s">
        <v>101</v>
      </c>
      <c r="C43" s="1595" t="s">
        <v>267</v>
      </c>
      <c r="D43" s="1618">
        <f t="shared" si="1"/>
        <v>2910351</v>
      </c>
      <c r="E43" s="1618">
        <v>2910351</v>
      </c>
    </row>
    <row r="44" spans="1:5" s="1592" customFormat="1" ht="12.75" customHeight="1" x14ac:dyDescent="0.25">
      <c r="A44" s="1616" t="s">
        <v>102</v>
      </c>
      <c r="B44" s="1617" t="s">
        <v>103</v>
      </c>
      <c r="C44" s="1595" t="s">
        <v>264</v>
      </c>
      <c r="D44" s="1618">
        <f t="shared" si="1"/>
        <v>5733875</v>
      </c>
      <c r="E44" s="1618">
        <v>5733875</v>
      </c>
    </row>
    <row r="45" spans="1:5" s="1592" customFormat="1" ht="12.75" customHeight="1" x14ac:dyDescent="0.25">
      <c r="A45" s="1616" t="s">
        <v>104</v>
      </c>
      <c r="B45" s="1617" t="s">
        <v>309</v>
      </c>
      <c r="C45" s="1595" t="s">
        <v>265</v>
      </c>
      <c r="D45" s="1618">
        <f t="shared" si="1"/>
        <v>9067438</v>
      </c>
      <c r="E45" s="1618">
        <v>9067438</v>
      </c>
    </row>
    <row r="46" spans="1:5" s="1592" customFormat="1" ht="12.75" customHeight="1" x14ac:dyDescent="0.25">
      <c r="A46" s="1616" t="s">
        <v>108</v>
      </c>
      <c r="B46" s="1617" t="s">
        <v>109</v>
      </c>
      <c r="C46" s="1595" t="s">
        <v>266</v>
      </c>
      <c r="D46" s="1618">
        <f t="shared" si="1"/>
        <v>7248381</v>
      </c>
      <c r="E46" s="1618">
        <v>7248381</v>
      </c>
    </row>
    <row r="47" spans="1:5" s="1592" customFormat="1" ht="12.75" customHeight="1" x14ac:dyDescent="0.25">
      <c r="A47" s="1616" t="s">
        <v>110</v>
      </c>
      <c r="B47" s="1617" t="s">
        <v>111</v>
      </c>
      <c r="C47" s="1595" t="s">
        <v>266</v>
      </c>
      <c r="D47" s="1618">
        <f t="shared" si="1"/>
        <v>48005001</v>
      </c>
      <c r="E47" s="1618">
        <v>48005001</v>
      </c>
    </row>
    <row r="48" spans="1:5" s="1592" customFormat="1" ht="12.75" customHeight="1" x14ac:dyDescent="0.25">
      <c r="A48" s="1616" t="s">
        <v>112</v>
      </c>
      <c r="B48" s="1617" t="s">
        <v>300</v>
      </c>
      <c r="C48" s="1595" t="s">
        <v>265</v>
      </c>
      <c r="D48" s="1618">
        <f t="shared" si="1"/>
        <v>21805183</v>
      </c>
      <c r="E48" s="1618">
        <v>21805183</v>
      </c>
    </row>
    <row r="49" spans="1:5" s="1592" customFormat="1" ht="12.75" customHeight="1" x14ac:dyDescent="0.25">
      <c r="A49" s="1616" t="s">
        <v>114</v>
      </c>
      <c r="B49" s="1617" t="s">
        <v>115</v>
      </c>
      <c r="C49" s="1595" t="s">
        <v>265</v>
      </c>
      <c r="D49" s="1618">
        <f t="shared" si="1"/>
        <v>153559</v>
      </c>
      <c r="E49" s="1618">
        <v>153559</v>
      </c>
    </row>
    <row r="50" spans="1:5" s="1592" customFormat="1" ht="12.75" customHeight="1" x14ac:dyDescent="0.25">
      <c r="A50" s="1616" t="s">
        <v>118</v>
      </c>
      <c r="B50" s="1617" t="s">
        <v>119</v>
      </c>
      <c r="C50" s="1595" t="s">
        <v>264</v>
      </c>
      <c r="D50" s="1618">
        <f t="shared" si="1"/>
        <v>5123789</v>
      </c>
      <c r="E50" s="1618">
        <v>5123789</v>
      </c>
    </row>
    <row r="51" spans="1:5" s="1592" customFormat="1" ht="12.75" customHeight="1" x14ac:dyDescent="0.25">
      <c r="A51" s="1616" t="s">
        <v>120</v>
      </c>
      <c r="B51" s="1617" t="s">
        <v>121</v>
      </c>
      <c r="C51" s="1595" t="s">
        <v>264</v>
      </c>
      <c r="D51" s="1618">
        <f t="shared" si="1"/>
        <v>6295699</v>
      </c>
      <c r="E51" s="1618">
        <v>6295699</v>
      </c>
    </row>
    <row r="52" spans="1:5" s="1592" customFormat="1" ht="12.75" customHeight="1" x14ac:dyDescent="0.25">
      <c r="A52" s="1616" t="s">
        <v>122</v>
      </c>
      <c r="B52" s="1617" t="s">
        <v>271</v>
      </c>
      <c r="C52" s="1595" t="s">
        <v>266</v>
      </c>
      <c r="D52" s="1618">
        <f t="shared" si="1"/>
        <v>1529988</v>
      </c>
      <c r="E52" s="1618">
        <v>1529988</v>
      </c>
    </row>
    <row r="53" spans="1:5" s="1592" customFormat="1" ht="12.75" customHeight="1" x14ac:dyDescent="0.25">
      <c r="A53" s="1616" t="s">
        <v>124</v>
      </c>
      <c r="B53" s="1617" t="s">
        <v>125</v>
      </c>
      <c r="C53" s="1595" t="s">
        <v>267</v>
      </c>
      <c r="D53" s="1618">
        <f t="shared" si="1"/>
        <v>3684347</v>
      </c>
      <c r="E53" s="1618">
        <v>3684347</v>
      </c>
    </row>
    <row r="54" spans="1:5" s="1592" customFormat="1" ht="12.75" customHeight="1" x14ac:dyDescent="0.25">
      <c r="A54" s="1616" t="s">
        <v>126</v>
      </c>
      <c r="B54" s="1617" t="s">
        <v>127</v>
      </c>
      <c r="C54" s="1595" t="s">
        <v>266</v>
      </c>
      <c r="D54" s="1618">
        <f t="shared" si="1"/>
        <v>2256031</v>
      </c>
      <c r="E54" s="1618">
        <v>2256031</v>
      </c>
    </row>
    <row r="55" spans="1:5" s="1592" customFormat="1" ht="12.75" customHeight="1" x14ac:dyDescent="0.25">
      <c r="A55" s="1616" t="s">
        <v>128</v>
      </c>
      <c r="B55" s="1617" t="s">
        <v>129</v>
      </c>
      <c r="C55" s="1595" t="s">
        <v>266</v>
      </c>
      <c r="D55" s="1618">
        <f t="shared" si="1"/>
        <v>1904852</v>
      </c>
      <c r="E55" s="1618">
        <v>1904852</v>
      </c>
    </row>
    <row r="56" spans="1:5" s="1592" customFormat="1" ht="12.75" customHeight="1" x14ac:dyDescent="0.25">
      <c r="A56" s="1616" t="s">
        <v>130</v>
      </c>
      <c r="B56" s="1617" t="s">
        <v>131</v>
      </c>
      <c r="C56" s="1595" t="s">
        <v>268</v>
      </c>
      <c r="D56" s="1618">
        <f t="shared" si="1"/>
        <v>7942041</v>
      </c>
      <c r="E56" s="1618">
        <v>7942041</v>
      </c>
    </row>
    <row r="57" spans="1:5" s="1592" customFormat="1" ht="12.75" customHeight="1" x14ac:dyDescent="0.25">
      <c r="A57" s="1616" t="s">
        <v>132</v>
      </c>
      <c r="B57" s="1617" t="s">
        <v>133</v>
      </c>
      <c r="C57" s="1595" t="s">
        <v>267</v>
      </c>
      <c r="D57" s="1618">
        <f t="shared" si="1"/>
        <v>13831410</v>
      </c>
      <c r="E57" s="1618">
        <v>13831410</v>
      </c>
    </row>
    <row r="58" spans="1:5" s="1592" customFormat="1" ht="12.75" customHeight="1" x14ac:dyDescent="0.25">
      <c r="A58" s="1616" t="s">
        <v>134</v>
      </c>
      <c r="B58" s="1617" t="s">
        <v>135</v>
      </c>
      <c r="C58" s="1595" t="s">
        <v>267</v>
      </c>
      <c r="D58" s="1618">
        <f t="shared" si="1"/>
        <v>5560089</v>
      </c>
      <c r="E58" s="1618">
        <v>5560089</v>
      </c>
    </row>
    <row r="59" spans="1:5" s="1592" customFormat="1" ht="12.75" customHeight="1" x14ac:dyDescent="0.25">
      <c r="A59" s="1616" t="s">
        <v>136</v>
      </c>
      <c r="B59" s="1617" t="s">
        <v>137</v>
      </c>
      <c r="C59" s="1595" t="s">
        <v>266</v>
      </c>
      <c r="D59" s="1618">
        <f t="shared" si="1"/>
        <v>2848118</v>
      </c>
      <c r="E59" s="1618">
        <v>2848118</v>
      </c>
    </row>
    <row r="60" spans="1:5" s="1592" customFormat="1" ht="12.75" customHeight="1" x14ac:dyDescent="0.25">
      <c r="A60" s="1616" t="s">
        <v>140</v>
      </c>
      <c r="B60" s="1617" t="s">
        <v>141</v>
      </c>
      <c r="C60" s="1595" t="s">
        <v>267</v>
      </c>
      <c r="D60" s="1618">
        <f t="shared" si="1"/>
        <v>1807834</v>
      </c>
      <c r="E60" s="1618">
        <v>1807834</v>
      </c>
    </row>
    <row r="61" spans="1:5" s="1592" customFormat="1" ht="12.75" customHeight="1" x14ac:dyDescent="0.25">
      <c r="A61" s="1616" t="s">
        <v>146</v>
      </c>
      <c r="B61" s="1617" t="s">
        <v>147</v>
      </c>
      <c r="C61" s="1595" t="s">
        <v>264</v>
      </c>
      <c r="D61" s="1618">
        <f t="shared" si="1"/>
        <v>1142543</v>
      </c>
      <c r="E61" s="1618">
        <v>1142543</v>
      </c>
    </row>
    <row r="62" spans="1:5" s="1592" customFormat="1" ht="12.75" customHeight="1" x14ac:dyDescent="0.25">
      <c r="A62" s="1616" t="s">
        <v>148</v>
      </c>
      <c r="B62" s="1617" t="s">
        <v>149</v>
      </c>
      <c r="C62" s="1595" t="s">
        <v>265</v>
      </c>
      <c r="D62" s="1618">
        <f t="shared" si="1"/>
        <v>6154673</v>
      </c>
      <c r="E62" s="1618">
        <v>6154673</v>
      </c>
    </row>
    <row r="63" spans="1:5" s="1592" customFormat="1" ht="12.75" customHeight="1" x14ac:dyDescent="0.25">
      <c r="A63" s="1616" t="s">
        <v>150</v>
      </c>
      <c r="B63" s="1617" t="s">
        <v>151</v>
      </c>
      <c r="C63" s="1595" t="s">
        <v>266</v>
      </c>
      <c r="D63" s="1618">
        <f t="shared" si="1"/>
        <v>2127035</v>
      </c>
      <c r="E63" s="1618">
        <v>2127035</v>
      </c>
    </row>
    <row r="64" spans="1:5" s="1592" customFormat="1" ht="12.75" customHeight="1" x14ac:dyDescent="0.25">
      <c r="A64" s="1616" t="s">
        <v>152</v>
      </c>
      <c r="B64" s="1617" t="s">
        <v>153</v>
      </c>
      <c r="C64" s="1595" t="s">
        <v>268</v>
      </c>
      <c r="D64" s="1618">
        <f t="shared" si="1"/>
        <v>9101675</v>
      </c>
      <c r="E64" s="1618">
        <v>9101675</v>
      </c>
    </row>
    <row r="65" spans="1:5" s="1592" customFormat="1" ht="12.75" customHeight="1" x14ac:dyDescent="0.25">
      <c r="A65" s="1616" t="s">
        <v>154</v>
      </c>
      <c r="B65" s="1617" t="s">
        <v>155</v>
      </c>
      <c r="C65" s="1595" t="s">
        <v>265</v>
      </c>
      <c r="D65" s="1618">
        <f t="shared" si="1"/>
        <v>2583579</v>
      </c>
      <c r="E65" s="1618">
        <v>2583579</v>
      </c>
    </row>
    <row r="66" spans="1:5" s="1592" customFormat="1" ht="12.75" customHeight="1" x14ac:dyDescent="0.25">
      <c r="A66" s="1616" t="s">
        <v>156</v>
      </c>
      <c r="B66" s="1617" t="s">
        <v>157</v>
      </c>
      <c r="C66" s="1595" t="s">
        <v>266</v>
      </c>
      <c r="D66" s="1618">
        <f t="shared" si="1"/>
        <v>1607764</v>
      </c>
      <c r="E66" s="1618">
        <v>1607764</v>
      </c>
    </row>
    <row r="67" spans="1:5" s="1592" customFormat="1" ht="12.75" customHeight="1" x14ac:dyDescent="0.25">
      <c r="A67" s="1616" t="s">
        <v>162</v>
      </c>
      <c r="B67" s="1617" t="s">
        <v>163</v>
      </c>
      <c r="C67" s="1595" t="s">
        <v>264</v>
      </c>
      <c r="D67" s="1618">
        <f t="shared" si="1"/>
        <v>3147459</v>
      </c>
      <c r="E67" s="1618">
        <v>3147459</v>
      </c>
    </row>
    <row r="68" spans="1:5" s="1592" customFormat="1" ht="12.75" customHeight="1" x14ac:dyDescent="0.25">
      <c r="A68" s="1616" t="s">
        <v>164</v>
      </c>
      <c r="B68" s="1617" t="s">
        <v>165</v>
      </c>
      <c r="C68" s="1595" t="s">
        <v>266</v>
      </c>
      <c r="D68" s="1618">
        <f t="shared" si="1"/>
        <v>2252016</v>
      </c>
      <c r="E68" s="1618">
        <v>2252016</v>
      </c>
    </row>
    <row r="69" spans="1:5" s="1592" customFormat="1" ht="12.75" customHeight="1" x14ac:dyDescent="0.25">
      <c r="A69" s="1616" t="s">
        <v>168</v>
      </c>
      <c r="B69" s="1617" t="s">
        <v>169</v>
      </c>
      <c r="C69" s="1595" t="s">
        <v>266</v>
      </c>
      <c r="D69" s="1618">
        <f t="shared" ref="D69:D100" si="2">E69</f>
        <v>4358793</v>
      </c>
      <c r="E69" s="1618">
        <v>4358793</v>
      </c>
    </row>
    <row r="70" spans="1:5" s="1592" customFormat="1" ht="12.75" customHeight="1" x14ac:dyDescent="0.25">
      <c r="A70" s="1616" t="s">
        <v>170</v>
      </c>
      <c r="B70" s="1617" t="s">
        <v>171</v>
      </c>
      <c r="C70" s="1595" t="s">
        <v>267</v>
      </c>
      <c r="D70" s="1618">
        <f t="shared" si="2"/>
        <v>4046187</v>
      </c>
      <c r="E70" s="1618">
        <v>4046187</v>
      </c>
    </row>
    <row r="71" spans="1:5" s="1592" customFormat="1" ht="12.75" customHeight="1" x14ac:dyDescent="0.25">
      <c r="A71" s="1616" t="s">
        <v>172</v>
      </c>
      <c r="B71" s="1617" t="s">
        <v>173</v>
      </c>
      <c r="C71" s="1595" t="s">
        <v>267</v>
      </c>
      <c r="D71" s="1618">
        <f t="shared" si="2"/>
        <v>4559623</v>
      </c>
      <c r="E71" s="1618">
        <v>4559623</v>
      </c>
    </row>
    <row r="72" spans="1:5" s="1592" customFormat="1" ht="12.75" customHeight="1" x14ac:dyDescent="0.25">
      <c r="A72" s="1616" t="s">
        <v>174</v>
      </c>
      <c r="B72" s="1617" t="s">
        <v>175</v>
      </c>
      <c r="C72" s="1595" t="s">
        <v>268</v>
      </c>
      <c r="D72" s="1618">
        <f t="shared" si="2"/>
        <v>3682379</v>
      </c>
      <c r="E72" s="1618">
        <v>3682379</v>
      </c>
    </row>
    <row r="73" spans="1:5" s="1592" customFormat="1" ht="12.75" customHeight="1" x14ac:dyDescent="0.25">
      <c r="A73" s="1616" t="s">
        <v>178</v>
      </c>
      <c r="B73" s="1617" t="s">
        <v>179</v>
      </c>
      <c r="C73" s="1595" t="s">
        <v>265</v>
      </c>
      <c r="D73" s="1618">
        <f t="shared" si="2"/>
        <v>12384929</v>
      </c>
      <c r="E73" s="1618">
        <v>12384929</v>
      </c>
    </row>
    <row r="74" spans="1:5" s="1592" customFormat="1" ht="12.75" customHeight="1" x14ac:dyDescent="0.25">
      <c r="A74" s="1616" t="s">
        <v>182</v>
      </c>
      <c r="B74" s="1617" t="s">
        <v>183</v>
      </c>
      <c r="C74" s="1595" t="s">
        <v>266</v>
      </c>
      <c r="D74" s="1618">
        <f t="shared" si="2"/>
        <v>1604708</v>
      </c>
      <c r="E74" s="1618">
        <v>1604708</v>
      </c>
    </row>
    <row r="75" spans="1:5" s="1592" customFormat="1" ht="12.75" customHeight="1" x14ac:dyDescent="0.25">
      <c r="A75" s="1616" t="s">
        <v>184</v>
      </c>
      <c r="B75" s="1617" t="s">
        <v>185</v>
      </c>
      <c r="C75" s="1595" t="s">
        <v>266</v>
      </c>
      <c r="D75" s="1618">
        <f t="shared" si="2"/>
        <v>4464837</v>
      </c>
      <c r="E75" s="1618">
        <v>4464837</v>
      </c>
    </row>
    <row r="76" spans="1:5" s="1592" customFormat="1" ht="12.75" customHeight="1" x14ac:dyDescent="0.25">
      <c r="A76" s="1616" t="s">
        <v>186</v>
      </c>
      <c r="B76" s="1617" t="s">
        <v>187</v>
      </c>
      <c r="C76" s="1595" t="s">
        <v>264</v>
      </c>
      <c r="D76" s="1618">
        <f t="shared" si="2"/>
        <v>4464947</v>
      </c>
      <c r="E76" s="1618">
        <v>4464947</v>
      </c>
    </row>
    <row r="77" spans="1:5" s="1592" customFormat="1" ht="12.75" customHeight="1" x14ac:dyDescent="0.25">
      <c r="A77" s="1616" t="s">
        <v>188</v>
      </c>
      <c r="B77" s="1617" t="s">
        <v>189</v>
      </c>
      <c r="C77" s="1595" t="s">
        <v>267</v>
      </c>
      <c r="D77" s="1618">
        <f t="shared" si="2"/>
        <v>41467053</v>
      </c>
      <c r="E77" s="1618">
        <v>41467053</v>
      </c>
    </row>
    <row r="78" spans="1:5" s="1592" customFormat="1" ht="12.75" customHeight="1" x14ac:dyDescent="0.25">
      <c r="A78" s="1616" t="s">
        <v>190</v>
      </c>
      <c r="B78" s="1617" t="s">
        <v>191</v>
      </c>
      <c r="C78" s="1595" t="s">
        <v>268</v>
      </c>
      <c r="D78" s="1618">
        <f t="shared" si="2"/>
        <v>6899673</v>
      </c>
      <c r="E78" s="1618">
        <v>6899673</v>
      </c>
    </row>
    <row r="79" spans="1:5" s="1592" customFormat="1" ht="12.75" customHeight="1" x14ac:dyDescent="0.25">
      <c r="A79" s="1616" t="s">
        <v>194</v>
      </c>
      <c r="B79" s="1617" t="s">
        <v>195</v>
      </c>
      <c r="C79" s="1595" t="s">
        <v>267</v>
      </c>
      <c r="D79" s="1618">
        <f t="shared" si="2"/>
        <v>478499</v>
      </c>
      <c r="E79" s="1618">
        <v>478499</v>
      </c>
    </row>
    <row r="80" spans="1:5" s="1592" customFormat="1" ht="12.75" customHeight="1" x14ac:dyDescent="0.25">
      <c r="A80" s="1616" t="s">
        <v>198</v>
      </c>
      <c r="B80" s="1617" t="s">
        <v>199</v>
      </c>
      <c r="C80" s="1595" t="s">
        <v>266</v>
      </c>
      <c r="D80" s="1618">
        <f t="shared" si="2"/>
        <v>2062502</v>
      </c>
      <c r="E80" s="1618">
        <v>2062502</v>
      </c>
    </row>
    <row r="81" spans="1:5" s="1592" customFormat="1" ht="12.75" customHeight="1" x14ac:dyDescent="0.25">
      <c r="A81" s="1616" t="s">
        <v>202</v>
      </c>
      <c r="B81" s="1617" t="s">
        <v>203</v>
      </c>
      <c r="C81" s="1595" t="s">
        <v>265</v>
      </c>
      <c r="D81" s="1618">
        <f t="shared" si="2"/>
        <v>9818380</v>
      </c>
      <c r="E81" s="1618">
        <v>9818380</v>
      </c>
    </row>
    <row r="82" spans="1:5" s="1592" customFormat="1" ht="12.75" customHeight="1" x14ac:dyDescent="0.25">
      <c r="A82" s="1616" t="s">
        <v>204</v>
      </c>
      <c r="B82" s="1617" t="s">
        <v>205</v>
      </c>
      <c r="C82" s="1595" t="s">
        <v>265</v>
      </c>
      <c r="D82" s="1618">
        <f t="shared" si="2"/>
        <v>4909145</v>
      </c>
      <c r="E82" s="1618">
        <v>4909145</v>
      </c>
    </row>
    <row r="83" spans="1:5" s="1592" customFormat="1" ht="12.75" customHeight="1" x14ac:dyDescent="0.25">
      <c r="A83" s="1616" t="s">
        <v>206</v>
      </c>
      <c r="B83" s="1617" t="s">
        <v>207</v>
      </c>
      <c r="C83" s="1595" t="s">
        <v>267</v>
      </c>
      <c r="D83" s="1618">
        <f t="shared" si="2"/>
        <v>12892315</v>
      </c>
      <c r="E83" s="1618">
        <v>12892315</v>
      </c>
    </row>
    <row r="84" spans="1:5" s="1592" customFormat="1" ht="12.75" customHeight="1" x14ac:dyDescent="0.25">
      <c r="A84" s="1616" t="s">
        <v>208</v>
      </c>
      <c r="B84" s="1617" t="s">
        <v>209</v>
      </c>
      <c r="C84" s="1595" t="s">
        <v>268</v>
      </c>
      <c r="D84" s="1618">
        <f t="shared" si="2"/>
        <v>7562370</v>
      </c>
      <c r="E84" s="1618">
        <v>7562370</v>
      </c>
    </row>
    <row r="85" spans="1:5" s="1592" customFormat="1" ht="12.75" customHeight="1" x14ac:dyDescent="0.25">
      <c r="A85" s="1616" t="s">
        <v>210</v>
      </c>
      <c r="B85" s="1617" t="s">
        <v>211</v>
      </c>
      <c r="C85" s="1595" t="s">
        <v>268</v>
      </c>
      <c r="D85" s="1618">
        <f t="shared" si="2"/>
        <v>4496625</v>
      </c>
      <c r="E85" s="1618">
        <v>4496625</v>
      </c>
    </row>
    <row r="86" spans="1:5" s="1592" customFormat="1" ht="12.75" customHeight="1" x14ac:dyDescent="0.25">
      <c r="A86" s="1616" t="s">
        <v>212</v>
      </c>
      <c r="B86" s="1617" t="s">
        <v>213</v>
      </c>
      <c r="C86" s="1595" t="s">
        <v>267</v>
      </c>
      <c r="D86" s="1618">
        <f t="shared" si="2"/>
        <v>6531573</v>
      </c>
      <c r="E86" s="1618">
        <v>6531573</v>
      </c>
    </row>
    <row r="87" spans="1:5" s="1592" customFormat="1" ht="12.75" customHeight="1" x14ac:dyDescent="0.25">
      <c r="A87" s="1616" t="s">
        <v>214</v>
      </c>
      <c r="B87" s="1617" t="s">
        <v>215</v>
      </c>
      <c r="C87" s="1595" t="s">
        <v>268</v>
      </c>
      <c r="D87" s="1618">
        <f t="shared" si="2"/>
        <v>8049224</v>
      </c>
      <c r="E87" s="1618">
        <v>8049224</v>
      </c>
    </row>
    <row r="88" spans="1:5" s="1592" customFormat="1" ht="12.75" customHeight="1" x14ac:dyDescent="0.25">
      <c r="A88" s="1616" t="s">
        <v>216</v>
      </c>
      <c r="B88" s="1617" t="s">
        <v>217</v>
      </c>
      <c r="C88" s="1595" t="s">
        <v>264</v>
      </c>
      <c r="D88" s="1618">
        <f t="shared" si="2"/>
        <v>3853766</v>
      </c>
      <c r="E88" s="1618">
        <v>3853766</v>
      </c>
    </row>
    <row r="89" spans="1:5" s="1592" customFormat="1" ht="12.75" customHeight="1" x14ac:dyDescent="0.25">
      <c r="A89" s="1616" t="s">
        <v>218</v>
      </c>
      <c r="B89" s="1617" t="s">
        <v>219</v>
      </c>
      <c r="C89" s="1595" t="s">
        <v>267</v>
      </c>
      <c r="D89" s="1618">
        <f t="shared" si="2"/>
        <v>16098800</v>
      </c>
      <c r="E89" s="1618">
        <v>16098800</v>
      </c>
    </row>
    <row r="90" spans="1:5" s="1592" customFormat="1" ht="12.75" customHeight="1" x14ac:dyDescent="0.25">
      <c r="A90" s="1616" t="s">
        <v>220</v>
      </c>
      <c r="B90" s="1617" t="s">
        <v>221</v>
      </c>
      <c r="C90" s="1595" t="s">
        <v>267</v>
      </c>
      <c r="D90" s="1618">
        <f t="shared" si="2"/>
        <v>13080411</v>
      </c>
      <c r="E90" s="1618">
        <v>13080411</v>
      </c>
    </row>
    <row r="91" spans="1:5" s="1592" customFormat="1" ht="12.75" customHeight="1" x14ac:dyDescent="0.25">
      <c r="A91" s="1616" t="s">
        <v>224</v>
      </c>
      <c r="B91" s="1617" t="s">
        <v>225</v>
      </c>
      <c r="C91" s="1595" t="s">
        <v>264</v>
      </c>
      <c r="D91" s="1618">
        <f t="shared" si="2"/>
        <v>1419006</v>
      </c>
      <c r="E91" s="1618">
        <v>1419006</v>
      </c>
    </row>
    <row r="92" spans="1:5" s="1592" customFormat="1" ht="12.75" customHeight="1" x14ac:dyDescent="0.25">
      <c r="A92" s="1616" t="s">
        <v>226</v>
      </c>
      <c r="B92" s="1617" t="s">
        <v>227</v>
      </c>
      <c r="C92" s="1595" t="s">
        <v>264</v>
      </c>
      <c r="D92" s="1618">
        <f t="shared" si="2"/>
        <v>2540286</v>
      </c>
      <c r="E92" s="1618">
        <v>2540286</v>
      </c>
    </row>
    <row r="93" spans="1:5" s="1592" customFormat="1" ht="12.75" customHeight="1" x14ac:dyDescent="0.25">
      <c r="A93" s="1616" t="s">
        <v>228</v>
      </c>
      <c r="B93" s="1617" t="s">
        <v>229</v>
      </c>
      <c r="C93" s="1595" t="s">
        <v>268</v>
      </c>
      <c r="D93" s="1618">
        <f t="shared" si="2"/>
        <v>11138346</v>
      </c>
      <c r="E93" s="1618">
        <v>11138346</v>
      </c>
    </row>
    <row r="94" spans="1:5" s="1592" customFormat="1" ht="12.75" customHeight="1" x14ac:dyDescent="0.25">
      <c r="A94" s="1616" t="s">
        <v>232</v>
      </c>
      <c r="B94" s="1617" t="s">
        <v>233</v>
      </c>
      <c r="C94" s="1595" t="s">
        <v>267</v>
      </c>
      <c r="D94" s="1618">
        <f t="shared" si="2"/>
        <v>6389112</v>
      </c>
      <c r="E94" s="1618">
        <v>6389112</v>
      </c>
    </row>
    <row r="95" spans="1:5" s="1592" customFormat="1" ht="12.75" customHeight="1" x14ac:dyDescent="0.25">
      <c r="A95" s="1616" t="s">
        <v>234</v>
      </c>
      <c r="B95" s="1617" t="s">
        <v>235</v>
      </c>
      <c r="C95" s="1595" t="s">
        <v>268</v>
      </c>
      <c r="D95" s="1618">
        <f t="shared" si="2"/>
        <v>9885927</v>
      </c>
      <c r="E95" s="1618">
        <v>9885927</v>
      </c>
    </row>
    <row r="96" spans="1:5" s="1592" customFormat="1" ht="12.75" customHeight="1" x14ac:dyDescent="0.25">
      <c r="A96" s="1616" t="s">
        <v>236</v>
      </c>
      <c r="B96" s="1617" t="s">
        <v>237</v>
      </c>
      <c r="C96" s="1595" t="s">
        <v>266</v>
      </c>
      <c r="D96" s="1618">
        <f t="shared" si="2"/>
        <v>4425700</v>
      </c>
      <c r="E96" s="1618">
        <v>4425700</v>
      </c>
    </row>
    <row r="97" spans="1:5" s="1592" customFormat="1" ht="12.75" customHeight="1" x14ac:dyDescent="0.25">
      <c r="A97" s="1616" t="s">
        <v>242</v>
      </c>
      <c r="B97" s="1617" t="s">
        <v>243</v>
      </c>
      <c r="C97" s="1595" t="s">
        <v>268</v>
      </c>
      <c r="D97" s="1618">
        <f t="shared" si="2"/>
        <v>11169875</v>
      </c>
      <c r="E97" s="1618">
        <v>11169875</v>
      </c>
    </row>
    <row r="98" spans="1:5" s="1592" customFormat="1" ht="12.75" customHeight="1" x14ac:dyDescent="0.25">
      <c r="A98" s="1616" t="s">
        <v>244</v>
      </c>
      <c r="B98" s="1617" t="s">
        <v>245</v>
      </c>
      <c r="C98" s="1595" t="s">
        <v>268</v>
      </c>
      <c r="D98" s="1618">
        <f t="shared" si="2"/>
        <v>5007630</v>
      </c>
      <c r="E98" s="1618">
        <v>5007630</v>
      </c>
    </row>
    <row r="99" spans="1:5" s="1592" customFormat="1" ht="12.75" customHeight="1" x14ac:dyDescent="0.25">
      <c r="A99" s="1616" t="s">
        <v>246</v>
      </c>
      <c r="B99" s="1617" t="s">
        <v>310</v>
      </c>
      <c r="C99" s="1595" t="s">
        <v>264</v>
      </c>
      <c r="D99" s="1618">
        <f t="shared" si="2"/>
        <v>4310482</v>
      </c>
      <c r="E99" s="1618">
        <v>4310482</v>
      </c>
    </row>
    <row r="100" spans="1:5" s="1592" customFormat="1" ht="12.75" customHeight="1" x14ac:dyDescent="0.25">
      <c r="A100" s="1616" t="s">
        <v>14</v>
      </c>
      <c r="B100" s="1617" t="s">
        <v>15</v>
      </c>
      <c r="C100" s="1595" t="s">
        <v>267</v>
      </c>
      <c r="D100" s="1618">
        <f t="shared" si="2"/>
        <v>12817716</v>
      </c>
      <c r="E100" s="1618">
        <v>12817716</v>
      </c>
    </row>
    <row r="101" spans="1:5" s="1592" customFormat="1" ht="12.75" customHeight="1" x14ac:dyDescent="0.25">
      <c r="A101" s="1616" t="s">
        <v>34</v>
      </c>
      <c r="B101" s="1617" t="s">
        <v>35</v>
      </c>
      <c r="C101" s="1595" t="s">
        <v>268</v>
      </c>
      <c r="D101" s="1618">
        <f t="shared" ref="D101:D124" si="3">E101</f>
        <v>6075252</v>
      </c>
      <c r="E101" s="1618">
        <v>6075252</v>
      </c>
    </row>
    <row r="102" spans="1:5" s="1592" customFormat="1" ht="12.75" customHeight="1" x14ac:dyDescent="0.25">
      <c r="A102" s="1616" t="s">
        <v>52</v>
      </c>
      <c r="B102" s="1617" t="s">
        <v>53</v>
      </c>
      <c r="C102" s="1595" t="s">
        <v>265</v>
      </c>
      <c r="D102" s="1618">
        <f t="shared" si="3"/>
        <v>6292351</v>
      </c>
      <c r="E102" s="1618">
        <v>6292351</v>
      </c>
    </row>
    <row r="103" spans="1:5" s="1592" customFormat="1" ht="12.75" customHeight="1" x14ac:dyDescent="0.25">
      <c r="A103" s="1616" t="s">
        <v>54</v>
      </c>
      <c r="B103" s="1617" t="s">
        <v>55</v>
      </c>
      <c r="C103" s="1595" t="s">
        <v>264</v>
      </c>
      <c r="D103" s="1618">
        <f t="shared" si="3"/>
        <v>32034476</v>
      </c>
      <c r="E103" s="1618">
        <v>32034476</v>
      </c>
    </row>
    <row r="104" spans="1:5" s="1592" customFormat="1" ht="12.75" customHeight="1" x14ac:dyDescent="0.25">
      <c r="A104" s="1616" t="s">
        <v>66</v>
      </c>
      <c r="B104" s="1617" t="s">
        <v>67</v>
      </c>
      <c r="C104" s="1595" t="s">
        <v>265</v>
      </c>
      <c r="D104" s="1618">
        <f t="shared" si="3"/>
        <v>18661152</v>
      </c>
      <c r="E104" s="1618">
        <v>18661152</v>
      </c>
    </row>
    <row r="105" spans="1:5" s="1592" customFormat="1" ht="12.75" customHeight="1" x14ac:dyDescent="0.25">
      <c r="A105" s="1616" t="s">
        <v>82</v>
      </c>
      <c r="B105" s="1617" t="s">
        <v>311</v>
      </c>
      <c r="C105" s="1595" t="s">
        <v>264</v>
      </c>
      <c r="D105" s="1618">
        <f t="shared" si="3"/>
        <v>3708458</v>
      </c>
      <c r="E105" s="1618">
        <v>3708458</v>
      </c>
    </row>
    <row r="106" spans="1:5" s="1592" customFormat="1" ht="12.75" customHeight="1" x14ac:dyDescent="0.25">
      <c r="A106" s="1616" t="s">
        <v>88</v>
      </c>
      <c r="B106" s="1617" t="s">
        <v>89</v>
      </c>
      <c r="C106" s="1595" t="s">
        <v>267</v>
      </c>
      <c r="D106" s="1618">
        <f t="shared" si="3"/>
        <v>5531596</v>
      </c>
      <c r="E106" s="1618">
        <v>5531596</v>
      </c>
    </row>
    <row r="107" spans="1:5" s="1592" customFormat="1" ht="12.75" customHeight="1" x14ac:dyDescent="0.25">
      <c r="A107" s="1616" t="s">
        <v>90</v>
      </c>
      <c r="B107" s="1617" t="s">
        <v>91</v>
      </c>
      <c r="C107" s="1595" t="s">
        <v>268</v>
      </c>
      <c r="D107" s="1618">
        <f t="shared" si="3"/>
        <v>2415530</v>
      </c>
      <c r="E107" s="1618">
        <v>2415530</v>
      </c>
    </row>
    <row r="108" spans="1:5" s="1592" customFormat="1" ht="12.75" customHeight="1" x14ac:dyDescent="0.25">
      <c r="A108" s="1616" t="s">
        <v>106</v>
      </c>
      <c r="B108" s="1617" t="s">
        <v>107</v>
      </c>
      <c r="C108" s="1595" t="s">
        <v>264</v>
      </c>
      <c r="D108" s="1618">
        <f t="shared" si="3"/>
        <v>29768199</v>
      </c>
      <c r="E108" s="1618">
        <v>29768199</v>
      </c>
    </row>
    <row r="109" spans="1:5" s="1592" customFormat="1" ht="12.75" customHeight="1" x14ac:dyDescent="0.25">
      <c r="A109" s="1616" t="s">
        <v>116</v>
      </c>
      <c r="B109" s="1617" t="s">
        <v>117</v>
      </c>
      <c r="C109" s="1595" t="s">
        <v>266</v>
      </c>
      <c r="D109" s="1618">
        <f t="shared" si="3"/>
        <v>10147634</v>
      </c>
      <c r="E109" s="1618">
        <v>10147634</v>
      </c>
    </row>
    <row r="110" spans="1:5" s="1592" customFormat="1" ht="12.75" customHeight="1" x14ac:dyDescent="0.25">
      <c r="A110" s="1616" t="s">
        <v>138</v>
      </c>
      <c r="B110" s="1617" t="s">
        <v>139</v>
      </c>
      <c r="C110" s="1595" t="s">
        <v>265</v>
      </c>
      <c r="D110" s="1618">
        <f t="shared" si="3"/>
        <v>17727648</v>
      </c>
      <c r="E110" s="1618">
        <v>17727648</v>
      </c>
    </row>
    <row r="111" spans="1:5" s="1592" customFormat="1" ht="12.75" customHeight="1" x14ac:dyDescent="0.25">
      <c r="A111" s="1616" t="s">
        <v>142</v>
      </c>
      <c r="B111" s="1617" t="s">
        <v>143</v>
      </c>
      <c r="C111" s="1595" t="s">
        <v>267</v>
      </c>
      <c r="D111" s="1618">
        <f t="shared" si="3"/>
        <v>5816017</v>
      </c>
      <c r="E111" s="1618">
        <v>5816017</v>
      </c>
    </row>
    <row r="112" spans="1:5" s="1592" customFormat="1" ht="12.75" customHeight="1" x14ac:dyDescent="0.25">
      <c r="A112" s="1616" t="s">
        <v>144</v>
      </c>
      <c r="B112" s="1617" t="s">
        <v>145</v>
      </c>
      <c r="C112" s="1595" t="s">
        <v>267</v>
      </c>
      <c r="D112" s="1618">
        <f t="shared" si="3"/>
        <v>1662197</v>
      </c>
      <c r="E112" s="1618">
        <v>1662197</v>
      </c>
    </row>
    <row r="113" spans="1:5" s="1592" customFormat="1" ht="12.75" customHeight="1" x14ac:dyDescent="0.25">
      <c r="A113" s="1616" t="s">
        <v>158</v>
      </c>
      <c r="B113" s="1617" t="s">
        <v>159</v>
      </c>
      <c r="C113" s="1595" t="s">
        <v>264</v>
      </c>
      <c r="D113" s="1618">
        <f t="shared" si="3"/>
        <v>49863651</v>
      </c>
      <c r="E113" s="1618">
        <v>49863651</v>
      </c>
    </row>
    <row r="114" spans="1:5" s="1592" customFormat="1" ht="12.75" customHeight="1" x14ac:dyDescent="0.25">
      <c r="A114" s="1616" t="s">
        <v>160</v>
      </c>
      <c r="B114" s="1617" t="s">
        <v>161</v>
      </c>
      <c r="C114" s="1595" t="s">
        <v>264</v>
      </c>
      <c r="D114" s="1618">
        <f t="shared" si="3"/>
        <v>65952194</v>
      </c>
      <c r="E114" s="1618">
        <v>65952194</v>
      </c>
    </row>
    <row r="115" spans="1:5" s="1592" customFormat="1" ht="12.75" customHeight="1" x14ac:dyDescent="0.25">
      <c r="A115" s="1616" t="s">
        <v>166</v>
      </c>
      <c r="B115" s="1617" t="s">
        <v>167</v>
      </c>
      <c r="C115" s="1595" t="s">
        <v>268</v>
      </c>
      <c r="D115" s="1618">
        <f t="shared" si="3"/>
        <v>1262302</v>
      </c>
      <c r="E115" s="1618">
        <v>1262302</v>
      </c>
    </row>
    <row r="116" spans="1:5" s="1592" customFormat="1" ht="12.75" customHeight="1" x14ac:dyDescent="0.25">
      <c r="A116" s="1616" t="s">
        <v>176</v>
      </c>
      <c r="B116" s="1617" t="s">
        <v>177</v>
      </c>
      <c r="C116" s="1595" t="s">
        <v>266</v>
      </c>
      <c r="D116" s="1618">
        <f t="shared" si="3"/>
        <v>15471425</v>
      </c>
      <c r="E116" s="1618">
        <v>15471425</v>
      </c>
    </row>
    <row r="117" spans="1:5" s="1592" customFormat="1" ht="12.75" customHeight="1" x14ac:dyDescent="0.25">
      <c r="A117" s="1616" t="s">
        <v>180</v>
      </c>
      <c r="B117" s="1617" t="s">
        <v>181</v>
      </c>
      <c r="C117" s="1595" t="s">
        <v>264</v>
      </c>
      <c r="D117" s="1618">
        <f t="shared" si="3"/>
        <v>33646603</v>
      </c>
      <c r="E117" s="1618">
        <v>33646603</v>
      </c>
    </row>
    <row r="118" spans="1:5" s="1592" customFormat="1" ht="12.75" customHeight="1" x14ac:dyDescent="0.25">
      <c r="A118" s="1616" t="s">
        <v>192</v>
      </c>
      <c r="B118" s="1617" t="s">
        <v>193</v>
      </c>
      <c r="C118" s="1595" t="s">
        <v>268</v>
      </c>
      <c r="D118" s="1618">
        <f t="shared" si="3"/>
        <v>2113406</v>
      </c>
      <c r="E118" s="1618">
        <v>2113406</v>
      </c>
    </row>
    <row r="119" spans="1:5" s="1592" customFormat="1" ht="12.75" customHeight="1" x14ac:dyDescent="0.25">
      <c r="A119" s="1616" t="s">
        <v>196</v>
      </c>
      <c r="B119" s="1617" t="s">
        <v>312</v>
      </c>
      <c r="C119" s="1595" t="s">
        <v>266</v>
      </c>
      <c r="D119" s="1618">
        <f t="shared" si="3"/>
        <v>69476353</v>
      </c>
      <c r="E119" s="1618">
        <v>69476353</v>
      </c>
    </row>
    <row r="120" spans="1:5" s="1592" customFormat="1" ht="12.75" customHeight="1" x14ac:dyDescent="0.25">
      <c r="A120" s="1616" t="s">
        <v>200</v>
      </c>
      <c r="B120" s="1617" t="s">
        <v>313</v>
      </c>
      <c r="C120" s="1595" t="s">
        <v>265</v>
      </c>
      <c r="D120" s="1618">
        <f t="shared" si="3"/>
        <v>31493262</v>
      </c>
      <c r="E120" s="1618">
        <v>31493262</v>
      </c>
    </row>
    <row r="121" spans="1:5" s="1592" customFormat="1" ht="12.75" customHeight="1" x14ac:dyDescent="0.25">
      <c r="A121" s="1616" t="s">
        <v>222</v>
      </c>
      <c r="B121" s="1617" t="s">
        <v>223</v>
      </c>
      <c r="C121" s="1595" t="s">
        <v>264</v>
      </c>
      <c r="D121" s="1618">
        <f t="shared" si="3"/>
        <v>16789526</v>
      </c>
      <c r="E121" s="1618">
        <v>16789526</v>
      </c>
    </row>
    <row r="122" spans="1:5" s="1592" customFormat="1" ht="12.75" customHeight="1" x14ac:dyDescent="0.25">
      <c r="A122" s="1616" t="s">
        <v>230</v>
      </c>
      <c r="B122" s="1617" t="s">
        <v>231</v>
      </c>
      <c r="C122" s="1595" t="s">
        <v>264</v>
      </c>
      <c r="D122" s="1618">
        <f t="shared" si="3"/>
        <v>46804490</v>
      </c>
      <c r="E122" s="1618">
        <v>46804490</v>
      </c>
    </row>
    <row r="123" spans="1:5" s="1592" customFormat="1" ht="12.75" customHeight="1" x14ac:dyDescent="0.25">
      <c r="A123" s="1616" t="s">
        <v>238</v>
      </c>
      <c r="B123" s="1617" t="s">
        <v>239</v>
      </c>
      <c r="C123" s="1595" t="s">
        <v>264</v>
      </c>
      <c r="D123" s="1618">
        <f t="shared" si="3"/>
        <v>1767277</v>
      </c>
      <c r="E123" s="1618">
        <v>1767277</v>
      </c>
    </row>
    <row r="124" spans="1:5" s="1592" customFormat="1" ht="12.75" customHeight="1" x14ac:dyDescent="0.25">
      <c r="A124" s="1616" t="s">
        <v>240</v>
      </c>
      <c r="B124" s="1617" t="s">
        <v>241</v>
      </c>
      <c r="C124" s="1605" t="s">
        <v>267</v>
      </c>
      <c r="D124" s="1618">
        <f t="shared" si="3"/>
        <v>5475875</v>
      </c>
      <c r="E124" s="1618">
        <v>5475875</v>
      </c>
    </row>
    <row r="125" spans="1:5" s="1592" customFormat="1" ht="12.75" customHeight="1" x14ac:dyDescent="0.25"/>
    <row r="126" spans="1:5" s="1592" customFormat="1" ht="12.75" customHeight="1" x14ac:dyDescent="0.25">
      <c r="A126" s="1592" t="s">
        <v>266</v>
      </c>
      <c r="D126" s="1609">
        <f>E126</f>
        <v>248671571</v>
      </c>
      <c r="E126" s="1609">
        <v>248671571</v>
      </c>
    </row>
    <row r="127" spans="1:5" s="1592" customFormat="1" ht="12.75" customHeight="1" x14ac:dyDescent="0.25">
      <c r="A127" s="1592" t="s">
        <v>264</v>
      </c>
      <c r="D127" s="1609">
        <f t="shared" ref="D127:D130" si="4">E127</f>
        <v>341920317</v>
      </c>
      <c r="E127" s="1609">
        <v>341920317</v>
      </c>
    </row>
    <row r="128" spans="1:5" s="1592" customFormat="1" ht="12.75" customHeight="1" x14ac:dyDescent="0.25">
      <c r="A128" s="1592" t="s">
        <v>267</v>
      </c>
      <c r="D128" s="1609">
        <f t="shared" si="4"/>
        <v>265792535</v>
      </c>
      <c r="E128" s="1609">
        <v>265792535</v>
      </c>
    </row>
    <row r="129" spans="1:5" s="1592" customFormat="1" ht="12.75" customHeight="1" x14ac:dyDescent="0.25">
      <c r="A129" s="1592" t="s">
        <v>265</v>
      </c>
      <c r="D129" s="1609">
        <f t="shared" si="4"/>
        <v>210401402</v>
      </c>
      <c r="E129" s="1609">
        <v>210401402</v>
      </c>
    </row>
    <row r="130" spans="1:5" s="1592" customFormat="1" ht="12.75" customHeight="1" x14ac:dyDescent="0.25">
      <c r="A130" s="1592" t="s">
        <v>268</v>
      </c>
      <c r="D130" s="1609">
        <f t="shared" si="4"/>
        <v>122398886</v>
      </c>
      <c r="E130" s="1609">
        <v>122398886</v>
      </c>
    </row>
    <row r="131" spans="1:5" s="1592" customFormat="1" ht="12.75" customHeight="1" x14ac:dyDescent="0.25">
      <c r="A131" s="1592" t="s">
        <v>9</v>
      </c>
      <c r="D131" s="1619">
        <f>E131</f>
        <v>1189184711</v>
      </c>
      <c r="E131" s="1619">
        <f t="shared" ref="E131" si="5">SUM(E126:E130)</f>
        <v>1189184711</v>
      </c>
    </row>
    <row r="133" spans="1:5" s="392" customFormat="1" x14ac:dyDescent="0.25">
      <c r="A133" s="986" t="s">
        <v>1233</v>
      </c>
      <c r="B133" s="712"/>
      <c r="C133" s="712"/>
      <c r="D133" s="662"/>
    </row>
    <row r="134" spans="1:5" s="392" customFormat="1" x14ac:dyDescent="0.25"/>
    <row r="135" spans="1:5" s="412" customFormat="1" x14ac:dyDescent="0.25">
      <c r="A135" s="412" t="s">
        <v>248</v>
      </c>
    </row>
    <row r="136" spans="1:5" x14ac:dyDescent="0.25">
      <c r="A136" s="413" t="s">
        <v>249</v>
      </c>
      <c r="B136" s="414" t="s">
        <v>250</v>
      </c>
      <c r="C136" s="414"/>
    </row>
  </sheetData>
  <autoFilter ref="A3:C124"/>
  <sortState ref="A5:E124">
    <sortCondition ref="A5:A124"/>
  </sortState>
  <hyperlinks>
    <hyperlink ref="B136"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8"/>
  <sheetViews>
    <sheetView zoomScale="98" zoomScaleNormal="98" workbookViewId="0">
      <pane xSplit="3" ySplit="4" topLeftCell="D109" activePane="bottomRight" state="frozen"/>
      <selection pane="topRight" activeCell="D1" sqref="D1"/>
      <selection pane="bottomLeft" activeCell="A5" sqref="A5"/>
      <selection pane="bottomRight" activeCell="D126" sqref="D126:J130"/>
    </sheetView>
  </sheetViews>
  <sheetFormatPr defaultRowHeight="15.75" x14ac:dyDescent="0.25"/>
  <cols>
    <col min="1" max="1" width="13.375" style="270" bestFit="1" customWidth="1"/>
    <col min="2" max="2" width="31.375" style="270" customWidth="1"/>
    <col min="3" max="3" width="14.875" style="270" customWidth="1"/>
    <col min="4" max="4" width="13.75" style="270" bestFit="1" customWidth="1"/>
    <col min="5" max="5" width="11.375" style="270" customWidth="1"/>
    <col min="6" max="6" width="12.375" style="270" bestFit="1" customWidth="1"/>
    <col min="7" max="7" width="10.875" style="270" customWidth="1"/>
    <col min="8" max="8" width="10.125" style="270" bestFit="1" customWidth="1"/>
    <col min="9" max="9" width="12.375" style="270" bestFit="1" customWidth="1"/>
    <col min="10" max="10" width="12.625" style="270" customWidth="1"/>
    <col min="11" max="16384" width="9" style="270"/>
  </cols>
  <sheetData>
    <row r="1" spans="1:10" x14ac:dyDescent="0.25">
      <c r="A1" s="64" t="s">
        <v>1235</v>
      </c>
    </row>
    <row r="2" spans="1:10" x14ac:dyDescent="0.25">
      <c r="D2" s="1358"/>
      <c r="E2" s="1358"/>
      <c r="F2" s="1358"/>
      <c r="G2" s="1358"/>
      <c r="H2" s="1358"/>
      <c r="I2" s="1358"/>
    </row>
    <row r="3" spans="1:10" ht="31.5" x14ac:dyDescent="0.25">
      <c r="A3" s="834" t="s">
        <v>4</v>
      </c>
      <c r="B3" s="835" t="s">
        <v>5</v>
      </c>
      <c r="C3" s="907" t="s">
        <v>251</v>
      </c>
      <c r="D3" s="836" t="s">
        <v>960</v>
      </c>
      <c r="E3" s="837" t="s">
        <v>961</v>
      </c>
      <c r="F3" s="837" t="s">
        <v>962</v>
      </c>
      <c r="G3" s="837" t="s">
        <v>963</v>
      </c>
      <c r="H3" s="837" t="s">
        <v>964</v>
      </c>
      <c r="I3" s="1424" t="s">
        <v>965</v>
      </c>
      <c r="J3" s="1425" t="s">
        <v>1071</v>
      </c>
    </row>
    <row r="4" spans="1:10" s="1592" customFormat="1" ht="12.75" customHeight="1" x14ac:dyDescent="0.25">
      <c r="A4" s="1587">
        <v>999</v>
      </c>
      <c r="B4" s="1588" t="s">
        <v>9</v>
      </c>
      <c r="C4" s="1589"/>
      <c r="D4" s="1590">
        <f t="shared" ref="D4:I4" si="0">SUM(D5:D124)</f>
        <v>33823206.992862001</v>
      </c>
      <c r="E4" s="1590">
        <f t="shared" si="0"/>
        <v>0</v>
      </c>
      <c r="F4" s="1590">
        <f t="shared" si="0"/>
        <v>45817016.967138022</v>
      </c>
      <c r="G4" s="1590">
        <f t="shared" si="0"/>
        <v>0</v>
      </c>
      <c r="H4" s="1590">
        <f t="shared" si="0"/>
        <v>0</v>
      </c>
      <c r="I4" s="1853">
        <f t="shared" si="0"/>
        <v>79640223.959999964</v>
      </c>
      <c r="J4" s="1591">
        <f t="shared" ref="J4:J35" si="1">G4+H4</f>
        <v>0</v>
      </c>
    </row>
    <row r="5" spans="1:10" s="1600" customFormat="1" ht="12.75" customHeight="1" x14ac:dyDescent="0.25">
      <c r="A5" s="1593" t="s">
        <v>10</v>
      </c>
      <c r="B5" s="1594" t="s">
        <v>11</v>
      </c>
      <c r="C5" s="1595" t="s">
        <v>264</v>
      </c>
      <c r="D5" s="1596">
        <v>141080.08998600001</v>
      </c>
      <c r="E5" s="1597">
        <v>0</v>
      </c>
      <c r="F5" s="1597">
        <v>179601.49001400001</v>
      </c>
      <c r="G5" s="1597">
        <v>0</v>
      </c>
      <c r="H5" s="1597">
        <v>0</v>
      </c>
      <c r="I5" s="1598">
        <f t="shared" ref="I5:I36" si="2">SUM(D5:H5)</f>
        <v>320681.58</v>
      </c>
      <c r="J5" s="1599">
        <f t="shared" si="1"/>
        <v>0</v>
      </c>
    </row>
    <row r="6" spans="1:10" s="1600" customFormat="1" ht="12.75" customHeight="1" x14ac:dyDescent="0.25">
      <c r="A6" s="1593" t="s">
        <v>12</v>
      </c>
      <c r="B6" s="1594" t="s">
        <v>13</v>
      </c>
      <c r="C6" s="1595" t="s">
        <v>265</v>
      </c>
      <c r="D6" s="1601">
        <v>151292.05369200002</v>
      </c>
      <c r="E6" s="1597">
        <v>0</v>
      </c>
      <c r="F6" s="1602">
        <v>279650.70630800002</v>
      </c>
      <c r="G6" s="1597">
        <v>0</v>
      </c>
      <c r="H6" s="1597">
        <v>0</v>
      </c>
      <c r="I6" s="1598">
        <f t="shared" si="2"/>
        <v>430942.76</v>
      </c>
      <c r="J6" s="1599">
        <f t="shared" si="1"/>
        <v>0</v>
      </c>
    </row>
    <row r="7" spans="1:10" s="1600" customFormat="1" ht="12.75" customHeight="1" x14ac:dyDescent="0.25">
      <c r="A7" s="1593" t="s">
        <v>16</v>
      </c>
      <c r="B7" s="1594" t="s">
        <v>297</v>
      </c>
      <c r="C7" s="1595" t="s">
        <v>265</v>
      </c>
      <c r="D7" s="1603">
        <v>102365.14141800001</v>
      </c>
      <c r="E7" s="1597">
        <v>0</v>
      </c>
      <c r="F7" s="1604">
        <v>139301.468582</v>
      </c>
      <c r="G7" s="1597">
        <v>0</v>
      </c>
      <c r="H7" s="1597">
        <v>0</v>
      </c>
      <c r="I7" s="1598">
        <f t="shared" si="2"/>
        <v>241666.61000000002</v>
      </c>
      <c r="J7" s="1599">
        <f t="shared" si="1"/>
        <v>0</v>
      </c>
    </row>
    <row r="8" spans="1:10" s="1600" customFormat="1" ht="12.75" customHeight="1" x14ac:dyDescent="0.25">
      <c r="A8" s="1593" t="s">
        <v>18</v>
      </c>
      <c r="B8" s="1594" t="s">
        <v>19</v>
      </c>
      <c r="C8" s="1595" t="s">
        <v>266</v>
      </c>
      <c r="D8" s="1603">
        <v>33974.120627999997</v>
      </c>
      <c r="E8" s="1597">
        <v>0</v>
      </c>
      <c r="F8" s="1604">
        <v>41412.719372</v>
      </c>
      <c r="G8" s="1597">
        <v>0</v>
      </c>
      <c r="H8" s="1597">
        <v>0</v>
      </c>
      <c r="I8" s="1598">
        <f t="shared" si="2"/>
        <v>75386.84</v>
      </c>
      <c r="J8" s="1599">
        <f t="shared" si="1"/>
        <v>0</v>
      </c>
    </row>
    <row r="9" spans="1:10" s="1600" customFormat="1" ht="12.75" customHeight="1" x14ac:dyDescent="0.25">
      <c r="A9" s="1593" t="s">
        <v>20</v>
      </c>
      <c r="B9" s="1594" t="s">
        <v>21</v>
      </c>
      <c r="C9" s="1595" t="s">
        <v>265</v>
      </c>
      <c r="D9" s="1601">
        <v>101541.45015000002</v>
      </c>
      <c r="E9" s="1597">
        <v>0</v>
      </c>
      <c r="F9" s="1602">
        <v>126107.04985000001</v>
      </c>
      <c r="G9" s="1597">
        <v>0</v>
      </c>
      <c r="H9" s="1597">
        <v>0</v>
      </c>
      <c r="I9" s="1598">
        <f t="shared" si="2"/>
        <v>227648.50000000003</v>
      </c>
      <c r="J9" s="1599">
        <f t="shared" si="1"/>
        <v>0</v>
      </c>
    </row>
    <row r="10" spans="1:10" s="1600" customFormat="1" ht="12.75" customHeight="1" x14ac:dyDescent="0.25">
      <c r="A10" s="1593" t="s">
        <v>22</v>
      </c>
      <c r="B10" s="1594" t="s">
        <v>23</v>
      </c>
      <c r="C10" s="1595" t="s">
        <v>265</v>
      </c>
      <c r="D10" s="1603">
        <v>80827.510500000004</v>
      </c>
      <c r="E10" s="1597">
        <v>0</v>
      </c>
      <c r="F10" s="1604">
        <v>110092.9795</v>
      </c>
      <c r="G10" s="1597">
        <v>0</v>
      </c>
      <c r="H10" s="1597">
        <v>0</v>
      </c>
      <c r="I10" s="1598">
        <f t="shared" si="2"/>
        <v>190920.49</v>
      </c>
      <c r="J10" s="1599">
        <f t="shared" si="1"/>
        <v>0</v>
      </c>
    </row>
    <row r="11" spans="1:10" s="1600" customFormat="1" ht="12.75" customHeight="1" x14ac:dyDescent="0.25">
      <c r="A11" s="1593" t="s">
        <v>24</v>
      </c>
      <c r="B11" s="1594" t="s">
        <v>25</v>
      </c>
      <c r="C11" s="1595" t="s">
        <v>267</v>
      </c>
      <c r="D11" s="1603">
        <v>282017.81939399999</v>
      </c>
      <c r="E11" s="1597">
        <v>0</v>
      </c>
      <c r="F11" s="1604">
        <v>402668.10060599993</v>
      </c>
      <c r="G11" s="1597">
        <v>0</v>
      </c>
      <c r="H11" s="1597">
        <v>0</v>
      </c>
      <c r="I11" s="1598">
        <f t="shared" si="2"/>
        <v>684685.91999999993</v>
      </c>
      <c r="J11" s="1599">
        <f t="shared" si="1"/>
        <v>0</v>
      </c>
    </row>
    <row r="12" spans="1:10" s="1600" customFormat="1" ht="12.75" customHeight="1" x14ac:dyDescent="0.25">
      <c r="A12" s="1593" t="s">
        <v>26</v>
      </c>
      <c r="B12" s="1594" t="s">
        <v>686</v>
      </c>
      <c r="C12" s="1595" t="s">
        <v>265</v>
      </c>
      <c r="D12" s="1603">
        <v>590491.35350999993</v>
      </c>
      <c r="E12" s="1597">
        <v>0</v>
      </c>
      <c r="F12" s="1604">
        <v>760377.03649000009</v>
      </c>
      <c r="G12" s="1597">
        <v>0</v>
      </c>
      <c r="H12" s="1597">
        <v>0</v>
      </c>
      <c r="I12" s="1598">
        <f t="shared" si="2"/>
        <v>1350868.3900000001</v>
      </c>
      <c r="J12" s="1599">
        <f t="shared" si="1"/>
        <v>0</v>
      </c>
    </row>
    <row r="13" spans="1:10" s="1600" customFormat="1" ht="12.75" customHeight="1" x14ac:dyDescent="0.25">
      <c r="A13" s="1593" t="s">
        <v>27</v>
      </c>
      <c r="B13" s="1594" t="s">
        <v>28</v>
      </c>
      <c r="C13" s="1595" t="s">
        <v>265</v>
      </c>
      <c r="D13" s="1601">
        <v>3912.9074999999998</v>
      </c>
      <c r="E13" s="1597">
        <v>0</v>
      </c>
      <c r="F13" s="1602">
        <v>4562.0924999999997</v>
      </c>
      <c r="G13" s="1597">
        <v>0</v>
      </c>
      <c r="H13" s="1597">
        <v>0</v>
      </c>
      <c r="I13" s="1598">
        <f t="shared" si="2"/>
        <v>8475</v>
      </c>
      <c r="J13" s="1599">
        <f t="shared" si="1"/>
        <v>0</v>
      </c>
    </row>
    <row r="14" spans="1:10" s="1600" customFormat="1" ht="12.75" customHeight="1" x14ac:dyDescent="0.25">
      <c r="A14" s="1593" t="s">
        <v>29</v>
      </c>
      <c r="B14" s="1594" t="s">
        <v>924</v>
      </c>
      <c r="C14" s="1595" t="s">
        <v>265</v>
      </c>
      <c r="D14" s="1603">
        <v>182191.69555199999</v>
      </c>
      <c r="E14" s="1597">
        <v>0</v>
      </c>
      <c r="F14" s="1604">
        <v>255774.65444800002</v>
      </c>
      <c r="G14" s="1597">
        <v>0</v>
      </c>
      <c r="H14" s="1597">
        <v>0</v>
      </c>
      <c r="I14" s="1598">
        <f t="shared" si="2"/>
        <v>437966.35</v>
      </c>
      <c r="J14" s="1599">
        <f t="shared" si="1"/>
        <v>0</v>
      </c>
    </row>
    <row r="15" spans="1:10" s="1600" customFormat="1" ht="12.75" customHeight="1" x14ac:dyDescent="0.25">
      <c r="A15" s="1593" t="s">
        <v>30</v>
      </c>
      <c r="B15" s="1594" t="s">
        <v>31</v>
      </c>
      <c r="C15" s="1595" t="s">
        <v>268</v>
      </c>
      <c r="D15" s="1601">
        <v>16611.966</v>
      </c>
      <c r="E15" s="1597">
        <v>0</v>
      </c>
      <c r="F15" s="1602">
        <v>19710.034</v>
      </c>
      <c r="G15" s="1597">
        <v>0</v>
      </c>
      <c r="H15" s="1597">
        <v>0</v>
      </c>
      <c r="I15" s="1598">
        <f t="shared" si="2"/>
        <v>36322</v>
      </c>
      <c r="J15" s="1599">
        <f t="shared" si="1"/>
        <v>0</v>
      </c>
    </row>
    <row r="16" spans="1:10" s="1600" customFormat="1" ht="12.75" customHeight="1" x14ac:dyDescent="0.25">
      <c r="A16" s="1593" t="s">
        <v>32</v>
      </c>
      <c r="B16" s="1594" t="s">
        <v>33</v>
      </c>
      <c r="C16" s="1595" t="s">
        <v>265</v>
      </c>
      <c r="D16" s="1601">
        <v>38255.220026999996</v>
      </c>
      <c r="E16" s="1597">
        <v>0</v>
      </c>
      <c r="F16" s="1602">
        <v>49525.089973000002</v>
      </c>
      <c r="G16" s="1597">
        <v>0</v>
      </c>
      <c r="H16" s="1597">
        <v>0</v>
      </c>
      <c r="I16" s="1598">
        <f t="shared" si="2"/>
        <v>87780.31</v>
      </c>
      <c r="J16" s="1599">
        <f t="shared" si="1"/>
        <v>0</v>
      </c>
    </row>
    <row r="17" spans="1:10" s="1600" customFormat="1" ht="12.75" customHeight="1" x14ac:dyDescent="0.25">
      <c r="A17" s="1593" t="s">
        <v>36</v>
      </c>
      <c r="B17" s="1594" t="s">
        <v>37</v>
      </c>
      <c r="C17" s="1595" t="s">
        <v>264</v>
      </c>
      <c r="D17" s="1601">
        <v>87149.420855999997</v>
      </c>
      <c r="E17" s="1597">
        <v>0</v>
      </c>
      <c r="F17" s="1602">
        <v>107407.259144</v>
      </c>
      <c r="G17" s="1597">
        <v>0</v>
      </c>
      <c r="H17" s="1597">
        <v>0</v>
      </c>
      <c r="I17" s="1598">
        <f t="shared" si="2"/>
        <v>194556.68</v>
      </c>
      <c r="J17" s="1599">
        <f t="shared" si="1"/>
        <v>0</v>
      </c>
    </row>
    <row r="18" spans="1:10" s="1600" customFormat="1" ht="12.75" customHeight="1" x14ac:dyDescent="0.25">
      <c r="A18" s="1593" t="s">
        <v>38</v>
      </c>
      <c r="B18" s="1594" t="s">
        <v>39</v>
      </c>
      <c r="C18" s="1595" t="s">
        <v>268</v>
      </c>
      <c r="D18" s="1603">
        <v>129952.718307</v>
      </c>
      <c r="E18" s="1597">
        <v>0</v>
      </c>
      <c r="F18" s="1604">
        <v>169447.76169300001</v>
      </c>
      <c r="G18" s="1597">
        <v>0</v>
      </c>
      <c r="H18" s="1597">
        <v>0</v>
      </c>
      <c r="I18" s="1598">
        <f t="shared" si="2"/>
        <v>299400.48</v>
      </c>
      <c r="J18" s="1599">
        <f t="shared" si="1"/>
        <v>0</v>
      </c>
    </row>
    <row r="19" spans="1:10" s="1600" customFormat="1" ht="12.75" customHeight="1" x14ac:dyDescent="0.25">
      <c r="A19" s="1593" t="s">
        <v>40</v>
      </c>
      <c r="B19" s="1594" t="s">
        <v>41</v>
      </c>
      <c r="C19" s="1595" t="s">
        <v>266</v>
      </c>
      <c r="D19" s="1603">
        <v>67192.032059999998</v>
      </c>
      <c r="E19" s="1597">
        <v>0</v>
      </c>
      <c r="F19" s="1604">
        <v>95001.967939999988</v>
      </c>
      <c r="G19" s="1597">
        <v>0</v>
      </c>
      <c r="H19" s="1597">
        <v>0</v>
      </c>
      <c r="I19" s="1598">
        <f t="shared" si="2"/>
        <v>162194</v>
      </c>
      <c r="J19" s="1599">
        <f t="shared" si="1"/>
        <v>0</v>
      </c>
    </row>
    <row r="20" spans="1:10" s="1600" customFormat="1" ht="12.75" customHeight="1" x14ac:dyDescent="0.25">
      <c r="A20" s="1593" t="s">
        <v>42</v>
      </c>
      <c r="B20" s="1594" t="s">
        <v>43</v>
      </c>
      <c r="C20" s="1595" t="s">
        <v>265</v>
      </c>
      <c r="D20" s="1603">
        <v>227281.61303999997</v>
      </c>
      <c r="E20" s="1597">
        <v>0</v>
      </c>
      <c r="F20" s="1604">
        <v>346476.58695999999</v>
      </c>
      <c r="G20" s="1597">
        <v>0</v>
      </c>
      <c r="H20" s="1597">
        <v>0</v>
      </c>
      <c r="I20" s="1598">
        <f t="shared" si="2"/>
        <v>573758.19999999995</v>
      </c>
      <c r="J20" s="1599">
        <f t="shared" si="1"/>
        <v>0</v>
      </c>
    </row>
    <row r="21" spans="1:10" s="1600" customFormat="1" ht="12.75" customHeight="1" x14ac:dyDescent="0.25">
      <c r="A21" s="1593" t="s">
        <v>44</v>
      </c>
      <c r="B21" s="1594" t="s">
        <v>45</v>
      </c>
      <c r="C21" s="1595" t="s">
        <v>266</v>
      </c>
      <c r="D21" s="1603">
        <v>201155.25662999999</v>
      </c>
      <c r="E21" s="1597">
        <v>0</v>
      </c>
      <c r="F21" s="1604">
        <v>284556.64336999995</v>
      </c>
      <c r="G21" s="1597">
        <v>0</v>
      </c>
      <c r="H21" s="1597">
        <v>0</v>
      </c>
      <c r="I21" s="1598">
        <f t="shared" si="2"/>
        <v>485711.89999999991</v>
      </c>
      <c r="J21" s="1599">
        <f t="shared" si="1"/>
        <v>0</v>
      </c>
    </row>
    <row r="22" spans="1:10" s="1600" customFormat="1" ht="12.75" customHeight="1" x14ac:dyDescent="0.25">
      <c r="A22" s="1593" t="s">
        <v>46</v>
      </c>
      <c r="B22" s="1594" t="s">
        <v>47</v>
      </c>
      <c r="C22" s="1595" t="s">
        <v>268</v>
      </c>
      <c r="D22" s="1603">
        <v>94263.072840000023</v>
      </c>
      <c r="E22" s="1597">
        <v>0</v>
      </c>
      <c r="F22" s="1604">
        <v>127185.12716000002</v>
      </c>
      <c r="G22" s="1597">
        <v>0</v>
      </c>
      <c r="H22" s="1597">
        <v>0</v>
      </c>
      <c r="I22" s="1598">
        <f t="shared" si="2"/>
        <v>221448.20000000004</v>
      </c>
      <c r="J22" s="1599">
        <f t="shared" si="1"/>
        <v>0</v>
      </c>
    </row>
    <row r="23" spans="1:10" s="1600" customFormat="1" ht="12.75" customHeight="1" x14ac:dyDescent="0.25">
      <c r="A23" s="1593" t="s">
        <v>48</v>
      </c>
      <c r="B23" s="1594" t="s">
        <v>269</v>
      </c>
      <c r="C23" s="1595" t="s">
        <v>266</v>
      </c>
      <c r="D23" s="1601">
        <v>16444.830600000001</v>
      </c>
      <c r="E23" s="1597">
        <v>0</v>
      </c>
      <c r="F23" s="1602">
        <v>19173.169399999999</v>
      </c>
      <c r="G23" s="1597">
        <v>0</v>
      </c>
      <c r="H23" s="1597">
        <v>0</v>
      </c>
      <c r="I23" s="1598">
        <f t="shared" si="2"/>
        <v>35618</v>
      </c>
      <c r="J23" s="1599">
        <f t="shared" si="1"/>
        <v>0</v>
      </c>
    </row>
    <row r="24" spans="1:10" s="1600" customFormat="1" ht="12.75" customHeight="1" x14ac:dyDescent="0.25">
      <c r="A24" s="1593" t="s">
        <v>50</v>
      </c>
      <c r="B24" s="1594" t="s">
        <v>51</v>
      </c>
      <c r="C24" s="1595" t="s">
        <v>265</v>
      </c>
      <c r="D24" s="1603">
        <v>64705.408199999998</v>
      </c>
      <c r="E24" s="1597">
        <v>0</v>
      </c>
      <c r="F24" s="1604">
        <v>95242.591799999995</v>
      </c>
      <c r="G24" s="1597">
        <v>0</v>
      </c>
      <c r="H24" s="1597">
        <v>0</v>
      </c>
      <c r="I24" s="1598">
        <f t="shared" si="2"/>
        <v>159948</v>
      </c>
      <c r="J24" s="1599">
        <f t="shared" si="1"/>
        <v>0</v>
      </c>
    </row>
    <row r="25" spans="1:10" s="1600" customFormat="1" ht="12.75" customHeight="1" x14ac:dyDescent="0.25">
      <c r="A25" s="1593" t="s">
        <v>56</v>
      </c>
      <c r="B25" s="1594" t="s">
        <v>295</v>
      </c>
      <c r="C25" s="1595" t="s">
        <v>266</v>
      </c>
      <c r="D25" s="1603">
        <v>897247.19741400005</v>
      </c>
      <c r="E25" s="1597">
        <v>0</v>
      </c>
      <c r="F25" s="1604">
        <v>1143040.8025860002</v>
      </c>
      <c r="G25" s="1597">
        <v>0</v>
      </c>
      <c r="H25" s="1597">
        <v>0</v>
      </c>
      <c r="I25" s="1598">
        <f t="shared" si="2"/>
        <v>2040288.0000000002</v>
      </c>
      <c r="J25" s="1599">
        <f t="shared" si="1"/>
        <v>0</v>
      </c>
    </row>
    <row r="26" spans="1:10" s="1600" customFormat="1" ht="12.75" customHeight="1" x14ac:dyDescent="0.25">
      <c r="A26" s="1593" t="s">
        <v>58</v>
      </c>
      <c r="B26" s="1594" t="s">
        <v>59</v>
      </c>
      <c r="C26" s="1595" t="s">
        <v>267</v>
      </c>
      <c r="D26" s="1601">
        <v>9977.7986999999994</v>
      </c>
      <c r="E26" s="1597">
        <v>0</v>
      </c>
      <c r="F26" s="1602">
        <v>13305.201300000001</v>
      </c>
      <c r="G26" s="1597">
        <v>0</v>
      </c>
      <c r="H26" s="1597">
        <v>0</v>
      </c>
      <c r="I26" s="1598">
        <f t="shared" si="2"/>
        <v>23283</v>
      </c>
      <c r="J26" s="1599">
        <f t="shared" si="1"/>
        <v>0</v>
      </c>
    </row>
    <row r="27" spans="1:10" s="1600" customFormat="1" ht="12.75" customHeight="1" x14ac:dyDescent="0.25">
      <c r="A27" s="1593" t="s">
        <v>60</v>
      </c>
      <c r="B27" s="1594" t="s">
        <v>61</v>
      </c>
      <c r="C27" s="1595" t="s">
        <v>265</v>
      </c>
      <c r="D27" s="1601">
        <v>16564.226219999997</v>
      </c>
      <c r="E27" s="1597">
        <v>0</v>
      </c>
      <c r="F27" s="1602">
        <v>22272.373779999994</v>
      </c>
      <c r="G27" s="1597">
        <v>0</v>
      </c>
      <c r="H27" s="1597">
        <v>0</v>
      </c>
      <c r="I27" s="1598">
        <f t="shared" si="2"/>
        <v>38836.599999999991</v>
      </c>
      <c r="J27" s="1599">
        <f t="shared" si="1"/>
        <v>0</v>
      </c>
    </row>
    <row r="28" spans="1:10" s="1600" customFormat="1" ht="12.75" customHeight="1" x14ac:dyDescent="0.25">
      <c r="A28" s="1593" t="s">
        <v>62</v>
      </c>
      <c r="B28" s="1594" t="s">
        <v>63</v>
      </c>
      <c r="C28" s="1595" t="s">
        <v>267</v>
      </c>
      <c r="D28" s="1603">
        <v>142994.37667499998</v>
      </c>
      <c r="E28" s="1597">
        <v>0</v>
      </c>
      <c r="F28" s="1604">
        <v>188536.37332499996</v>
      </c>
      <c r="G28" s="1597">
        <v>0</v>
      </c>
      <c r="H28" s="1597">
        <v>0</v>
      </c>
      <c r="I28" s="1598">
        <f t="shared" si="2"/>
        <v>331530.74999999994</v>
      </c>
      <c r="J28" s="1599">
        <f t="shared" si="1"/>
        <v>0</v>
      </c>
    </row>
    <row r="29" spans="1:10" s="1600" customFormat="1" ht="12.75" customHeight="1" x14ac:dyDescent="0.25">
      <c r="A29" s="1593" t="s">
        <v>64</v>
      </c>
      <c r="B29" s="1594" t="s">
        <v>65</v>
      </c>
      <c r="C29" s="1595" t="s">
        <v>266</v>
      </c>
      <c r="D29" s="1603">
        <v>60640.038125999999</v>
      </c>
      <c r="E29" s="1597">
        <v>0</v>
      </c>
      <c r="F29" s="1604">
        <v>77727.741873999999</v>
      </c>
      <c r="G29" s="1597">
        <v>0</v>
      </c>
      <c r="H29" s="1597">
        <v>0</v>
      </c>
      <c r="I29" s="1598">
        <f t="shared" si="2"/>
        <v>138367.78</v>
      </c>
      <c r="J29" s="1599">
        <f t="shared" si="1"/>
        <v>0</v>
      </c>
    </row>
    <row r="30" spans="1:10" s="1600" customFormat="1" ht="12.75" customHeight="1" x14ac:dyDescent="0.25">
      <c r="A30" s="1593" t="s">
        <v>68</v>
      </c>
      <c r="B30" s="1594" t="s">
        <v>69</v>
      </c>
      <c r="C30" s="1595" t="s">
        <v>268</v>
      </c>
      <c r="D30" s="1603">
        <v>66704.61537</v>
      </c>
      <c r="E30" s="1597">
        <v>0</v>
      </c>
      <c r="F30" s="1604">
        <v>89726.484630000006</v>
      </c>
      <c r="G30" s="1597">
        <v>0</v>
      </c>
      <c r="H30" s="1597">
        <v>0</v>
      </c>
      <c r="I30" s="1598">
        <f t="shared" si="2"/>
        <v>156431.1</v>
      </c>
      <c r="J30" s="1599">
        <f t="shared" si="1"/>
        <v>0</v>
      </c>
    </row>
    <row r="31" spans="1:10" s="1600" customFormat="1" ht="12.75" customHeight="1" x14ac:dyDescent="0.25">
      <c r="A31" s="1593" t="s">
        <v>70</v>
      </c>
      <c r="B31" s="1594" t="s">
        <v>71</v>
      </c>
      <c r="C31" s="1595" t="s">
        <v>264</v>
      </c>
      <c r="D31" s="1603">
        <v>98157.42</v>
      </c>
      <c r="E31" s="1597">
        <v>0</v>
      </c>
      <c r="F31" s="1604">
        <v>124318.58</v>
      </c>
      <c r="G31" s="1597">
        <v>0</v>
      </c>
      <c r="H31" s="1597">
        <v>0</v>
      </c>
      <c r="I31" s="1598">
        <f t="shared" si="2"/>
        <v>222476</v>
      </c>
      <c r="J31" s="1599">
        <f t="shared" si="1"/>
        <v>0</v>
      </c>
    </row>
    <row r="32" spans="1:10" s="1600" customFormat="1" ht="12.75" customHeight="1" x14ac:dyDescent="0.25">
      <c r="A32" s="1593" t="s">
        <v>72</v>
      </c>
      <c r="B32" s="1594" t="s">
        <v>73</v>
      </c>
      <c r="C32" s="1595" t="s">
        <v>266</v>
      </c>
      <c r="D32" s="1601">
        <v>69571.541519999999</v>
      </c>
      <c r="E32" s="1597">
        <v>0</v>
      </c>
      <c r="F32" s="1602">
        <v>86294.058480000007</v>
      </c>
      <c r="G32" s="1597">
        <v>0</v>
      </c>
      <c r="H32" s="1597">
        <v>0</v>
      </c>
      <c r="I32" s="1598">
        <f t="shared" si="2"/>
        <v>155865.60000000001</v>
      </c>
      <c r="J32" s="1599">
        <f t="shared" si="1"/>
        <v>0</v>
      </c>
    </row>
    <row r="33" spans="1:10" s="1600" customFormat="1" ht="12.75" customHeight="1" x14ac:dyDescent="0.25">
      <c r="A33" s="1593" t="s">
        <v>74</v>
      </c>
      <c r="B33" s="1594" t="s">
        <v>664</v>
      </c>
      <c r="C33" s="1595" t="s">
        <v>267</v>
      </c>
      <c r="D33" s="1603">
        <v>1599533.1530370002</v>
      </c>
      <c r="E33" s="1597">
        <v>0</v>
      </c>
      <c r="F33" s="1604">
        <v>2679811.9569629999</v>
      </c>
      <c r="G33" s="1597">
        <v>0</v>
      </c>
      <c r="H33" s="1597">
        <v>0</v>
      </c>
      <c r="I33" s="1598">
        <f t="shared" si="2"/>
        <v>4279345.1100000003</v>
      </c>
      <c r="J33" s="1599">
        <f t="shared" si="1"/>
        <v>0</v>
      </c>
    </row>
    <row r="34" spans="1:10" s="1600" customFormat="1" ht="12.75" customHeight="1" x14ac:dyDescent="0.25">
      <c r="A34" s="1593" t="s">
        <v>76</v>
      </c>
      <c r="B34" s="1594" t="s">
        <v>77</v>
      </c>
      <c r="C34" s="1595" t="s">
        <v>267</v>
      </c>
      <c r="D34" s="1603">
        <v>124562.73555</v>
      </c>
      <c r="E34" s="1597">
        <v>0</v>
      </c>
      <c r="F34" s="1604">
        <v>169502.76444999999</v>
      </c>
      <c r="G34" s="1597">
        <v>0</v>
      </c>
      <c r="H34" s="1597">
        <v>0</v>
      </c>
      <c r="I34" s="1598">
        <f t="shared" si="2"/>
        <v>294065.5</v>
      </c>
      <c r="J34" s="1599">
        <f t="shared" si="1"/>
        <v>0</v>
      </c>
    </row>
    <row r="35" spans="1:10" s="1600" customFormat="1" ht="12.75" customHeight="1" x14ac:dyDescent="0.25">
      <c r="A35" s="1593" t="s">
        <v>78</v>
      </c>
      <c r="B35" s="1594" t="s">
        <v>79</v>
      </c>
      <c r="C35" s="1595" t="s">
        <v>268</v>
      </c>
      <c r="D35" s="1601">
        <v>51806.618279999988</v>
      </c>
      <c r="E35" s="1597">
        <v>0</v>
      </c>
      <c r="F35" s="1602">
        <v>67267.781719999999</v>
      </c>
      <c r="G35" s="1597">
        <v>0</v>
      </c>
      <c r="H35" s="1597">
        <v>0</v>
      </c>
      <c r="I35" s="1598">
        <f t="shared" si="2"/>
        <v>119074.4</v>
      </c>
      <c r="J35" s="1599">
        <f t="shared" si="1"/>
        <v>0</v>
      </c>
    </row>
    <row r="36" spans="1:10" s="1600" customFormat="1" ht="12.75" customHeight="1" x14ac:dyDescent="0.25">
      <c r="A36" s="1593" t="s">
        <v>80</v>
      </c>
      <c r="B36" s="1594" t="s">
        <v>81</v>
      </c>
      <c r="C36" s="1595" t="s">
        <v>266</v>
      </c>
      <c r="D36" s="1603">
        <v>62261.907120000003</v>
      </c>
      <c r="E36" s="1597">
        <v>0</v>
      </c>
      <c r="F36" s="1604">
        <v>78968.692880000002</v>
      </c>
      <c r="G36" s="1597">
        <v>0</v>
      </c>
      <c r="H36" s="1597">
        <v>0</v>
      </c>
      <c r="I36" s="1598">
        <f t="shared" si="2"/>
        <v>141230.6</v>
      </c>
      <c r="J36" s="1599">
        <f t="shared" ref="J36:J67" si="3">G36+H36</f>
        <v>0</v>
      </c>
    </row>
    <row r="37" spans="1:10" s="1600" customFormat="1" ht="12.75" customHeight="1" x14ac:dyDescent="0.25">
      <c r="A37" s="1593" t="s">
        <v>84</v>
      </c>
      <c r="B37" s="1594" t="s">
        <v>308</v>
      </c>
      <c r="C37" s="1595" t="s">
        <v>265</v>
      </c>
      <c r="D37" s="1603">
        <v>201247.024122</v>
      </c>
      <c r="E37" s="1597">
        <v>0</v>
      </c>
      <c r="F37" s="1604">
        <v>263031.63587800006</v>
      </c>
      <c r="G37" s="1597">
        <v>0</v>
      </c>
      <c r="H37" s="1597">
        <v>0</v>
      </c>
      <c r="I37" s="1598">
        <f t="shared" ref="I37:I68" si="4">SUM(D37:H37)</f>
        <v>464278.66000000003</v>
      </c>
      <c r="J37" s="1599">
        <f t="shared" si="3"/>
        <v>0</v>
      </c>
    </row>
    <row r="38" spans="1:10" s="1600" customFormat="1" ht="12.75" customHeight="1" x14ac:dyDescent="0.25">
      <c r="A38" s="1593" t="s">
        <v>86</v>
      </c>
      <c r="B38" s="1594" t="s">
        <v>87</v>
      </c>
      <c r="C38" s="1595" t="s">
        <v>267</v>
      </c>
      <c r="D38" s="1601">
        <v>85121.371287000002</v>
      </c>
      <c r="E38" s="1597">
        <v>0</v>
      </c>
      <c r="F38" s="1602">
        <v>104982.73871300001</v>
      </c>
      <c r="G38" s="1597">
        <v>0</v>
      </c>
      <c r="H38" s="1597">
        <v>0</v>
      </c>
      <c r="I38" s="1598">
        <f t="shared" si="4"/>
        <v>190104.11000000002</v>
      </c>
      <c r="J38" s="1599">
        <f t="shared" si="3"/>
        <v>0</v>
      </c>
    </row>
    <row r="39" spans="1:10" s="1600" customFormat="1" ht="12.75" customHeight="1" x14ac:dyDescent="0.25">
      <c r="A39" s="1593" t="s">
        <v>92</v>
      </c>
      <c r="B39" s="1594" t="s">
        <v>93</v>
      </c>
      <c r="C39" s="1595" t="s">
        <v>268</v>
      </c>
      <c r="D39" s="1603">
        <v>52857.262799999997</v>
      </c>
      <c r="E39" s="1597">
        <v>0</v>
      </c>
      <c r="F39" s="1604">
        <v>62963.737200000003</v>
      </c>
      <c r="G39" s="1597">
        <v>0</v>
      </c>
      <c r="H39" s="1597">
        <v>0</v>
      </c>
      <c r="I39" s="1598">
        <f t="shared" si="4"/>
        <v>115821</v>
      </c>
      <c r="J39" s="1599">
        <f t="shared" si="3"/>
        <v>0</v>
      </c>
    </row>
    <row r="40" spans="1:10" s="1600" customFormat="1" ht="12.75" customHeight="1" x14ac:dyDescent="0.25">
      <c r="A40" s="1593" t="s">
        <v>94</v>
      </c>
      <c r="B40" s="1594" t="s">
        <v>95</v>
      </c>
      <c r="C40" s="1595" t="s">
        <v>264</v>
      </c>
      <c r="D40" s="1601">
        <v>109934.69445</v>
      </c>
      <c r="E40" s="1597">
        <v>0</v>
      </c>
      <c r="F40" s="1602">
        <v>148930.35555000001</v>
      </c>
      <c r="G40" s="1597">
        <v>0</v>
      </c>
      <c r="H40" s="1597">
        <v>0</v>
      </c>
      <c r="I40" s="1598">
        <f t="shared" si="4"/>
        <v>258865.05</v>
      </c>
      <c r="J40" s="1599">
        <f t="shared" si="3"/>
        <v>0</v>
      </c>
    </row>
    <row r="41" spans="1:10" s="1600" customFormat="1" ht="12.75" customHeight="1" x14ac:dyDescent="0.25">
      <c r="A41" s="1593" t="s">
        <v>96</v>
      </c>
      <c r="B41" s="1594" t="s">
        <v>97</v>
      </c>
      <c r="C41" s="1595" t="s">
        <v>266</v>
      </c>
      <c r="D41" s="1601">
        <v>29189.061827999998</v>
      </c>
      <c r="E41" s="1597">
        <v>0</v>
      </c>
      <c r="F41" s="1602">
        <v>39057.778171999998</v>
      </c>
      <c r="G41" s="1597">
        <v>0</v>
      </c>
      <c r="H41" s="1597">
        <v>0</v>
      </c>
      <c r="I41" s="1598">
        <f t="shared" si="4"/>
        <v>68246.84</v>
      </c>
      <c r="J41" s="1599">
        <f t="shared" si="3"/>
        <v>0</v>
      </c>
    </row>
    <row r="42" spans="1:10" s="1600" customFormat="1" ht="12.75" customHeight="1" x14ac:dyDescent="0.25">
      <c r="A42" s="1593" t="s">
        <v>98</v>
      </c>
      <c r="B42" s="1594" t="s">
        <v>99</v>
      </c>
      <c r="C42" s="1595" t="s">
        <v>268</v>
      </c>
      <c r="D42" s="1601">
        <v>36775.443825000002</v>
      </c>
      <c r="E42" s="1597">
        <v>0</v>
      </c>
      <c r="F42" s="1602">
        <v>42876.806174999998</v>
      </c>
      <c r="G42" s="1597">
        <v>0</v>
      </c>
      <c r="H42" s="1597">
        <v>0</v>
      </c>
      <c r="I42" s="1598">
        <f t="shared" si="4"/>
        <v>79652.25</v>
      </c>
      <c r="J42" s="1599">
        <f t="shared" si="3"/>
        <v>0</v>
      </c>
    </row>
    <row r="43" spans="1:10" s="1600" customFormat="1" ht="12.75" customHeight="1" x14ac:dyDescent="0.25">
      <c r="A43" s="1593" t="s">
        <v>100</v>
      </c>
      <c r="B43" s="1594" t="s">
        <v>101</v>
      </c>
      <c r="C43" s="1595" t="s">
        <v>267</v>
      </c>
      <c r="D43" s="1601">
        <v>70945.579188000003</v>
      </c>
      <c r="E43" s="1597">
        <v>0</v>
      </c>
      <c r="F43" s="1602">
        <v>97527.050812000016</v>
      </c>
      <c r="G43" s="1597">
        <v>0</v>
      </c>
      <c r="H43" s="1597">
        <v>0</v>
      </c>
      <c r="I43" s="1598">
        <f t="shared" si="4"/>
        <v>168472.63</v>
      </c>
      <c r="J43" s="1599">
        <f t="shared" si="3"/>
        <v>0</v>
      </c>
    </row>
    <row r="44" spans="1:10" s="1600" customFormat="1" ht="12.75" customHeight="1" x14ac:dyDescent="0.25">
      <c r="A44" s="1593" t="s">
        <v>102</v>
      </c>
      <c r="B44" s="1594" t="s">
        <v>103</v>
      </c>
      <c r="C44" s="1595" t="s">
        <v>264</v>
      </c>
      <c r="D44" s="1601">
        <v>132789.12147000001</v>
      </c>
      <c r="E44" s="1597">
        <v>0</v>
      </c>
      <c r="F44" s="1602">
        <v>171416.97853000002</v>
      </c>
      <c r="G44" s="1597">
        <v>0</v>
      </c>
      <c r="H44" s="1597">
        <v>0</v>
      </c>
      <c r="I44" s="1598">
        <f t="shared" si="4"/>
        <v>304206.10000000003</v>
      </c>
      <c r="J44" s="1599">
        <f t="shared" si="3"/>
        <v>0</v>
      </c>
    </row>
    <row r="45" spans="1:10" s="1600" customFormat="1" ht="12.75" customHeight="1" x14ac:dyDescent="0.25">
      <c r="A45" s="1593" t="s">
        <v>104</v>
      </c>
      <c r="B45" s="1594" t="s">
        <v>309</v>
      </c>
      <c r="C45" s="1595" t="s">
        <v>265</v>
      </c>
      <c r="D45" s="1603">
        <v>192072.49569899999</v>
      </c>
      <c r="E45" s="1597">
        <v>0</v>
      </c>
      <c r="F45" s="1604">
        <v>241033.53430099998</v>
      </c>
      <c r="G45" s="1597">
        <v>0</v>
      </c>
      <c r="H45" s="1597">
        <v>0</v>
      </c>
      <c r="I45" s="1598">
        <f t="shared" si="4"/>
        <v>433106.02999999997</v>
      </c>
      <c r="J45" s="1599">
        <f t="shared" si="3"/>
        <v>0</v>
      </c>
    </row>
    <row r="46" spans="1:10" s="1600" customFormat="1" ht="12.75" customHeight="1" x14ac:dyDescent="0.25">
      <c r="A46" s="1593" t="s">
        <v>108</v>
      </c>
      <c r="B46" s="1594" t="s">
        <v>109</v>
      </c>
      <c r="C46" s="1595" t="s">
        <v>266</v>
      </c>
      <c r="D46" s="1603">
        <v>112356.08010000001</v>
      </c>
      <c r="E46" s="1597">
        <v>0</v>
      </c>
      <c r="F46" s="1604">
        <v>179549.91989999998</v>
      </c>
      <c r="G46" s="1597">
        <v>0</v>
      </c>
      <c r="H46" s="1597">
        <v>0</v>
      </c>
      <c r="I46" s="1598">
        <f t="shared" si="4"/>
        <v>291906</v>
      </c>
      <c r="J46" s="1599">
        <f t="shared" si="3"/>
        <v>0</v>
      </c>
    </row>
    <row r="47" spans="1:10" s="1600" customFormat="1" ht="12.75" customHeight="1" x14ac:dyDescent="0.25">
      <c r="A47" s="1593" t="s">
        <v>110</v>
      </c>
      <c r="B47" s="1594" t="s">
        <v>111</v>
      </c>
      <c r="C47" s="1595" t="s">
        <v>266</v>
      </c>
      <c r="D47" s="1603">
        <v>1217851.8390090002</v>
      </c>
      <c r="E47" s="1597">
        <v>0</v>
      </c>
      <c r="F47" s="1604">
        <v>1795171.7709910003</v>
      </c>
      <c r="G47" s="1597">
        <v>0</v>
      </c>
      <c r="H47" s="1597">
        <v>0</v>
      </c>
      <c r="I47" s="1598">
        <f t="shared" si="4"/>
        <v>3013023.6100000003</v>
      </c>
      <c r="J47" s="1599">
        <f t="shared" si="3"/>
        <v>0</v>
      </c>
    </row>
    <row r="48" spans="1:10" s="1600" customFormat="1" ht="12.75" customHeight="1" x14ac:dyDescent="0.25">
      <c r="A48" s="1593" t="s">
        <v>112</v>
      </c>
      <c r="B48" s="1594" t="s">
        <v>300</v>
      </c>
      <c r="C48" s="1595" t="s">
        <v>265</v>
      </c>
      <c r="D48" s="1603">
        <v>503884.90108800004</v>
      </c>
      <c r="E48" s="1597">
        <v>0</v>
      </c>
      <c r="F48" s="1604">
        <v>640398.98891200009</v>
      </c>
      <c r="G48" s="1597">
        <v>0</v>
      </c>
      <c r="H48" s="1597">
        <v>0</v>
      </c>
      <c r="I48" s="1598">
        <f t="shared" si="4"/>
        <v>1144283.8900000001</v>
      </c>
      <c r="J48" s="1599">
        <f t="shared" si="3"/>
        <v>0</v>
      </c>
    </row>
    <row r="49" spans="1:10" s="1600" customFormat="1" ht="12.75" customHeight="1" x14ac:dyDescent="0.25">
      <c r="A49" s="1593" t="s">
        <v>114</v>
      </c>
      <c r="B49" s="1594" t="s">
        <v>115</v>
      </c>
      <c r="C49" s="1595" t="s">
        <v>265</v>
      </c>
      <c r="D49" s="1601">
        <v>3962.3094000000001</v>
      </c>
      <c r="E49" s="1597">
        <v>0</v>
      </c>
      <c r="F49" s="1602">
        <v>4619.6905999999999</v>
      </c>
      <c r="G49" s="1597">
        <v>0</v>
      </c>
      <c r="H49" s="1597">
        <v>0</v>
      </c>
      <c r="I49" s="1598">
        <f t="shared" si="4"/>
        <v>8582</v>
      </c>
      <c r="J49" s="1599">
        <f t="shared" si="3"/>
        <v>0</v>
      </c>
    </row>
    <row r="50" spans="1:10" s="1600" customFormat="1" ht="12.75" customHeight="1" x14ac:dyDescent="0.25">
      <c r="A50" s="1593" t="s">
        <v>118</v>
      </c>
      <c r="B50" s="1594" t="s">
        <v>119</v>
      </c>
      <c r="C50" s="1595" t="s">
        <v>264</v>
      </c>
      <c r="D50" s="1603">
        <v>111878.996256</v>
      </c>
      <c r="E50" s="1597">
        <v>0</v>
      </c>
      <c r="F50" s="1604">
        <v>135896.68374399998</v>
      </c>
      <c r="G50" s="1597">
        <v>0</v>
      </c>
      <c r="H50" s="1597">
        <v>0</v>
      </c>
      <c r="I50" s="1598">
        <f t="shared" si="4"/>
        <v>247775.68</v>
      </c>
      <c r="J50" s="1599">
        <f t="shared" si="3"/>
        <v>0</v>
      </c>
    </row>
    <row r="51" spans="1:10" s="1600" customFormat="1" ht="12.75" customHeight="1" x14ac:dyDescent="0.25">
      <c r="A51" s="1593" t="s">
        <v>120</v>
      </c>
      <c r="B51" s="1594" t="s">
        <v>121</v>
      </c>
      <c r="C51" s="1595" t="s">
        <v>264</v>
      </c>
      <c r="D51" s="1603">
        <v>244595.99556899996</v>
      </c>
      <c r="E51" s="1597">
        <v>0</v>
      </c>
      <c r="F51" s="1604">
        <v>307588.57443099999</v>
      </c>
      <c r="G51" s="1597">
        <v>0</v>
      </c>
      <c r="H51" s="1597">
        <v>0</v>
      </c>
      <c r="I51" s="1598">
        <f t="shared" si="4"/>
        <v>552184.56999999995</v>
      </c>
      <c r="J51" s="1599">
        <f t="shared" si="3"/>
        <v>0</v>
      </c>
    </row>
    <row r="52" spans="1:10" s="1600" customFormat="1" ht="12.75" customHeight="1" x14ac:dyDescent="0.25">
      <c r="A52" s="1593" t="s">
        <v>122</v>
      </c>
      <c r="B52" s="1594" t="s">
        <v>271</v>
      </c>
      <c r="C52" s="1595" t="s">
        <v>266</v>
      </c>
      <c r="D52" s="1601">
        <v>35206.933499999999</v>
      </c>
      <c r="E52" s="1597">
        <v>0</v>
      </c>
      <c r="F52" s="1602">
        <v>44620.066500000001</v>
      </c>
      <c r="G52" s="1597">
        <v>0</v>
      </c>
      <c r="H52" s="1597">
        <v>0</v>
      </c>
      <c r="I52" s="1598">
        <f t="shared" si="4"/>
        <v>79827</v>
      </c>
      <c r="J52" s="1599">
        <f t="shared" si="3"/>
        <v>0</v>
      </c>
    </row>
    <row r="53" spans="1:10" s="1600" customFormat="1" ht="12.75" customHeight="1" x14ac:dyDescent="0.25">
      <c r="A53" s="1593" t="s">
        <v>124</v>
      </c>
      <c r="B53" s="1594" t="s">
        <v>125</v>
      </c>
      <c r="C53" s="1595" t="s">
        <v>267</v>
      </c>
      <c r="D53" s="1603">
        <v>96686.905499999993</v>
      </c>
      <c r="E53" s="1597">
        <v>0</v>
      </c>
      <c r="F53" s="1604">
        <v>114852.2945</v>
      </c>
      <c r="G53" s="1597">
        <v>0</v>
      </c>
      <c r="H53" s="1597">
        <v>0</v>
      </c>
      <c r="I53" s="1598">
        <f t="shared" si="4"/>
        <v>211539.20000000001</v>
      </c>
      <c r="J53" s="1599">
        <f t="shared" si="3"/>
        <v>0</v>
      </c>
    </row>
    <row r="54" spans="1:10" s="1600" customFormat="1" ht="12.75" customHeight="1" x14ac:dyDescent="0.25">
      <c r="A54" s="1593" t="s">
        <v>126</v>
      </c>
      <c r="B54" s="1594" t="s">
        <v>127</v>
      </c>
      <c r="C54" s="1595" t="s">
        <v>266</v>
      </c>
      <c r="D54" s="1601">
        <v>33262.123824000002</v>
      </c>
      <c r="E54" s="1597">
        <v>0</v>
      </c>
      <c r="F54" s="1602">
        <v>46180.836175999997</v>
      </c>
      <c r="G54" s="1597">
        <v>0</v>
      </c>
      <c r="H54" s="1597">
        <v>0</v>
      </c>
      <c r="I54" s="1598">
        <f t="shared" si="4"/>
        <v>79442.959999999992</v>
      </c>
      <c r="J54" s="1599">
        <f t="shared" si="3"/>
        <v>0</v>
      </c>
    </row>
    <row r="55" spans="1:10" s="1600" customFormat="1" ht="12.75" customHeight="1" x14ac:dyDescent="0.25">
      <c r="A55" s="1593" t="s">
        <v>128</v>
      </c>
      <c r="B55" s="1594" t="s">
        <v>129</v>
      </c>
      <c r="C55" s="1595" t="s">
        <v>266</v>
      </c>
      <c r="D55" s="1603">
        <v>45918.650520000003</v>
      </c>
      <c r="E55" s="1597">
        <v>0</v>
      </c>
      <c r="F55" s="1604">
        <v>54691.949480000003</v>
      </c>
      <c r="G55" s="1597">
        <v>0</v>
      </c>
      <c r="H55" s="1597">
        <v>0</v>
      </c>
      <c r="I55" s="1598">
        <f t="shared" si="4"/>
        <v>100610.6</v>
      </c>
      <c r="J55" s="1599">
        <f t="shared" si="3"/>
        <v>0</v>
      </c>
    </row>
    <row r="56" spans="1:10" s="1600" customFormat="1" ht="12.75" customHeight="1" x14ac:dyDescent="0.25">
      <c r="A56" s="1593" t="s">
        <v>130</v>
      </c>
      <c r="B56" s="1594" t="s">
        <v>131</v>
      </c>
      <c r="C56" s="1595" t="s">
        <v>268</v>
      </c>
      <c r="D56" s="1603">
        <v>252745.720821</v>
      </c>
      <c r="E56" s="1597">
        <v>0</v>
      </c>
      <c r="F56" s="1604">
        <v>415076.40917900001</v>
      </c>
      <c r="G56" s="1597">
        <v>0</v>
      </c>
      <c r="H56" s="1597">
        <v>0</v>
      </c>
      <c r="I56" s="1598">
        <f t="shared" si="4"/>
        <v>667822.13</v>
      </c>
      <c r="J56" s="1599">
        <f t="shared" si="3"/>
        <v>0</v>
      </c>
    </row>
    <row r="57" spans="1:10" s="1600" customFormat="1" ht="12.75" customHeight="1" x14ac:dyDescent="0.25">
      <c r="A57" s="1593" t="s">
        <v>132</v>
      </c>
      <c r="B57" s="1594" t="s">
        <v>133</v>
      </c>
      <c r="C57" s="1595" t="s">
        <v>267</v>
      </c>
      <c r="D57" s="1603">
        <v>248354.85224699997</v>
      </c>
      <c r="E57" s="1597">
        <v>0</v>
      </c>
      <c r="F57" s="1604">
        <v>477912.92775299994</v>
      </c>
      <c r="G57" s="1597">
        <v>0</v>
      </c>
      <c r="H57" s="1597">
        <v>0</v>
      </c>
      <c r="I57" s="1598">
        <f t="shared" si="4"/>
        <v>726267.77999999991</v>
      </c>
      <c r="J57" s="1599">
        <f t="shared" si="3"/>
        <v>0</v>
      </c>
    </row>
    <row r="58" spans="1:10" s="1600" customFormat="1" ht="12.75" customHeight="1" x14ac:dyDescent="0.25">
      <c r="A58" s="1593" t="s">
        <v>134</v>
      </c>
      <c r="B58" s="1594" t="s">
        <v>135</v>
      </c>
      <c r="C58" s="1595" t="s">
        <v>267</v>
      </c>
      <c r="D58" s="1603">
        <v>104947.609581</v>
      </c>
      <c r="E58" s="1597">
        <v>0</v>
      </c>
      <c r="F58" s="1604">
        <v>135321.320419</v>
      </c>
      <c r="G58" s="1597">
        <v>0</v>
      </c>
      <c r="H58" s="1597">
        <v>0</v>
      </c>
      <c r="I58" s="1598">
        <f t="shared" si="4"/>
        <v>240268.93</v>
      </c>
      <c r="J58" s="1599">
        <f t="shared" si="3"/>
        <v>0</v>
      </c>
    </row>
    <row r="59" spans="1:10" s="1600" customFormat="1" ht="12.75" customHeight="1" x14ac:dyDescent="0.25">
      <c r="A59" s="1593" t="s">
        <v>136</v>
      </c>
      <c r="B59" s="1594" t="s">
        <v>137</v>
      </c>
      <c r="C59" s="1595" t="s">
        <v>266</v>
      </c>
      <c r="D59" s="1601">
        <v>37781.3727</v>
      </c>
      <c r="E59" s="1597">
        <v>0</v>
      </c>
      <c r="F59" s="1602">
        <v>48718.6273</v>
      </c>
      <c r="G59" s="1597">
        <v>0</v>
      </c>
      <c r="H59" s="1597">
        <v>0</v>
      </c>
      <c r="I59" s="1598">
        <f t="shared" si="4"/>
        <v>86500</v>
      </c>
      <c r="J59" s="1599">
        <f t="shared" si="3"/>
        <v>0</v>
      </c>
    </row>
    <row r="60" spans="1:10" s="1600" customFormat="1" ht="12.75" customHeight="1" x14ac:dyDescent="0.25">
      <c r="A60" s="1593" t="s">
        <v>140</v>
      </c>
      <c r="B60" s="1594" t="s">
        <v>141</v>
      </c>
      <c r="C60" s="1595" t="s">
        <v>267</v>
      </c>
      <c r="D60" s="1603">
        <v>22110.452873999999</v>
      </c>
      <c r="E60" s="1597">
        <v>0</v>
      </c>
      <c r="F60" s="1604">
        <v>28710.767126000002</v>
      </c>
      <c r="G60" s="1597">
        <v>0</v>
      </c>
      <c r="H60" s="1597">
        <v>0</v>
      </c>
      <c r="I60" s="1598">
        <f t="shared" si="4"/>
        <v>50821.22</v>
      </c>
      <c r="J60" s="1599">
        <f t="shared" si="3"/>
        <v>0</v>
      </c>
    </row>
    <row r="61" spans="1:10" s="1600" customFormat="1" ht="12.75" customHeight="1" x14ac:dyDescent="0.25">
      <c r="A61" s="1593" t="s">
        <v>146</v>
      </c>
      <c r="B61" s="1594" t="s">
        <v>147</v>
      </c>
      <c r="C61" s="1595" t="s">
        <v>264</v>
      </c>
      <c r="D61" s="1601">
        <v>23354.1711</v>
      </c>
      <c r="E61" s="1597">
        <v>0</v>
      </c>
      <c r="F61" s="1602">
        <v>33681.8289</v>
      </c>
      <c r="G61" s="1597">
        <v>0</v>
      </c>
      <c r="H61" s="1597">
        <v>0</v>
      </c>
      <c r="I61" s="1598">
        <f t="shared" si="4"/>
        <v>57036</v>
      </c>
      <c r="J61" s="1599">
        <f t="shared" si="3"/>
        <v>0</v>
      </c>
    </row>
    <row r="62" spans="1:10" s="1600" customFormat="1" ht="12.75" customHeight="1" x14ac:dyDescent="0.25">
      <c r="A62" s="1593" t="s">
        <v>148</v>
      </c>
      <c r="B62" s="1594" t="s">
        <v>149</v>
      </c>
      <c r="C62" s="1595" t="s">
        <v>265</v>
      </c>
      <c r="D62" s="1603">
        <v>142450.43867100001</v>
      </c>
      <c r="E62" s="1597">
        <v>0</v>
      </c>
      <c r="F62" s="1604">
        <v>174491.19132899999</v>
      </c>
      <c r="G62" s="1597">
        <v>0</v>
      </c>
      <c r="H62" s="1597">
        <v>0</v>
      </c>
      <c r="I62" s="1598">
        <f t="shared" si="4"/>
        <v>316941.63</v>
      </c>
      <c r="J62" s="1599">
        <f t="shared" si="3"/>
        <v>0</v>
      </c>
    </row>
    <row r="63" spans="1:10" s="1600" customFormat="1" ht="12.75" customHeight="1" x14ac:dyDescent="0.25">
      <c r="A63" s="1593" t="s">
        <v>150</v>
      </c>
      <c r="B63" s="1594" t="s">
        <v>151</v>
      </c>
      <c r="C63" s="1595" t="s">
        <v>266</v>
      </c>
      <c r="D63" s="1603">
        <v>52517.174580000006</v>
      </c>
      <c r="E63" s="1597">
        <v>0</v>
      </c>
      <c r="F63" s="1604">
        <v>78175.225420000002</v>
      </c>
      <c r="G63" s="1597">
        <v>0</v>
      </c>
      <c r="H63" s="1597">
        <v>0</v>
      </c>
      <c r="I63" s="1598">
        <f t="shared" si="4"/>
        <v>130692.40000000001</v>
      </c>
      <c r="J63" s="1599">
        <f t="shared" si="3"/>
        <v>0</v>
      </c>
    </row>
    <row r="64" spans="1:10" s="1600" customFormat="1" ht="12.75" customHeight="1" x14ac:dyDescent="0.25">
      <c r="A64" s="1593" t="s">
        <v>152</v>
      </c>
      <c r="B64" s="1594" t="s">
        <v>153</v>
      </c>
      <c r="C64" s="1595" t="s">
        <v>268</v>
      </c>
      <c r="D64" s="1603">
        <v>374046.36119100003</v>
      </c>
      <c r="E64" s="1597">
        <v>0</v>
      </c>
      <c r="F64" s="1604">
        <v>515127.2188090001</v>
      </c>
      <c r="G64" s="1597">
        <v>0</v>
      </c>
      <c r="H64" s="1597">
        <v>0</v>
      </c>
      <c r="I64" s="1598">
        <f t="shared" si="4"/>
        <v>889173.58000000007</v>
      </c>
      <c r="J64" s="1599">
        <f t="shared" si="3"/>
        <v>0</v>
      </c>
    </row>
    <row r="65" spans="1:10" s="1600" customFormat="1" ht="12.75" customHeight="1" x14ac:dyDescent="0.25">
      <c r="A65" s="1593" t="s">
        <v>154</v>
      </c>
      <c r="B65" s="1594" t="s">
        <v>155</v>
      </c>
      <c r="C65" s="1595" t="s">
        <v>265</v>
      </c>
      <c r="D65" s="1601">
        <v>52510.382973</v>
      </c>
      <c r="E65" s="1597">
        <v>0</v>
      </c>
      <c r="F65" s="1602">
        <v>71979.197027000002</v>
      </c>
      <c r="G65" s="1597">
        <v>0</v>
      </c>
      <c r="H65" s="1597">
        <v>0</v>
      </c>
      <c r="I65" s="1598">
        <f t="shared" si="4"/>
        <v>124489.58</v>
      </c>
      <c r="J65" s="1599">
        <f t="shared" si="3"/>
        <v>0</v>
      </c>
    </row>
    <row r="66" spans="1:10" s="1600" customFormat="1" ht="12.75" customHeight="1" x14ac:dyDescent="0.25">
      <c r="A66" s="1593" t="s">
        <v>156</v>
      </c>
      <c r="B66" s="1594" t="s">
        <v>157</v>
      </c>
      <c r="C66" s="1595" t="s">
        <v>266</v>
      </c>
      <c r="D66" s="1601">
        <v>45247.869675000002</v>
      </c>
      <c r="E66" s="1597">
        <v>0</v>
      </c>
      <c r="F66" s="1602">
        <v>61829.400324999995</v>
      </c>
      <c r="G66" s="1597">
        <v>0</v>
      </c>
      <c r="H66" s="1597">
        <v>0</v>
      </c>
      <c r="I66" s="1598">
        <f t="shared" si="4"/>
        <v>107077.26999999999</v>
      </c>
      <c r="J66" s="1599">
        <f t="shared" si="3"/>
        <v>0</v>
      </c>
    </row>
    <row r="67" spans="1:10" s="1600" customFormat="1" ht="12.75" customHeight="1" x14ac:dyDescent="0.25">
      <c r="A67" s="1593" t="s">
        <v>162</v>
      </c>
      <c r="B67" s="1594" t="s">
        <v>163</v>
      </c>
      <c r="C67" s="1595" t="s">
        <v>264</v>
      </c>
      <c r="D67" s="1601">
        <v>71329.41810000001</v>
      </c>
      <c r="E67" s="1597">
        <v>0</v>
      </c>
      <c r="F67" s="1602">
        <v>87410.581900000019</v>
      </c>
      <c r="G67" s="1597">
        <v>0</v>
      </c>
      <c r="H67" s="1597">
        <v>0</v>
      </c>
      <c r="I67" s="1598">
        <f t="shared" si="4"/>
        <v>158740.00000000003</v>
      </c>
      <c r="J67" s="1599">
        <f t="shared" si="3"/>
        <v>0</v>
      </c>
    </row>
    <row r="68" spans="1:10" s="1600" customFormat="1" ht="12.75" customHeight="1" x14ac:dyDescent="0.25">
      <c r="A68" s="1593" t="s">
        <v>164</v>
      </c>
      <c r="B68" s="1594" t="s">
        <v>165</v>
      </c>
      <c r="C68" s="1595" t="s">
        <v>266</v>
      </c>
      <c r="D68" s="1603">
        <v>32173.472160000001</v>
      </c>
      <c r="E68" s="1597">
        <v>0</v>
      </c>
      <c r="F68" s="1604">
        <v>40117.327839999998</v>
      </c>
      <c r="G68" s="1597">
        <v>0</v>
      </c>
      <c r="H68" s="1597">
        <v>0</v>
      </c>
      <c r="I68" s="1598">
        <f t="shared" si="4"/>
        <v>72290.8</v>
      </c>
      <c r="J68" s="1599">
        <f t="shared" ref="J68:J99" si="5">G68+H68</f>
        <v>0</v>
      </c>
    </row>
    <row r="69" spans="1:10" s="1600" customFormat="1" ht="12.75" customHeight="1" x14ac:dyDescent="0.25">
      <c r="A69" s="1593" t="s">
        <v>168</v>
      </c>
      <c r="B69" s="1594" t="s">
        <v>169</v>
      </c>
      <c r="C69" s="1595" t="s">
        <v>266</v>
      </c>
      <c r="D69" s="1601">
        <v>103091.6079</v>
      </c>
      <c r="E69" s="1597">
        <v>0</v>
      </c>
      <c r="F69" s="1602">
        <v>135649.3921</v>
      </c>
      <c r="G69" s="1597">
        <v>0</v>
      </c>
      <c r="H69" s="1597">
        <v>0</v>
      </c>
      <c r="I69" s="1598">
        <f t="shared" ref="I69:I100" si="6">SUM(D69:H69)</f>
        <v>238741</v>
      </c>
      <c r="J69" s="1599">
        <f t="shared" si="5"/>
        <v>0</v>
      </c>
    </row>
    <row r="70" spans="1:10" s="1600" customFormat="1" ht="12.75" customHeight="1" x14ac:dyDescent="0.25">
      <c r="A70" s="1593" t="s">
        <v>170</v>
      </c>
      <c r="B70" s="1594" t="s">
        <v>171</v>
      </c>
      <c r="C70" s="1595" t="s">
        <v>267</v>
      </c>
      <c r="D70" s="1603">
        <v>125060.26346999999</v>
      </c>
      <c r="E70" s="1597">
        <v>0</v>
      </c>
      <c r="F70" s="1604">
        <v>172123.83653</v>
      </c>
      <c r="G70" s="1597">
        <v>0</v>
      </c>
      <c r="H70" s="1597">
        <v>0</v>
      </c>
      <c r="I70" s="1598">
        <f t="shared" si="6"/>
        <v>297184.09999999998</v>
      </c>
      <c r="J70" s="1599">
        <f t="shared" si="5"/>
        <v>0</v>
      </c>
    </row>
    <row r="71" spans="1:10" s="1600" customFormat="1" ht="12.75" customHeight="1" x14ac:dyDescent="0.25">
      <c r="A71" s="1593" t="s">
        <v>172</v>
      </c>
      <c r="B71" s="1594" t="s">
        <v>173</v>
      </c>
      <c r="C71" s="1595" t="s">
        <v>267</v>
      </c>
      <c r="D71" s="1601">
        <v>33383.772539999998</v>
      </c>
      <c r="E71" s="1597">
        <v>0</v>
      </c>
      <c r="F71" s="1602">
        <v>42919.427459999999</v>
      </c>
      <c r="G71" s="1597">
        <v>0</v>
      </c>
      <c r="H71" s="1597">
        <v>0</v>
      </c>
      <c r="I71" s="1598">
        <f t="shared" si="6"/>
        <v>76303.199999999997</v>
      </c>
      <c r="J71" s="1599">
        <f t="shared" si="5"/>
        <v>0</v>
      </c>
    </row>
    <row r="72" spans="1:10" s="1600" customFormat="1" ht="12.75" customHeight="1" x14ac:dyDescent="0.25">
      <c r="A72" s="1593" t="s">
        <v>174</v>
      </c>
      <c r="B72" s="1594" t="s">
        <v>175</v>
      </c>
      <c r="C72" s="1595" t="s">
        <v>268</v>
      </c>
      <c r="D72" s="1603">
        <v>84610.998873000004</v>
      </c>
      <c r="E72" s="1597">
        <v>0</v>
      </c>
      <c r="F72" s="1604">
        <v>133892.03112699999</v>
      </c>
      <c r="G72" s="1597">
        <v>0</v>
      </c>
      <c r="H72" s="1597">
        <v>0</v>
      </c>
      <c r="I72" s="1598">
        <f t="shared" si="6"/>
        <v>218503.03</v>
      </c>
      <c r="J72" s="1599">
        <f t="shared" si="5"/>
        <v>0</v>
      </c>
    </row>
    <row r="73" spans="1:10" s="1600" customFormat="1" ht="12.75" customHeight="1" x14ac:dyDescent="0.25">
      <c r="A73" s="1593" t="s">
        <v>178</v>
      </c>
      <c r="B73" s="1594" t="s">
        <v>179</v>
      </c>
      <c r="C73" s="1595" t="s">
        <v>265</v>
      </c>
      <c r="D73" s="1603">
        <v>199827.472068</v>
      </c>
      <c r="E73" s="1597">
        <v>0</v>
      </c>
      <c r="F73" s="1604">
        <v>249682.56793200003</v>
      </c>
      <c r="G73" s="1597">
        <v>0</v>
      </c>
      <c r="H73" s="1597">
        <v>0</v>
      </c>
      <c r="I73" s="1598">
        <f t="shared" si="6"/>
        <v>449510.04000000004</v>
      </c>
      <c r="J73" s="1599">
        <f t="shared" si="5"/>
        <v>0</v>
      </c>
    </row>
    <row r="74" spans="1:10" s="1600" customFormat="1" ht="12.75" customHeight="1" x14ac:dyDescent="0.25">
      <c r="A74" s="1593" t="s">
        <v>182</v>
      </c>
      <c r="B74" s="1594" t="s">
        <v>183</v>
      </c>
      <c r="C74" s="1595" t="s">
        <v>266</v>
      </c>
      <c r="D74" s="1601">
        <v>35553.208500000001</v>
      </c>
      <c r="E74" s="1597">
        <v>0</v>
      </c>
      <c r="F74" s="1602">
        <v>47495.791499999999</v>
      </c>
      <c r="G74" s="1597">
        <v>0</v>
      </c>
      <c r="H74" s="1597">
        <v>0</v>
      </c>
      <c r="I74" s="1598">
        <f t="shared" si="6"/>
        <v>83049</v>
      </c>
      <c r="J74" s="1599">
        <f t="shared" si="5"/>
        <v>0</v>
      </c>
    </row>
    <row r="75" spans="1:10" s="1600" customFormat="1" ht="12.75" customHeight="1" x14ac:dyDescent="0.25">
      <c r="A75" s="1593" t="s">
        <v>184</v>
      </c>
      <c r="B75" s="1594" t="s">
        <v>185</v>
      </c>
      <c r="C75" s="1595" t="s">
        <v>266</v>
      </c>
      <c r="D75" s="1603">
        <v>109034.1486</v>
      </c>
      <c r="E75" s="1597">
        <v>0</v>
      </c>
      <c r="F75" s="1604">
        <v>150105.35139999999</v>
      </c>
      <c r="G75" s="1597">
        <v>0</v>
      </c>
      <c r="H75" s="1597">
        <v>0</v>
      </c>
      <c r="I75" s="1598">
        <f t="shared" si="6"/>
        <v>259139.5</v>
      </c>
      <c r="J75" s="1599">
        <f t="shared" si="5"/>
        <v>0</v>
      </c>
    </row>
    <row r="76" spans="1:10" s="1600" customFormat="1" ht="12.75" customHeight="1" x14ac:dyDescent="0.25">
      <c r="A76" s="1593" t="s">
        <v>186</v>
      </c>
      <c r="B76" s="1594" t="s">
        <v>187</v>
      </c>
      <c r="C76" s="1595" t="s">
        <v>264</v>
      </c>
      <c r="D76" s="1603">
        <v>96431.206806000002</v>
      </c>
      <c r="E76" s="1597">
        <v>0</v>
      </c>
      <c r="F76" s="1604">
        <v>124402.97319399999</v>
      </c>
      <c r="G76" s="1597">
        <v>0</v>
      </c>
      <c r="H76" s="1597">
        <v>0</v>
      </c>
      <c r="I76" s="1598">
        <f t="shared" si="6"/>
        <v>220834.18</v>
      </c>
      <c r="J76" s="1599">
        <f t="shared" si="5"/>
        <v>0</v>
      </c>
    </row>
    <row r="77" spans="1:10" s="1600" customFormat="1" ht="12.75" customHeight="1" x14ac:dyDescent="0.25">
      <c r="A77" s="1593" t="s">
        <v>188</v>
      </c>
      <c r="B77" s="1594" t="s">
        <v>189</v>
      </c>
      <c r="C77" s="1595" t="s">
        <v>267</v>
      </c>
      <c r="D77" s="1603">
        <v>1296009.467685</v>
      </c>
      <c r="E77" s="1597">
        <v>0</v>
      </c>
      <c r="F77" s="1604">
        <v>2054084.3823150003</v>
      </c>
      <c r="G77" s="1597">
        <v>0</v>
      </c>
      <c r="H77" s="1597">
        <v>0</v>
      </c>
      <c r="I77" s="1598">
        <f t="shared" si="6"/>
        <v>3350093.8500000006</v>
      </c>
      <c r="J77" s="1599">
        <f t="shared" si="5"/>
        <v>0</v>
      </c>
    </row>
    <row r="78" spans="1:10" s="1600" customFormat="1" ht="12.75" customHeight="1" x14ac:dyDescent="0.25">
      <c r="A78" s="1593" t="s">
        <v>190</v>
      </c>
      <c r="B78" s="1594" t="s">
        <v>191</v>
      </c>
      <c r="C78" s="1595" t="s">
        <v>268</v>
      </c>
      <c r="D78" s="1603">
        <v>130366.39689</v>
      </c>
      <c r="E78" s="1597">
        <v>0</v>
      </c>
      <c r="F78" s="1604">
        <v>163286.73311</v>
      </c>
      <c r="G78" s="1597">
        <v>0</v>
      </c>
      <c r="H78" s="1597">
        <v>0</v>
      </c>
      <c r="I78" s="1598">
        <f t="shared" si="6"/>
        <v>293653.13</v>
      </c>
      <c r="J78" s="1599">
        <f t="shared" si="5"/>
        <v>0</v>
      </c>
    </row>
    <row r="79" spans="1:10" s="1600" customFormat="1" ht="12.75" customHeight="1" x14ac:dyDescent="0.25">
      <c r="A79" s="1593" t="s">
        <v>194</v>
      </c>
      <c r="B79" s="1594" t="s">
        <v>195</v>
      </c>
      <c r="C79" s="1595" t="s">
        <v>267</v>
      </c>
      <c r="D79" s="1601">
        <v>7212.2156999999997</v>
      </c>
      <c r="E79" s="1597">
        <v>0</v>
      </c>
      <c r="F79" s="1602">
        <v>8408.7842999999993</v>
      </c>
      <c r="G79" s="1597">
        <v>0</v>
      </c>
      <c r="H79" s="1597">
        <v>0</v>
      </c>
      <c r="I79" s="1598">
        <f t="shared" si="6"/>
        <v>15621</v>
      </c>
      <c r="J79" s="1599">
        <f t="shared" si="5"/>
        <v>0</v>
      </c>
    </row>
    <row r="80" spans="1:10" s="1600" customFormat="1" ht="12.75" customHeight="1" x14ac:dyDescent="0.25">
      <c r="A80" s="1593" t="s">
        <v>198</v>
      </c>
      <c r="B80" s="1594" t="s">
        <v>199</v>
      </c>
      <c r="C80" s="1595" t="s">
        <v>266</v>
      </c>
      <c r="D80" s="1601">
        <v>36538.476300000002</v>
      </c>
      <c r="E80" s="1597">
        <v>0</v>
      </c>
      <c r="F80" s="1602">
        <v>43609.523699999998</v>
      </c>
      <c r="G80" s="1597">
        <v>0</v>
      </c>
      <c r="H80" s="1597">
        <v>0</v>
      </c>
      <c r="I80" s="1598">
        <f t="shared" si="6"/>
        <v>80148</v>
      </c>
      <c r="J80" s="1599">
        <f t="shared" si="5"/>
        <v>0</v>
      </c>
    </row>
    <row r="81" spans="1:10" s="1600" customFormat="1" ht="12.75" customHeight="1" x14ac:dyDescent="0.25">
      <c r="A81" s="1593" t="s">
        <v>202</v>
      </c>
      <c r="B81" s="1594" t="s">
        <v>203</v>
      </c>
      <c r="C81" s="1595" t="s">
        <v>265</v>
      </c>
      <c r="D81" s="1603">
        <v>316694.43042299995</v>
      </c>
      <c r="E81" s="1597">
        <v>0</v>
      </c>
      <c r="F81" s="1604">
        <v>403084.75957699999</v>
      </c>
      <c r="G81" s="1597">
        <v>0</v>
      </c>
      <c r="H81" s="1597">
        <v>0</v>
      </c>
      <c r="I81" s="1598">
        <f t="shared" si="6"/>
        <v>719779.19</v>
      </c>
      <c r="J81" s="1599">
        <f t="shared" si="5"/>
        <v>0</v>
      </c>
    </row>
    <row r="82" spans="1:10" s="1600" customFormat="1" ht="12.75" customHeight="1" x14ac:dyDescent="0.25">
      <c r="A82" s="1593" t="s">
        <v>204</v>
      </c>
      <c r="B82" s="1594" t="s">
        <v>205</v>
      </c>
      <c r="C82" s="1595" t="s">
        <v>265</v>
      </c>
      <c r="D82" s="1601">
        <v>70359.340230000002</v>
      </c>
      <c r="E82" s="1597">
        <v>0</v>
      </c>
      <c r="F82" s="1602">
        <v>94223.559770000022</v>
      </c>
      <c r="G82" s="1597">
        <v>0</v>
      </c>
      <c r="H82" s="1597">
        <v>0</v>
      </c>
      <c r="I82" s="1598">
        <f t="shared" si="6"/>
        <v>164582.90000000002</v>
      </c>
      <c r="J82" s="1599">
        <f t="shared" si="5"/>
        <v>0</v>
      </c>
    </row>
    <row r="83" spans="1:10" s="1600" customFormat="1" ht="12.75" customHeight="1" x14ac:dyDescent="0.25">
      <c r="A83" s="1593" t="s">
        <v>206</v>
      </c>
      <c r="B83" s="1594" t="s">
        <v>207</v>
      </c>
      <c r="C83" s="1595" t="s">
        <v>267</v>
      </c>
      <c r="D83" s="1603">
        <v>276214.60128599999</v>
      </c>
      <c r="E83" s="1597">
        <v>0</v>
      </c>
      <c r="F83" s="1604">
        <v>384613.97871399997</v>
      </c>
      <c r="G83" s="1597">
        <v>0</v>
      </c>
      <c r="H83" s="1597">
        <v>0</v>
      </c>
      <c r="I83" s="1598">
        <f t="shared" si="6"/>
        <v>660828.57999999996</v>
      </c>
      <c r="J83" s="1599">
        <f t="shared" si="5"/>
        <v>0</v>
      </c>
    </row>
    <row r="84" spans="1:10" s="1600" customFormat="1" ht="12.75" customHeight="1" x14ac:dyDescent="0.25">
      <c r="A84" s="1593" t="s">
        <v>208</v>
      </c>
      <c r="B84" s="1594" t="s">
        <v>209</v>
      </c>
      <c r="C84" s="1595" t="s">
        <v>268</v>
      </c>
      <c r="D84" s="1603">
        <v>185440.78925999996</v>
      </c>
      <c r="E84" s="1597">
        <v>0</v>
      </c>
      <c r="F84" s="1604">
        <v>228135.01073999997</v>
      </c>
      <c r="G84" s="1597">
        <v>0</v>
      </c>
      <c r="H84" s="1597">
        <v>0</v>
      </c>
      <c r="I84" s="1598">
        <f t="shared" si="6"/>
        <v>413575.79999999993</v>
      </c>
      <c r="J84" s="1599">
        <f t="shared" si="5"/>
        <v>0</v>
      </c>
    </row>
    <row r="85" spans="1:10" s="1600" customFormat="1" ht="12.75" customHeight="1" x14ac:dyDescent="0.25">
      <c r="A85" s="1593" t="s">
        <v>210</v>
      </c>
      <c r="B85" s="1594" t="s">
        <v>211</v>
      </c>
      <c r="C85" s="1595" t="s">
        <v>268</v>
      </c>
      <c r="D85" s="1603">
        <v>152458.46487000003</v>
      </c>
      <c r="E85" s="1597">
        <v>0</v>
      </c>
      <c r="F85" s="1604">
        <v>206284.63513000001</v>
      </c>
      <c r="G85" s="1597">
        <v>0</v>
      </c>
      <c r="H85" s="1597">
        <v>0</v>
      </c>
      <c r="I85" s="1598">
        <f t="shared" si="6"/>
        <v>358743.10000000003</v>
      </c>
      <c r="J85" s="1599">
        <f t="shared" si="5"/>
        <v>0</v>
      </c>
    </row>
    <row r="86" spans="1:10" s="1600" customFormat="1" ht="12.75" customHeight="1" x14ac:dyDescent="0.25">
      <c r="A86" s="1593" t="s">
        <v>212</v>
      </c>
      <c r="B86" s="1594" t="s">
        <v>213</v>
      </c>
      <c r="C86" s="1595" t="s">
        <v>267</v>
      </c>
      <c r="D86" s="1601">
        <v>83184.576723000006</v>
      </c>
      <c r="E86" s="1597">
        <v>0</v>
      </c>
      <c r="F86" s="1602">
        <v>126155.413277</v>
      </c>
      <c r="G86" s="1597">
        <v>0</v>
      </c>
      <c r="H86" s="1597">
        <v>0</v>
      </c>
      <c r="I86" s="1598">
        <f t="shared" si="6"/>
        <v>209339.99</v>
      </c>
      <c r="J86" s="1599">
        <f t="shared" si="5"/>
        <v>0</v>
      </c>
    </row>
    <row r="87" spans="1:10" s="1600" customFormat="1" ht="12.75" customHeight="1" x14ac:dyDescent="0.25">
      <c r="A87" s="1593" t="s">
        <v>214</v>
      </c>
      <c r="B87" s="1594" t="s">
        <v>215</v>
      </c>
      <c r="C87" s="1595" t="s">
        <v>268</v>
      </c>
      <c r="D87" s="1603">
        <v>185568.57396899999</v>
      </c>
      <c r="E87" s="1597">
        <v>0</v>
      </c>
      <c r="F87" s="1604">
        <v>254877.65603099996</v>
      </c>
      <c r="G87" s="1597">
        <v>0</v>
      </c>
      <c r="H87" s="1597">
        <v>0</v>
      </c>
      <c r="I87" s="1598">
        <f t="shared" si="6"/>
        <v>440446.23</v>
      </c>
      <c r="J87" s="1599">
        <f t="shared" si="5"/>
        <v>0</v>
      </c>
    </row>
    <row r="88" spans="1:10" s="1600" customFormat="1" ht="12.75" customHeight="1" x14ac:dyDescent="0.25">
      <c r="A88" s="1593" t="s">
        <v>216</v>
      </c>
      <c r="B88" s="1594" t="s">
        <v>217</v>
      </c>
      <c r="C88" s="1595" t="s">
        <v>264</v>
      </c>
      <c r="D88" s="1603">
        <v>89664.587009999974</v>
      </c>
      <c r="E88" s="1597">
        <v>0</v>
      </c>
      <c r="F88" s="1604">
        <v>116640.71298999999</v>
      </c>
      <c r="G88" s="1597">
        <v>0</v>
      </c>
      <c r="H88" s="1597">
        <v>0</v>
      </c>
      <c r="I88" s="1598">
        <f t="shared" si="6"/>
        <v>206305.29999999996</v>
      </c>
      <c r="J88" s="1599">
        <f t="shared" si="5"/>
        <v>0</v>
      </c>
    </row>
    <row r="89" spans="1:10" s="1600" customFormat="1" ht="12.75" customHeight="1" x14ac:dyDescent="0.25">
      <c r="A89" s="1593" t="s">
        <v>218</v>
      </c>
      <c r="B89" s="1594" t="s">
        <v>219</v>
      </c>
      <c r="C89" s="1595" t="s">
        <v>267</v>
      </c>
      <c r="D89" s="1603">
        <v>580934.38512600004</v>
      </c>
      <c r="E89" s="1597">
        <v>0</v>
      </c>
      <c r="F89" s="1604">
        <v>812096.73487399996</v>
      </c>
      <c r="G89" s="1597">
        <v>0</v>
      </c>
      <c r="H89" s="1597">
        <v>0</v>
      </c>
      <c r="I89" s="1598">
        <f t="shared" si="6"/>
        <v>1393031.12</v>
      </c>
      <c r="J89" s="1599">
        <f t="shared" si="5"/>
        <v>0</v>
      </c>
    </row>
    <row r="90" spans="1:10" s="1600" customFormat="1" ht="12.75" customHeight="1" x14ac:dyDescent="0.25">
      <c r="A90" s="1593" t="s">
        <v>220</v>
      </c>
      <c r="B90" s="1594" t="s">
        <v>221</v>
      </c>
      <c r="C90" s="1595" t="s">
        <v>267</v>
      </c>
      <c r="D90" s="1603">
        <v>453716.86534199998</v>
      </c>
      <c r="E90" s="1597">
        <v>0</v>
      </c>
      <c r="F90" s="1604">
        <v>628075.39465799998</v>
      </c>
      <c r="G90" s="1597">
        <v>0</v>
      </c>
      <c r="H90" s="1597">
        <v>0</v>
      </c>
      <c r="I90" s="1598">
        <f t="shared" si="6"/>
        <v>1081792.26</v>
      </c>
      <c r="J90" s="1599">
        <f t="shared" si="5"/>
        <v>0</v>
      </c>
    </row>
    <row r="91" spans="1:10" s="1600" customFormat="1" ht="12.75" customHeight="1" x14ac:dyDescent="0.25">
      <c r="A91" s="1593" t="s">
        <v>224</v>
      </c>
      <c r="B91" s="1594" t="s">
        <v>225</v>
      </c>
      <c r="C91" s="1595" t="s">
        <v>264</v>
      </c>
      <c r="D91" s="1601">
        <v>38850.115859999998</v>
      </c>
      <c r="E91" s="1597">
        <v>0</v>
      </c>
      <c r="F91" s="1602">
        <v>52867.68413999999</v>
      </c>
      <c r="G91" s="1597">
        <v>0</v>
      </c>
      <c r="H91" s="1597">
        <v>0</v>
      </c>
      <c r="I91" s="1598">
        <f t="shared" si="6"/>
        <v>91717.799999999988</v>
      </c>
      <c r="J91" s="1599">
        <f t="shared" si="5"/>
        <v>0</v>
      </c>
    </row>
    <row r="92" spans="1:10" s="1600" customFormat="1" ht="12.75" customHeight="1" x14ac:dyDescent="0.25">
      <c r="A92" s="1593" t="s">
        <v>226</v>
      </c>
      <c r="B92" s="1594" t="s">
        <v>227</v>
      </c>
      <c r="C92" s="1595" t="s">
        <v>264</v>
      </c>
      <c r="D92" s="1603">
        <v>75759.581960999989</v>
      </c>
      <c r="E92" s="1597">
        <v>0</v>
      </c>
      <c r="F92" s="1604">
        <v>97709.748038999998</v>
      </c>
      <c r="G92" s="1597">
        <v>0</v>
      </c>
      <c r="H92" s="1597">
        <v>0</v>
      </c>
      <c r="I92" s="1598">
        <f t="shared" si="6"/>
        <v>173469.33</v>
      </c>
      <c r="J92" s="1599">
        <f t="shared" si="5"/>
        <v>0</v>
      </c>
    </row>
    <row r="93" spans="1:10" s="1600" customFormat="1" ht="12.75" customHeight="1" x14ac:dyDescent="0.25">
      <c r="A93" s="1593" t="s">
        <v>228</v>
      </c>
      <c r="B93" s="1594" t="s">
        <v>229</v>
      </c>
      <c r="C93" s="1595" t="s">
        <v>268</v>
      </c>
      <c r="D93" s="1603">
        <v>228333.11170500002</v>
      </c>
      <c r="E93" s="1597">
        <v>0</v>
      </c>
      <c r="F93" s="1604">
        <v>308872.53829500003</v>
      </c>
      <c r="G93" s="1597">
        <v>0</v>
      </c>
      <c r="H93" s="1597">
        <v>0</v>
      </c>
      <c r="I93" s="1598">
        <f t="shared" si="6"/>
        <v>537205.65</v>
      </c>
      <c r="J93" s="1599">
        <f t="shared" si="5"/>
        <v>0</v>
      </c>
    </row>
    <row r="94" spans="1:10" s="1600" customFormat="1" ht="12.75" customHeight="1" x14ac:dyDescent="0.25">
      <c r="A94" s="1593" t="s">
        <v>232</v>
      </c>
      <c r="B94" s="1594" t="s">
        <v>233</v>
      </c>
      <c r="C94" s="1595" t="s">
        <v>267</v>
      </c>
      <c r="D94" s="1603">
        <v>143529.09452999997</v>
      </c>
      <c r="E94" s="1597">
        <v>0</v>
      </c>
      <c r="F94" s="1604">
        <v>202813.17546999999</v>
      </c>
      <c r="G94" s="1597">
        <v>0</v>
      </c>
      <c r="H94" s="1597">
        <v>0</v>
      </c>
      <c r="I94" s="1598">
        <f t="shared" si="6"/>
        <v>346342.26999999996</v>
      </c>
      <c r="J94" s="1599">
        <f t="shared" si="5"/>
        <v>0</v>
      </c>
    </row>
    <row r="95" spans="1:10" s="1600" customFormat="1" ht="12.75" customHeight="1" x14ac:dyDescent="0.25">
      <c r="A95" s="1593" t="s">
        <v>234</v>
      </c>
      <c r="B95" s="1594" t="s">
        <v>235</v>
      </c>
      <c r="C95" s="1595" t="s">
        <v>268</v>
      </c>
      <c r="D95" s="1603">
        <v>212056.27065000002</v>
      </c>
      <c r="E95" s="1597">
        <v>0</v>
      </c>
      <c r="F95" s="1604">
        <v>272304.22935000004</v>
      </c>
      <c r="G95" s="1597">
        <v>0</v>
      </c>
      <c r="H95" s="1597">
        <v>0</v>
      </c>
      <c r="I95" s="1598">
        <f t="shared" si="6"/>
        <v>484360.50000000006</v>
      </c>
      <c r="J95" s="1599">
        <f t="shared" si="5"/>
        <v>0</v>
      </c>
    </row>
    <row r="96" spans="1:10" s="1600" customFormat="1" ht="12.75" customHeight="1" x14ac:dyDescent="0.25">
      <c r="A96" s="1593" t="s">
        <v>236</v>
      </c>
      <c r="B96" s="1594" t="s">
        <v>237</v>
      </c>
      <c r="C96" s="1595" t="s">
        <v>266</v>
      </c>
      <c r="D96" s="1603">
        <v>96183.015354000003</v>
      </c>
      <c r="E96" s="1597">
        <v>0</v>
      </c>
      <c r="F96" s="1604">
        <v>125003.60464599999</v>
      </c>
      <c r="G96" s="1597">
        <v>0</v>
      </c>
      <c r="H96" s="1597">
        <v>0</v>
      </c>
      <c r="I96" s="1598">
        <f t="shared" si="6"/>
        <v>221186.62</v>
      </c>
      <c r="J96" s="1599">
        <f t="shared" si="5"/>
        <v>0</v>
      </c>
    </row>
    <row r="97" spans="1:10" s="1600" customFormat="1" ht="12.75" customHeight="1" x14ac:dyDescent="0.25">
      <c r="A97" s="1593" t="s">
        <v>242</v>
      </c>
      <c r="B97" s="1594" t="s">
        <v>243</v>
      </c>
      <c r="C97" s="1595" t="s">
        <v>268</v>
      </c>
      <c r="D97" s="1603">
        <v>357154.26794999995</v>
      </c>
      <c r="E97" s="1597">
        <v>0</v>
      </c>
      <c r="F97" s="1604">
        <v>481672.23204999993</v>
      </c>
      <c r="G97" s="1597">
        <v>0</v>
      </c>
      <c r="H97" s="1597">
        <v>0</v>
      </c>
      <c r="I97" s="1598">
        <f t="shared" si="6"/>
        <v>838826.49999999988</v>
      </c>
      <c r="J97" s="1599">
        <f t="shared" si="5"/>
        <v>0</v>
      </c>
    </row>
    <row r="98" spans="1:10" s="1600" customFormat="1" ht="12.75" customHeight="1" x14ac:dyDescent="0.25">
      <c r="A98" s="1593" t="s">
        <v>244</v>
      </c>
      <c r="B98" s="1594" t="s">
        <v>245</v>
      </c>
      <c r="C98" s="1595" t="s">
        <v>268</v>
      </c>
      <c r="D98" s="1603">
        <v>98820.818262000001</v>
      </c>
      <c r="E98" s="1597">
        <v>0</v>
      </c>
      <c r="F98" s="1604">
        <v>132197.041738</v>
      </c>
      <c r="G98" s="1597">
        <v>0</v>
      </c>
      <c r="H98" s="1597">
        <v>0</v>
      </c>
      <c r="I98" s="1598">
        <f t="shared" si="6"/>
        <v>231017.86</v>
      </c>
      <c r="J98" s="1599">
        <f t="shared" si="5"/>
        <v>0</v>
      </c>
    </row>
    <row r="99" spans="1:10" s="1600" customFormat="1" ht="12.75" customHeight="1" x14ac:dyDescent="0.25">
      <c r="A99" s="1593" t="s">
        <v>246</v>
      </c>
      <c r="B99" s="1594" t="s">
        <v>310</v>
      </c>
      <c r="C99" s="1595" t="s">
        <v>264</v>
      </c>
      <c r="D99" s="1603">
        <v>205161.69531600003</v>
      </c>
      <c r="E99" s="1597">
        <v>0</v>
      </c>
      <c r="F99" s="1604">
        <v>261385.78468400001</v>
      </c>
      <c r="G99" s="1597">
        <v>0</v>
      </c>
      <c r="H99" s="1597">
        <v>0</v>
      </c>
      <c r="I99" s="1598">
        <f t="shared" si="6"/>
        <v>466547.48000000004</v>
      </c>
      <c r="J99" s="1599">
        <f t="shared" si="5"/>
        <v>0</v>
      </c>
    </row>
    <row r="100" spans="1:10" s="1600" customFormat="1" ht="12.75" customHeight="1" x14ac:dyDescent="0.25">
      <c r="A100" s="1593" t="s">
        <v>14</v>
      </c>
      <c r="B100" s="1594" t="s">
        <v>15</v>
      </c>
      <c r="C100" s="1595" t="s">
        <v>267</v>
      </c>
      <c r="D100" s="1603">
        <v>549647.88021900004</v>
      </c>
      <c r="E100" s="1597">
        <v>0</v>
      </c>
      <c r="F100" s="1604">
        <v>1084630.789781</v>
      </c>
      <c r="G100" s="1597">
        <v>0</v>
      </c>
      <c r="H100" s="1597">
        <v>0</v>
      </c>
      <c r="I100" s="1598">
        <f t="shared" si="6"/>
        <v>1634278.67</v>
      </c>
      <c r="J100" s="1599">
        <f t="shared" ref="J100:J124" si="7">G100+H100</f>
        <v>0</v>
      </c>
    </row>
    <row r="101" spans="1:10" s="1600" customFormat="1" ht="12.75" customHeight="1" x14ac:dyDescent="0.25">
      <c r="A101" s="1593" t="s">
        <v>34</v>
      </c>
      <c r="B101" s="1594" t="s">
        <v>35</v>
      </c>
      <c r="C101" s="1595" t="s">
        <v>268</v>
      </c>
      <c r="D101" s="1601">
        <v>196219.78520399999</v>
      </c>
      <c r="E101" s="1597">
        <v>0</v>
      </c>
      <c r="F101" s="1602">
        <v>289976.51479600003</v>
      </c>
      <c r="G101" s="1597">
        <v>0</v>
      </c>
      <c r="H101" s="1597">
        <v>0</v>
      </c>
      <c r="I101" s="1598">
        <f t="shared" ref="I101:I124" si="8">SUM(D101:H101)</f>
        <v>486196.30000000005</v>
      </c>
      <c r="J101" s="1599">
        <f t="shared" si="7"/>
        <v>0</v>
      </c>
    </row>
    <row r="102" spans="1:10" s="1600" customFormat="1" ht="12.75" customHeight="1" x14ac:dyDescent="0.25">
      <c r="A102" s="1593" t="s">
        <v>52</v>
      </c>
      <c r="B102" s="1594" t="s">
        <v>53</v>
      </c>
      <c r="C102" s="1595" t="s">
        <v>265</v>
      </c>
      <c r="D102" s="1603">
        <v>367820.99230500008</v>
      </c>
      <c r="E102" s="1597">
        <v>0</v>
      </c>
      <c r="F102" s="1604">
        <v>594477.46769500012</v>
      </c>
      <c r="G102" s="1597">
        <v>0</v>
      </c>
      <c r="H102" s="1597">
        <v>0</v>
      </c>
      <c r="I102" s="1598">
        <f t="shared" si="8"/>
        <v>962298.4600000002</v>
      </c>
      <c r="J102" s="1599">
        <f t="shared" si="7"/>
        <v>0</v>
      </c>
    </row>
    <row r="103" spans="1:10" s="1600" customFormat="1" ht="12.75" customHeight="1" x14ac:dyDescent="0.25">
      <c r="A103" s="1593" t="s">
        <v>54</v>
      </c>
      <c r="B103" s="1594" t="s">
        <v>55</v>
      </c>
      <c r="C103" s="1595" t="s">
        <v>264</v>
      </c>
      <c r="D103" s="1603">
        <v>983301.03187200008</v>
      </c>
      <c r="E103" s="1597">
        <v>0</v>
      </c>
      <c r="F103" s="1604">
        <v>1213261.288128</v>
      </c>
      <c r="G103" s="1597">
        <v>0</v>
      </c>
      <c r="H103" s="1597">
        <v>0</v>
      </c>
      <c r="I103" s="1598">
        <f t="shared" si="8"/>
        <v>2196562.3200000003</v>
      </c>
      <c r="J103" s="1599">
        <f t="shared" si="7"/>
        <v>0</v>
      </c>
    </row>
    <row r="104" spans="1:10" s="1600" customFormat="1" ht="12.75" customHeight="1" x14ac:dyDescent="0.25">
      <c r="A104" s="1593" t="s">
        <v>66</v>
      </c>
      <c r="B104" s="1594" t="s">
        <v>67</v>
      </c>
      <c r="C104" s="1595" t="s">
        <v>265</v>
      </c>
      <c r="D104" s="1603">
        <v>422817.34352399997</v>
      </c>
      <c r="E104" s="1597">
        <v>0</v>
      </c>
      <c r="F104" s="1604">
        <v>517734.376476</v>
      </c>
      <c r="G104" s="1597">
        <v>0</v>
      </c>
      <c r="H104" s="1597">
        <v>0</v>
      </c>
      <c r="I104" s="1598">
        <f t="shared" si="8"/>
        <v>940551.72</v>
      </c>
      <c r="J104" s="1599">
        <f t="shared" si="7"/>
        <v>0</v>
      </c>
    </row>
    <row r="105" spans="1:10" s="1600" customFormat="1" ht="12.75" customHeight="1" x14ac:dyDescent="0.25">
      <c r="A105" s="1593" t="s">
        <v>82</v>
      </c>
      <c r="B105" s="1594" t="s">
        <v>311</v>
      </c>
      <c r="C105" s="1595" t="s">
        <v>264</v>
      </c>
      <c r="D105" s="1601">
        <v>71901.667548000012</v>
      </c>
      <c r="E105" s="1597">
        <v>0</v>
      </c>
      <c r="F105" s="1602">
        <v>94639.772452000019</v>
      </c>
      <c r="G105" s="1597">
        <v>0</v>
      </c>
      <c r="H105" s="1597">
        <v>0</v>
      </c>
      <c r="I105" s="1598">
        <f t="shared" si="8"/>
        <v>166541.44000000003</v>
      </c>
      <c r="J105" s="1599">
        <f t="shared" si="7"/>
        <v>0</v>
      </c>
    </row>
    <row r="106" spans="1:10" s="1600" customFormat="1" ht="12.75" customHeight="1" x14ac:dyDescent="0.25">
      <c r="A106" s="1593" t="s">
        <v>88</v>
      </c>
      <c r="B106" s="1594" t="s">
        <v>89</v>
      </c>
      <c r="C106" s="1595" t="s">
        <v>267</v>
      </c>
      <c r="D106" s="1603">
        <v>251599.656762</v>
      </c>
      <c r="E106" s="1597">
        <v>0</v>
      </c>
      <c r="F106" s="1604">
        <v>373632.48323799996</v>
      </c>
      <c r="G106" s="1597">
        <v>0</v>
      </c>
      <c r="H106" s="1597">
        <v>0</v>
      </c>
      <c r="I106" s="1598">
        <f t="shared" si="8"/>
        <v>625232.1399999999</v>
      </c>
      <c r="J106" s="1599">
        <f t="shared" si="7"/>
        <v>0</v>
      </c>
    </row>
    <row r="107" spans="1:10" s="1600" customFormat="1" ht="12.75" customHeight="1" x14ac:dyDescent="0.25">
      <c r="A107" s="1593" t="s">
        <v>90</v>
      </c>
      <c r="B107" s="1594" t="s">
        <v>91</v>
      </c>
      <c r="C107" s="1595" t="s">
        <v>268</v>
      </c>
      <c r="D107" s="1603">
        <v>48578.758155000003</v>
      </c>
      <c r="E107" s="1597">
        <v>0</v>
      </c>
      <c r="F107" s="1604">
        <v>63652.391845000006</v>
      </c>
      <c r="G107" s="1597">
        <v>0</v>
      </c>
      <c r="H107" s="1597">
        <v>0</v>
      </c>
      <c r="I107" s="1598">
        <f t="shared" si="8"/>
        <v>112231.15000000001</v>
      </c>
      <c r="J107" s="1599">
        <f t="shared" si="7"/>
        <v>0</v>
      </c>
    </row>
    <row r="108" spans="1:10" s="1600" customFormat="1" ht="12.75" customHeight="1" x14ac:dyDescent="0.25">
      <c r="A108" s="1593" t="s">
        <v>106</v>
      </c>
      <c r="B108" s="1594" t="s">
        <v>107</v>
      </c>
      <c r="C108" s="1595" t="s">
        <v>264</v>
      </c>
      <c r="D108" s="1603">
        <v>1612341.0942479998</v>
      </c>
      <c r="E108" s="1597">
        <v>0</v>
      </c>
      <c r="F108" s="1604">
        <v>2054901.7657519996</v>
      </c>
      <c r="G108" s="1597">
        <v>0</v>
      </c>
      <c r="H108" s="1597">
        <v>0</v>
      </c>
      <c r="I108" s="1598">
        <f t="shared" si="8"/>
        <v>3667242.8599999994</v>
      </c>
      <c r="J108" s="1599">
        <f t="shared" si="7"/>
        <v>0</v>
      </c>
    </row>
    <row r="109" spans="1:10" s="1600" customFormat="1" ht="12.75" customHeight="1" x14ac:dyDescent="0.25">
      <c r="A109" s="1593" t="s">
        <v>116</v>
      </c>
      <c r="B109" s="1594" t="s">
        <v>117</v>
      </c>
      <c r="C109" s="1595" t="s">
        <v>266</v>
      </c>
      <c r="D109" s="1601">
        <v>355383.53764200001</v>
      </c>
      <c r="E109" s="1597">
        <v>0</v>
      </c>
      <c r="F109" s="1602">
        <v>472652.722358</v>
      </c>
      <c r="G109" s="1597">
        <v>0</v>
      </c>
      <c r="H109" s="1597">
        <v>0</v>
      </c>
      <c r="I109" s="1598">
        <f t="shared" si="8"/>
        <v>828036.26</v>
      </c>
      <c r="J109" s="1599">
        <f t="shared" si="7"/>
        <v>0</v>
      </c>
    </row>
    <row r="110" spans="1:10" s="1600" customFormat="1" ht="12.75" customHeight="1" x14ac:dyDescent="0.25">
      <c r="A110" s="1593" t="s">
        <v>138</v>
      </c>
      <c r="B110" s="1594" t="s">
        <v>139</v>
      </c>
      <c r="C110" s="1595" t="s">
        <v>265</v>
      </c>
      <c r="D110" s="1603">
        <v>542291.35556699999</v>
      </c>
      <c r="E110" s="1597">
        <v>0</v>
      </c>
      <c r="F110" s="1604">
        <v>686137.46443300007</v>
      </c>
      <c r="G110" s="1597">
        <v>0</v>
      </c>
      <c r="H110" s="1597">
        <v>0</v>
      </c>
      <c r="I110" s="1598">
        <f t="shared" si="8"/>
        <v>1228428.82</v>
      </c>
      <c r="J110" s="1599">
        <f t="shared" si="7"/>
        <v>0</v>
      </c>
    </row>
    <row r="111" spans="1:10" s="1600" customFormat="1" ht="12.75" customHeight="1" x14ac:dyDescent="0.25">
      <c r="A111" s="1593" t="s">
        <v>142</v>
      </c>
      <c r="B111" s="1594" t="s">
        <v>143</v>
      </c>
      <c r="C111" s="1595" t="s">
        <v>267</v>
      </c>
      <c r="D111" s="1601">
        <v>155669.61145500001</v>
      </c>
      <c r="E111" s="1597">
        <v>0</v>
      </c>
      <c r="F111" s="1602">
        <v>231680.53854500002</v>
      </c>
      <c r="G111" s="1597">
        <v>0</v>
      </c>
      <c r="H111" s="1597">
        <v>0</v>
      </c>
      <c r="I111" s="1598">
        <f t="shared" si="8"/>
        <v>387350.15</v>
      </c>
      <c r="J111" s="1599">
        <f t="shared" si="7"/>
        <v>0</v>
      </c>
    </row>
    <row r="112" spans="1:10" s="1600" customFormat="1" ht="12.75" customHeight="1" x14ac:dyDescent="0.25">
      <c r="A112" s="1593" t="s">
        <v>144</v>
      </c>
      <c r="B112" s="1594" t="s">
        <v>145</v>
      </c>
      <c r="C112" s="1595" t="s">
        <v>267</v>
      </c>
      <c r="D112" s="1603">
        <v>49690.000800000002</v>
      </c>
      <c r="E112" s="1597">
        <v>0</v>
      </c>
      <c r="F112" s="1604">
        <v>68913.999199999991</v>
      </c>
      <c r="G112" s="1597">
        <v>0</v>
      </c>
      <c r="H112" s="1597">
        <v>0</v>
      </c>
      <c r="I112" s="1598">
        <f t="shared" si="8"/>
        <v>118604</v>
      </c>
      <c r="J112" s="1599">
        <f t="shared" si="7"/>
        <v>0</v>
      </c>
    </row>
    <row r="113" spans="1:10" s="1600" customFormat="1" ht="12.75" customHeight="1" x14ac:dyDescent="0.25">
      <c r="A113" s="1593" t="s">
        <v>158</v>
      </c>
      <c r="B113" s="1594" t="s">
        <v>159</v>
      </c>
      <c r="C113" s="1595" t="s">
        <v>264</v>
      </c>
      <c r="D113" s="1603">
        <v>2408868.6305759996</v>
      </c>
      <c r="E113" s="1597">
        <v>0</v>
      </c>
      <c r="F113" s="1604">
        <v>3230102.3994239997</v>
      </c>
      <c r="G113" s="1597">
        <v>0</v>
      </c>
      <c r="H113" s="1597">
        <v>0</v>
      </c>
      <c r="I113" s="1598">
        <f t="shared" si="8"/>
        <v>5638971.0299999993</v>
      </c>
      <c r="J113" s="1599">
        <f t="shared" si="7"/>
        <v>0</v>
      </c>
    </row>
    <row r="114" spans="1:10" s="1600" customFormat="1" ht="12.75" customHeight="1" x14ac:dyDescent="0.25">
      <c r="A114" s="1593" t="s">
        <v>160</v>
      </c>
      <c r="B114" s="1594" t="s">
        <v>161</v>
      </c>
      <c r="C114" s="1595" t="s">
        <v>264</v>
      </c>
      <c r="D114" s="1603">
        <v>2107378.655235</v>
      </c>
      <c r="E114" s="1597">
        <v>0</v>
      </c>
      <c r="F114" s="1604">
        <v>2602562.6247649998</v>
      </c>
      <c r="G114" s="1597">
        <v>0</v>
      </c>
      <c r="H114" s="1597">
        <v>0</v>
      </c>
      <c r="I114" s="1598">
        <f t="shared" si="8"/>
        <v>4709941.2799999993</v>
      </c>
      <c r="J114" s="1599">
        <f t="shared" si="7"/>
        <v>0</v>
      </c>
    </row>
    <row r="115" spans="1:10" s="1600" customFormat="1" ht="12.75" customHeight="1" x14ac:dyDescent="0.25">
      <c r="A115" s="1593" t="s">
        <v>166</v>
      </c>
      <c r="B115" s="1594" t="s">
        <v>167</v>
      </c>
      <c r="C115" s="1595" t="s">
        <v>268</v>
      </c>
      <c r="D115" s="1603">
        <v>57216.172500000001</v>
      </c>
      <c r="E115" s="1597">
        <v>0</v>
      </c>
      <c r="F115" s="1604">
        <v>80542.827499999999</v>
      </c>
      <c r="G115" s="1597">
        <v>0</v>
      </c>
      <c r="H115" s="1597">
        <v>0</v>
      </c>
      <c r="I115" s="1598">
        <f t="shared" si="8"/>
        <v>137759</v>
      </c>
      <c r="J115" s="1599">
        <f t="shared" si="7"/>
        <v>0</v>
      </c>
    </row>
    <row r="116" spans="1:10" s="1600" customFormat="1" ht="12.75" customHeight="1" x14ac:dyDescent="0.25">
      <c r="A116" s="1593" t="s">
        <v>176</v>
      </c>
      <c r="B116" s="1594" t="s">
        <v>177</v>
      </c>
      <c r="C116" s="1595" t="s">
        <v>266</v>
      </c>
      <c r="D116" s="1603">
        <v>551052.325449</v>
      </c>
      <c r="E116" s="1597">
        <v>0</v>
      </c>
      <c r="F116" s="1604">
        <v>675940.74455099995</v>
      </c>
      <c r="G116" s="1597">
        <v>0</v>
      </c>
      <c r="H116" s="1597">
        <v>0</v>
      </c>
      <c r="I116" s="1598">
        <f t="shared" si="8"/>
        <v>1226993.0699999998</v>
      </c>
      <c r="J116" s="1599">
        <f t="shared" si="7"/>
        <v>0</v>
      </c>
    </row>
    <row r="117" spans="1:10" s="1600" customFormat="1" ht="12.75" customHeight="1" x14ac:dyDescent="0.25">
      <c r="A117" s="1593" t="s">
        <v>180</v>
      </c>
      <c r="B117" s="1594" t="s">
        <v>181</v>
      </c>
      <c r="C117" s="1595" t="s">
        <v>264</v>
      </c>
      <c r="D117" s="1601">
        <v>1155096.748566</v>
      </c>
      <c r="E117" s="1597">
        <v>0</v>
      </c>
      <c r="F117" s="1602">
        <v>1404512.481434</v>
      </c>
      <c r="G117" s="1597">
        <v>0</v>
      </c>
      <c r="H117" s="1597">
        <v>0</v>
      </c>
      <c r="I117" s="1598">
        <f t="shared" si="8"/>
        <v>2559609.23</v>
      </c>
      <c r="J117" s="1599">
        <f t="shared" si="7"/>
        <v>0</v>
      </c>
    </row>
    <row r="118" spans="1:10" s="1600" customFormat="1" ht="12.75" customHeight="1" x14ac:dyDescent="0.25">
      <c r="A118" s="1593" t="s">
        <v>192</v>
      </c>
      <c r="B118" s="1594" t="s">
        <v>193</v>
      </c>
      <c r="C118" s="1595" t="s">
        <v>268</v>
      </c>
      <c r="D118" s="1601">
        <v>74423.085119999989</v>
      </c>
      <c r="E118" s="1597">
        <v>0</v>
      </c>
      <c r="F118" s="1602">
        <v>95002.514879999988</v>
      </c>
      <c r="G118" s="1597">
        <v>0</v>
      </c>
      <c r="H118" s="1597">
        <v>0</v>
      </c>
      <c r="I118" s="1598">
        <f t="shared" si="8"/>
        <v>169425.59999999998</v>
      </c>
      <c r="J118" s="1599">
        <f t="shared" si="7"/>
        <v>0</v>
      </c>
    </row>
    <row r="119" spans="1:10" s="1600" customFormat="1" ht="12.75" customHeight="1" x14ac:dyDescent="0.25">
      <c r="A119" s="1593" t="s">
        <v>196</v>
      </c>
      <c r="B119" s="1594" t="s">
        <v>312</v>
      </c>
      <c r="C119" s="1595" t="s">
        <v>266</v>
      </c>
      <c r="D119" s="1603">
        <v>2624212.3437359999</v>
      </c>
      <c r="E119" s="1597">
        <v>0</v>
      </c>
      <c r="F119" s="1604">
        <v>3207573.7362640002</v>
      </c>
      <c r="G119" s="1597">
        <v>0</v>
      </c>
      <c r="H119" s="1597">
        <v>0</v>
      </c>
      <c r="I119" s="1598">
        <f t="shared" si="8"/>
        <v>5831786.0800000001</v>
      </c>
      <c r="J119" s="1599">
        <f t="shared" si="7"/>
        <v>0</v>
      </c>
    </row>
    <row r="120" spans="1:10" s="1600" customFormat="1" ht="12.75" customHeight="1" x14ac:dyDescent="0.25">
      <c r="A120" s="1593" t="s">
        <v>200</v>
      </c>
      <c r="B120" s="1594" t="s">
        <v>313</v>
      </c>
      <c r="C120" s="1595" t="s">
        <v>265</v>
      </c>
      <c r="D120" s="1603">
        <v>1093794.5541509998</v>
      </c>
      <c r="E120" s="1597">
        <v>0</v>
      </c>
      <c r="F120" s="1604">
        <v>1446851.7658489996</v>
      </c>
      <c r="G120" s="1597">
        <v>0</v>
      </c>
      <c r="H120" s="1597">
        <v>0</v>
      </c>
      <c r="I120" s="1598">
        <f t="shared" si="8"/>
        <v>2540646.3199999994</v>
      </c>
      <c r="J120" s="1599">
        <f t="shared" si="7"/>
        <v>0</v>
      </c>
    </row>
    <row r="121" spans="1:10" s="1600" customFormat="1" ht="12.75" customHeight="1" x14ac:dyDescent="0.25">
      <c r="A121" s="1593" t="s">
        <v>222</v>
      </c>
      <c r="B121" s="1594" t="s">
        <v>223</v>
      </c>
      <c r="C121" s="1595" t="s">
        <v>264</v>
      </c>
      <c r="D121" s="1603">
        <v>397720.81358100002</v>
      </c>
      <c r="E121" s="1597">
        <v>0</v>
      </c>
      <c r="F121" s="1604">
        <v>474951.11641900003</v>
      </c>
      <c r="G121" s="1597">
        <v>0</v>
      </c>
      <c r="H121" s="1597">
        <v>0</v>
      </c>
      <c r="I121" s="1598">
        <f t="shared" si="8"/>
        <v>872671.93</v>
      </c>
      <c r="J121" s="1599">
        <f t="shared" si="7"/>
        <v>0</v>
      </c>
    </row>
    <row r="122" spans="1:10" s="1600" customFormat="1" ht="12.75" customHeight="1" x14ac:dyDescent="0.25">
      <c r="A122" s="1593" t="s">
        <v>230</v>
      </c>
      <c r="B122" s="1594" t="s">
        <v>231</v>
      </c>
      <c r="C122" s="1595" t="s">
        <v>264</v>
      </c>
      <c r="D122" s="1603">
        <v>908381.14831800014</v>
      </c>
      <c r="E122" s="1597">
        <v>0</v>
      </c>
      <c r="F122" s="1604">
        <v>1127948.0216820003</v>
      </c>
      <c r="G122" s="1597">
        <v>0</v>
      </c>
      <c r="H122" s="1597">
        <v>0</v>
      </c>
      <c r="I122" s="1598">
        <f t="shared" si="8"/>
        <v>2036329.1700000004</v>
      </c>
      <c r="J122" s="1599">
        <f t="shared" si="7"/>
        <v>0</v>
      </c>
    </row>
    <row r="123" spans="1:10" s="1600" customFormat="1" ht="12.75" customHeight="1" x14ac:dyDescent="0.25">
      <c r="A123" s="1593" t="s">
        <v>238</v>
      </c>
      <c r="B123" s="1594" t="s">
        <v>239</v>
      </c>
      <c r="C123" s="1595" t="s">
        <v>264</v>
      </c>
      <c r="D123" s="1601">
        <v>27426.87297</v>
      </c>
      <c r="E123" s="1597">
        <v>0</v>
      </c>
      <c r="F123" s="1602">
        <v>37437.227029999995</v>
      </c>
      <c r="G123" s="1597">
        <v>0</v>
      </c>
      <c r="H123" s="1597">
        <v>0</v>
      </c>
      <c r="I123" s="1598">
        <f t="shared" si="8"/>
        <v>64864.099999999991</v>
      </c>
      <c r="J123" s="1599">
        <f t="shared" si="7"/>
        <v>0</v>
      </c>
    </row>
    <row r="124" spans="1:10" s="1600" customFormat="1" ht="12.75" customHeight="1" x14ac:dyDescent="0.25">
      <c r="A124" s="1593" t="s">
        <v>240</v>
      </c>
      <c r="B124" s="1594" t="s">
        <v>241</v>
      </c>
      <c r="C124" s="1605" t="s">
        <v>267</v>
      </c>
      <c r="D124" s="1606">
        <v>114335.71119</v>
      </c>
      <c r="E124" s="1597">
        <v>0</v>
      </c>
      <c r="F124" s="1607">
        <v>154634.48881000001</v>
      </c>
      <c r="G124" s="1597">
        <v>0</v>
      </c>
      <c r="H124" s="1597">
        <v>0</v>
      </c>
      <c r="I124" s="1598">
        <f t="shared" si="8"/>
        <v>268970.2</v>
      </c>
      <c r="J124" s="1599">
        <f t="shared" si="7"/>
        <v>0</v>
      </c>
    </row>
    <row r="125" spans="1:10" s="1592" customFormat="1" ht="12.75" customHeight="1" x14ac:dyDescent="0.25">
      <c r="D125" s="1608"/>
      <c r="E125" s="1608"/>
      <c r="F125" s="1608"/>
      <c r="G125" s="1608"/>
      <c r="H125" s="1608"/>
      <c r="I125" s="1608"/>
    </row>
    <row r="126" spans="1:10" s="1592" customFormat="1" ht="12.75" customHeight="1" x14ac:dyDescent="0.25">
      <c r="A126" s="1592" t="s">
        <v>266</v>
      </c>
      <c r="D126" s="1780">
        <v>6961040.1654750016</v>
      </c>
      <c r="E126" s="1780">
        <v>0</v>
      </c>
      <c r="F126" s="1780">
        <v>9072319.5645250008</v>
      </c>
      <c r="G126" s="1780">
        <v>0</v>
      </c>
      <c r="H126" s="1780">
        <v>0</v>
      </c>
      <c r="I126" s="1781">
        <v>16033359.730000002</v>
      </c>
      <c r="J126" s="1781">
        <v>0</v>
      </c>
    </row>
    <row r="127" spans="1:10" s="1592" customFormat="1" ht="12.75" customHeight="1" x14ac:dyDescent="0.25">
      <c r="A127" s="1592" t="s">
        <v>264</v>
      </c>
      <c r="D127" s="1780">
        <v>11198553.177653998</v>
      </c>
      <c r="E127" s="1780">
        <v>0</v>
      </c>
      <c r="F127" s="1780">
        <v>14189575.932345999</v>
      </c>
      <c r="G127" s="1780">
        <v>0</v>
      </c>
      <c r="H127" s="1780">
        <v>0</v>
      </c>
      <c r="I127" s="1781">
        <v>25388129.109999999</v>
      </c>
      <c r="J127" s="1781">
        <v>0</v>
      </c>
    </row>
    <row r="128" spans="1:10" s="1592" customFormat="1" ht="12.75" customHeight="1" x14ac:dyDescent="0.25">
      <c r="A128" s="1592" t="s">
        <v>267</v>
      </c>
      <c r="D128" s="1780">
        <v>6907440.7568610003</v>
      </c>
      <c r="E128" s="1780">
        <v>0</v>
      </c>
      <c r="F128" s="1780">
        <v>10757914.923138998</v>
      </c>
      <c r="G128" s="1780">
        <v>0</v>
      </c>
      <c r="H128" s="1780">
        <v>0</v>
      </c>
      <c r="I128" s="1781">
        <v>17665355.68</v>
      </c>
      <c r="J128" s="1781">
        <v>0</v>
      </c>
    </row>
    <row r="129" spans="1:10" s="1592" customFormat="1" ht="12.75" customHeight="1" x14ac:dyDescent="0.25">
      <c r="A129" s="1592" t="s">
        <v>265</v>
      </c>
      <c r="D129" s="1780">
        <v>5669161.6200299999</v>
      </c>
      <c r="E129" s="1780">
        <v>0</v>
      </c>
      <c r="F129" s="1780">
        <v>7577128.8299700003</v>
      </c>
      <c r="G129" s="1780">
        <v>0</v>
      </c>
      <c r="H129" s="1780">
        <v>0</v>
      </c>
      <c r="I129" s="1781">
        <v>13246290.449999999</v>
      </c>
      <c r="J129" s="1781">
        <v>0</v>
      </c>
    </row>
    <row r="130" spans="1:10" s="1592" customFormat="1" ht="12.75" customHeight="1" x14ac:dyDescent="0.25">
      <c r="A130" s="1592" t="s">
        <v>268</v>
      </c>
      <c r="D130" s="1780">
        <v>3087011.2728419998</v>
      </c>
      <c r="E130" s="1780">
        <v>0</v>
      </c>
      <c r="F130" s="1780">
        <v>4220077.717158</v>
      </c>
      <c r="G130" s="1780">
        <v>0</v>
      </c>
      <c r="H130" s="1780">
        <v>0</v>
      </c>
      <c r="I130" s="1781">
        <v>7307088.9900000002</v>
      </c>
      <c r="J130" s="1781">
        <v>0</v>
      </c>
    </row>
    <row r="131" spans="1:10" s="1592" customFormat="1" ht="12.75" customHeight="1" x14ac:dyDescent="0.25">
      <c r="A131" s="1592" t="s">
        <v>9</v>
      </c>
      <c r="D131" s="1782">
        <f t="shared" ref="D131:H131" si="9">SUM(D126:D130)</f>
        <v>33823206.992862001</v>
      </c>
      <c r="E131" s="1782">
        <f t="shared" si="9"/>
        <v>0</v>
      </c>
      <c r="F131" s="1782">
        <f t="shared" si="9"/>
        <v>45817016.967138</v>
      </c>
      <c r="G131" s="1782">
        <f t="shared" si="9"/>
        <v>0</v>
      </c>
      <c r="H131" s="1782">
        <f t="shared" si="9"/>
        <v>0</v>
      </c>
      <c r="I131" s="1781">
        <f t="shared" ref="I131" si="10">SUM(D131:H131)</f>
        <v>79640223.960000008</v>
      </c>
      <c r="J131" s="1781">
        <f t="shared" ref="J131" si="11">G131+H131</f>
        <v>0</v>
      </c>
    </row>
    <row r="132" spans="1:10" x14ac:dyDescent="0.25">
      <c r="D132" s="833"/>
      <c r="E132" s="833"/>
      <c r="F132" s="833"/>
      <c r="G132" s="833"/>
      <c r="H132" s="833"/>
      <c r="I132" s="833"/>
    </row>
    <row r="133" spans="1:10" x14ac:dyDescent="0.25">
      <c r="D133" s="833"/>
      <c r="E133" s="833"/>
      <c r="F133" s="833"/>
      <c r="G133" s="833"/>
      <c r="H133" s="833"/>
      <c r="I133" s="833"/>
    </row>
    <row r="135" spans="1:10" s="392" customFormat="1" x14ac:dyDescent="0.25">
      <c r="A135" s="986" t="s">
        <v>1233</v>
      </c>
      <c r="B135" s="712"/>
      <c r="C135" s="712"/>
    </row>
    <row r="136" spans="1:10" s="392" customFormat="1" x14ac:dyDescent="0.25"/>
    <row r="137" spans="1:10" s="412" customFormat="1" x14ac:dyDescent="0.25">
      <c r="A137" s="412" t="s">
        <v>248</v>
      </c>
    </row>
    <row r="138" spans="1:10" x14ac:dyDescent="0.25">
      <c r="A138" s="413" t="s">
        <v>249</v>
      </c>
      <c r="B138" s="414" t="s">
        <v>250</v>
      </c>
      <c r="C138" s="414"/>
    </row>
  </sheetData>
  <autoFilter ref="A3:C124"/>
  <sortState ref="A5:J124">
    <sortCondition ref="A5:A124"/>
  </sortState>
  <hyperlinks>
    <hyperlink ref="B138"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topLeftCell="C1" workbookViewId="0">
      <pane ySplit="4" topLeftCell="A105" activePane="bottomLeft" state="frozen"/>
      <selection pane="bottomLeft" activeCell="E126" sqref="E126:J130"/>
    </sheetView>
  </sheetViews>
  <sheetFormatPr defaultRowHeight="15.75" x14ac:dyDescent="0.25"/>
  <cols>
    <col min="1" max="1" width="10" style="270" customWidth="1"/>
    <col min="2" max="2" width="28.625" style="270" customWidth="1"/>
    <col min="3" max="3" width="16.5" style="270" customWidth="1"/>
    <col min="4" max="10" width="17.125" style="270" customWidth="1"/>
    <col min="11" max="16384" width="9" style="270"/>
  </cols>
  <sheetData>
    <row r="1" spans="1:10" x14ac:dyDescent="0.25">
      <c r="A1" s="64" t="s">
        <v>1236</v>
      </c>
      <c r="D1" s="718"/>
    </row>
    <row r="2" spans="1:10" x14ac:dyDescent="0.25">
      <c r="D2" s="718"/>
    </row>
    <row r="3" spans="1:10" s="1592" customFormat="1" ht="12.75" customHeight="1" x14ac:dyDescent="0.25">
      <c r="A3" s="1620" t="s">
        <v>4</v>
      </c>
      <c r="B3" s="1621" t="s">
        <v>5</v>
      </c>
      <c r="C3" s="1621" t="s">
        <v>251</v>
      </c>
      <c r="D3" s="1622" t="s">
        <v>395</v>
      </c>
      <c r="E3" s="1622" t="s">
        <v>976</v>
      </c>
      <c r="F3" s="1622" t="s">
        <v>973</v>
      </c>
      <c r="G3" s="1622" t="s">
        <v>974</v>
      </c>
      <c r="H3" s="1622" t="s">
        <v>975</v>
      </c>
      <c r="I3" s="1622" t="s">
        <v>977</v>
      </c>
      <c r="J3" s="1622" t="s">
        <v>978</v>
      </c>
    </row>
    <row r="4" spans="1:10" s="1592" customFormat="1" ht="12.75" customHeight="1" x14ac:dyDescent="0.25">
      <c r="A4" s="1623">
        <v>999</v>
      </c>
      <c r="B4" s="1624" t="s">
        <v>9</v>
      </c>
      <c r="C4" s="1624"/>
      <c r="D4" s="1625">
        <f>SUM(D5:D124)</f>
        <v>56537956.840000018</v>
      </c>
      <c r="E4" s="1625">
        <f>SUM(E5:E124)</f>
        <v>56537956.840000018</v>
      </c>
      <c r="F4" s="1625">
        <f t="shared" ref="F4:J4" si="0">SUM(F5:F124)</f>
        <v>0</v>
      </c>
      <c r="G4" s="1625">
        <f t="shared" si="0"/>
        <v>0</v>
      </c>
      <c r="H4" s="1625">
        <f t="shared" si="0"/>
        <v>0</v>
      </c>
      <c r="I4" s="1625">
        <f t="shared" si="0"/>
        <v>0</v>
      </c>
      <c r="J4" s="1625">
        <f t="shared" si="0"/>
        <v>0</v>
      </c>
    </row>
    <row r="5" spans="1:10" s="1592" customFormat="1" ht="12.75" customHeight="1" x14ac:dyDescent="0.25">
      <c r="A5" s="1626" t="s">
        <v>10</v>
      </c>
      <c r="B5" s="1627" t="s">
        <v>11</v>
      </c>
      <c r="C5" s="1595" t="s">
        <v>264</v>
      </c>
      <c r="D5" s="1628">
        <f t="shared" ref="D5:D36" si="1">SUM(E5:I5)</f>
        <v>897630.91</v>
      </c>
      <c r="E5" s="1628">
        <v>897630.91</v>
      </c>
      <c r="F5" s="1628">
        <v>0</v>
      </c>
      <c r="G5" s="1628">
        <v>0</v>
      </c>
      <c r="H5" s="1628">
        <v>0</v>
      </c>
      <c r="I5" s="1628">
        <v>0</v>
      </c>
      <c r="J5" s="1628">
        <f t="shared" ref="J5:J36" si="2">H5+I5</f>
        <v>0</v>
      </c>
    </row>
    <row r="6" spans="1:10" s="1592" customFormat="1" ht="12.75" customHeight="1" x14ac:dyDescent="0.25">
      <c r="A6" s="1626" t="s">
        <v>12</v>
      </c>
      <c r="B6" s="1627" t="s">
        <v>13</v>
      </c>
      <c r="C6" s="1595" t="s">
        <v>265</v>
      </c>
      <c r="D6" s="1628">
        <f t="shared" si="1"/>
        <v>417776.27999999997</v>
      </c>
      <c r="E6" s="1628">
        <v>417776.27999999997</v>
      </c>
      <c r="F6" s="1628">
        <v>0</v>
      </c>
      <c r="G6" s="1628">
        <v>0</v>
      </c>
      <c r="H6" s="1628">
        <v>0</v>
      </c>
      <c r="I6" s="1628">
        <v>0</v>
      </c>
      <c r="J6" s="1628">
        <f t="shared" si="2"/>
        <v>0</v>
      </c>
    </row>
    <row r="7" spans="1:10" s="1592" customFormat="1" ht="12.75" customHeight="1" x14ac:dyDescent="0.25">
      <c r="A7" s="1626" t="s">
        <v>16</v>
      </c>
      <c r="B7" s="1627" t="s">
        <v>297</v>
      </c>
      <c r="C7" s="1595" t="s">
        <v>265</v>
      </c>
      <c r="D7" s="1628">
        <f t="shared" si="1"/>
        <v>501758.5</v>
      </c>
      <c r="E7" s="1628">
        <v>501758.5</v>
      </c>
      <c r="F7" s="1628">
        <v>0</v>
      </c>
      <c r="G7" s="1628">
        <v>0</v>
      </c>
      <c r="H7" s="1628">
        <v>0</v>
      </c>
      <c r="I7" s="1628">
        <v>0</v>
      </c>
      <c r="J7" s="1628">
        <f t="shared" si="2"/>
        <v>0</v>
      </c>
    </row>
    <row r="8" spans="1:10" s="1592" customFormat="1" ht="12.75" customHeight="1" x14ac:dyDescent="0.25">
      <c r="A8" s="1626" t="s">
        <v>18</v>
      </c>
      <c r="B8" s="1627" t="s">
        <v>19</v>
      </c>
      <c r="C8" s="1595" t="s">
        <v>266</v>
      </c>
      <c r="D8" s="1628">
        <f t="shared" si="1"/>
        <v>153034.49</v>
      </c>
      <c r="E8" s="1628">
        <v>153034.49</v>
      </c>
      <c r="F8" s="1628">
        <v>0</v>
      </c>
      <c r="G8" s="1628">
        <v>0</v>
      </c>
      <c r="H8" s="1628">
        <v>0</v>
      </c>
      <c r="I8" s="1628">
        <v>0</v>
      </c>
      <c r="J8" s="1628">
        <f t="shared" si="2"/>
        <v>0</v>
      </c>
    </row>
    <row r="9" spans="1:10" s="1592" customFormat="1" ht="12.75" customHeight="1" x14ac:dyDescent="0.25">
      <c r="A9" s="1626" t="s">
        <v>20</v>
      </c>
      <c r="B9" s="1627" t="s">
        <v>21</v>
      </c>
      <c r="C9" s="1595" t="s">
        <v>265</v>
      </c>
      <c r="D9" s="1628">
        <f t="shared" si="1"/>
        <v>444089</v>
      </c>
      <c r="E9" s="1628">
        <v>444089</v>
      </c>
      <c r="F9" s="1628">
        <v>0</v>
      </c>
      <c r="G9" s="1628">
        <v>0</v>
      </c>
      <c r="H9" s="1628">
        <v>0</v>
      </c>
      <c r="I9" s="1628">
        <v>0</v>
      </c>
      <c r="J9" s="1628">
        <f t="shared" si="2"/>
        <v>0</v>
      </c>
    </row>
    <row r="10" spans="1:10" s="1592" customFormat="1" ht="12.75" customHeight="1" x14ac:dyDescent="0.25">
      <c r="A10" s="1626" t="s">
        <v>22</v>
      </c>
      <c r="B10" s="1627" t="s">
        <v>23</v>
      </c>
      <c r="C10" s="1595" t="s">
        <v>265</v>
      </c>
      <c r="D10" s="1628">
        <f t="shared" si="1"/>
        <v>305641.53000000003</v>
      </c>
      <c r="E10" s="1628">
        <v>305641.53000000003</v>
      </c>
      <c r="F10" s="1628">
        <v>0</v>
      </c>
      <c r="G10" s="1628">
        <v>0</v>
      </c>
      <c r="H10" s="1628">
        <v>0</v>
      </c>
      <c r="I10" s="1628">
        <v>0</v>
      </c>
      <c r="J10" s="1628">
        <f t="shared" si="2"/>
        <v>0</v>
      </c>
    </row>
    <row r="11" spans="1:10" s="1592" customFormat="1" ht="12.75" customHeight="1" x14ac:dyDescent="0.25">
      <c r="A11" s="1626" t="s">
        <v>24</v>
      </c>
      <c r="B11" s="1627" t="s">
        <v>25</v>
      </c>
      <c r="C11" s="1595" t="s">
        <v>267</v>
      </c>
      <c r="D11" s="1628">
        <f t="shared" si="1"/>
        <v>323970.77999999997</v>
      </c>
      <c r="E11" s="1628">
        <v>323970.77999999997</v>
      </c>
      <c r="F11" s="1628">
        <v>0</v>
      </c>
      <c r="G11" s="1628">
        <v>0</v>
      </c>
      <c r="H11" s="1628">
        <v>0</v>
      </c>
      <c r="I11" s="1628">
        <v>0</v>
      </c>
      <c r="J11" s="1628">
        <f t="shared" si="2"/>
        <v>0</v>
      </c>
    </row>
    <row r="12" spans="1:10" s="1592" customFormat="1" ht="12.75" customHeight="1" x14ac:dyDescent="0.25">
      <c r="A12" s="1626" t="s">
        <v>26</v>
      </c>
      <c r="B12" s="1627" t="s">
        <v>686</v>
      </c>
      <c r="C12" s="1595" t="s">
        <v>265</v>
      </c>
      <c r="D12" s="1628">
        <f t="shared" si="1"/>
        <v>1156234.6599999999</v>
      </c>
      <c r="E12" s="1628">
        <v>1156234.6599999999</v>
      </c>
      <c r="F12" s="1628">
        <v>0</v>
      </c>
      <c r="G12" s="1628">
        <v>0</v>
      </c>
      <c r="H12" s="1628">
        <v>0</v>
      </c>
      <c r="I12" s="1628">
        <v>0</v>
      </c>
      <c r="J12" s="1628">
        <f t="shared" si="2"/>
        <v>0</v>
      </c>
    </row>
    <row r="13" spans="1:10" s="1592" customFormat="1" ht="12.75" customHeight="1" x14ac:dyDescent="0.25">
      <c r="A13" s="1626" t="s">
        <v>27</v>
      </c>
      <c r="B13" s="1627" t="s">
        <v>28</v>
      </c>
      <c r="C13" s="1595" t="s">
        <v>265</v>
      </c>
      <c r="D13" s="1628">
        <f t="shared" si="1"/>
        <v>61133.619999999995</v>
      </c>
      <c r="E13" s="1628">
        <v>61133.619999999995</v>
      </c>
      <c r="F13" s="1628">
        <v>0</v>
      </c>
      <c r="G13" s="1628">
        <v>0</v>
      </c>
      <c r="H13" s="1628">
        <v>0</v>
      </c>
      <c r="I13" s="1628">
        <v>0</v>
      </c>
      <c r="J13" s="1628">
        <f t="shared" si="2"/>
        <v>0</v>
      </c>
    </row>
    <row r="14" spans="1:10" s="1592" customFormat="1" ht="12.75" customHeight="1" x14ac:dyDescent="0.25">
      <c r="A14" s="1626" t="s">
        <v>29</v>
      </c>
      <c r="B14" s="1627" t="s">
        <v>924</v>
      </c>
      <c r="C14" s="1595" t="s">
        <v>265</v>
      </c>
      <c r="D14" s="1628">
        <f t="shared" si="1"/>
        <v>603195.25</v>
      </c>
      <c r="E14" s="1628">
        <v>603195.25</v>
      </c>
      <c r="F14" s="1628">
        <v>0</v>
      </c>
      <c r="G14" s="1628">
        <v>0</v>
      </c>
      <c r="H14" s="1628">
        <v>0</v>
      </c>
      <c r="I14" s="1628">
        <v>0</v>
      </c>
      <c r="J14" s="1628">
        <f t="shared" si="2"/>
        <v>0</v>
      </c>
    </row>
    <row r="15" spans="1:10" s="1592" customFormat="1" ht="12.75" customHeight="1" x14ac:dyDescent="0.25">
      <c r="A15" s="1626" t="s">
        <v>30</v>
      </c>
      <c r="B15" s="1627" t="s">
        <v>31</v>
      </c>
      <c r="C15" s="1595" t="s">
        <v>268</v>
      </c>
      <c r="D15" s="1628">
        <f t="shared" si="1"/>
        <v>91251.36</v>
      </c>
      <c r="E15" s="1628">
        <v>91251.36</v>
      </c>
      <c r="F15" s="1628">
        <v>0</v>
      </c>
      <c r="G15" s="1628">
        <v>0</v>
      </c>
      <c r="H15" s="1628">
        <v>0</v>
      </c>
      <c r="I15" s="1628">
        <v>0</v>
      </c>
      <c r="J15" s="1628">
        <f t="shared" si="2"/>
        <v>0</v>
      </c>
    </row>
    <row r="16" spans="1:10" s="1592" customFormat="1" ht="12.75" customHeight="1" x14ac:dyDescent="0.25">
      <c r="A16" s="1626" t="s">
        <v>32</v>
      </c>
      <c r="B16" s="1627" t="s">
        <v>33</v>
      </c>
      <c r="C16" s="1595" t="s">
        <v>265</v>
      </c>
      <c r="D16" s="1628">
        <f t="shared" si="1"/>
        <v>141513.82999999999</v>
      </c>
      <c r="E16" s="1628">
        <v>141513.82999999999</v>
      </c>
      <c r="F16" s="1628">
        <v>0</v>
      </c>
      <c r="G16" s="1628">
        <v>0</v>
      </c>
      <c r="H16" s="1628">
        <v>0</v>
      </c>
      <c r="I16" s="1628">
        <v>0</v>
      </c>
      <c r="J16" s="1628">
        <f t="shared" si="2"/>
        <v>0</v>
      </c>
    </row>
    <row r="17" spans="1:10" s="1592" customFormat="1" ht="12.75" customHeight="1" x14ac:dyDescent="0.25">
      <c r="A17" s="1626" t="s">
        <v>36</v>
      </c>
      <c r="B17" s="1627" t="s">
        <v>37</v>
      </c>
      <c r="C17" s="1595" t="s">
        <v>264</v>
      </c>
      <c r="D17" s="1628">
        <f t="shared" si="1"/>
        <v>599317.54999999993</v>
      </c>
      <c r="E17" s="1628">
        <v>599317.54999999993</v>
      </c>
      <c r="F17" s="1628">
        <v>0</v>
      </c>
      <c r="G17" s="1628">
        <v>0</v>
      </c>
      <c r="H17" s="1628">
        <v>0</v>
      </c>
      <c r="I17" s="1628">
        <v>0</v>
      </c>
      <c r="J17" s="1628">
        <f t="shared" si="2"/>
        <v>0</v>
      </c>
    </row>
    <row r="18" spans="1:10" s="1592" customFormat="1" ht="12.75" customHeight="1" x14ac:dyDescent="0.25">
      <c r="A18" s="1626" t="s">
        <v>38</v>
      </c>
      <c r="B18" s="1627" t="s">
        <v>39</v>
      </c>
      <c r="C18" s="1595" t="s">
        <v>268</v>
      </c>
      <c r="D18" s="1628">
        <f t="shared" si="1"/>
        <v>1399464.2200000002</v>
      </c>
      <c r="E18" s="1628">
        <v>1399464.2200000002</v>
      </c>
      <c r="F18" s="1628">
        <v>0</v>
      </c>
      <c r="G18" s="1628">
        <v>0</v>
      </c>
      <c r="H18" s="1628">
        <v>0</v>
      </c>
      <c r="I18" s="1628">
        <v>0</v>
      </c>
      <c r="J18" s="1628">
        <f t="shared" si="2"/>
        <v>0</v>
      </c>
    </row>
    <row r="19" spans="1:10" s="1592" customFormat="1" ht="12.75" customHeight="1" x14ac:dyDescent="0.25">
      <c r="A19" s="1626" t="s">
        <v>40</v>
      </c>
      <c r="B19" s="1627" t="s">
        <v>41</v>
      </c>
      <c r="C19" s="1595" t="s">
        <v>266</v>
      </c>
      <c r="D19" s="1628">
        <f t="shared" si="1"/>
        <v>365785.01</v>
      </c>
      <c r="E19" s="1628">
        <v>365785.01</v>
      </c>
      <c r="F19" s="1628">
        <v>0</v>
      </c>
      <c r="G19" s="1628">
        <v>0</v>
      </c>
      <c r="H19" s="1628">
        <v>0</v>
      </c>
      <c r="I19" s="1628">
        <v>0</v>
      </c>
      <c r="J19" s="1628">
        <f t="shared" si="2"/>
        <v>0</v>
      </c>
    </row>
    <row r="20" spans="1:10" s="1592" customFormat="1" ht="12.75" customHeight="1" x14ac:dyDescent="0.25">
      <c r="A20" s="1626" t="s">
        <v>42</v>
      </c>
      <c r="B20" s="1627" t="s">
        <v>43</v>
      </c>
      <c r="C20" s="1595" t="s">
        <v>265</v>
      </c>
      <c r="D20" s="1628">
        <f t="shared" si="1"/>
        <v>927133.69000000006</v>
      </c>
      <c r="E20" s="1628">
        <v>927133.69000000006</v>
      </c>
      <c r="F20" s="1628">
        <v>0</v>
      </c>
      <c r="G20" s="1628">
        <v>0</v>
      </c>
      <c r="H20" s="1628">
        <v>0</v>
      </c>
      <c r="I20" s="1628">
        <v>0</v>
      </c>
      <c r="J20" s="1628">
        <f t="shared" si="2"/>
        <v>0</v>
      </c>
    </row>
    <row r="21" spans="1:10" s="1592" customFormat="1" ht="12.75" customHeight="1" x14ac:dyDescent="0.25">
      <c r="A21" s="1626" t="s">
        <v>44</v>
      </c>
      <c r="B21" s="1627" t="s">
        <v>45</v>
      </c>
      <c r="C21" s="1595" t="s">
        <v>266</v>
      </c>
      <c r="D21" s="1628">
        <f t="shared" si="1"/>
        <v>238143.81</v>
      </c>
      <c r="E21" s="1628">
        <v>238143.81</v>
      </c>
      <c r="F21" s="1628">
        <v>0</v>
      </c>
      <c r="G21" s="1628">
        <v>0</v>
      </c>
      <c r="H21" s="1628">
        <v>0</v>
      </c>
      <c r="I21" s="1628">
        <v>0</v>
      </c>
      <c r="J21" s="1628">
        <f t="shared" si="2"/>
        <v>0</v>
      </c>
    </row>
    <row r="22" spans="1:10" s="1592" customFormat="1" ht="12.75" customHeight="1" x14ac:dyDescent="0.25">
      <c r="A22" s="1626" t="s">
        <v>46</v>
      </c>
      <c r="B22" s="1627" t="s">
        <v>47</v>
      </c>
      <c r="C22" s="1595" t="s">
        <v>268</v>
      </c>
      <c r="D22" s="1628">
        <f t="shared" si="1"/>
        <v>766080.74000000011</v>
      </c>
      <c r="E22" s="1628">
        <v>766080.74000000011</v>
      </c>
      <c r="F22" s="1628">
        <v>0</v>
      </c>
      <c r="G22" s="1628">
        <v>0</v>
      </c>
      <c r="H22" s="1628">
        <v>0</v>
      </c>
      <c r="I22" s="1628">
        <v>0</v>
      </c>
      <c r="J22" s="1628">
        <f t="shared" si="2"/>
        <v>0</v>
      </c>
    </row>
    <row r="23" spans="1:10" s="1592" customFormat="1" ht="12.75" customHeight="1" x14ac:dyDescent="0.25">
      <c r="A23" s="1626" t="s">
        <v>48</v>
      </c>
      <c r="B23" s="1627" t="s">
        <v>269</v>
      </c>
      <c r="C23" s="1595" t="s">
        <v>266</v>
      </c>
      <c r="D23" s="1628">
        <f t="shared" si="1"/>
        <v>101435.78999999998</v>
      </c>
      <c r="E23" s="1628">
        <v>101435.78999999998</v>
      </c>
      <c r="F23" s="1628">
        <v>0</v>
      </c>
      <c r="G23" s="1628">
        <v>0</v>
      </c>
      <c r="H23" s="1628">
        <v>0</v>
      </c>
      <c r="I23" s="1628">
        <v>0</v>
      </c>
      <c r="J23" s="1628">
        <f t="shared" si="2"/>
        <v>0</v>
      </c>
    </row>
    <row r="24" spans="1:10" s="1592" customFormat="1" ht="12.75" customHeight="1" x14ac:dyDescent="0.25">
      <c r="A24" s="1626" t="s">
        <v>50</v>
      </c>
      <c r="B24" s="1627" t="s">
        <v>51</v>
      </c>
      <c r="C24" s="1595" t="s">
        <v>265</v>
      </c>
      <c r="D24" s="1628">
        <f t="shared" si="1"/>
        <v>339956.66000000003</v>
      </c>
      <c r="E24" s="1628">
        <v>339956.66000000003</v>
      </c>
      <c r="F24" s="1628">
        <v>0</v>
      </c>
      <c r="G24" s="1628">
        <v>0</v>
      </c>
      <c r="H24" s="1628">
        <v>0</v>
      </c>
      <c r="I24" s="1628">
        <v>0</v>
      </c>
      <c r="J24" s="1628">
        <f t="shared" si="2"/>
        <v>0</v>
      </c>
    </row>
    <row r="25" spans="1:10" s="1592" customFormat="1" ht="12.75" customHeight="1" x14ac:dyDescent="0.25">
      <c r="A25" s="1626" t="s">
        <v>56</v>
      </c>
      <c r="B25" s="1627" t="s">
        <v>295</v>
      </c>
      <c r="C25" s="1595" t="s">
        <v>266</v>
      </c>
      <c r="D25" s="1628">
        <f t="shared" si="1"/>
        <v>974003.42000000016</v>
      </c>
      <c r="E25" s="1628">
        <v>974003.42000000016</v>
      </c>
      <c r="F25" s="1628">
        <v>0</v>
      </c>
      <c r="G25" s="1628">
        <v>0</v>
      </c>
      <c r="H25" s="1628">
        <v>0</v>
      </c>
      <c r="I25" s="1628">
        <v>0</v>
      </c>
      <c r="J25" s="1628">
        <f t="shared" si="2"/>
        <v>0</v>
      </c>
    </row>
    <row r="26" spans="1:10" s="1592" customFormat="1" ht="12.75" customHeight="1" x14ac:dyDescent="0.25">
      <c r="A26" s="1626" t="s">
        <v>58</v>
      </c>
      <c r="B26" s="1627" t="s">
        <v>59</v>
      </c>
      <c r="C26" s="1595" t="s">
        <v>267</v>
      </c>
      <c r="D26" s="1628">
        <f t="shared" si="1"/>
        <v>47369.63</v>
      </c>
      <c r="E26" s="1628">
        <v>47369.63</v>
      </c>
      <c r="F26" s="1628">
        <v>0</v>
      </c>
      <c r="G26" s="1628">
        <v>0</v>
      </c>
      <c r="H26" s="1628">
        <v>0</v>
      </c>
      <c r="I26" s="1628">
        <v>0</v>
      </c>
      <c r="J26" s="1628">
        <f t="shared" si="2"/>
        <v>0</v>
      </c>
    </row>
    <row r="27" spans="1:10" s="1592" customFormat="1" ht="12.75" customHeight="1" x14ac:dyDescent="0.25">
      <c r="A27" s="1626" t="s">
        <v>60</v>
      </c>
      <c r="B27" s="1627" t="s">
        <v>61</v>
      </c>
      <c r="C27" s="1595" t="s">
        <v>265</v>
      </c>
      <c r="D27" s="1628">
        <f t="shared" si="1"/>
        <v>103855.85999999999</v>
      </c>
      <c r="E27" s="1628">
        <v>103855.85999999999</v>
      </c>
      <c r="F27" s="1628">
        <v>0</v>
      </c>
      <c r="G27" s="1628">
        <v>0</v>
      </c>
      <c r="H27" s="1628">
        <v>0</v>
      </c>
      <c r="I27" s="1628">
        <v>0</v>
      </c>
      <c r="J27" s="1628">
        <f t="shared" si="2"/>
        <v>0</v>
      </c>
    </row>
    <row r="28" spans="1:10" s="1592" customFormat="1" ht="12.75" customHeight="1" x14ac:dyDescent="0.25">
      <c r="A28" s="1626" t="s">
        <v>62</v>
      </c>
      <c r="B28" s="1627" t="s">
        <v>63</v>
      </c>
      <c r="C28" s="1595" t="s">
        <v>267</v>
      </c>
      <c r="D28" s="1628">
        <f t="shared" si="1"/>
        <v>292143.23</v>
      </c>
      <c r="E28" s="1628">
        <v>292143.23</v>
      </c>
      <c r="F28" s="1628">
        <v>0</v>
      </c>
      <c r="G28" s="1628">
        <v>0</v>
      </c>
      <c r="H28" s="1628">
        <v>0</v>
      </c>
      <c r="I28" s="1628">
        <v>0</v>
      </c>
      <c r="J28" s="1628">
        <f t="shared" si="2"/>
        <v>0</v>
      </c>
    </row>
    <row r="29" spans="1:10" s="1592" customFormat="1" ht="12.75" customHeight="1" x14ac:dyDescent="0.25">
      <c r="A29" s="1626" t="s">
        <v>64</v>
      </c>
      <c r="B29" s="1627" t="s">
        <v>65</v>
      </c>
      <c r="C29" s="1595" t="s">
        <v>266</v>
      </c>
      <c r="D29" s="1628">
        <f t="shared" si="1"/>
        <v>188919.75</v>
      </c>
      <c r="E29" s="1628">
        <v>188919.75</v>
      </c>
      <c r="F29" s="1628">
        <v>0</v>
      </c>
      <c r="G29" s="1628">
        <v>0</v>
      </c>
      <c r="H29" s="1628">
        <v>0</v>
      </c>
      <c r="I29" s="1628">
        <v>0</v>
      </c>
      <c r="J29" s="1628">
        <f t="shared" si="2"/>
        <v>0</v>
      </c>
    </row>
    <row r="30" spans="1:10" s="1592" customFormat="1" ht="12.75" customHeight="1" x14ac:dyDescent="0.25">
      <c r="A30" s="1626" t="s">
        <v>68</v>
      </c>
      <c r="B30" s="1627" t="s">
        <v>69</v>
      </c>
      <c r="C30" s="1595" t="s">
        <v>268</v>
      </c>
      <c r="D30" s="1628">
        <f t="shared" si="1"/>
        <v>680900.21</v>
      </c>
      <c r="E30" s="1628">
        <v>680900.21</v>
      </c>
      <c r="F30" s="1628">
        <v>0</v>
      </c>
      <c r="G30" s="1628">
        <v>0</v>
      </c>
      <c r="H30" s="1628">
        <v>0</v>
      </c>
      <c r="I30" s="1628">
        <v>0</v>
      </c>
      <c r="J30" s="1628">
        <f t="shared" si="2"/>
        <v>0</v>
      </c>
    </row>
    <row r="31" spans="1:10" s="1592" customFormat="1" ht="12.75" customHeight="1" x14ac:dyDescent="0.25">
      <c r="A31" s="1626" t="s">
        <v>70</v>
      </c>
      <c r="B31" s="1627" t="s">
        <v>71</v>
      </c>
      <c r="C31" s="1595" t="s">
        <v>264</v>
      </c>
      <c r="D31" s="1628">
        <f t="shared" si="1"/>
        <v>349566.97</v>
      </c>
      <c r="E31" s="1628">
        <v>349566.97</v>
      </c>
      <c r="F31" s="1628">
        <v>0</v>
      </c>
      <c r="G31" s="1628">
        <v>0</v>
      </c>
      <c r="H31" s="1628">
        <v>0</v>
      </c>
      <c r="I31" s="1628">
        <v>0</v>
      </c>
      <c r="J31" s="1628">
        <f t="shared" si="2"/>
        <v>0</v>
      </c>
    </row>
    <row r="32" spans="1:10" s="1592" customFormat="1" ht="12.75" customHeight="1" x14ac:dyDescent="0.25">
      <c r="A32" s="1626" t="s">
        <v>72</v>
      </c>
      <c r="B32" s="1627" t="s">
        <v>73</v>
      </c>
      <c r="C32" s="1595" t="s">
        <v>266</v>
      </c>
      <c r="D32" s="1628">
        <f t="shared" si="1"/>
        <v>217800.96999999997</v>
      </c>
      <c r="E32" s="1628">
        <v>217800.96999999997</v>
      </c>
      <c r="F32" s="1628">
        <v>0</v>
      </c>
      <c r="G32" s="1628">
        <v>0</v>
      </c>
      <c r="H32" s="1628">
        <v>0</v>
      </c>
      <c r="I32" s="1628">
        <v>0</v>
      </c>
      <c r="J32" s="1628">
        <f t="shared" si="2"/>
        <v>0</v>
      </c>
    </row>
    <row r="33" spans="1:10" s="1592" customFormat="1" ht="12.75" customHeight="1" x14ac:dyDescent="0.25">
      <c r="A33" s="1626" t="s">
        <v>74</v>
      </c>
      <c r="B33" s="1627" t="s">
        <v>302</v>
      </c>
      <c r="C33" s="1595" t="s">
        <v>267</v>
      </c>
      <c r="D33" s="1628">
        <f t="shared" si="1"/>
        <v>656014.93999999994</v>
      </c>
      <c r="E33" s="1628">
        <v>656014.93999999994</v>
      </c>
      <c r="F33" s="1628">
        <v>0</v>
      </c>
      <c r="G33" s="1628">
        <v>0</v>
      </c>
      <c r="H33" s="1628">
        <v>0</v>
      </c>
      <c r="I33" s="1628">
        <v>0</v>
      </c>
      <c r="J33" s="1628">
        <f t="shared" si="2"/>
        <v>0</v>
      </c>
    </row>
    <row r="34" spans="1:10" s="1592" customFormat="1" ht="12.75" customHeight="1" x14ac:dyDescent="0.25">
      <c r="A34" s="1626" t="s">
        <v>76</v>
      </c>
      <c r="B34" s="1627" t="s">
        <v>77</v>
      </c>
      <c r="C34" s="1595" t="s">
        <v>267</v>
      </c>
      <c r="D34" s="1628">
        <f t="shared" si="1"/>
        <v>152166.5</v>
      </c>
      <c r="E34" s="1628">
        <v>152166.5</v>
      </c>
      <c r="F34" s="1628">
        <v>0</v>
      </c>
      <c r="G34" s="1628">
        <v>0</v>
      </c>
      <c r="H34" s="1628">
        <v>0</v>
      </c>
      <c r="I34" s="1628">
        <v>0</v>
      </c>
      <c r="J34" s="1628">
        <f t="shared" si="2"/>
        <v>0</v>
      </c>
    </row>
    <row r="35" spans="1:10" s="1592" customFormat="1" ht="12.75" customHeight="1" x14ac:dyDescent="0.25">
      <c r="A35" s="1626" t="s">
        <v>78</v>
      </c>
      <c r="B35" s="1627" t="s">
        <v>79</v>
      </c>
      <c r="C35" s="1595" t="s">
        <v>268</v>
      </c>
      <c r="D35" s="1628">
        <f t="shared" si="1"/>
        <v>234753.59</v>
      </c>
      <c r="E35" s="1628">
        <v>234753.59</v>
      </c>
      <c r="F35" s="1628">
        <v>0</v>
      </c>
      <c r="G35" s="1628">
        <v>0</v>
      </c>
      <c r="H35" s="1628">
        <v>0</v>
      </c>
      <c r="I35" s="1628">
        <v>0</v>
      </c>
      <c r="J35" s="1628">
        <f t="shared" si="2"/>
        <v>0</v>
      </c>
    </row>
    <row r="36" spans="1:10" s="1592" customFormat="1" ht="12.75" customHeight="1" x14ac:dyDescent="0.25">
      <c r="A36" s="1626" t="s">
        <v>80</v>
      </c>
      <c r="B36" s="1627" t="s">
        <v>81</v>
      </c>
      <c r="C36" s="1595" t="s">
        <v>266</v>
      </c>
      <c r="D36" s="1628">
        <f t="shared" si="1"/>
        <v>145224.21</v>
      </c>
      <c r="E36" s="1628">
        <v>145224.21</v>
      </c>
      <c r="F36" s="1628">
        <v>0</v>
      </c>
      <c r="G36" s="1628">
        <v>0</v>
      </c>
      <c r="H36" s="1628">
        <v>0</v>
      </c>
      <c r="I36" s="1628">
        <v>0</v>
      </c>
      <c r="J36" s="1628">
        <f t="shared" si="2"/>
        <v>0</v>
      </c>
    </row>
    <row r="37" spans="1:10" s="1592" customFormat="1" ht="12.75" customHeight="1" x14ac:dyDescent="0.25">
      <c r="A37" s="1626" t="s">
        <v>84</v>
      </c>
      <c r="B37" s="1627" t="s">
        <v>308</v>
      </c>
      <c r="C37" s="1595" t="s">
        <v>265</v>
      </c>
      <c r="D37" s="1628">
        <f t="shared" ref="D37:D68" si="3">SUM(E37:I37)</f>
        <v>724011.75</v>
      </c>
      <c r="E37" s="1628">
        <v>724011.75</v>
      </c>
      <c r="F37" s="1628">
        <v>0</v>
      </c>
      <c r="G37" s="1628">
        <v>0</v>
      </c>
      <c r="H37" s="1628">
        <v>0</v>
      </c>
      <c r="I37" s="1628">
        <v>0</v>
      </c>
      <c r="J37" s="1628">
        <f t="shared" ref="J37:J68" si="4">H37+I37</f>
        <v>0</v>
      </c>
    </row>
    <row r="38" spans="1:10" s="1592" customFormat="1" ht="12.75" customHeight="1" x14ac:dyDescent="0.25">
      <c r="A38" s="1626" t="s">
        <v>86</v>
      </c>
      <c r="B38" s="1627" t="s">
        <v>87</v>
      </c>
      <c r="C38" s="1595" t="s">
        <v>267</v>
      </c>
      <c r="D38" s="1628">
        <f t="shared" si="3"/>
        <v>225925.52000000002</v>
      </c>
      <c r="E38" s="1628">
        <v>225925.52000000002</v>
      </c>
      <c r="F38" s="1628">
        <v>0</v>
      </c>
      <c r="G38" s="1628">
        <v>0</v>
      </c>
      <c r="H38" s="1628">
        <v>0</v>
      </c>
      <c r="I38" s="1628">
        <v>0</v>
      </c>
      <c r="J38" s="1628">
        <f t="shared" si="4"/>
        <v>0</v>
      </c>
    </row>
    <row r="39" spans="1:10" s="1592" customFormat="1" ht="12.75" customHeight="1" x14ac:dyDescent="0.25">
      <c r="A39" s="1626" t="s">
        <v>92</v>
      </c>
      <c r="B39" s="1627" t="s">
        <v>93</v>
      </c>
      <c r="C39" s="1595" t="s">
        <v>268</v>
      </c>
      <c r="D39" s="1628">
        <f t="shared" si="3"/>
        <v>349557.36000000004</v>
      </c>
      <c r="E39" s="1628">
        <v>349557.36000000004</v>
      </c>
      <c r="F39" s="1628">
        <v>0</v>
      </c>
      <c r="G39" s="1628">
        <v>0</v>
      </c>
      <c r="H39" s="1628">
        <v>0</v>
      </c>
      <c r="I39" s="1628">
        <v>0</v>
      </c>
      <c r="J39" s="1628">
        <f t="shared" si="4"/>
        <v>0</v>
      </c>
    </row>
    <row r="40" spans="1:10" s="1592" customFormat="1" ht="12.75" customHeight="1" x14ac:dyDescent="0.25">
      <c r="A40" s="1626" t="s">
        <v>94</v>
      </c>
      <c r="B40" s="1627" t="s">
        <v>95</v>
      </c>
      <c r="C40" s="1595" t="s">
        <v>264</v>
      </c>
      <c r="D40" s="1628">
        <f t="shared" si="3"/>
        <v>294849.62</v>
      </c>
      <c r="E40" s="1628">
        <v>294849.62</v>
      </c>
      <c r="F40" s="1628">
        <v>0</v>
      </c>
      <c r="G40" s="1628">
        <v>0</v>
      </c>
      <c r="H40" s="1628">
        <v>0</v>
      </c>
      <c r="I40" s="1628">
        <v>0</v>
      </c>
      <c r="J40" s="1628">
        <f t="shared" si="4"/>
        <v>0</v>
      </c>
    </row>
    <row r="41" spans="1:10" s="1592" customFormat="1" ht="12.75" customHeight="1" x14ac:dyDescent="0.25">
      <c r="A41" s="1626" t="s">
        <v>96</v>
      </c>
      <c r="B41" s="1627" t="s">
        <v>97</v>
      </c>
      <c r="C41" s="1595" t="s">
        <v>266</v>
      </c>
      <c r="D41" s="1628">
        <f t="shared" si="3"/>
        <v>113161.16</v>
      </c>
      <c r="E41" s="1628">
        <v>113161.16</v>
      </c>
      <c r="F41" s="1628">
        <v>0</v>
      </c>
      <c r="G41" s="1628">
        <v>0</v>
      </c>
      <c r="H41" s="1628">
        <v>0</v>
      </c>
      <c r="I41" s="1628">
        <v>0</v>
      </c>
      <c r="J41" s="1628">
        <f t="shared" si="4"/>
        <v>0</v>
      </c>
    </row>
    <row r="42" spans="1:10" s="1592" customFormat="1" ht="12.75" customHeight="1" x14ac:dyDescent="0.25">
      <c r="A42" s="1626" t="s">
        <v>98</v>
      </c>
      <c r="B42" s="1627" t="s">
        <v>99</v>
      </c>
      <c r="C42" s="1595" t="s">
        <v>268</v>
      </c>
      <c r="D42" s="1628">
        <f t="shared" si="3"/>
        <v>501535.28</v>
      </c>
      <c r="E42" s="1628">
        <v>501535.28</v>
      </c>
      <c r="F42" s="1628">
        <v>0</v>
      </c>
      <c r="G42" s="1628">
        <v>0</v>
      </c>
      <c r="H42" s="1628">
        <v>0</v>
      </c>
      <c r="I42" s="1628">
        <v>0</v>
      </c>
      <c r="J42" s="1628">
        <f t="shared" si="4"/>
        <v>0</v>
      </c>
    </row>
    <row r="43" spans="1:10" s="1592" customFormat="1" ht="12.75" customHeight="1" x14ac:dyDescent="0.25">
      <c r="A43" s="1626" t="s">
        <v>100</v>
      </c>
      <c r="B43" s="1627" t="s">
        <v>101</v>
      </c>
      <c r="C43" s="1595" t="s">
        <v>267</v>
      </c>
      <c r="D43" s="1628">
        <f t="shared" si="3"/>
        <v>152717.19</v>
      </c>
      <c r="E43" s="1628">
        <v>152717.19</v>
      </c>
      <c r="F43" s="1628">
        <v>0</v>
      </c>
      <c r="G43" s="1628">
        <v>0</v>
      </c>
      <c r="H43" s="1628">
        <v>0</v>
      </c>
      <c r="I43" s="1628">
        <v>0</v>
      </c>
      <c r="J43" s="1628">
        <f t="shared" si="4"/>
        <v>0</v>
      </c>
    </row>
    <row r="44" spans="1:10" s="1592" customFormat="1" ht="12.75" customHeight="1" x14ac:dyDescent="0.25">
      <c r="A44" s="1626" t="s">
        <v>102</v>
      </c>
      <c r="B44" s="1627" t="s">
        <v>103</v>
      </c>
      <c r="C44" s="1595" t="s">
        <v>264</v>
      </c>
      <c r="D44" s="1628">
        <f t="shared" si="3"/>
        <v>424123.33999999997</v>
      </c>
      <c r="E44" s="1628">
        <v>424123.33999999997</v>
      </c>
      <c r="F44" s="1628">
        <v>0</v>
      </c>
      <c r="G44" s="1628">
        <v>0</v>
      </c>
      <c r="H44" s="1628">
        <v>0</v>
      </c>
      <c r="I44" s="1628">
        <v>0</v>
      </c>
      <c r="J44" s="1628">
        <f t="shared" si="4"/>
        <v>0</v>
      </c>
    </row>
    <row r="45" spans="1:10" s="1592" customFormat="1" ht="12.75" customHeight="1" x14ac:dyDescent="0.25">
      <c r="A45" s="1626" t="s">
        <v>104</v>
      </c>
      <c r="B45" s="1627" t="s">
        <v>309</v>
      </c>
      <c r="C45" s="1595" t="s">
        <v>265</v>
      </c>
      <c r="D45" s="1628">
        <f t="shared" si="3"/>
        <v>1043866.08</v>
      </c>
      <c r="E45" s="1628">
        <v>1043866.08</v>
      </c>
      <c r="F45" s="1628">
        <v>0</v>
      </c>
      <c r="G45" s="1628">
        <v>0</v>
      </c>
      <c r="H45" s="1628">
        <v>0</v>
      </c>
      <c r="I45" s="1628">
        <v>0</v>
      </c>
      <c r="J45" s="1628">
        <f t="shared" si="4"/>
        <v>0</v>
      </c>
    </row>
    <row r="46" spans="1:10" s="1592" customFormat="1" ht="12.75" customHeight="1" x14ac:dyDescent="0.25">
      <c r="A46" s="1626" t="s">
        <v>108</v>
      </c>
      <c r="B46" s="1627" t="s">
        <v>109</v>
      </c>
      <c r="C46" s="1595" t="s">
        <v>266</v>
      </c>
      <c r="D46" s="1628">
        <f t="shared" si="3"/>
        <v>289078.39</v>
      </c>
      <c r="E46" s="1628">
        <v>289078.39</v>
      </c>
      <c r="F46" s="1628">
        <v>0</v>
      </c>
      <c r="G46" s="1628">
        <v>0</v>
      </c>
      <c r="H46" s="1628">
        <v>0</v>
      </c>
      <c r="I46" s="1628">
        <v>0</v>
      </c>
      <c r="J46" s="1628">
        <f t="shared" si="4"/>
        <v>0</v>
      </c>
    </row>
    <row r="47" spans="1:10" s="1592" customFormat="1" ht="12.75" customHeight="1" x14ac:dyDescent="0.25">
      <c r="A47" s="1626" t="s">
        <v>110</v>
      </c>
      <c r="B47" s="1627" t="s">
        <v>111</v>
      </c>
      <c r="C47" s="1595" t="s">
        <v>266</v>
      </c>
      <c r="D47" s="1628">
        <f t="shared" si="3"/>
        <v>557618.98</v>
      </c>
      <c r="E47" s="1628">
        <v>557618.98</v>
      </c>
      <c r="F47" s="1628">
        <v>0</v>
      </c>
      <c r="G47" s="1628">
        <v>0</v>
      </c>
      <c r="H47" s="1628">
        <v>0</v>
      </c>
      <c r="I47" s="1628">
        <v>0</v>
      </c>
      <c r="J47" s="1628">
        <f t="shared" si="4"/>
        <v>0</v>
      </c>
    </row>
    <row r="48" spans="1:10" s="1592" customFormat="1" ht="12.75" customHeight="1" x14ac:dyDescent="0.25">
      <c r="A48" s="1626" t="s">
        <v>112</v>
      </c>
      <c r="B48" s="1627" t="s">
        <v>300</v>
      </c>
      <c r="C48" s="1595" t="s">
        <v>265</v>
      </c>
      <c r="D48" s="1628">
        <f t="shared" si="3"/>
        <v>1717780.8299999998</v>
      </c>
      <c r="E48" s="1628">
        <v>1717780.8299999998</v>
      </c>
      <c r="F48" s="1628">
        <v>0</v>
      </c>
      <c r="G48" s="1628">
        <v>0</v>
      </c>
      <c r="H48" s="1628">
        <v>0</v>
      </c>
      <c r="I48" s="1628">
        <v>0</v>
      </c>
      <c r="J48" s="1628">
        <f t="shared" si="4"/>
        <v>0</v>
      </c>
    </row>
    <row r="49" spans="1:10" s="1592" customFormat="1" ht="12.75" customHeight="1" x14ac:dyDescent="0.25">
      <c r="A49" s="1626" t="s">
        <v>114</v>
      </c>
      <c r="B49" s="1627" t="s">
        <v>115</v>
      </c>
      <c r="C49" s="1595" t="s">
        <v>265</v>
      </c>
      <c r="D49" s="1628">
        <f t="shared" si="3"/>
        <v>24452.379999999997</v>
      </c>
      <c r="E49" s="1628">
        <v>24452.379999999997</v>
      </c>
      <c r="F49" s="1628">
        <v>0</v>
      </c>
      <c r="G49" s="1628">
        <v>0</v>
      </c>
      <c r="H49" s="1628">
        <v>0</v>
      </c>
      <c r="I49" s="1628">
        <v>0</v>
      </c>
      <c r="J49" s="1628">
        <f t="shared" si="4"/>
        <v>0</v>
      </c>
    </row>
    <row r="50" spans="1:10" s="1592" customFormat="1" ht="12.75" customHeight="1" x14ac:dyDescent="0.25">
      <c r="A50" s="1626" t="s">
        <v>118</v>
      </c>
      <c r="B50" s="1627" t="s">
        <v>119</v>
      </c>
      <c r="C50" s="1595" t="s">
        <v>264</v>
      </c>
      <c r="D50" s="1628">
        <f t="shared" si="3"/>
        <v>280669.91000000003</v>
      </c>
      <c r="E50" s="1628">
        <v>280669.91000000003</v>
      </c>
      <c r="F50" s="1628">
        <v>0</v>
      </c>
      <c r="G50" s="1628">
        <v>0</v>
      </c>
      <c r="H50" s="1628">
        <v>0</v>
      </c>
      <c r="I50" s="1628">
        <v>0</v>
      </c>
      <c r="J50" s="1628">
        <f t="shared" si="4"/>
        <v>0</v>
      </c>
    </row>
    <row r="51" spans="1:10" s="1592" customFormat="1" ht="12.75" customHeight="1" x14ac:dyDescent="0.25">
      <c r="A51" s="1626" t="s">
        <v>120</v>
      </c>
      <c r="B51" s="1627" t="s">
        <v>121</v>
      </c>
      <c r="C51" s="1595" t="s">
        <v>264</v>
      </c>
      <c r="D51" s="1628">
        <f t="shared" si="3"/>
        <v>226196.17</v>
      </c>
      <c r="E51" s="1628">
        <v>226196.17</v>
      </c>
      <c r="F51" s="1628">
        <v>0</v>
      </c>
      <c r="G51" s="1628">
        <v>0</v>
      </c>
      <c r="H51" s="1628">
        <v>0</v>
      </c>
      <c r="I51" s="1628">
        <v>0</v>
      </c>
      <c r="J51" s="1628">
        <f t="shared" si="4"/>
        <v>0</v>
      </c>
    </row>
    <row r="52" spans="1:10" s="1592" customFormat="1" ht="12.75" customHeight="1" x14ac:dyDescent="0.25">
      <c r="A52" s="1626" t="s">
        <v>122</v>
      </c>
      <c r="B52" s="1627" t="s">
        <v>271</v>
      </c>
      <c r="C52" s="1595" t="s">
        <v>266</v>
      </c>
      <c r="D52" s="1628">
        <f t="shared" si="3"/>
        <v>115478.83</v>
      </c>
      <c r="E52" s="1628">
        <v>115478.83</v>
      </c>
      <c r="F52" s="1628">
        <v>0</v>
      </c>
      <c r="G52" s="1628">
        <v>0</v>
      </c>
      <c r="H52" s="1628">
        <v>0</v>
      </c>
      <c r="I52" s="1628">
        <v>0</v>
      </c>
      <c r="J52" s="1628">
        <f t="shared" si="4"/>
        <v>0</v>
      </c>
    </row>
    <row r="53" spans="1:10" s="1592" customFormat="1" ht="12.75" customHeight="1" x14ac:dyDescent="0.25">
      <c r="A53" s="1626" t="s">
        <v>124</v>
      </c>
      <c r="B53" s="1627" t="s">
        <v>125</v>
      </c>
      <c r="C53" s="1595" t="s">
        <v>267</v>
      </c>
      <c r="D53" s="1628">
        <f t="shared" si="3"/>
        <v>139146.81</v>
      </c>
      <c r="E53" s="1628">
        <v>139146.81</v>
      </c>
      <c r="F53" s="1628">
        <v>0</v>
      </c>
      <c r="G53" s="1628">
        <v>0</v>
      </c>
      <c r="H53" s="1628">
        <v>0</v>
      </c>
      <c r="I53" s="1628">
        <v>0</v>
      </c>
      <c r="J53" s="1628">
        <f t="shared" si="4"/>
        <v>0</v>
      </c>
    </row>
    <row r="54" spans="1:10" s="1592" customFormat="1" ht="12.75" customHeight="1" x14ac:dyDescent="0.25">
      <c r="A54" s="1626" t="s">
        <v>126</v>
      </c>
      <c r="B54" s="1627" t="s">
        <v>127</v>
      </c>
      <c r="C54" s="1595" t="s">
        <v>266</v>
      </c>
      <c r="D54" s="1628">
        <f t="shared" si="3"/>
        <v>100846.11</v>
      </c>
      <c r="E54" s="1628">
        <v>100846.11</v>
      </c>
      <c r="F54" s="1628">
        <v>0</v>
      </c>
      <c r="G54" s="1628">
        <v>0</v>
      </c>
      <c r="H54" s="1628">
        <v>0</v>
      </c>
      <c r="I54" s="1628">
        <v>0</v>
      </c>
      <c r="J54" s="1628">
        <f t="shared" si="4"/>
        <v>0</v>
      </c>
    </row>
    <row r="55" spans="1:10" s="1592" customFormat="1" ht="12.75" customHeight="1" x14ac:dyDescent="0.25">
      <c r="A55" s="1626" t="s">
        <v>128</v>
      </c>
      <c r="B55" s="1627" t="s">
        <v>129</v>
      </c>
      <c r="C55" s="1595" t="s">
        <v>266</v>
      </c>
      <c r="D55" s="1628">
        <f t="shared" si="3"/>
        <v>223947.38</v>
      </c>
      <c r="E55" s="1628">
        <v>223947.38</v>
      </c>
      <c r="F55" s="1628">
        <v>0</v>
      </c>
      <c r="G55" s="1628">
        <v>0</v>
      </c>
      <c r="H55" s="1628">
        <v>0</v>
      </c>
      <c r="I55" s="1628">
        <v>0</v>
      </c>
      <c r="J55" s="1628">
        <f t="shared" si="4"/>
        <v>0</v>
      </c>
    </row>
    <row r="56" spans="1:10" s="1592" customFormat="1" ht="12.75" customHeight="1" x14ac:dyDescent="0.25">
      <c r="A56" s="1626" t="s">
        <v>130</v>
      </c>
      <c r="B56" s="1627" t="s">
        <v>131</v>
      </c>
      <c r="C56" s="1595" t="s">
        <v>268</v>
      </c>
      <c r="D56" s="1628">
        <f t="shared" si="3"/>
        <v>1435299.8900000001</v>
      </c>
      <c r="E56" s="1628">
        <v>1435299.8900000001</v>
      </c>
      <c r="F56" s="1628">
        <v>0</v>
      </c>
      <c r="G56" s="1628">
        <v>0</v>
      </c>
      <c r="H56" s="1628">
        <v>0</v>
      </c>
      <c r="I56" s="1628">
        <v>0</v>
      </c>
      <c r="J56" s="1628">
        <f t="shared" si="4"/>
        <v>0</v>
      </c>
    </row>
    <row r="57" spans="1:10" s="1592" customFormat="1" ht="12.75" customHeight="1" x14ac:dyDescent="0.25">
      <c r="A57" s="1626" t="s">
        <v>132</v>
      </c>
      <c r="B57" s="1627" t="s">
        <v>133</v>
      </c>
      <c r="C57" s="1595" t="s">
        <v>267</v>
      </c>
      <c r="D57" s="1628">
        <f t="shared" si="3"/>
        <v>104437.18000000001</v>
      </c>
      <c r="E57" s="1628">
        <v>104437.18000000001</v>
      </c>
      <c r="F57" s="1628">
        <v>0</v>
      </c>
      <c r="G57" s="1628">
        <v>0</v>
      </c>
      <c r="H57" s="1628">
        <v>0</v>
      </c>
      <c r="I57" s="1628">
        <v>0</v>
      </c>
      <c r="J57" s="1628">
        <f t="shared" si="4"/>
        <v>0</v>
      </c>
    </row>
    <row r="58" spans="1:10" s="1592" customFormat="1" ht="12.75" customHeight="1" x14ac:dyDescent="0.25">
      <c r="A58" s="1626" t="s">
        <v>134</v>
      </c>
      <c r="B58" s="1627" t="s">
        <v>135</v>
      </c>
      <c r="C58" s="1595" t="s">
        <v>267</v>
      </c>
      <c r="D58" s="1628">
        <f t="shared" si="3"/>
        <v>418912.1</v>
      </c>
      <c r="E58" s="1628">
        <v>418912.1</v>
      </c>
      <c r="F58" s="1628">
        <v>0</v>
      </c>
      <c r="G58" s="1628">
        <v>0</v>
      </c>
      <c r="H58" s="1628">
        <v>0</v>
      </c>
      <c r="I58" s="1628">
        <v>0</v>
      </c>
      <c r="J58" s="1628">
        <f t="shared" si="4"/>
        <v>0</v>
      </c>
    </row>
    <row r="59" spans="1:10" s="1592" customFormat="1" ht="12.75" customHeight="1" x14ac:dyDescent="0.25">
      <c r="A59" s="1626" t="s">
        <v>136</v>
      </c>
      <c r="B59" s="1627" t="s">
        <v>137</v>
      </c>
      <c r="C59" s="1595" t="s">
        <v>266</v>
      </c>
      <c r="D59" s="1628">
        <f t="shared" si="3"/>
        <v>380657.7</v>
      </c>
      <c r="E59" s="1628">
        <v>380657.7</v>
      </c>
      <c r="F59" s="1628">
        <v>0</v>
      </c>
      <c r="G59" s="1628">
        <v>0</v>
      </c>
      <c r="H59" s="1628">
        <v>0</v>
      </c>
      <c r="I59" s="1628">
        <v>0</v>
      </c>
      <c r="J59" s="1628">
        <f t="shared" si="4"/>
        <v>0</v>
      </c>
    </row>
    <row r="60" spans="1:10" s="1592" customFormat="1" ht="12.75" customHeight="1" x14ac:dyDescent="0.25">
      <c r="A60" s="1626" t="s">
        <v>140</v>
      </c>
      <c r="B60" s="1627" t="s">
        <v>141</v>
      </c>
      <c r="C60" s="1595" t="s">
        <v>267</v>
      </c>
      <c r="D60" s="1628">
        <f t="shared" si="3"/>
        <v>120578.44000000002</v>
      </c>
      <c r="E60" s="1628">
        <v>120578.44000000002</v>
      </c>
      <c r="F60" s="1628">
        <v>0</v>
      </c>
      <c r="G60" s="1628">
        <v>0</v>
      </c>
      <c r="H60" s="1628">
        <v>0</v>
      </c>
      <c r="I60" s="1628">
        <v>0</v>
      </c>
      <c r="J60" s="1628">
        <f t="shared" si="4"/>
        <v>0</v>
      </c>
    </row>
    <row r="61" spans="1:10" s="1592" customFormat="1" ht="12.75" customHeight="1" x14ac:dyDescent="0.25">
      <c r="A61" s="1626" t="s">
        <v>146</v>
      </c>
      <c r="B61" s="1627" t="s">
        <v>147</v>
      </c>
      <c r="C61" s="1595" t="s">
        <v>264</v>
      </c>
      <c r="D61" s="1628">
        <f t="shared" si="3"/>
        <v>94112.86</v>
      </c>
      <c r="E61" s="1628">
        <v>94112.86</v>
      </c>
      <c r="F61" s="1628">
        <v>0</v>
      </c>
      <c r="G61" s="1628">
        <v>0</v>
      </c>
      <c r="H61" s="1628">
        <v>0</v>
      </c>
      <c r="I61" s="1628">
        <v>0</v>
      </c>
      <c r="J61" s="1628">
        <f t="shared" si="4"/>
        <v>0</v>
      </c>
    </row>
    <row r="62" spans="1:10" s="1592" customFormat="1" ht="12.75" customHeight="1" x14ac:dyDescent="0.25">
      <c r="A62" s="1626" t="s">
        <v>148</v>
      </c>
      <c r="B62" s="1627" t="s">
        <v>149</v>
      </c>
      <c r="C62" s="1595" t="s">
        <v>265</v>
      </c>
      <c r="D62" s="1628">
        <f t="shared" si="3"/>
        <v>841239.07999999984</v>
      </c>
      <c r="E62" s="1628">
        <v>841239.07999999984</v>
      </c>
      <c r="F62" s="1628">
        <v>0</v>
      </c>
      <c r="G62" s="1628">
        <v>0</v>
      </c>
      <c r="H62" s="1628">
        <v>0</v>
      </c>
      <c r="I62" s="1628">
        <v>0</v>
      </c>
      <c r="J62" s="1628">
        <f t="shared" si="4"/>
        <v>0</v>
      </c>
    </row>
    <row r="63" spans="1:10" s="1592" customFormat="1" ht="12.75" customHeight="1" x14ac:dyDescent="0.25">
      <c r="A63" s="1626" t="s">
        <v>150</v>
      </c>
      <c r="B63" s="1627" t="s">
        <v>151</v>
      </c>
      <c r="C63" s="1595" t="s">
        <v>266</v>
      </c>
      <c r="D63" s="1628">
        <f t="shared" si="3"/>
        <v>146971.75</v>
      </c>
      <c r="E63" s="1628">
        <v>146971.75</v>
      </c>
      <c r="F63" s="1628">
        <v>0</v>
      </c>
      <c r="G63" s="1628">
        <v>0</v>
      </c>
      <c r="H63" s="1628">
        <v>0</v>
      </c>
      <c r="I63" s="1628">
        <v>0</v>
      </c>
      <c r="J63" s="1628">
        <f t="shared" si="4"/>
        <v>0</v>
      </c>
    </row>
    <row r="64" spans="1:10" s="1592" customFormat="1" ht="12.75" customHeight="1" x14ac:dyDescent="0.25">
      <c r="A64" s="1626" t="s">
        <v>152</v>
      </c>
      <c r="B64" s="1627" t="s">
        <v>153</v>
      </c>
      <c r="C64" s="1595" t="s">
        <v>268</v>
      </c>
      <c r="D64" s="1628">
        <f t="shared" si="3"/>
        <v>788846.92999999993</v>
      </c>
      <c r="E64" s="1628">
        <v>788846.92999999993</v>
      </c>
      <c r="F64" s="1628">
        <v>0</v>
      </c>
      <c r="G64" s="1628">
        <v>0</v>
      </c>
      <c r="H64" s="1628">
        <v>0</v>
      </c>
      <c r="I64" s="1628">
        <v>0</v>
      </c>
      <c r="J64" s="1628">
        <f t="shared" si="4"/>
        <v>0</v>
      </c>
    </row>
    <row r="65" spans="1:10" s="1592" customFormat="1" ht="12.75" customHeight="1" x14ac:dyDescent="0.25">
      <c r="A65" s="1626" t="s">
        <v>154</v>
      </c>
      <c r="B65" s="1627" t="s">
        <v>155</v>
      </c>
      <c r="C65" s="1595" t="s">
        <v>265</v>
      </c>
      <c r="D65" s="1628">
        <f t="shared" si="3"/>
        <v>270676.94</v>
      </c>
      <c r="E65" s="1628">
        <v>270676.94</v>
      </c>
      <c r="F65" s="1628">
        <v>0</v>
      </c>
      <c r="G65" s="1628">
        <v>0</v>
      </c>
      <c r="H65" s="1628">
        <v>0</v>
      </c>
      <c r="I65" s="1628">
        <v>0</v>
      </c>
      <c r="J65" s="1628">
        <f t="shared" si="4"/>
        <v>0</v>
      </c>
    </row>
    <row r="66" spans="1:10" s="1592" customFormat="1" ht="12.75" customHeight="1" x14ac:dyDescent="0.25">
      <c r="A66" s="1626" t="s">
        <v>156</v>
      </c>
      <c r="B66" s="1627" t="s">
        <v>157</v>
      </c>
      <c r="C66" s="1595" t="s">
        <v>266</v>
      </c>
      <c r="D66" s="1628">
        <f t="shared" si="3"/>
        <v>50755.87</v>
      </c>
      <c r="E66" s="1628">
        <v>50755.87</v>
      </c>
      <c r="F66" s="1628">
        <v>0</v>
      </c>
      <c r="G66" s="1628">
        <v>0</v>
      </c>
      <c r="H66" s="1628">
        <v>0</v>
      </c>
      <c r="I66" s="1628">
        <v>0</v>
      </c>
      <c r="J66" s="1628">
        <f t="shared" si="4"/>
        <v>0</v>
      </c>
    </row>
    <row r="67" spans="1:10" s="1592" customFormat="1" ht="12.75" customHeight="1" x14ac:dyDescent="0.25">
      <c r="A67" s="1626" t="s">
        <v>162</v>
      </c>
      <c r="B67" s="1627" t="s">
        <v>163</v>
      </c>
      <c r="C67" s="1595" t="s">
        <v>264</v>
      </c>
      <c r="D67" s="1628">
        <f t="shared" si="3"/>
        <v>459041.47000000003</v>
      </c>
      <c r="E67" s="1628">
        <v>459041.47000000003</v>
      </c>
      <c r="F67" s="1628">
        <v>0</v>
      </c>
      <c r="G67" s="1628">
        <v>0</v>
      </c>
      <c r="H67" s="1628">
        <v>0</v>
      </c>
      <c r="I67" s="1628">
        <v>0</v>
      </c>
      <c r="J67" s="1628">
        <f t="shared" si="4"/>
        <v>0</v>
      </c>
    </row>
    <row r="68" spans="1:10" s="1592" customFormat="1" ht="12.75" customHeight="1" x14ac:dyDescent="0.25">
      <c r="A68" s="1626" t="s">
        <v>164</v>
      </c>
      <c r="B68" s="1627" t="s">
        <v>165</v>
      </c>
      <c r="C68" s="1595" t="s">
        <v>266</v>
      </c>
      <c r="D68" s="1628">
        <f t="shared" si="3"/>
        <v>233077.07</v>
      </c>
      <c r="E68" s="1628">
        <v>233077.07</v>
      </c>
      <c r="F68" s="1628">
        <v>0</v>
      </c>
      <c r="G68" s="1628">
        <v>0</v>
      </c>
      <c r="H68" s="1628">
        <v>0</v>
      </c>
      <c r="I68" s="1628">
        <v>0</v>
      </c>
      <c r="J68" s="1628">
        <f t="shared" si="4"/>
        <v>0</v>
      </c>
    </row>
    <row r="69" spans="1:10" s="1592" customFormat="1" ht="12.75" customHeight="1" x14ac:dyDescent="0.25">
      <c r="A69" s="1626" t="s">
        <v>168</v>
      </c>
      <c r="B69" s="1627" t="s">
        <v>169</v>
      </c>
      <c r="C69" s="1595" t="s">
        <v>266</v>
      </c>
      <c r="D69" s="1628">
        <f t="shared" ref="D69:D100" si="5">SUM(E69:I69)</f>
        <v>367989.72</v>
      </c>
      <c r="E69" s="1628">
        <v>367989.72</v>
      </c>
      <c r="F69" s="1628">
        <v>0</v>
      </c>
      <c r="G69" s="1628">
        <v>0</v>
      </c>
      <c r="H69" s="1628">
        <v>0</v>
      </c>
      <c r="I69" s="1628">
        <v>0</v>
      </c>
      <c r="J69" s="1628">
        <f t="shared" ref="J69:J100" si="6">H69+I69</f>
        <v>0</v>
      </c>
    </row>
    <row r="70" spans="1:10" s="1592" customFormat="1" ht="12.75" customHeight="1" x14ac:dyDescent="0.25">
      <c r="A70" s="1626" t="s">
        <v>170</v>
      </c>
      <c r="B70" s="1627" t="s">
        <v>171</v>
      </c>
      <c r="C70" s="1595" t="s">
        <v>267</v>
      </c>
      <c r="D70" s="1628">
        <f t="shared" si="5"/>
        <v>236139.81999999998</v>
      </c>
      <c r="E70" s="1628">
        <v>236139.81999999998</v>
      </c>
      <c r="F70" s="1628">
        <v>0</v>
      </c>
      <c r="G70" s="1628">
        <v>0</v>
      </c>
      <c r="H70" s="1628">
        <v>0</v>
      </c>
      <c r="I70" s="1628">
        <v>0</v>
      </c>
      <c r="J70" s="1628">
        <f t="shared" si="6"/>
        <v>0</v>
      </c>
    </row>
    <row r="71" spans="1:10" s="1592" customFormat="1" ht="12.75" customHeight="1" x14ac:dyDescent="0.25">
      <c r="A71" s="1626" t="s">
        <v>172</v>
      </c>
      <c r="B71" s="1627" t="s">
        <v>173</v>
      </c>
      <c r="C71" s="1595" t="s">
        <v>267</v>
      </c>
      <c r="D71" s="1628">
        <f t="shared" si="5"/>
        <v>389547.64999999997</v>
      </c>
      <c r="E71" s="1628">
        <v>389547.64999999997</v>
      </c>
      <c r="F71" s="1628">
        <v>0</v>
      </c>
      <c r="G71" s="1628">
        <v>0</v>
      </c>
      <c r="H71" s="1628">
        <v>0</v>
      </c>
      <c r="I71" s="1628">
        <v>0</v>
      </c>
      <c r="J71" s="1628">
        <f t="shared" si="6"/>
        <v>0</v>
      </c>
    </row>
    <row r="72" spans="1:10" s="1592" customFormat="1" ht="12.75" customHeight="1" x14ac:dyDescent="0.25">
      <c r="A72" s="1626" t="s">
        <v>174</v>
      </c>
      <c r="B72" s="1627" t="s">
        <v>175</v>
      </c>
      <c r="C72" s="1595" t="s">
        <v>268</v>
      </c>
      <c r="D72" s="1628">
        <f t="shared" si="5"/>
        <v>482105.17999999993</v>
      </c>
      <c r="E72" s="1628">
        <v>482105.17999999993</v>
      </c>
      <c r="F72" s="1628">
        <v>0</v>
      </c>
      <c r="G72" s="1628">
        <v>0</v>
      </c>
      <c r="H72" s="1628">
        <v>0</v>
      </c>
      <c r="I72" s="1628">
        <v>0</v>
      </c>
      <c r="J72" s="1628">
        <f t="shared" si="6"/>
        <v>0</v>
      </c>
    </row>
    <row r="73" spans="1:10" s="1592" customFormat="1" ht="12.75" customHeight="1" x14ac:dyDescent="0.25">
      <c r="A73" s="1626" t="s">
        <v>178</v>
      </c>
      <c r="B73" s="1627" t="s">
        <v>179</v>
      </c>
      <c r="C73" s="1595" t="s">
        <v>265</v>
      </c>
      <c r="D73" s="1628">
        <f t="shared" si="5"/>
        <v>1074169.51</v>
      </c>
      <c r="E73" s="1628">
        <v>1074169.51</v>
      </c>
      <c r="F73" s="1628">
        <v>0</v>
      </c>
      <c r="G73" s="1628">
        <v>0</v>
      </c>
      <c r="H73" s="1628">
        <v>0</v>
      </c>
      <c r="I73" s="1628">
        <v>0</v>
      </c>
      <c r="J73" s="1628">
        <f t="shared" si="6"/>
        <v>0</v>
      </c>
    </row>
    <row r="74" spans="1:10" s="1592" customFormat="1" ht="12.75" customHeight="1" x14ac:dyDescent="0.25">
      <c r="A74" s="1626" t="s">
        <v>182</v>
      </c>
      <c r="B74" s="1627" t="s">
        <v>183</v>
      </c>
      <c r="C74" s="1595" t="s">
        <v>266</v>
      </c>
      <c r="D74" s="1628">
        <f t="shared" si="5"/>
        <v>63101.789999999994</v>
      </c>
      <c r="E74" s="1628">
        <v>63101.789999999994</v>
      </c>
      <c r="F74" s="1628">
        <v>0</v>
      </c>
      <c r="G74" s="1628">
        <v>0</v>
      </c>
      <c r="H74" s="1628">
        <v>0</v>
      </c>
      <c r="I74" s="1628">
        <v>0</v>
      </c>
      <c r="J74" s="1628">
        <f t="shared" si="6"/>
        <v>0</v>
      </c>
    </row>
    <row r="75" spans="1:10" s="1592" customFormat="1" ht="12.75" customHeight="1" x14ac:dyDescent="0.25">
      <c r="A75" s="1626" t="s">
        <v>184</v>
      </c>
      <c r="B75" s="1627" t="s">
        <v>185</v>
      </c>
      <c r="C75" s="1595" t="s">
        <v>266</v>
      </c>
      <c r="D75" s="1628">
        <f t="shared" si="5"/>
        <v>387009.66</v>
      </c>
      <c r="E75" s="1628">
        <v>387009.66</v>
      </c>
      <c r="F75" s="1628">
        <v>0</v>
      </c>
      <c r="G75" s="1628">
        <v>0</v>
      </c>
      <c r="H75" s="1628">
        <v>0</v>
      </c>
      <c r="I75" s="1628">
        <v>0</v>
      </c>
      <c r="J75" s="1628">
        <f t="shared" si="6"/>
        <v>0</v>
      </c>
    </row>
    <row r="76" spans="1:10" s="1592" customFormat="1" ht="12.75" customHeight="1" x14ac:dyDescent="0.25">
      <c r="A76" s="1626" t="s">
        <v>186</v>
      </c>
      <c r="B76" s="1627" t="s">
        <v>187</v>
      </c>
      <c r="C76" s="1595" t="s">
        <v>264</v>
      </c>
      <c r="D76" s="1628">
        <f t="shared" si="5"/>
        <v>150782.34</v>
      </c>
      <c r="E76" s="1628">
        <v>150782.34</v>
      </c>
      <c r="F76" s="1628">
        <v>0</v>
      </c>
      <c r="G76" s="1628">
        <v>0</v>
      </c>
      <c r="H76" s="1628">
        <v>0</v>
      </c>
      <c r="I76" s="1628">
        <v>0</v>
      </c>
      <c r="J76" s="1628">
        <f t="shared" si="6"/>
        <v>0</v>
      </c>
    </row>
    <row r="77" spans="1:10" s="1592" customFormat="1" ht="12.75" customHeight="1" x14ac:dyDescent="0.25">
      <c r="A77" s="1626" t="s">
        <v>188</v>
      </c>
      <c r="B77" s="1627" t="s">
        <v>189</v>
      </c>
      <c r="C77" s="1595" t="s">
        <v>267</v>
      </c>
      <c r="D77" s="1628">
        <f t="shared" si="5"/>
        <v>400802.98000000004</v>
      </c>
      <c r="E77" s="1628">
        <v>400802.98000000004</v>
      </c>
      <c r="F77" s="1628">
        <v>0</v>
      </c>
      <c r="G77" s="1628">
        <v>0</v>
      </c>
      <c r="H77" s="1628">
        <v>0</v>
      </c>
      <c r="I77" s="1628">
        <v>0</v>
      </c>
      <c r="J77" s="1628">
        <f t="shared" si="6"/>
        <v>0</v>
      </c>
    </row>
    <row r="78" spans="1:10" s="1592" customFormat="1" ht="12.75" customHeight="1" x14ac:dyDescent="0.25">
      <c r="A78" s="1626" t="s">
        <v>190</v>
      </c>
      <c r="B78" s="1627" t="s">
        <v>191</v>
      </c>
      <c r="C78" s="1595" t="s">
        <v>268</v>
      </c>
      <c r="D78" s="1628">
        <f t="shared" si="5"/>
        <v>809640.56</v>
      </c>
      <c r="E78" s="1628">
        <v>809640.56</v>
      </c>
      <c r="F78" s="1628">
        <v>0</v>
      </c>
      <c r="G78" s="1628">
        <v>0</v>
      </c>
      <c r="H78" s="1628">
        <v>0</v>
      </c>
      <c r="I78" s="1628">
        <v>0</v>
      </c>
      <c r="J78" s="1628">
        <f t="shared" si="6"/>
        <v>0</v>
      </c>
    </row>
    <row r="79" spans="1:10" s="1592" customFormat="1" ht="12.75" customHeight="1" x14ac:dyDescent="0.25">
      <c r="A79" s="1626" t="s">
        <v>194</v>
      </c>
      <c r="B79" s="1627" t="s">
        <v>195</v>
      </c>
      <c r="C79" s="1595" t="s">
        <v>267</v>
      </c>
      <c r="D79" s="1628">
        <f t="shared" si="5"/>
        <v>32864.700000000004</v>
      </c>
      <c r="E79" s="1628">
        <v>32864.700000000004</v>
      </c>
      <c r="F79" s="1628">
        <v>0</v>
      </c>
      <c r="G79" s="1628">
        <v>0</v>
      </c>
      <c r="H79" s="1628">
        <v>0</v>
      </c>
      <c r="I79" s="1628">
        <v>0</v>
      </c>
      <c r="J79" s="1628">
        <f t="shared" si="6"/>
        <v>0</v>
      </c>
    </row>
    <row r="80" spans="1:10" s="1592" customFormat="1" ht="12.75" customHeight="1" x14ac:dyDescent="0.25">
      <c r="A80" s="1626" t="s">
        <v>198</v>
      </c>
      <c r="B80" s="1627" t="s">
        <v>199</v>
      </c>
      <c r="C80" s="1595" t="s">
        <v>266</v>
      </c>
      <c r="D80" s="1628">
        <f t="shared" si="5"/>
        <v>176451.38999999998</v>
      </c>
      <c r="E80" s="1628">
        <v>176451.38999999998</v>
      </c>
      <c r="F80" s="1628">
        <v>0</v>
      </c>
      <c r="G80" s="1628">
        <v>0</v>
      </c>
      <c r="H80" s="1628">
        <v>0</v>
      </c>
      <c r="I80" s="1628">
        <v>0</v>
      </c>
      <c r="J80" s="1628">
        <f t="shared" si="6"/>
        <v>0</v>
      </c>
    </row>
    <row r="81" spans="1:10" s="1592" customFormat="1" ht="12.75" customHeight="1" x14ac:dyDescent="0.25">
      <c r="A81" s="1626" t="s">
        <v>202</v>
      </c>
      <c r="B81" s="1627" t="s">
        <v>203</v>
      </c>
      <c r="C81" s="1595" t="s">
        <v>265</v>
      </c>
      <c r="D81" s="1628">
        <f t="shared" si="5"/>
        <v>535431.41</v>
      </c>
      <c r="E81" s="1628">
        <v>535431.41</v>
      </c>
      <c r="F81" s="1628">
        <v>0</v>
      </c>
      <c r="G81" s="1628">
        <v>0</v>
      </c>
      <c r="H81" s="1628">
        <v>0</v>
      </c>
      <c r="I81" s="1628">
        <v>0</v>
      </c>
      <c r="J81" s="1628">
        <f t="shared" si="6"/>
        <v>0</v>
      </c>
    </row>
    <row r="82" spans="1:10" s="1592" customFormat="1" ht="12.75" customHeight="1" x14ac:dyDescent="0.25">
      <c r="A82" s="1626" t="s">
        <v>204</v>
      </c>
      <c r="B82" s="1627" t="s">
        <v>205</v>
      </c>
      <c r="C82" s="1595" t="s">
        <v>265</v>
      </c>
      <c r="D82" s="1628">
        <f t="shared" si="5"/>
        <v>579892.06999999995</v>
      </c>
      <c r="E82" s="1628">
        <v>579892.06999999995</v>
      </c>
      <c r="F82" s="1628">
        <v>0</v>
      </c>
      <c r="G82" s="1628">
        <v>0</v>
      </c>
      <c r="H82" s="1628">
        <v>0</v>
      </c>
      <c r="I82" s="1628">
        <v>0</v>
      </c>
      <c r="J82" s="1628">
        <f t="shared" si="6"/>
        <v>0</v>
      </c>
    </row>
    <row r="83" spans="1:10" s="1592" customFormat="1" ht="12.75" customHeight="1" x14ac:dyDescent="0.25">
      <c r="A83" s="1626" t="s">
        <v>206</v>
      </c>
      <c r="B83" s="1627" t="s">
        <v>207</v>
      </c>
      <c r="C83" s="1595" t="s">
        <v>267</v>
      </c>
      <c r="D83" s="1628">
        <f t="shared" si="5"/>
        <v>809077.84</v>
      </c>
      <c r="E83" s="1628">
        <v>809077.84</v>
      </c>
      <c r="F83" s="1628">
        <v>0</v>
      </c>
      <c r="G83" s="1628">
        <v>0</v>
      </c>
      <c r="H83" s="1628">
        <v>0</v>
      </c>
      <c r="I83" s="1628">
        <v>0</v>
      </c>
      <c r="J83" s="1628">
        <f t="shared" si="6"/>
        <v>0</v>
      </c>
    </row>
    <row r="84" spans="1:10" s="1592" customFormat="1" ht="12.75" customHeight="1" x14ac:dyDescent="0.25">
      <c r="A84" s="1626" t="s">
        <v>208</v>
      </c>
      <c r="B84" s="1627" t="s">
        <v>209</v>
      </c>
      <c r="C84" s="1595" t="s">
        <v>268</v>
      </c>
      <c r="D84" s="1628">
        <f t="shared" si="5"/>
        <v>1115898.6099999999</v>
      </c>
      <c r="E84" s="1628">
        <v>1115898.6099999999</v>
      </c>
      <c r="F84" s="1628">
        <v>0</v>
      </c>
      <c r="G84" s="1628">
        <v>0</v>
      </c>
      <c r="H84" s="1628">
        <v>0</v>
      </c>
      <c r="I84" s="1628">
        <v>0</v>
      </c>
      <c r="J84" s="1628">
        <f t="shared" si="6"/>
        <v>0</v>
      </c>
    </row>
    <row r="85" spans="1:10" s="1592" customFormat="1" ht="12.75" customHeight="1" x14ac:dyDescent="0.25">
      <c r="A85" s="1626" t="s">
        <v>210</v>
      </c>
      <c r="B85" s="1627" t="s">
        <v>211</v>
      </c>
      <c r="C85" s="1595" t="s">
        <v>268</v>
      </c>
      <c r="D85" s="1628">
        <f t="shared" si="5"/>
        <v>725417.14</v>
      </c>
      <c r="E85" s="1628">
        <v>725417.14</v>
      </c>
      <c r="F85" s="1628">
        <v>0</v>
      </c>
      <c r="G85" s="1628">
        <v>0</v>
      </c>
      <c r="H85" s="1628">
        <v>0</v>
      </c>
      <c r="I85" s="1628">
        <v>0</v>
      </c>
      <c r="J85" s="1628">
        <f t="shared" si="6"/>
        <v>0</v>
      </c>
    </row>
    <row r="86" spans="1:10" s="1592" customFormat="1" ht="12.75" customHeight="1" x14ac:dyDescent="0.25">
      <c r="A86" s="1626" t="s">
        <v>212</v>
      </c>
      <c r="B86" s="1627" t="s">
        <v>213</v>
      </c>
      <c r="C86" s="1595" t="s">
        <v>267</v>
      </c>
      <c r="D86" s="1628">
        <f t="shared" si="5"/>
        <v>361078.30999999994</v>
      </c>
      <c r="E86" s="1628">
        <v>361078.30999999994</v>
      </c>
      <c r="F86" s="1628">
        <v>0</v>
      </c>
      <c r="G86" s="1628">
        <v>0</v>
      </c>
      <c r="H86" s="1628">
        <v>0</v>
      </c>
      <c r="I86" s="1628">
        <v>0</v>
      </c>
      <c r="J86" s="1628">
        <f t="shared" si="6"/>
        <v>0</v>
      </c>
    </row>
    <row r="87" spans="1:10" s="1592" customFormat="1" ht="12.75" customHeight="1" x14ac:dyDescent="0.25">
      <c r="A87" s="1626" t="s">
        <v>214</v>
      </c>
      <c r="B87" s="1627" t="s">
        <v>215</v>
      </c>
      <c r="C87" s="1595" t="s">
        <v>268</v>
      </c>
      <c r="D87" s="1628">
        <f t="shared" si="5"/>
        <v>1020859.0900000001</v>
      </c>
      <c r="E87" s="1628">
        <v>1020859.0900000001</v>
      </c>
      <c r="F87" s="1628">
        <v>0</v>
      </c>
      <c r="G87" s="1628">
        <v>0</v>
      </c>
      <c r="H87" s="1628">
        <v>0</v>
      </c>
      <c r="I87" s="1628">
        <v>0</v>
      </c>
      <c r="J87" s="1628">
        <f t="shared" si="6"/>
        <v>0</v>
      </c>
    </row>
    <row r="88" spans="1:10" s="1592" customFormat="1" ht="12.75" customHeight="1" x14ac:dyDescent="0.25">
      <c r="A88" s="1626" t="s">
        <v>216</v>
      </c>
      <c r="B88" s="1627" t="s">
        <v>217</v>
      </c>
      <c r="C88" s="1595" t="s">
        <v>264</v>
      </c>
      <c r="D88" s="1628">
        <f t="shared" si="5"/>
        <v>286119.32</v>
      </c>
      <c r="E88" s="1628">
        <v>286119.32</v>
      </c>
      <c r="F88" s="1628">
        <v>0</v>
      </c>
      <c r="G88" s="1628">
        <v>0</v>
      </c>
      <c r="H88" s="1628">
        <v>0</v>
      </c>
      <c r="I88" s="1628">
        <v>0</v>
      </c>
      <c r="J88" s="1628">
        <f t="shared" si="6"/>
        <v>0</v>
      </c>
    </row>
    <row r="89" spans="1:10" s="1592" customFormat="1" ht="12.75" customHeight="1" x14ac:dyDescent="0.25">
      <c r="A89" s="1626" t="s">
        <v>218</v>
      </c>
      <c r="B89" s="1627" t="s">
        <v>219</v>
      </c>
      <c r="C89" s="1595" t="s">
        <v>267</v>
      </c>
      <c r="D89" s="1628">
        <f t="shared" si="5"/>
        <v>348669.13999999996</v>
      </c>
      <c r="E89" s="1628">
        <v>348669.13999999996</v>
      </c>
      <c r="F89" s="1628">
        <v>0</v>
      </c>
      <c r="G89" s="1628">
        <v>0</v>
      </c>
      <c r="H89" s="1628">
        <v>0</v>
      </c>
      <c r="I89" s="1628">
        <v>0</v>
      </c>
      <c r="J89" s="1628">
        <f t="shared" si="6"/>
        <v>0</v>
      </c>
    </row>
    <row r="90" spans="1:10" s="1592" customFormat="1" ht="12.75" customHeight="1" x14ac:dyDescent="0.25">
      <c r="A90" s="1626" t="s">
        <v>220</v>
      </c>
      <c r="B90" s="1627" t="s">
        <v>221</v>
      </c>
      <c r="C90" s="1595" t="s">
        <v>267</v>
      </c>
      <c r="D90" s="1628">
        <f t="shared" si="5"/>
        <v>171176.56</v>
      </c>
      <c r="E90" s="1628">
        <v>171176.56</v>
      </c>
      <c r="F90" s="1628">
        <v>0</v>
      </c>
      <c r="G90" s="1628">
        <v>0</v>
      </c>
      <c r="H90" s="1628">
        <v>0</v>
      </c>
      <c r="I90" s="1628">
        <v>0</v>
      </c>
      <c r="J90" s="1628">
        <f t="shared" si="6"/>
        <v>0</v>
      </c>
    </row>
    <row r="91" spans="1:10" s="1592" customFormat="1" ht="12.75" customHeight="1" x14ac:dyDescent="0.25">
      <c r="A91" s="1626" t="s">
        <v>224</v>
      </c>
      <c r="B91" s="1627" t="s">
        <v>225</v>
      </c>
      <c r="C91" s="1595" t="s">
        <v>264</v>
      </c>
      <c r="D91" s="1628">
        <f t="shared" si="5"/>
        <v>98643.359999999986</v>
      </c>
      <c r="E91" s="1628">
        <v>98643.359999999986</v>
      </c>
      <c r="F91" s="1628">
        <v>0</v>
      </c>
      <c r="G91" s="1628">
        <v>0</v>
      </c>
      <c r="H91" s="1628">
        <v>0</v>
      </c>
      <c r="I91" s="1628">
        <v>0</v>
      </c>
      <c r="J91" s="1628">
        <f t="shared" si="6"/>
        <v>0</v>
      </c>
    </row>
    <row r="92" spans="1:10" s="1592" customFormat="1" ht="12.75" customHeight="1" x14ac:dyDescent="0.25">
      <c r="A92" s="1626" t="s">
        <v>226</v>
      </c>
      <c r="B92" s="1627" t="s">
        <v>227</v>
      </c>
      <c r="C92" s="1595" t="s">
        <v>264</v>
      </c>
      <c r="D92" s="1628">
        <f t="shared" si="5"/>
        <v>204910.78</v>
      </c>
      <c r="E92" s="1628">
        <v>204910.78</v>
      </c>
      <c r="F92" s="1628">
        <v>0</v>
      </c>
      <c r="G92" s="1628">
        <v>0</v>
      </c>
      <c r="H92" s="1628">
        <v>0</v>
      </c>
      <c r="I92" s="1628">
        <v>0</v>
      </c>
      <c r="J92" s="1628">
        <f t="shared" si="6"/>
        <v>0</v>
      </c>
    </row>
    <row r="93" spans="1:10" s="1592" customFormat="1" ht="12.75" customHeight="1" x14ac:dyDescent="0.25">
      <c r="A93" s="1626" t="s">
        <v>228</v>
      </c>
      <c r="B93" s="1627" t="s">
        <v>229</v>
      </c>
      <c r="C93" s="1595" t="s">
        <v>268</v>
      </c>
      <c r="D93" s="1628">
        <f t="shared" si="5"/>
        <v>1371941.6400000001</v>
      </c>
      <c r="E93" s="1628">
        <v>1371941.6400000001</v>
      </c>
      <c r="F93" s="1628">
        <v>0</v>
      </c>
      <c r="G93" s="1628">
        <v>0</v>
      </c>
      <c r="H93" s="1628">
        <v>0</v>
      </c>
      <c r="I93" s="1628">
        <v>0</v>
      </c>
      <c r="J93" s="1628">
        <f t="shared" si="6"/>
        <v>0</v>
      </c>
    </row>
    <row r="94" spans="1:10" s="1592" customFormat="1" ht="12.75" customHeight="1" x14ac:dyDescent="0.25">
      <c r="A94" s="1626" t="s">
        <v>232</v>
      </c>
      <c r="B94" s="1627" t="s">
        <v>233</v>
      </c>
      <c r="C94" s="1595" t="s">
        <v>267</v>
      </c>
      <c r="D94" s="1628">
        <f t="shared" si="5"/>
        <v>263418.27</v>
      </c>
      <c r="E94" s="1628">
        <v>263418.27</v>
      </c>
      <c r="F94" s="1628">
        <v>0</v>
      </c>
      <c r="G94" s="1628">
        <v>0</v>
      </c>
      <c r="H94" s="1628">
        <v>0</v>
      </c>
      <c r="I94" s="1628">
        <v>0</v>
      </c>
      <c r="J94" s="1628">
        <f t="shared" si="6"/>
        <v>0</v>
      </c>
    </row>
    <row r="95" spans="1:10" s="1592" customFormat="1" ht="12.75" customHeight="1" x14ac:dyDescent="0.25">
      <c r="A95" s="1626" t="s">
        <v>234</v>
      </c>
      <c r="B95" s="1627" t="s">
        <v>235</v>
      </c>
      <c r="C95" s="1595" t="s">
        <v>268</v>
      </c>
      <c r="D95" s="1628">
        <f t="shared" si="5"/>
        <v>904267.78</v>
      </c>
      <c r="E95" s="1628">
        <v>904267.78</v>
      </c>
      <c r="F95" s="1628">
        <v>0</v>
      </c>
      <c r="G95" s="1628">
        <v>0</v>
      </c>
      <c r="H95" s="1628">
        <v>0</v>
      </c>
      <c r="I95" s="1628">
        <v>0</v>
      </c>
      <c r="J95" s="1628">
        <f t="shared" si="6"/>
        <v>0</v>
      </c>
    </row>
    <row r="96" spans="1:10" s="1592" customFormat="1" ht="12.75" customHeight="1" x14ac:dyDescent="0.25">
      <c r="A96" s="1626" t="s">
        <v>236</v>
      </c>
      <c r="B96" s="1627" t="s">
        <v>237</v>
      </c>
      <c r="C96" s="1595" t="s">
        <v>266</v>
      </c>
      <c r="D96" s="1628">
        <f t="shared" si="5"/>
        <v>346536.11</v>
      </c>
      <c r="E96" s="1628">
        <v>346536.11</v>
      </c>
      <c r="F96" s="1628">
        <v>0</v>
      </c>
      <c r="G96" s="1628">
        <v>0</v>
      </c>
      <c r="H96" s="1628">
        <v>0</v>
      </c>
      <c r="I96" s="1628">
        <v>0</v>
      </c>
      <c r="J96" s="1628">
        <f t="shared" si="6"/>
        <v>0</v>
      </c>
    </row>
    <row r="97" spans="1:10" s="1592" customFormat="1" ht="12.75" customHeight="1" x14ac:dyDescent="0.25">
      <c r="A97" s="1626" t="s">
        <v>242</v>
      </c>
      <c r="B97" s="1627" t="s">
        <v>243</v>
      </c>
      <c r="C97" s="1595" t="s">
        <v>268</v>
      </c>
      <c r="D97" s="1628">
        <f t="shared" si="5"/>
        <v>1308244.17</v>
      </c>
      <c r="E97" s="1628">
        <v>1308244.17</v>
      </c>
      <c r="F97" s="1628">
        <v>0</v>
      </c>
      <c r="G97" s="1628">
        <v>0</v>
      </c>
      <c r="H97" s="1628">
        <v>0</v>
      </c>
      <c r="I97" s="1628">
        <v>0</v>
      </c>
      <c r="J97" s="1628">
        <f t="shared" si="6"/>
        <v>0</v>
      </c>
    </row>
    <row r="98" spans="1:10" s="1592" customFormat="1" ht="12.75" customHeight="1" x14ac:dyDescent="0.25">
      <c r="A98" s="1626" t="s">
        <v>244</v>
      </c>
      <c r="B98" s="1627" t="s">
        <v>245</v>
      </c>
      <c r="C98" s="1595" t="s">
        <v>268</v>
      </c>
      <c r="D98" s="1628">
        <f t="shared" si="5"/>
        <v>529154.6</v>
      </c>
      <c r="E98" s="1628">
        <v>529154.6</v>
      </c>
      <c r="F98" s="1628">
        <v>0</v>
      </c>
      <c r="G98" s="1628">
        <v>0</v>
      </c>
      <c r="H98" s="1628">
        <v>0</v>
      </c>
      <c r="I98" s="1628">
        <v>0</v>
      </c>
      <c r="J98" s="1628">
        <f t="shared" si="6"/>
        <v>0</v>
      </c>
    </row>
    <row r="99" spans="1:10" s="1592" customFormat="1" ht="12.75" customHeight="1" x14ac:dyDescent="0.25">
      <c r="A99" s="1626" t="s">
        <v>246</v>
      </c>
      <c r="B99" s="1627" t="s">
        <v>310</v>
      </c>
      <c r="C99" s="1595" t="s">
        <v>264</v>
      </c>
      <c r="D99" s="1628">
        <f t="shared" si="5"/>
        <v>142272.85999999999</v>
      </c>
      <c r="E99" s="1628">
        <v>142272.85999999999</v>
      </c>
      <c r="F99" s="1628">
        <v>0</v>
      </c>
      <c r="G99" s="1628">
        <v>0</v>
      </c>
      <c r="H99" s="1628">
        <v>0</v>
      </c>
      <c r="I99" s="1628">
        <v>0</v>
      </c>
      <c r="J99" s="1628">
        <f t="shared" si="6"/>
        <v>0</v>
      </c>
    </row>
    <row r="100" spans="1:10" s="1592" customFormat="1" ht="12.75" customHeight="1" x14ac:dyDescent="0.25">
      <c r="A100" s="1626" t="s">
        <v>14</v>
      </c>
      <c r="B100" s="1627" t="s">
        <v>15</v>
      </c>
      <c r="C100" s="1595" t="s">
        <v>267</v>
      </c>
      <c r="D100" s="1628">
        <f t="shared" si="5"/>
        <v>267640.54000000004</v>
      </c>
      <c r="E100" s="1628">
        <v>267640.54000000004</v>
      </c>
      <c r="F100" s="1628">
        <v>0</v>
      </c>
      <c r="G100" s="1628">
        <v>0</v>
      </c>
      <c r="H100" s="1628">
        <v>0</v>
      </c>
      <c r="I100" s="1628">
        <v>0</v>
      </c>
      <c r="J100" s="1628">
        <f t="shared" si="6"/>
        <v>0</v>
      </c>
    </row>
    <row r="101" spans="1:10" s="1592" customFormat="1" ht="12.75" customHeight="1" x14ac:dyDescent="0.25">
      <c r="A101" s="1626" t="s">
        <v>34</v>
      </c>
      <c r="B101" s="1627" t="s">
        <v>35</v>
      </c>
      <c r="C101" s="1595" t="s">
        <v>268</v>
      </c>
      <c r="D101" s="1628">
        <f t="shared" ref="D101:D124" si="7">SUM(E101:I101)</f>
        <v>355160.08999999997</v>
      </c>
      <c r="E101" s="1628">
        <v>355160.08999999997</v>
      </c>
      <c r="F101" s="1628">
        <v>0</v>
      </c>
      <c r="G101" s="1628">
        <v>0</v>
      </c>
      <c r="H101" s="1628">
        <v>0</v>
      </c>
      <c r="I101" s="1628">
        <v>0</v>
      </c>
      <c r="J101" s="1628">
        <f t="shared" ref="J101:J124" si="8">H101+I101</f>
        <v>0</v>
      </c>
    </row>
    <row r="102" spans="1:10" s="1592" customFormat="1" ht="12.75" customHeight="1" x14ac:dyDescent="0.25">
      <c r="A102" s="1626" t="s">
        <v>52</v>
      </c>
      <c r="B102" s="1627" t="s">
        <v>53</v>
      </c>
      <c r="C102" s="1595" t="s">
        <v>265</v>
      </c>
      <c r="D102" s="1628">
        <f t="shared" si="7"/>
        <v>294694.31</v>
      </c>
      <c r="E102" s="1628">
        <v>294694.31</v>
      </c>
      <c r="F102" s="1628">
        <v>0</v>
      </c>
      <c r="G102" s="1628">
        <v>0</v>
      </c>
      <c r="H102" s="1628">
        <v>0</v>
      </c>
      <c r="I102" s="1628">
        <v>0</v>
      </c>
      <c r="J102" s="1628">
        <f t="shared" si="8"/>
        <v>0</v>
      </c>
    </row>
    <row r="103" spans="1:10" s="1592" customFormat="1" ht="12.75" customHeight="1" x14ac:dyDescent="0.25">
      <c r="A103" s="1626" t="s">
        <v>54</v>
      </c>
      <c r="B103" s="1627" t="s">
        <v>55</v>
      </c>
      <c r="C103" s="1595" t="s">
        <v>264</v>
      </c>
      <c r="D103" s="1628">
        <f t="shared" si="7"/>
        <v>907498.53</v>
      </c>
      <c r="E103" s="1628">
        <v>907498.53</v>
      </c>
      <c r="F103" s="1628">
        <v>0</v>
      </c>
      <c r="G103" s="1628">
        <v>0</v>
      </c>
      <c r="H103" s="1628">
        <v>0</v>
      </c>
      <c r="I103" s="1628">
        <v>0</v>
      </c>
      <c r="J103" s="1628">
        <f t="shared" si="8"/>
        <v>0</v>
      </c>
    </row>
    <row r="104" spans="1:10" s="1592" customFormat="1" ht="12.75" customHeight="1" x14ac:dyDescent="0.25">
      <c r="A104" s="1626" t="s">
        <v>66</v>
      </c>
      <c r="B104" s="1627" t="s">
        <v>67</v>
      </c>
      <c r="C104" s="1595" t="s">
        <v>265</v>
      </c>
      <c r="D104" s="1628">
        <f t="shared" si="7"/>
        <v>1246402.8699999999</v>
      </c>
      <c r="E104" s="1628">
        <v>1246402.8699999999</v>
      </c>
      <c r="F104" s="1628">
        <v>0</v>
      </c>
      <c r="G104" s="1628">
        <v>0</v>
      </c>
      <c r="H104" s="1628">
        <v>0</v>
      </c>
      <c r="I104" s="1628">
        <v>0</v>
      </c>
      <c r="J104" s="1628">
        <f t="shared" si="8"/>
        <v>0</v>
      </c>
    </row>
    <row r="105" spans="1:10" s="1592" customFormat="1" ht="12.75" customHeight="1" x14ac:dyDescent="0.25">
      <c r="A105" s="1626" t="s">
        <v>82</v>
      </c>
      <c r="B105" s="1627" t="s">
        <v>311</v>
      </c>
      <c r="C105" s="1595" t="s">
        <v>264</v>
      </c>
      <c r="D105" s="1628">
        <f t="shared" si="7"/>
        <v>268344.09999999998</v>
      </c>
      <c r="E105" s="1628">
        <v>268344.09999999998</v>
      </c>
      <c r="F105" s="1628">
        <v>0</v>
      </c>
      <c r="G105" s="1628">
        <v>0</v>
      </c>
      <c r="H105" s="1628">
        <v>0</v>
      </c>
      <c r="I105" s="1628">
        <v>0</v>
      </c>
      <c r="J105" s="1628">
        <f t="shared" si="8"/>
        <v>0</v>
      </c>
    </row>
    <row r="106" spans="1:10" s="1592" customFormat="1" ht="12.75" customHeight="1" x14ac:dyDescent="0.25">
      <c r="A106" s="1626" t="s">
        <v>88</v>
      </c>
      <c r="B106" s="1627" t="s">
        <v>89</v>
      </c>
      <c r="C106" s="1595" t="s">
        <v>267</v>
      </c>
      <c r="D106" s="1628">
        <f t="shared" si="7"/>
        <v>223634.88999999998</v>
      </c>
      <c r="E106" s="1628">
        <v>223634.88999999998</v>
      </c>
      <c r="F106" s="1628">
        <v>0</v>
      </c>
      <c r="G106" s="1628">
        <v>0</v>
      </c>
      <c r="H106" s="1628">
        <v>0</v>
      </c>
      <c r="I106" s="1628">
        <v>0</v>
      </c>
      <c r="J106" s="1628">
        <f t="shared" si="8"/>
        <v>0</v>
      </c>
    </row>
    <row r="107" spans="1:10" s="1592" customFormat="1" ht="12.75" customHeight="1" x14ac:dyDescent="0.25">
      <c r="A107" s="1626" t="s">
        <v>90</v>
      </c>
      <c r="B107" s="1627" t="s">
        <v>91</v>
      </c>
      <c r="C107" s="1595" t="s">
        <v>268</v>
      </c>
      <c r="D107" s="1628">
        <f t="shared" si="7"/>
        <v>310373.83</v>
      </c>
      <c r="E107" s="1628">
        <v>310373.83</v>
      </c>
      <c r="F107" s="1628">
        <v>0</v>
      </c>
      <c r="G107" s="1628">
        <v>0</v>
      </c>
      <c r="H107" s="1628">
        <v>0</v>
      </c>
      <c r="I107" s="1628">
        <v>0</v>
      </c>
      <c r="J107" s="1628">
        <f t="shared" si="8"/>
        <v>0</v>
      </c>
    </row>
    <row r="108" spans="1:10" s="1592" customFormat="1" ht="12.75" customHeight="1" x14ac:dyDescent="0.25">
      <c r="A108" s="1626" t="s">
        <v>106</v>
      </c>
      <c r="B108" s="1627" t="s">
        <v>107</v>
      </c>
      <c r="C108" s="1595" t="s">
        <v>264</v>
      </c>
      <c r="D108" s="1628">
        <f t="shared" si="7"/>
        <v>893576</v>
      </c>
      <c r="E108" s="1628">
        <v>893576</v>
      </c>
      <c r="F108" s="1628">
        <v>0</v>
      </c>
      <c r="G108" s="1628">
        <v>0</v>
      </c>
      <c r="H108" s="1628">
        <v>0</v>
      </c>
      <c r="I108" s="1628">
        <v>0</v>
      </c>
      <c r="J108" s="1628">
        <f t="shared" si="8"/>
        <v>0</v>
      </c>
    </row>
    <row r="109" spans="1:10" s="1592" customFormat="1" ht="12.75" customHeight="1" x14ac:dyDescent="0.25">
      <c r="A109" s="1626" t="s">
        <v>116</v>
      </c>
      <c r="B109" s="1627" t="s">
        <v>117</v>
      </c>
      <c r="C109" s="1595" t="s">
        <v>266</v>
      </c>
      <c r="D109" s="1628">
        <f t="shared" si="7"/>
        <v>375649.45999999996</v>
      </c>
      <c r="E109" s="1628">
        <v>375649.45999999996</v>
      </c>
      <c r="F109" s="1628">
        <v>0</v>
      </c>
      <c r="G109" s="1628">
        <v>0</v>
      </c>
      <c r="H109" s="1628">
        <v>0</v>
      </c>
      <c r="I109" s="1628">
        <v>0</v>
      </c>
      <c r="J109" s="1628">
        <f t="shared" si="8"/>
        <v>0</v>
      </c>
    </row>
    <row r="110" spans="1:10" s="1592" customFormat="1" ht="12.75" customHeight="1" x14ac:dyDescent="0.25">
      <c r="A110" s="1626" t="s">
        <v>138</v>
      </c>
      <c r="B110" s="1627" t="s">
        <v>139</v>
      </c>
      <c r="C110" s="1595" t="s">
        <v>265</v>
      </c>
      <c r="D110" s="1628">
        <f t="shared" si="7"/>
        <v>1416799.07</v>
      </c>
      <c r="E110" s="1628">
        <v>1416799.07</v>
      </c>
      <c r="F110" s="1628">
        <v>0</v>
      </c>
      <c r="G110" s="1628">
        <v>0</v>
      </c>
      <c r="H110" s="1628">
        <v>0</v>
      </c>
      <c r="I110" s="1628">
        <v>0</v>
      </c>
      <c r="J110" s="1628">
        <f t="shared" si="8"/>
        <v>0</v>
      </c>
    </row>
    <row r="111" spans="1:10" s="1592" customFormat="1" ht="12.75" customHeight="1" x14ac:dyDescent="0.25">
      <c r="A111" s="1626" t="s">
        <v>142</v>
      </c>
      <c r="B111" s="1627" t="s">
        <v>143</v>
      </c>
      <c r="C111" s="1595" t="s">
        <v>267</v>
      </c>
      <c r="D111" s="1628">
        <f t="shared" si="7"/>
        <v>50750.67</v>
      </c>
      <c r="E111" s="1628">
        <v>50750.67</v>
      </c>
      <c r="F111" s="1628">
        <v>0</v>
      </c>
      <c r="G111" s="1628">
        <v>0</v>
      </c>
      <c r="H111" s="1628">
        <v>0</v>
      </c>
      <c r="I111" s="1628">
        <v>0</v>
      </c>
      <c r="J111" s="1628">
        <f t="shared" si="8"/>
        <v>0</v>
      </c>
    </row>
    <row r="112" spans="1:10" s="1592" customFormat="1" ht="12.75" customHeight="1" x14ac:dyDescent="0.25">
      <c r="A112" s="1626" t="s">
        <v>144</v>
      </c>
      <c r="B112" s="1627" t="s">
        <v>145</v>
      </c>
      <c r="C112" s="1595" t="s">
        <v>267</v>
      </c>
      <c r="D112" s="1628">
        <f t="shared" si="7"/>
        <v>17515.09</v>
      </c>
      <c r="E112" s="1628">
        <v>17515.09</v>
      </c>
      <c r="F112" s="1628">
        <v>0</v>
      </c>
      <c r="G112" s="1628">
        <v>0</v>
      </c>
      <c r="H112" s="1628">
        <v>0</v>
      </c>
      <c r="I112" s="1628">
        <v>0</v>
      </c>
      <c r="J112" s="1628">
        <f t="shared" si="8"/>
        <v>0</v>
      </c>
    </row>
    <row r="113" spans="1:10" s="1592" customFormat="1" ht="12.75" customHeight="1" x14ac:dyDescent="0.25">
      <c r="A113" s="1626" t="s">
        <v>158</v>
      </c>
      <c r="B113" s="1627" t="s">
        <v>159</v>
      </c>
      <c r="C113" s="1595" t="s">
        <v>264</v>
      </c>
      <c r="D113" s="1628">
        <f t="shared" si="7"/>
        <v>608305.9</v>
      </c>
      <c r="E113" s="1628">
        <v>608305.9</v>
      </c>
      <c r="F113" s="1628">
        <v>0</v>
      </c>
      <c r="G113" s="1628">
        <v>0</v>
      </c>
      <c r="H113" s="1628">
        <v>0</v>
      </c>
      <c r="I113" s="1628">
        <v>0</v>
      </c>
      <c r="J113" s="1628">
        <f t="shared" si="8"/>
        <v>0</v>
      </c>
    </row>
    <row r="114" spans="1:10" s="1592" customFormat="1" ht="12.75" customHeight="1" x14ac:dyDescent="0.25">
      <c r="A114" s="1626" t="s">
        <v>160</v>
      </c>
      <c r="B114" s="1627" t="s">
        <v>161</v>
      </c>
      <c r="C114" s="1595" t="s">
        <v>264</v>
      </c>
      <c r="D114" s="1628">
        <f t="shared" si="7"/>
        <v>882906.83</v>
      </c>
      <c r="E114" s="1628">
        <v>882906.83</v>
      </c>
      <c r="F114" s="1628">
        <v>0</v>
      </c>
      <c r="G114" s="1628">
        <v>0</v>
      </c>
      <c r="H114" s="1628">
        <v>0</v>
      </c>
      <c r="I114" s="1628">
        <v>0</v>
      </c>
      <c r="J114" s="1628">
        <f t="shared" si="8"/>
        <v>0</v>
      </c>
    </row>
    <row r="115" spans="1:10" s="1592" customFormat="1" ht="12.75" customHeight="1" x14ac:dyDescent="0.25">
      <c r="A115" s="1626" t="s">
        <v>166</v>
      </c>
      <c r="B115" s="1627" t="s">
        <v>167</v>
      </c>
      <c r="C115" s="1595" t="s">
        <v>268</v>
      </c>
      <c r="D115" s="1628">
        <f t="shared" si="7"/>
        <v>172805.76000000001</v>
      </c>
      <c r="E115" s="1628">
        <v>172805.76000000001</v>
      </c>
      <c r="F115" s="1628">
        <v>0</v>
      </c>
      <c r="G115" s="1628">
        <v>0</v>
      </c>
      <c r="H115" s="1628">
        <v>0</v>
      </c>
      <c r="I115" s="1628">
        <v>0</v>
      </c>
      <c r="J115" s="1628">
        <f t="shared" si="8"/>
        <v>0</v>
      </c>
    </row>
    <row r="116" spans="1:10" s="1592" customFormat="1" ht="12.75" customHeight="1" x14ac:dyDescent="0.25">
      <c r="A116" s="1626" t="s">
        <v>176</v>
      </c>
      <c r="B116" s="1627" t="s">
        <v>177</v>
      </c>
      <c r="C116" s="1595" t="s">
        <v>266</v>
      </c>
      <c r="D116" s="1628">
        <f t="shared" si="7"/>
        <v>757952.55</v>
      </c>
      <c r="E116" s="1628">
        <v>757952.55</v>
      </c>
      <c r="F116" s="1628">
        <v>0</v>
      </c>
      <c r="G116" s="1628">
        <v>0</v>
      </c>
      <c r="H116" s="1628">
        <v>0</v>
      </c>
      <c r="I116" s="1628">
        <v>0</v>
      </c>
      <c r="J116" s="1628">
        <f t="shared" si="8"/>
        <v>0</v>
      </c>
    </row>
    <row r="117" spans="1:10" s="1592" customFormat="1" ht="12.75" customHeight="1" x14ac:dyDescent="0.25">
      <c r="A117" s="1626" t="s">
        <v>180</v>
      </c>
      <c r="B117" s="1627" t="s">
        <v>181</v>
      </c>
      <c r="C117" s="1595" t="s">
        <v>264</v>
      </c>
      <c r="D117" s="1628">
        <f t="shared" si="7"/>
        <v>835545.39</v>
      </c>
      <c r="E117" s="1628">
        <v>835545.39</v>
      </c>
      <c r="F117" s="1628">
        <v>0</v>
      </c>
      <c r="G117" s="1628">
        <v>0</v>
      </c>
      <c r="H117" s="1628">
        <v>0</v>
      </c>
      <c r="I117" s="1628">
        <v>0</v>
      </c>
      <c r="J117" s="1628">
        <f t="shared" si="8"/>
        <v>0</v>
      </c>
    </row>
    <row r="118" spans="1:10" s="1592" customFormat="1" ht="12.75" customHeight="1" x14ac:dyDescent="0.25">
      <c r="A118" s="1626" t="s">
        <v>192</v>
      </c>
      <c r="B118" s="1627" t="s">
        <v>193</v>
      </c>
      <c r="C118" s="1595" t="s">
        <v>268</v>
      </c>
      <c r="D118" s="1628">
        <f t="shared" si="7"/>
        <v>178281.90000000002</v>
      </c>
      <c r="E118" s="1628">
        <v>178281.90000000002</v>
      </c>
      <c r="F118" s="1628">
        <v>0</v>
      </c>
      <c r="G118" s="1628">
        <v>0</v>
      </c>
      <c r="H118" s="1628">
        <v>0</v>
      </c>
      <c r="I118" s="1628">
        <v>0</v>
      </c>
      <c r="J118" s="1628">
        <f t="shared" si="8"/>
        <v>0</v>
      </c>
    </row>
    <row r="119" spans="1:10" s="1592" customFormat="1" ht="12.75" customHeight="1" x14ac:dyDescent="0.25">
      <c r="A119" s="1626" t="s">
        <v>196</v>
      </c>
      <c r="B119" s="1627" t="s">
        <v>312</v>
      </c>
      <c r="C119" s="1595" t="s">
        <v>266</v>
      </c>
      <c r="D119" s="1628">
        <f t="shared" si="7"/>
        <v>1453805.4</v>
      </c>
      <c r="E119" s="1628">
        <v>1453805.4</v>
      </c>
      <c r="F119" s="1628">
        <v>0</v>
      </c>
      <c r="G119" s="1628">
        <v>0</v>
      </c>
      <c r="H119" s="1628">
        <v>0</v>
      </c>
      <c r="I119" s="1628">
        <v>0</v>
      </c>
      <c r="J119" s="1628">
        <f t="shared" si="8"/>
        <v>0</v>
      </c>
    </row>
    <row r="120" spans="1:10" s="1592" customFormat="1" ht="12.75" customHeight="1" x14ac:dyDescent="0.25">
      <c r="A120" s="1626" t="s">
        <v>200</v>
      </c>
      <c r="B120" s="1627" t="s">
        <v>313</v>
      </c>
      <c r="C120" s="1595" t="s">
        <v>265</v>
      </c>
      <c r="D120" s="1628">
        <f t="shared" si="7"/>
        <v>556194.84</v>
      </c>
      <c r="E120" s="1628">
        <v>556194.84</v>
      </c>
      <c r="F120" s="1628">
        <v>0</v>
      </c>
      <c r="G120" s="1628">
        <v>0</v>
      </c>
      <c r="H120" s="1628">
        <v>0</v>
      </c>
      <c r="I120" s="1628">
        <v>0</v>
      </c>
      <c r="J120" s="1628">
        <f t="shared" si="8"/>
        <v>0</v>
      </c>
    </row>
    <row r="121" spans="1:10" s="1592" customFormat="1" ht="12.75" customHeight="1" x14ac:dyDescent="0.25">
      <c r="A121" s="1626" t="s">
        <v>222</v>
      </c>
      <c r="B121" s="1627" t="s">
        <v>223</v>
      </c>
      <c r="C121" s="1595" t="s">
        <v>264</v>
      </c>
      <c r="D121" s="1628">
        <f t="shared" si="7"/>
        <v>824477.92999999993</v>
      </c>
      <c r="E121" s="1628">
        <v>824477.92999999993</v>
      </c>
      <c r="F121" s="1628">
        <v>0</v>
      </c>
      <c r="G121" s="1628">
        <v>0</v>
      </c>
      <c r="H121" s="1628">
        <v>0</v>
      </c>
      <c r="I121" s="1628">
        <v>0</v>
      </c>
      <c r="J121" s="1628">
        <f t="shared" si="8"/>
        <v>0</v>
      </c>
    </row>
    <row r="122" spans="1:10" s="1592" customFormat="1" ht="12.75" customHeight="1" x14ac:dyDescent="0.25">
      <c r="A122" s="1626" t="s">
        <v>230</v>
      </c>
      <c r="B122" s="1627" t="s">
        <v>231</v>
      </c>
      <c r="C122" s="1595" t="s">
        <v>264</v>
      </c>
      <c r="D122" s="1628">
        <f t="shared" si="7"/>
        <v>1013261.78</v>
      </c>
      <c r="E122" s="1628">
        <v>1013261.78</v>
      </c>
      <c r="F122" s="1628">
        <v>0</v>
      </c>
      <c r="G122" s="1628">
        <v>0</v>
      </c>
      <c r="H122" s="1628">
        <v>0</v>
      </c>
      <c r="I122" s="1628">
        <v>0</v>
      </c>
      <c r="J122" s="1628">
        <f t="shared" si="8"/>
        <v>0</v>
      </c>
    </row>
    <row r="123" spans="1:10" s="1592" customFormat="1" ht="12.75" customHeight="1" x14ac:dyDescent="0.25">
      <c r="A123" s="1626" t="s">
        <v>238</v>
      </c>
      <c r="B123" s="1627" t="s">
        <v>239</v>
      </c>
      <c r="C123" s="1595" t="s">
        <v>264</v>
      </c>
      <c r="D123" s="1628">
        <f t="shared" si="7"/>
        <v>20232.210000000003</v>
      </c>
      <c r="E123" s="1628">
        <v>20232.210000000003</v>
      </c>
      <c r="F123" s="1628">
        <v>0</v>
      </c>
      <c r="G123" s="1628">
        <v>0</v>
      </c>
      <c r="H123" s="1628">
        <v>0</v>
      </c>
      <c r="I123" s="1628">
        <v>0</v>
      </c>
      <c r="J123" s="1628">
        <f t="shared" si="8"/>
        <v>0</v>
      </c>
    </row>
    <row r="124" spans="1:10" s="1592" customFormat="1" ht="12.75" customHeight="1" x14ac:dyDescent="0.25">
      <c r="A124" s="1629" t="s">
        <v>240</v>
      </c>
      <c r="B124" s="1630" t="s">
        <v>241</v>
      </c>
      <c r="C124" s="1605" t="s">
        <v>267</v>
      </c>
      <c r="D124" s="1628">
        <f t="shared" si="7"/>
        <v>185695.21000000002</v>
      </c>
      <c r="E124" s="1631">
        <v>185695.21000000002</v>
      </c>
      <c r="F124" s="1631">
        <v>0</v>
      </c>
      <c r="G124" s="1631">
        <v>0</v>
      </c>
      <c r="H124" s="1631">
        <v>0</v>
      </c>
      <c r="I124" s="1631">
        <v>0</v>
      </c>
      <c r="J124" s="1628">
        <f t="shared" si="8"/>
        <v>0</v>
      </c>
    </row>
    <row r="125" spans="1:10" s="1592" customFormat="1" ht="12.75" customHeight="1" x14ac:dyDescent="0.25">
      <c r="D125" s="1632"/>
      <c r="E125" s="1632"/>
      <c r="F125" s="1632"/>
      <c r="G125" s="1632"/>
      <c r="H125" s="1632"/>
      <c r="I125" s="1632"/>
      <c r="J125" s="1632"/>
    </row>
    <row r="126" spans="1:10" s="1592" customFormat="1" ht="12.75" customHeight="1" x14ac:dyDescent="0.25">
      <c r="A126" s="1592" t="s">
        <v>266</v>
      </c>
      <c r="D126" s="1783">
        <f>SUM(E126:I126)</f>
        <v>8524436.7699999996</v>
      </c>
      <c r="E126" s="1783">
        <v>8524436.7699999996</v>
      </c>
      <c r="F126" s="1783">
        <v>0</v>
      </c>
      <c r="G126" s="1783">
        <v>0</v>
      </c>
      <c r="H126" s="1783">
        <v>0</v>
      </c>
      <c r="I126" s="1783">
        <v>0</v>
      </c>
      <c r="J126" s="1783">
        <v>0</v>
      </c>
    </row>
    <row r="127" spans="1:10" s="1592" customFormat="1" ht="12.75" customHeight="1" x14ac:dyDescent="0.25">
      <c r="A127" s="1592" t="s">
        <v>264</v>
      </c>
      <c r="D127" s="1783">
        <f t="shared" ref="D127:D130" si="9">SUM(E127:I127)</f>
        <v>10762386.130000001</v>
      </c>
      <c r="E127" s="1783">
        <v>10762386.130000001</v>
      </c>
      <c r="F127" s="1783">
        <v>0</v>
      </c>
      <c r="G127" s="1783">
        <v>0</v>
      </c>
      <c r="H127" s="1783">
        <v>0</v>
      </c>
      <c r="I127" s="1783">
        <v>0</v>
      </c>
      <c r="J127" s="1783">
        <v>0</v>
      </c>
    </row>
    <row r="128" spans="1:10" s="1592" customFormat="1" ht="12.75" customHeight="1" x14ac:dyDescent="0.25">
      <c r="A128" s="1592" t="s">
        <v>267</v>
      </c>
      <c r="D128" s="1783">
        <f t="shared" si="9"/>
        <v>6391393.9899999974</v>
      </c>
      <c r="E128" s="1783">
        <v>6391393.9899999974</v>
      </c>
      <c r="F128" s="1783">
        <v>0</v>
      </c>
      <c r="G128" s="1783">
        <v>0</v>
      </c>
      <c r="H128" s="1783">
        <v>0</v>
      </c>
      <c r="I128" s="1783">
        <v>0</v>
      </c>
      <c r="J128" s="1783">
        <v>0</v>
      </c>
    </row>
    <row r="129" spans="1:10" s="1592" customFormat="1" ht="12.75" customHeight="1" x14ac:dyDescent="0.25">
      <c r="A129" s="1592" t="s">
        <v>265</v>
      </c>
      <c r="D129" s="1783">
        <f t="shared" si="9"/>
        <v>15327900.020000001</v>
      </c>
      <c r="E129" s="1783">
        <v>15327900.020000001</v>
      </c>
      <c r="F129" s="1783">
        <v>0</v>
      </c>
      <c r="G129" s="1783">
        <v>0</v>
      </c>
      <c r="H129" s="1783">
        <v>0</v>
      </c>
      <c r="I129" s="1783">
        <v>0</v>
      </c>
      <c r="J129" s="1783">
        <v>0</v>
      </c>
    </row>
    <row r="130" spans="1:10" s="1592" customFormat="1" ht="12.75" customHeight="1" x14ac:dyDescent="0.25">
      <c r="A130" s="1592" t="s">
        <v>268</v>
      </c>
      <c r="D130" s="1783">
        <f t="shared" si="9"/>
        <v>15531839.93</v>
      </c>
      <c r="E130" s="1783">
        <v>15531839.93</v>
      </c>
      <c r="F130" s="1783">
        <v>0</v>
      </c>
      <c r="G130" s="1783">
        <v>0</v>
      </c>
      <c r="H130" s="1783">
        <v>0</v>
      </c>
      <c r="I130" s="1783">
        <v>0</v>
      </c>
      <c r="J130" s="1783">
        <v>0</v>
      </c>
    </row>
    <row r="131" spans="1:10" s="1592" customFormat="1" ht="12.75" customHeight="1" x14ac:dyDescent="0.25">
      <c r="A131" s="1592" t="s">
        <v>9</v>
      </c>
      <c r="D131" s="1783">
        <f>SUM(D126:D130)</f>
        <v>56537956.839999996</v>
      </c>
      <c r="E131" s="1783">
        <f t="shared" ref="E131:I131" si="10">SUM(E126:E130)</f>
        <v>56537956.839999996</v>
      </c>
      <c r="F131" s="1783">
        <f t="shared" si="10"/>
        <v>0</v>
      </c>
      <c r="G131" s="1783">
        <f t="shared" si="10"/>
        <v>0</v>
      </c>
      <c r="H131" s="1783">
        <f t="shared" si="10"/>
        <v>0</v>
      </c>
      <c r="I131" s="1783">
        <f t="shared" si="10"/>
        <v>0</v>
      </c>
      <c r="J131" s="1783">
        <f t="shared" ref="J131" si="11">H131+I131</f>
        <v>0</v>
      </c>
    </row>
    <row r="132" spans="1:10" x14ac:dyDescent="0.25">
      <c r="D132" s="832"/>
      <c r="E132" s="832"/>
      <c r="F132" s="832"/>
      <c r="G132" s="832"/>
      <c r="H132" s="832"/>
      <c r="I132" s="832"/>
      <c r="J132" s="832"/>
    </row>
    <row r="133" spans="1:10" s="392" customFormat="1" x14ac:dyDescent="0.25">
      <c r="A133" s="986" t="s">
        <v>1233</v>
      </c>
      <c r="B133" s="712"/>
      <c r="C133" s="712"/>
      <c r="D133" s="662"/>
      <c r="E133" s="662"/>
      <c r="F133" s="662"/>
      <c r="G133" s="662"/>
      <c r="H133" s="662"/>
      <c r="I133" s="662"/>
      <c r="J133" s="662"/>
    </row>
    <row r="134" spans="1:10" s="392" customFormat="1" x14ac:dyDescent="0.25"/>
    <row r="135" spans="1:10" s="412" customFormat="1" x14ac:dyDescent="0.25">
      <c r="A135" s="412" t="s">
        <v>248</v>
      </c>
    </row>
    <row r="136" spans="1:10" x14ac:dyDescent="0.25">
      <c r="A136" s="413" t="s">
        <v>249</v>
      </c>
      <c r="B136" s="414" t="s">
        <v>250</v>
      </c>
      <c r="C136" s="414"/>
    </row>
  </sheetData>
  <autoFilter ref="A3:C124"/>
  <sortState ref="A5:J124">
    <sortCondition ref="A5:A124"/>
  </sortState>
  <hyperlinks>
    <hyperlink ref="B136" r:id="rId1"/>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W136"/>
  <sheetViews>
    <sheetView zoomScale="130" workbookViewId="0">
      <pane xSplit="3" ySplit="4" topLeftCell="E102" activePane="bottomRight" state="frozen"/>
      <selection pane="topRight" activeCell="D1" sqref="D1"/>
      <selection pane="bottomLeft" activeCell="A5" sqref="A5"/>
      <selection pane="bottomRight" activeCell="I102" sqref="I102"/>
    </sheetView>
  </sheetViews>
  <sheetFormatPr defaultRowHeight="12.75" x14ac:dyDescent="0.2"/>
  <cols>
    <col min="1" max="1" width="9" style="222"/>
    <col min="2" max="2" width="27.75" style="222" customWidth="1"/>
    <col min="3" max="3" width="14.25" style="222" customWidth="1"/>
    <col min="4" max="4" width="11.375" style="222" customWidth="1"/>
    <col min="5" max="5" width="12.25" style="222" customWidth="1"/>
    <col min="6" max="9" width="11.375" style="222" customWidth="1"/>
    <col min="10" max="41" width="9.875" style="222" customWidth="1"/>
    <col min="42" max="16384" width="9" style="222"/>
  </cols>
  <sheetData>
    <row r="1" spans="1:49" x14ac:dyDescent="0.2">
      <c r="A1" s="65" t="s">
        <v>1241</v>
      </c>
      <c r="G1" s="1054"/>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c r="AJ1" s="1055"/>
      <c r="AK1" s="1055"/>
      <c r="AL1" s="1055"/>
      <c r="AM1" s="1055"/>
      <c r="AN1" s="1055"/>
      <c r="AO1" s="1055"/>
    </row>
    <row r="2" spans="1:49" x14ac:dyDescent="0.2">
      <c r="D2" s="1054"/>
      <c r="E2" s="1054"/>
      <c r="F2" s="1054"/>
      <c r="G2" s="1054"/>
      <c r="H2" s="1054"/>
      <c r="I2" s="1054"/>
      <c r="J2" s="1056"/>
      <c r="K2" s="1056"/>
      <c r="L2" s="1056"/>
      <c r="M2" s="1056"/>
      <c r="N2" s="1056"/>
      <c r="O2" s="1056"/>
      <c r="P2" s="1375"/>
      <c r="Q2" s="1375"/>
      <c r="R2" s="1056"/>
      <c r="S2" s="1056"/>
      <c r="T2" s="1056"/>
      <c r="U2" s="1056"/>
      <c r="V2" s="1056"/>
      <c r="W2" s="1056"/>
      <c r="X2" s="1375"/>
      <c r="Y2" s="1375"/>
      <c r="Z2" s="1056"/>
      <c r="AA2" s="1056"/>
      <c r="AB2" s="1056"/>
      <c r="AC2" s="1056"/>
      <c r="AD2" s="1056"/>
      <c r="AE2" s="1056"/>
      <c r="AF2" s="1375"/>
      <c r="AG2" s="1375"/>
      <c r="AH2" s="1056"/>
      <c r="AI2" s="1056"/>
      <c r="AJ2" s="1056"/>
      <c r="AK2" s="1056"/>
      <c r="AL2" s="1056"/>
      <c r="AM2" s="1056"/>
      <c r="AN2" s="1056"/>
      <c r="AO2" s="1056"/>
    </row>
    <row r="3" spans="1:49" ht="38.25" x14ac:dyDescent="0.2">
      <c r="A3" s="1057" t="s">
        <v>4</v>
      </c>
      <c r="B3" s="1058" t="s">
        <v>5</v>
      </c>
      <c r="C3" s="1058" t="s">
        <v>251</v>
      </c>
      <c r="D3" s="1059" t="s">
        <v>314</v>
      </c>
      <c r="E3" s="1060" t="s">
        <v>315</v>
      </c>
      <c r="F3" s="1060" t="s">
        <v>316</v>
      </c>
      <c r="G3" s="1060" t="s">
        <v>304</v>
      </c>
      <c r="H3" s="1061" t="s">
        <v>990</v>
      </c>
      <c r="I3" s="1376" t="s">
        <v>281</v>
      </c>
      <c r="J3" s="1059" t="s">
        <v>396</v>
      </c>
      <c r="K3" s="1060" t="s">
        <v>397</v>
      </c>
      <c r="L3" s="1060" t="s">
        <v>398</v>
      </c>
      <c r="M3" s="1060" t="s">
        <v>986</v>
      </c>
      <c r="N3" s="1060" t="s">
        <v>987</v>
      </c>
      <c r="O3" s="1061" t="s">
        <v>399</v>
      </c>
      <c r="P3" s="1061" t="s">
        <v>988</v>
      </c>
      <c r="Q3" s="1061" t="s">
        <v>989</v>
      </c>
      <c r="R3" s="1059" t="s">
        <v>400</v>
      </c>
      <c r="S3" s="1060" t="s">
        <v>401</v>
      </c>
      <c r="T3" s="1060" t="s">
        <v>402</v>
      </c>
      <c r="U3" s="1060" t="s">
        <v>991</v>
      </c>
      <c r="V3" s="1060" t="s">
        <v>992</v>
      </c>
      <c r="W3" s="1062" t="s">
        <v>403</v>
      </c>
      <c r="X3" s="1376" t="s">
        <v>993</v>
      </c>
      <c r="Y3" s="1376" t="s">
        <v>994</v>
      </c>
      <c r="Z3" s="1059" t="s">
        <v>851</v>
      </c>
      <c r="AA3" s="1060" t="s">
        <v>852</v>
      </c>
      <c r="AB3" s="1060" t="s">
        <v>853</v>
      </c>
      <c r="AC3" s="1060" t="s">
        <v>999</v>
      </c>
      <c r="AD3" s="1060" t="s">
        <v>1000</v>
      </c>
      <c r="AE3" s="1062" t="s">
        <v>854</v>
      </c>
      <c r="AF3" s="1376" t="s">
        <v>1001</v>
      </c>
      <c r="AG3" s="1376" t="s">
        <v>1002</v>
      </c>
      <c r="AH3" s="1059" t="s">
        <v>404</v>
      </c>
      <c r="AI3" s="1060" t="s">
        <v>405</v>
      </c>
      <c r="AJ3" s="1060" t="s">
        <v>406</v>
      </c>
      <c r="AK3" s="1060" t="s">
        <v>995</v>
      </c>
      <c r="AL3" s="1060" t="s">
        <v>996</v>
      </c>
      <c r="AM3" s="1062" t="s">
        <v>407</v>
      </c>
      <c r="AN3" s="1062" t="s">
        <v>997</v>
      </c>
      <c r="AO3" s="1062" t="s">
        <v>998</v>
      </c>
      <c r="AP3" s="1059" t="s">
        <v>1126</v>
      </c>
      <c r="AQ3" s="1060" t="s">
        <v>1127</v>
      </c>
      <c r="AR3" s="1060" t="s">
        <v>1124</v>
      </c>
      <c r="AS3" s="1060" t="s">
        <v>1125</v>
      </c>
      <c r="AT3" s="1060" t="s">
        <v>1123</v>
      </c>
      <c r="AU3" s="1062" t="s">
        <v>1122</v>
      </c>
      <c r="AV3" s="1062" t="s">
        <v>1121</v>
      </c>
      <c r="AW3" s="1062" t="s">
        <v>1120</v>
      </c>
    </row>
    <row r="4" spans="1:49" x14ac:dyDescent="0.2">
      <c r="A4" s="1063">
        <v>999</v>
      </c>
      <c r="B4" s="1064" t="s">
        <v>9</v>
      </c>
      <c r="C4" s="1065"/>
      <c r="D4" s="1066">
        <f t="shared" ref="D4:AM4" si="0">SUM(D5:D124)</f>
        <v>73023204.130000025</v>
      </c>
      <c r="E4" s="1067">
        <f t="shared" si="0"/>
        <v>98513366.810000002</v>
      </c>
      <c r="F4" s="1067">
        <f t="shared" si="0"/>
        <v>0</v>
      </c>
      <c r="G4" s="1067">
        <f t="shared" si="0"/>
        <v>158268.97999999995</v>
      </c>
      <c r="H4" s="1068">
        <f t="shared" si="0"/>
        <v>158268.97999999995</v>
      </c>
      <c r="I4" s="1068">
        <f t="shared" si="0"/>
        <v>171694839.91999999</v>
      </c>
      <c r="J4" s="1066">
        <f t="shared" si="0"/>
        <v>26556434.999999996</v>
      </c>
      <c r="K4" s="1067">
        <f t="shared" si="0"/>
        <v>26556512.229999997</v>
      </c>
      <c r="L4" s="1067">
        <f t="shared" si="0"/>
        <v>0</v>
      </c>
      <c r="M4" s="1067">
        <f t="shared" si="0"/>
        <v>38491.949999999983</v>
      </c>
      <c r="N4" s="1067">
        <f t="shared" si="0"/>
        <v>78736.42</v>
      </c>
      <c r="O4" s="1068">
        <f t="shared" si="0"/>
        <v>53230175.600000001</v>
      </c>
      <c r="P4" s="1068">
        <f t="shared" si="0"/>
        <v>117228.37</v>
      </c>
      <c r="Q4" s="1068">
        <f t="shared" si="0"/>
        <v>117228.37</v>
      </c>
      <c r="R4" s="1066">
        <f t="shared" si="0"/>
        <v>42734824.039999999</v>
      </c>
      <c r="S4" s="1067">
        <f t="shared" si="0"/>
        <v>42734824.039999999</v>
      </c>
      <c r="T4" s="1067">
        <f t="shared" si="0"/>
        <v>0</v>
      </c>
      <c r="U4" s="1067">
        <f t="shared" si="0"/>
        <v>4649.1199999999972</v>
      </c>
      <c r="V4" s="1067">
        <f t="shared" si="0"/>
        <v>35539.74</v>
      </c>
      <c r="W4" s="1069">
        <f t="shared" si="0"/>
        <v>85509836.939999983</v>
      </c>
      <c r="X4" s="1067">
        <f t="shared" si="0"/>
        <v>40188.86</v>
      </c>
      <c r="Y4" s="1067">
        <f t="shared" si="0"/>
        <v>40188.86</v>
      </c>
      <c r="Z4" s="1066">
        <f t="shared" si="0"/>
        <v>4500</v>
      </c>
      <c r="AA4" s="1067">
        <f t="shared" si="0"/>
        <v>4500</v>
      </c>
      <c r="AB4" s="1067">
        <f t="shared" si="0"/>
        <v>0</v>
      </c>
      <c r="AC4" s="1067">
        <f t="shared" si="0"/>
        <v>0</v>
      </c>
      <c r="AD4" s="1067">
        <f t="shared" si="0"/>
        <v>0</v>
      </c>
      <c r="AE4" s="1069">
        <f t="shared" si="0"/>
        <v>9000</v>
      </c>
      <c r="AF4" s="1069">
        <f t="shared" si="0"/>
        <v>0</v>
      </c>
      <c r="AG4" s="1069">
        <f t="shared" si="0"/>
        <v>0</v>
      </c>
      <c r="AH4" s="1066">
        <f t="shared" si="0"/>
        <v>3726564.0699999994</v>
      </c>
      <c r="AI4" s="1067">
        <f t="shared" si="0"/>
        <v>29217530.540000007</v>
      </c>
      <c r="AJ4" s="1067">
        <f t="shared" si="0"/>
        <v>0</v>
      </c>
      <c r="AK4" s="1067">
        <f t="shared" si="0"/>
        <v>274.35000000000019</v>
      </c>
      <c r="AL4" s="1067">
        <f t="shared" si="0"/>
        <v>0</v>
      </c>
      <c r="AM4" s="1069">
        <f t="shared" si="0"/>
        <v>32944368.960000008</v>
      </c>
      <c r="AN4" s="1069">
        <f t="shared" ref="AN4:AW4" si="1">SUM(AN5:AN124)</f>
        <v>274.35000000000019</v>
      </c>
      <c r="AO4" s="1069">
        <f t="shared" si="1"/>
        <v>274.35000000000019</v>
      </c>
      <c r="AP4" s="1701">
        <f t="shared" si="1"/>
        <v>881.02</v>
      </c>
      <c r="AQ4" s="1701">
        <f t="shared" si="1"/>
        <v>0</v>
      </c>
      <c r="AR4" s="1701">
        <f t="shared" si="1"/>
        <v>0</v>
      </c>
      <c r="AS4" s="1701">
        <f t="shared" si="1"/>
        <v>577.4</v>
      </c>
      <c r="AT4" s="1701">
        <f t="shared" si="1"/>
        <v>0</v>
      </c>
      <c r="AU4" s="1701">
        <f t="shared" si="1"/>
        <v>1458.42</v>
      </c>
      <c r="AV4" s="1701">
        <f t="shared" si="1"/>
        <v>577.4</v>
      </c>
      <c r="AW4" s="1701">
        <f t="shared" si="1"/>
        <v>577.4</v>
      </c>
    </row>
    <row r="5" spans="1:49" s="237" customFormat="1" x14ac:dyDescent="0.2">
      <c r="A5" s="1070" t="s">
        <v>10</v>
      </c>
      <c r="B5" s="1071" t="s">
        <v>11</v>
      </c>
      <c r="C5" s="103" t="s">
        <v>264</v>
      </c>
      <c r="D5" s="1072">
        <f t="shared" ref="D5:D36" si="2">J5+R5+Z5+AH5+AP5</f>
        <v>108731.38</v>
      </c>
      <c r="E5" s="1072">
        <f t="shared" ref="E5:E36" si="3">K5+S5+AA5+AI5+AQ5</f>
        <v>171067.38</v>
      </c>
      <c r="F5" s="1072">
        <f t="shared" ref="F5:F36" si="4">L5+T5+AB5+AJ5+AR5</f>
        <v>0</v>
      </c>
      <c r="G5" s="1073">
        <f t="shared" ref="G5:G36" si="5">P5+X5+AF5+AN5+AV5</f>
        <v>-7.0000000000000007E-2</v>
      </c>
      <c r="H5" s="1073">
        <f t="shared" ref="H5:H36" si="6">Q5+Y5+AG5+AO5+AW5</f>
        <v>-7.0000000000000007E-2</v>
      </c>
      <c r="I5" s="1378">
        <f t="shared" ref="I5:I36" si="7">SUM(D5:G5)</f>
        <v>279798.69</v>
      </c>
      <c r="J5" s="1074">
        <v>60057.38</v>
      </c>
      <c r="K5" s="1075">
        <v>60057.38</v>
      </c>
      <c r="L5" s="1075">
        <v>0</v>
      </c>
      <c r="M5" s="1075">
        <v>-7.0000000000000007E-2</v>
      </c>
      <c r="N5" s="1075">
        <v>0</v>
      </c>
      <c r="O5" s="1076">
        <f t="shared" ref="O5:O36" si="8">SUM(J5:N5)</f>
        <v>120114.68999999999</v>
      </c>
      <c r="P5" s="1377">
        <f t="shared" ref="P5:P36" si="9">M5+N5</f>
        <v>-7.0000000000000007E-2</v>
      </c>
      <c r="Q5" s="1377">
        <f t="shared" ref="Q5:Q36" si="10">L5+P5</f>
        <v>-7.0000000000000007E-2</v>
      </c>
      <c r="R5" s="1074">
        <v>48674</v>
      </c>
      <c r="S5" s="1075">
        <v>48674</v>
      </c>
      <c r="T5" s="1075">
        <v>0</v>
      </c>
      <c r="U5" s="1075">
        <v>0</v>
      </c>
      <c r="V5" s="1075">
        <v>0</v>
      </c>
      <c r="W5" s="1077">
        <f t="shared" ref="W5:W36" si="11">SUM(R5:V5)</f>
        <v>97348</v>
      </c>
      <c r="X5" s="1377">
        <f t="shared" ref="X5:X36" si="12">U5+V5</f>
        <v>0</v>
      </c>
      <c r="Y5" s="1377">
        <f t="shared" ref="Y5:Y36" si="13">T5+X5</f>
        <v>0</v>
      </c>
      <c r="Z5" s="1074"/>
      <c r="AA5" s="1075"/>
      <c r="AB5" s="1075"/>
      <c r="AC5" s="1075"/>
      <c r="AD5" s="1075"/>
      <c r="AE5" s="1077">
        <f t="shared" ref="AE5:AE36" si="14">SUM(Z5:AD5)</f>
        <v>0</v>
      </c>
      <c r="AF5" s="1377">
        <f t="shared" ref="AF5:AF36" si="15">AC5+AD5</f>
        <v>0</v>
      </c>
      <c r="AG5" s="1377">
        <f t="shared" ref="AG5:AG36" si="16">AB5+AF5</f>
        <v>0</v>
      </c>
      <c r="AH5" s="1078">
        <v>0</v>
      </c>
      <c r="AI5" s="1079">
        <v>62336</v>
      </c>
      <c r="AJ5" s="1079">
        <v>0</v>
      </c>
      <c r="AK5" s="1079">
        <v>0</v>
      </c>
      <c r="AL5" s="1079">
        <v>0</v>
      </c>
      <c r="AM5" s="1080">
        <f t="shared" ref="AM5:AM36" si="17">SUM(AH5:AL5)</f>
        <v>62336</v>
      </c>
      <c r="AN5" s="1080">
        <f t="shared" ref="AN5:AN36" si="18">AK5+AL5</f>
        <v>0</v>
      </c>
      <c r="AO5" s="1080">
        <f t="shared" ref="AO5:AO36" si="19">AJ5+AN5</f>
        <v>0</v>
      </c>
      <c r="AP5" s="1700"/>
      <c r="AQ5" s="1700"/>
      <c r="AR5" s="1700"/>
      <c r="AS5" s="1700"/>
      <c r="AT5" s="1700"/>
      <c r="AU5" s="1700">
        <f t="shared" ref="AU5:AU36" si="20">SUM(AP5:AT5)</f>
        <v>0</v>
      </c>
      <c r="AV5" s="1700">
        <f t="shared" ref="AV5:AV36" si="21">AS5+AT5</f>
        <v>0</v>
      </c>
      <c r="AW5" s="1700">
        <f t="shared" ref="AW5:AW36" si="22">AR5+AV5</f>
        <v>0</v>
      </c>
    </row>
    <row r="6" spans="1:49" s="237" customFormat="1" x14ac:dyDescent="0.2">
      <c r="A6" s="1070" t="s">
        <v>12</v>
      </c>
      <c r="B6" s="1071" t="s">
        <v>13</v>
      </c>
      <c r="C6" s="103" t="s">
        <v>265</v>
      </c>
      <c r="D6" s="1072">
        <f t="shared" si="2"/>
        <v>1098136.76</v>
      </c>
      <c r="E6" s="1072">
        <f t="shared" si="3"/>
        <v>1441666.68</v>
      </c>
      <c r="F6" s="1072">
        <f t="shared" si="4"/>
        <v>0</v>
      </c>
      <c r="G6" s="1073">
        <f t="shared" si="5"/>
        <v>1489.46</v>
      </c>
      <c r="H6" s="1073">
        <f t="shared" si="6"/>
        <v>1489.46</v>
      </c>
      <c r="I6" s="1378">
        <f t="shared" si="7"/>
        <v>2541292.9</v>
      </c>
      <c r="J6" s="1074">
        <v>454390.12</v>
      </c>
      <c r="K6" s="1075">
        <v>454390.12</v>
      </c>
      <c r="L6" s="1075">
        <v>0</v>
      </c>
      <c r="M6" s="1075">
        <v>1489.6</v>
      </c>
      <c r="N6" s="1075">
        <v>0</v>
      </c>
      <c r="O6" s="1076">
        <f t="shared" si="8"/>
        <v>910269.84</v>
      </c>
      <c r="P6" s="1377">
        <f t="shared" si="9"/>
        <v>1489.6</v>
      </c>
      <c r="Q6" s="1377">
        <f t="shared" si="10"/>
        <v>1489.6</v>
      </c>
      <c r="R6" s="1074">
        <v>596365.37</v>
      </c>
      <c r="S6" s="1075">
        <v>596365.37</v>
      </c>
      <c r="T6" s="1075">
        <v>0</v>
      </c>
      <c r="U6" s="1075">
        <v>-0.11</v>
      </c>
      <c r="V6" s="1075">
        <v>0</v>
      </c>
      <c r="W6" s="1077">
        <f t="shared" si="11"/>
        <v>1192730.6299999999</v>
      </c>
      <c r="X6" s="1377">
        <f t="shared" si="12"/>
        <v>-0.11</v>
      </c>
      <c r="Y6" s="1377">
        <f t="shared" si="13"/>
        <v>-0.11</v>
      </c>
      <c r="Z6" s="1074"/>
      <c r="AA6" s="1075"/>
      <c r="AB6" s="1075"/>
      <c r="AC6" s="1075"/>
      <c r="AD6" s="1075"/>
      <c r="AE6" s="1077">
        <f t="shared" si="14"/>
        <v>0</v>
      </c>
      <c r="AF6" s="1377">
        <f t="shared" si="15"/>
        <v>0</v>
      </c>
      <c r="AG6" s="1377">
        <f t="shared" si="16"/>
        <v>0</v>
      </c>
      <c r="AH6" s="1078">
        <v>47381.27</v>
      </c>
      <c r="AI6" s="1079">
        <v>390911.19</v>
      </c>
      <c r="AJ6" s="1079">
        <v>0</v>
      </c>
      <c r="AK6" s="1079">
        <v>-0.03</v>
      </c>
      <c r="AL6" s="1079">
        <v>0</v>
      </c>
      <c r="AM6" s="1080">
        <f t="shared" si="17"/>
        <v>438292.43</v>
      </c>
      <c r="AN6" s="1080">
        <f t="shared" si="18"/>
        <v>-0.03</v>
      </c>
      <c r="AO6" s="1080">
        <f t="shared" si="19"/>
        <v>-0.03</v>
      </c>
      <c r="AP6" s="1700"/>
      <c r="AQ6" s="1700"/>
      <c r="AR6" s="1700"/>
      <c r="AS6" s="1700"/>
      <c r="AT6" s="1700"/>
      <c r="AU6" s="1700">
        <f t="shared" si="20"/>
        <v>0</v>
      </c>
      <c r="AV6" s="1700">
        <f t="shared" si="21"/>
        <v>0</v>
      </c>
      <c r="AW6" s="1700">
        <f t="shared" si="22"/>
        <v>0</v>
      </c>
    </row>
    <row r="7" spans="1:49" s="237" customFormat="1" x14ac:dyDescent="0.2">
      <c r="A7" s="1070" t="s">
        <v>16</v>
      </c>
      <c r="B7" s="1071" t="s">
        <v>297</v>
      </c>
      <c r="C7" s="103" t="s">
        <v>265</v>
      </c>
      <c r="D7" s="1072">
        <f t="shared" si="2"/>
        <v>76785.39</v>
      </c>
      <c r="E7" s="1072">
        <f t="shared" si="3"/>
        <v>107738.69</v>
      </c>
      <c r="F7" s="1072">
        <f t="shared" si="4"/>
        <v>0</v>
      </c>
      <c r="G7" s="1073">
        <f t="shared" si="5"/>
        <v>-0.01</v>
      </c>
      <c r="H7" s="1073">
        <f t="shared" si="6"/>
        <v>-0.01</v>
      </c>
      <c r="I7" s="1378">
        <f t="shared" si="7"/>
        <v>184524.07</v>
      </c>
      <c r="J7" s="1074">
        <v>48872.47</v>
      </c>
      <c r="K7" s="1075">
        <v>48872.47</v>
      </c>
      <c r="L7" s="1075">
        <v>0</v>
      </c>
      <c r="M7" s="1075">
        <v>-0.02</v>
      </c>
      <c r="N7" s="1075">
        <v>0</v>
      </c>
      <c r="O7" s="1076">
        <f t="shared" si="8"/>
        <v>97744.92</v>
      </c>
      <c r="P7" s="1377">
        <f t="shared" si="9"/>
        <v>-0.02</v>
      </c>
      <c r="Q7" s="1377">
        <f t="shared" si="10"/>
        <v>-0.02</v>
      </c>
      <c r="R7" s="1074">
        <v>23424.379999999997</v>
      </c>
      <c r="S7" s="1075">
        <v>23424.379999999997</v>
      </c>
      <c r="T7" s="1075">
        <v>0</v>
      </c>
      <c r="U7" s="1075">
        <v>0.01</v>
      </c>
      <c r="V7" s="1075">
        <v>0</v>
      </c>
      <c r="W7" s="1077">
        <f t="shared" si="11"/>
        <v>46848.77</v>
      </c>
      <c r="X7" s="1377">
        <f t="shared" si="12"/>
        <v>0.01</v>
      </c>
      <c r="Y7" s="1377">
        <f t="shared" si="13"/>
        <v>0.01</v>
      </c>
      <c r="Z7" s="1074"/>
      <c r="AA7" s="1075"/>
      <c r="AB7" s="1075"/>
      <c r="AC7" s="1075"/>
      <c r="AD7" s="1075"/>
      <c r="AE7" s="1077">
        <f t="shared" si="14"/>
        <v>0</v>
      </c>
      <c r="AF7" s="1377">
        <f t="shared" si="15"/>
        <v>0</v>
      </c>
      <c r="AG7" s="1377">
        <f t="shared" si="16"/>
        <v>0</v>
      </c>
      <c r="AH7" s="1078">
        <v>4488.54</v>
      </c>
      <c r="AI7" s="1079">
        <v>35441.839999999997</v>
      </c>
      <c r="AJ7" s="1079">
        <v>0</v>
      </c>
      <c r="AK7" s="1079">
        <v>0</v>
      </c>
      <c r="AL7" s="1079">
        <v>0</v>
      </c>
      <c r="AM7" s="1080">
        <f t="shared" si="17"/>
        <v>39930.379999999997</v>
      </c>
      <c r="AN7" s="1080">
        <f t="shared" si="18"/>
        <v>0</v>
      </c>
      <c r="AO7" s="1080">
        <f t="shared" si="19"/>
        <v>0</v>
      </c>
      <c r="AP7" s="1700"/>
      <c r="AQ7" s="1700"/>
      <c r="AR7" s="1700"/>
      <c r="AS7" s="1700"/>
      <c r="AT7" s="1700"/>
      <c r="AU7" s="1700">
        <f t="shared" si="20"/>
        <v>0</v>
      </c>
      <c r="AV7" s="1700">
        <f t="shared" si="21"/>
        <v>0</v>
      </c>
      <c r="AW7" s="1700">
        <f t="shared" si="22"/>
        <v>0</v>
      </c>
    </row>
    <row r="8" spans="1:49" s="237" customFormat="1" x14ac:dyDescent="0.2">
      <c r="A8" s="1070" t="s">
        <v>18</v>
      </c>
      <c r="B8" s="1071" t="s">
        <v>19</v>
      </c>
      <c r="C8" s="103" t="s">
        <v>266</v>
      </c>
      <c r="D8" s="1072">
        <f t="shared" si="2"/>
        <v>19202.14</v>
      </c>
      <c r="E8" s="1072">
        <f t="shared" si="3"/>
        <v>47219.789999999994</v>
      </c>
      <c r="F8" s="1072">
        <f t="shared" si="4"/>
        <v>0</v>
      </c>
      <c r="G8" s="1073">
        <f t="shared" si="5"/>
        <v>-0.01</v>
      </c>
      <c r="H8" s="1073">
        <f t="shared" si="6"/>
        <v>-0.01</v>
      </c>
      <c r="I8" s="1378">
        <f t="shared" si="7"/>
        <v>66421.919999999998</v>
      </c>
      <c r="J8" s="1074">
        <v>4485.28</v>
      </c>
      <c r="K8" s="1075">
        <v>4485.28</v>
      </c>
      <c r="L8" s="1075">
        <v>0</v>
      </c>
      <c r="M8" s="1075">
        <v>-0.01</v>
      </c>
      <c r="N8" s="1075">
        <v>0</v>
      </c>
      <c r="O8" s="1076">
        <f t="shared" si="8"/>
        <v>8970.5499999999993</v>
      </c>
      <c r="P8" s="1377">
        <f t="shared" si="9"/>
        <v>-0.01</v>
      </c>
      <c r="Q8" s="1377">
        <f t="shared" si="10"/>
        <v>-0.01</v>
      </c>
      <c r="R8" s="1074">
        <v>15120</v>
      </c>
      <c r="S8" s="1075">
        <v>15120</v>
      </c>
      <c r="T8" s="1075">
        <v>0</v>
      </c>
      <c r="U8" s="1075">
        <v>0</v>
      </c>
      <c r="V8" s="1075">
        <v>0</v>
      </c>
      <c r="W8" s="1077">
        <f t="shared" si="11"/>
        <v>30240</v>
      </c>
      <c r="X8" s="1377">
        <f t="shared" si="12"/>
        <v>0</v>
      </c>
      <c r="Y8" s="1377">
        <f t="shared" si="13"/>
        <v>0</v>
      </c>
      <c r="Z8" s="1074"/>
      <c r="AA8" s="1075"/>
      <c r="AB8" s="1075"/>
      <c r="AC8" s="1075"/>
      <c r="AD8" s="1075"/>
      <c r="AE8" s="1077">
        <f t="shared" si="14"/>
        <v>0</v>
      </c>
      <c r="AF8" s="1377">
        <f t="shared" si="15"/>
        <v>0</v>
      </c>
      <c r="AG8" s="1377">
        <f t="shared" si="16"/>
        <v>0</v>
      </c>
      <c r="AH8" s="1078">
        <v>-403.14</v>
      </c>
      <c r="AI8" s="1079">
        <v>27614.51</v>
      </c>
      <c r="AJ8" s="1079">
        <v>0</v>
      </c>
      <c r="AK8" s="1079">
        <v>0</v>
      </c>
      <c r="AL8" s="1079">
        <v>0</v>
      </c>
      <c r="AM8" s="1080">
        <f t="shared" si="17"/>
        <v>27211.37</v>
      </c>
      <c r="AN8" s="1080">
        <f t="shared" si="18"/>
        <v>0</v>
      </c>
      <c r="AO8" s="1080">
        <f t="shared" si="19"/>
        <v>0</v>
      </c>
      <c r="AP8" s="1700"/>
      <c r="AQ8" s="1700"/>
      <c r="AR8" s="1700"/>
      <c r="AS8" s="1700"/>
      <c r="AT8" s="1700"/>
      <c r="AU8" s="1700">
        <f t="shared" si="20"/>
        <v>0</v>
      </c>
      <c r="AV8" s="1700">
        <f t="shared" si="21"/>
        <v>0</v>
      </c>
      <c r="AW8" s="1700">
        <f t="shared" si="22"/>
        <v>0</v>
      </c>
    </row>
    <row r="9" spans="1:49" s="237" customFormat="1" x14ac:dyDescent="0.2">
      <c r="A9" s="1070" t="s">
        <v>20</v>
      </c>
      <c r="B9" s="1071" t="s">
        <v>21</v>
      </c>
      <c r="C9" s="103" t="s">
        <v>265</v>
      </c>
      <c r="D9" s="1072">
        <f t="shared" si="2"/>
        <v>49596.009999999995</v>
      </c>
      <c r="E9" s="1072">
        <f t="shared" si="3"/>
        <v>102780.19</v>
      </c>
      <c r="F9" s="1072">
        <f t="shared" si="4"/>
        <v>0</v>
      </c>
      <c r="G9" s="1073">
        <f t="shared" si="5"/>
        <v>-7.0000000000000007E-2</v>
      </c>
      <c r="H9" s="1073">
        <f t="shared" si="6"/>
        <v>-7.0000000000000007E-2</v>
      </c>
      <c r="I9" s="1378">
        <f t="shared" si="7"/>
        <v>152376.13</v>
      </c>
      <c r="J9" s="1074">
        <v>33260.1</v>
      </c>
      <c r="K9" s="1075">
        <v>33260.1</v>
      </c>
      <c r="L9" s="1075">
        <v>0</v>
      </c>
      <c r="M9" s="1075">
        <v>-7.0000000000000007E-2</v>
      </c>
      <c r="N9" s="1075">
        <v>0</v>
      </c>
      <c r="O9" s="1076">
        <f t="shared" si="8"/>
        <v>66520.12999999999</v>
      </c>
      <c r="P9" s="1377">
        <f t="shared" si="9"/>
        <v>-7.0000000000000007E-2</v>
      </c>
      <c r="Q9" s="1377">
        <f t="shared" si="10"/>
        <v>-7.0000000000000007E-2</v>
      </c>
      <c r="R9" s="1074">
        <v>8357.5</v>
      </c>
      <c r="S9" s="1075">
        <v>8357.5</v>
      </c>
      <c r="T9" s="1075">
        <v>0</v>
      </c>
      <c r="U9" s="1075">
        <v>0</v>
      </c>
      <c r="V9" s="1075">
        <v>0</v>
      </c>
      <c r="W9" s="1077">
        <f t="shared" si="11"/>
        <v>16715</v>
      </c>
      <c r="X9" s="1377">
        <f t="shared" si="12"/>
        <v>0</v>
      </c>
      <c r="Y9" s="1377">
        <f t="shared" si="13"/>
        <v>0</v>
      </c>
      <c r="Z9" s="1074"/>
      <c r="AA9" s="1075"/>
      <c r="AB9" s="1075"/>
      <c r="AC9" s="1075"/>
      <c r="AD9" s="1075"/>
      <c r="AE9" s="1077">
        <f t="shared" si="14"/>
        <v>0</v>
      </c>
      <c r="AF9" s="1377">
        <f t="shared" si="15"/>
        <v>0</v>
      </c>
      <c r="AG9" s="1377">
        <f t="shared" si="16"/>
        <v>0</v>
      </c>
      <c r="AH9" s="1078">
        <v>7978.41</v>
      </c>
      <c r="AI9" s="1079">
        <v>61162.59</v>
      </c>
      <c r="AJ9" s="1079">
        <v>0</v>
      </c>
      <c r="AK9" s="1079">
        <v>0</v>
      </c>
      <c r="AL9" s="1079">
        <v>0</v>
      </c>
      <c r="AM9" s="1080">
        <f t="shared" si="17"/>
        <v>69141</v>
      </c>
      <c r="AN9" s="1080">
        <f t="shared" si="18"/>
        <v>0</v>
      </c>
      <c r="AO9" s="1080">
        <f t="shared" si="19"/>
        <v>0</v>
      </c>
      <c r="AP9" s="1700"/>
      <c r="AQ9" s="1700"/>
      <c r="AR9" s="1700"/>
      <c r="AS9" s="1700"/>
      <c r="AT9" s="1700"/>
      <c r="AU9" s="1700">
        <f t="shared" si="20"/>
        <v>0</v>
      </c>
      <c r="AV9" s="1700">
        <f t="shared" si="21"/>
        <v>0</v>
      </c>
      <c r="AW9" s="1700">
        <f t="shared" si="22"/>
        <v>0</v>
      </c>
    </row>
    <row r="10" spans="1:49" s="237" customFormat="1" x14ac:dyDescent="0.2">
      <c r="A10" s="1070" t="s">
        <v>22</v>
      </c>
      <c r="B10" s="1071" t="s">
        <v>23</v>
      </c>
      <c r="C10" s="103" t="s">
        <v>265</v>
      </c>
      <c r="D10" s="1072">
        <f t="shared" si="2"/>
        <v>165067.62</v>
      </c>
      <c r="E10" s="1072">
        <f t="shared" si="3"/>
        <v>203394.62</v>
      </c>
      <c r="F10" s="1072">
        <f t="shared" si="4"/>
        <v>0</v>
      </c>
      <c r="G10" s="1073">
        <f t="shared" si="5"/>
        <v>-0.13</v>
      </c>
      <c r="H10" s="1073">
        <f t="shared" si="6"/>
        <v>-0.13</v>
      </c>
      <c r="I10" s="1378">
        <f t="shared" si="7"/>
        <v>368462.11</v>
      </c>
      <c r="J10" s="1074">
        <v>161632.62</v>
      </c>
      <c r="K10" s="1075">
        <v>161632.62</v>
      </c>
      <c r="L10" s="1075">
        <v>0</v>
      </c>
      <c r="M10" s="1075">
        <v>-0.13</v>
      </c>
      <c r="N10" s="1075">
        <v>0</v>
      </c>
      <c r="O10" s="1076">
        <f t="shared" si="8"/>
        <v>323265.11</v>
      </c>
      <c r="P10" s="1377">
        <f t="shared" si="9"/>
        <v>-0.13</v>
      </c>
      <c r="Q10" s="1377">
        <f t="shared" si="10"/>
        <v>-0.13</v>
      </c>
      <c r="R10" s="1078">
        <v>3435</v>
      </c>
      <c r="S10" s="1079">
        <v>3435</v>
      </c>
      <c r="T10" s="1079">
        <v>0</v>
      </c>
      <c r="U10" s="1079">
        <v>0</v>
      </c>
      <c r="V10" s="1079">
        <v>0</v>
      </c>
      <c r="W10" s="1077">
        <f t="shared" si="11"/>
        <v>6870</v>
      </c>
      <c r="X10" s="1377">
        <f t="shared" si="12"/>
        <v>0</v>
      </c>
      <c r="Y10" s="1377">
        <f t="shared" si="13"/>
        <v>0</v>
      </c>
      <c r="Z10" s="1074"/>
      <c r="AA10" s="1075"/>
      <c r="AB10" s="1075"/>
      <c r="AC10" s="1075"/>
      <c r="AD10" s="1075"/>
      <c r="AE10" s="1077">
        <f t="shared" si="14"/>
        <v>0</v>
      </c>
      <c r="AF10" s="1377">
        <f t="shared" si="15"/>
        <v>0</v>
      </c>
      <c r="AG10" s="1377">
        <f t="shared" si="16"/>
        <v>0</v>
      </c>
      <c r="AH10" s="1078">
        <v>0</v>
      </c>
      <c r="AI10" s="1079">
        <v>38327</v>
      </c>
      <c r="AJ10" s="1079">
        <v>0</v>
      </c>
      <c r="AK10" s="1079">
        <v>0</v>
      </c>
      <c r="AL10" s="1079">
        <v>0</v>
      </c>
      <c r="AM10" s="1080">
        <f t="shared" si="17"/>
        <v>38327</v>
      </c>
      <c r="AN10" s="1080">
        <f t="shared" si="18"/>
        <v>0</v>
      </c>
      <c r="AO10" s="1080">
        <f t="shared" si="19"/>
        <v>0</v>
      </c>
      <c r="AP10" s="1700"/>
      <c r="AQ10" s="1700"/>
      <c r="AR10" s="1700"/>
      <c r="AS10" s="1700"/>
      <c r="AT10" s="1700"/>
      <c r="AU10" s="1700">
        <f t="shared" si="20"/>
        <v>0</v>
      </c>
      <c r="AV10" s="1700">
        <f t="shared" si="21"/>
        <v>0</v>
      </c>
      <c r="AW10" s="1700">
        <f t="shared" si="22"/>
        <v>0</v>
      </c>
    </row>
    <row r="11" spans="1:49" s="237" customFormat="1" x14ac:dyDescent="0.2">
      <c r="A11" s="1070" t="s">
        <v>24</v>
      </c>
      <c r="B11" s="1071" t="s">
        <v>25</v>
      </c>
      <c r="C11" s="103" t="s">
        <v>267</v>
      </c>
      <c r="D11" s="1072">
        <f t="shared" si="2"/>
        <v>1049231.5</v>
      </c>
      <c r="E11" s="1072">
        <f t="shared" si="3"/>
        <v>1361723.38</v>
      </c>
      <c r="F11" s="1072">
        <f t="shared" si="4"/>
        <v>0</v>
      </c>
      <c r="G11" s="1073">
        <f t="shared" si="5"/>
        <v>-0.47</v>
      </c>
      <c r="H11" s="1073">
        <f t="shared" si="6"/>
        <v>-0.47</v>
      </c>
      <c r="I11" s="1378">
        <f t="shared" si="7"/>
        <v>2410954.4099999997</v>
      </c>
      <c r="J11" s="1074">
        <v>426058.36</v>
      </c>
      <c r="K11" s="1075">
        <v>426058.36</v>
      </c>
      <c r="L11" s="1075">
        <v>0</v>
      </c>
      <c r="M11" s="1075">
        <v>-0.35</v>
      </c>
      <c r="N11" s="1075">
        <v>0</v>
      </c>
      <c r="O11" s="1076">
        <f t="shared" si="8"/>
        <v>852116.37</v>
      </c>
      <c r="P11" s="1377">
        <f t="shared" si="9"/>
        <v>-0.35</v>
      </c>
      <c r="Q11" s="1377">
        <f t="shared" si="10"/>
        <v>-0.35</v>
      </c>
      <c r="R11" s="1074">
        <v>546104.18999999994</v>
      </c>
      <c r="S11" s="1075">
        <v>546104.18999999994</v>
      </c>
      <c r="T11" s="1075">
        <v>0</v>
      </c>
      <c r="U11" s="1075">
        <v>-0.12</v>
      </c>
      <c r="V11" s="1075">
        <v>0</v>
      </c>
      <c r="W11" s="1077">
        <f t="shared" si="11"/>
        <v>1092208.2599999998</v>
      </c>
      <c r="X11" s="1377">
        <f t="shared" si="12"/>
        <v>-0.12</v>
      </c>
      <c r="Y11" s="1377">
        <f t="shared" si="13"/>
        <v>-0.12</v>
      </c>
      <c r="Z11" s="1074"/>
      <c r="AA11" s="1075"/>
      <c r="AB11" s="1075"/>
      <c r="AC11" s="1075"/>
      <c r="AD11" s="1075"/>
      <c r="AE11" s="1077">
        <f t="shared" si="14"/>
        <v>0</v>
      </c>
      <c r="AF11" s="1377">
        <f t="shared" si="15"/>
        <v>0</v>
      </c>
      <c r="AG11" s="1377">
        <f t="shared" si="16"/>
        <v>0</v>
      </c>
      <c r="AH11" s="1078">
        <v>77068.95</v>
      </c>
      <c r="AI11" s="1079">
        <v>389560.83</v>
      </c>
      <c r="AJ11" s="1079">
        <v>0</v>
      </c>
      <c r="AK11" s="1079">
        <v>0</v>
      </c>
      <c r="AL11" s="1079">
        <v>0</v>
      </c>
      <c r="AM11" s="1080">
        <f t="shared" si="17"/>
        <v>466629.78</v>
      </c>
      <c r="AN11" s="1080">
        <f t="shared" si="18"/>
        <v>0</v>
      </c>
      <c r="AO11" s="1080">
        <f t="shared" si="19"/>
        <v>0</v>
      </c>
      <c r="AP11" s="1700"/>
      <c r="AQ11" s="1700"/>
      <c r="AR11" s="1700"/>
      <c r="AS11" s="1700"/>
      <c r="AT11" s="1700"/>
      <c r="AU11" s="1700">
        <f t="shared" si="20"/>
        <v>0</v>
      </c>
      <c r="AV11" s="1700">
        <f t="shared" si="21"/>
        <v>0</v>
      </c>
      <c r="AW11" s="1700">
        <f t="shared" si="22"/>
        <v>0</v>
      </c>
    </row>
    <row r="12" spans="1:49" s="237" customFormat="1" x14ac:dyDescent="0.2">
      <c r="A12" s="1070" t="s">
        <v>26</v>
      </c>
      <c r="B12" s="1071" t="s">
        <v>686</v>
      </c>
      <c r="C12" s="103" t="s">
        <v>265</v>
      </c>
      <c r="D12" s="1072">
        <f t="shared" si="2"/>
        <v>2396037.89</v>
      </c>
      <c r="E12" s="1072">
        <f t="shared" si="3"/>
        <v>2954294.91</v>
      </c>
      <c r="F12" s="1072">
        <f t="shared" si="4"/>
        <v>0</v>
      </c>
      <c r="G12" s="1073">
        <f t="shared" si="5"/>
        <v>-0.83000000000000007</v>
      </c>
      <c r="H12" s="1073">
        <f t="shared" si="6"/>
        <v>-0.83000000000000007</v>
      </c>
      <c r="I12" s="1378">
        <f t="shared" si="7"/>
        <v>5350331.9700000007</v>
      </c>
      <c r="J12" s="1074">
        <v>1044685.76</v>
      </c>
      <c r="K12" s="1075">
        <v>1044685.76</v>
      </c>
      <c r="L12" s="1075">
        <v>0</v>
      </c>
      <c r="M12" s="1075">
        <v>-0.76</v>
      </c>
      <c r="N12" s="1075">
        <v>0</v>
      </c>
      <c r="O12" s="1076">
        <f t="shared" si="8"/>
        <v>2089370.76</v>
      </c>
      <c r="P12" s="1377">
        <f t="shared" si="9"/>
        <v>-0.76</v>
      </c>
      <c r="Q12" s="1377">
        <f t="shared" si="10"/>
        <v>-0.76</v>
      </c>
      <c r="R12" s="1074">
        <v>1190016.03</v>
      </c>
      <c r="S12" s="1075">
        <v>1190016.03</v>
      </c>
      <c r="T12" s="1075">
        <v>0</v>
      </c>
      <c r="U12" s="1075">
        <v>-0.03</v>
      </c>
      <c r="V12" s="1075">
        <v>0</v>
      </c>
      <c r="W12" s="1077">
        <f t="shared" si="11"/>
        <v>2380032.0300000003</v>
      </c>
      <c r="X12" s="1377">
        <f t="shared" si="12"/>
        <v>-0.03</v>
      </c>
      <c r="Y12" s="1377">
        <f t="shared" si="13"/>
        <v>-0.03</v>
      </c>
      <c r="Z12" s="1074"/>
      <c r="AA12" s="1075"/>
      <c r="AB12" s="1075"/>
      <c r="AC12" s="1075"/>
      <c r="AD12" s="1075"/>
      <c r="AE12" s="1077">
        <f t="shared" si="14"/>
        <v>0</v>
      </c>
      <c r="AF12" s="1377">
        <f t="shared" si="15"/>
        <v>0</v>
      </c>
      <c r="AG12" s="1377">
        <f t="shared" si="16"/>
        <v>0</v>
      </c>
      <c r="AH12" s="1078">
        <v>161336.09999999998</v>
      </c>
      <c r="AI12" s="1079">
        <v>719593.12</v>
      </c>
      <c r="AJ12" s="1079">
        <v>0</v>
      </c>
      <c r="AK12" s="1079">
        <v>-0.04</v>
      </c>
      <c r="AL12" s="1079">
        <v>0</v>
      </c>
      <c r="AM12" s="1080">
        <f t="shared" si="17"/>
        <v>880929.17999999993</v>
      </c>
      <c r="AN12" s="1080">
        <f t="shared" si="18"/>
        <v>-0.04</v>
      </c>
      <c r="AO12" s="1080">
        <f t="shared" si="19"/>
        <v>-0.04</v>
      </c>
      <c r="AP12" s="1700"/>
      <c r="AQ12" s="1700"/>
      <c r="AR12" s="1700"/>
      <c r="AS12" s="1700"/>
      <c r="AT12" s="1700"/>
      <c r="AU12" s="1700">
        <f t="shared" si="20"/>
        <v>0</v>
      </c>
      <c r="AV12" s="1700">
        <f t="shared" si="21"/>
        <v>0</v>
      </c>
      <c r="AW12" s="1700">
        <f t="shared" si="22"/>
        <v>0</v>
      </c>
    </row>
    <row r="13" spans="1:49" s="237" customFormat="1" x14ac:dyDescent="0.2">
      <c r="A13" s="1070" t="s">
        <v>27</v>
      </c>
      <c r="B13" s="1071" t="s">
        <v>28</v>
      </c>
      <c r="C13" s="103" t="s">
        <v>265</v>
      </c>
      <c r="D13" s="1072">
        <f t="shared" si="2"/>
        <v>53298.29</v>
      </c>
      <c r="E13" s="1072">
        <f t="shared" si="3"/>
        <v>62692.29</v>
      </c>
      <c r="F13" s="1072">
        <f t="shared" si="4"/>
        <v>0</v>
      </c>
      <c r="G13" s="1073">
        <f t="shared" si="5"/>
        <v>0.01</v>
      </c>
      <c r="H13" s="1073">
        <f t="shared" si="6"/>
        <v>0.01</v>
      </c>
      <c r="I13" s="1378">
        <f t="shared" si="7"/>
        <v>115990.59</v>
      </c>
      <c r="J13" s="1074">
        <v>45503.79</v>
      </c>
      <c r="K13" s="1075">
        <v>45503.79</v>
      </c>
      <c r="L13" s="1075">
        <v>0</v>
      </c>
      <c r="M13" s="1075">
        <v>0.01</v>
      </c>
      <c r="N13" s="1075">
        <v>0</v>
      </c>
      <c r="O13" s="1076">
        <f t="shared" si="8"/>
        <v>91007.59</v>
      </c>
      <c r="P13" s="1377">
        <f t="shared" si="9"/>
        <v>0.01</v>
      </c>
      <c r="Q13" s="1377">
        <f t="shared" si="10"/>
        <v>0.01</v>
      </c>
      <c r="R13" s="1074">
        <v>7332.5</v>
      </c>
      <c r="S13" s="1075">
        <v>7332.5</v>
      </c>
      <c r="T13" s="1075">
        <v>0</v>
      </c>
      <c r="U13" s="1075">
        <v>0</v>
      </c>
      <c r="V13" s="1075">
        <v>0</v>
      </c>
      <c r="W13" s="1077">
        <f t="shared" si="11"/>
        <v>14665</v>
      </c>
      <c r="X13" s="1377">
        <f t="shared" si="12"/>
        <v>0</v>
      </c>
      <c r="Y13" s="1377">
        <f t="shared" si="13"/>
        <v>0</v>
      </c>
      <c r="Z13" s="1074"/>
      <c r="AA13" s="1075"/>
      <c r="AB13" s="1075"/>
      <c r="AC13" s="1075"/>
      <c r="AD13" s="1075"/>
      <c r="AE13" s="1077">
        <f t="shared" si="14"/>
        <v>0</v>
      </c>
      <c r="AF13" s="1377">
        <f t="shared" si="15"/>
        <v>0</v>
      </c>
      <c r="AG13" s="1377">
        <f t="shared" si="16"/>
        <v>0</v>
      </c>
      <c r="AH13" s="1078">
        <v>462</v>
      </c>
      <c r="AI13" s="1079">
        <v>9856</v>
      </c>
      <c r="AJ13" s="1079">
        <v>0</v>
      </c>
      <c r="AK13" s="1079">
        <v>0</v>
      </c>
      <c r="AL13" s="1079">
        <v>0</v>
      </c>
      <c r="AM13" s="1080">
        <f t="shared" si="17"/>
        <v>10318</v>
      </c>
      <c r="AN13" s="1080">
        <f t="shared" si="18"/>
        <v>0</v>
      </c>
      <c r="AO13" s="1080">
        <f t="shared" si="19"/>
        <v>0</v>
      </c>
      <c r="AP13" s="1700"/>
      <c r="AQ13" s="1700"/>
      <c r="AR13" s="1700"/>
      <c r="AS13" s="1700"/>
      <c r="AT13" s="1700"/>
      <c r="AU13" s="1700">
        <f t="shared" si="20"/>
        <v>0</v>
      </c>
      <c r="AV13" s="1700">
        <f t="shared" si="21"/>
        <v>0</v>
      </c>
      <c r="AW13" s="1700">
        <f t="shared" si="22"/>
        <v>0</v>
      </c>
    </row>
    <row r="14" spans="1:49" s="237" customFormat="1" x14ac:dyDescent="0.2">
      <c r="A14" s="1070" t="s">
        <v>29</v>
      </c>
      <c r="B14" s="1071" t="s">
        <v>924</v>
      </c>
      <c r="C14" s="103" t="s">
        <v>265</v>
      </c>
      <c r="D14" s="1072">
        <f t="shared" si="2"/>
        <v>738787.31</v>
      </c>
      <c r="E14" s="1072">
        <f t="shared" si="3"/>
        <v>1204194.3700000001</v>
      </c>
      <c r="F14" s="1072">
        <f t="shared" si="4"/>
        <v>0</v>
      </c>
      <c r="G14" s="1073">
        <f t="shared" si="5"/>
        <v>-0.26</v>
      </c>
      <c r="H14" s="1073">
        <f t="shared" si="6"/>
        <v>-0.26</v>
      </c>
      <c r="I14" s="1378">
        <f t="shared" si="7"/>
        <v>1942981.4200000002</v>
      </c>
      <c r="J14" s="1074">
        <v>251861.98</v>
      </c>
      <c r="K14" s="1075">
        <v>251861.98</v>
      </c>
      <c r="L14" s="1075">
        <v>0</v>
      </c>
      <c r="M14" s="1075">
        <v>-0.25</v>
      </c>
      <c r="N14" s="1075">
        <v>0</v>
      </c>
      <c r="O14" s="1076">
        <f t="shared" si="8"/>
        <v>503723.71</v>
      </c>
      <c r="P14" s="1377">
        <f t="shared" si="9"/>
        <v>-0.25</v>
      </c>
      <c r="Q14" s="1377">
        <f t="shared" si="10"/>
        <v>-0.25</v>
      </c>
      <c r="R14" s="1074">
        <v>481308.18</v>
      </c>
      <c r="S14" s="1075">
        <v>481308.18</v>
      </c>
      <c r="T14" s="1075">
        <v>0</v>
      </c>
      <c r="U14" s="1075">
        <v>-0.01</v>
      </c>
      <c r="V14" s="1075">
        <v>0</v>
      </c>
      <c r="W14" s="1077">
        <f t="shared" si="11"/>
        <v>962616.35</v>
      </c>
      <c r="X14" s="1377">
        <f t="shared" si="12"/>
        <v>-0.01</v>
      </c>
      <c r="Y14" s="1377">
        <f t="shared" si="13"/>
        <v>-0.01</v>
      </c>
      <c r="Z14" s="1074"/>
      <c r="AA14" s="1075"/>
      <c r="AB14" s="1075"/>
      <c r="AC14" s="1075"/>
      <c r="AD14" s="1075"/>
      <c r="AE14" s="1077">
        <f t="shared" si="14"/>
        <v>0</v>
      </c>
      <c r="AF14" s="1377">
        <f t="shared" si="15"/>
        <v>0</v>
      </c>
      <c r="AG14" s="1377">
        <f t="shared" si="16"/>
        <v>0</v>
      </c>
      <c r="AH14" s="1078">
        <v>5617.15</v>
      </c>
      <c r="AI14" s="1079">
        <v>471024.21</v>
      </c>
      <c r="AJ14" s="1079">
        <v>0</v>
      </c>
      <c r="AK14" s="1079">
        <v>0</v>
      </c>
      <c r="AL14" s="1079">
        <v>0</v>
      </c>
      <c r="AM14" s="1080">
        <f t="shared" si="17"/>
        <v>476641.36000000004</v>
      </c>
      <c r="AN14" s="1080">
        <f t="shared" si="18"/>
        <v>0</v>
      </c>
      <c r="AO14" s="1080">
        <f t="shared" si="19"/>
        <v>0</v>
      </c>
      <c r="AP14" s="1700"/>
      <c r="AQ14" s="1700"/>
      <c r="AR14" s="1700"/>
      <c r="AS14" s="1700"/>
      <c r="AT14" s="1700"/>
      <c r="AU14" s="1700">
        <f t="shared" si="20"/>
        <v>0</v>
      </c>
      <c r="AV14" s="1700">
        <f t="shared" si="21"/>
        <v>0</v>
      </c>
      <c r="AW14" s="1700">
        <f t="shared" si="22"/>
        <v>0</v>
      </c>
    </row>
    <row r="15" spans="1:49" s="237" customFormat="1" x14ac:dyDescent="0.2">
      <c r="A15" s="1070" t="s">
        <v>30</v>
      </c>
      <c r="B15" s="1071" t="s">
        <v>31</v>
      </c>
      <c r="C15" s="103" t="s">
        <v>268</v>
      </c>
      <c r="D15" s="1072">
        <f t="shared" si="2"/>
        <v>96208.209999999992</v>
      </c>
      <c r="E15" s="1072">
        <f t="shared" si="3"/>
        <v>116796.7</v>
      </c>
      <c r="F15" s="1072">
        <f t="shared" si="4"/>
        <v>0</v>
      </c>
      <c r="G15" s="1073">
        <f t="shared" si="5"/>
        <v>-0.02</v>
      </c>
      <c r="H15" s="1073">
        <f t="shared" si="6"/>
        <v>-0.02</v>
      </c>
      <c r="I15" s="1378">
        <f t="shared" si="7"/>
        <v>213004.88999999998</v>
      </c>
      <c r="J15" s="1074">
        <v>43552.45</v>
      </c>
      <c r="K15" s="1075">
        <v>43552.45</v>
      </c>
      <c r="L15" s="1075">
        <v>0</v>
      </c>
      <c r="M15" s="1075">
        <v>-0.02</v>
      </c>
      <c r="N15" s="1075">
        <v>0</v>
      </c>
      <c r="O15" s="1076">
        <f t="shared" si="8"/>
        <v>87104.87999999999</v>
      </c>
      <c r="P15" s="1377">
        <f t="shared" si="9"/>
        <v>-0.02</v>
      </c>
      <c r="Q15" s="1377">
        <f t="shared" si="10"/>
        <v>-0.02</v>
      </c>
      <c r="R15" s="1074">
        <v>51576</v>
      </c>
      <c r="S15" s="1075">
        <v>51576</v>
      </c>
      <c r="T15" s="1075">
        <v>0</v>
      </c>
      <c r="U15" s="1075">
        <v>0</v>
      </c>
      <c r="V15" s="1075">
        <v>0</v>
      </c>
      <c r="W15" s="1077">
        <f t="shared" si="11"/>
        <v>103152</v>
      </c>
      <c r="X15" s="1377">
        <f t="shared" si="12"/>
        <v>0</v>
      </c>
      <c r="Y15" s="1377">
        <f t="shared" si="13"/>
        <v>0</v>
      </c>
      <c r="Z15" s="1074"/>
      <c r="AA15" s="1075"/>
      <c r="AB15" s="1075"/>
      <c r="AC15" s="1075"/>
      <c r="AD15" s="1075"/>
      <c r="AE15" s="1077">
        <f t="shared" si="14"/>
        <v>0</v>
      </c>
      <c r="AF15" s="1377">
        <f t="shared" si="15"/>
        <v>0</v>
      </c>
      <c r="AG15" s="1377">
        <f t="shared" si="16"/>
        <v>0</v>
      </c>
      <c r="AH15" s="1078">
        <v>1079.76</v>
      </c>
      <c r="AI15" s="1079">
        <v>21668.25</v>
      </c>
      <c r="AJ15" s="1079">
        <v>0</v>
      </c>
      <c r="AK15" s="1079">
        <v>0</v>
      </c>
      <c r="AL15" s="1079">
        <v>0</v>
      </c>
      <c r="AM15" s="1080">
        <f t="shared" si="17"/>
        <v>22748.01</v>
      </c>
      <c r="AN15" s="1080">
        <f t="shared" si="18"/>
        <v>0</v>
      </c>
      <c r="AO15" s="1080">
        <f t="shared" si="19"/>
        <v>0</v>
      </c>
      <c r="AP15" s="1700"/>
      <c r="AQ15" s="1700"/>
      <c r="AR15" s="1700"/>
      <c r="AS15" s="1700"/>
      <c r="AT15" s="1700"/>
      <c r="AU15" s="1700">
        <f t="shared" si="20"/>
        <v>0</v>
      </c>
      <c r="AV15" s="1700">
        <f t="shared" si="21"/>
        <v>0</v>
      </c>
      <c r="AW15" s="1700">
        <f t="shared" si="22"/>
        <v>0</v>
      </c>
    </row>
    <row r="16" spans="1:49" s="237" customFormat="1" x14ac:dyDescent="0.2">
      <c r="A16" s="1070" t="s">
        <v>32</v>
      </c>
      <c r="B16" s="1071" t="s">
        <v>33</v>
      </c>
      <c r="C16" s="103" t="s">
        <v>265</v>
      </c>
      <c r="D16" s="1072">
        <f t="shared" si="2"/>
        <v>64730.47</v>
      </c>
      <c r="E16" s="1072">
        <f t="shared" si="3"/>
        <v>81225.97</v>
      </c>
      <c r="F16" s="1072">
        <f t="shared" si="4"/>
        <v>0</v>
      </c>
      <c r="G16" s="1073">
        <f t="shared" si="5"/>
        <v>-0.01</v>
      </c>
      <c r="H16" s="1073">
        <f t="shared" si="6"/>
        <v>-0.01</v>
      </c>
      <c r="I16" s="1378">
        <f t="shared" si="7"/>
        <v>145956.43</v>
      </c>
      <c r="J16" s="1074">
        <v>463.72</v>
      </c>
      <c r="K16" s="1075">
        <v>463.72</v>
      </c>
      <c r="L16" s="1075">
        <v>0</v>
      </c>
      <c r="M16" s="1075">
        <v>-0.01</v>
      </c>
      <c r="N16" s="1075">
        <v>0</v>
      </c>
      <c r="O16" s="1076">
        <f t="shared" si="8"/>
        <v>927.43000000000006</v>
      </c>
      <c r="P16" s="1377">
        <f t="shared" si="9"/>
        <v>-0.01</v>
      </c>
      <c r="Q16" s="1377">
        <f t="shared" si="10"/>
        <v>-0.01</v>
      </c>
      <c r="R16" s="1074">
        <v>60628.5</v>
      </c>
      <c r="S16" s="1075">
        <v>60628.5</v>
      </c>
      <c r="T16" s="1075">
        <v>0</v>
      </c>
      <c r="U16" s="1075">
        <v>0</v>
      </c>
      <c r="V16" s="1075">
        <v>0</v>
      </c>
      <c r="W16" s="1077">
        <f t="shared" si="11"/>
        <v>121257</v>
      </c>
      <c r="X16" s="1377">
        <f t="shared" si="12"/>
        <v>0</v>
      </c>
      <c r="Y16" s="1377">
        <f t="shared" si="13"/>
        <v>0</v>
      </c>
      <c r="Z16" s="1074"/>
      <c r="AA16" s="1075"/>
      <c r="AB16" s="1075"/>
      <c r="AC16" s="1075"/>
      <c r="AD16" s="1075"/>
      <c r="AE16" s="1077">
        <f t="shared" si="14"/>
        <v>0</v>
      </c>
      <c r="AF16" s="1377">
        <f t="shared" si="15"/>
        <v>0</v>
      </c>
      <c r="AG16" s="1377">
        <f t="shared" si="16"/>
        <v>0</v>
      </c>
      <c r="AH16" s="1078">
        <v>3638.25</v>
      </c>
      <c r="AI16" s="1079">
        <v>20133.75</v>
      </c>
      <c r="AJ16" s="1079">
        <v>0</v>
      </c>
      <c r="AK16" s="1079">
        <v>0</v>
      </c>
      <c r="AL16" s="1079">
        <v>0</v>
      </c>
      <c r="AM16" s="1080">
        <f t="shared" si="17"/>
        <v>23772</v>
      </c>
      <c r="AN16" s="1080">
        <f t="shared" si="18"/>
        <v>0</v>
      </c>
      <c r="AO16" s="1080">
        <f t="shared" si="19"/>
        <v>0</v>
      </c>
      <c r="AP16" s="1700"/>
      <c r="AQ16" s="1700"/>
      <c r="AR16" s="1700"/>
      <c r="AS16" s="1700"/>
      <c r="AT16" s="1700"/>
      <c r="AU16" s="1700">
        <f t="shared" si="20"/>
        <v>0</v>
      </c>
      <c r="AV16" s="1700">
        <f t="shared" si="21"/>
        <v>0</v>
      </c>
      <c r="AW16" s="1700">
        <f t="shared" si="22"/>
        <v>0</v>
      </c>
    </row>
    <row r="17" spans="1:49" s="237" customFormat="1" x14ac:dyDescent="0.2">
      <c r="A17" s="1070" t="s">
        <v>36</v>
      </c>
      <c r="B17" s="1071" t="s">
        <v>37</v>
      </c>
      <c r="C17" s="103" t="s">
        <v>264</v>
      </c>
      <c r="D17" s="1072">
        <f t="shared" si="2"/>
        <v>46695.5</v>
      </c>
      <c r="E17" s="1072">
        <f t="shared" si="3"/>
        <v>46899.5</v>
      </c>
      <c r="F17" s="1072">
        <f t="shared" si="4"/>
        <v>0</v>
      </c>
      <c r="G17" s="1073">
        <f t="shared" si="5"/>
        <v>0</v>
      </c>
      <c r="H17" s="1073">
        <f t="shared" si="6"/>
        <v>0</v>
      </c>
      <c r="I17" s="1378">
        <f t="shared" si="7"/>
        <v>93595</v>
      </c>
      <c r="J17" s="1074"/>
      <c r="K17" s="1075"/>
      <c r="L17" s="1075"/>
      <c r="M17" s="1075"/>
      <c r="N17" s="1075"/>
      <c r="O17" s="1076">
        <f t="shared" si="8"/>
        <v>0</v>
      </c>
      <c r="P17" s="1377">
        <f t="shared" si="9"/>
        <v>0</v>
      </c>
      <c r="Q17" s="1377">
        <f t="shared" si="10"/>
        <v>0</v>
      </c>
      <c r="R17" s="1074">
        <v>46497.5</v>
      </c>
      <c r="S17" s="1075">
        <v>46497.5</v>
      </c>
      <c r="T17" s="1075">
        <v>0</v>
      </c>
      <c r="U17" s="1075">
        <v>0</v>
      </c>
      <c r="V17" s="1075">
        <v>0</v>
      </c>
      <c r="W17" s="1077">
        <f t="shared" si="11"/>
        <v>92995</v>
      </c>
      <c r="X17" s="1377">
        <f t="shared" si="12"/>
        <v>0</v>
      </c>
      <c r="Y17" s="1377">
        <f t="shared" si="13"/>
        <v>0</v>
      </c>
      <c r="Z17" s="1074"/>
      <c r="AA17" s="1075"/>
      <c r="AB17" s="1075"/>
      <c r="AC17" s="1075"/>
      <c r="AD17" s="1075"/>
      <c r="AE17" s="1077">
        <f t="shared" si="14"/>
        <v>0</v>
      </c>
      <c r="AF17" s="1377">
        <f t="shared" si="15"/>
        <v>0</v>
      </c>
      <c r="AG17" s="1377">
        <f t="shared" si="16"/>
        <v>0</v>
      </c>
      <c r="AH17" s="1078">
        <v>198</v>
      </c>
      <c r="AI17" s="1079">
        <v>402</v>
      </c>
      <c r="AJ17" s="1079">
        <v>0</v>
      </c>
      <c r="AK17" s="1079">
        <v>0</v>
      </c>
      <c r="AL17" s="1079">
        <v>0</v>
      </c>
      <c r="AM17" s="1080">
        <f t="shared" si="17"/>
        <v>600</v>
      </c>
      <c r="AN17" s="1080">
        <f t="shared" si="18"/>
        <v>0</v>
      </c>
      <c r="AO17" s="1080">
        <f t="shared" si="19"/>
        <v>0</v>
      </c>
      <c r="AP17" s="1700"/>
      <c r="AQ17" s="1700"/>
      <c r="AR17" s="1700"/>
      <c r="AS17" s="1700"/>
      <c r="AT17" s="1700"/>
      <c r="AU17" s="1700">
        <f t="shared" si="20"/>
        <v>0</v>
      </c>
      <c r="AV17" s="1700">
        <f t="shared" si="21"/>
        <v>0</v>
      </c>
      <c r="AW17" s="1700">
        <f t="shared" si="22"/>
        <v>0</v>
      </c>
    </row>
    <row r="18" spans="1:49" s="237" customFormat="1" x14ac:dyDescent="0.2">
      <c r="A18" s="1070" t="s">
        <v>38</v>
      </c>
      <c r="B18" s="1071" t="s">
        <v>39</v>
      </c>
      <c r="C18" s="103" t="s">
        <v>268</v>
      </c>
      <c r="D18" s="1072">
        <f t="shared" si="2"/>
        <v>784674.09</v>
      </c>
      <c r="E18" s="1072">
        <f t="shared" si="3"/>
        <v>956918.38</v>
      </c>
      <c r="F18" s="1072">
        <f t="shared" si="4"/>
        <v>0</v>
      </c>
      <c r="G18" s="1073">
        <f t="shared" si="5"/>
        <v>-0.12</v>
      </c>
      <c r="H18" s="1073">
        <f t="shared" si="6"/>
        <v>-0.12</v>
      </c>
      <c r="I18" s="1378">
        <f t="shared" si="7"/>
        <v>1741592.3499999999</v>
      </c>
      <c r="J18" s="1074">
        <v>309010.24</v>
      </c>
      <c r="K18" s="1075">
        <v>309010.24</v>
      </c>
      <c r="L18" s="1075">
        <v>0</v>
      </c>
      <c r="M18" s="1075">
        <v>-0.12</v>
      </c>
      <c r="N18" s="1075">
        <v>0</v>
      </c>
      <c r="O18" s="1076">
        <f t="shared" si="8"/>
        <v>618020.36</v>
      </c>
      <c r="P18" s="1377">
        <f t="shared" si="9"/>
        <v>-0.12</v>
      </c>
      <c r="Q18" s="1377">
        <f t="shared" si="10"/>
        <v>-0.12</v>
      </c>
      <c r="R18" s="1074">
        <v>448556.99</v>
      </c>
      <c r="S18" s="1075">
        <v>448556.99</v>
      </c>
      <c r="T18" s="1075">
        <v>0</v>
      </c>
      <c r="U18" s="1075">
        <v>0</v>
      </c>
      <c r="V18" s="1075">
        <v>0</v>
      </c>
      <c r="W18" s="1077">
        <f t="shared" si="11"/>
        <v>897113.98</v>
      </c>
      <c r="X18" s="1377">
        <f t="shared" si="12"/>
        <v>0</v>
      </c>
      <c r="Y18" s="1377">
        <f t="shared" si="13"/>
        <v>0</v>
      </c>
      <c r="Z18" s="1074"/>
      <c r="AA18" s="1075"/>
      <c r="AB18" s="1075"/>
      <c r="AC18" s="1075"/>
      <c r="AD18" s="1075"/>
      <c r="AE18" s="1077">
        <f t="shared" si="14"/>
        <v>0</v>
      </c>
      <c r="AF18" s="1377">
        <f t="shared" si="15"/>
        <v>0</v>
      </c>
      <c r="AG18" s="1377">
        <f t="shared" si="16"/>
        <v>0</v>
      </c>
      <c r="AH18" s="1078">
        <v>27106.86</v>
      </c>
      <c r="AI18" s="1079">
        <v>199351.15</v>
      </c>
      <c r="AJ18" s="1079">
        <v>0</v>
      </c>
      <c r="AK18" s="1079">
        <v>0</v>
      </c>
      <c r="AL18" s="1079">
        <v>0</v>
      </c>
      <c r="AM18" s="1080">
        <f t="shared" si="17"/>
        <v>226458.01</v>
      </c>
      <c r="AN18" s="1080">
        <f t="shared" si="18"/>
        <v>0</v>
      </c>
      <c r="AO18" s="1080">
        <f t="shared" si="19"/>
        <v>0</v>
      </c>
      <c r="AP18" s="1700"/>
      <c r="AQ18" s="1700"/>
      <c r="AR18" s="1700"/>
      <c r="AS18" s="1700"/>
      <c r="AT18" s="1700"/>
      <c r="AU18" s="1700">
        <f t="shared" si="20"/>
        <v>0</v>
      </c>
      <c r="AV18" s="1700">
        <f t="shared" si="21"/>
        <v>0</v>
      </c>
      <c r="AW18" s="1700">
        <f t="shared" si="22"/>
        <v>0</v>
      </c>
    </row>
    <row r="19" spans="1:49" s="237" customFormat="1" x14ac:dyDescent="0.2">
      <c r="A19" s="1070" t="s">
        <v>40</v>
      </c>
      <c r="B19" s="1071" t="s">
        <v>41</v>
      </c>
      <c r="C19" s="103" t="s">
        <v>266</v>
      </c>
      <c r="D19" s="1072">
        <f t="shared" si="2"/>
        <v>54099.11</v>
      </c>
      <c r="E19" s="1072">
        <f t="shared" si="3"/>
        <v>94870.78</v>
      </c>
      <c r="F19" s="1072">
        <f t="shared" si="4"/>
        <v>0</v>
      </c>
      <c r="G19" s="1073">
        <f t="shared" si="5"/>
        <v>-0.02</v>
      </c>
      <c r="H19" s="1073">
        <f t="shared" si="6"/>
        <v>-0.02</v>
      </c>
      <c r="I19" s="1378">
        <f t="shared" si="7"/>
        <v>148969.87000000002</v>
      </c>
      <c r="J19" s="1074">
        <v>9263.32</v>
      </c>
      <c r="K19" s="1075">
        <v>9263.32</v>
      </c>
      <c r="L19" s="1075">
        <v>0</v>
      </c>
      <c r="M19" s="1075">
        <v>-0.01</v>
      </c>
      <c r="N19" s="1075">
        <v>0</v>
      </c>
      <c r="O19" s="1076">
        <f t="shared" si="8"/>
        <v>18526.63</v>
      </c>
      <c r="P19" s="1377">
        <f t="shared" si="9"/>
        <v>-0.01</v>
      </c>
      <c r="Q19" s="1377">
        <f t="shared" si="10"/>
        <v>-0.01</v>
      </c>
      <c r="R19" s="1074">
        <v>44835.79</v>
      </c>
      <c r="S19" s="1075">
        <v>44835.79</v>
      </c>
      <c r="T19" s="1075">
        <v>0</v>
      </c>
      <c r="U19" s="1075">
        <v>-0.01</v>
      </c>
      <c r="V19" s="1075">
        <v>0</v>
      </c>
      <c r="W19" s="1077">
        <f t="shared" si="11"/>
        <v>89671.57</v>
      </c>
      <c r="X19" s="1377">
        <f t="shared" si="12"/>
        <v>-0.01</v>
      </c>
      <c r="Y19" s="1377">
        <f t="shared" si="13"/>
        <v>-0.01</v>
      </c>
      <c r="Z19" s="1074"/>
      <c r="AA19" s="1075"/>
      <c r="AB19" s="1075"/>
      <c r="AC19" s="1075"/>
      <c r="AD19" s="1075"/>
      <c r="AE19" s="1077">
        <f t="shared" si="14"/>
        <v>0</v>
      </c>
      <c r="AF19" s="1377">
        <f t="shared" si="15"/>
        <v>0</v>
      </c>
      <c r="AG19" s="1377">
        <f t="shared" si="16"/>
        <v>0</v>
      </c>
      <c r="AH19" s="1078">
        <v>0</v>
      </c>
      <c r="AI19" s="1079">
        <v>40771.67</v>
      </c>
      <c r="AJ19" s="1079">
        <v>0</v>
      </c>
      <c r="AK19" s="1079">
        <v>0</v>
      </c>
      <c r="AL19" s="1079">
        <v>0</v>
      </c>
      <c r="AM19" s="1080">
        <f t="shared" si="17"/>
        <v>40771.67</v>
      </c>
      <c r="AN19" s="1080">
        <f t="shared" si="18"/>
        <v>0</v>
      </c>
      <c r="AO19" s="1080">
        <f t="shared" si="19"/>
        <v>0</v>
      </c>
      <c r="AP19" s="1700"/>
      <c r="AQ19" s="1700"/>
      <c r="AR19" s="1700"/>
      <c r="AS19" s="1700"/>
      <c r="AT19" s="1700"/>
      <c r="AU19" s="1700">
        <f t="shared" si="20"/>
        <v>0</v>
      </c>
      <c r="AV19" s="1700">
        <f t="shared" si="21"/>
        <v>0</v>
      </c>
      <c r="AW19" s="1700">
        <f t="shared" si="22"/>
        <v>0</v>
      </c>
    </row>
    <row r="20" spans="1:49" s="237" customFormat="1" x14ac:dyDescent="0.2">
      <c r="A20" s="1070" t="s">
        <v>42</v>
      </c>
      <c r="B20" s="1071" t="s">
        <v>43</v>
      </c>
      <c r="C20" s="103" t="s">
        <v>265</v>
      </c>
      <c r="D20" s="1072">
        <f t="shared" si="2"/>
        <v>715325.27</v>
      </c>
      <c r="E20" s="1072">
        <f t="shared" si="3"/>
        <v>1229680.7000000002</v>
      </c>
      <c r="F20" s="1072">
        <f t="shared" si="4"/>
        <v>0</v>
      </c>
      <c r="G20" s="1073">
        <f t="shared" si="5"/>
        <v>791.2600000000001</v>
      </c>
      <c r="H20" s="1073">
        <f t="shared" si="6"/>
        <v>791.2600000000001</v>
      </c>
      <c r="I20" s="1378">
        <f t="shared" si="7"/>
        <v>1945797.2300000002</v>
      </c>
      <c r="J20" s="1074">
        <v>167633.31</v>
      </c>
      <c r="K20" s="1075">
        <v>167633.31</v>
      </c>
      <c r="L20" s="1075">
        <v>0</v>
      </c>
      <c r="M20" s="1075">
        <v>-0.27</v>
      </c>
      <c r="N20" s="1075">
        <v>0</v>
      </c>
      <c r="O20" s="1076">
        <f t="shared" si="8"/>
        <v>335266.34999999998</v>
      </c>
      <c r="P20" s="1377">
        <f t="shared" si="9"/>
        <v>-0.27</v>
      </c>
      <c r="Q20" s="1377">
        <f t="shared" si="10"/>
        <v>-0.27</v>
      </c>
      <c r="R20" s="1074">
        <v>529195.02</v>
      </c>
      <c r="S20" s="1075">
        <v>529195.02</v>
      </c>
      <c r="T20" s="1075">
        <v>0</v>
      </c>
      <c r="U20" s="1075">
        <v>-0.04</v>
      </c>
      <c r="V20" s="1075">
        <v>791.63</v>
      </c>
      <c r="W20" s="1077">
        <f t="shared" si="11"/>
        <v>1059181.6299999999</v>
      </c>
      <c r="X20" s="1377">
        <f t="shared" si="12"/>
        <v>791.59</v>
      </c>
      <c r="Y20" s="1377">
        <f t="shared" si="13"/>
        <v>791.59</v>
      </c>
      <c r="Z20" s="1074"/>
      <c r="AA20" s="1075"/>
      <c r="AB20" s="1075"/>
      <c r="AC20" s="1075"/>
      <c r="AD20" s="1075"/>
      <c r="AE20" s="1077">
        <f t="shared" si="14"/>
        <v>0</v>
      </c>
      <c r="AF20" s="1377">
        <f t="shared" si="15"/>
        <v>0</v>
      </c>
      <c r="AG20" s="1377">
        <f t="shared" si="16"/>
        <v>0</v>
      </c>
      <c r="AH20" s="1078">
        <v>18496.939999999999</v>
      </c>
      <c r="AI20" s="1079">
        <v>532852.37</v>
      </c>
      <c r="AJ20" s="1079">
        <v>0</v>
      </c>
      <c r="AK20" s="1079">
        <v>-0.06</v>
      </c>
      <c r="AL20" s="1079">
        <v>0</v>
      </c>
      <c r="AM20" s="1080">
        <f t="shared" si="17"/>
        <v>551349.24999999988</v>
      </c>
      <c r="AN20" s="1080">
        <f t="shared" si="18"/>
        <v>-0.06</v>
      </c>
      <c r="AO20" s="1080">
        <f t="shared" si="19"/>
        <v>-0.06</v>
      </c>
      <c r="AP20" s="1700"/>
      <c r="AQ20" s="1700"/>
      <c r="AR20" s="1700"/>
      <c r="AS20" s="1700"/>
      <c r="AT20" s="1700"/>
      <c r="AU20" s="1700">
        <f t="shared" si="20"/>
        <v>0</v>
      </c>
      <c r="AV20" s="1700">
        <f t="shared" si="21"/>
        <v>0</v>
      </c>
      <c r="AW20" s="1700">
        <f t="shared" si="22"/>
        <v>0</v>
      </c>
    </row>
    <row r="21" spans="1:49" s="237" customFormat="1" x14ac:dyDescent="0.2">
      <c r="A21" s="1070" t="s">
        <v>44</v>
      </c>
      <c r="B21" s="1071" t="s">
        <v>45</v>
      </c>
      <c r="C21" s="103" t="s">
        <v>266</v>
      </c>
      <c r="D21" s="1072">
        <f t="shared" si="2"/>
        <v>267710.11</v>
      </c>
      <c r="E21" s="1072">
        <f t="shared" si="3"/>
        <v>278820.36</v>
      </c>
      <c r="F21" s="1072">
        <f t="shared" si="4"/>
        <v>0</v>
      </c>
      <c r="G21" s="1073">
        <f t="shared" si="5"/>
        <v>1173.01</v>
      </c>
      <c r="H21" s="1073">
        <f t="shared" si="6"/>
        <v>1173.01</v>
      </c>
      <c r="I21" s="1378">
        <f t="shared" si="7"/>
        <v>547703.48</v>
      </c>
      <c r="J21" s="1074">
        <v>239421.07</v>
      </c>
      <c r="K21" s="1075">
        <v>239421.07</v>
      </c>
      <c r="L21" s="1075">
        <v>0</v>
      </c>
      <c r="M21" s="1075">
        <v>1173.01</v>
      </c>
      <c r="N21" s="1075">
        <v>0</v>
      </c>
      <c r="O21" s="1076">
        <f t="shared" si="8"/>
        <v>480015.15</v>
      </c>
      <c r="P21" s="1377">
        <f t="shared" si="9"/>
        <v>1173.01</v>
      </c>
      <c r="Q21" s="1377">
        <f t="shared" si="10"/>
        <v>1173.01</v>
      </c>
      <c r="R21" s="1074">
        <v>28289.040000000001</v>
      </c>
      <c r="S21" s="1075">
        <v>28289.040000000001</v>
      </c>
      <c r="T21" s="1075">
        <v>0</v>
      </c>
      <c r="U21" s="1075">
        <v>0</v>
      </c>
      <c r="V21" s="1075">
        <v>0</v>
      </c>
      <c r="W21" s="1077">
        <f t="shared" si="11"/>
        <v>56578.080000000002</v>
      </c>
      <c r="X21" s="1377">
        <f t="shared" si="12"/>
        <v>0</v>
      </c>
      <c r="Y21" s="1377">
        <f t="shared" si="13"/>
        <v>0</v>
      </c>
      <c r="Z21" s="1074"/>
      <c r="AA21" s="1075"/>
      <c r="AB21" s="1075"/>
      <c r="AC21" s="1075"/>
      <c r="AD21" s="1075"/>
      <c r="AE21" s="1077">
        <f t="shared" si="14"/>
        <v>0</v>
      </c>
      <c r="AF21" s="1377">
        <f t="shared" si="15"/>
        <v>0</v>
      </c>
      <c r="AG21" s="1377">
        <f t="shared" si="16"/>
        <v>0</v>
      </c>
      <c r="AH21" s="1078">
        <v>0</v>
      </c>
      <c r="AI21" s="1079">
        <v>11110.25</v>
      </c>
      <c r="AJ21" s="1079">
        <v>0</v>
      </c>
      <c r="AK21" s="1079">
        <v>0</v>
      </c>
      <c r="AL21" s="1079">
        <v>0</v>
      </c>
      <c r="AM21" s="1080">
        <f t="shared" si="17"/>
        <v>11110.25</v>
      </c>
      <c r="AN21" s="1080">
        <f t="shared" si="18"/>
        <v>0</v>
      </c>
      <c r="AO21" s="1080">
        <f t="shared" si="19"/>
        <v>0</v>
      </c>
      <c r="AP21" s="1700"/>
      <c r="AQ21" s="1700"/>
      <c r="AR21" s="1700"/>
      <c r="AS21" s="1700"/>
      <c r="AT21" s="1700"/>
      <c r="AU21" s="1700">
        <f t="shared" si="20"/>
        <v>0</v>
      </c>
      <c r="AV21" s="1700">
        <f t="shared" si="21"/>
        <v>0</v>
      </c>
      <c r="AW21" s="1700">
        <f t="shared" si="22"/>
        <v>0</v>
      </c>
    </row>
    <row r="22" spans="1:49" s="237" customFormat="1" x14ac:dyDescent="0.2">
      <c r="A22" s="1070" t="s">
        <v>46</v>
      </c>
      <c r="B22" s="1071" t="s">
        <v>47</v>
      </c>
      <c r="C22" s="103" t="s">
        <v>268</v>
      </c>
      <c r="D22" s="1072">
        <f t="shared" si="2"/>
        <v>423025.6</v>
      </c>
      <c r="E22" s="1072">
        <f t="shared" si="3"/>
        <v>518010.6</v>
      </c>
      <c r="F22" s="1072">
        <f t="shared" si="4"/>
        <v>0</v>
      </c>
      <c r="G22" s="1073">
        <f t="shared" si="5"/>
        <v>0.01</v>
      </c>
      <c r="H22" s="1073">
        <f t="shared" si="6"/>
        <v>0.01</v>
      </c>
      <c r="I22" s="1378">
        <f t="shared" si="7"/>
        <v>941036.21</v>
      </c>
      <c r="J22" s="1074">
        <v>220050.1</v>
      </c>
      <c r="K22" s="1075">
        <v>220050.1</v>
      </c>
      <c r="L22" s="1075">
        <v>0</v>
      </c>
      <c r="M22" s="1075">
        <v>0.01</v>
      </c>
      <c r="N22" s="1075">
        <v>0</v>
      </c>
      <c r="O22" s="1076">
        <f t="shared" si="8"/>
        <v>440100.21</v>
      </c>
      <c r="P22" s="1377">
        <f t="shared" si="9"/>
        <v>0.01</v>
      </c>
      <c r="Q22" s="1377">
        <f t="shared" si="10"/>
        <v>0.01</v>
      </c>
      <c r="R22" s="1074">
        <v>202827</v>
      </c>
      <c r="S22" s="1075">
        <v>202827</v>
      </c>
      <c r="T22" s="1075">
        <v>0</v>
      </c>
      <c r="U22" s="1075">
        <v>0</v>
      </c>
      <c r="V22" s="1075">
        <v>0</v>
      </c>
      <c r="W22" s="1077">
        <f t="shared" si="11"/>
        <v>405654</v>
      </c>
      <c r="X22" s="1377">
        <f t="shared" si="12"/>
        <v>0</v>
      </c>
      <c r="Y22" s="1377">
        <f t="shared" si="13"/>
        <v>0</v>
      </c>
      <c r="Z22" s="1074"/>
      <c r="AA22" s="1075"/>
      <c r="AB22" s="1075"/>
      <c r="AC22" s="1075"/>
      <c r="AD22" s="1075"/>
      <c r="AE22" s="1077">
        <f t="shared" si="14"/>
        <v>0</v>
      </c>
      <c r="AF22" s="1377">
        <f t="shared" si="15"/>
        <v>0</v>
      </c>
      <c r="AG22" s="1377">
        <f t="shared" si="16"/>
        <v>0</v>
      </c>
      <c r="AH22" s="1078">
        <v>148.5</v>
      </c>
      <c r="AI22" s="1079">
        <v>95133.5</v>
      </c>
      <c r="AJ22" s="1079">
        <v>0</v>
      </c>
      <c r="AK22" s="1079">
        <v>0</v>
      </c>
      <c r="AL22" s="1079">
        <v>0</v>
      </c>
      <c r="AM22" s="1080">
        <f t="shared" si="17"/>
        <v>95282</v>
      </c>
      <c r="AN22" s="1080">
        <f t="shared" si="18"/>
        <v>0</v>
      </c>
      <c r="AO22" s="1080">
        <f t="shared" si="19"/>
        <v>0</v>
      </c>
      <c r="AP22" s="1700"/>
      <c r="AQ22" s="1700"/>
      <c r="AR22" s="1700"/>
      <c r="AS22" s="1700"/>
      <c r="AT22" s="1700"/>
      <c r="AU22" s="1700">
        <f t="shared" si="20"/>
        <v>0</v>
      </c>
      <c r="AV22" s="1700">
        <f t="shared" si="21"/>
        <v>0</v>
      </c>
      <c r="AW22" s="1700">
        <f t="shared" si="22"/>
        <v>0</v>
      </c>
    </row>
    <row r="23" spans="1:49" s="237" customFormat="1" x14ac:dyDescent="0.2">
      <c r="A23" s="1070" t="s">
        <v>48</v>
      </c>
      <c r="B23" s="1071" t="s">
        <v>269</v>
      </c>
      <c r="C23" s="103" t="s">
        <v>266</v>
      </c>
      <c r="D23" s="1072">
        <f t="shared" si="2"/>
        <v>4732.6499999999996</v>
      </c>
      <c r="E23" s="1072">
        <f t="shared" si="3"/>
        <v>12756.35</v>
      </c>
      <c r="F23" s="1072">
        <f t="shared" si="4"/>
        <v>0</v>
      </c>
      <c r="G23" s="1073">
        <f t="shared" si="5"/>
        <v>0</v>
      </c>
      <c r="H23" s="1073">
        <f t="shared" si="6"/>
        <v>0</v>
      </c>
      <c r="I23" s="1378">
        <f t="shared" si="7"/>
        <v>17489</v>
      </c>
      <c r="J23" s="1078"/>
      <c r="K23" s="1079"/>
      <c r="L23" s="1079"/>
      <c r="M23" s="1079"/>
      <c r="N23" s="1079"/>
      <c r="O23" s="1076">
        <f t="shared" si="8"/>
        <v>0</v>
      </c>
      <c r="P23" s="1377">
        <f t="shared" si="9"/>
        <v>0</v>
      </c>
      <c r="Q23" s="1377">
        <f t="shared" si="10"/>
        <v>0</v>
      </c>
      <c r="R23" s="1074">
        <v>3246</v>
      </c>
      <c r="S23" s="1075">
        <v>3246</v>
      </c>
      <c r="T23" s="1075">
        <v>0</v>
      </c>
      <c r="U23" s="1075">
        <v>0</v>
      </c>
      <c r="V23" s="1075">
        <v>0</v>
      </c>
      <c r="W23" s="1077">
        <f t="shared" si="11"/>
        <v>6492</v>
      </c>
      <c r="X23" s="1377">
        <f t="shared" si="12"/>
        <v>0</v>
      </c>
      <c r="Y23" s="1377">
        <f t="shared" si="13"/>
        <v>0</v>
      </c>
      <c r="Z23" s="1074"/>
      <c r="AA23" s="1075"/>
      <c r="AB23" s="1075"/>
      <c r="AC23" s="1075"/>
      <c r="AD23" s="1075"/>
      <c r="AE23" s="1077">
        <f t="shared" si="14"/>
        <v>0</v>
      </c>
      <c r="AF23" s="1377">
        <f t="shared" si="15"/>
        <v>0</v>
      </c>
      <c r="AG23" s="1377">
        <f t="shared" si="16"/>
        <v>0</v>
      </c>
      <c r="AH23" s="1078">
        <v>1486.65</v>
      </c>
      <c r="AI23" s="1079">
        <v>9510.35</v>
      </c>
      <c r="AJ23" s="1079">
        <v>0</v>
      </c>
      <c r="AK23" s="1079">
        <v>0</v>
      </c>
      <c r="AL23" s="1079">
        <v>0</v>
      </c>
      <c r="AM23" s="1080">
        <f t="shared" si="17"/>
        <v>10997</v>
      </c>
      <c r="AN23" s="1080">
        <f t="shared" si="18"/>
        <v>0</v>
      </c>
      <c r="AO23" s="1080">
        <f t="shared" si="19"/>
        <v>0</v>
      </c>
      <c r="AP23" s="1700"/>
      <c r="AQ23" s="1700"/>
      <c r="AR23" s="1700"/>
      <c r="AS23" s="1700"/>
      <c r="AT23" s="1700"/>
      <c r="AU23" s="1700">
        <f t="shared" si="20"/>
        <v>0</v>
      </c>
      <c r="AV23" s="1700">
        <f t="shared" si="21"/>
        <v>0</v>
      </c>
      <c r="AW23" s="1700">
        <f t="shared" si="22"/>
        <v>0</v>
      </c>
    </row>
    <row r="24" spans="1:49" s="237" customFormat="1" x14ac:dyDescent="0.2">
      <c r="A24" s="1070" t="s">
        <v>50</v>
      </c>
      <c r="B24" s="1071" t="s">
        <v>51</v>
      </c>
      <c r="C24" s="103" t="s">
        <v>265</v>
      </c>
      <c r="D24" s="1072">
        <f t="shared" si="2"/>
        <v>210302.69</v>
      </c>
      <c r="E24" s="1072">
        <f t="shared" si="3"/>
        <v>210302.69</v>
      </c>
      <c r="F24" s="1072">
        <f t="shared" si="4"/>
        <v>0</v>
      </c>
      <c r="G24" s="1073">
        <f t="shared" si="5"/>
        <v>-0.13999999999999999</v>
      </c>
      <c r="H24" s="1073">
        <f t="shared" si="6"/>
        <v>-0.13999999999999999</v>
      </c>
      <c r="I24" s="1378">
        <f t="shared" si="7"/>
        <v>420605.24</v>
      </c>
      <c r="J24" s="1074">
        <v>76865.429999999993</v>
      </c>
      <c r="K24" s="1075">
        <v>76865.429999999993</v>
      </c>
      <c r="L24" s="1075">
        <v>0</v>
      </c>
      <c r="M24" s="1075">
        <v>-0.12</v>
      </c>
      <c r="N24" s="1075">
        <v>0</v>
      </c>
      <c r="O24" s="1076">
        <f t="shared" si="8"/>
        <v>153730.74</v>
      </c>
      <c r="P24" s="1377">
        <f t="shared" si="9"/>
        <v>-0.12</v>
      </c>
      <c r="Q24" s="1377">
        <f t="shared" si="10"/>
        <v>-0.12</v>
      </c>
      <c r="R24" s="1074">
        <v>133437.26</v>
      </c>
      <c r="S24" s="1075">
        <v>133437.26</v>
      </c>
      <c r="T24" s="1075">
        <v>0</v>
      </c>
      <c r="U24" s="1075">
        <v>-0.02</v>
      </c>
      <c r="V24" s="1075">
        <v>0</v>
      </c>
      <c r="W24" s="1077">
        <f t="shared" si="11"/>
        <v>266874.5</v>
      </c>
      <c r="X24" s="1377">
        <f t="shared" si="12"/>
        <v>-0.02</v>
      </c>
      <c r="Y24" s="1377">
        <f t="shared" si="13"/>
        <v>-0.02</v>
      </c>
      <c r="Z24" s="1078"/>
      <c r="AA24" s="1079"/>
      <c r="AB24" s="1079"/>
      <c r="AC24" s="1079"/>
      <c r="AD24" s="1079"/>
      <c r="AE24" s="1077">
        <f t="shared" si="14"/>
        <v>0</v>
      </c>
      <c r="AF24" s="1377">
        <f t="shared" si="15"/>
        <v>0</v>
      </c>
      <c r="AG24" s="1377">
        <f t="shared" si="16"/>
        <v>0</v>
      </c>
      <c r="AH24" s="1078"/>
      <c r="AI24" s="1079"/>
      <c r="AJ24" s="1079"/>
      <c r="AK24" s="1079"/>
      <c r="AL24" s="1079"/>
      <c r="AM24" s="1080">
        <f t="shared" si="17"/>
        <v>0</v>
      </c>
      <c r="AN24" s="1080">
        <f t="shared" si="18"/>
        <v>0</v>
      </c>
      <c r="AO24" s="1080">
        <f t="shared" si="19"/>
        <v>0</v>
      </c>
      <c r="AP24" s="1700"/>
      <c r="AQ24" s="1700"/>
      <c r="AR24" s="1700"/>
      <c r="AS24" s="1700"/>
      <c r="AT24" s="1700"/>
      <c r="AU24" s="1700">
        <f t="shared" si="20"/>
        <v>0</v>
      </c>
      <c r="AV24" s="1700">
        <f t="shared" si="21"/>
        <v>0</v>
      </c>
      <c r="AW24" s="1700">
        <f t="shared" si="22"/>
        <v>0</v>
      </c>
    </row>
    <row r="25" spans="1:49" s="237" customFormat="1" x14ac:dyDescent="0.2">
      <c r="A25" s="1070" t="s">
        <v>56</v>
      </c>
      <c r="B25" s="1071" t="s">
        <v>295</v>
      </c>
      <c r="C25" s="103" t="s">
        <v>266</v>
      </c>
      <c r="D25" s="1072">
        <f t="shared" si="2"/>
        <v>1392626.14</v>
      </c>
      <c r="E25" s="1072">
        <f t="shared" si="3"/>
        <v>1849738.99</v>
      </c>
      <c r="F25" s="1072">
        <f t="shared" si="4"/>
        <v>0</v>
      </c>
      <c r="G25" s="1073">
        <f t="shared" si="5"/>
        <v>-0.33999999999999997</v>
      </c>
      <c r="H25" s="1073">
        <f t="shared" si="6"/>
        <v>-0.33999999999999997</v>
      </c>
      <c r="I25" s="1378">
        <f t="shared" si="7"/>
        <v>3242364.79</v>
      </c>
      <c r="J25" s="1074">
        <v>427710.71</v>
      </c>
      <c r="K25" s="1075">
        <v>427710.71</v>
      </c>
      <c r="L25" s="1075">
        <v>0</v>
      </c>
      <c r="M25" s="1075">
        <v>-0.31</v>
      </c>
      <c r="N25" s="1075">
        <v>0</v>
      </c>
      <c r="O25" s="1076">
        <f t="shared" si="8"/>
        <v>855421.11</v>
      </c>
      <c r="P25" s="1377">
        <f t="shared" si="9"/>
        <v>-0.31</v>
      </c>
      <c r="Q25" s="1377">
        <f t="shared" si="10"/>
        <v>-0.31</v>
      </c>
      <c r="R25" s="1074">
        <v>868732.24</v>
      </c>
      <c r="S25" s="1075">
        <v>868732.24</v>
      </c>
      <c r="T25" s="1075">
        <v>0</v>
      </c>
      <c r="U25" s="1075">
        <v>-0.03</v>
      </c>
      <c r="V25" s="1075">
        <v>0</v>
      </c>
      <c r="W25" s="1077">
        <f t="shared" si="11"/>
        <v>1737464.45</v>
      </c>
      <c r="X25" s="1377">
        <f t="shared" si="12"/>
        <v>-0.03</v>
      </c>
      <c r="Y25" s="1377">
        <f t="shared" si="13"/>
        <v>-0.03</v>
      </c>
      <c r="Z25" s="1074"/>
      <c r="AA25" s="1075"/>
      <c r="AB25" s="1075"/>
      <c r="AC25" s="1075"/>
      <c r="AD25" s="1075"/>
      <c r="AE25" s="1077">
        <f t="shared" si="14"/>
        <v>0</v>
      </c>
      <c r="AF25" s="1377">
        <f t="shared" si="15"/>
        <v>0</v>
      </c>
      <c r="AG25" s="1377">
        <f t="shared" si="16"/>
        <v>0</v>
      </c>
      <c r="AH25" s="1078">
        <v>96183.189999999988</v>
      </c>
      <c r="AI25" s="1079">
        <v>553296.04</v>
      </c>
      <c r="AJ25" s="1079">
        <v>0</v>
      </c>
      <c r="AK25" s="1079">
        <v>0</v>
      </c>
      <c r="AL25" s="1079">
        <v>0</v>
      </c>
      <c r="AM25" s="1080">
        <f t="shared" si="17"/>
        <v>649479.23</v>
      </c>
      <c r="AN25" s="1080">
        <f t="shared" si="18"/>
        <v>0</v>
      </c>
      <c r="AO25" s="1080">
        <f t="shared" si="19"/>
        <v>0</v>
      </c>
      <c r="AP25" s="1700"/>
      <c r="AQ25" s="1700"/>
      <c r="AR25" s="1700"/>
      <c r="AS25" s="1700"/>
      <c r="AT25" s="1700"/>
      <c r="AU25" s="1700">
        <f t="shared" si="20"/>
        <v>0</v>
      </c>
      <c r="AV25" s="1700">
        <f t="shared" si="21"/>
        <v>0</v>
      </c>
      <c r="AW25" s="1700">
        <f t="shared" si="22"/>
        <v>0</v>
      </c>
    </row>
    <row r="26" spans="1:49" s="237" customFormat="1" x14ac:dyDescent="0.2">
      <c r="A26" s="1070" t="s">
        <v>58</v>
      </c>
      <c r="B26" s="1071" t="s">
        <v>59</v>
      </c>
      <c r="C26" s="103" t="s">
        <v>267</v>
      </c>
      <c r="D26" s="1072">
        <f t="shared" si="2"/>
        <v>63315.31</v>
      </c>
      <c r="E26" s="1072">
        <f t="shared" si="3"/>
        <v>131572.21</v>
      </c>
      <c r="F26" s="1072">
        <f t="shared" si="4"/>
        <v>0</v>
      </c>
      <c r="G26" s="1073">
        <f t="shared" si="5"/>
        <v>7.86</v>
      </c>
      <c r="H26" s="1073">
        <f t="shared" si="6"/>
        <v>7.86</v>
      </c>
      <c r="I26" s="1378">
        <f t="shared" si="7"/>
        <v>194895.37999999998</v>
      </c>
      <c r="J26" s="1074">
        <v>31529.26</v>
      </c>
      <c r="K26" s="1075">
        <v>31529.26</v>
      </c>
      <c r="L26" s="1075">
        <v>0</v>
      </c>
      <c r="M26" s="1075">
        <v>7.86</v>
      </c>
      <c r="N26" s="1075">
        <v>0</v>
      </c>
      <c r="O26" s="1076">
        <f t="shared" si="8"/>
        <v>63066.38</v>
      </c>
      <c r="P26" s="1377">
        <f t="shared" si="9"/>
        <v>7.86</v>
      </c>
      <c r="Q26" s="1377">
        <f t="shared" si="10"/>
        <v>7.86</v>
      </c>
      <c r="R26" s="1074">
        <v>23574</v>
      </c>
      <c r="S26" s="1075">
        <v>23574</v>
      </c>
      <c r="T26" s="1075">
        <v>0</v>
      </c>
      <c r="U26" s="1075">
        <v>0</v>
      </c>
      <c r="V26" s="1075">
        <v>0</v>
      </c>
      <c r="W26" s="1077">
        <f t="shared" si="11"/>
        <v>47148</v>
      </c>
      <c r="X26" s="1377">
        <f t="shared" si="12"/>
        <v>0</v>
      </c>
      <c r="Y26" s="1377">
        <f t="shared" si="13"/>
        <v>0</v>
      </c>
      <c r="Z26" s="1074"/>
      <c r="AA26" s="1075"/>
      <c r="AB26" s="1075"/>
      <c r="AC26" s="1075"/>
      <c r="AD26" s="1075"/>
      <c r="AE26" s="1077">
        <f t="shared" si="14"/>
        <v>0</v>
      </c>
      <c r="AF26" s="1377">
        <f t="shared" si="15"/>
        <v>0</v>
      </c>
      <c r="AG26" s="1377">
        <f t="shared" si="16"/>
        <v>0</v>
      </c>
      <c r="AH26" s="1078">
        <v>8212.0499999999993</v>
      </c>
      <c r="AI26" s="1079">
        <v>76468.95</v>
      </c>
      <c r="AJ26" s="1079">
        <v>0</v>
      </c>
      <c r="AK26" s="1079">
        <v>0</v>
      </c>
      <c r="AL26" s="1079">
        <v>0</v>
      </c>
      <c r="AM26" s="1080">
        <f t="shared" si="17"/>
        <v>84681</v>
      </c>
      <c r="AN26" s="1080">
        <f t="shared" si="18"/>
        <v>0</v>
      </c>
      <c r="AO26" s="1080">
        <f t="shared" si="19"/>
        <v>0</v>
      </c>
      <c r="AP26" s="1700"/>
      <c r="AQ26" s="1700"/>
      <c r="AR26" s="1700"/>
      <c r="AS26" s="1700"/>
      <c r="AT26" s="1700"/>
      <c r="AU26" s="1700">
        <f t="shared" si="20"/>
        <v>0</v>
      </c>
      <c r="AV26" s="1700">
        <f t="shared" si="21"/>
        <v>0</v>
      </c>
      <c r="AW26" s="1700">
        <f t="shared" si="22"/>
        <v>0</v>
      </c>
    </row>
    <row r="27" spans="1:49" s="237" customFormat="1" x14ac:dyDescent="0.2">
      <c r="A27" s="1070" t="s">
        <v>60</v>
      </c>
      <c r="B27" s="1071" t="s">
        <v>61</v>
      </c>
      <c r="C27" s="103" t="s">
        <v>265</v>
      </c>
      <c r="D27" s="1072">
        <f t="shared" si="2"/>
        <v>30595.59</v>
      </c>
      <c r="E27" s="1072">
        <f t="shared" si="3"/>
        <v>47088.869999999995</v>
      </c>
      <c r="F27" s="1072">
        <f t="shared" si="4"/>
        <v>0</v>
      </c>
      <c r="G27" s="1073">
        <f t="shared" si="5"/>
        <v>-0.08</v>
      </c>
      <c r="H27" s="1073">
        <f t="shared" si="6"/>
        <v>-0.08</v>
      </c>
      <c r="I27" s="1378">
        <f t="shared" si="7"/>
        <v>77684.37999999999</v>
      </c>
      <c r="J27" s="1074">
        <v>21608.23</v>
      </c>
      <c r="K27" s="1075">
        <v>21608.23</v>
      </c>
      <c r="L27" s="1075">
        <v>0</v>
      </c>
      <c r="M27" s="1075">
        <v>-0.08</v>
      </c>
      <c r="N27" s="1075">
        <v>0</v>
      </c>
      <c r="O27" s="1076">
        <f t="shared" si="8"/>
        <v>43216.38</v>
      </c>
      <c r="P27" s="1377">
        <f t="shared" si="9"/>
        <v>-0.08</v>
      </c>
      <c r="Q27" s="1377">
        <f t="shared" si="10"/>
        <v>-0.08</v>
      </c>
      <c r="R27" s="1074">
        <v>8792</v>
      </c>
      <c r="S27" s="1075">
        <v>8792</v>
      </c>
      <c r="T27" s="1075">
        <v>0</v>
      </c>
      <c r="U27" s="1075">
        <v>0</v>
      </c>
      <c r="V27" s="1075">
        <v>0</v>
      </c>
      <c r="W27" s="1077">
        <f t="shared" si="11"/>
        <v>17584</v>
      </c>
      <c r="X27" s="1377">
        <f t="shared" si="12"/>
        <v>0</v>
      </c>
      <c r="Y27" s="1377">
        <f t="shared" si="13"/>
        <v>0</v>
      </c>
      <c r="Z27" s="1074"/>
      <c r="AA27" s="1075"/>
      <c r="AB27" s="1075"/>
      <c r="AC27" s="1075"/>
      <c r="AD27" s="1075"/>
      <c r="AE27" s="1077">
        <f t="shared" si="14"/>
        <v>0</v>
      </c>
      <c r="AF27" s="1377">
        <f t="shared" si="15"/>
        <v>0</v>
      </c>
      <c r="AG27" s="1377">
        <f t="shared" si="16"/>
        <v>0</v>
      </c>
      <c r="AH27" s="1078">
        <v>195.36</v>
      </c>
      <c r="AI27" s="1079">
        <v>16688.64</v>
      </c>
      <c r="AJ27" s="1079">
        <v>0</v>
      </c>
      <c r="AK27" s="1079">
        <v>0</v>
      </c>
      <c r="AL27" s="1079">
        <v>0</v>
      </c>
      <c r="AM27" s="1080">
        <f t="shared" si="17"/>
        <v>16884</v>
      </c>
      <c r="AN27" s="1080">
        <f t="shared" si="18"/>
        <v>0</v>
      </c>
      <c r="AO27" s="1080">
        <f t="shared" si="19"/>
        <v>0</v>
      </c>
      <c r="AP27" s="1700"/>
      <c r="AQ27" s="1700"/>
      <c r="AR27" s="1700"/>
      <c r="AS27" s="1700"/>
      <c r="AT27" s="1700"/>
      <c r="AU27" s="1700">
        <f t="shared" si="20"/>
        <v>0</v>
      </c>
      <c r="AV27" s="1700">
        <f t="shared" si="21"/>
        <v>0</v>
      </c>
      <c r="AW27" s="1700">
        <f t="shared" si="22"/>
        <v>0</v>
      </c>
    </row>
    <row r="28" spans="1:49" s="237" customFormat="1" x14ac:dyDescent="0.2">
      <c r="A28" s="1070" t="s">
        <v>62</v>
      </c>
      <c r="B28" s="1071" t="s">
        <v>63</v>
      </c>
      <c r="C28" s="103" t="s">
        <v>267</v>
      </c>
      <c r="D28" s="1072">
        <f t="shared" si="2"/>
        <v>1170874.1499999999</v>
      </c>
      <c r="E28" s="1072">
        <f t="shared" si="3"/>
        <v>1447379.88</v>
      </c>
      <c r="F28" s="1072">
        <f t="shared" si="4"/>
        <v>0</v>
      </c>
      <c r="G28" s="1073">
        <f t="shared" si="5"/>
        <v>-0.43000000000000005</v>
      </c>
      <c r="H28" s="1073">
        <f t="shared" si="6"/>
        <v>-0.43000000000000005</v>
      </c>
      <c r="I28" s="1378">
        <f t="shared" si="7"/>
        <v>2618253.5999999996</v>
      </c>
      <c r="J28" s="1074">
        <v>505844.91</v>
      </c>
      <c r="K28" s="1075">
        <v>505844.91</v>
      </c>
      <c r="L28" s="1075">
        <v>0</v>
      </c>
      <c r="M28" s="1075">
        <v>-0.4</v>
      </c>
      <c r="N28" s="1075">
        <v>0</v>
      </c>
      <c r="O28" s="1076">
        <f t="shared" si="8"/>
        <v>1011689.4199999999</v>
      </c>
      <c r="P28" s="1377">
        <f t="shared" si="9"/>
        <v>-0.4</v>
      </c>
      <c r="Q28" s="1377">
        <f t="shared" si="10"/>
        <v>-0.4</v>
      </c>
      <c r="R28" s="1074">
        <v>581421.11</v>
      </c>
      <c r="S28" s="1075">
        <v>581421.11</v>
      </c>
      <c r="T28" s="1075">
        <v>0</v>
      </c>
      <c r="U28" s="1075">
        <v>-0.02</v>
      </c>
      <c r="V28" s="1075">
        <v>0</v>
      </c>
      <c r="W28" s="1077">
        <f t="shared" si="11"/>
        <v>1162842.2</v>
      </c>
      <c r="X28" s="1377">
        <f t="shared" si="12"/>
        <v>-0.02</v>
      </c>
      <c r="Y28" s="1377">
        <f t="shared" si="13"/>
        <v>-0.02</v>
      </c>
      <c r="Z28" s="1074"/>
      <c r="AA28" s="1075"/>
      <c r="AB28" s="1075"/>
      <c r="AC28" s="1075"/>
      <c r="AD28" s="1075"/>
      <c r="AE28" s="1077">
        <f t="shared" si="14"/>
        <v>0</v>
      </c>
      <c r="AF28" s="1377">
        <f t="shared" si="15"/>
        <v>0</v>
      </c>
      <c r="AG28" s="1377">
        <f t="shared" si="16"/>
        <v>0</v>
      </c>
      <c r="AH28" s="1078">
        <v>83608.13</v>
      </c>
      <c r="AI28" s="1079">
        <v>360113.86</v>
      </c>
      <c r="AJ28" s="1079">
        <v>0</v>
      </c>
      <c r="AK28" s="1079">
        <v>-0.01</v>
      </c>
      <c r="AL28" s="1079">
        <v>0</v>
      </c>
      <c r="AM28" s="1080">
        <f t="shared" si="17"/>
        <v>443721.98</v>
      </c>
      <c r="AN28" s="1080">
        <f t="shared" si="18"/>
        <v>-0.01</v>
      </c>
      <c r="AO28" s="1080">
        <f t="shared" si="19"/>
        <v>-0.01</v>
      </c>
      <c r="AP28" s="1700"/>
      <c r="AQ28" s="1700"/>
      <c r="AR28" s="1700"/>
      <c r="AS28" s="1700"/>
      <c r="AT28" s="1700"/>
      <c r="AU28" s="1700">
        <f t="shared" si="20"/>
        <v>0</v>
      </c>
      <c r="AV28" s="1700">
        <f t="shared" si="21"/>
        <v>0</v>
      </c>
      <c r="AW28" s="1700">
        <f t="shared" si="22"/>
        <v>0</v>
      </c>
    </row>
    <row r="29" spans="1:49" s="237" customFormat="1" x14ac:dyDescent="0.2">
      <c r="A29" s="1070" t="s">
        <v>64</v>
      </c>
      <c r="B29" s="1071" t="s">
        <v>65</v>
      </c>
      <c r="C29" s="103" t="s">
        <v>266</v>
      </c>
      <c r="D29" s="1072">
        <f t="shared" si="2"/>
        <v>63363.979999999996</v>
      </c>
      <c r="E29" s="1072">
        <f t="shared" si="3"/>
        <v>71595.98</v>
      </c>
      <c r="F29" s="1072">
        <f t="shared" si="4"/>
        <v>0</v>
      </c>
      <c r="G29" s="1073">
        <f t="shared" si="5"/>
        <v>-0.02</v>
      </c>
      <c r="H29" s="1073">
        <f t="shared" si="6"/>
        <v>-0.02</v>
      </c>
      <c r="I29" s="1378">
        <f t="shared" si="7"/>
        <v>134959.94</v>
      </c>
      <c r="J29" s="1074">
        <v>21172.48</v>
      </c>
      <c r="K29" s="1075">
        <v>21172.48</v>
      </c>
      <c r="L29" s="1075">
        <v>0</v>
      </c>
      <c r="M29" s="1075">
        <v>-0.02</v>
      </c>
      <c r="N29" s="1075">
        <v>0</v>
      </c>
      <c r="O29" s="1076">
        <f t="shared" si="8"/>
        <v>42344.94</v>
      </c>
      <c r="P29" s="1377">
        <f t="shared" si="9"/>
        <v>-0.02</v>
      </c>
      <c r="Q29" s="1377">
        <f t="shared" si="10"/>
        <v>-0.02</v>
      </c>
      <c r="R29" s="1074">
        <v>42191.5</v>
      </c>
      <c r="S29" s="1075">
        <v>42191.5</v>
      </c>
      <c r="T29" s="1075">
        <v>0</v>
      </c>
      <c r="U29" s="1075">
        <v>0</v>
      </c>
      <c r="V29" s="1075">
        <v>0</v>
      </c>
      <c r="W29" s="1077">
        <f t="shared" si="11"/>
        <v>84383</v>
      </c>
      <c r="X29" s="1377">
        <f t="shared" si="12"/>
        <v>0</v>
      </c>
      <c r="Y29" s="1377">
        <f t="shared" si="13"/>
        <v>0</v>
      </c>
      <c r="Z29" s="1078"/>
      <c r="AA29" s="1079"/>
      <c r="AB29" s="1079"/>
      <c r="AC29" s="1079"/>
      <c r="AD29" s="1079"/>
      <c r="AE29" s="1077">
        <f t="shared" si="14"/>
        <v>0</v>
      </c>
      <c r="AF29" s="1377">
        <f t="shared" si="15"/>
        <v>0</v>
      </c>
      <c r="AG29" s="1377">
        <f t="shared" si="16"/>
        <v>0</v>
      </c>
      <c r="AH29" s="1078">
        <v>0</v>
      </c>
      <c r="AI29" s="1079">
        <v>8232</v>
      </c>
      <c r="AJ29" s="1079">
        <v>0</v>
      </c>
      <c r="AK29" s="1079">
        <v>0</v>
      </c>
      <c r="AL29" s="1079">
        <v>0</v>
      </c>
      <c r="AM29" s="1080">
        <f t="shared" si="17"/>
        <v>8232</v>
      </c>
      <c r="AN29" s="1080">
        <f t="shared" si="18"/>
        <v>0</v>
      </c>
      <c r="AO29" s="1080">
        <f t="shared" si="19"/>
        <v>0</v>
      </c>
      <c r="AP29" s="1700"/>
      <c r="AQ29" s="1700"/>
      <c r="AR29" s="1700"/>
      <c r="AS29" s="1700"/>
      <c r="AT29" s="1700"/>
      <c r="AU29" s="1700">
        <f t="shared" si="20"/>
        <v>0</v>
      </c>
      <c r="AV29" s="1700">
        <f t="shared" si="21"/>
        <v>0</v>
      </c>
      <c r="AW29" s="1700">
        <f t="shared" si="22"/>
        <v>0</v>
      </c>
    </row>
    <row r="30" spans="1:49" s="237" customFormat="1" x14ac:dyDescent="0.2">
      <c r="A30" s="1070" t="s">
        <v>68</v>
      </c>
      <c r="B30" s="1071" t="s">
        <v>69</v>
      </c>
      <c r="C30" s="103" t="s">
        <v>268</v>
      </c>
      <c r="D30" s="1072">
        <f t="shared" si="2"/>
        <v>750293.69</v>
      </c>
      <c r="E30" s="1072">
        <f t="shared" si="3"/>
        <v>1127077.98</v>
      </c>
      <c r="F30" s="1072">
        <f t="shared" si="4"/>
        <v>0</v>
      </c>
      <c r="G30" s="1073">
        <f t="shared" si="5"/>
        <v>461.64</v>
      </c>
      <c r="H30" s="1073">
        <f t="shared" si="6"/>
        <v>461.64</v>
      </c>
      <c r="I30" s="1378">
        <f t="shared" si="7"/>
        <v>1877833.3099999998</v>
      </c>
      <c r="J30" s="1074">
        <v>186941.15</v>
      </c>
      <c r="K30" s="1075">
        <v>186941.15</v>
      </c>
      <c r="L30" s="1075">
        <v>0</v>
      </c>
      <c r="M30" s="1075">
        <v>-0.3</v>
      </c>
      <c r="N30" s="1075">
        <v>0</v>
      </c>
      <c r="O30" s="1076">
        <f t="shared" si="8"/>
        <v>373882</v>
      </c>
      <c r="P30" s="1377">
        <f t="shared" si="9"/>
        <v>-0.3</v>
      </c>
      <c r="Q30" s="1377">
        <f t="shared" si="10"/>
        <v>-0.3</v>
      </c>
      <c r="R30" s="1074">
        <v>507921.34</v>
      </c>
      <c r="S30" s="1075">
        <v>507921.34</v>
      </c>
      <c r="T30" s="1075">
        <v>0</v>
      </c>
      <c r="U30" s="1075">
        <v>461.99</v>
      </c>
      <c r="V30" s="1075">
        <v>0</v>
      </c>
      <c r="W30" s="1077">
        <f t="shared" si="11"/>
        <v>1016304.67</v>
      </c>
      <c r="X30" s="1377">
        <f t="shared" si="12"/>
        <v>461.99</v>
      </c>
      <c r="Y30" s="1377">
        <f t="shared" si="13"/>
        <v>461.99</v>
      </c>
      <c r="Z30" s="1074"/>
      <c r="AA30" s="1075"/>
      <c r="AB30" s="1075"/>
      <c r="AC30" s="1075"/>
      <c r="AD30" s="1075"/>
      <c r="AE30" s="1077">
        <f t="shared" si="14"/>
        <v>0</v>
      </c>
      <c r="AF30" s="1377">
        <f t="shared" si="15"/>
        <v>0</v>
      </c>
      <c r="AG30" s="1377">
        <f t="shared" si="16"/>
        <v>0</v>
      </c>
      <c r="AH30" s="1078">
        <v>55431.199999999997</v>
      </c>
      <c r="AI30" s="1079">
        <v>432215.49</v>
      </c>
      <c r="AJ30" s="1079">
        <v>0</v>
      </c>
      <c r="AK30" s="1079">
        <v>-0.05</v>
      </c>
      <c r="AL30" s="1079">
        <v>0</v>
      </c>
      <c r="AM30" s="1080">
        <f t="shared" si="17"/>
        <v>487646.64</v>
      </c>
      <c r="AN30" s="1080">
        <f t="shared" si="18"/>
        <v>-0.05</v>
      </c>
      <c r="AO30" s="1080">
        <f t="shared" si="19"/>
        <v>-0.05</v>
      </c>
      <c r="AP30" s="1700"/>
      <c r="AQ30" s="1700"/>
      <c r="AR30" s="1700"/>
      <c r="AS30" s="1700"/>
      <c r="AT30" s="1700"/>
      <c r="AU30" s="1700">
        <f t="shared" si="20"/>
        <v>0</v>
      </c>
      <c r="AV30" s="1700">
        <f t="shared" si="21"/>
        <v>0</v>
      </c>
      <c r="AW30" s="1700">
        <f t="shared" si="22"/>
        <v>0</v>
      </c>
    </row>
    <row r="31" spans="1:49" s="237" customFormat="1" x14ac:dyDescent="0.2">
      <c r="A31" s="1070" t="s">
        <v>70</v>
      </c>
      <c r="B31" s="1071" t="s">
        <v>71</v>
      </c>
      <c r="C31" s="103" t="s">
        <v>264</v>
      </c>
      <c r="D31" s="1072">
        <f t="shared" si="2"/>
        <v>197114.53</v>
      </c>
      <c r="E31" s="1072">
        <f t="shared" si="3"/>
        <v>206983.35</v>
      </c>
      <c r="F31" s="1072">
        <f t="shared" si="4"/>
        <v>0</v>
      </c>
      <c r="G31" s="1073">
        <f t="shared" si="5"/>
        <v>6595.6</v>
      </c>
      <c r="H31" s="1073">
        <f t="shared" si="6"/>
        <v>6595.6</v>
      </c>
      <c r="I31" s="1378">
        <f t="shared" si="7"/>
        <v>410693.48</v>
      </c>
      <c r="J31" s="1074">
        <v>91526.04</v>
      </c>
      <c r="K31" s="1075">
        <v>91526.04</v>
      </c>
      <c r="L31" s="1075">
        <v>0</v>
      </c>
      <c r="M31" s="1075">
        <v>6320.6</v>
      </c>
      <c r="N31" s="1075">
        <v>0</v>
      </c>
      <c r="O31" s="1076">
        <f t="shared" si="8"/>
        <v>189372.68</v>
      </c>
      <c r="P31" s="1377">
        <f t="shared" si="9"/>
        <v>6320.6</v>
      </c>
      <c r="Q31" s="1377">
        <f t="shared" si="10"/>
        <v>6320.6</v>
      </c>
      <c r="R31" s="1074">
        <v>103732.9</v>
      </c>
      <c r="S31" s="1075">
        <v>103732.9</v>
      </c>
      <c r="T31" s="1075">
        <v>0</v>
      </c>
      <c r="U31" s="1075">
        <v>0</v>
      </c>
      <c r="V31" s="1075">
        <v>0</v>
      </c>
      <c r="W31" s="1077">
        <f t="shared" si="11"/>
        <v>207465.8</v>
      </c>
      <c r="X31" s="1377">
        <f t="shared" si="12"/>
        <v>0</v>
      </c>
      <c r="Y31" s="1377">
        <f t="shared" si="13"/>
        <v>0</v>
      </c>
      <c r="Z31" s="1074"/>
      <c r="AA31" s="1075"/>
      <c r="AB31" s="1075"/>
      <c r="AC31" s="1075"/>
      <c r="AD31" s="1075"/>
      <c r="AE31" s="1077">
        <f t="shared" si="14"/>
        <v>0</v>
      </c>
      <c r="AF31" s="1377">
        <f t="shared" si="15"/>
        <v>0</v>
      </c>
      <c r="AG31" s="1377">
        <f t="shared" si="16"/>
        <v>0</v>
      </c>
      <c r="AH31" s="1078">
        <v>1855.59</v>
      </c>
      <c r="AI31" s="1079">
        <v>11724.41</v>
      </c>
      <c r="AJ31" s="1079">
        <v>0</v>
      </c>
      <c r="AK31" s="1079">
        <v>275</v>
      </c>
      <c r="AL31" s="1079">
        <v>0</v>
      </c>
      <c r="AM31" s="1080">
        <f t="shared" si="17"/>
        <v>13855</v>
      </c>
      <c r="AN31" s="1080">
        <f t="shared" si="18"/>
        <v>275</v>
      </c>
      <c r="AO31" s="1080">
        <f t="shared" si="19"/>
        <v>275</v>
      </c>
      <c r="AP31" s="1700"/>
      <c r="AQ31" s="1700"/>
      <c r="AR31" s="1700"/>
      <c r="AS31" s="1700"/>
      <c r="AT31" s="1700"/>
      <c r="AU31" s="1700">
        <f t="shared" si="20"/>
        <v>0</v>
      </c>
      <c r="AV31" s="1700">
        <f t="shared" si="21"/>
        <v>0</v>
      </c>
      <c r="AW31" s="1700">
        <f t="shared" si="22"/>
        <v>0</v>
      </c>
    </row>
    <row r="32" spans="1:49" s="237" customFormat="1" x14ac:dyDescent="0.2">
      <c r="A32" s="1070" t="s">
        <v>72</v>
      </c>
      <c r="B32" s="1071" t="s">
        <v>73</v>
      </c>
      <c r="C32" s="103" t="s">
        <v>266</v>
      </c>
      <c r="D32" s="1072">
        <f t="shared" si="2"/>
        <v>103316.69</v>
      </c>
      <c r="E32" s="1072">
        <f t="shared" si="3"/>
        <v>125244.65</v>
      </c>
      <c r="F32" s="1072">
        <f t="shared" si="4"/>
        <v>0</v>
      </c>
      <c r="G32" s="1073">
        <f t="shared" si="5"/>
        <v>91.179999999999993</v>
      </c>
      <c r="H32" s="1073">
        <f t="shared" si="6"/>
        <v>91.179999999999993</v>
      </c>
      <c r="I32" s="1378">
        <f t="shared" si="7"/>
        <v>228652.52</v>
      </c>
      <c r="J32" s="1074">
        <v>50829.77</v>
      </c>
      <c r="K32" s="1075">
        <v>50829.77</v>
      </c>
      <c r="L32" s="1075">
        <v>0</v>
      </c>
      <c r="M32" s="1075">
        <v>91.19</v>
      </c>
      <c r="N32" s="1075">
        <v>0</v>
      </c>
      <c r="O32" s="1076">
        <f t="shared" si="8"/>
        <v>101750.73</v>
      </c>
      <c r="P32" s="1377">
        <f t="shared" si="9"/>
        <v>91.19</v>
      </c>
      <c r="Q32" s="1377">
        <f t="shared" si="10"/>
        <v>91.19</v>
      </c>
      <c r="R32" s="1074">
        <v>52486.92</v>
      </c>
      <c r="S32" s="1075">
        <v>52486.92</v>
      </c>
      <c r="T32" s="1075">
        <v>0</v>
      </c>
      <c r="U32" s="1075">
        <v>-0.01</v>
      </c>
      <c r="V32" s="1075">
        <v>0</v>
      </c>
      <c r="W32" s="1077">
        <f t="shared" si="11"/>
        <v>104973.83</v>
      </c>
      <c r="X32" s="1377">
        <f t="shared" si="12"/>
        <v>-0.01</v>
      </c>
      <c r="Y32" s="1377">
        <f t="shared" si="13"/>
        <v>-0.01</v>
      </c>
      <c r="Z32" s="1074"/>
      <c r="AA32" s="1075"/>
      <c r="AB32" s="1075"/>
      <c r="AC32" s="1075"/>
      <c r="AD32" s="1075"/>
      <c r="AE32" s="1077">
        <f t="shared" si="14"/>
        <v>0</v>
      </c>
      <c r="AF32" s="1377">
        <f t="shared" si="15"/>
        <v>0</v>
      </c>
      <c r="AG32" s="1377">
        <f t="shared" si="16"/>
        <v>0</v>
      </c>
      <c r="AH32" s="1078">
        <v>0</v>
      </c>
      <c r="AI32" s="1079">
        <v>21927.96</v>
      </c>
      <c r="AJ32" s="1079">
        <v>0</v>
      </c>
      <c r="AK32" s="1079">
        <v>0</v>
      </c>
      <c r="AL32" s="1079">
        <v>0</v>
      </c>
      <c r="AM32" s="1080">
        <f t="shared" si="17"/>
        <v>21927.96</v>
      </c>
      <c r="AN32" s="1080">
        <f t="shared" si="18"/>
        <v>0</v>
      </c>
      <c r="AO32" s="1080">
        <f t="shared" si="19"/>
        <v>0</v>
      </c>
      <c r="AP32" s="1700"/>
      <c r="AQ32" s="1700"/>
      <c r="AR32" s="1700"/>
      <c r="AS32" s="1700"/>
      <c r="AT32" s="1700"/>
      <c r="AU32" s="1700">
        <f t="shared" si="20"/>
        <v>0</v>
      </c>
      <c r="AV32" s="1700">
        <f t="shared" si="21"/>
        <v>0</v>
      </c>
      <c r="AW32" s="1700">
        <f t="shared" si="22"/>
        <v>0</v>
      </c>
    </row>
    <row r="33" spans="1:49" s="237" customFormat="1" x14ac:dyDescent="0.2">
      <c r="A33" s="1070" t="s">
        <v>74</v>
      </c>
      <c r="B33" s="1071" t="s">
        <v>302</v>
      </c>
      <c r="C33" s="103" t="s">
        <v>267</v>
      </c>
      <c r="D33" s="1072">
        <f t="shared" si="2"/>
        <v>3852455.1</v>
      </c>
      <c r="E33" s="1072">
        <f t="shared" si="3"/>
        <v>5998200.96</v>
      </c>
      <c r="F33" s="1072">
        <f t="shared" si="4"/>
        <v>0</v>
      </c>
      <c r="G33" s="1073">
        <f t="shared" si="5"/>
        <v>21080.99</v>
      </c>
      <c r="H33" s="1073">
        <f t="shared" si="6"/>
        <v>21080.99</v>
      </c>
      <c r="I33" s="1378">
        <f t="shared" si="7"/>
        <v>9871737.0500000007</v>
      </c>
      <c r="J33" s="1074">
        <v>768172.58</v>
      </c>
      <c r="K33" s="1075">
        <v>768172.58</v>
      </c>
      <c r="L33" s="1075">
        <v>0</v>
      </c>
      <c r="M33" s="1075">
        <v>-0.21</v>
      </c>
      <c r="N33" s="1075">
        <v>0</v>
      </c>
      <c r="O33" s="1076">
        <f t="shared" si="8"/>
        <v>1536344.95</v>
      </c>
      <c r="P33" s="1377">
        <f t="shared" si="9"/>
        <v>-0.21</v>
      </c>
      <c r="Q33" s="1377">
        <f t="shared" si="10"/>
        <v>-0.21</v>
      </c>
      <c r="R33" s="1074">
        <v>2722146.06</v>
      </c>
      <c r="S33" s="1075">
        <v>2722146.06</v>
      </c>
      <c r="T33" s="1075">
        <v>0</v>
      </c>
      <c r="U33" s="1075">
        <v>-0.12</v>
      </c>
      <c r="V33" s="1075">
        <v>21081.32</v>
      </c>
      <c r="W33" s="1077">
        <f t="shared" si="11"/>
        <v>5465373.3200000003</v>
      </c>
      <c r="X33" s="1377">
        <f t="shared" si="12"/>
        <v>21081.200000000001</v>
      </c>
      <c r="Y33" s="1377">
        <f t="shared" si="13"/>
        <v>21081.200000000001</v>
      </c>
      <c r="Z33" s="1074"/>
      <c r="AA33" s="1075"/>
      <c r="AB33" s="1075"/>
      <c r="AC33" s="1075"/>
      <c r="AD33" s="1075"/>
      <c r="AE33" s="1077">
        <f t="shared" si="14"/>
        <v>0</v>
      </c>
      <c r="AF33" s="1377">
        <f t="shared" si="15"/>
        <v>0</v>
      </c>
      <c r="AG33" s="1377">
        <f t="shared" si="16"/>
        <v>0</v>
      </c>
      <c r="AH33" s="1078">
        <v>362136.46</v>
      </c>
      <c r="AI33" s="1079">
        <v>2507882.3199999998</v>
      </c>
      <c r="AJ33" s="1079">
        <v>0</v>
      </c>
      <c r="AK33" s="1079">
        <v>0</v>
      </c>
      <c r="AL33" s="1079">
        <v>0</v>
      </c>
      <c r="AM33" s="1080">
        <f t="shared" si="17"/>
        <v>2870018.78</v>
      </c>
      <c r="AN33" s="1080">
        <f t="shared" si="18"/>
        <v>0</v>
      </c>
      <c r="AO33" s="1080">
        <f t="shared" si="19"/>
        <v>0</v>
      </c>
      <c r="AP33" s="1700"/>
      <c r="AQ33" s="1700"/>
      <c r="AR33" s="1700"/>
      <c r="AS33" s="1700"/>
      <c r="AT33" s="1700"/>
      <c r="AU33" s="1700">
        <f t="shared" si="20"/>
        <v>0</v>
      </c>
      <c r="AV33" s="1700">
        <f t="shared" si="21"/>
        <v>0</v>
      </c>
      <c r="AW33" s="1700">
        <f t="shared" si="22"/>
        <v>0</v>
      </c>
    </row>
    <row r="34" spans="1:49" s="237" customFormat="1" x14ac:dyDescent="0.2">
      <c r="A34" s="1070" t="s">
        <v>76</v>
      </c>
      <c r="B34" s="1071" t="s">
        <v>77</v>
      </c>
      <c r="C34" s="103" t="s">
        <v>267</v>
      </c>
      <c r="D34" s="1072">
        <f t="shared" si="2"/>
        <v>795413.89</v>
      </c>
      <c r="E34" s="1072">
        <f t="shared" si="3"/>
        <v>894190.82000000007</v>
      </c>
      <c r="F34" s="1072">
        <f t="shared" si="4"/>
        <v>0</v>
      </c>
      <c r="G34" s="1073">
        <f t="shared" si="5"/>
        <v>-0.27</v>
      </c>
      <c r="H34" s="1073">
        <f t="shared" si="6"/>
        <v>-0.27</v>
      </c>
      <c r="I34" s="1378">
        <f t="shared" si="7"/>
        <v>1689604.44</v>
      </c>
      <c r="J34" s="1074">
        <v>415978.73</v>
      </c>
      <c r="K34" s="1075">
        <v>415978.73</v>
      </c>
      <c r="L34" s="1075">
        <v>0</v>
      </c>
      <c r="M34" s="1075">
        <v>-0.27</v>
      </c>
      <c r="N34" s="1075">
        <v>0</v>
      </c>
      <c r="O34" s="1076">
        <f t="shared" si="8"/>
        <v>831957.19</v>
      </c>
      <c r="P34" s="1377">
        <f t="shared" si="9"/>
        <v>-0.27</v>
      </c>
      <c r="Q34" s="1377">
        <f t="shared" si="10"/>
        <v>-0.27</v>
      </c>
      <c r="R34" s="1074">
        <v>357733.83</v>
      </c>
      <c r="S34" s="1075">
        <v>357733.83</v>
      </c>
      <c r="T34" s="1075">
        <v>0</v>
      </c>
      <c r="U34" s="1075">
        <v>-0.01</v>
      </c>
      <c r="V34" s="1075">
        <v>0</v>
      </c>
      <c r="W34" s="1077">
        <f t="shared" si="11"/>
        <v>715467.65</v>
      </c>
      <c r="X34" s="1377">
        <f t="shared" si="12"/>
        <v>-0.01</v>
      </c>
      <c r="Y34" s="1377">
        <f t="shared" si="13"/>
        <v>-0.01</v>
      </c>
      <c r="Z34" s="1074"/>
      <c r="AA34" s="1075"/>
      <c r="AB34" s="1075"/>
      <c r="AC34" s="1075"/>
      <c r="AD34" s="1075"/>
      <c r="AE34" s="1077">
        <f t="shared" si="14"/>
        <v>0</v>
      </c>
      <c r="AF34" s="1377">
        <f t="shared" si="15"/>
        <v>0</v>
      </c>
      <c r="AG34" s="1377">
        <f t="shared" si="16"/>
        <v>0</v>
      </c>
      <c r="AH34" s="1078">
        <v>21701.33</v>
      </c>
      <c r="AI34" s="1079">
        <v>120478.26</v>
      </c>
      <c r="AJ34" s="1079">
        <v>0</v>
      </c>
      <c r="AK34" s="1079">
        <v>0.01</v>
      </c>
      <c r="AL34" s="1079">
        <v>0</v>
      </c>
      <c r="AM34" s="1080">
        <f t="shared" si="17"/>
        <v>142179.6</v>
      </c>
      <c r="AN34" s="1080">
        <f t="shared" si="18"/>
        <v>0.01</v>
      </c>
      <c r="AO34" s="1080">
        <f t="shared" si="19"/>
        <v>0.01</v>
      </c>
      <c r="AP34" s="1700"/>
      <c r="AQ34" s="1700"/>
      <c r="AR34" s="1700"/>
      <c r="AS34" s="1700"/>
      <c r="AT34" s="1700"/>
      <c r="AU34" s="1700">
        <f t="shared" si="20"/>
        <v>0</v>
      </c>
      <c r="AV34" s="1700">
        <f t="shared" si="21"/>
        <v>0</v>
      </c>
      <c r="AW34" s="1700">
        <f t="shared" si="22"/>
        <v>0</v>
      </c>
    </row>
    <row r="35" spans="1:49" s="237" customFormat="1" x14ac:dyDescent="0.2">
      <c r="A35" s="1070" t="s">
        <v>78</v>
      </c>
      <c r="B35" s="1071" t="s">
        <v>79</v>
      </c>
      <c r="C35" s="103" t="s">
        <v>268</v>
      </c>
      <c r="D35" s="1072">
        <f t="shared" si="2"/>
        <v>66610.95</v>
      </c>
      <c r="E35" s="1072">
        <f t="shared" si="3"/>
        <v>66610.95</v>
      </c>
      <c r="F35" s="1072">
        <f t="shared" si="4"/>
        <v>0</v>
      </c>
      <c r="G35" s="1073">
        <f t="shared" si="5"/>
        <v>-0.06</v>
      </c>
      <c r="H35" s="1073">
        <f t="shared" si="6"/>
        <v>-0.06</v>
      </c>
      <c r="I35" s="1378">
        <f t="shared" si="7"/>
        <v>133221.84</v>
      </c>
      <c r="J35" s="1074">
        <v>31967.45</v>
      </c>
      <c r="K35" s="1075">
        <v>31967.45</v>
      </c>
      <c r="L35" s="1075">
        <v>0</v>
      </c>
      <c r="M35" s="1075">
        <v>-0.06</v>
      </c>
      <c r="N35" s="1075">
        <v>0</v>
      </c>
      <c r="O35" s="1076">
        <f t="shared" si="8"/>
        <v>63934.840000000004</v>
      </c>
      <c r="P35" s="1377">
        <f t="shared" si="9"/>
        <v>-0.06</v>
      </c>
      <c r="Q35" s="1377">
        <f t="shared" si="10"/>
        <v>-0.06</v>
      </c>
      <c r="R35" s="1074">
        <v>34643.5</v>
      </c>
      <c r="S35" s="1075">
        <v>34643.5</v>
      </c>
      <c r="T35" s="1075">
        <v>0</v>
      </c>
      <c r="U35" s="1075">
        <v>0</v>
      </c>
      <c r="V35" s="1075">
        <v>0</v>
      </c>
      <c r="W35" s="1077">
        <f t="shared" si="11"/>
        <v>69287</v>
      </c>
      <c r="X35" s="1377">
        <f t="shared" si="12"/>
        <v>0</v>
      </c>
      <c r="Y35" s="1377">
        <f t="shared" si="13"/>
        <v>0</v>
      </c>
      <c r="Z35" s="1078"/>
      <c r="AA35" s="1079"/>
      <c r="AB35" s="1079"/>
      <c r="AC35" s="1079"/>
      <c r="AD35" s="1079"/>
      <c r="AE35" s="1077">
        <f t="shared" si="14"/>
        <v>0</v>
      </c>
      <c r="AF35" s="1377">
        <f t="shared" si="15"/>
        <v>0</v>
      </c>
      <c r="AG35" s="1377">
        <f t="shared" si="16"/>
        <v>0</v>
      </c>
      <c r="AH35" s="1078"/>
      <c r="AI35" s="1079"/>
      <c r="AJ35" s="1079"/>
      <c r="AK35" s="1079"/>
      <c r="AL35" s="1079"/>
      <c r="AM35" s="1080">
        <f t="shared" si="17"/>
        <v>0</v>
      </c>
      <c r="AN35" s="1080">
        <f t="shared" si="18"/>
        <v>0</v>
      </c>
      <c r="AO35" s="1080">
        <f t="shared" si="19"/>
        <v>0</v>
      </c>
      <c r="AP35" s="1700"/>
      <c r="AQ35" s="1700"/>
      <c r="AR35" s="1700"/>
      <c r="AS35" s="1700"/>
      <c r="AT35" s="1700"/>
      <c r="AU35" s="1700">
        <f t="shared" si="20"/>
        <v>0</v>
      </c>
      <c r="AV35" s="1700">
        <f t="shared" si="21"/>
        <v>0</v>
      </c>
      <c r="AW35" s="1700">
        <f t="shared" si="22"/>
        <v>0</v>
      </c>
    </row>
    <row r="36" spans="1:49" s="237" customFormat="1" x14ac:dyDescent="0.2">
      <c r="A36" s="1070" t="s">
        <v>80</v>
      </c>
      <c r="B36" s="1071" t="s">
        <v>81</v>
      </c>
      <c r="C36" s="103" t="s">
        <v>266</v>
      </c>
      <c r="D36" s="1072">
        <f t="shared" si="2"/>
        <v>143730.19</v>
      </c>
      <c r="E36" s="1072">
        <f t="shared" si="3"/>
        <v>221935.41</v>
      </c>
      <c r="F36" s="1072">
        <f t="shared" si="4"/>
        <v>0</v>
      </c>
      <c r="G36" s="1073">
        <f t="shared" si="5"/>
        <v>-0.02</v>
      </c>
      <c r="H36" s="1073">
        <f t="shared" si="6"/>
        <v>-0.02</v>
      </c>
      <c r="I36" s="1378">
        <f t="shared" si="7"/>
        <v>365665.57999999996</v>
      </c>
      <c r="J36" s="1074">
        <v>10996.86</v>
      </c>
      <c r="K36" s="1075">
        <v>10996.86</v>
      </c>
      <c r="L36" s="1075">
        <v>0</v>
      </c>
      <c r="M36" s="1075">
        <v>-0.02</v>
      </c>
      <c r="N36" s="1075">
        <v>0</v>
      </c>
      <c r="O36" s="1076">
        <f t="shared" si="8"/>
        <v>21993.7</v>
      </c>
      <c r="P36" s="1377">
        <f t="shared" si="9"/>
        <v>-0.02</v>
      </c>
      <c r="Q36" s="1377">
        <f t="shared" si="10"/>
        <v>-0.02</v>
      </c>
      <c r="R36" s="1074">
        <v>117329</v>
      </c>
      <c r="S36" s="1075">
        <v>117329</v>
      </c>
      <c r="T36" s="1075">
        <v>0</v>
      </c>
      <c r="U36" s="1075">
        <v>0</v>
      </c>
      <c r="V36" s="1075">
        <v>0</v>
      </c>
      <c r="W36" s="1077">
        <f t="shared" si="11"/>
        <v>234658</v>
      </c>
      <c r="X36" s="1377">
        <f t="shared" si="12"/>
        <v>0</v>
      </c>
      <c r="Y36" s="1377">
        <f t="shared" si="13"/>
        <v>0</v>
      </c>
      <c r="Z36" s="1074"/>
      <c r="AA36" s="1075"/>
      <c r="AB36" s="1075"/>
      <c r="AC36" s="1075"/>
      <c r="AD36" s="1075"/>
      <c r="AE36" s="1077">
        <f t="shared" si="14"/>
        <v>0</v>
      </c>
      <c r="AF36" s="1377">
        <f t="shared" si="15"/>
        <v>0</v>
      </c>
      <c r="AG36" s="1377">
        <f t="shared" si="16"/>
        <v>0</v>
      </c>
      <c r="AH36" s="1078">
        <v>15404.33</v>
      </c>
      <c r="AI36" s="1079">
        <v>93609.55</v>
      </c>
      <c r="AJ36" s="1079">
        <v>0</v>
      </c>
      <c r="AK36" s="1079">
        <v>0</v>
      </c>
      <c r="AL36" s="1079">
        <v>0</v>
      </c>
      <c r="AM36" s="1080">
        <f t="shared" si="17"/>
        <v>109013.88</v>
      </c>
      <c r="AN36" s="1080">
        <f t="shared" si="18"/>
        <v>0</v>
      </c>
      <c r="AO36" s="1080">
        <f t="shared" si="19"/>
        <v>0</v>
      </c>
      <c r="AP36" s="1700"/>
      <c r="AQ36" s="1700"/>
      <c r="AR36" s="1700"/>
      <c r="AS36" s="1700"/>
      <c r="AT36" s="1700"/>
      <c r="AU36" s="1700">
        <f t="shared" si="20"/>
        <v>0</v>
      </c>
      <c r="AV36" s="1700">
        <f t="shared" si="21"/>
        <v>0</v>
      </c>
      <c r="AW36" s="1700">
        <f t="shared" si="22"/>
        <v>0</v>
      </c>
    </row>
    <row r="37" spans="1:49" s="237" customFormat="1" x14ac:dyDescent="0.2">
      <c r="A37" s="1070" t="s">
        <v>84</v>
      </c>
      <c r="B37" s="1071" t="s">
        <v>308</v>
      </c>
      <c r="C37" s="103" t="s">
        <v>265</v>
      </c>
      <c r="D37" s="1072">
        <f t="shared" ref="D37:D68" si="23">J37+R37+Z37+AH37+AP37</f>
        <v>849931.18</v>
      </c>
      <c r="E37" s="1072">
        <f t="shared" ref="E37:E68" si="24">K37+S37+AA37+AI37+AQ37</f>
        <v>1095383.7</v>
      </c>
      <c r="F37" s="1072">
        <f t="shared" ref="F37:F68" si="25">L37+T37+AB37+AJ37+AR37</f>
        <v>0</v>
      </c>
      <c r="G37" s="1073">
        <f t="shared" ref="G37:G68" si="26">P37+X37+AF37+AN37+AV37</f>
        <v>-0.15</v>
      </c>
      <c r="H37" s="1073">
        <f t="shared" ref="H37:H68" si="27">Q37+Y37+AG37+AO37+AW37</f>
        <v>-0.15</v>
      </c>
      <c r="I37" s="1378">
        <f t="shared" ref="I37:I68" si="28">SUM(D37:G37)</f>
        <v>1945314.73</v>
      </c>
      <c r="J37" s="1074">
        <v>265285.71999999997</v>
      </c>
      <c r="K37" s="1075">
        <v>265285.71999999997</v>
      </c>
      <c r="L37" s="1075">
        <v>0</v>
      </c>
      <c r="M37" s="1075">
        <v>-0.15</v>
      </c>
      <c r="N37" s="1075">
        <v>0</v>
      </c>
      <c r="O37" s="1076">
        <f t="shared" ref="O37:O68" si="29">SUM(J37:N37)</f>
        <v>530571.28999999992</v>
      </c>
      <c r="P37" s="1377">
        <f t="shared" ref="P37:P68" si="30">M37+N37</f>
        <v>-0.15</v>
      </c>
      <c r="Q37" s="1377">
        <f t="shared" ref="Q37:Q68" si="31">L37+P37</f>
        <v>-0.15</v>
      </c>
      <c r="R37" s="1074">
        <v>496307.82</v>
      </c>
      <c r="S37" s="1075">
        <v>496307.82</v>
      </c>
      <c r="T37" s="1075">
        <v>0</v>
      </c>
      <c r="U37" s="1075">
        <v>0</v>
      </c>
      <c r="V37" s="1075">
        <v>0</v>
      </c>
      <c r="W37" s="1077">
        <f t="shared" ref="W37:W68" si="32">SUM(R37:V37)</f>
        <v>992615.64</v>
      </c>
      <c r="X37" s="1377">
        <f t="shared" ref="X37:X68" si="33">U37+V37</f>
        <v>0</v>
      </c>
      <c r="Y37" s="1377">
        <f t="shared" ref="Y37:Y68" si="34">T37+X37</f>
        <v>0</v>
      </c>
      <c r="Z37" s="1074"/>
      <c r="AA37" s="1075"/>
      <c r="AB37" s="1075"/>
      <c r="AC37" s="1075"/>
      <c r="AD37" s="1075"/>
      <c r="AE37" s="1077">
        <f t="shared" ref="AE37:AE68" si="35">SUM(Z37:AD37)</f>
        <v>0</v>
      </c>
      <c r="AF37" s="1377">
        <f t="shared" ref="AF37:AF68" si="36">AC37+AD37</f>
        <v>0</v>
      </c>
      <c r="AG37" s="1377">
        <f t="shared" ref="AG37:AG68" si="37">AB37+AF37</f>
        <v>0</v>
      </c>
      <c r="AH37" s="1078">
        <v>88337.64</v>
      </c>
      <c r="AI37" s="1079">
        <v>333790.15999999997</v>
      </c>
      <c r="AJ37" s="1079">
        <v>0</v>
      </c>
      <c r="AK37" s="1079">
        <v>0</v>
      </c>
      <c r="AL37" s="1079">
        <v>0</v>
      </c>
      <c r="AM37" s="1080">
        <f t="shared" ref="AM37:AM68" si="38">SUM(AH37:AL37)</f>
        <v>422127.8</v>
      </c>
      <c r="AN37" s="1080">
        <f t="shared" ref="AN37:AN68" si="39">AK37+AL37</f>
        <v>0</v>
      </c>
      <c r="AO37" s="1080">
        <f t="shared" ref="AO37:AO68" si="40">AJ37+AN37</f>
        <v>0</v>
      </c>
      <c r="AP37" s="1700"/>
      <c r="AQ37" s="1700"/>
      <c r="AR37" s="1700"/>
      <c r="AS37" s="1700"/>
      <c r="AT37" s="1700"/>
      <c r="AU37" s="1700">
        <f t="shared" ref="AU37:AU68" si="41">SUM(AP37:AT37)</f>
        <v>0</v>
      </c>
      <c r="AV37" s="1700">
        <f t="shared" ref="AV37:AV68" si="42">AS37+AT37</f>
        <v>0</v>
      </c>
      <c r="AW37" s="1700">
        <f t="shared" ref="AW37:AW68" si="43">AR37+AV37</f>
        <v>0</v>
      </c>
    </row>
    <row r="38" spans="1:49" s="237" customFormat="1" x14ac:dyDescent="0.2">
      <c r="A38" s="1070" t="s">
        <v>86</v>
      </c>
      <c r="B38" s="1071" t="s">
        <v>87</v>
      </c>
      <c r="C38" s="103" t="s">
        <v>267</v>
      </c>
      <c r="D38" s="1072">
        <f t="shared" si="23"/>
        <v>693656.57000000007</v>
      </c>
      <c r="E38" s="1072">
        <f t="shared" si="24"/>
        <v>932251.44000000006</v>
      </c>
      <c r="F38" s="1072">
        <f t="shared" si="25"/>
        <v>0</v>
      </c>
      <c r="G38" s="1073">
        <f t="shared" si="26"/>
        <v>-0.31999999999999995</v>
      </c>
      <c r="H38" s="1073">
        <f t="shared" si="27"/>
        <v>-0.31999999999999995</v>
      </c>
      <c r="I38" s="1378">
        <f t="shared" si="28"/>
        <v>1625907.6900000002</v>
      </c>
      <c r="J38" s="1074">
        <v>276998.75</v>
      </c>
      <c r="K38" s="1075">
        <v>276998.75</v>
      </c>
      <c r="L38" s="1075">
        <v>0</v>
      </c>
      <c r="M38" s="1075">
        <v>-0.24</v>
      </c>
      <c r="N38" s="1075">
        <v>0</v>
      </c>
      <c r="O38" s="1076">
        <f t="shared" si="29"/>
        <v>553997.26</v>
      </c>
      <c r="P38" s="1377">
        <f t="shared" si="30"/>
        <v>-0.24</v>
      </c>
      <c r="Q38" s="1377">
        <f t="shared" si="31"/>
        <v>-0.24</v>
      </c>
      <c r="R38" s="1074">
        <v>347363.57</v>
      </c>
      <c r="S38" s="1075">
        <v>347363.57</v>
      </c>
      <c r="T38" s="1075">
        <v>0</v>
      </c>
      <c r="U38" s="1075">
        <v>-0.05</v>
      </c>
      <c r="V38" s="1075">
        <v>0</v>
      </c>
      <c r="W38" s="1077">
        <f t="shared" si="32"/>
        <v>694727.09</v>
      </c>
      <c r="X38" s="1377">
        <f t="shared" si="33"/>
        <v>-0.05</v>
      </c>
      <c r="Y38" s="1377">
        <f t="shared" si="34"/>
        <v>-0.05</v>
      </c>
      <c r="Z38" s="1074"/>
      <c r="AA38" s="1075"/>
      <c r="AB38" s="1075"/>
      <c r="AC38" s="1075"/>
      <c r="AD38" s="1075"/>
      <c r="AE38" s="1077">
        <f t="shared" si="35"/>
        <v>0</v>
      </c>
      <c r="AF38" s="1377">
        <f t="shared" si="36"/>
        <v>0</v>
      </c>
      <c r="AG38" s="1377">
        <f t="shared" si="37"/>
        <v>0</v>
      </c>
      <c r="AH38" s="1078">
        <v>69294.25</v>
      </c>
      <c r="AI38" s="1079">
        <v>307889.12</v>
      </c>
      <c r="AJ38" s="1079">
        <v>0</v>
      </c>
      <c r="AK38" s="1079">
        <v>-0.03</v>
      </c>
      <c r="AL38" s="1079">
        <v>0</v>
      </c>
      <c r="AM38" s="1080">
        <f t="shared" si="38"/>
        <v>377183.33999999997</v>
      </c>
      <c r="AN38" s="1080">
        <f t="shared" si="39"/>
        <v>-0.03</v>
      </c>
      <c r="AO38" s="1080">
        <f t="shared" si="40"/>
        <v>-0.03</v>
      </c>
      <c r="AP38" s="1700"/>
      <c r="AQ38" s="1700"/>
      <c r="AR38" s="1700"/>
      <c r="AS38" s="1700"/>
      <c r="AT38" s="1700"/>
      <c r="AU38" s="1700">
        <f t="shared" si="41"/>
        <v>0</v>
      </c>
      <c r="AV38" s="1700">
        <f t="shared" si="42"/>
        <v>0</v>
      </c>
      <c r="AW38" s="1700">
        <f t="shared" si="43"/>
        <v>0</v>
      </c>
    </row>
    <row r="39" spans="1:49" s="237" customFormat="1" x14ac:dyDescent="0.2">
      <c r="A39" s="1070" t="s">
        <v>92</v>
      </c>
      <c r="B39" s="1071" t="s">
        <v>93</v>
      </c>
      <c r="C39" s="103" t="s">
        <v>268</v>
      </c>
      <c r="D39" s="1072">
        <f t="shared" si="23"/>
        <v>610180.69999999995</v>
      </c>
      <c r="E39" s="1072">
        <f t="shared" si="24"/>
        <v>697615.52</v>
      </c>
      <c r="F39" s="1072">
        <f t="shared" si="25"/>
        <v>0</v>
      </c>
      <c r="G39" s="1073">
        <f t="shared" si="26"/>
        <v>-0.21000000000000002</v>
      </c>
      <c r="H39" s="1073">
        <f t="shared" si="27"/>
        <v>-0.21000000000000002</v>
      </c>
      <c r="I39" s="1378">
        <f t="shared" si="28"/>
        <v>1307796.01</v>
      </c>
      <c r="J39" s="1074">
        <v>161495.57</v>
      </c>
      <c r="K39" s="1075">
        <v>161495.57</v>
      </c>
      <c r="L39" s="1075">
        <v>0</v>
      </c>
      <c r="M39" s="1075">
        <v>-0.2</v>
      </c>
      <c r="N39" s="1075">
        <v>0</v>
      </c>
      <c r="O39" s="1076">
        <f t="shared" si="29"/>
        <v>322990.94</v>
      </c>
      <c r="P39" s="1377">
        <f t="shared" si="30"/>
        <v>-0.2</v>
      </c>
      <c r="Q39" s="1377">
        <f t="shared" si="31"/>
        <v>-0.2</v>
      </c>
      <c r="R39" s="1074">
        <v>422588.14</v>
      </c>
      <c r="S39" s="1075">
        <v>422588.14</v>
      </c>
      <c r="T39" s="1075">
        <v>0</v>
      </c>
      <c r="U39" s="1075">
        <v>-0.01</v>
      </c>
      <c r="V39" s="1075">
        <v>0</v>
      </c>
      <c r="W39" s="1077">
        <f t="shared" si="32"/>
        <v>845176.27</v>
      </c>
      <c r="X39" s="1377">
        <f t="shared" si="33"/>
        <v>-0.01</v>
      </c>
      <c r="Y39" s="1377">
        <f t="shared" si="34"/>
        <v>-0.01</v>
      </c>
      <c r="Z39" s="1074"/>
      <c r="AA39" s="1075"/>
      <c r="AB39" s="1075"/>
      <c r="AC39" s="1075"/>
      <c r="AD39" s="1075"/>
      <c r="AE39" s="1077">
        <f t="shared" si="35"/>
        <v>0</v>
      </c>
      <c r="AF39" s="1377">
        <f t="shared" si="36"/>
        <v>0</v>
      </c>
      <c r="AG39" s="1377">
        <f t="shared" si="37"/>
        <v>0</v>
      </c>
      <c r="AH39" s="1078">
        <v>26096.99</v>
      </c>
      <c r="AI39" s="1079">
        <v>113531.81</v>
      </c>
      <c r="AJ39" s="1079">
        <v>0</v>
      </c>
      <c r="AK39" s="1079">
        <v>0</v>
      </c>
      <c r="AL39" s="1079">
        <v>0</v>
      </c>
      <c r="AM39" s="1080">
        <f t="shared" si="38"/>
        <v>139628.79999999999</v>
      </c>
      <c r="AN39" s="1080">
        <f t="shared" si="39"/>
        <v>0</v>
      </c>
      <c r="AO39" s="1080">
        <f t="shared" si="40"/>
        <v>0</v>
      </c>
      <c r="AP39" s="1700"/>
      <c r="AQ39" s="1700"/>
      <c r="AR39" s="1700"/>
      <c r="AS39" s="1700"/>
      <c r="AT39" s="1700"/>
      <c r="AU39" s="1700">
        <f t="shared" si="41"/>
        <v>0</v>
      </c>
      <c r="AV39" s="1700">
        <f t="shared" si="42"/>
        <v>0</v>
      </c>
      <c r="AW39" s="1700">
        <f t="shared" si="43"/>
        <v>0</v>
      </c>
    </row>
    <row r="40" spans="1:49" s="237" customFormat="1" x14ac:dyDescent="0.2">
      <c r="A40" s="1070" t="s">
        <v>94</v>
      </c>
      <c r="B40" s="1071" t="s">
        <v>95</v>
      </c>
      <c r="C40" s="103" t="s">
        <v>264</v>
      </c>
      <c r="D40" s="1072">
        <f t="shared" si="23"/>
        <v>202417.03</v>
      </c>
      <c r="E40" s="1072">
        <f t="shared" si="24"/>
        <v>606705.57000000007</v>
      </c>
      <c r="F40" s="1072">
        <f t="shared" si="25"/>
        <v>0</v>
      </c>
      <c r="G40" s="1073">
        <f t="shared" si="26"/>
        <v>-0.08</v>
      </c>
      <c r="H40" s="1073">
        <f t="shared" si="27"/>
        <v>-0.08</v>
      </c>
      <c r="I40" s="1378">
        <f t="shared" si="28"/>
        <v>809122.52000000014</v>
      </c>
      <c r="J40" s="1074">
        <v>44149.58</v>
      </c>
      <c r="K40" s="1075">
        <v>44149.58</v>
      </c>
      <c r="L40" s="1075">
        <v>0</v>
      </c>
      <c r="M40" s="1075">
        <v>-0.06</v>
      </c>
      <c r="N40" s="1075">
        <v>0</v>
      </c>
      <c r="O40" s="1076">
        <f t="shared" si="29"/>
        <v>88299.1</v>
      </c>
      <c r="P40" s="1377">
        <f t="shared" si="30"/>
        <v>-0.06</v>
      </c>
      <c r="Q40" s="1377">
        <f t="shared" si="31"/>
        <v>-0.06</v>
      </c>
      <c r="R40" s="1074">
        <v>157052.72</v>
      </c>
      <c r="S40" s="1075">
        <v>157052.72</v>
      </c>
      <c r="T40" s="1075">
        <v>0</v>
      </c>
      <c r="U40" s="1075">
        <v>-0.02</v>
      </c>
      <c r="V40" s="1075">
        <v>0</v>
      </c>
      <c r="W40" s="1077">
        <f t="shared" si="32"/>
        <v>314105.42</v>
      </c>
      <c r="X40" s="1377">
        <f t="shared" si="33"/>
        <v>-0.02</v>
      </c>
      <c r="Y40" s="1377">
        <f t="shared" si="34"/>
        <v>-0.02</v>
      </c>
      <c r="Z40" s="1074"/>
      <c r="AA40" s="1075"/>
      <c r="AB40" s="1075"/>
      <c r="AC40" s="1075"/>
      <c r="AD40" s="1075"/>
      <c r="AE40" s="1077">
        <f t="shared" si="35"/>
        <v>0</v>
      </c>
      <c r="AF40" s="1377">
        <f t="shared" si="36"/>
        <v>0</v>
      </c>
      <c r="AG40" s="1377">
        <f t="shared" si="37"/>
        <v>0</v>
      </c>
      <c r="AH40" s="1078">
        <v>1214.73</v>
      </c>
      <c r="AI40" s="1079">
        <v>405503.27</v>
      </c>
      <c r="AJ40" s="1079">
        <v>0</v>
      </c>
      <c r="AK40" s="1079">
        <v>0</v>
      </c>
      <c r="AL40" s="1079">
        <v>0</v>
      </c>
      <c r="AM40" s="1080">
        <f t="shared" si="38"/>
        <v>406718</v>
      </c>
      <c r="AN40" s="1080">
        <f t="shared" si="39"/>
        <v>0</v>
      </c>
      <c r="AO40" s="1080">
        <f t="shared" si="40"/>
        <v>0</v>
      </c>
      <c r="AP40" s="1700"/>
      <c r="AQ40" s="1700"/>
      <c r="AR40" s="1700"/>
      <c r="AS40" s="1700"/>
      <c r="AT40" s="1700"/>
      <c r="AU40" s="1700">
        <f t="shared" si="41"/>
        <v>0</v>
      </c>
      <c r="AV40" s="1700">
        <f t="shared" si="42"/>
        <v>0</v>
      </c>
      <c r="AW40" s="1700">
        <f t="shared" si="43"/>
        <v>0</v>
      </c>
    </row>
    <row r="41" spans="1:49" s="237" customFormat="1" x14ac:dyDescent="0.2">
      <c r="A41" s="1070" t="s">
        <v>96</v>
      </c>
      <c r="B41" s="1071" t="s">
        <v>97</v>
      </c>
      <c r="C41" s="103" t="s">
        <v>266</v>
      </c>
      <c r="D41" s="1072">
        <f t="shared" si="23"/>
        <v>108955.92</v>
      </c>
      <c r="E41" s="1072">
        <f t="shared" si="24"/>
        <v>150169.12</v>
      </c>
      <c r="F41" s="1072">
        <f t="shared" si="25"/>
        <v>0</v>
      </c>
      <c r="G41" s="1073">
        <f t="shared" si="26"/>
        <v>-0.1</v>
      </c>
      <c r="H41" s="1073">
        <f t="shared" si="27"/>
        <v>-0.1</v>
      </c>
      <c r="I41" s="1378">
        <f t="shared" si="28"/>
        <v>259124.93999999997</v>
      </c>
      <c r="J41" s="1074">
        <v>19955.919999999998</v>
      </c>
      <c r="K41" s="1075">
        <v>19955.919999999998</v>
      </c>
      <c r="L41" s="1075">
        <v>0</v>
      </c>
      <c r="M41" s="1075">
        <v>-0.1</v>
      </c>
      <c r="N41" s="1075">
        <v>0</v>
      </c>
      <c r="O41" s="1076">
        <f t="shared" si="29"/>
        <v>39911.74</v>
      </c>
      <c r="P41" s="1377">
        <f t="shared" si="30"/>
        <v>-0.1</v>
      </c>
      <c r="Q41" s="1377">
        <f t="shared" si="31"/>
        <v>-0.1</v>
      </c>
      <c r="R41" s="1074">
        <v>84650.6</v>
      </c>
      <c r="S41" s="1075">
        <v>84650.6</v>
      </c>
      <c r="T41" s="1075">
        <v>0</v>
      </c>
      <c r="U41" s="1075">
        <v>0</v>
      </c>
      <c r="V41" s="1075">
        <v>0</v>
      </c>
      <c r="W41" s="1077">
        <f t="shared" si="32"/>
        <v>169301.2</v>
      </c>
      <c r="X41" s="1377">
        <f t="shared" si="33"/>
        <v>0</v>
      </c>
      <c r="Y41" s="1377">
        <f t="shared" si="34"/>
        <v>0</v>
      </c>
      <c r="Z41" s="1074"/>
      <c r="AA41" s="1075"/>
      <c r="AB41" s="1075"/>
      <c r="AC41" s="1075"/>
      <c r="AD41" s="1075"/>
      <c r="AE41" s="1077">
        <f t="shared" si="35"/>
        <v>0</v>
      </c>
      <c r="AF41" s="1377">
        <f t="shared" si="36"/>
        <v>0</v>
      </c>
      <c r="AG41" s="1377">
        <f t="shared" si="37"/>
        <v>0</v>
      </c>
      <c r="AH41" s="1078">
        <v>4349.3999999999996</v>
      </c>
      <c r="AI41" s="1079">
        <v>45562.6</v>
      </c>
      <c r="AJ41" s="1079">
        <v>0</v>
      </c>
      <c r="AK41" s="1079">
        <v>0</v>
      </c>
      <c r="AL41" s="1079">
        <v>0</v>
      </c>
      <c r="AM41" s="1080">
        <f t="shared" si="38"/>
        <v>49912</v>
      </c>
      <c r="AN41" s="1080">
        <f t="shared" si="39"/>
        <v>0</v>
      </c>
      <c r="AO41" s="1080">
        <f t="shared" si="40"/>
        <v>0</v>
      </c>
      <c r="AP41" s="1700"/>
      <c r="AQ41" s="1700"/>
      <c r="AR41" s="1700"/>
      <c r="AS41" s="1700"/>
      <c r="AT41" s="1700"/>
      <c r="AU41" s="1700">
        <f t="shared" si="41"/>
        <v>0</v>
      </c>
      <c r="AV41" s="1700">
        <f t="shared" si="42"/>
        <v>0</v>
      </c>
      <c r="AW41" s="1700">
        <f t="shared" si="43"/>
        <v>0</v>
      </c>
    </row>
    <row r="42" spans="1:49" s="237" customFormat="1" x14ac:dyDescent="0.2">
      <c r="A42" s="1070" t="s">
        <v>98</v>
      </c>
      <c r="B42" s="1071" t="s">
        <v>99</v>
      </c>
      <c r="C42" s="103" t="s">
        <v>268</v>
      </c>
      <c r="D42" s="1072">
        <f t="shared" si="23"/>
        <v>220211.19</v>
      </c>
      <c r="E42" s="1072">
        <f t="shared" si="24"/>
        <v>241259.19</v>
      </c>
      <c r="F42" s="1072">
        <f t="shared" si="25"/>
        <v>0</v>
      </c>
      <c r="G42" s="1073">
        <f t="shared" si="26"/>
        <v>-0.03</v>
      </c>
      <c r="H42" s="1073">
        <f t="shared" si="27"/>
        <v>-0.03</v>
      </c>
      <c r="I42" s="1378">
        <f t="shared" si="28"/>
        <v>461470.35</v>
      </c>
      <c r="J42" s="1074">
        <v>45559.16</v>
      </c>
      <c r="K42" s="1075">
        <v>45559.16</v>
      </c>
      <c r="L42" s="1075">
        <v>0</v>
      </c>
      <c r="M42" s="1075">
        <v>-0.01</v>
      </c>
      <c r="N42" s="1075">
        <v>0</v>
      </c>
      <c r="O42" s="1076">
        <f t="shared" si="29"/>
        <v>91118.310000000012</v>
      </c>
      <c r="P42" s="1377">
        <f t="shared" si="30"/>
        <v>-0.01</v>
      </c>
      <c r="Q42" s="1377">
        <f t="shared" si="31"/>
        <v>-0.01</v>
      </c>
      <c r="R42" s="1074">
        <v>174652.03</v>
      </c>
      <c r="S42" s="1075">
        <v>174652.03</v>
      </c>
      <c r="T42" s="1075">
        <v>0</v>
      </c>
      <c r="U42" s="1075">
        <v>-0.02</v>
      </c>
      <c r="V42" s="1075">
        <v>0</v>
      </c>
      <c r="W42" s="1077">
        <f t="shared" si="32"/>
        <v>349304.04</v>
      </c>
      <c r="X42" s="1377">
        <f t="shared" si="33"/>
        <v>-0.02</v>
      </c>
      <c r="Y42" s="1377">
        <f t="shared" si="34"/>
        <v>-0.02</v>
      </c>
      <c r="Z42" s="1074"/>
      <c r="AA42" s="1075"/>
      <c r="AB42" s="1075"/>
      <c r="AC42" s="1075"/>
      <c r="AD42" s="1075"/>
      <c r="AE42" s="1077">
        <f t="shared" si="35"/>
        <v>0</v>
      </c>
      <c r="AF42" s="1377">
        <f t="shared" si="36"/>
        <v>0</v>
      </c>
      <c r="AG42" s="1377">
        <f t="shared" si="37"/>
        <v>0</v>
      </c>
      <c r="AH42" s="1078">
        <v>0</v>
      </c>
      <c r="AI42" s="1079">
        <v>21048</v>
      </c>
      <c r="AJ42" s="1079">
        <v>0</v>
      </c>
      <c r="AK42" s="1079">
        <v>0</v>
      </c>
      <c r="AL42" s="1079">
        <v>0</v>
      </c>
      <c r="AM42" s="1080">
        <f t="shared" si="38"/>
        <v>21048</v>
      </c>
      <c r="AN42" s="1080">
        <f t="shared" si="39"/>
        <v>0</v>
      </c>
      <c r="AO42" s="1080">
        <f t="shared" si="40"/>
        <v>0</v>
      </c>
      <c r="AP42" s="1700"/>
      <c r="AQ42" s="1700"/>
      <c r="AR42" s="1700"/>
      <c r="AS42" s="1700"/>
      <c r="AT42" s="1700"/>
      <c r="AU42" s="1700">
        <f t="shared" si="41"/>
        <v>0</v>
      </c>
      <c r="AV42" s="1700">
        <f t="shared" si="42"/>
        <v>0</v>
      </c>
      <c r="AW42" s="1700">
        <f t="shared" si="43"/>
        <v>0</v>
      </c>
    </row>
    <row r="43" spans="1:49" s="237" customFormat="1" x14ac:dyDescent="0.2">
      <c r="A43" s="1070" t="s">
        <v>100</v>
      </c>
      <c r="B43" s="1071" t="s">
        <v>101</v>
      </c>
      <c r="C43" s="103" t="s">
        <v>267</v>
      </c>
      <c r="D43" s="1072">
        <f t="shared" si="23"/>
        <v>93580.57</v>
      </c>
      <c r="E43" s="1072">
        <f t="shared" si="24"/>
        <v>102049.57</v>
      </c>
      <c r="F43" s="1072">
        <f t="shared" si="25"/>
        <v>0</v>
      </c>
      <c r="G43" s="1073">
        <f t="shared" si="26"/>
        <v>-0.03</v>
      </c>
      <c r="H43" s="1073">
        <f t="shared" si="27"/>
        <v>-0.03</v>
      </c>
      <c r="I43" s="1378">
        <f t="shared" si="28"/>
        <v>195630.11000000002</v>
      </c>
      <c r="J43" s="1074">
        <v>47858.76</v>
      </c>
      <c r="K43" s="1075">
        <v>47858.76</v>
      </c>
      <c r="L43" s="1075">
        <v>0</v>
      </c>
      <c r="M43" s="1075">
        <v>-0.03</v>
      </c>
      <c r="N43" s="1075">
        <v>0</v>
      </c>
      <c r="O43" s="1076">
        <f t="shared" si="29"/>
        <v>95717.49</v>
      </c>
      <c r="P43" s="1377">
        <f t="shared" si="30"/>
        <v>-0.03</v>
      </c>
      <c r="Q43" s="1377">
        <f t="shared" si="31"/>
        <v>-0.03</v>
      </c>
      <c r="R43" s="1074">
        <v>45721.81</v>
      </c>
      <c r="S43" s="1075">
        <v>45721.81</v>
      </c>
      <c r="T43" s="1075">
        <v>0</v>
      </c>
      <c r="U43" s="1075">
        <v>0</v>
      </c>
      <c r="V43" s="1075">
        <v>0</v>
      </c>
      <c r="W43" s="1077">
        <f t="shared" si="32"/>
        <v>91443.62</v>
      </c>
      <c r="X43" s="1377">
        <f t="shared" si="33"/>
        <v>0</v>
      </c>
      <c r="Y43" s="1377">
        <f t="shared" si="34"/>
        <v>0</v>
      </c>
      <c r="Z43" s="1074"/>
      <c r="AA43" s="1075"/>
      <c r="AB43" s="1075"/>
      <c r="AC43" s="1075"/>
      <c r="AD43" s="1075"/>
      <c r="AE43" s="1077">
        <f t="shared" si="35"/>
        <v>0</v>
      </c>
      <c r="AF43" s="1377">
        <f t="shared" si="36"/>
        <v>0</v>
      </c>
      <c r="AG43" s="1377">
        <f t="shared" si="37"/>
        <v>0</v>
      </c>
      <c r="AH43" s="1078">
        <v>0</v>
      </c>
      <c r="AI43" s="1079">
        <v>8469</v>
      </c>
      <c r="AJ43" s="1079">
        <v>0</v>
      </c>
      <c r="AK43" s="1079">
        <v>0</v>
      </c>
      <c r="AL43" s="1079">
        <v>0</v>
      </c>
      <c r="AM43" s="1080">
        <f t="shared" si="38"/>
        <v>8469</v>
      </c>
      <c r="AN43" s="1080">
        <f t="shared" si="39"/>
        <v>0</v>
      </c>
      <c r="AO43" s="1080">
        <f t="shared" si="40"/>
        <v>0</v>
      </c>
      <c r="AP43" s="1700"/>
      <c r="AQ43" s="1700"/>
      <c r="AR43" s="1700"/>
      <c r="AS43" s="1700"/>
      <c r="AT43" s="1700"/>
      <c r="AU43" s="1700">
        <f t="shared" si="41"/>
        <v>0</v>
      </c>
      <c r="AV43" s="1700">
        <f t="shared" si="42"/>
        <v>0</v>
      </c>
      <c r="AW43" s="1700">
        <f t="shared" si="43"/>
        <v>0</v>
      </c>
    </row>
    <row r="44" spans="1:49" s="237" customFormat="1" x14ac:dyDescent="0.2">
      <c r="A44" s="1070" t="s">
        <v>102</v>
      </c>
      <c r="B44" s="1071" t="s">
        <v>103</v>
      </c>
      <c r="C44" s="103" t="s">
        <v>264</v>
      </c>
      <c r="D44" s="1072">
        <f t="shared" si="23"/>
        <v>63647.420000000006</v>
      </c>
      <c r="E44" s="1072">
        <f t="shared" si="24"/>
        <v>63244.43</v>
      </c>
      <c r="F44" s="1072">
        <f t="shared" si="25"/>
        <v>0</v>
      </c>
      <c r="G44" s="1073">
        <f t="shared" si="26"/>
        <v>-0.03</v>
      </c>
      <c r="H44" s="1073">
        <f t="shared" si="27"/>
        <v>-0.03</v>
      </c>
      <c r="I44" s="1378">
        <f t="shared" si="28"/>
        <v>126891.82</v>
      </c>
      <c r="J44" s="1074">
        <v>35410.43</v>
      </c>
      <c r="K44" s="1075">
        <v>35410.43</v>
      </c>
      <c r="L44" s="1075">
        <v>0</v>
      </c>
      <c r="M44" s="1075">
        <v>-0.04</v>
      </c>
      <c r="N44" s="1075">
        <v>0</v>
      </c>
      <c r="O44" s="1076">
        <f t="shared" si="29"/>
        <v>70820.820000000007</v>
      </c>
      <c r="P44" s="1377">
        <f t="shared" si="30"/>
        <v>-0.04</v>
      </c>
      <c r="Q44" s="1377">
        <f t="shared" si="31"/>
        <v>-0.04</v>
      </c>
      <c r="R44" s="1074">
        <v>28455.33</v>
      </c>
      <c r="S44" s="1075">
        <v>28455.33</v>
      </c>
      <c r="T44" s="1075">
        <v>0</v>
      </c>
      <c r="U44" s="1075">
        <v>0.01</v>
      </c>
      <c r="V44" s="1075">
        <v>0</v>
      </c>
      <c r="W44" s="1077">
        <f t="shared" si="32"/>
        <v>56910.670000000006</v>
      </c>
      <c r="X44" s="1377">
        <f t="shared" si="33"/>
        <v>0.01</v>
      </c>
      <c r="Y44" s="1377">
        <f t="shared" si="34"/>
        <v>0.01</v>
      </c>
      <c r="Z44" s="1078"/>
      <c r="AA44" s="1079"/>
      <c r="AB44" s="1079"/>
      <c r="AC44" s="1079"/>
      <c r="AD44" s="1079"/>
      <c r="AE44" s="1077">
        <f t="shared" si="35"/>
        <v>0</v>
      </c>
      <c r="AF44" s="1377">
        <f t="shared" si="36"/>
        <v>0</v>
      </c>
      <c r="AG44" s="1377">
        <f t="shared" si="37"/>
        <v>0</v>
      </c>
      <c r="AH44" s="1078">
        <v>-218.34</v>
      </c>
      <c r="AI44" s="1079">
        <v>-621.33000000000004</v>
      </c>
      <c r="AJ44" s="1079">
        <v>0</v>
      </c>
      <c r="AK44" s="1079">
        <v>0</v>
      </c>
      <c r="AL44" s="1079">
        <v>0</v>
      </c>
      <c r="AM44" s="1080">
        <f t="shared" si="38"/>
        <v>-839.67000000000007</v>
      </c>
      <c r="AN44" s="1080">
        <f t="shared" si="39"/>
        <v>0</v>
      </c>
      <c r="AO44" s="1080">
        <f t="shared" si="40"/>
        <v>0</v>
      </c>
      <c r="AP44" s="1700"/>
      <c r="AQ44" s="1700"/>
      <c r="AR44" s="1700"/>
      <c r="AS44" s="1700"/>
      <c r="AT44" s="1700"/>
      <c r="AU44" s="1700">
        <f t="shared" si="41"/>
        <v>0</v>
      </c>
      <c r="AV44" s="1700">
        <f t="shared" si="42"/>
        <v>0</v>
      </c>
      <c r="AW44" s="1700">
        <f t="shared" si="43"/>
        <v>0</v>
      </c>
    </row>
    <row r="45" spans="1:49" s="237" customFormat="1" x14ac:dyDescent="0.2">
      <c r="A45" s="1070" t="s">
        <v>104</v>
      </c>
      <c r="B45" s="1071" t="s">
        <v>309</v>
      </c>
      <c r="C45" s="103" t="s">
        <v>265</v>
      </c>
      <c r="D45" s="1072">
        <f t="shared" si="23"/>
        <v>319246.94000000006</v>
      </c>
      <c r="E45" s="1072">
        <f t="shared" si="24"/>
        <v>338148.83</v>
      </c>
      <c r="F45" s="1072">
        <f t="shared" si="25"/>
        <v>0</v>
      </c>
      <c r="G45" s="1073">
        <f t="shared" si="26"/>
        <v>-0.17</v>
      </c>
      <c r="H45" s="1073">
        <f t="shared" si="27"/>
        <v>-0.17</v>
      </c>
      <c r="I45" s="1378">
        <f t="shared" si="28"/>
        <v>657395.6</v>
      </c>
      <c r="J45" s="1074">
        <v>106684.22</v>
      </c>
      <c r="K45" s="1075">
        <v>106684.22</v>
      </c>
      <c r="L45" s="1075">
        <v>0</v>
      </c>
      <c r="M45" s="1075">
        <v>-0.17</v>
      </c>
      <c r="N45" s="1075">
        <v>0</v>
      </c>
      <c r="O45" s="1076">
        <f t="shared" si="29"/>
        <v>213368.27</v>
      </c>
      <c r="P45" s="1377">
        <f t="shared" si="30"/>
        <v>-0.17</v>
      </c>
      <c r="Q45" s="1377">
        <f t="shared" si="31"/>
        <v>-0.17</v>
      </c>
      <c r="R45" s="1074">
        <v>210719.7</v>
      </c>
      <c r="S45" s="1075">
        <v>210719.7</v>
      </c>
      <c r="T45" s="1075">
        <v>0</v>
      </c>
      <c r="U45" s="1075">
        <v>0</v>
      </c>
      <c r="V45" s="1075">
        <v>0</v>
      </c>
      <c r="W45" s="1077">
        <f t="shared" si="32"/>
        <v>421439.4</v>
      </c>
      <c r="X45" s="1377">
        <f t="shared" si="33"/>
        <v>0</v>
      </c>
      <c r="Y45" s="1377">
        <f t="shared" si="34"/>
        <v>0</v>
      </c>
      <c r="Z45" s="1074"/>
      <c r="AA45" s="1075"/>
      <c r="AB45" s="1075"/>
      <c r="AC45" s="1075"/>
      <c r="AD45" s="1075"/>
      <c r="AE45" s="1077">
        <f t="shared" si="35"/>
        <v>0</v>
      </c>
      <c r="AF45" s="1377">
        <f t="shared" si="36"/>
        <v>0</v>
      </c>
      <c r="AG45" s="1377">
        <f t="shared" si="37"/>
        <v>0</v>
      </c>
      <c r="AH45" s="1078">
        <v>1843.02</v>
      </c>
      <c r="AI45" s="1079">
        <v>20744.91</v>
      </c>
      <c r="AJ45" s="1079">
        <v>0</v>
      </c>
      <c r="AK45" s="1079">
        <v>0</v>
      </c>
      <c r="AL45" s="1079">
        <v>0</v>
      </c>
      <c r="AM45" s="1080">
        <f t="shared" si="38"/>
        <v>22587.93</v>
      </c>
      <c r="AN45" s="1080">
        <f t="shared" si="39"/>
        <v>0</v>
      </c>
      <c r="AO45" s="1080">
        <f t="shared" si="40"/>
        <v>0</v>
      </c>
      <c r="AP45" s="1700"/>
      <c r="AQ45" s="1700"/>
      <c r="AR45" s="1700"/>
      <c r="AS45" s="1700"/>
      <c r="AT45" s="1700"/>
      <c r="AU45" s="1700">
        <f t="shared" si="41"/>
        <v>0</v>
      </c>
      <c r="AV45" s="1700">
        <f t="shared" si="42"/>
        <v>0</v>
      </c>
      <c r="AW45" s="1700">
        <f t="shared" si="43"/>
        <v>0</v>
      </c>
    </row>
    <row r="46" spans="1:49" s="237" customFormat="1" x14ac:dyDescent="0.2">
      <c r="A46" s="1070" t="s">
        <v>108</v>
      </c>
      <c r="B46" s="1071" t="s">
        <v>109</v>
      </c>
      <c r="C46" s="103" t="s">
        <v>266</v>
      </c>
      <c r="D46" s="1072">
        <f t="shared" si="23"/>
        <v>461127.02999999997</v>
      </c>
      <c r="E46" s="1072">
        <f t="shared" si="24"/>
        <v>580597.16999999993</v>
      </c>
      <c r="F46" s="1072">
        <f t="shared" si="25"/>
        <v>0</v>
      </c>
      <c r="G46" s="1073">
        <f t="shared" si="26"/>
        <v>-0.26</v>
      </c>
      <c r="H46" s="1073">
        <f t="shared" si="27"/>
        <v>-0.26</v>
      </c>
      <c r="I46" s="1378">
        <f t="shared" si="28"/>
        <v>1041723.94</v>
      </c>
      <c r="J46" s="1074">
        <v>185008.05</v>
      </c>
      <c r="K46" s="1075">
        <v>185008.05</v>
      </c>
      <c r="L46" s="1075">
        <v>0</v>
      </c>
      <c r="M46" s="1075">
        <v>-0.23</v>
      </c>
      <c r="N46" s="1075">
        <v>0</v>
      </c>
      <c r="O46" s="1076">
        <f t="shared" si="29"/>
        <v>370015.87</v>
      </c>
      <c r="P46" s="1377">
        <f t="shared" si="30"/>
        <v>-0.23</v>
      </c>
      <c r="Q46" s="1377">
        <f t="shared" si="31"/>
        <v>-0.23</v>
      </c>
      <c r="R46" s="1074">
        <v>234639.81</v>
      </c>
      <c r="S46" s="1075">
        <v>234639.81</v>
      </c>
      <c r="T46" s="1075">
        <v>0</v>
      </c>
      <c r="U46" s="1075">
        <v>-0.01</v>
      </c>
      <c r="V46" s="1075">
        <v>0</v>
      </c>
      <c r="W46" s="1077">
        <f t="shared" si="32"/>
        <v>469279.61</v>
      </c>
      <c r="X46" s="1377">
        <f t="shared" si="33"/>
        <v>-0.01</v>
      </c>
      <c r="Y46" s="1377">
        <f t="shared" si="34"/>
        <v>-0.01</v>
      </c>
      <c r="Z46" s="1074"/>
      <c r="AA46" s="1075"/>
      <c r="AB46" s="1075"/>
      <c r="AC46" s="1075"/>
      <c r="AD46" s="1075"/>
      <c r="AE46" s="1077">
        <f t="shared" si="35"/>
        <v>0</v>
      </c>
      <c r="AF46" s="1377">
        <f t="shared" si="36"/>
        <v>0</v>
      </c>
      <c r="AG46" s="1377">
        <f t="shared" si="37"/>
        <v>0</v>
      </c>
      <c r="AH46" s="1078">
        <v>41479.17</v>
      </c>
      <c r="AI46" s="1079">
        <v>160949.31</v>
      </c>
      <c r="AJ46" s="1079">
        <v>0</v>
      </c>
      <c r="AK46" s="1079">
        <v>-0.02</v>
      </c>
      <c r="AL46" s="1079">
        <v>0</v>
      </c>
      <c r="AM46" s="1080">
        <f t="shared" si="38"/>
        <v>202428.46</v>
      </c>
      <c r="AN46" s="1080">
        <f t="shared" si="39"/>
        <v>-0.02</v>
      </c>
      <c r="AO46" s="1080">
        <f t="shared" si="40"/>
        <v>-0.02</v>
      </c>
      <c r="AP46" s="1700"/>
      <c r="AQ46" s="1700"/>
      <c r="AR46" s="1700"/>
      <c r="AS46" s="1700"/>
      <c r="AT46" s="1700"/>
      <c r="AU46" s="1700">
        <f t="shared" si="41"/>
        <v>0</v>
      </c>
      <c r="AV46" s="1700">
        <f t="shared" si="42"/>
        <v>0</v>
      </c>
      <c r="AW46" s="1700">
        <f t="shared" si="43"/>
        <v>0</v>
      </c>
    </row>
    <row r="47" spans="1:49" s="237" customFormat="1" x14ac:dyDescent="0.2">
      <c r="A47" s="1070" t="s">
        <v>110</v>
      </c>
      <c r="B47" s="1071" t="s">
        <v>111</v>
      </c>
      <c r="C47" s="103" t="s">
        <v>266</v>
      </c>
      <c r="D47" s="1072">
        <f t="shared" si="23"/>
        <v>1379524.9300000002</v>
      </c>
      <c r="E47" s="1072">
        <f t="shared" si="24"/>
        <v>1785503.1600000001</v>
      </c>
      <c r="F47" s="1072">
        <f t="shared" si="25"/>
        <v>0</v>
      </c>
      <c r="G47" s="1073">
        <f t="shared" si="26"/>
        <v>8937.16</v>
      </c>
      <c r="H47" s="1073">
        <f t="shared" si="27"/>
        <v>8937.16</v>
      </c>
      <c r="I47" s="1378">
        <f t="shared" si="28"/>
        <v>3173965.2500000005</v>
      </c>
      <c r="J47" s="1074">
        <v>680496.52</v>
      </c>
      <c r="K47" s="1075">
        <v>680496.52</v>
      </c>
      <c r="L47" s="1075">
        <v>0</v>
      </c>
      <c r="M47" s="1075">
        <v>8937.2199999999993</v>
      </c>
      <c r="N47" s="1075">
        <v>0</v>
      </c>
      <c r="O47" s="1076">
        <f t="shared" si="29"/>
        <v>1369930.26</v>
      </c>
      <c r="P47" s="1377">
        <f t="shared" si="30"/>
        <v>8937.2199999999993</v>
      </c>
      <c r="Q47" s="1377">
        <f t="shared" si="31"/>
        <v>8937.2199999999993</v>
      </c>
      <c r="R47" s="1074">
        <v>573954.76</v>
      </c>
      <c r="S47" s="1075">
        <v>573954.76</v>
      </c>
      <c r="T47" s="1075">
        <v>0</v>
      </c>
      <c r="U47" s="1075">
        <v>-0.06</v>
      </c>
      <c r="V47" s="1075">
        <v>0</v>
      </c>
      <c r="W47" s="1077">
        <f t="shared" si="32"/>
        <v>1147909.46</v>
      </c>
      <c r="X47" s="1377">
        <f t="shared" si="33"/>
        <v>-0.06</v>
      </c>
      <c r="Y47" s="1377">
        <f t="shared" si="34"/>
        <v>-0.06</v>
      </c>
      <c r="Z47" s="1074"/>
      <c r="AA47" s="1075"/>
      <c r="AB47" s="1075"/>
      <c r="AC47" s="1075"/>
      <c r="AD47" s="1075"/>
      <c r="AE47" s="1077">
        <f t="shared" si="35"/>
        <v>0</v>
      </c>
      <c r="AF47" s="1377">
        <f t="shared" si="36"/>
        <v>0</v>
      </c>
      <c r="AG47" s="1377">
        <f t="shared" si="37"/>
        <v>0</v>
      </c>
      <c r="AH47" s="1078">
        <v>123380.63</v>
      </c>
      <c r="AI47" s="1079">
        <v>531051.88</v>
      </c>
      <c r="AJ47" s="1079">
        <v>0</v>
      </c>
      <c r="AK47" s="1079">
        <v>0</v>
      </c>
      <c r="AL47" s="1079">
        <v>0</v>
      </c>
      <c r="AM47" s="1080">
        <f t="shared" si="38"/>
        <v>654432.51</v>
      </c>
      <c r="AN47" s="1080">
        <f t="shared" si="39"/>
        <v>0</v>
      </c>
      <c r="AO47" s="1080">
        <f t="shared" si="40"/>
        <v>0</v>
      </c>
      <c r="AP47" s="1700">
        <v>1693.02</v>
      </c>
      <c r="AQ47" s="1700"/>
      <c r="AR47" s="1700"/>
      <c r="AS47" s="1700"/>
      <c r="AT47" s="1700"/>
      <c r="AU47" s="1700">
        <f t="shared" si="41"/>
        <v>1693.02</v>
      </c>
      <c r="AV47" s="1700">
        <f t="shared" si="42"/>
        <v>0</v>
      </c>
      <c r="AW47" s="1700">
        <f t="shared" si="43"/>
        <v>0</v>
      </c>
    </row>
    <row r="48" spans="1:49" s="237" customFormat="1" x14ac:dyDescent="0.2">
      <c r="A48" s="1070" t="s">
        <v>112</v>
      </c>
      <c r="B48" s="1071" t="s">
        <v>300</v>
      </c>
      <c r="C48" s="103" t="s">
        <v>265</v>
      </c>
      <c r="D48" s="1072">
        <f t="shared" si="23"/>
        <v>521356.73</v>
      </c>
      <c r="E48" s="1072">
        <f t="shared" si="24"/>
        <v>606160.73</v>
      </c>
      <c r="F48" s="1072">
        <f t="shared" si="25"/>
        <v>0</v>
      </c>
      <c r="G48" s="1073">
        <f t="shared" si="26"/>
        <v>-0.08</v>
      </c>
      <c r="H48" s="1073">
        <f t="shared" si="27"/>
        <v>-0.08</v>
      </c>
      <c r="I48" s="1378">
        <f t="shared" si="28"/>
        <v>1127517.3799999999</v>
      </c>
      <c r="J48" s="1074">
        <v>227962.72999999998</v>
      </c>
      <c r="K48" s="1075">
        <v>227962.72999999998</v>
      </c>
      <c r="L48" s="1075">
        <v>0</v>
      </c>
      <c r="M48" s="1075">
        <v>-0.08</v>
      </c>
      <c r="N48" s="1075">
        <v>0</v>
      </c>
      <c r="O48" s="1076">
        <f t="shared" si="29"/>
        <v>455925.37999999995</v>
      </c>
      <c r="P48" s="1377">
        <f t="shared" si="30"/>
        <v>-0.08</v>
      </c>
      <c r="Q48" s="1377">
        <f t="shared" si="31"/>
        <v>-0.08</v>
      </c>
      <c r="R48" s="1074">
        <v>293394</v>
      </c>
      <c r="S48" s="1075">
        <v>293394</v>
      </c>
      <c r="T48" s="1075">
        <v>0</v>
      </c>
      <c r="U48" s="1075">
        <v>0</v>
      </c>
      <c r="V48" s="1075">
        <v>0</v>
      </c>
      <c r="W48" s="1077">
        <f t="shared" si="32"/>
        <v>586788</v>
      </c>
      <c r="X48" s="1377">
        <f t="shared" si="33"/>
        <v>0</v>
      </c>
      <c r="Y48" s="1377">
        <f t="shared" si="34"/>
        <v>0</v>
      </c>
      <c r="Z48" s="1074"/>
      <c r="AA48" s="1075"/>
      <c r="AB48" s="1075"/>
      <c r="AC48" s="1075"/>
      <c r="AD48" s="1075"/>
      <c r="AE48" s="1077">
        <f t="shared" si="35"/>
        <v>0</v>
      </c>
      <c r="AF48" s="1377">
        <f t="shared" si="36"/>
        <v>0</v>
      </c>
      <c r="AG48" s="1377">
        <f t="shared" si="37"/>
        <v>0</v>
      </c>
      <c r="AH48" s="1078">
        <v>0</v>
      </c>
      <c r="AI48" s="1079">
        <v>84804</v>
      </c>
      <c r="AJ48" s="1079">
        <v>0</v>
      </c>
      <c r="AK48" s="1079">
        <v>0</v>
      </c>
      <c r="AL48" s="1079">
        <v>0</v>
      </c>
      <c r="AM48" s="1080">
        <f t="shared" si="38"/>
        <v>84804</v>
      </c>
      <c r="AN48" s="1080">
        <f t="shared" si="39"/>
        <v>0</v>
      </c>
      <c r="AO48" s="1080">
        <f t="shared" si="40"/>
        <v>0</v>
      </c>
      <c r="AP48" s="1700"/>
      <c r="AQ48" s="1700"/>
      <c r="AR48" s="1700"/>
      <c r="AS48" s="1700"/>
      <c r="AT48" s="1700"/>
      <c r="AU48" s="1700">
        <f t="shared" si="41"/>
        <v>0</v>
      </c>
      <c r="AV48" s="1700">
        <f t="shared" si="42"/>
        <v>0</v>
      </c>
      <c r="AW48" s="1700">
        <f t="shared" si="43"/>
        <v>0</v>
      </c>
    </row>
    <row r="49" spans="1:49" s="237" customFormat="1" x14ac:dyDescent="0.2">
      <c r="A49" s="1070" t="s">
        <v>114</v>
      </c>
      <c r="B49" s="1071" t="s">
        <v>115</v>
      </c>
      <c r="C49" s="103" t="s">
        <v>265</v>
      </c>
      <c r="D49" s="1072">
        <f t="shared" si="23"/>
        <v>13524.5</v>
      </c>
      <c r="E49" s="1072">
        <f t="shared" si="24"/>
        <v>13524.5</v>
      </c>
      <c r="F49" s="1072">
        <f t="shared" si="25"/>
        <v>0</v>
      </c>
      <c r="G49" s="1073">
        <f t="shared" si="26"/>
        <v>-0.01</v>
      </c>
      <c r="H49" s="1073">
        <f t="shared" si="27"/>
        <v>-0.01</v>
      </c>
      <c r="I49" s="1378">
        <f t="shared" si="28"/>
        <v>27048.99</v>
      </c>
      <c r="J49" s="1074">
        <v>2442.5</v>
      </c>
      <c r="K49" s="1075">
        <v>2442.5</v>
      </c>
      <c r="L49" s="1075">
        <v>0</v>
      </c>
      <c r="M49" s="1075">
        <v>-0.01</v>
      </c>
      <c r="N49" s="1075">
        <v>0</v>
      </c>
      <c r="O49" s="1076">
        <f t="shared" si="29"/>
        <v>4884.99</v>
      </c>
      <c r="P49" s="1377">
        <f t="shared" si="30"/>
        <v>-0.01</v>
      </c>
      <c r="Q49" s="1377">
        <f t="shared" si="31"/>
        <v>-0.01</v>
      </c>
      <c r="R49" s="1074">
        <v>11082</v>
      </c>
      <c r="S49" s="1075">
        <v>11082</v>
      </c>
      <c r="T49" s="1075">
        <v>0</v>
      </c>
      <c r="U49" s="1075">
        <v>0</v>
      </c>
      <c r="V49" s="1075">
        <v>0</v>
      </c>
      <c r="W49" s="1077">
        <f t="shared" si="32"/>
        <v>22164</v>
      </c>
      <c r="X49" s="1377">
        <f t="shared" si="33"/>
        <v>0</v>
      </c>
      <c r="Y49" s="1377">
        <f t="shared" si="34"/>
        <v>0</v>
      </c>
      <c r="Z49" s="1078"/>
      <c r="AA49" s="1079"/>
      <c r="AB49" s="1079"/>
      <c r="AC49" s="1079"/>
      <c r="AD49" s="1079"/>
      <c r="AE49" s="1077">
        <f t="shared" si="35"/>
        <v>0</v>
      </c>
      <c r="AF49" s="1377">
        <f t="shared" si="36"/>
        <v>0</v>
      </c>
      <c r="AG49" s="1377">
        <f t="shared" si="37"/>
        <v>0</v>
      </c>
      <c r="AH49" s="1078"/>
      <c r="AI49" s="1079"/>
      <c r="AJ49" s="1079"/>
      <c r="AK49" s="1079"/>
      <c r="AL49" s="1079"/>
      <c r="AM49" s="1080">
        <f t="shared" si="38"/>
        <v>0</v>
      </c>
      <c r="AN49" s="1080">
        <f t="shared" si="39"/>
        <v>0</v>
      </c>
      <c r="AO49" s="1080">
        <f t="shared" si="40"/>
        <v>0</v>
      </c>
      <c r="AP49" s="1700"/>
      <c r="AQ49" s="1700"/>
      <c r="AR49" s="1700"/>
      <c r="AS49" s="1700"/>
      <c r="AT49" s="1700"/>
      <c r="AU49" s="1700">
        <f t="shared" si="41"/>
        <v>0</v>
      </c>
      <c r="AV49" s="1700">
        <f t="shared" si="42"/>
        <v>0</v>
      </c>
      <c r="AW49" s="1700">
        <f t="shared" si="43"/>
        <v>0</v>
      </c>
    </row>
    <row r="50" spans="1:49" s="237" customFormat="1" x14ac:dyDescent="0.2">
      <c r="A50" s="1070" t="s">
        <v>118</v>
      </c>
      <c r="B50" s="1071" t="s">
        <v>119</v>
      </c>
      <c r="C50" s="103" t="s">
        <v>264</v>
      </c>
      <c r="D50" s="1072">
        <f t="shared" si="23"/>
        <v>109474.19</v>
      </c>
      <c r="E50" s="1072">
        <f t="shared" si="24"/>
        <v>157997.06</v>
      </c>
      <c r="F50" s="1072">
        <f t="shared" si="25"/>
        <v>0</v>
      </c>
      <c r="G50" s="1073">
        <f t="shared" si="26"/>
        <v>1005.95</v>
      </c>
      <c r="H50" s="1073">
        <f t="shared" si="27"/>
        <v>1005.95</v>
      </c>
      <c r="I50" s="1378">
        <f t="shared" si="28"/>
        <v>268477.2</v>
      </c>
      <c r="J50" s="1074">
        <v>28262.99</v>
      </c>
      <c r="K50" s="1075">
        <v>28262.99</v>
      </c>
      <c r="L50" s="1075">
        <v>0</v>
      </c>
      <c r="M50" s="1075">
        <v>1005.97</v>
      </c>
      <c r="N50" s="1075">
        <v>0</v>
      </c>
      <c r="O50" s="1076">
        <f t="shared" si="29"/>
        <v>57531.950000000004</v>
      </c>
      <c r="P50" s="1377">
        <f t="shared" si="30"/>
        <v>1005.97</v>
      </c>
      <c r="Q50" s="1377">
        <f t="shared" si="31"/>
        <v>1005.97</v>
      </c>
      <c r="R50" s="1074">
        <v>75648.88</v>
      </c>
      <c r="S50" s="1075">
        <v>75648.88</v>
      </c>
      <c r="T50" s="1075">
        <v>0</v>
      </c>
      <c r="U50" s="1075">
        <v>-0.01</v>
      </c>
      <c r="V50" s="1075">
        <v>0</v>
      </c>
      <c r="W50" s="1077">
        <f t="shared" si="32"/>
        <v>151297.75</v>
      </c>
      <c r="X50" s="1377">
        <f t="shared" si="33"/>
        <v>-0.01</v>
      </c>
      <c r="Y50" s="1377">
        <f t="shared" si="34"/>
        <v>-0.01</v>
      </c>
      <c r="Z50" s="1074"/>
      <c r="AA50" s="1075"/>
      <c r="AB50" s="1075"/>
      <c r="AC50" s="1075"/>
      <c r="AD50" s="1075"/>
      <c r="AE50" s="1077">
        <f t="shared" si="35"/>
        <v>0</v>
      </c>
      <c r="AF50" s="1377">
        <f t="shared" si="36"/>
        <v>0</v>
      </c>
      <c r="AG50" s="1377">
        <f t="shared" si="37"/>
        <v>0</v>
      </c>
      <c r="AH50" s="1078">
        <v>5562.32</v>
      </c>
      <c r="AI50" s="1079">
        <v>54085.19</v>
      </c>
      <c r="AJ50" s="1079">
        <v>0</v>
      </c>
      <c r="AK50" s="1079">
        <v>-0.01</v>
      </c>
      <c r="AL50" s="1079">
        <v>0</v>
      </c>
      <c r="AM50" s="1080">
        <f t="shared" si="38"/>
        <v>59647.5</v>
      </c>
      <c r="AN50" s="1080">
        <f t="shared" si="39"/>
        <v>-0.01</v>
      </c>
      <c r="AO50" s="1080">
        <f t="shared" si="40"/>
        <v>-0.01</v>
      </c>
      <c r="AP50" s="1700"/>
      <c r="AQ50" s="1700"/>
      <c r="AR50" s="1700"/>
      <c r="AS50" s="1700"/>
      <c r="AT50" s="1700"/>
      <c r="AU50" s="1700">
        <f t="shared" si="41"/>
        <v>0</v>
      </c>
      <c r="AV50" s="1700">
        <f t="shared" si="42"/>
        <v>0</v>
      </c>
      <c r="AW50" s="1700">
        <f t="shared" si="43"/>
        <v>0</v>
      </c>
    </row>
    <row r="51" spans="1:49" s="237" customFormat="1" x14ac:dyDescent="0.2">
      <c r="A51" s="1070" t="s">
        <v>120</v>
      </c>
      <c r="B51" s="1071" t="s">
        <v>121</v>
      </c>
      <c r="C51" s="103" t="s">
        <v>264</v>
      </c>
      <c r="D51" s="1072">
        <f t="shared" si="23"/>
        <v>391414.84</v>
      </c>
      <c r="E51" s="1072">
        <f t="shared" si="24"/>
        <v>435636.77</v>
      </c>
      <c r="F51" s="1072">
        <f t="shared" si="25"/>
        <v>0</v>
      </c>
      <c r="G51" s="1073">
        <f t="shared" si="26"/>
        <v>-0.04</v>
      </c>
      <c r="H51" s="1073">
        <f t="shared" si="27"/>
        <v>-0.04</v>
      </c>
      <c r="I51" s="1378">
        <f t="shared" si="28"/>
        <v>827051.57000000007</v>
      </c>
      <c r="J51" s="1074">
        <v>38444.57</v>
      </c>
      <c r="K51" s="1075">
        <v>38444.57</v>
      </c>
      <c r="L51" s="1075">
        <v>0</v>
      </c>
      <c r="M51" s="1075">
        <v>-0.03</v>
      </c>
      <c r="N51" s="1075">
        <v>0</v>
      </c>
      <c r="O51" s="1076">
        <f t="shared" si="29"/>
        <v>76889.11</v>
      </c>
      <c r="P51" s="1377">
        <f t="shared" si="30"/>
        <v>-0.03</v>
      </c>
      <c r="Q51" s="1377">
        <f t="shared" si="31"/>
        <v>-0.03</v>
      </c>
      <c r="R51" s="1074">
        <v>336942.08000000002</v>
      </c>
      <c r="S51" s="1075">
        <v>336942.08000000002</v>
      </c>
      <c r="T51" s="1075">
        <v>0</v>
      </c>
      <c r="U51" s="1075">
        <v>0</v>
      </c>
      <c r="V51" s="1075">
        <v>0</v>
      </c>
      <c r="W51" s="1077">
        <f t="shared" si="32"/>
        <v>673884.16000000003</v>
      </c>
      <c r="X51" s="1377">
        <f t="shared" si="33"/>
        <v>0</v>
      </c>
      <c r="Y51" s="1377">
        <f t="shared" si="34"/>
        <v>0</v>
      </c>
      <c r="Z51" s="1074"/>
      <c r="AA51" s="1075"/>
      <c r="AB51" s="1075"/>
      <c r="AC51" s="1075"/>
      <c r="AD51" s="1075"/>
      <c r="AE51" s="1077">
        <f t="shared" si="35"/>
        <v>0</v>
      </c>
      <c r="AF51" s="1377">
        <f t="shared" si="36"/>
        <v>0</v>
      </c>
      <c r="AG51" s="1377">
        <f t="shared" si="37"/>
        <v>0</v>
      </c>
      <c r="AH51" s="1078">
        <v>16028.19</v>
      </c>
      <c r="AI51" s="1079">
        <v>60250.12</v>
      </c>
      <c r="AJ51" s="1079">
        <v>0</v>
      </c>
      <c r="AK51" s="1079">
        <v>-0.01</v>
      </c>
      <c r="AL51" s="1079">
        <v>0</v>
      </c>
      <c r="AM51" s="1080">
        <f t="shared" si="38"/>
        <v>76278.3</v>
      </c>
      <c r="AN51" s="1080">
        <f t="shared" si="39"/>
        <v>-0.01</v>
      </c>
      <c r="AO51" s="1080">
        <f t="shared" si="40"/>
        <v>-0.01</v>
      </c>
      <c r="AP51" s="1700"/>
      <c r="AQ51" s="1700"/>
      <c r="AR51" s="1700"/>
      <c r="AS51" s="1700"/>
      <c r="AT51" s="1700"/>
      <c r="AU51" s="1700">
        <f t="shared" si="41"/>
        <v>0</v>
      </c>
      <c r="AV51" s="1700">
        <f t="shared" si="42"/>
        <v>0</v>
      </c>
      <c r="AW51" s="1700">
        <f t="shared" si="43"/>
        <v>0</v>
      </c>
    </row>
    <row r="52" spans="1:49" s="237" customFormat="1" x14ac:dyDescent="0.2">
      <c r="A52" s="1070" t="s">
        <v>122</v>
      </c>
      <c r="B52" s="1071" t="s">
        <v>271</v>
      </c>
      <c r="C52" s="103" t="s">
        <v>266</v>
      </c>
      <c r="D52" s="1072">
        <f t="shared" si="23"/>
        <v>71341.67</v>
      </c>
      <c r="E52" s="1072">
        <f t="shared" si="24"/>
        <v>121533.69</v>
      </c>
      <c r="F52" s="1072">
        <f t="shared" si="25"/>
        <v>0</v>
      </c>
      <c r="G52" s="1073">
        <f t="shared" si="26"/>
        <v>0.03</v>
      </c>
      <c r="H52" s="1073">
        <f t="shared" si="27"/>
        <v>0.03</v>
      </c>
      <c r="I52" s="1378">
        <f t="shared" si="28"/>
        <v>192875.38999999998</v>
      </c>
      <c r="J52" s="1074">
        <v>25771.78</v>
      </c>
      <c r="K52" s="1075">
        <v>25771.78</v>
      </c>
      <c r="L52" s="1075">
        <v>0</v>
      </c>
      <c r="M52" s="1075">
        <v>0.03</v>
      </c>
      <c r="N52" s="1075">
        <v>0</v>
      </c>
      <c r="O52" s="1076">
        <f t="shared" si="29"/>
        <v>51543.59</v>
      </c>
      <c r="P52" s="1377">
        <f t="shared" si="30"/>
        <v>0.03</v>
      </c>
      <c r="Q52" s="1377">
        <f t="shared" si="31"/>
        <v>0.03</v>
      </c>
      <c r="R52" s="1074">
        <v>42490</v>
      </c>
      <c r="S52" s="1075">
        <v>42490</v>
      </c>
      <c r="T52" s="1075">
        <v>0</v>
      </c>
      <c r="U52" s="1075">
        <v>0</v>
      </c>
      <c r="V52" s="1075">
        <v>0</v>
      </c>
      <c r="W52" s="1077">
        <f t="shared" si="32"/>
        <v>84980</v>
      </c>
      <c r="X52" s="1377">
        <f t="shared" si="33"/>
        <v>0</v>
      </c>
      <c r="Y52" s="1377">
        <f t="shared" si="34"/>
        <v>0</v>
      </c>
      <c r="Z52" s="1074"/>
      <c r="AA52" s="1075"/>
      <c r="AB52" s="1075"/>
      <c r="AC52" s="1075"/>
      <c r="AD52" s="1075"/>
      <c r="AE52" s="1077">
        <f t="shared" si="35"/>
        <v>0</v>
      </c>
      <c r="AF52" s="1377">
        <f t="shared" si="36"/>
        <v>0</v>
      </c>
      <c r="AG52" s="1377">
        <f t="shared" si="37"/>
        <v>0</v>
      </c>
      <c r="AH52" s="1078">
        <v>3079.89</v>
      </c>
      <c r="AI52" s="1079">
        <v>53271.91</v>
      </c>
      <c r="AJ52" s="1079">
        <v>0</v>
      </c>
      <c r="AK52" s="1079">
        <v>0</v>
      </c>
      <c r="AL52" s="1079">
        <v>0</v>
      </c>
      <c r="AM52" s="1080">
        <f t="shared" si="38"/>
        <v>56351.8</v>
      </c>
      <c r="AN52" s="1080">
        <f t="shared" si="39"/>
        <v>0</v>
      </c>
      <c r="AO52" s="1080">
        <f t="shared" si="40"/>
        <v>0</v>
      </c>
      <c r="AP52" s="1700"/>
      <c r="AQ52" s="1700"/>
      <c r="AR52" s="1700"/>
      <c r="AS52" s="1700"/>
      <c r="AT52" s="1700"/>
      <c r="AU52" s="1700">
        <f t="shared" si="41"/>
        <v>0</v>
      </c>
      <c r="AV52" s="1700">
        <f t="shared" si="42"/>
        <v>0</v>
      </c>
      <c r="AW52" s="1700">
        <f t="shared" si="43"/>
        <v>0</v>
      </c>
    </row>
    <row r="53" spans="1:49" s="237" customFormat="1" x14ac:dyDescent="0.2">
      <c r="A53" s="1070" t="s">
        <v>124</v>
      </c>
      <c r="B53" s="1071" t="s">
        <v>125</v>
      </c>
      <c r="C53" s="103" t="s">
        <v>267</v>
      </c>
      <c r="D53" s="1072">
        <f t="shared" si="23"/>
        <v>78147.459999999992</v>
      </c>
      <c r="E53" s="1072">
        <f t="shared" si="24"/>
        <v>121892.56</v>
      </c>
      <c r="F53" s="1072">
        <f t="shared" si="25"/>
        <v>0</v>
      </c>
      <c r="G53" s="1073">
        <f t="shared" si="26"/>
        <v>-0.05</v>
      </c>
      <c r="H53" s="1073">
        <f t="shared" si="27"/>
        <v>-0.05</v>
      </c>
      <c r="I53" s="1378">
        <f t="shared" si="28"/>
        <v>200039.97</v>
      </c>
      <c r="J53" s="1074">
        <v>12730.31</v>
      </c>
      <c r="K53" s="1075">
        <v>12730.31</v>
      </c>
      <c r="L53" s="1075">
        <v>0</v>
      </c>
      <c r="M53" s="1075">
        <v>-0.03</v>
      </c>
      <c r="N53" s="1075">
        <v>0</v>
      </c>
      <c r="O53" s="1076">
        <f t="shared" si="29"/>
        <v>25460.59</v>
      </c>
      <c r="P53" s="1377">
        <f t="shared" si="30"/>
        <v>-0.03</v>
      </c>
      <c r="Q53" s="1377">
        <f t="shared" si="31"/>
        <v>-0.03</v>
      </c>
      <c r="R53" s="1074">
        <v>64477.5</v>
      </c>
      <c r="S53" s="1075">
        <v>64477.5</v>
      </c>
      <c r="T53" s="1075">
        <v>0</v>
      </c>
      <c r="U53" s="1075">
        <v>0</v>
      </c>
      <c r="V53" s="1075">
        <v>0</v>
      </c>
      <c r="W53" s="1077">
        <f t="shared" si="32"/>
        <v>128955</v>
      </c>
      <c r="X53" s="1377">
        <f t="shared" si="33"/>
        <v>0</v>
      </c>
      <c r="Y53" s="1377">
        <f t="shared" si="34"/>
        <v>0</v>
      </c>
      <c r="Z53" s="1074"/>
      <c r="AA53" s="1075"/>
      <c r="AB53" s="1075"/>
      <c r="AC53" s="1075"/>
      <c r="AD53" s="1075"/>
      <c r="AE53" s="1077">
        <f t="shared" si="35"/>
        <v>0</v>
      </c>
      <c r="AF53" s="1377">
        <f t="shared" si="36"/>
        <v>0</v>
      </c>
      <c r="AG53" s="1377">
        <f t="shared" si="37"/>
        <v>0</v>
      </c>
      <c r="AH53" s="1078">
        <v>939.65</v>
      </c>
      <c r="AI53" s="1079">
        <v>44684.75</v>
      </c>
      <c r="AJ53" s="1079">
        <v>0</v>
      </c>
      <c r="AK53" s="1079">
        <v>-0.02</v>
      </c>
      <c r="AL53" s="1079">
        <v>0</v>
      </c>
      <c r="AM53" s="1080">
        <f t="shared" si="38"/>
        <v>45624.380000000005</v>
      </c>
      <c r="AN53" s="1080">
        <f t="shared" si="39"/>
        <v>-0.02</v>
      </c>
      <c r="AO53" s="1080">
        <f t="shared" si="40"/>
        <v>-0.02</v>
      </c>
      <c r="AP53" s="1700"/>
      <c r="AQ53" s="1700"/>
      <c r="AR53" s="1700"/>
      <c r="AS53" s="1700"/>
      <c r="AT53" s="1700"/>
      <c r="AU53" s="1700">
        <f t="shared" si="41"/>
        <v>0</v>
      </c>
      <c r="AV53" s="1700">
        <f t="shared" si="42"/>
        <v>0</v>
      </c>
      <c r="AW53" s="1700">
        <f t="shared" si="43"/>
        <v>0</v>
      </c>
    </row>
    <row r="54" spans="1:49" s="237" customFormat="1" x14ac:dyDescent="0.2">
      <c r="A54" s="1070" t="s">
        <v>126</v>
      </c>
      <c r="B54" s="1071" t="s">
        <v>127</v>
      </c>
      <c r="C54" s="103" t="s">
        <v>266</v>
      </c>
      <c r="D54" s="1072">
        <f t="shared" si="23"/>
        <v>44467</v>
      </c>
      <c r="E54" s="1072">
        <f t="shared" si="24"/>
        <v>65047</v>
      </c>
      <c r="F54" s="1072">
        <f t="shared" si="25"/>
        <v>0</v>
      </c>
      <c r="G54" s="1073">
        <f t="shared" si="26"/>
        <v>0</v>
      </c>
      <c r="H54" s="1073">
        <f t="shared" si="27"/>
        <v>0</v>
      </c>
      <c r="I54" s="1378">
        <f t="shared" si="28"/>
        <v>109514</v>
      </c>
      <c r="J54" s="1074"/>
      <c r="K54" s="1075"/>
      <c r="L54" s="1075"/>
      <c r="M54" s="1075"/>
      <c r="N54" s="1075"/>
      <c r="O54" s="1076">
        <f t="shared" si="29"/>
        <v>0</v>
      </c>
      <c r="P54" s="1377">
        <f t="shared" si="30"/>
        <v>0</v>
      </c>
      <c r="Q54" s="1377">
        <f t="shared" si="31"/>
        <v>0</v>
      </c>
      <c r="R54" s="1074">
        <v>44467</v>
      </c>
      <c r="S54" s="1075">
        <v>44467</v>
      </c>
      <c r="T54" s="1075">
        <v>0</v>
      </c>
      <c r="U54" s="1075">
        <v>0</v>
      </c>
      <c r="V54" s="1075">
        <v>0</v>
      </c>
      <c r="W54" s="1077">
        <f t="shared" si="32"/>
        <v>88934</v>
      </c>
      <c r="X54" s="1377">
        <f t="shared" si="33"/>
        <v>0</v>
      </c>
      <c r="Y54" s="1377">
        <f t="shared" si="34"/>
        <v>0</v>
      </c>
      <c r="Z54" s="1078"/>
      <c r="AA54" s="1079"/>
      <c r="AB54" s="1079"/>
      <c r="AC54" s="1079"/>
      <c r="AD54" s="1079"/>
      <c r="AE54" s="1077">
        <f t="shared" si="35"/>
        <v>0</v>
      </c>
      <c r="AF54" s="1377">
        <f t="shared" si="36"/>
        <v>0</v>
      </c>
      <c r="AG54" s="1377">
        <f t="shared" si="37"/>
        <v>0</v>
      </c>
      <c r="AH54" s="1078">
        <v>0</v>
      </c>
      <c r="AI54" s="1079">
        <v>20580</v>
      </c>
      <c r="AJ54" s="1079">
        <v>0</v>
      </c>
      <c r="AK54" s="1079">
        <v>0</v>
      </c>
      <c r="AL54" s="1079">
        <v>0</v>
      </c>
      <c r="AM54" s="1080">
        <f t="shared" si="38"/>
        <v>20580</v>
      </c>
      <c r="AN54" s="1080">
        <f t="shared" si="39"/>
        <v>0</v>
      </c>
      <c r="AO54" s="1080">
        <f t="shared" si="40"/>
        <v>0</v>
      </c>
      <c r="AP54" s="1700"/>
      <c r="AQ54" s="1700"/>
      <c r="AR54" s="1700"/>
      <c r="AS54" s="1700"/>
      <c r="AT54" s="1700"/>
      <c r="AU54" s="1700">
        <f t="shared" si="41"/>
        <v>0</v>
      </c>
      <c r="AV54" s="1700">
        <f t="shared" si="42"/>
        <v>0</v>
      </c>
      <c r="AW54" s="1700">
        <f t="shared" si="43"/>
        <v>0</v>
      </c>
    </row>
    <row r="55" spans="1:49" s="237" customFormat="1" x14ac:dyDescent="0.2">
      <c r="A55" s="1070" t="s">
        <v>128</v>
      </c>
      <c r="B55" s="1071" t="s">
        <v>129</v>
      </c>
      <c r="C55" s="103" t="s">
        <v>266</v>
      </c>
      <c r="D55" s="1072">
        <f t="shared" si="23"/>
        <v>18741.75</v>
      </c>
      <c r="E55" s="1072">
        <f t="shared" si="24"/>
        <v>77277.459999999992</v>
      </c>
      <c r="F55" s="1072">
        <f t="shared" si="25"/>
        <v>0</v>
      </c>
      <c r="G55" s="1073">
        <f t="shared" si="26"/>
        <v>0</v>
      </c>
      <c r="H55" s="1073">
        <f t="shared" si="27"/>
        <v>0</v>
      </c>
      <c r="I55" s="1378">
        <f t="shared" si="28"/>
        <v>96019.209999999992</v>
      </c>
      <c r="J55" s="1074"/>
      <c r="K55" s="1075"/>
      <c r="L55" s="1075"/>
      <c r="M55" s="1075"/>
      <c r="N55" s="1075"/>
      <c r="O55" s="1076">
        <f t="shared" si="29"/>
        <v>0</v>
      </c>
      <c r="P55" s="1377">
        <f t="shared" si="30"/>
        <v>0</v>
      </c>
      <c r="Q55" s="1377">
        <f t="shared" si="31"/>
        <v>0</v>
      </c>
      <c r="R55" s="1074">
        <v>16770</v>
      </c>
      <c r="S55" s="1075">
        <v>16770</v>
      </c>
      <c r="T55" s="1075">
        <v>0</v>
      </c>
      <c r="U55" s="1075">
        <v>0</v>
      </c>
      <c r="V55" s="1075">
        <v>0</v>
      </c>
      <c r="W55" s="1077">
        <f t="shared" si="32"/>
        <v>33540</v>
      </c>
      <c r="X55" s="1377">
        <f t="shared" si="33"/>
        <v>0</v>
      </c>
      <c r="Y55" s="1377">
        <f t="shared" si="34"/>
        <v>0</v>
      </c>
      <c r="Z55" s="1074"/>
      <c r="AA55" s="1075"/>
      <c r="AB55" s="1075"/>
      <c r="AC55" s="1075"/>
      <c r="AD55" s="1075"/>
      <c r="AE55" s="1077">
        <f t="shared" si="35"/>
        <v>0</v>
      </c>
      <c r="AF55" s="1377">
        <f t="shared" si="36"/>
        <v>0</v>
      </c>
      <c r="AG55" s="1377">
        <f t="shared" si="37"/>
        <v>0</v>
      </c>
      <c r="AH55" s="1078">
        <v>1971.75</v>
      </c>
      <c r="AI55" s="1079">
        <v>60507.46</v>
      </c>
      <c r="AJ55" s="1079">
        <v>0</v>
      </c>
      <c r="AK55" s="1079">
        <v>0</v>
      </c>
      <c r="AL55" s="1079">
        <v>0</v>
      </c>
      <c r="AM55" s="1080">
        <f t="shared" si="38"/>
        <v>62479.21</v>
      </c>
      <c r="AN55" s="1080">
        <f t="shared" si="39"/>
        <v>0</v>
      </c>
      <c r="AO55" s="1080">
        <f t="shared" si="40"/>
        <v>0</v>
      </c>
      <c r="AP55" s="1700"/>
      <c r="AQ55" s="1700"/>
      <c r="AR55" s="1700"/>
      <c r="AS55" s="1700"/>
      <c r="AT55" s="1700"/>
      <c r="AU55" s="1700">
        <f t="shared" si="41"/>
        <v>0</v>
      </c>
      <c r="AV55" s="1700">
        <f t="shared" si="42"/>
        <v>0</v>
      </c>
      <c r="AW55" s="1700">
        <f t="shared" si="43"/>
        <v>0</v>
      </c>
    </row>
    <row r="56" spans="1:49" s="237" customFormat="1" x14ac:dyDescent="0.2">
      <c r="A56" s="1070" t="s">
        <v>130</v>
      </c>
      <c r="B56" s="1071" t="s">
        <v>131</v>
      </c>
      <c r="C56" s="103" t="s">
        <v>268</v>
      </c>
      <c r="D56" s="1072">
        <f t="shared" si="23"/>
        <v>975651.51</v>
      </c>
      <c r="E56" s="1072">
        <f t="shared" si="24"/>
        <v>1237641.22</v>
      </c>
      <c r="F56" s="1072">
        <f t="shared" si="25"/>
        <v>0</v>
      </c>
      <c r="G56" s="1073">
        <f t="shared" si="26"/>
        <v>1674.56</v>
      </c>
      <c r="H56" s="1073">
        <f t="shared" si="27"/>
        <v>1674.56</v>
      </c>
      <c r="I56" s="1378">
        <f t="shared" si="28"/>
        <v>2214967.29</v>
      </c>
      <c r="J56" s="1074">
        <v>375309.77</v>
      </c>
      <c r="K56" s="1075">
        <v>375309.77</v>
      </c>
      <c r="L56" s="1075">
        <v>0</v>
      </c>
      <c r="M56" s="1075">
        <v>1674.62</v>
      </c>
      <c r="N56" s="1075">
        <v>0</v>
      </c>
      <c r="O56" s="1076">
        <f t="shared" si="29"/>
        <v>752294.16</v>
      </c>
      <c r="P56" s="1377">
        <f t="shared" si="30"/>
        <v>1674.62</v>
      </c>
      <c r="Q56" s="1377">
        <f t="shared" si="31"/>
        <v>1674.62</v>
      </c>
      <c r="R56" s="1074">
        <v>546283.32999999996</v>
      </c>
      <c r="S56" s="1075">
        <v>546283.32999999996</v>
      </c>
      <c r="T56" s="1075">
        <v>0</v>
      </c>
      <c r="U56" s="1075">
        <v>-0.03</v>
      </c>
      <c r="V56" s="1075">
        <v>0</v>
      </c>
      <c r="W56" s="1077">
        <f t="shared" si="32"/>
        <v>1092566.6299999999</v>
      </c>
      <c r="X56" s="1377">
        <f t="shared" si="33"/>
        <v>-0.03</v>
      </c>
      <c r="Y56" s="1377">
        <f t="shared" si="34"/>
        <v>-0.03</v>
      </c>
      <c r="Z56" s="1074"/>
      <c r="AA56" s="1075"/>
      <c r="AB56" s="1075"/>
      <c r="AC56" s="1075"/>
      <c r="AD56" s="1075"/>
      <c r="AE56" s="1077">
        <f t="shared" si="35"/>
        <v>0</v>
      </c>
      <c r="AF56" s="1377">
        <f t="shared" si="36"/>
        <v>0</v>
      </c>
      <c r="AG56" s="1377">
        <f t="shared" si="37"/>
        <v>0</v>
      </c>
      <c r="AH56" s="1078">
        <v>54058.41</v>
      </c>
      <c r="AI56" s="1079">
        <v>316048.12</v>
      </c>
      <c r="AJ56" s="1079">
        <v>0</v>
      </c>
      <c r="AK56" s="1079">
        <v>-0.03</v>
      </c>
      <c r="AL56" s="1079">
        <v>0</v>
      </c>
      <c r="AM56" s="1080">
        <f t="shared" si="38"/>
        <v>370106.5</v>
      </c>
      <c r="AN56" s="1080">
        <f t="shared" si="39"/>
        <v>-0.03</v>
      </c>
      <c r="AO56" s="1080">
        <f t="shared" si="40"/>
        <v>-0.03</v>
      </c>
      <c r="AP56" s="1700"/>
      <c r="AQ56" s="1700"/>
      <c r="AR56" s="1700"/>
      <c r="AS56" s="1700"/>
      <c r="AT56" s="1700"/>
      <c r="AU56" s="1700">
        <f t="shared" si="41"/>
        <v>0</v>
      </c>
      <c r="AV56" s="1700">
        <f t="shared" si="42"/>
        <v>0</v>
      </c>
      <c r="AW56" s="1700">
        <f t="shared" si="43"/>
        <v>0</v>
      </c>
    </row>
    <row r="57" spans="1:49" s="237" customFormat="1" x14ac:dyDescent="0.2">
      <c r="A57" s="1070" t="s">
        <v>132</v>
      </c>
      <c r="B57" s="1071" t="s">
        <v>133</v>
      </c>
      <c r="C57" s="103" t="s">
        <v>267</v>
      </c>
      <c r="D57" s="1072">
        <f t="shared" si="23"/>
        <v>531257.66999999993</v>
      </c>
      <c r="E57" s="1072">
        <f t="shared" si="24"/>
        <v>771260.6</v>
      </c>
      <c r="F57" s="1072">
        <f t="shared" si="25"/>
        <v>0</v>
      </c>
      <c r="G57" s="1073">
        <f t="shared" si="26"/>
        <v>-0.23</v>
      </c>
      <c r="H57" s="1073">
        <f t="shared" si="27"/>
        <v>-0.23</v>
      </c>
      <c r="I57" s="1378">
        <f t="shared" si="28"/>
        <v>1302518.04</v>
      </c>
      <c r="J57" s="1074">
        <v>172146.98</v>
      </c>
      <c r="K57" s="1075">
        <v>172146.98</v>
      </c>
      <c r="L57" s="1075">
        <v>0</v>
      </c>
      <c r="M57" s="1075">
        <v>-0.15</v>
      </c>
      <c r="N57" s="1075">
        <v>0</v>
      </c>
      <c r="O57" s="1076">
        <f t="shared" si="29"/>
        <v>344293.81</v>
      </c>
      <c r="P57" s="1377">
        <f t="shared" si="30"/>
        <v>-0.15</v>
      </c>
      <c r="Q57" s="1377">
        <f t="shared" si="31"/>
        <v>-0.15</v>
      </c>
      <c r="R57" s="1074">
        <v>321212.46999999997</v>
      </c>
      <c r="S57" s="1075">
        <v>321212.46999999997</v>
      </c>
      <c r="T57" s="1075">
        <v>0</v>
      </c>
      <c r="U57" s="1075">
        <v>-0.01</v>
      </c>
      <c r="V57" s="1075">
        <v>0</v>
      </c>
      <c r="W57" s="1077">
        <f t="shared" si="32"/>
        <v>642424.92999999993</v>
      </c>
      <c r="X57" s="1377">
        <f t="shared" si="33"/>
        <v>-0.01</v>
      </c>
      <c r="Y57" s="1377">
        <f t="shared" si="34"/>
        <v>-0.01</v>
      </c>
      <c r="Z57" s="1074"/>
      <c r="AA57" s="1075"/>
      <c r="AB57" s="1075"/>
      <c r="AC57" s="1075"/>
      <c r="AD57" s="1075"/>
      <c r="AE57" s="1077">
        <f t="shared" si="35"/>
        <v>0</v>
      </c>
      <c r="AF57" s="1377">
        <f t="shared" si="36"/>
        <v>0</v>
      </c>
      <c r="AG57" s="1377">
        <f t="shared" si="37"/>
        <v>0</v>
      </c>
      <c r="AH57" s="1078">
        <v>37898.22</v>
      </c>
      <c r="AI57" s="1079">
        <v>277901.15000000002</v>
      </c>
      <c r="AJ57" s="1079">
        <v>0</v>
      </c>
      <c r="AK57" s="1079">
        <v>-7.0000000000000007E-2</v>
      </c>
      <c r="AL57" s="1079">
        <v>0</v>
      </c>
      <c r="AM57" s="1080">
        <f t="shared" si="38"/>
        <v>315799.3</v>
      </c>
      <c r="AN57" s="1080">
        <f t="shared" si="39"/>
        <v>-7.0000000000000007E-2</v>
      </c>
      <c r="AO57" s="1080">
        <f t="shared" si="40"/>
        <v>-7.0000000000000007E-2</v>
      </c>
      <c r="AP57" s="1700"/>
      <c r="AQ57" s="1700"/>
      <c r="AR57" s="1700"/>
      <c r="AS57" s="1700"/>
      <c r="AT57" s="1700"/>
      <c r="AU57" s="1700">
        <f t="shared" si="41"/>
        <v>0</v>
      </c>
      <c r="AV57" s="1700">
        <f t="shared" si="42"/>
        <v>0</v>
      </c>
      <c r="AW57" s="1700">
        <f t="shared" si="43"/>
        <v>0</v>
      </c>
    </row>
    <row r="58" spans="1:49" s="237" customFormat="1" x14ac:dyDescent="0.2">
      <c r="A58" s="1070" t="s">
        <v>134</v>
      </c>
      <c r="B58" s="1071" t="s">
        <v>135</v>
      </c>
      <c r="C58" s="103" t="s">
        <v>267</v>
      </c>
      <c r="D58" s="1072">
        <f t="shared" si="23"/>
        <v>365384.54000000004</v>
      </c>
      <c r="E58" s="1072">
        <f t="shared" si="24"/>
        <v>1052103.5</v>
      </c>
      <c r="F58" s="1072">
        <f t="shared" si="25"/>
        <v>0</v>
      </c>
      <c r="G58" s="1073">
        <f t="shared" si="26"/>
        <v>-0.1</v>
      </c>
      <c r="H58" s="1073">
        <f t="shared" si="27"/>
        <v>-0.1</v>
      </c>
      <c r="I58" s="1378">
        <f t="shared" si="28"/>
        <v>1417487.94</v>
      </c>
      <c r="J58" s="1074">
        <v>117288.86</v>
      </c>
      <c r="K58" s="1075">
        <v>117288.86</v>
      </c>
      <c r="L58" s="1075">
        <v>0</v>
      </c>
      <c r="M58" s="1075">
        <v>-0.1</v>
      </c>
      <c r="N58" s="1075">
        <v>0</v>
      </c>
      <c r="O58" s="1076">
        <f t="shared" si="29"/>
        <v>234577.62</v>
      </c>
      <c r="P58" s="1377">
        <f t="shared" si="30"/>
        <v>-0.1</v>
      </c>
      <c r="Q58" s="1377">
        <f t="shared" si="31"/>
        <v>-0.1</v>
      </c>
      <c r="R58" s="1074">
        <v>233115.66</v>
      </c>
      <c r="S58" s="1075">
        <v>233115.66</v>
      </c>
      <c r="T58" s="1075">
        <v>0</v>
      </c>
      <c r="U58" s="1075">
        <v>0</v>
      </c>
      <c r="V58" s="1075">
        <v>0</v>
      </c>
      <c r="W58" s="1077">
        <f t="shared" si="32"/>
        <v>466231.32</v>
      </c>
      <c r="X58" s="1377">
        <f t="shared" si="33"/>
        <v>0</v>
      </c>
      <c r="Y58" s="1377">
        <f t="shared" si="34"/>
        <v>0</v>
      </c>
      <c r="Z58" s="1074"/>
      <c r="AA58" s="1075"/>
      <c r="AB58" s="1075"/>
      <c r="AC58" s="1075"/>
      <c r="AD58" s="1075"/>
      <c r="AE58" s="1077">
        <f t="shared" si="35"/>
        <v>0</v>
      </c>
      <c r="AF58" s="1377">
        <f t="shared" si="36"/>
        <v>0</v>
      </c>
      <c r="AG58" s="1377">
        <f t="shared" si="37"/>
        <v>0</v>
      </c>
      <c r="AH58" s="1078">
        <v>14980.02</v>
      </c>
      <c r="AI58" s="1079">
        <v>701698.98</v>
      </c>
      <c r="AJ58" s="1079">
        <v>0</v>
      </c>
      <c r="AK58" s="1079">
        <v>0</v>
      </c>
      <c r="AL58" s="1079">
        <v>0</v>
      </c>
      <c r="AM58" s="1080">
        <f t="shared" si="38"/>
        <v>716679</v>
      </c>
      <c r="AN58" s="1080">
        <f t="shared" si="39"/>
        <v>0</v>
      </c>
      <c r="AO58" s="1080">
        <f t="shared" si="40"/>
        <v>0</v>
      </c>
      <c r="AP58" s="1700"/>
      <c r="AQ58" s="1700"/>
      <c r="AR58" s="1700"/>
      <c r="AS58" s="1700"/>
      <c r="AT58" s="1700"/>
      <c r="AU58" s="1700">
        <f t="shared" si="41"/>
        <v>0</v>
      </c>
      <c r="AV58" s="1700">
        <f t="shared" si="42"/>
        <v>0</v>
      </c>
      <c r="AW58" s="1700">
        <f t="shared" si="43"/>
        <v>0</v>
      </c>
    </row>
    <row r="59" spans="1:49" s="237" customFormat="1" x14ac:dyDescent="0.2">
      <c r="A59" s="1070" t="s">
        <v>136</v>
      </c>
      <c r="B59" s="1071" t="s">
        <v>137</v>
      </c>
      <c r="C59" s="103" t="s">
        <v>266</v>
      </c>
      <c r="D59" s="1072">
        <f t="shared" si="23"/>
        <v>118335.25</v>
      </c>
      <c r="E59" s="1072">
        <f t="shared" si="24"/>
        <v>118335.25</v>
      </c>
      <c r="F59" s="1072">
        <f t="shared" si="25"/>
        <v>0</v>
      </c>
      <c r="G59" s="1073">
        <f t="shared" si="26"/>
        <v>-0.03</v>
      </c>
      <c r="H59" s="1073">
        <f t="shared" si="27"/>
        <v>-0.03</v>
      </c>
      <c r="I59" s="1378">
        <f t="shared" si="28"/>
        <v>236670.47</v>
      </c>
      <c r="J59" s="1074">
        <v>32840.51</v>
      </c>
      <c r="K59" s="1075">
        <v>32840.51</v>
      </c>
      <c r="L59" s="1075">
        <v>0</v>
      </c>
      <c r="M59" s="1075">
        <v>-0.02</v>
      </c>
      <c r="N59" s="1075">
        <v>0</v>
      </c>
      <c r="O59" s="1076">
        <f t="shared" si="29"/>
        <v>65681</v>
      </c>
      <c r="P59" s="1377">
        <f t="shared" si="30"/>
        <v>-0.02</v>
      </c>
      <c r="Q59" s="1377">
        <f t="shared" si="31"/>
        <v>-0.02</v>
      </c>
      <c r="R59" s="1074">
        <v>85494.74</v>
      </c>
      <c r="S59" s="1075">
        <v>85494.74</v>
      </c>
      <c r="T59" s="1075">
        <v>0</v>
      </c>
      <c r="U59" s="1075">
        <v>-0.01</v>
      </c>
      <c r="V59" s="1075">
        <v>0</v>
      </c>
      <c r="W59" s="1077">
        <f t="shared" si="32"/>
        <v>170989.47</v>
      </c>
      <c r="X59" s="1377">
        <f t="shared" si="33"/>
        <v>-0.01</v>
      </c>
      <c r="Y59" s="1377">
        <f t="shared" si="34"/>
        <v>-0.01</v>
      </c>
      <c r="Z59" s="1074"/>
      <c r="AA59" s="1075"/>
      <c r="AB59" s="1075"/>
      <c r="AC59" s="1075"/>
      <c r="AD59" s="1075"/>
      <c r="AE59" s="1077">
        <f t="shared" si="35"/>
        <v>0</v>
      </c>
      <c r="AF59" s="1377">
        <f t="shared" si="36"/>
        <v>0</v>
      </c>
      <c r="AG59" s="1377">
        <f t="shared" si="37"/>
        <v>0</v>
      </c>
      <c r="AH59" s="1078"/>
      <c r="AI59" s="1079"/>
      <c r="AJ59" s="1079"/>
      <c r="AK59" s="1079"/>
      <c r="AL59" s="1079"/>
      <c r="AM59" s="1080">
        <f t="shared" si="38"/>
        <v>0</v>
      </c>
      <c r="AN59" s="1080">
        <f t="shared" si="39"/>
        <v>0</v>
      </c>
      <c r="AO59" s="1080">
        <f t="shared" si="40"/>
        <v>0</v>
      </c>
      <c r="AP59" s="1700"/>
      <c r="AQ59" s="1700"/>
      <c r="AR59" s="1700"/>
      <c r="AS59" s="1700"/>
      <c r="AT59" s="1700"/>
      <c r="AU59" s="1700">
        <f t="shared" si="41"/>
        <v>0</v>
      </c>
      <c r="AV59" s="1700">
        <f t="shared" si="42"/>
        <v>0</v>
      </c>
      <c r="AW59" s="1700">
        <f t="shared" si="43"/>
        <v>0</v>
      </c>
    </row>
    <row r="60" spans="1:49" s="237" customFormat="1" x14ac:dyDescent="0.2">
      <c r="A60" s="1070" t="s">
        <v>140</v>
      </c>
      <c r="B60" s="1071" t="s">
        <v>141</v>
      </c>
      <c r="C60" s="103" t="s">
        <v>267</v>
      </c>
      <c r="D60" s="1072">
        <f t="shared" si="23"/>
        <v>242637.78</v>
      </c>
      <c r="E60" s="1072">
        <f t="shared" si="24"/>
        <v>432242.38</v>
      </c>
      <c r="F60" s="1072">
        <f t="shared" si="25"/>
        <v>0</v>
      </c>
      <c r="G60" s="1073">
        <f t="shared" si="26"/>
        <v>-0.11</v>
      </c>
      <c r="H60" s="1073">
        <f t="shared" si="27"/>
        <v>-0.11</v>
      </c>
      <c r="I60" s="1378">
        <f t="shared" si="28"/>
        <v>674880.05</v>
      </c>
      <c r="J60" s="1074">
        <v>186999.78</v>
      </c>
      <c r="K60" s="1075">
        <v>186999.78</v>
      </c>
      <c r="L60" s="1075">
        <v>0</v>
      </c>
      <c r="M60" s="1075">
        <v>-0.11</v>
      </c>
      <c r="N60" s="1075">
        <v>0</v>
      </c>
      <c r="O60" s="1076">
        <f t="shared" si="29"/>
        <v>373999.45</v>
      </c>
      <c r="P60" s="1377">
        <f t="shared" si="30"/>
        <v>-0.11</v>
      </c>
      <c r="Q60" s="1377">
        <f t="shared" si="31"/>
        <v>-0.11</v>
      </c>
      <c r="R60" s="1074">
        <v>54730.5</v>
      </c>
      <c r="S60" s="1075">
        <v>54730.5</v>
      </c>
      <c r="T60" s="1075">
        <v>0</v>
      </c>
      <c r="U60" s="1075">
        <v>0</v>
      </c>
      <c r="V60" s="1075">
        <v>0</v>
      </c>
      <c r="W60" s="1077">
        <f t="shared" si="32"/>
        <v>109461</v>
      </c>
      <c r="X60" s="1377">
        <f t="shared" si="33"/>
        <v>0</v>
      </c>
      <c r="Y60" s="1377">
        <f t="shared" si="34"/>
        <v>0</v>
      </c>
      <c r="Z60" s="1074"/>
      <c r="AA60" s="1075"/>
      <c r="AB60" s="1075"/>
      <c r="AC60" s="1075"/>
      <c r="AD60" s="1075"/>
      <c r="AE60" s="1077">
        <f t="shared" si="35"/>
        <v>0</v>
      </c>
      <c r="AF60" s="1377">
        <f t="shared" si="36"/>
        <v>0</v>
      </c>
      <c r="AG60" s="1377">
        <f t="shared" si="37"/>
        <v>0</v>
      </c>
      <c r="AH60" s="1078">
        <v>907.5</v>
      </c>
      <c r="AI60" s="1079">
        <v>190512.1</v>
      </c>
      <c r="AJ60" s="1079">
        <v>0</v>
      </c>
      <c r="AK60" s="1079">
        <v>0</v>
      </c>
      <c r="AL60" s="1079">
        <v>0</v>
      </c>
      <c r="AM60" s="1080">
        <f t="shared" si="38"/>
        <v>191419.6</v>
      </c>
      <c r="AN60" s="1080">
        <f t="shared" si="39"/>
        <v>0</v>
      </c>
      <c r="AO60" s="1080">
        <f t="shared" si="40"/>
        <v>0</v>
      </c>
      <c r="AP60" s="1700"/>
      <c r="AQ60" s="1700"/>
      <c r="AR60" s="1700"/>
      <c r="AS60" s="1700"/>
      <c r="AT60" s="1700"/>
      <c r="AU60" s="1700">
        <f t="shared" si="41"/>
        <v>0</v>
      </c>
      <c r="AV60" s="1700">
        <f t="shared" si="42"/>
        <v>0</v>
      </c>
      <c r="AW60" s="1700">
        <f t="shared" si="43"/>
        <v>0</v>
      </c>
    </row>
    <row r="61" spans="1:49" s="237" customFormat="1" x14ac:dyDescent="0.2">
      <c r="A61" s="1070" t="s">
        <v>146</v>
      </c>
      <c r="B61" s="1071" t="s">
        <v>147</v>
      </c>
      <c r="C61" s="103" t="s">
        <v>264</v>
      </c>
      <c r="D61" s="1072">
        <f t="shared" si="23"/>
        <v>148264.57999999999</v>
      </c>
      <c r="E61" s="1072">
        <f t="shared" si="24"/>
        <v>190323.02</v>
      </c>
      <c r="F61" s="1072">
        <f t="shared" si="25"/>
        <v>0</v>
      </c>
      <c r="G61" s="1073">
        <f t="shared" si="26"/>
        <v>-0.01</v>
      </c>
      <c r="H61" s="1073">
        <f t="shared" si="27"/>
        <v>-0.01</v>
      </c>
      <c r="I61" s="1378">
        <f t="shared" si="28"/>
        <v>338587.58999999997</v>
      </c>
      <c r="J61" s="1074">
        <v>18790.11</v>
      </c>
      <c r="K61" s="1075">
        <v>18790.11</v>
      </c>
      <c r="L61" s="1075">
        <v>0</v>
      </c>
      <c r="M61" s="1075">
        <v>-0.01</v>
      </c>
      <c r="N61" s="1075">
        <v>0</v>
      </c>
      <c r="O61" s="1076">
        <f t="shared" si="29"/>
        <v>37580.21</v>
      </c>
      <c r="P61" s="1377">
        <f t="shared" si="30"/>
        <v>-0.01</v>
      </c>
      <c r="Q61" s="1377">
        <f t="shared" si="31"/>
        <v>-0.01</v>
      </c>
      <c r="R61" s="1074">
        <v>125476.19</v>
      </c>
      <c r="S61" s="1075">
        <v>125476.19</v>
      </c>
      <c r="T61" s="1075">
        <v>0</v>
      </c>
      <c r="U61" s="1075">
        <v>0</v>
      </c>
      <c r="V61" s="1075">
        <v>0</v>
      </c>
      <c r="W61" s="1077">
        <f t="shared" si="32"/>
        <v>250952.38</v>
      </c>
      <c r="X61" s="1377">
        <f t="shared" si="33"/>
        <v>0</v>
      </c>
      <c r="Y61" s="1377">
        <f t="shared" si="34"/>
        <v>0</v>
      </c>
      <c r="Z61" s="1074"/>
      <c r="AA61" s="1075"/>
      <c r="AB61" s="1075"/>
      <c r="AC61" s="1075"/>
      <c r="AD61" s="1075"/>
      <c r="AE61" s="1077">
        <f t="shared" si="35"/>
        <v>0</v>
      </c>
      <c r="AF61" s="1377">
        <f t="shared" si="36"/>
        <v>0</v>
      </c>
      <c r="AG61" s="1377">
        <f t="shared" si="37"/>
        <v>0</v>
      </c>
      <c r="AH61" s="1078">
        <v>3998.28</v>
      </c>
      <c r="AI61" s="1079">
        <v>46056.72</v>
      </c>
      <c r="AJ61" s="1079">
        <v>0</v>
      </c>
      <c r="AK61" s="1079">
        <v>0</v>
      </c>
      <c r="AL61" s="1079">
        <v>0</v>
      </c>
      <c r="AM61" s="1080">
        <f t="shared" si="38"/>
        <v>50055</v>
      </c>
      <c r="AN61" s="1080">
        <f t="shared" si="39"/>
        <v>0</v>
      </c>
      <c r="AO61" s="1080">
        <f t="shared" si="40"/>
        <v>0</v>
      </c>
      <c r="AP61" s="1700"/>
      <c r="AQ61" s="1700"/>
      <c r="AR61" s="1700"/>
      <c r="AS61" s="1700"/>
      <c r="AT61" s="1700"/>
      <c r="AU61" s="1700">
        <f t="shared" si="41"/>
        <v>0</v>
      </c>
      <c r="AV61" s="1700">
        <f t="shared" si="42"/>
        <v>0</v>
      </c>
      <c r="AW61" s="1700">
        <f t="shared" si="43"/>
        <v>0</v>
      </c>
    </row>
    <row r="62" spans="1:49" s="237" customFormat="1" x14ac:dyDescent="0.2">
      <c r="A62" s="1070" t="s">
        <v>148</v>
      </c>
      <c r="B62" s="1071" t="s">
        <v>149</v>
      </c>
      <c r="C62" s="103" t="s">
        <v>265</v>
      </c>
      <c r="D62" s="1072">
        <f t="shared" si="23"/>
        <v>176181.47</v>
      </c>
      <c r="E62" s="1072">
        <f t="shared" si="24"/>
        <v>192401.97</v>
      </c>
      <c r="F62" s="1072">
        <f t="shared" si="25"/>
        <v>0</v>
      </c>
      <c r="G62" s="1073">
        <f t="shared" si="26"/>
        <v>468.17</v>
      </c>
      <c r="H62" s="1073">
        <f t="shared" si="27"/>
        <v>468.17</v>
      </c>
      <c r="I62" s="1378">
        <f t="shared" si="28"/>
        <v>369051.61</v>
      </c>
      <c r="J62" s="1074">
        <v>94535.22</v>
      </c>
      <c r="K62" s="1075">
        <v>94535.22</v>
      </c>
      <c r="L62" s="1075">
        <v>0</v>
      </c>
      <c r="M62" s="1075">
        <v>468.17</v>
      </c>
      <c r="N62" s="1075">
        <v>0</v>
      </c>
      <c r="O62" s="1076">
        <f t="shared" si="29"/>
        <v>189538.61000000002</v>
      </c>
      <c r="P62" s="1377">
        <f t="shared" si="30"/>
        <v>468.17</v>
      </c>
      <c r="Q62" s="1377">
        <f t="shared" si="31"/>
        <v>468.17</v>
      </c>
      <c r="R62" s="1074">
        <v>81539</v>
      </c>
      <c r="S62" s="1075">
        <v>81539</v>
      </c>
      <c r="T62" s="1075">
        <v>0</v>
      </c>
      <c r="U62" s="1075">
        <v>0</v>
      </c>
      <c r="V62" s="1075">
        <v>0</v>
      </c>
      <c r="W62" s="1077">
        <f t="shared" si="32"/>
        <v>163078</v>
      </c>
      <c r="X62" s="1377">
        <f t="shared" si="33"/>
        <v>0</v>
      </c>
      <c r="Y62" s="1377">
        <f t="shared" si="34"/>
        <v>0</v>
      </c>
      <c r="Z62" s="1074"/>
      <c r="AA62" s="1075"/>
      <c r="AB62" s="1075"/>
      <c r="AC62" s="1075"/>
      <c r="AD62" s="1075"/>
      <c r="AE62" s="1077">
        <f t="shared" si="35"/>
        <v>0</v>
      </c>
      <c r="AF62" s="1377">
        <f t="shared" si="36"/>
        <v>0</v>
      </c>
      <c r="AG62" s="1377">
        <f t="shared" si="37"/>
        <v>0</v>
      </c>
      <c r="AH62" s="1078">
        <v>107.25</v>
      </c>
      <c r="AI62" s="1079">
        <v>16327.75</v>
      </c>
      <c r="AJ62" s="1079">
        <v>0</v>
      </c>
      <c r="AK62" s="1079">
        <v>0</v>
      </c>
      <c r="AL62" s="1079">
        <v>0</v>
      </c>
      <c r="AM62" s="1080">
        <f t="shared" si="38"/>
        <v>16435</v>
      </c>
      <c r="AN62" s="1080">
        <f t="shared" si="39"/>
        <v>0</v>
      </c>
      <c r="AO62" s="1080">
        <f t="shared" si="40"/>
        <v>0</v>
      </c>
      <c r="AP62" s="1700"/>
      <c r="AQ62" s="1700"/>
      <c r="AR62" s="1700"/>
      <c r="AS62" s="1700"/>
      <c r="AT62" s="1700"/>
      <c r="AU62" s="1700">
        <f t="shared" si="41"/>
        <v>0</v>
      </c>
      <c r="AV62" s="1700">
        <f t="shared" si="42"/>
        <v>0</v>
      </c>
      <c r="AW62" s="1700">
        <f t="shared" si="43"/>
        <v>0</v>
      </c>
    </row>
    <row r="63" spans="1:49" s="237" customFormat="1" x14ac:dyDescent="0.2">
      <c r="A63" s="1070" t="s">
        <v>150</v>
      </c>
      <c r="B63" s="1071" t="s">
        <v>151</v>
      </c>
      <c r="C63" s="103" t="s">
        <v>266</v>
      </c>
      <c r="D63" s="1072">
        <f t="shared" si="23"/>
        <v>144191.91</v>
      </c>
      <c r="E63" s="1072">
        <f t="shared" si="24"/>
        <v>213256.83000000002</v>
      </c>
      <c r="F63" s="1072">
        <f t="shared" si="25"/>
        <v>0</v>
      </c>
      <c r="G63" s="1073">
        <f t="shared" si="26"/>
        <v>0.32</v>
      </c>
      <c r="H63" s="1073">
        <f t="shared" si="27"/>
        <v>0.32</v>
      </c>
      <c r="I63" s="1378">
        <f t="shared" si="28"/>
        <v>357449.06</v>
      </c>
      <c r="J63" s="1074">
        <v>16441.060000000001</v>
      </c>
      <c r="K63" s="1075">
        <v>16441.060000000001</v>
      </c>
      <c r="L63" s="1075">
        <v>0</v>
      </c>
      <c r="M63" s="1075">
        <v>0.44</v>
      </c>
      <c r="N63" s="1075">
        <v>0</v>
      </c>
      <c r="O63" s="1076">
        <f t="shared" si="29"/>
        <v>32882.560000000005</v>
      </c>
      <c r="P63" s="1377">
        <f t="shared" si="30"/>
        <v>0.44</v>
      </c>
      <c r="Q63" s="1377">
        <f t="shared" si="31"/>
        <v>0.44</v>
      </c>
      <c r="R63" s="1074">
        <v>112228.25</v>
      </c>
      <c r="S63" s="1075">
        <v>112228.25</v>
      </c>
      <c r="T63" s="1075">
        <v>0</v>
      </c>
      <c r="U63" s="1075">
        <v>0</v>
      </c>
      <c r="V63" s="1075">
        <v>0</v>
      </c>
      <c r="W63" s="1077">
        <f t="shared" si="32"/>
        <v>224456.5</v>
      </c>
      <c r="X63" s="1377">
        <f t="shared" si="33"/>
        <v>0</v>
      </c>
      <c r="Y63" s="1377">
        <f t="shared" si="34"/>
        <v>0</v>
      </c>
      <c r="Z63" s="1074"/>
      <c r="AA63" s="1075"/>
      <c r="AB63" s="1075"/>
      <c r="AC63" s="1075"/>
      <c r="AD63" s="1075"/>
      <c r="AE63" s="1077">
        <f t="shared" si="35"/>
        <v>0</v>
      </c>
      <c r="AF63" s="1377">
        <f t="shared" si="36"/>
        <v>0</v>
      </c>
      <c r="AG63" s="1377">
        <f t="shared" si="37"/>
        <v>0</v>
      </c>
      <c r="AH63" s="1078">
        <v>15522.6</v>
      </c>
      <c r="AI63" s="1079">
        <v>84587.520000000004</v>
      </c>
      <c r="AJ63" s="1079">
        <v>0</v>
      </c>
      <c r="AK63" s="1079">
        <v>-0.12</v>
      </c>
      <c r="AL63" s="1079">
        <v>0</v>
      </c>
      <c r="AM63" s="1080">
        <f t="shared" si="38"/>
        <v>100110.00000000001</v>
      </c>
      <c r="AN63" s="1080">
        <f t="shared" si="39"/>
        <v>-0.12</v>
      </c>
      <c r="AO63" s="1080">
        <f t="shared" si="40"/>
        <v>-0.12</v>
      </c>
      <c r="AP63" s="1700"/>
      <c r="AQ63" s="1700"/>
      <c r="AR63" s="1700"/>
      <c r="AS63" s="1700"/>
      <c r="AT63" s="1700"/>
      <c r="AU63" s="1700">
        <f t="shared" si="41"/>
        <v>0</v>
      </c>
      <c r="AV63" s="1700">
        <f t="shared" si="42"/>
        <v>0</v>
      </c>
      <c r="AW63" s="1700">
        <f t="shared" si="43"/>
        <v>0</v>
      </c>
    </row>
    <row r="64" spans="1:49" s="237" customFormat="1" x14ac:dyDescent="0.2">
      <c r="A64" s="1070" t="s">
        <v>152</v>
      </c>
      <c r="B64" s="1071" t="s">
        <v>153</v>
      </c>
      <c r="C64" s="103" t="s">
        <v>268</v>
      </c>
      <c r="D64" s="1072">
        <f t="shared" si="23"/>
        <v>510399.96</v>
      </c>
      <c r="E64" s="1072">
        <f t="shared" si="24"/>
        <v>658967.59000000008</v>
      </c>
      <c r="F64" s="1072">
        <f t="shared" si="25"/>
        <v>0</v>
      </c>
      <c r="G64" s="1073">
        <f t="shared" si="26"/>
        <v>-0.15</v>
      </c>
      <c r="H64" s="1073">
        <f t="shared" si="27"/>
        <v>-0.15</v>
      </c>
      <c r="I64" s="1378">
        <f t="shared" si="28"/>
        <v>1169367.4000000001</v>
      </c>
      <c r="J64" s="1074">
        <v>105825.91</v>
      </c>
      <c r="K64" s="1075">
        <v>105825.91</v>
      </c>
      <c r="L64" s="1075">
        <v>0</v>
      </c>
      <c r="M64" s="1075">
        <v>-0.12</v>
      </c>
      <c r="N64" s="1075">
        <v>0</v>
      </c>
      <c r="O64" s="1076">
        <f t="shared" si="29"/>
        <v>211651.7</v>
      </c>
      <c r="P64" s="1377">
        <f t="shared" si="30"/>
        <v>-0.12</v>
      </c>
      <c r="Q64" s="1377">
        <f t="shared" si="31"/>
        <v>-0.12</v>
      </c>
      <c r="R64" s="1074">
        <v>399205.11</v>
      </c>
      <c r="S64" s="1075">
        <v>399205.11</v>
      </c>
      <c r="T64" s="1075">
        <v>0</v>
      </c>
      <c r="U64" s="1075">
        <v>-0.02</v>
      </c>
      <c r="V64" s="1075">
        <v>0</v>
      </c>
      <c r="W64" s="1077">
        <f t="shared" si="32"/>
        <v>798410.2</v>
      </c>
      <c r="X64" s="1377">
        <f t="shared" si="33"/>
        <v>-0.02</v>
      </c>
      <c r="Y64" s="1377">
        <f t="shared" si="34"/>
        <v>-0.02</v>
      </c>
      <c r="Z64" s="1074"/>
      <c r="AA64" s="1075"/>
      <c r="AB64" s="1075"/>
      <c r="AC64" s="1075"/>
      <c r="AD64" s="1075"/>
      <c r="AE64" s="1077">
        <f t="shared" si="35"/>
        <v>0</v>
      </c>
      <c r="AF64" s="1377">
        <f t="shared" si="36"/>
        <v>0</v>
      </c>
      <c r="AG64" s="1377">
        <f t="shared" si="37"/>
        <v>0</v>
      </c>
      <c r="AH64" s="1078">
        <v>5368.94</v>
      </c>
      <c r="AI64" s="1079">
        <v>153936.57</v>
      </c>
      <c r="AJ64" s="1079">
        <v>0</v>
      </c>
      <c r="AK64" s="1079">
        <v>-0.01</v>
      </c>
      <c r="AL64" s="1079">
        <v>0</v>
      </c>
      <c r="AM64" s="1080">
        <f t="shared" si="38"/>
        <v>159305.5</v>
      </c>
      <c r="AN64" s="1080">
        <f t="shared" si="39"/>
        <v>-0.01</v>
      </c>
      <c r="AO64" s="1080">
        <f t="shared" si="40"/>
        <v>-0.01</v>
      </c>
      <c r="AP64" s="1700"/>
      <c r="AQ64" s="1700"/>
      <c r="AR64" s="1700"/>
      <c r="AS64" s="1700"/>
      <c r="AT64" s="1700"/>
      <c r="AU64" s="1700">
        <f t="shared" si="41"/>
        <v>0</v>
      </c>
      <c r="AV64" s="1700">
        <f t="shared" si="42"/>
        <v>0</v>
      </c>
      <c r="AW64" s="1700">
        <f t="shared" si="43"/>
        <v>0</v>
      </c>
    </row>
    <row r="65" spans="1:49" s="237" customFormat="1" x14ac:dyDescent="0.2">
      <c r="A65" s="1070" t="s">
        <v>154</v>
      </c>
      <c r="B65" s="1071" t="s">
        <v>155</v>
      </c>
      <c r="C65" s="103" t="s">
        <v>265</v>
      </c>
      <c r="D65" s="1072">
        <f t="shared" si="23"/>
        <v>37299.08</v>
      </c>
      <c r="E65" s="1072">
        <f t="shared" si="24"/>
        <v>42843.08</v>
      </c>
      <c r="F65" s="1072">
        <f t="shared" si="25"/>
        <v>0</v>
      </c>
      <c r="G65" s="1073">
        <f t="shared" si="26"/>
        <v>-0.03</v>
      </c>
      <c r="H65" s="1073">
        <f t="shared" si="27"/>
        <v>-0.03</v>
      </c>
      <c r="I65" s="1378">
        <f t="shared" si="28"/>
        <v>80142.13</v>
      </c>
      <c r="J65" s="1074">
        <v>17486.080000000002</v>
      </c>
      <c r="K65" s="1075">
        <v>17486.080000000002</v>
      </c>
      <c r="L65" s="1075">
        <v>0</v>
      </c>
      <c r="M65" s="1075">
        <v>-0.03</v>
      </c>
      <c r="N65" s="1075">
        <v>0</v>
      </c>
      <c r="O65" s="1076">
        <f t="shared" si="29"/>
        <v>34972.130000000005</v>
      </c>
      <c r="P65" s="1377">
        <f t="shared" si="30"/>
        <v>-0.03</v>
      </c>
      <c r="Q65" s="1377">
        <f t="shared" si="31"/>
        <v>-0.03</v>
      </c>
      <c r="R65" s="1078">
        <v>19813</v>
      </c>
      <c r="S65" s="1079">
        <v>19813</v>
      </c>
      <c r="T65" s="1079">
        <v>0</v>
      </c>
      <c r="U65" s="1079">
        <v>0</v>
      </c>
      <c r="V65" s="1079">
        <v>0</v>
      </c>
      <c r="W65" s="1077">
        <f t="shared" si="32"/>
        <v>39626</v>
      </c>
      <c r="X65" s="1377">
        <f t="shared" si="33"/>
        <v>0</v>
      </c>
      <c r="Y65" s="1377">
        <f t="shared" si="34"/>
        <v>0</v>
      </c>
      <c r="Z65" s="1078"/>
      <c r="AA65" s="1079"/>
      <c r="AB65" s="1079"/>
      <c r="AC65" s="1079"/>
      <c r="AD65" s="1079"/>
      <c r="AE65" s="1077">
        <f t="shared" si="35"/>
        <v>0</v>
      </c>
      <c r="AF65" s="1377">
        <f t="shared" si="36"/>
        <v>0</v>
      </c>
      <c r="AG65" s="1377">
        <f t="shared" si="37"/>
        <v>0</v>
      </c>
      <c r="AH65" s="1078">
        <v>0</v>
      </c>
      <c r="AI65" s="1079">
        <v>5544</v>
      </c>
      <c r="AJ65" s="1079">
        <v>0</v>
      </c>
      <c r="AK65" s="1079">
        <v>0</v>
      </c>
      <c r="AL65" s="1079">
        <v>0</v>
      </c>
      <c r="AM65" s="1080">
        <f t="shared" si="38"/>
        <v>5544</v>
      </c>
      <c r="AN65" s="1080">
        <f t="shared" si="39"/>
        <v>0</v>
      </c>
      <c r="AO65" s="1080">
        <f t="shared" si="40"/>
        <v>0</v>
      </c>
      <c r="AP65" s="1700"/>
      <c r="AQ65" s="1700"/>
      <c r="AR65" s="1700"/>
      <c r="AS65" s="1700"/>
      <c r="AT65" s="1700"/>
      <c r="AU65" s="1700">
        <f t="shared" si="41"/>
        <v>0</v>
      </c>
      <c r="AV65" s="1700">
        <f t="shared" si="42"/>
        <v>0</v>
      </c>
      <c r="AW65" s="1700">
        <f t="shared" si="43"/>
        <v>0</v>
      </c>
    </row>
    <row r="66" spans="1:49" s="237" customFormat="1" x14ac:dyDescent="0.2">
      <c r="A66" s="1070" t="s">
        <v>156</v>
      </c>
      <c r="B66" s="1071" t="s">
        <v>157</v>
      </c>
      <c r="C66" s="103" t="s">
        <v>266</v>
      </c>
      <c r="D66" s="1072">
        <f t="shared" si="23"/>
        <v>65940.69</v>
      </c>
      <c r="E66" s="1072">
        <f t="shared" si="24"/>
        <v>98115.37</v>
      </c>
      <c r="F66" s="1072">
        <f t="shared" si="25"/>
        <v>0</v>
      </c>
      <c r="G66" s="1073">
        <f t="shared" si="26"/>
        <v>-0.01</v>
      </c>
      <c r="H66" s="1073">
        <f t="shared" si="27"/>
        <v>-0.01</v>
      </c>
      <c r="I66" s="1378">
        <f t="shared" si="28"/>
        <v>164056.04999999999</v>
      </c>
      <c r="J66" s="1074">
        <v>5594.38</v>
      </c>
      <c r="K66" s="1075">
        <v>5594.38</v>
      </c>
      <c r="L66" s="1075">
        <v>0</v>
      </c>
      <c r="M66" s="1075">
        <v>-0.01</v>
      </c>
      <c r="N66" s="1075">
        <v>0</v>
      </c>
      <c r="O66" s="1076">
        <f t="shared" si="29"/>
        <v>11188.75</v>
      </c>
      <c r="P66" s="1377">
        <f t="shared" si="30"/>
        <v>-0.01</v>
      </c>
      <c r="Q66" s="1377">
        <f t="shared" si="31"/>
        <v>-0.01</v>
      </c>
      <c r="R66" s="1074">
        <v>38109.5</v>
      </c>
      <c r="S66" s="1075">
        <v>38109.5</v>
      </c>
      <c r="T66" s="1075">
        <v>0</v>
      </c>
      <c r="U66" s="1075">
        <v>0</v>
      </c>
      <c r="V66" s="1075">
        <v>0</v>
      </c>
      <c r="W66" s="1077">
        <f t="shared" si="32"/>
        <v>76219</v>
      </c>
      <c r="X66" s="1377">
        <f t="shared" si="33"/>
        <v>0</v>
      </c>
      <c r="Y66" s="1377">
        <f t="shared" si="34"/>
        <v>0</v>
      </c>
      <c r="Z66" s="1074"/>
      <c r="AA66" s="1075"/>
      <c r="AB66" s="1075"/>
      <c r="AC66" s="1075"/>
      <c r="AD66" s="1075"/>
      <c r="AE66" s="1077">
        <f t="shared" si="35"/>
        <v>0</v>
      </c>
      <c r="AF66" s="1377">
        <f t="shared" si="36"/>
        <v>0</v>
      </c>
      <c r="AG66" s="1377">
        <f t="shared" si="37"/>
        <v>0</v>
      </c>
      <c r="AH66" s="1078">
        <v>22236.81</v>
      </c>
      <c r="AI66" s="1079">
        <v>54411.49</v>
      </c>
      <c r="AJ66" s="1079">
        <v>0</v>
      </c>
      <c r="AK66" s="1079">
        <v>0</v>
      </c>
      <c r="AL66" s="1079">
        <v>0</v>
      </c>
      <c r="AM66" s="1080">
        <f t="shared" si="38"/>
        <v>76648.3</v>
      </c>
      <c r="AN66" s="1080">
        <f t="shared" si="39"/>
        <v>0</v>
      </c>
      <c r="AO66" s="1080">
        <f t="shared" si="40"/>
        <v>0</v>
      </c>
      <c r="AP66" s="1700"/>
      <c r="AQ66" s="1700"/>
      <c r="AR66" s="1700"/>
      <c r="AS66" s="1700"/>
      <c r="AT66" s="1700"/>
      <c r="AU66" s="1700">
        <f t="shared" si="41"/>
        <v>0</v>
      </c>
      <c r="AV66" s="1700">
        <f t="shared" si="42"/>
        <v>0</v>
      </c>
      <c r="AW66" s="1700">
        <f t="shared" si="43"/>
        <v>0</v>
      </c>
    </row>
    <row r="67" spans="1:49" s="237" customFormat="1" x14ac:dyDescent="0.2">
      <c r="A67" s="1070" t="s">
        <v>162</v>
      </c>
      <c r="B67" s="1071" t="s">
        <v>163</v>
      </c>
      <c r="C67" s="103" t="s">
        <v>264</v>
      </c>
      <c r="D67" s="1072">
        <f t="shared" si="23"/>
        <v>31351.95</v>
      </c>
      <c r="E67" s="1072">
        <f t="shared" si="24"/>
        <v>31351.95</v>
      </c>
      <c r="F67" s="1072">
        <f t="shared" si="25"/>
        <v>0</v>
      </c>
      <c r="G67" s="1073">
        <f t="shared" si="26"/>
        <v>0</v>
      </c>
      <c r="H67" s="1073">
        <f t="shared" si="27"/>
        <v>0</v>
      </c>
      <c r="I67" s="1378">
        <f t="shared" si="28"/>
        <v>62703.9</v>
      </c>
      <c r="J67" s="1074">
        <v>31351.95</v>
      </c>
      <c r="K67" s="1075">
        <v>31351.95</v>
      </c>
      <c r="L67" s="1075">
        <v>0</v>
      </c>
      <c r="M67" s="1075">
        <v>0</v>
      </c>
      <c r="N67" s="1075">
        <v>0</v>
      </c>
      <c r="O67" s="1076">
        <f t="shared" si="29"/>
        <v>62703.9</v>
      </c>
      <c r="P67" s="1377">
        <f t="shared" si="30"/>
        <v>0</v>
      </c>
      <c r="Q67" s="1377">
        <f t="shared" si="31"/>
        <v>0</v>
      </c>
      <c r="R67" s="1074"/>
      <c r="S67" s="1075"/>
      <c r="T67" s="1075"/>
      <c r="U67" s="1075"/>
      <c r="V67" s="1075"/>
      <c r="W67" s="1077">
        <f t="shared" si="32"/>
        <v>0</v>
      </c>
      <c r="X67" s="1377">
        <f t="shared" si="33"/>
        <v>0</v>
      </c>
      <c r="Y67" s="1377">
        <f t="shared" si="34"/>
        <v>0</v>
      </c>
      <c r="Z67" s="1074"/>
      <c r="AA67" s="1075"/>
      <c r="AB67" s="1075"/>
      <c r="AC67" s="1075"/>
      <c r="AD67" s="1075"/>
      <c r="AE67" s="1077">
        <f t="shared" si="35"/>
        <v>0</v>
      </c>
      <c r="AF67" s="1377">
        <f t="shared" si="36"/>
        <v>0</v>
      </c>
      <c r="AG67" s="1377">
        <f t="shared" si="37"/>
        <v>0</v>
      </c>
      <c r="AH67" s="1078"/>
      <c r="AI67" s="1079"/>
      <c r="AJ67" s="1079"/>
      <c r="AK67" s="1079"/>
      <c r="AL67" s="1079"/>
      <c r="AM67" s="1080">
        <f t="shared" si="38"/>
        <v>0</v>
      </c>
      <c r="AN67" s="1080">
        <f t="shared" si="39"/>
        <v>0</v>
      </c>
      <c r="AO67" s="1080">
        <f t="shared" si="40"/>
        <v>0</v>
      </c>
      <c r="AP67" s="1700"/>
      <c r="AQ67" s="1700"/>
      <c r="AR67" s="1700"/>
      <c r="AS67" s="1700"/>
      <c r="AT67" s="1700"/>
      <c r="AU67" s="1700">
        <f t="shared" si="41"/>
        <v>0</v>
      </c>
      <c r="AV67" s="1700">
        <f t="shared" si="42"/>
        <v>0</v>
      </c>
      <c r="AW67" s="1700">
        <f t="shared" si="43"/>
        <v>0</v>
      </c>
    </row>
    <row r="68" spans="1:49" s="237" customFormat="1" x14ac:dyDescent="0.2">
      <c r="A68" s="1070" t="s">
        <v>164</v>
      </c>
      <c r="B68" s="1071" t="s">
        <v>165</v>
      </c>
      <c r="C68" s="103" t="s">
        <v>266</v>
      </c>
      <c r="D68" s="1072">
        <f t="shared" si="23"/>
        <v>122394.58</v>
      </c>
      <c r="E68" s="1072">
        <f t="shared" si="24"/>
        <v>184936.24</v>
      </c>
      <c r="F68" s="1072">
        <f t="shared" si="25"/>
        <v>0</v>
      </c>
      <c r="G68" s="1073">
        <f t="shared" si="26"/>
        <v>-0.1</v>
      </c>
      <c r="H68" s="1073">
        <f t="shared" si="27"/>
        <v>-0.1</v>
      </c>
      <c r="I68" s="1378">
        <f t="shared" si="28"/>
        <v>307330.72000000003</v>
      </c>
      <c r="J68" s="1074">
        <v>57374.2</v>
      </c>
      <c r="K68" s="1075">
        <v>57374.2</v>
      </c>
      <c r="L68" s="1075">
        <v>0</v>
      </c>
      <c r="M68" s="1075">
        <v>-0.08</v>
      </c>
      <c r="N68" s="1075">
        <v>0</v>
      </c>
      <c r="O68" s="1076">
        <f t="shared" si="29"/>
        <v>114748.31999999999</v>
      </c>
      <c r="P68" s="1377">
        <f t="shared" si="30"/>
        <v>-0.08</v>
      </c>
      <c r="Q68" s="1377">
        <f t="shared" si="31"/>
        <v>-0.08</v>
      </c>
      <c r="R68" s="1074">
        <v>63776.4</v>
      </c>
      <c r="S68" s="1075">
        <v>63776.4</v>
      </c>
      <c r="T68" s="1075">
        <v>0</v>
      </c>
      <c r="U68" s="1075">
        <v>0</v>
      </c>
      <c r="V68" s="1075">
        <v>0</v>
      </c>
      <c r="W68" s="1077">
        <f t="shared" si="32"/>
        <v>127552.8</v>
      </c>
      <c r="X68" s="1377">
        <f t="shared" si="33"/>
        <v>0</v>
      </c>
      <c r="Y68" s="1377">
        <f t="shared" si="34"/>
        <v>0</v>
      </c>
      <c r="Z68" s="1074"/>
      <c r="AA68" s="1075"/>
      <c r="AB68" s="1075"/>
      <c r="AC68" s="1075"/>
      <c r="AD68" s="1075"/>
      <c r="AE68" s="1077">
        <f t="shared" si="35"/>
        <v>0</v>
      </c>
      <c r="AF68" s="1377">
        <f t="shared" si="36"/>
        <v>0</v>
      </c>
      <c r="AG68" s="1377">
        <f t="shared" si="37"/>
        <v>0</v>
      </c>
      <c r="AH68" s="1078">
        <v>1243.98</v>
      </c>
      <c r="AI68" s="1079">
        <v>63785.64</v>
      </c>
      <c r="AJ68" s="1079">
        <v>0</v>
      </c>
      <c r="AK68" s="1079">
        <v>-0.02</v>
      </c>
      <c r="AL68" s="1079">
        <v>0</v>
      </c>
      <c r="AM68" s="1080">
        <f t="shared" si="38"/>
        <v>65029.600000000006</v>
      </c>
      <c r="AN68" s="1080">
        <f t="shared" si="39"/>
        <v>-0.02</v>
      </c>
      <c r="AO68" s="1080">
        <f t="shared" si="40"/>
        <v>-0.02</v>
      </c>
      <c r="AP68" s="1700"/>
      <c r="AQ68" s="1700"/>
      <c r="AR68" s="1700"/>
      <c r="AS68" s="1700"/>
      <c r="AT68" s="1700"/>
      <c r="AU68" s="1700">
        <f t="shared" si="41"/>
        <v>0</v>
      </c>
      <c r="AV68" s="1700">
        <f t="shared" si="42"/>
        <v>0</v>
      </c>
      <c r="AW68" s="1700">
        <f t="shared" si="43"/>
        <v>0</v>
      </c>
    </row>
    <row r="69" spans="1:49" s="237" customFormat="1" x14ac:dyDescent="0.2">
      <c r="A69" s="1070" t="s">
        <v>168</v>
      </c>
      <c r="B69" s="1071" t="s">
        <v>169</v>
      </c>
      <c r="C69" s="103" t="s">
        <v>266</v>
      </c>
      <c r="D69" s="1072">
        <f t="shared" ref="D69:D100" si="44">J69+R69+Z69+AH69+AP69</f>
        <v>21216</v>
      </c>
      <c r="E69" s="1072">
        <f t="shared" ref="E69:E100" si="45">K69+S69+AA69+AI69+AQ69</f>
        <v>27708</v>
      </c>
      <c r="F69" s="1072">
        <f t="shared" ref="F69:F100" si="46">L69+T69+AB69+AJ69+AR69</f>
        <v>0</v>
      </c>
      <c r="G69" s="1073">
        <f t="shared" ref="G69:G100" si="47">P69+X69+AF69+AN69+AV69</f>
        <v>0</v>
      </c>
      <c r="H69" s="1073">
        <f t="shared" ref="H69:H100" si="48">Q69+Y69+AG69+AO69+AW69</f>
        <v>0</v>
      </c>
      <c r="I69" s="1378">
        <f t="shared" ref="I69:I100" si="49">SUM(D69:G69)</f>
        <v>48924</v>
      </c>
      <c r="J69" s="1074"/>
      <c r="K69" s="1075"/>
      <c r="L69" s="1075"/>
      <c r="M69" s="1075"/>
      <c r="N69" s="1075"/>
      <c r="O69" s="1076">
        <f t="shared" ref="O69:O100" si="50">SUM(J69:N69)</f>
        <v>0</v>
      </c>
      <c r="P69" s="1377">
        <f t="shared" ref="P69:P100" si="51">M69+N69</f>
        <v>0</v>
      </c>
      <c r="Q69" s="1377">
        <f t="shared" ref="Q69:Q100" si="52">L69+P69</f>
        <v>0</v>
      </c>
      <c r="R69" s="1074">
        <v>21216</v>
      </c>
      <c r="S69" s="1075">
        <v>21216</v>
      </c>
      <c r="T69" s="1075">
        <v>0</v>
      </c>
      <c r="U69" s="1075">
        <v>0</v>
      </c>
      <c r="V69" s="1075">
        <v>0</v>
      </c>
      <c r="W69" s="1077">
        <f t="shared" ref="W69:W100" si="53">SUM(R69:V69)</f>
        <v>42432</v>
      </c>
      <c r="X69" s="1377">
        <f t="shared" ref="X69:X100" si="54">U69+V69</f>
        <v>0</v>
      </c>
      <c r="Y69" s="1377">
        <f t="shared" ref="Y69:Y100" si="55">T69+X69</f>
        <v>0</v>
      </c>
      <c r="Z69" s="1074"/>
      <c r="AA69" s="1075"/>
      <c r="AB69" s="1075"/>
      <c r="AC69" s="1075"/>
      <c r="AD69" s="1075"/>
      <c r="AE69" s="1077">
        <f t="shared" ref="AE69:AE100" si="56">SUM(Z69:AD69)</f>
        <v>0</v>
      </c>
      <c r="AF69" s="1377">
        <f t="shared" ref="AF69:AF100" si="57">AC69+AD69</f>
        <v>0</v>
      </c>
      <c r="AG69" s="1377">
        <f t="shared" ref="AG69:AG100" si="58">AB69+AF69</f>
        <v>0</v>
      </c>
      <c r="AH69" s="1078">
        <v>0</v>
      </c>
      <c r="AI69" s="1079">
        <v>6492</v>
      </c>
      <c r="AJ69" s="1079">
        <v>0</v>
      </c>
      <c r="AK69" s="1079">
        <v>0</v>
      </c>
      <c r="AL69" s="1079">
        <v>0</v>
      </c>
      <c r="AM69" s="1080">
        <f t="shared" ref="AM69:AM100" si="59">SUM(AH69:AL69)</f>
        <v>6492</v>
      </c>
      <c r="AN69" s="1080">
        <f t="shared" ref="AN69:AN100" si="60">AK69+AL69</f>
        <v>0</v>
      </c>
      <c r="AO69" s="1080">
        <f t="shared" ref="AO69:AO100" si="61">AJ69+AN69</f>
        <v>0</v>
      </c>
      <c r="AP69" s="1700"/>
      <c r="AQ69" s="1700"/>
      <c r="AR69" s="1700"/>
      <c r="AS69" s="1700"/>
      <c r="AT69" s="1700"/>
      <c r="AU69" s="1700">
        <f t="shared" ref="AU69:AU100" si="62">SUM(AP69:AT69)</f>
        <v>0</v>
      </c>
      <c r="AV69" s="1700">
        <f t="shared" ref="AV69:AV100" si="63">AS69+AT69</f>
        <v>0</v>
      </c>
      <c r="AW69" s="1700">
        <f t="shared" ref="AW69:AW100" si="64">AR69+AV69</f>
        <v>0</v>
      </c>
    </row>
    <row r="70" spans="1:49" s="237" customFormat="1" x14ac:dyDescent="0.2">
      <c r="A70" s="1070" t="s">
        <v>170</v>
      </c>
      <c r="B70" s="1071" t="s">
        <v>171</v>
      </c>
      <c r="C70" s="103" t="s">
        <v>267</v>
      </c>
      <c r="D70" s="1072">
        <f t="shared" si="44"/>
        <v>336040.6</v>
      </c>
      <c r="E70" s="1072">
        <f t="shared" si="45"/>
        <v>543965.82999999996</v>
      </c>
      <c r="F70" s="1072">
        <f t="shared" si="46"/>
        <v>0</v>
      </c>
      <c r="G70" s="1073">
        <f t="shared" si="47"/>
        <v>-0.1</v>
      </c>
      <c r="H70" s="1073">
        <f t="shared" si="48"/>
        <v>-0.1</v>
      </c>
      <c r="I70" s="1378">
        <f t="shared" si="49"/>
        <v>880006.33</v>
      </c>
      <c r="J70" s="1074">
        <v>109186.92</v>
      </c>
      <c r="K70" s="1075">
        <v>109186.92</v>
      </c>
      <c r="L70" s="1075">
        <v>0</v>
      </c>
      <c r="M70" s="1075">
        <v>-0.1</v>
      </c>
      <c r="N70" s="1075">
        <v>0</v>
      </c>
      <c r="O70" s="1076">
        <f t="shared" si="50"/>
        <v>218373.74</v>
      </c>
      <c r="P70" s="1377">
        <f t="shared" si="51"/>
        <v>-0.1</v>
      </c>
      <c r="Q70" s="1377">
        <f t="shared" si="52"/>
        <v>-0.1</v>
      </c>
      <c r="R70" s="1074">
        <v>214098</v>
      </c>
      <c r="S70" s="1075">
        <v>214098</v>
      </c>
      <c r="T70" s="1075">
        <v>0</v>
      </c>
      <c r="U70" s="1075">
        <v>0</v>
      </c>
      <c r="V70" s="1075">
        <v>0</v>
      </c>
      <c r="W70" s="1077">
        <f t="shared" si="53"/>
        <v>428196</v>
      </c>
      <c r="X70" s="1377">
        <f t="shared" si="54"/>
        <v>0</v>
      </c>
      <c r="Y70" s="1377">
        <f t="shared" si="55"/>
        <v>0</v>
      </c>
      <c r="Z70" s="1074"/>
      <c r="AA70" s="1075"/>
      <c r="AB70" s="1075"/>
      <c r="AC70" s="1075"/>
      <c r="AD70" s="1075"/>
      <c r="AE70" s="1077">
        <f t="shared" si="56"/>
        <v>0</v>
      </c>
      <c r="AF70" s="1377">
        <f t="shared" si="57"/>
        <v>0</v>
      </c>
      <c r="AG70" s="1377">
        <f t="shared" si="58"/>
        <v>0</v>
      </c>
      <c r="AH70" s="1078">
        <v>12755.68</v>
      </c>
      <c r="AI70" s="1079">
        <v>220680.91</v>
      </c>
      <c r="AJ70" s="1079">
        <v>0</v>
      </c>
      <c r="AK70" s="1079">
        <v>0</v>
      </c>
      <c r="AL70" s="1079">
        <v>0</v>
      </c>
      <c r="AM70" s="1080">
        <f t="shared" si="59"/>
        <v>233436.59</v>
      </c>
      <c r="AN70" s="1080">
        <f t="shared" si="60"/>
        <v>0</v>
      </c>
      <c r="AO70" s="1080">
        <f t="shared" si="61"/>
        <v>0</v>
      </c>
      <c r="AP70" s="1700"/>
      <c r="AQ70" s="1700"/>
      <c r="AR70" s="1700"/>
      <c r="AS70" s="1700"/>
      <c r="AT70" s="1700"/>
      <c r="AU70" s="1700">
        <f t="shared" si="62"/>
        <v>0</v>
      </c>
      <c r="AV70" s="1700">
        <f t="shared" si="63"/>
        <v>0</v>
      </c>
      <c r="AW70" s="1700">
        <f t="shared" si="64"/>
        <v>0</v>
      </c>
    </row>
    <row r="71" spans="1:49" s="237" customFormat="1" x14ac:dyDescent="0.2">
      <c r="A71" s="1070" t="s">
        <v>172</v>
      </c>
      <c r="B71" s="1071" t="s">
        <v>173</v>
      </c>
      <c r="C71" s="103" t="s">
        <v>267</v>
      </c>
      <c r="D71" s="1072">
        <f t="shared" si="44"/>
        <v>97466.960000000021</v>
      </c>
      <c r="E71" s="1072">
        <f t="shared" si="45"/>
        <v>108728.40000000001</v>
      </c>
      <c r="F71" s="1072">
        <f t="shared" si="46"/>
        <v>0</v>
      </c>
      <c r="G71" s="1073">
        <f t="shared" si="47"/>
        <v>0</v>
      </c>
      <c r="H71" s="1073">
        <f t="shared" si="48"/>
        <v>0</v>
      </c>
      <c r="I71" s="1378">
        <f t="shared" si="49"/>
        <v>206195.36000000004</v>
      </c>
      <c r="J71" s="1074">
        <v>7113.46</v>
      </c>
      <c r="K71" s="1075">
        <v>7113.46</v>
      </c>
      <c r="L71" s="1075">
        <v>0</v>
      </c>
      <c r="M71" s="1075">
        <v>0</v>
      </c>
      <c r="N71" s="1075">
        <v>0</v>
      </c>
      <c r="O71" s="1076">
        <f t="shared" si="50"/>
        <v>14226.92</v>
      </c>
      <c r="P71" s="1377">
        <f t="shared" si="51"/>
        <v>0</v>
      </c>
      <c r="Q71" s="1377">
        <f t="shared" si="52"/>
        <v>0</v>
      </c>
      <c r="R71" s="1074">
        <v>79423.320000000007</v>
      </c>
      <c r="S71" s="1075">
        <v>79423.320000000007</v>
      </c>
      <c r="T71" s="1075">
        <v>0</v>
      </c>
      <c r="U71" s="1075">
        <v>0</v>
      </c>
      <c r="V71" s="1075">
        <v>0</v>
      </c>
      <c r="W71" s="1077">
        <f t="shared" si="53"/>
        <v>158846.64000000001</v>
      </c>
      <c r="X71" s="1377">
        <f t="shared" si="54"/>
        <v>0</v>
      </c>
      <c r="Y71" s="1377">
        <f t="shared" si="55"/>
        <v>0</v>
      </c>
      <c r="Z71" s="1074"/>
      <c r="AA71" s="1075"/>
      <c r="AB71" s="1075"/>
      <c r="AC71" s="1075"/>
      <c r="AD71" s="1075"/>
      <c r="AE71" s="1077">
        <f t="shared" si="56"/>
        <v>0</v>
      </c>
      <c r="AF71" s="1377">
        <f t="shared" si="57"/>
        <v>0</v>
      </c>
      <c r="AG71" s="1377">
        <f t="shared" si="58"/>
        <v>0</v>
      </c>
      <c r="AH71" s="1078">
        <v>10930.18</v>
      </c>
      <c r="AI71" s="1079">
        <v>22191.62</v>
      </c>
      <c r="AJ71" s="1079">
        <v>0</v>
      </c>
      <c r="AK71" s="1079">
        <v>0</v>
      </c>
      <c r="AL71" s="1079">
        <v>0</v>
      </c>
      <c r="AM71" s="1080">
        <f t="shared" si="59"/>
        <v>33121.800000000003</v>
      </c>
      <c r="AN71" s="1080">
        <f t="shared" si="60"/>
        <v>0</v>
      </c>
      <c r="AO71" s="1080">
        <f t="shared" si="61"/>
        <v>0</v>
      </c>
      <c r="AP71" s="1700"/>
      <c r="AQ71" s="1700"/>
      <c r="AR71" s="1700"/>
      <c r="AS71" s="1700"/>
      <c r="AT71" s="1700"/>
      <c r="AU71" s="1700">
        <f t="shared" si="62"/>
        <v>0</v>
      </c>
      <c r="AV71" s="1700">
        <f t="shared" si="63"/>
        <v>0</v>
      </c>
      <c r="AW71" s="1700">
        <f t="shared" si="64"/>
        <v>0</v>
      </c>
    </row>
    <row r="72" spans="1:49" s="237" customFormat="1" x14ac:dyDescent="0.2">
      <c r="A72" s="1070" t="s">
        <v>174</v>
      </c>
      <c r="B72" s="1071" t="s">
        <v>175</v>
      </c>
      <c r="C72" s="103" t="s">
        <v>268</v>
      </c>
      <c r="D72" s="1072">
        <f t="shared" si="44"/>
        <v>64103.49</v>
      </c>
      <c r="E72" s="1072">
        <f t="shared" si="45"/>
        <v>64103.49</v>
      </c>
      <c r="F72" s="1072">
        <f t="shared" si="46"/>
        <v>0</v>
      </c>
      <c r="G72" s="1073">
        <f t="shared" si="47"/>
        <v>-0.11</v>
      </c>
      <c r="H72" s="1073">
        <f t="shared" si="48"/>
        <v>-0.11</v>
      </c>
      <c r="I72" s="1378">
        <f t="shared" si="49"/>
        <v>128206.87</v>
      </c>
      <c r="J72" s="1074">
        <v>58471.49</v>
      </c>
      <c r="K72" s="1075">
        <v>58471.49</v>
      </c>
      <c r="L72" s="1075">
        <v>0</v>
      </c>
      <c r="M72" s="1075">
        <v>-0.11</v>
      </c>
      <c r="N72" s="1075">
        <v>0</v>
      </c>
      <c r="O72" s="1076">
        <f t="shared" si="50"/>
        <v>116942.87</v>
      </c>
      <c r="P72" s="1377">
        <f t="shared" si="51"/>
        <v>-0.11</v>
      </c>
      <c r="Q72" s="1377">
        <f t="shared" si="52"/>
        <v>-0.11</v>
      </c>
      <c r="R72" s="1074">
        <v>5632</v>
      </c>
      <c r="S72" s="1075">
        <v>5632</v>
      </c>
      <c r="T72" s="1075">
        <v>0</v>
      </c>
      <c r="U72" s="1075">
        <v>0</v>
      </c>
      <c r="V72" s="1075">
        <v>0</v>
      </c>
      <c r="W72" s="1077">
        <f t="shared" si="53"/>
        <v>11264</v>
      </c>
      <c r="X72" s="1377">
        <f t="shared" si="54"/>
        <v>0</v>
      </c>
      <c r="Y72" s="1377">
        <f t="shared" si="55"/>
        <v>0</v>
      </c>
      <c r="Z72" s="1074"/>
      <c r="AA72" s="1075"/>
      <c r="AB72" s="1075"/>
      <c r="AC72" s="1075"/>
      <c r="AD72" s="1075"/>
      <c r="AE72" s="1077">
        <f t="shared" si="56"/>
        <v>0</v>
      </c>
      <c r="AF72" s="1377">
        <f t="shared" si="57"/>
        <v>0</v>
      </c>
      <c r="AG72" s="1377">
        <f t="shared" si="58"/>
        <v>0</v>
      </c>
      <c r="AH72" s="1078"/>
      <c r="AI72" s="1079"/>
      <c r="AJ72" s="1079"/>
      <c r="AK72" s="1079"/>
      <c r="AL72" s="1079"/>
      <c r="AM72" s="1080">
        <f t="shared" si="59"/>
        <v>0</v>
      </c>
      <c r="AN72" s="1080">
        <f t="shared" si="60"/>
        <v>0</v>
      </c>
      <c r="AO72" s="1080">
        <f t="shared" si="61"/>
        <v>0</v>
      </c>
      <c r="AP72" s="1700"/>
      <c r="AQ72" s="1700"/>
      <c r="AR72" s="1700"/>
      <c r="AS72" s="1700"/>
      <c r="AT72" s="1700"/>
      <c r="AU72" s="1700">
        <f t="shared" si="62"/>
        <v>0</v>
      </c>
      <c r="AV72" s="1700">
        <f t="shared" si="63"/>
        <v>0</v>
      </c>
      <c r="AW72" s="1700">
        <f t="shared" si="64"/>
        <v>0</v>
      </c>
    </row>
    <row r="73" spans="1:49" s="237" customFormat="1" x14ac:dyDescent="0.2">
      <c r="A73" s="1070" t="s">
        <v>178</v>
      </c>
      <c r="B73" s="1071" t="s">
        <v>179</v>
      </c>
      <c r="C73" s="103" t="s">
        <v>265</v>
      </c>
      <c r="D73" s="1072">
        <f t="shared" si="44"/>
        <v>119524.2</v>
      </c>
      <c r="E73" s="1072">
        <f t="shared" si="45"/>
        <v>203150.09999999998</v>
      </c>
      <c r="F73" s="1072">
        <f t="shared" si="46"/>
        <v>0</v>
      </c>
      <c r="G73" s="1073">
        <f t="shared" si="47"/>
        <v>-0.04</v>
      </c>
      <c r="H73" s="1073">
        <f t="shared" si="48"/>
        <v>-0.04</v>
      </c>
      <c r="I73" s="1378">
        <f t="shared" si="49"/>
        <v>322674.26</v>
      </c>
      <c r="J73" s="1074">
        <v>77556.7</v>
      </c>
      <c r="K73" s="1075">
        <v>77556.7</v>
      </c>
      <c r="L73" s="1075">
        <v>0</v>
      </c>
      <c r="M73" s="1075">
        <v>-0.04</v>
      </c>
      <c r="N73" s="1075">
        <v>0</v>
      </c>
      <c r="O73" s="1076">
        <f t="shared" si="50"/>
        <v>155113.35999999999</v>
      </c>
      <c r="P73" s="1377">
        <f t="shared" si="51"/>
        <v>-0.04</v>
      </c>
      <c r="Q73" s="1377">
        <f t="shared" si="52"/>
        <v>-0.04</v>
      </c>
      <c r="R73" s="1074">
        <v>41967.5</v>
      </c>
      <c r="S73" s="1075">
        <v>41967.5</v>
      </c>
      <c r="T73" s="1075">
        <v>0</v>
      </c>
      <c r="U73" s="1075">
        <v>0</v>
      </c>
      <c r="V73" s="1075">
        <v>0</v>
      </c>
      <c r="W73" s="1077">
        <f t="shared" si="53"/>
        <v>83935</v>
      </c>
      <c r="X73" s="1377">
        <f t="shared" si="54"/>
        <v>0</v>
      </c>
      <c r="Y73" s="1377">
        <f t="shared" si="55"/>
        <v>0</v>
      </c>
      <c r="Z73" s="1074"/>
      <c r="AA73" s="1075"/>
      <c r="AB73" s="1075"/>
      <c r="AC73" s="1075"/>
      <c r="AD73" s="1075"/>
      <c r="AE73" s="1077">
        <f t="shared" si="56"/>
        <v>0</v>
      </c>
      <c r="AF73" s="1377">
        <f t="shared" si="57"/>
        <v>0</v>
      </c>
      <c r="AG73" s="1377">
        <f t="shared" si="58"/>
        <v>0</v>
      </c>
      <c r="AH73" s="1078">
        <v>0</v>
      </c>
      <c r="AI73" s="1079">
        <v>83625.899999999994</v>
      </c>
      <c r="AJ73" s="1079">
        <v>0</v>
      </c>
      <c r="AK73" s="1079">
        <v>0</v>
      </c>
      <c r="AL73" s="1079">
        <v>0</v>
      </c>
      <c r="AM73" s="1080">
        <f t="shared" si="59"/>
        <v>83625.899999999994</v>
      </c>
      <c r="AN73" s="1080">
        <f t="shared" si="60"/>
        <v>0</v>
      </c>
      <c r="AO73" s="1080">
        <f t="shared" si="61"/>
        <v>0</v>
      </c>
      <c r="AP73" s="1700"/>
      <c r="AQ73" s="1700"/>
      <c r="AR73" s="1700"/>
      <c r="AS73" s="1700"/>
      <c r="AT73" s="1700"/>
      <c r="AU73" s="1700">
        <f t="shared" si="62"/>
        <v>0</v>
      </c>
      <c r="AV73" s="1700">
        <f t="shared" si="63"/>
        <v>0</v>
      </c>
      <c r="AW73" s="1700">
        <f t="shared" si="64"/>
        <v>0</v>
      </c>
    </row>
    <row r="74" spans="1:49" s="237" customFormat="1" x14ac:dyDescent="0.2">
      <c r="A74" s="1070" t="s">
        <v>182</v>
      </c>
      <c r="B74" s="1071" t="s">
        <v>183</v>
      </c>
      <c r="C74" s="103" t="s">
        <v>266</v>
      </c>
      <c r="D74" s="1072">
        <f t="shared" si="44"/>
        <v>174176.3</v>
      </c>
      <c r="E74" s="1072">
        <f t="shared" si="45"/>
        <v>174253.53</v>
      </c>
      <c r="F74" s="1072">
        <f t="shared" si="46"/>
        <v>0</v>
      </c>
      <c r="G74" s="1073">
        <f t="shared" si="47"/>
        <v>52116.31</v>
      </c>
      <c r="H74" s="1073">
        <f t="shared" si="48"/>
        <v>52116.31</v>
      </c>
      <c r="I74" s="1378">
        <f t="shared" si="49"/>
        <v>400546.13999999996</v>
      </c>
      <c r="J74" s="1074">
        <v>118580.8</v>
      </c>
      <c r="K74" s="1075">
        <v>118658.03</v>
      </c>
      <c r="L74" s="1075">
        <v>0</v>
      </c>
      <c r="M74" s="1075">
        <v>77.08</v>
      </c>
      <c r="N74" s="1075">
        <v>30579.5</v>
      </c>
      <c r="O74" s="1076">
        <f t="shared" si="50"/>
        <v>267895.41000000003</v>
      </c>
      <c r="P74" s="1377">
        <f t="shared" si="51"/>
        <v>30656.58</v>
      </c>
      <c r="Q74" s="1377">
        <f t="shared" si="52"/>
        <v>30656.58</v>
      </c>
      <c r="R74" s="1074">
        <v>55595.5</v>
      </c>
      <c r="S74" s="1075">
        <v>55595.5</v>
      </c>
      <c r="T74" s="1075">
        <v>0</v>
      </c>
      <c r="U74" s="1075">
        <v>0</v>
      </c>
      <c r="V74" s="1075">
        <v>21459.73</v>
      </c>
      <c r="W74" s="1077">
        <f t="shared" si="53"/>
        <v>132650.73000000001</v>
      </c>
      <c r="X74" s="1377">
        <f t="shared" si="54"/>
        <v>21459.73</v>
      </c>
      <c r="Y74" s="1377">
        <f t="shared" si="55"/>
        <v>21459.73</v>
      </c>
      <c r="Z74" s="1078"/>
      <c r="AA74" s="1079"/>
      <c r="AB74" s="1079"/>
      <c r="AC74" s="1079"/>
      <c r="AD74" s="1079"/>
      <c r="AE74" s="1077">
        <f t="shared" si="56"/>
        <v>0</v>
      </c>
      <c r="AF74" s="1377">
        <f t="shared" si="57"/>
        <v>0</v>
      </c>
      <c r="AG74" s="1377">
        <f t="shared" si="58"/>
        <v>0</v>
      </c>
      <c r="AH74" s="1078"/>
      <c r="AI74" s="1079"/>
      <c r="AJ74" s="1079"/>
      <c r="AK74" s="1079"/>
      <c r="AL74" s="1079"/>
      <c r="AM74" s="1080">
        <f t="shared" si="59"/>
        <v>0</v>
      </c>
      <c r="AN74" s="1080">
        <f t="shared" si="60"/>
        <v>0</v>
      </c>
      <c r="AO74" s="1080">
        <f t="shared" si="61"/>
        <v>0</v>
      </c>
      <c r="AP74" s="1700"/>
      <c r="AQ74" s="1700"/>
      <c r="AR74" s="1700"/>
      <c r="AS74" s="1700"/>
      <c r="AT74" s="1700"/>
      <c r="AU74" s="1700">
        <f t="shared" si="62"/>
        <v>0</v>
      </c>
      <c r="AV74" s="1700">
        <f t="shared" si="63"/>
        <v>0</v>
      </c>
      <c r="AW74" s="1700">
        <f t="shared" si="64"/>
        <v>0</v>
      </c>
    </row>
    <row r="75" spans="1:49" s="237" customFormat="1" x14ac:dyDescent="0.2">
      <c r="A75" s="1070" t="s">
        <v>184</v>
      </c>
      <c r="B75" s="1071" t="s">
        <v>185</v>
      </c>
      <c r="C75" s="103" t="s">
        <v>266</v>
      </c>
      <c r="D75" s="1072">
        <f t="shared" si="44"/>
        <v>193728.49000000002</v>
      </c>
      <c r="E75" s="1072">
        <f t="shared" si="45"/>
        <v>376484.03</v>
      </c>
      <c r="F75" s="1072">
        <f t="shared" si="46"/>
        <v>0</v>
      </c>
      <c r="G75" s="1073">
        <f t="shared" si="47"/>
        <v>-0.03</v>
      </c>
      <c r="H75" s="1073">
        <f t="shared" si="48"/>
        <v>-0.03</v>
      </c>
      <c r="I75" s="1378">
        <f t="shared" si="49"/>
        <v>570212.49</v>
      </c>
      <c r="J75" s="1074">
        <v>39301.85</v>
      </c>
      <c r="K75" s="1075">
        <v>39301.85</v>
      </c>
      <c r="L75" s="1075">
        <v>0</v>
      </c>
      <c r="M75" s="1075">
        <v>-0.02</v>
      </c>
      <c r="N75" s="1075">
        <v>0</v>
      </c>
      <c r="O75" s="1076">
        <f t="shared" si="50"/>
        <v>78603.679999999993</v>
      </c>
      <c r="P75" s="1377">
        <f t="shared" si="51"/>
        <v>-0.02</v>
      </c>
      <c r="Q75" s="1377">
        <f t="shared" si="52"/>
        <v>-0.02</v>
      </c>
      <c r="R75" s="1074">
        <v>149944.91</v>
      </c>
      <c r="S75" s="1075">
        <v>149944.91</v>
      </c>
      <c r="T75" s="1075">
        <v>0</v>
      </c>
      <c r="U75" s="1075">
        <v>-0.01</v>
      </c>
      <c r="V75" s="1075">
        <v>0</v>
      </c>
      <c r="W75" s="1077">
        <f t="shared" si="53"/>
        <v>299889.81</v>
      </c>
      <c r="X75" s="1377">
        <f t="shared" si="54"/>
        <v>-0.01</v>
      </c>
      <c r="Y75" s="1377">
        <f t="shared" si="55"/>
        <v>-0.01</v>
      </c>
      <c r="Z75" s="1074"/>
      <c r="AA75" s="1075"/>
      <c r="AB75" s="1075"/>
      <c r="AC75" s="1075"/>
      <c r="AD75" s="1075"/>
      <c r="AE75" s="1077">
        <f t="shared" si="56"/>
        <v>0</v>
      </c>
      <c r="AF75" s="1377">
        <f t="shared" si="57"/>
        <v>0</v>
      </c>
      <c r="AG75" s="1377">
        <f t="shared" si="58"/>
        <v>0</v>
      </c>
      <c r="AH75" s="1078">
        <v>4481.7299999999996</v>
      </c>
      <c r="AI75" s="1079">
        <v>187237.27</v>
      </c>
      <c r="AJ75" s="1079">
        <v>0</v>
      </c>
      <c r="AK75" s="1079">
        <v>0</v>
      </c>
      <c r="AL75" s="1079">
        <v>0</v>
      </c>
      <c r="AM75" s="1080">
        <f t="shared" si="59"/>
        <v>191719</v>
      </c>
      <c r="AN75" s="1080">
        <f t="shared" si="60"/>
        <v>0</v>
      </c>
      <c r="AO75" s="1080">
        <f t="shared" si="61"/>
        <v>0</v>
      </c>
      <c r="AP75" s="1700"/>
      <c r="AQ75" s="1700"/>
      <c r="AR75" s="1700"/>
      <c r="AS75" s="1700"/>
      <c r="AT75" s="1700"/>
      <c r="AU75" s="1700">
        <f t="shared" si="62"/>
        <v>0</v>
      </c>
      <c r="AV75" s="1700">
        <f t="shared" si="63"/>
        <v>0</v>
      </c>
      <c r="AW75" s="1700">
        <f t="shared" si="64"/>
        <v>0</v>
      </c>
    </row>
    <row r="76" spans="1:49" s="237" customFormat="1" x14ac:dyDescent="0.2">
      <c r="A76" s="1070" t="s">
        <v>186</v>
      </c>
      <c r="B76" s="1071" t="s">
        <v>187</v>
      </c>
      <c r="C76" s="103" t="s">
        <v>264</v>
      </c>
      <c r="D76" s="1072">
        <f t="shared" si="44"/>
        <v>139441.53</v>
      </c>
      <c r="E76" s="1072">
        <f t="shared" si="45"/>
        <v>215540.53</v>
      </c>
      <c r="F76" s="1072">
        <f t="shared" si="46"/>
        <v>0</v>
      </c>
      <c r="G76" s="1073">
        <f t="shared" si="47"/>
        <v>-0.04</v>
      </c>
      <c r="H76" s="1073">
        <f t="shared" si="48"/>
        <v>-0.04</v>
      </c>
      <c r="I76" s="1378">
        <f t="shared" si="49"/>
        <v>354982.02</v>
      </c>
      <c r="J76" s="1074">
        <v>51201.53</v>
      </c>
      <c r="K76" s="1075">
        <v>51201.53</v>
      </c>
      <c r="L76" s="1075">
        <v>0</v>
      </c>
      <c r="M76" s="1075">
        <v>-0.04</v>
      </c>
      <c r="N76" s="1075">
        <v>0</v>
      </c>
      <c r="O76" s="1076">
        <f t="shared" si="50"/>
        <v>102403.02</v>
      </c>
      <c r="P76" s="1377">
        <f t="shared" si="51"/>
        <v>-0.04</v>
      </c>
      <c r="Q76" s="1377">
        <f t="shared" si="52"/>
        <v>-0.04</v>
      </c>
      <c r="R76" s="1074">
        <v>88240</v>
      </c>
      <c r="S76" s="1075">
        <v>88240</v>
      </c>
      <c r="T76" s="1075">
        <v>0</v>
      </c>
      <c r="U76" s="1075">
        <v>0</v>
      </c>
      <c r="V76" s="1075">
        <v>0</v>
      </c>
      <c r="W76" s="1077">
        <f t="shared" si="53"/>
        <v>176480</v>
      </c>
      <c r="X76" s="1377">
        <f t="shared" si="54"/>
        <v>0</v>
      </c>
      <c r="Y76" s="1377">
        <f t="shared" si="55"/>
        <v>0</v>
      </c>
      <c r="Z76" s="1074"/>
      <c r="AA76" s="1075"/>
      <c r="AB76" s="1075"/>
      <c r="AC76" s="1075"/>
      <c r="AD76" s="1075"/>
      <c r="AE76" s="1077">
        <f t="shared" si="56"/>
        <v>0</v>
      </c>
      <c r="AF76" s="1377">
        <f t="shared" si="57"/>
        <v>0</v>
      </c>
      <c r="AG76" s="1377">
        <f t="shared" si="58"/>
        <v>0</v>
      </c>
      <c r="AH76" s="1078">
        <v>0</v>
      </c>
      <c r="AI76" s="1079">
        <v>76099</v>
      </c>
      <c r="AJ76" s="1079">
        <v>0</v>
      </c>
      <c r="AK76" s="1079">
        <v>0</v>
      </c>
      <c r="AL76" s="1079">
        <v>0</v>
      </c>
      <c r="AM76" s="1080">
        <f t="shared" si="59"/>
        <v>76099</v>
      </c>
      <c r="AN76" s="1080">
        <f t="shared" si="60"/>
        <v>0</v>
      </c>
      <c r="AO76" s="1080">
        <f t="shared" si="61"/>
        <v>0</v>
      </c>
      <c r="AP76" s="1700"/>
      <c r="AQ76" s="1700"/>
      <c r="AR76" s="1700"/>
      <c r="AS76" s="1700"/>
      <c r="AT76" s="1700"/>
      <c r="AU76" s="1700">
        <f t="shared" si="62"/>
        <v>0</v>
      </c>
      <c r="AV76" s="1700">
        <f t="shared" si="63"/>
        <v>0</v>
      </c>
      <c r="AW76" s="1700">
        <f t="shared" si="64"/>
        <v>0</v>
      </c>
    </row>
    <row r="77" spans="1:49" s="237" customFormat="1" x14ac:dyDescent="0.2">
      <c r="A77" s="1070" t="s">
        <v>188</v>
      </c>
      <c r="B77" s="1071" t="s">
        <v>189</v>
      </c>
      <c r="C77" s="103" t="s">
        <v>267</v>
      </c>
      <c r="D77" s="1072">
        <f t="shared" si="44"/>
        <v>1015946.54</v>
      </c>
      <c r="E77" s="1072">
        <f t="shared" si="45"/>
        <v>1523071.15</v>
      </c>
      <c r="F77" s="1072">
        <f t="shared" si="46"/>
        <v>0</v>
      </c>
      <c r="G77" s="1073">
        <f t="shared" si="47"/>
        <v>-0.18</v>
      </c>
      <c r="H77" s="1073">
        <f t="shared" si="48"/>
        <v>-0.18</v>
      </c>
      <c r="I77" s="1378">
        <f t="shared" si="49"/>
        <v>2539017.5099999998</v>
      </c>
      <c r="J77" s="1074">
        <v>368810.92</v>
      </c>
      <c r="K77" s="1075">
        <v>368810.92</v>
      </c>
      <c r="L77" s="1075">
        <v>0</v>
      </c>
      <c r="M77" s="1075">
        <v>-0.09</v>
      </c>
      <c r="N77" s="1075">
        <v>0</v>
      </c>
      <c r="O77" s="1076">
        <f t="shared" si="50"/>
        <v>737621.75</v>
      </c>
      <c r="P77" s="1377">
        <f t="shared" si="51"/>
        <v>-0.09</v>
      </c>
      <c r="Q77" s="1377">
        <f t="shared" si="52"/>
        <v>-0.09</v>
      </c>
      <c r="R77" s="1074">
        <v>570162.59</v>
      </c>
      <c r="S77" s="1075">
        <v>570162.59</v>
      </c>
      <c r="T77" s="1075">
        <v>0</v>
      </c>
      <c r="U77" s="1075">
        <v>-0.08</v>
      </c>
      <c r="V77" s="1075">
        <v>0</v>
      </c>
      <c r="W77" s="1077">
        <f t="shared" si="53"/>
        <v>1140325.0999999999</v>
      </c>
      <c r="X77" s="1377">
        <f t="shared" si="54"/>
        <v>-0.08</v>
      </c>
      <c r="Y77" s="1377">
        <f t="shared" si="55"/>
        <v>-0.08</v>
      </c>
      <c r="Z77" s="1074"/>
      <c r="AA77" s="1075"/>
      <c r="AB77" s="1075"/>
      <c r="AC77" s="1075"/>
      <c r="AD77" s="1075"/>
      <c r="AE77" s="1077">
        <f t="shared" si="56"/>
        <v>0</v>
      </c>
      <c r="AF77" s="1377">
        <f t="shared" si="57"/>
        <v>0</v>
      </c>
      <c r="AG77" s="1377">
        <f t="shared" si="58"/>
        <v>0</v>
      </c>
      <c r="AH77" s="1078">
        <v>76973.03</v>
      </c>
      <c r="AI77" s="1079">
        <v>584097.64</v>
      </c>
      <c r="AJ77" s="1079">
        <v>0</v>
      </c>
      <c r="AK77" s="1079">
        <v>-0.01</v>
      </c>
      <c r="AL77" s="1079">
        <v>0</v>
      </c>
      <c r="AM77" s="1080">
        <f t="shared" si="59"/>
        <v>661070.66</v>
      </c>
      <c r="AN77" s="1080">
        <f t="shared" si="60"/>
        <v>-0.01</v>
      </c>
      <c r="AO77" s="1080">
        <f t="shared" si="61"/>
        <v>-0.01</v>
      </c>
      <c r="AP77" s="1700"/>
      <c r="AQ77" s="1700"/>
      <c r="AR77" s="1700"/>
      <c r="AS77" s="1700"/>
      <c r="AT77" s="1700"/>
      <c r="AU77" s="1700">
        <f t="shared" si="62"/>
        <v>0</v>
      </c>
      <c r="AV77" s="1700">
        <f t="shared" si="63"/>
        <v>0</v>
      </c>
      <c r="AW77" s="1700">
        <f t="shared" si="64"/>
        <v>0</v>
      </c>
    </row>
    <row r="78" spans="1:49" s="237" customFormat="1" x14ac:dyDescent="0.2">
      <c r="A78" s="1070" t="s">
        <v>190</v>
      </c>
      <c r="B78" s="1071" t="s">
        <v>191</v>
      </c>
      <c r="C78" s="103" t="s">
        <v>268</v>
      </c>
      <c r="D78" s="1072">
        <f t="shared" si="44"/>
        <v>980196.48</v>
      </c>
      <c r="E78" s="1072">
        <f t="shared" si="45"/>
        <v>1058827.73</v>
      </c>
      <c r="F78" s="1072">
        <f t="shared" si="46"/>
        <v>0</v>
      </c>
      <c r="G78" s="1073">
        <f t="shared" si="47"/>
        <v>-701.80000000000007</v>
      </c>
      <c r="H78" s="1073">
        <f t="shared" si="48"/>
        <v>-701.80000000000007</v>
      </c>
      <c r="I78" s="1378">
        <f t="shared" si="49"/>
        <v>2038322.41</v>
      </c>
      <c r="J78" s="1074">
        <v>388995.38</v>
      </c>
      <c r="K78" s="1075">
        <v>388995.38</v>
      </c>
      <c r="L78" s="1075">
        <v>0</v>
      </c>
      <c r="M78" s="1075">
        <v>-0.21</v>
      </c>
      <c r="N78" s="1075">
        <v>0</v>
      </c>
      <c r="O78" s="1076">
        <f t="shared" si="50"/>
        <v>777990.55</v>
      </c>
      <c r="P78" s="1377">
        <f t="shared" si="51"/>
        <v>-0.21</v>
      </c>
      <c r="Q78" s="1377">
        <f t="shared" si="52"/>
        <v>-0.21</v>
      </c>
      <c r="R78" s="1074">
        <v>586399.35</v>
      </c>
      <c r="S78" s="1075">
        <v>586399.35</v>
      </c>
      <c r="T78" s="1075">
        <v>0</v>
      </c>
      <c r="U78" s="1075">
        <v>-0.02</v>
      </c>
      <c r="V78" s="1075">
        <v>-701.57</v>
      </c>
      <c r="W78" s="1077">
        <f t="shared" si="53"/>
        <v>1172097.1099999999</v>
      </c>
      <c r="X78" s="1377">
        <f t="shared" si="54"/>
        <v>-701.59</v>
      </c>
      <c r="Y78" s="1377">
        <f t="shared" si="55"/>
        <v>-701.59</v>
      </c>
      <c r="Z78" s="1074"/>
      <c r="AA78" s="1075"/>
      <c r="AB78" s="1075"/>
      <c r="AC78" s="1075"/>
      <c r="AD78" s="1075"/>
      <c r="AE78" s="1077">
        <f t="shared" si="56"/>
        <v>0</v>
      </c>
      <c r="AF78" s="1377">
        <f t="shared" si="57"/>
        <v>0</v>
      </c>
      <c r="AG78" s="1377">
        <f t="shared" si="58"/>
        <v>0</v>
      </c>
      <c r="AH78" s="1078">
        <v>4801.75</v>
      </c>
      <c r="AI78" s="1079">
        <v>83433</v>
      </c>
      <c r="AJ78" s="1079">
        <v>0</v>
      </c>
      <c r="AK78" s="1079">
        <v>0</v>
      </c>
      <c r="AL78" s="1079">
        <v>0</v>
      </c>
      <c r="AM78" s="1080">
        <f t="shared" si="59"/>
        <v>88234.75</v>
      </c>
      <c r="AN78" s="1080">
        <f t="shared" si="60"/>
        <v>0</v>
      </c>
      <c r="AO78" s="1080">
        <f t="shared" si="61"/>
        <v>0</v>
      </c>
      <c r="AP78" s="1700"/>
      <c r="AQ78" s="1700"/>
      <c r="AR78" s="1700"/>
      <c r="AS78" s="1700"/>
      <c r="AT78" s="1700"/>
      <c r="AU78" s="1700">
        <f t="shared" si="62"/>
        <v>0</v>
      </c>
      <c r="AV78" s="1700">
        <f t="shared" si="63"/>
        <v>0</v>
      </c>
      <c r="AW78" s="1700">
        <f t="shared" si="64"/>
        <v>0</v>
      </c>
    </row>
    <row r="79" spans="1:49" s="237" customFormat="1" x14ac:dyDescent="0.2">
      <c r="A79" s="1070" t="s">
        <v>194</v>
      </c>
      <c r="B79" s="1071" t="s">
        <v>195</v>
      </c>
      <c r="C79" s="103" t="s">
        <v>267</v>
      </c>
      <c r="D79" s="1072">
        <f t="shared" si="44"/>
        <v>127145.93000000001</v>
      </c>
      <c r="E79" s="1072">
        <f t="shared" si="45"/>
        <v>141764.15000000002</v>
      </c>
      <c r="F79" s="1072">
        <f t="shared" si="46"/>
        <v>0</v>
      </c>
      <c r="G79" s="1073">
        <f t="shared" si="47"/>
        <v>4071.51</v>
      </c>
      <c r="H79" s="1073">
        <f t="shared" si="48"/>
        <v>4071.51</v>
      </c>
      <c r="I79" s="1378">
        <f t="shared" si="49"/>
        <v>272981.59000000003</v>
      </c>
      <c r="J79" s="1074">
        <v>77056.97</v>
      </c>
      <c r="K79" s="1075">
        <v>77056.97</v>
      </c>
      <c r="L79" s="1075">
        <v>0</v>
      </c>
      <c r="M79" s="1075">
        <v>4071.51</v>
      </c>
      <c r="N79" s="1075">
        <v>0</v>
      </c>
      <c r="O79" s="1076">
        <f t="shared" si="50"/>
        <v>158185.45000000001</v>
      </c>
      <c r="P79" s="1377">
        <f t="shared" si="51"/>
        <v>4071.51</v>
      </c>
      <c r="Q79" s="1377">
        <f t="shared" si="52"/>
        <v>4071.51</v>
      </c>
      <c r="R79" s="1074">
        <v>43890.57</v>
      </c>
      <c r="S79" s="1075">
        <v>43890.57</v>
      </c>
      <c r="T79" s="1075">
        <v>0</v>
      </c>
      <c r="U79" s="1075">
        <v>0</v>
      </c>
      <c r="V79" s="1075">
        <v>0</v>
      </c>
      <c r="W79" s="1077">
        <f t="shared" si="53"/>
        <v>87781.14</v>
      </c>
      <c r="X79" s="1377">
        <f t="shared" si="54"/>
        <v>0</v>
      </c>
      <c r="Y79" s="1377">
        <f t="shared" si="55"/>
        <v>0</v>
      </c>
      <c r="Z79" s="1074"/>
      <c r="AA79" s="1075"/>
      <c r="AB79" s="1075"/>
      <c r="AC79" s="1075"/>
      <c r="AD79" s="1075"/>
      <c r="AE79" s="1077">
        <f t="shared" si="56"/>
        <v>0</v>
      </c>
      <c r="AF79" s="1377">
        <f t="shared" si="57"/>
        <v>0</v>
      </c>
      <c r="AG79" s="1377">
        <f t="shared" si="58"/>
        <v>0</v>
      </c>
      <c r="AH79" s="1078">
        <v>6198.39</v>
      </c>
      <c r="AI79" s="1079">
        <v>20816.61</v>
      </c>
      <c r="AJ79" s="1079">
        <v>0</v>
      </c>
      <c r="AK79" s="1079">
        <v>0</v>
      </c>
      <c r="AL79" s="1079">
        <v>0</v>
      </c>
      <c r="AM79" s="1080">
        <f t="shared" si="59"/>
        <v>27015</v>
      </c>
      <c r="AN79" s="1080">
        <f t="shared" si="60"/>
        <v>0</v>
      </c>
      <c r="AO79" s="1080">
        <f t="shared" si="61"/>
        <v>0</v>
      </c>
      <c r="AP79" s="1700"/>
      <c r="AQ79" s="1700"/>
      <c r="AR79" s="1700"/>
      <c r="AS79" s="1700"/>
      <c r="AT79" s="1700"/>
      <c r="AU79" s="1700">
        <f t="shared" si="62"/>
        <v>0</v>
      </c>
      <c r="AV79" s="1700">
        <f t="shared" si="63"/>
        <v>0</v>
      </c>
      <c r="AW79" s="1700">
        <f t="shared" si="64"/>
        <v>0</v>
      </c>
    </row>
    <row r="80" spans="1:49" s="237" customFormat="1" x14ac:dyDescent="0.2">
      <c r="A80" s="1070" t="s">
        <v>198</v>
      </c>
      <c r="B80" s="1071" t="s">
        <v>199</v>
      </c>
      <c r="C80" s="103" t="s">
        <v>266</v>
      </c>
      <c r="D80" s="1072">
        <f t="shared" si="44"/>
        <v>72103.360000000001</v>
      </c>
      <c r="E80" s="1072">
        <f t="shared" si="45"/>
        <v>104091.76000000001</v>
      </c>
      <c r="F80" s="1072">
        <f t="shared" si="46"/>
        <v>0</v>
      </c>
      <c r="G80" s="1073">
        <f t="shared" si="47"/>
        <v>-0.08</v>
      </c>
      <c r="H80" s="1073">
        <f t="shared" si="48"/>
        <v>-0.08</v>
      </c>
      <c r="I80" s="1378">
        <f t="shared" si="49"/>
        <v>176195.04</v>
      </c>
      <c r="J80" s="1074">
        <v>55405.36</v>
      </c>
      <c r="K80" s="1075">
        <v>55405.36</v>
      </c>
      <c r="L80" s="1075">
        <v>0</v>
      </c>
      <c r="M80" s="1075">
        <v>-0.08</v>
      </c>
      <c r="N80" s="1075">
        <v>0</v>
      </c>
      <c r="O80" s="1076">
        <f t="shared" si="50"/>
        <v>110810.64</v>
      </c>
      <c r="P80" s="1377">
        <f t="shared" si="51"/>
        <v>-0.08</v>
      </c>
      <c r="Q80" s="1377">
        <f t="shared" si="52"/>
        <v>-0.08</v>
      </c>
      <c r="R80" s="1074">
        <v>17510</v>
      </c>
      <c r="S80" s="1075">
        <v>17510</v>
      </c>
      <c r="T80" s="1075">
        <v>0</v>
      </c>
      <c r="U80" s="1075">
        <v>0</v>
      </c>
      <c r="V80" s="1075">
        <v>0</v>
      </c>
      <c r="W80" s="1077">
        <f t="shared" si="53"/>
        <v>35020</v>
      </c>
      <c r="X80" s="1377">
        <f t="shared" si="54"/>
        <v>0</v>
      </c>
      <c r="Y80" s="1377">
        <f t="shared" si="55"/>
        <v>0</v>
      </c>
      <c r="Z80" s="1074"/>
      <c r="AA80" s="1075"/>
      <c r="AB80" s="1075"/>
      <c r="AC80" s="1075"/>
      <c r="AD80" s="1075"/>
      <c r="AE80" s="1077">
        <f t="shared" si="56"/>
        <v>0</v>
      </c>
      <c r="AF80" s="1377">
        <f t="shared" si="57"/>
        <v>0</v>
      </c>
      <c r="AG80" s="1377">
        <f t="shared" si="58"/>
        <v>0</v>
      </c>
      <c r="AH80" s="1078">
        <v>0</v>
      </c>
      <c r="AI80" s="1079">
        <v>31176.400000000001</v>
      </c>
      <c r="AJ80" s="1079">
        <v>0</v>
      </c>
      <c r="AK80" s="1079">
        <v>0</v>
      </c>
      <c r="AL80" s="1079">
        <v>0</v>
      </c>
      <c r="AM80" s="1080">
        <f t="shared" si="59"/>
        <v>31176.400000000001</v>
      </c>
      <c r="AN80" s="1080">
        <f t="shared" si="60"/>
        <v>0</v>
      </c>
      <c r="AO80" s="1080">
        <f t="shared" si="61"/>
        <v>0</v>
      </c>
      <c r="AP80" s="1700">
        <v>-812</v>
      </c>
      <c r="AQ80" s="1700"/>
      <c r="AR80" s="1700"/>
      <c r="AS80" s="1700"/>
      <c r="AT80" s="1700"/>
      <c r="AU80" s="1700">
        <f t="shared" si="62"/>
        <v>-812</v>
      </c>
      <c r="AV80" s="1700">
        <f t="shared" si="63"/>
        <v>0</v>
      </c>
      <c r="AW80" s="1700">
        <f t="shared" si="64"/>
        <v>0</v>
      </c>
    </row>
    <row r="81" spans="1:49" s="237" customFormat="1" x14ac:dyDescent="0.2">
      <c r="A81" s="1070" t="s">
        <v>202</v>
      </c>
      <c r="B81" s="1071" t="s">
        <v>203</v>
      </c>
      <c r="C81" s="103" t="s">
        <v>265</v>
      </c>
      <c r="D81" s="1072">
        <f t="shared" si="44"/>
        <v>1387187.48</v>
      </c>
      <c r="E81" s="1072">
        <f t="shared" si="45"/>
        <v>2229751.62</v>
      </c>
      <c r="F81" s="1072">
        <f t="shared" si="46"/>
        <v>0</v>
      </c>
      <c r="G81" s="1073">
        <f t="shared" si="47"/>
        <v>4969.0499999999993</v>
      </c>
      <c r="H81" s="1073">
        <f t="shared" si="48"/>
        <v>4969.0499999999993</v>
      </c>
      <c r="I81" s="1378">
        <f t="shared" si="49"/>
        <v>3621908.15</v>
      </c>
      <c r="J81" s="1074">
        <v>583058.13</v>
      </c>
      <c r="K81" s="1075">
        <v>583058.13</v>
      </c>
      <c r="L81" s="1075">
        <v>0</v>
      </c>
      <c r="M81" s="1075">
        <v>2099.11</v>
      </c>
      <c r="N81" s="1075">
        <v>0</v>
      </c>
      <c r="O81" s="1076">
        <f t="shared" si="50"/>
        <v>1168215.3700000001</v>
      </c>
      <c r="P81" s="1377">
        <f t="shared" si="51"/>
        <v>2099.11</v>
      </c>
      <c r="Q81" s="1377">
        <f t="shared" si="52"/>
        <v>2099.11</v>
      </c>
      <c r="R81" s="1074">
        <v>700697.5</v>
      </c>
      <c r="S81" s="1075">
        <v>700697.5</v>
      </c>
      <c r="T81" s="1075">
        <v>0</v>
      </c>
      <c r="U81" s="1075">
        <v>2869.95</v>
      </c>
      <c r="V81" s="1075">
        <v>0</v>
      </c>
      <c r="W81" s="1077">
        <f t="shared" si="53"/>
        <v>1404264.95</v>
      </c>
      <c r="X81" s="1377">
        <f t="shared" si="54"/>
        <v>2869.95</v>
      </c>
      <c r="Y81" s="1377">
        <f t="shared" si="55"/>
        <v>2869.95</v>
      </c>
      <c r="Z81" s="1074"/>
      <c r="AA81" s="1075"/>
      <c r="AB81" s="1075"/>
      <c r="AC81" s="1075"/>
      <c r="AD81" s="1075"/>
      <c r="AE81" s="1077">
        <f t="shared" si="56"/>
        <v>0</v>
      </c>
      <c r="AF81" s="1377">
        <f t="shared" si="57"/>
        <v>0</v>
      </c>
      <c r="AG81" s="1377">
        <f t="shared" si="58"/>
        <v>0</v>
      </c>
      <c r="AH81" s="1078">
        <v>103431.85</v>
      </c>
      <c r="AI81" s="1079">
        <v>945995.99</v>
      </c>
      <c r="AJ81" s="1079">
        <v>0</v>
      </c>
      <c r="AK81" s="1079">
        <v>-0.01</v>
      </c>
      <c r="AL81" s="1079">
        <v>0</v>
      </c>
      <c r="AM81" s="1080">
        <f t="shared" si="59"/>
        <v>1049427.83</v>
      </c>
      <c r="AN81" s="1080">
        <f t="shared" si="60"/>
        <v>-0.01</v>
      </c>
      <c r="AO81" s="1080">
        <f t="shared" si="61"/>
        <v>-0.01</v>
      </c>
      <c r="AP81" s="1700"/>
      <c r="AQ81" s="1700"/>
      <c r="AR81" s="1700"/>
      <c r="AS81" s="1700"/>
      <c r="AT81" s="1700"/>
      <c r="AU81" s="1700">
        <f t="shared" si="62"/>
        <v>0</v>
      </c>
      <c r="AV81" s="1700">
        <f t="shared" si="63"/>
        <v>0</v>
      </c>
      <c r="AW81" s="1700">
        <f t="shared" si="64"/>
        <v>0</v>
      </c>
    </row>
    <row r="82" spans="1:49" s="237" customFormat="1" x14ac:dyDescent="0.2">
      <c r="A82" s="1070" t="s">
        <v>204</v>
      </c>
      <c r="B82" s="1071" t="s">
        <v>205</v>
      </c>
      <c r="C82" s="103" t="s">
        <v>265</v>
      </c>
      <c r="D82" s="1072">
        <f t="shared" si="44"/>
        <v>228148.03</v>
      </c>
      <c r="E82" s="1072">
        <f t="shared" si="45"/>
        <v>241132.03</v>
      </c>
      <c r="F82" s="1072">
        <f t="shared" si="46"/>
        <v>0</v>
      </c>
      <c r="G82" s="1073">
        <f t="shared" si="47"/>
        <v>-0.11</v>
      </c>
      <c r="H82" s="1073">
        <f t="shared" si="48"/>
        <v>-0.11</v>
      </c>
      <c r="I82" s="1378">
        <f t="shared" si="49"/>
        <v>469279.95</v>
      </c>
      <c r="J82" s="1074">
        <v>144366.5</v>
      </c>
      <c r="K82" s="1075">
        <v>144366.5</v>
      </c>
      <c r="L82" s="1075">
        <v>0</v>
      </c>
      <c r="M82" s="1075">
        <v>-0.11</v>
      </c>
      <c r="N82" s="1075">
        <v>0</v>
      </c>
      <c r="O82" s="1076">
        <f t="shared" si="50"/>
        <v>288732.89</v>
      </c>
      <c r="P82" s="1377">
        <f t="shared" si="51"/>
        <v>-0.11</v>
      </c>
      <c r="Q82" s="1377">
        <f t="shared" si="52"/>
        <v>-0.11</v>
      </c>
      <c r="R82" s="1074">
        <v>81531.53</v>
      </c>
      <c r="S82" s="1075">
        <v>81531.53</v>
      </c>
      <c r="T82" s="1075">
        <v>0</v>
      </c>
      <c r="U82" s="1075">
        <v>0</v>
      </c>
      <c r="V82" s="1075">
        <v>0</v>
      </c>
      <c r="W82" s="1077">
        <f t="shared" si="53"/>
        <v>163063.06</v>
      </c>
      <c r="X82" s="1377">
        <f t="shared" si="54"/>
        <v>0</v>
      </c>
      <c r="Y82" s="1377">
        <f t="shared" si="55"/>
        <v>0</v>
      </c>
      <c r="Z82" s="1074">
        <v>2250</v>
      </c>
      <c r="AA82" s="1075">
        <v>2250</v>
      </c>
      <c r="AB82" s="1075">
        <v>0</v>
      </c>
      <c r="AC82" s="1075">
        <v>0</v>
      </c>
      <c r="AD82" s="1075">
        <v>0</v>
      </c>
      <c r="AE82" s="1077">
        <f t="shared" si="56"/>
        <v>4500</v>
      </c>
      <c r="AF82" s="1377">
        <f t="shared" si="57"/>
        <v>0</v>
      </c>
      <c r="AG82" s="1377">
        <f t="shared" si="58"/>
        <v>0</v>
      </c>
      <c r="AH82" s="1078">
        <v>0</v>
      </c>
      <c r="AI82" s="1079">
        <v>12984</v>
      </c>
      <c r="AJ82" s="1079">
        <v>0</v>
      </c>
      <c r="AK82" s="1079">
        <v>0</v>
      </c>
      <c r="AL82" s="1079">
        <v>0</v>
      </c>
      <c r="AM82" s="1080">
        <f t="shared" si="59"/>
        <v>12984</v>
      </c>
      <c r="AN82" s="1080">
        <f t="shared" si="60"/>
        <v>0</v>
      </c>
      <c r="AO82" s="1080">
        <f t="shared" si="61"/>
        <v>0</v>
      </c>
      <c r="AP82" s="1700"/>
      <c r="AQ82" s="1700"/>
      <c r="AR82" s="1700"/>
      <c r="AS82" s="1700"/>
      <c r="AT82" s="1700"/>
      <c r="AU82" s="1700">
        <f t="shared" si="62"/>
        <v>0</v>
      </c>
      <c r="AV82" s="1700">
        <f t="shared" si="63"/>
        <v>0</v>
      </c>
      <c r="AW82" s="1700">
        <f t="shared" si="64"/>
        <v>0</v>
      </c>
    </row>
    <row r="83" spans="1:49" s="237" customFormat="1" x14ac:dyDescent="0.2">
      <c r="A83" s="1070" t="s">
        <v>206</v>
      </c>
      <c r="B83" s="1071" t="s">
        <v>207</v>
      </c>
      <c r="C83" s="103" t="s">
        <v>267</v>
      </c>
      <c r="D83" s="1072">
        <f t="shared" si="44"/>
        <v>2197639.29</v>
      </c>
      <c r="E83" s="1072">
        <f t="shared" si="45"/>
        <v>3427314.8499999996</v>
      </c>
      <c r="F83" s="1072">
        <f t="shared" si="46"/>
        <v>0</v>
      </c>
      <c r="G83" s="1073">
        <f t="shared" si="47"/>
        <v>-0.26</v>
      </c>
      <c r="H83" s="1073">
        <f t="shared" si="48"/>
        <v>-0.26</v>
      </c>
      <c r="I83" s="1378">
        <f t="shared" si="49"/>
        <v>5624953.8799999999</v>
      </c>
      <c r="J83" s="1074">
        <v>713519.87</v>
      </c>
      <c r="K83" s="1075">
        <v>713519.87</v>
      </c>
      <c r="L83" s="1075">
        <v>0</v>
      </c>
      <c r="M83" s="1075">
        <v>-0.28000000000000003</v>
      </c>
      <c r="N83" s="1075">
        <v>0</v>
      </c>
      <c r="O83" s="1076">
        <f t="shared" si="50"/>
        <v>1427039.46</v>
      </c>
      <c r="P83" s="1377">
        <f t="shared" si="51"/>
        <v>-0.28000000000000003</v>
      </c>
      <c r="Q83" s="1377">
        <f t="shared" si="52"/>
        <v>-0.28000000000000003</v>
      </c>
      <c r="R83" s="1074">
        <v>1287495.07</v>
      </c>
      <c r="S83" s="1075">
        <v>1287495.07</v>
      </c>
      <c r="T83" s="1075">
        <v>0</v>
      </c>
      <c r="U83" s="1075">
        <v>0.03</v>
      </c>
      <c r="V83" s="1075">
        <v>0</v>
      </c>
      <c r="W83" s="1077">
        <f t="shared" si="53"/>
        <v>2574990.17</v>
      </c>
      <c r="X83" s="1377">
        <f t="shared" si="54"/>
        <v>0.03</v>
      </c>
      <c r="Y83" s="1377">
        <f t="shared" si="55"/>
        <v>0.03</v>
      </c>
      <c r="Z83" s="1074"/>
      <c r="AA83" s="1075"/>
      <c r="AB83" s="1075"/>
      <c r="AC83" s="1075"/>
      <c r="AD83" s="1075"/>
      <c r="AE83" s="1077">
        <f t="shared" si="56"/>
        <v>0</v>
      </c>
      <c r="AF83" s="1377">
        <f t="shared" si="57"/>
        <v>0</v>
      </c>
      <c r="AG83" s="1377">
        <f t="shared" si="58"/>
        <v>0</v>
      </c>
      <c r="AH83" s="1078">
        <v>196624.35</v>
      </c>
      <c r="AI83" s="1079">
        <v>1426299.91</v>
      </c>
      <c r="AJ83" s="1079">
        <v>0</v>
      </c>
      <c r="AK83" s="1079">
        <v>-0.01</v>
      </c>
      <c r="AL83" s="1079">
        <v>0</v>
      </c>
      <c r="AM83" s="1080">
        <f t="shared" si="59"/>
        <v>1622924.25</v>
      </c>
      <c r="AN83" s="1080">
        <f t="shared" si="60"/>
        <v>-0.01</v>
      </c>
      <c r="AO83" s="1080">
        <f t="shared" si="61"/>
        <v>-0.01</v>
      </c>
      <c r="AP83" s="1700"/>
      <c r="AQ83" s="1700"/>
      <c r="AR83" s="1700"/>
      <c r="AS83" s="1700"/>
      <c r="AT83" s="1700"/>
      <c r="AU83" s="1700">
        <f t="shared" si="62"/>
        <v>0</v>
      </c>
      <c r="AV83" s="1700">
        <f t="shared" si="63"/>
        <v>0</v>
      </c>
      <c r="AW83" s="1700">
        <f t="shared" si="64"/>
        <v>0</v>
      </c>
    </row>
    <row r="84" spans="1:49" s="237" customFormat="1" x14ac:dyDescent="0.2">
      <c r="A84" s="1070" t="s">
        <v>208</v>
      </c>
      <c r="B84" s="1071" t="s">
        <v>209</v>
      </c>
      <c r="C84" s="103" t="s">
        <v>268</v>
      </c>
      <c r="D84" s="1072">
        <f t="shared" si="44"/>
        <v>762129.32</v>
      </c>
      <c r="E84" s="1072">
        <f t="shared" si="45"/>
        <v>1114027.08</v>
      </c>
      <c r="F84" s="1072">
        <f t="shared" si="46"/>
        <v>0</v>
      </c>
      <c r="G84" s="1073">
        <f t="shared" si="47"/>
        <v>-0.33</v>
      </c>
      <c r="H84" s="1073">
        <f t="shared" si="48"/>
        <v>-0.33</v>
      </c>
      <c r="I84" s="1378">
        <f t="shared" si="49"/>
        <v>1876156.0699999998</v>
      </c>
      <c r="J84" s="1074">
        <v>318036.78000000003</v>
      </c>
      <c r="K84" s="1075">
        <v>318036.78000000003</v>
      </c>
      <c r="L84" s="1075">
        <v>0</v>
      </c>
      <c r="M84" s="1075">
        <v>-0.32</v>
      </c>
      <c r="N84" s="1075">
        <v>0</v>
      </c>
      <c r="O84" s="1076">
        <f t="shared" si="50"/>
        <v>636073.24000000011</v>
      </c>
      <c r="P84" s="1377">
        <f t="shared" si="51"/>
        <v>-0.32</v>
      </c>
      <c r="Q84" s="1377">
        <f t="shared" si="52"/>
        <v>-0.32</v>
      </c>
      <c r="R84" s="1074">
        <v>435986.42</v>
      </c>
      <c r="S84" s="1075">
        <v>435986.42</v>
      </c>
      <c r="T84" s="1075">
        <v>0</v>
      </c>
      <c r="U84" s="1075">
        <v>-0.01</v>
      </c>
      <c r="V84" s="1075">
        <v>0</v>
      </c>
      <c r="W84" s="1077">
        <f t="shared" si="53"/>
        <v>871972.83</v>
      </c>
      <c r="X84" s="1377">
        <f t="shared" si="54"/>
        <v>-0.01</v>
      </c>
      <c r="Y84" s="1377">
        <f t="shared" si="55"/>
        <v>-0.01</v>
      </c>
      <c r="Z84" s="1074"/>
      <c r="AA84" s="1075"/>
      <c r="AB84" s="1075"/>
      <c r="AC84" s="1075"/>
      <c r="AD84" s="1075"/>
      <c r="AE84" s="1077">
        <f t="shared" si="56"/>
        <v>0</v>
      </c>
      <c r="AF84" s="1377">
        <f t="shared" si="57"/>
        <v>0</v>
      </c>
      <c r="AG84" s="1377">
        <f t="shared" si="58"/>
        <v>0</v>
      </c>
      <c r="AH84" s="1078">
        <v>8106.12</v>
      </c>
      <c r="AI84" s="1079">
        <v>360003.88</v>
      </c>
      <c r="AJ84" s="1079">
        <v>0</v>
      </c>
      <c r="AK84" s="1079">
        <v>0</v>
      </c>
      <c r="AL84" s="1079">
        <v>0</v>
      </c>
      <c r="AM84" s="1080">
        <f t="shared" si="59"/>
        <v>368110</v>
      </c>
      <c r="AN84" s="1080">
        <f t="shared" si="60"/>
        <v>0</v>
      </c>
      <c r="AO84" s="1080">
        <f t="shared" si="61"/>
        <v>0</v>
      </c>
      <c r="AP84" s="1700"/>
      <c r="AQ84" s="1700"/>
      <c r="AR84" s="1700"/>
      <c r="AS84" s="1700"/>
      <c r="AT84" s="1700"/>
      <c r="AU84" s="1700">
        <f t="shared" si="62"/>
        <v>0</v>
      </c>
      <c r="AV84" s="1700">
        <f t="shared" si="63"/>
        <v>0</v>
      </c>
      <c r="AW84" s="1700">
        <f t="shared" si="64"/>
        <v>0</v>
      </c>
    </row>
    <row r="85" spans="1:49" s="237" customFormat="1" x14ac:dyDescent="0.2">
      <c r="A85" s="1070" t="s">
        <v>210</v>
      </c>
      <c r="B85" s="1071" t="s">
        <v>211</v>
      </c>
      <c r="C85" s="103" t="s">
        <v>268</v>
      </c>
      <c r="D85" s="1072">
        <f t="shared" si="44"/>
        <v>346025.26</v>
      </c>
      <c r="E85" s="1072">
        <f t="shared" si="45"/>
        <v>397901.26</v>
      </c>
      <c r="F85" s="1072">
        <f t="shared" si="46"/>
        <v>0</v>
      </c>
      <c r="G85" s="1073">
        <f t="shared" si="47"/>
        <v>-0.09</v>
      </c>
      <c r="H85" s="1073">
        <f t="shared" si="48"/>
        <v>-0.09</v>
      </c>
      <c r="I85" s="1378">
        <f t="shared" si="49"/>
        <v>743926.43</v>
      </c>
      <c r="J85" s="1074">
        <v>134901.9</v>
      </c>
      <c r="K85" s="1075">
        <v>134901.9</v>
      </c>
      <c r="L85" s="1075">
        <v>0</v>
      </c>
      <c r="M85" s="1075">
        <v>-0.09</v>
      </c>
      <c r="N85" s="1075">
        <v>0</v>
      </c>
      <c r="O85" s="1076">
        <f t="shared" si="50"/>
        <v>269803.70999999996</v>
      </c>
      <c r="P85" s="1377">
        <f t="shared" si="51"/>
        <v>-0.09</v>
      </c>
      <c r="Q85" s="1377">
        <f t="shared" si="52"/>
        <v>-0.09</v>
      </c>
      <c r="R85" s="1074">
        <v>209143.36</v>
      </c>
      <c r="S85" s="1075">
        <v>209143.36</v>
      </c>
      <c r="T85" s="1075">
        <v>0</v>
      </c>
      <c r="U85" s="1075">
        <v>0</v>
      </c>
      <c r="V85" s="1075">
        <v>0</v>
      </c>
      <c r="W85" s="1077">
        <f t="shared" si="53"/>
        <v>418286.72</v>
      </c>
      <c r="X85" s="1377">
        <f t="shared" si="54"/>
        <v>0</v>
      </c>
      <c r="Y85" s="1377">
        <f t="shared" si="55"/>
        <v>0</v>
      </c>
      <c r="Z85" s="1074"/>
      <c r="AA85" s="1075"/>
      <c r="AB85" s="1075"/>
      <c r="AC85" s="1075"/>
      <c r="AD85" s="1075"/>
      <c r="AE85" s="1077">
        <f t="shared" si="56"/>
        <v>0</v>
      </c>
      <c r="AF85" s="1377">
        <f t="shared" si="57"/>
        <v>0</v>
      </c>
      <c r="AG85" s="1377">
        <f t="shared" si="58"/>
        <v>0</v>
      </c>
      <c r="AH85" s="1078">
        <v>1980</v>
      </c>
      <c r="AI85" s="1079">
        <v>53856</v>
      </c>
      <c r="AJ85" s="1079">
        <v>0</v>
      </c>
      <c r="AK85" s="1079">
        <v>0</v>
      </c>
      <c r="AL85" s="1079">
        <v>0</v>
      </c>
      <c r="AM85" s="1080">
        <f t="shared" si="59"/>
        <v>55836</v>
      </c>
      <c r="AN85" s="1080">
        <f t="shared" si="60"/>
        <v>0</v>
      </c>
      <c r="AO85" s="1080">
        <f t="shared" si="61"/>
        <v>0</v>
      </c>
      <c r="AP85" s="1700"/>
      <c r="AQ85" s="1700"/>
      <c r="AR85" s="1700"/>
      <c r="AS85" s="1700"/>
      <c r="AT85" s="1700"/>
      <c r="AU85" s="1700">
        <f t="shared" si="62"/>
        <v>0</v>
      </c>
      <c r="AV85" s="1700">
        <f t="shared" si="63"/>
        <v>0</v>
      </c>
      <c r="AW85" s="1700">
        <f t="shared" si="64"/>
        <v>0</v>
      </c>
    </row>
    <row r="86" spans="1:49" s="237" customFormat="1" x14ac:dyDescent="0.2">
      <c r="A86" s="1070" t="s">
        <v>212</v>
      </c>
      <c r="B86" s="1071" t="s">
        <v>213</v>
      </c>
      <c r="C86" s="103" t="s">
        <v>267</v>
      </c>
      <c r="D86" s="1072">
        <f t="shared" si="44"/>
        <v>261917.46000000002</v>
      </c>
      <c r="E86" s="1072">
        <f t="shared" si="45"/>
        <v>528020.82000000007</v>
      </c>
      <c r="F86" s="1072">
        <f t="shared" si="46"/>
        <v>0</v>
      </c>
      <c r="G86" s="1073">
        <f t="shared" si="47"/>
        <v>-8232.5200000000023</v>
      </c>
      <c r="H86" s="1073">
        <f t="shared" si="48"/>
        <v>-8232.5200000000023</v>
      </c>
      <c r="I86" s="1378">
        <f t="shared" si="49"/>
        <v>781705.76</v>
      </c>
      <c r="J86" s="1074">
        <v>114948.86</v>
      </c>
      <c r="K86" s="1075">
        <v>114948.86</v>
      </c>
      <c r="L86" s="1075">
        <v>0</v>
      </c>
      <c r="M86" s="1075">
        <v>-0.12</v>
      </c>
      <c r="N86" s="1075">
        <v>0</v>
      </c>
      <c r="O86" s="1076">
        <f t="shared" si="50"/>
        <v>229897.60000000001</v>
      </c>
      <c r="P86" s="1377">
        <f t="shared" si="51"/>
        <v>-0.12</v>
      </c>
      <c r="Q86" s="1377">
        <f t="shared" si="52"/>
        <v>-0.12</v>
      </c>
      <c r="R86" s="1074">
        <v>134757.28</v>
      </c>
      <c r="S86" s="1075">
        <v>134757.28</v>
      </c>
      <c r="T86" s="1075">
        <v>0</v>
      </c>
      <c r="U86" s="1075">
        <v>-0.03</v>
      </c>
      <c r="V86" s="1075">
        <v>-8232.3700000000008</v>
      </c>
      <c r="W86" s="1077">
        <f t="shared" si="53"/>
        <v>261282.15999999997</v>
      </c>
      <c r="X86" s="1377">
        <f t="shared" si="54"/>
        <v>-8232.4000000000015</v>
      </c>
      <c r="Y86" s="1377">
        <f t="shared" si="55"/>
        <v>-8232.4000000000015</v>
      </c>
      <c r="Z86" s="1074"/>
      <c r="AA86" s="1075"/>
      <c r="AB86" s="1075"/>
      <c r="AC86" s="1075"/>
      <c r="AD86" s="1075"/>
      <c r="AE86" s="1077">
        <f t="shared" si="56"/>
        <v>0</v>
      </c>
      <c r="AF86" s="1377">
        <f t="shared" si="57"/>
        <v>0</v>
      </c>
      <c r="AG86" s="1377">
        <f t="shared" si="58"/>
        <v>0</v>
      </c>
      <c r="AH86" s="1078">
        <v>12211.32</v>
      </c>
      <c r="AI86" s="1079">
        <v>278314.68</v>
      </c>
      <c r="AJ86" s="1079">
        <v>0</v>
      </c>
      <c r="AK86" s="1079">
        <v>0</v>
      </c>
      <c r="AL86" s="1079">
        <v>0</v>
      </c>
      <c r="AM86" s="1080">
        <f t="shared" si="59"/>
        <v>290526</v>
      </c>
      <c r="AN86" s="1080">
        <f t="shared" si="60"/>
        <v>0</v>
      </c>
      <c r="AO86" s="1080">
        <f t="shared" si="61"/>
        <v>0</v>
      </c>
      <c r="AP86" s="1700"/>
      <c r="AQ86" s="1700"/>
      <c r="AR86" s="1700"/>
      <c r="AS86" s="1700"/>
      <c r="AT86" s="1700"/>
      <c r="AU86" s="1700">
        <f t="shared" si="62"/>
        <v>0</v>
      </c>
      <c r="AV86" s="1700">
        <f t="shared" si="63"/>
        <v>0</v>
      </c>
      <c r="AW86" s="1700">
        <f t="shared" si="64"/>
        <v>0</v>
      </c>
    </row>
    <row r="87" spans="1:49" s="237" customFormat="1" x14ac:dyDescent="0.2">
      <c r="A87" s="1070" t="s">
        <v>214</v>
      </c>
      <c r="B87" s="1071" t="s">
        <v>215</v>
      </c>
      <c r="C87" s="103" t="s">
        <v>268</v>
      </c>
      <c r="D87" s="1072">
        <f t="shared" si="44"/>
        <v>281933.78000000003</v>
      </c>
      <c r="E87" s="1072">
        <f t="shared" si="45"/>
        <v>314338.74</v>
      </c>
      <c r="F87" s="1072">
        <f t="shared" si="46"/>
        <v>0</v>
      </c>
      <c r="G87" s="1073">
        <f t="shared" si="47"/>
        <v>-0.13999999999999999</v>
      </c>
      <c r="H87" s="1073">
        <f t="shared" si="48"/>
        <v>-0.13999999999999999</v>
      </c>
      <c r="I87" s="1378">
        <f t="shared" si="49"/>
        <v>596272.38</v>
      </c>
      <c r="J87" s="1074">
        <v>131398.67000000001</v>
      </c>
      <c r="K87" s="1075">
        <v>131398.67000000001</v>
      </c>
      <c r="L87" s="1075">
        <v>0</v>
      </c>
      <c r="M87" s="1075">
        <v>-0.12</v>
      </c>
      <c r="N87" s="1075">
        <v>0</v>
      </c>
      <c r="O87" s="1076">
        <f t="shared" si="50"/>
        <v>262797.22000000003</v>
      </c>
      <c r="P87" s="1377">
        <f t="shared" si="51"/>
        <v>-0.12</v>
      </c>
      <c r="Q87" s="1377">
        <f t="shared" si="52"/>
        <v>-0.12</v>
      </c>
      <c r="R87" s="1074">
        <v>130918.59</v>
      </c>
      <c r="S87" s="1075">
        <v>130918.59</v>
      </c>
      <c r="T87" s="1075">
        <v>0</v>
      </c>
      <c r="U87" s="1075">
        <v>-0.02</v>
      </c>
      <c r="V87" s="1075">
        <v>0</v>
      </c>
      <c r="W87" s="1077">
        <f t="shared" si="53"/>
        <v>261837.16</v>
      </c>
      <c r="X87" s="1377">
        <f t="shared" si="54"/>
        <v>-0.02</v>
      </c>
      <c r="Y87" s="1377">
        <f t="shared" si="55"/>
        <v>-0.02</v>
      </c>
      <c r="Z87" s="1074"/>
      <c r="AA87" s="1075"/>
      <c r="AB87" s="1075"/>
      <c r="AC87" s="1075"/>
      <c r="AD87" s="1075"/>
      <c r="AE87" s="1077">
        <f t="shared" si="56"/>
        <v>0</v>
      </c>
      <c r="AF87" s="1377">
        <f t="shared" si="57"/>
        <v>0</v>
      </c>
      <c r="AG87" s="1377">
        <f t="shared" si="58"/>
        <v>0</v>
      </c>
      <c r="AH87" s="1078">
        <v>19616.52</v>
      </c>
      <c r="AI87" s="1079">
        <v>52021.48</v>
      </c>
      <c r="AJ87" s="1079">
        <v>0</v>
      </c>
      <c r="AK87" s="1079">
        <v>0</v>
      </c>
      <c r="AL87" s="1079">
        <v>0</v>
      </c>
      <c r="AM87" s="1080">
        <f t="shared" si="59"/>
        <v>71638</v>
      </c>
      <c r="AN87" s="1080">
        <f t="shared" si="60"/>
        <v>0</v>
      </c>
      <c r="AO87" s="1080">
        <f t="shared" si="61"/>
        <v>0</v>
      </c>
      <c r="AP87" s="1700"/>
      <c r="AQ87" s="1700"/>
      <c r="AR87" s="1700"/>
      <c r="AS87" s="1700"/>
      <c r="AT87" s="1700"/>
      <c r="AU87" s="1700">
        <f t="shared" si="62"/>
        <v>0</v>
      </c>
      <c r="AV87" s="1700">
        <f t="shared" si="63"/>
        <v>0</v>
      </c>
      <c r="AW87" s="1700">
        <f t="shared" si="64"/>
        <v>0</v>
      </c>
    </row>
    <row r="88" spans="1:49" s="237" customFormat="1" x14ac:dyDescent="0.2">
      <c r="A88" s="1070" t="s">
        <v>216</v>
      </c>
      <c r="B88" s="1071" t="s">
        <v>217</v>
      </c>
      <c r="C88" s="103" t="s">
        <v>264</v>
      </c>
      <c r="D88" s="1072">
        <f t="shared" si="44"/>
        <v>93611.28</v>
      </c>
      <c r="E88" s="1072">
        <f t="shared" si="45"/>
        <v>93611.28</v>
      </c>
      <c r="F88" s="1072">
        <f t="shared" si="46"/>
        <v>0</v>
      </c>
      <c r="G88" s="1073">
        <f t="shared" si="47"/>
        <v>-0.05</v>
      </c>
      <c r="H88" s="1073">
        <f t="shared" si="48"/>
        <v>-0.05</v>
      </c>
      <c r="I88" s="1378">
        <f t="shared" si="49"/>
        <v>187222.51</v>
      </c>
      <c r="J88" s="1074">
        <v>10885.66</v>
      </c>
      <c r="K88" s="1075">
        <v>10885.66</v>
      </c>
      <c r="L88" s="1075">
        <v>0</v>
      </c>
      <c r="M88" s="1075">
        <v>-0.03</v>
      </c>
      <c r="N88" s="1075">
        <v>0</v>
      </c>
      <c r="O88" s="1076">
        <f t="shared" si="50"/>
        <v>21771.29</v>
      </c>
      <c r="P88" s="1377">
        <f t="shared" si="51"/>
        <v>-0.03</v>
      </c>
      <c r="Q88" s="1377">
        <f t="shared" si="52"/>
        <v>-0.03</v>
      </c>
      <c r="R88" s="1074">
        <v>82725.62</v>
      </c>
      <c r="S88" s="1075">
        <v>82725.62</v>
      </c>
      <c r="T88" s="1075">
        <v>0</v>
      </c>
      <c r="U88" s="1075">
        <v>-0.02</v>
      </c>
      <c r="V88" s="1075">
        <v>0</v>
      </c>
      <c r="W88" s="1077">
        <f t="shared" si="53"/>
        <v>165451.22</v>
      </c>
      <c r="X88" s="1377">
        <f t="shared" si="54"/>
        <v>-0.02</v>
      </c>
      <c r="Y88" s="1377">
        <f t="shared" si="55"/>
        <v>-0.02</v>
      </c>
      <c r="Z88" s="1078"/>
      <c r="AA88" s="1079"/>
      <c r="AB88" s="1079"/>
      <c r="AC88" s="1079"/>
      <c r="AD88" s="1079"/>
      <c r="AE88" s="1077">
        <f t="shared" si="56"/>
        <v>0</v>
      </c>
      <c r="AF88" s="1377">
        <f t="shared" si="57"/>
        <v>0</v>
      </c>
      <c r="AG88" s="1377">
        <f t="shared" si="58"/>
        <v>0</v>
      </c>
      <c r="AH88" s="1078"/>
      <c r="AI88" s="1079"/>
      <c r="AJ88" s="1079"/>
      <c r="AK88" s="1079"/>
      <c r="AL88" s="1079"/>
      <c r="AM88" s="1080">
        <f t="shared" si="59"/>
        <v>0</v>
      </c>
      <c r="AN88" s="1080">
        <f t="shared" si="60"/>
        <v>0</v>
      </c>
      <c r="AO88" s="1080">
        <f t="shared" si="61"/>
        <v>0</v>
      </c>
      <c r="AP88" s="1700"/>
      <c r="AQ88" s="1700"/>
      <c r="AR88" s="1700"/>
      <c r="AS88" s="1700"/>
      <c r="AT88" s="1700"/>
      <c r="AU88" s="1700">
        <f t="shared" si="62"/>
        <v>0</v>
      </c>
      <c r="AV88" s="1700">
        <f t="shared" si="63"/>
        <v>0</v>
      </c>
      <c r="AW88" s="1700">
        <f t="shared" si="64"/>
        <v>0</v>
      </c>
    </row>
    <row r="89" spans="1:49" s="237" customFormat="1" x14ac:dyDescent="0.2">
      <c r="A89" s="1070" t="s">
        <v>218</v>
      </c>
      <c r="B89" s="1071" t="s">
        <v>219</v>
      </c>
      <c r="C89" s="103" t="s">
        <v>267</v>
      </c>
      <c r="D89" s="1072">
        <f t="shared" si="44"/>
        <v>821965.13000000012</v>
      </c>
      <c r="E89" s="1072">
        <f t="shared" si="45"/>
        <v>1376781.4900000002</v>
      </c>
      <c r="F89" s="1072">
        <f t="shared" si="46"/>
        <v>0</v>
      </c>
      <c r="G89" s="1073">
        <f t="shared" si="47"/>
        <v>-0.16</v>
      </c>
      <c r="H89" s="1073">
        <f t="shared" si="48"/>
        <v>-0.16</v>
      </c>
      <c r="I89" s="1378">
        <f t="shared" si="49"/>
        <v>2198746.46</v>
      </c>
      <c r="J89" s="1074">
        <v>436400.58</v>
      </c>
      <c r="K89" s="1075">
        <v>436400.58</v>
      </c>
      <c r="L89" s="1075">
        <v>0</v>
      </c>
      <c r="M89" s="1075">
        <v>-0.16</v>
      </c>
      <c r="N89" s="1075">
        <v>0</v>
      </c>
      <c r="O89" s="1076">
        <f t="shared" si="50"/>
        <v>872801</v>
      </c>
      <c r="P89" s="1377">
        <f t="shared" si="51"/>
        <v>-0.16</v>
      </c>
      <c r="Q89" s="1377">
        <f t="shared" si="52"/>
        <v>-0.16</v>
      </c>
      <c r="R89" s="1074">
        <v>379937</v>
      </c>
      <c r="S89" s="1075">
        <v>379937</v>
      </c>
      <c r="T89" s="1075">
        <v>0</v>
      </c>
      <c r="U89" s="1075">
        <v>0</v>
      </c>
      <c r="V89" s="1075">
        <v>0</v>
      </c>
      <c r="W89" s="1077">
        <f t="shared" si="53"/>
        <v>759874</v>
      </c>
      <c r="X89" s="1377">
        <f t="shared" si="54"/>
        <v>0</v>
      </c>
      <c r="Y89" s="1377">
        <f t="shared" si="55"/>
        <v>0</v>
      </c>
      <c r="Z89" s="1074">
        <v>2250</v>
      </c>
      <c r="AA89" s="1075">
        <v>2250</v>
      </c>
      <c r="AB89" s="1075">
        <v>0</v>
      </c>
      <c r="AC89" s="1075">
        <v>0</v>
      </c>
      <c r="AD89" s="1075">
        <v>0</v>
      </c>
      <c r="AE89" s="1077">
        <f t="shared" si="56"/>
        <v>4500</v>
      </c>
      <c r="AF89" s="1377">
        <f t="shared" si="57"/>
        <v>0</v>
      </c>
      <c r="AG89" s="1377">
        <f t="shared" si="58"/>
        <v>0</v>
      </c>
      <c r="AH89" s="1078">
        <v>3377.55</v>
      </c>
      <c r="AI89" s="1079">
        <v>558193.91</v>
      </c>
      <c r="AJ89" s="1079">
        <v>0</v>
      </c>
      <c r="AK89" s="1079">
        <v>0</v>
      </c>
      <c r="AL89" s="1079">
        <v>0</v>
      </c>
      <c r="AM89" s="1080">
        <f t="shared" si="59"/>
        <v>561571.46000000008</v>
      </c>
      <c r="AN89" s="1080">
        <f t="shared" si="60"/>
        <v>0</v>
      </c>
      <c r="AO89" s="1080">
        <f t="shared" si="61"/>
        <v>0</v>
      </c>
      <c r="AP89" s="1700"/>
      <c r="AQ89" s="1700"/>
      <c r="AR89" s="1700"/>
      <c r="AS89" s="1700"/>
      <c r="AT89" s="1700"/>
      <c r="AU89" s="1700">
        <f t="shared" si="62"/>
        <v>0</v>
      </c>
      <c r="AV89" s="1700">
        <f t="shared" si="63"/>
        <v>0</v>
      </c>
      <c r="AW89" s="1700">
        <f t="shared" si="64"/>
        <v>0</v>
      </c>
    </row>
    <row r="90" spans="1:49" s="237" customFormat="1" x14ac:dyDescent="0.2">
      <c r="A90" s="1070" t="s">
        <v>220</v>
      </c>
      <c r="B90" s="1071" t="s">
        <v>221</v>
      </c>
      <c r="C90" s="103" t="s">
        <v>267</v>
      </c>
      <c r="D90" s="1072">
        <f t="shared" si="44"/>
        <v>583089.26</v>
      </c>
      <c r="E90" s="1072">
        <f t="shared" si="45"/>
        <v>934921.78</v>
      </c>
      <c r="F90" s="1072">
        <f t="shared" si="46"/>
        <v>0</v>
      </c>
      <c r="G90" s="1073">
        <f t="shared" si="47"/>
        <v>-0.08</v>
      </c>
      <c r="H90" s="1073">
        <f t="shared" si="48"/>
        <v>-0.08</v>
      </c>
      <c r="I90" s="1378">
        <f t="shared" si="49"/>
        <v>1518010.96</v>
      </c>
      <c r="J90" s="1074">
        <v>94745.78</v>
      </c>
      <c r="K90" s="1075">
        <v>94745.78</v>
      </c>
      <c r="L90" s="1075">
        <v>0</v>
      </c>
      <c r="M90" s="1075">
        <v>-0.08</v>
      </c>
      <c r="N90" s="1075">
        <v>0</v>
      </c>
      <c r="O90" s="1076">
        <f t="shared" si="50"/>
        <v>189491.48</v>
      </c>
      <c r="P90" s="1377">
        <f t="shared" si="51"/>
        <v>-0.08</v>
      </c>
      <c r="Q90" s="1377">
        <f t="shared" si="52"/>
        <v>-0.08</v>
      </c>
      <c r="R90" s="1074">
        <v>426319.5</v>
      </c>
      <c r="S90" s="1075">
        <v>426319.5</v>
      </c>
      <c r="T90" s="1075">
        <v>0</v>
      </c>
      <c r="U90" s="1075">
        <v>0</v>
      </c>
      <c r="V90" s="1075">
        <v>0</v>
      </c>
      <c r="W90" s="1077">
        <f t="shared" si="53"/>
        <v>852639</v>
      </c>
      <c r="X90" s="1377">
        <f t="shared" si="54"/>
        <v>0</v>
      </c>
      <c r="Y90" s="1377">
        <f t="shared" si="55"/>
        <v>0</v>
      </c>
      <c r="Z90" s="1074"/>
      <c r="AA90" s="1075"/>
      <c r="AB90" s="1075"/>
      <c r="AC90" s="1075"/>
      <c r="AD90" s="1075"/>
      <c r="AE90" s="1077">
        <f t="shared" si="56"/>
        <v>0</v>
      </c>
      <c r="AF90" s="1377">
        <f t="shared" si="57"/>
        <v>0</v>
      </c>
      <c r="AG90" s="1377">
        <f t="shared" si="58"/>
        <v>0</v>
      </c>
      <c r="AH90" s="1078">
        <v>62023.98</v>
      </c>
      <c r="AI90" s="1079">
        <v>413856.5</v>
      </c>
      <c r="AJ90" s="1079">
        <v>0</v>
      </c>
      <c r="AK90" s="1079">
        <v>0</v>
      </c>
      <c r="AL90" s="1079">
        <v>0</v>
      </c>
      <c r="AM90" s="1080">
        <f t="shared" si="59"/>
        <v>475880.48</v>
      </c>
      <c r="AN90" s="1080">
        <f t="shared" si="60"/>
        <v>0</v>
      </c>
      <c r="AO90" s="1080">
        <f t="shared" si="61"/>
        <v>0</v>
      </c>
      <c r="AP90" s="1700"/>
      <c r="AQ90" s="1700"/>
      <c r="AR90" s="1700"/>
      <c r="AS90" s="1700"/>
      <c r="AT90" s="1700"/>
      <c r="AU90" s="1700">
        <f t="shared" si="62"/>
        <v>0</v>
      </c>
      <c r="AV90" s="1700">
        <f t="shared" si="63"/>
        <v>0</v>
      </c>
      <c r="AW90" s="1700">
        <f t="shared" si="64"/>
        <v>0</v>
      </c>
    </row>
    <row r="91" spans="1:49" s="237" customFormat="1" x14ac:dyDescent="0.2">
      <c r="A91" s="1070" t="s">
        <v>224</v>
      </c>
      <c r="B91" s="1071" t="s">
        <v>225</v>
      </c>
      <c r="C91" s="103" t="s">
        <v>264</v>
      </c>
      <c r="D91" s="1072">
        <f t="shared" si="44"/>
        <v>3826</v>
      </c>
      <c r="E91" s="1072">
        <f t="shared" si="45"/>
        <v>3826</v>
      </c>
      <c r="F91" s="1072">
        <f t="shared" si="46"/>
        <v>0</v>
      </c>
      <c r="G91" s="1073">
        <f t="shared" si="47"/>
        <v>150</v>
      </c>
      <c r="H91" s="1073">
        <f t="shared" si="48"/>
        <v>150</v>
      </c>
      <c r="I91" s="1378">
        <f t="shared" si="49"/>
        <v>7802</v>
      </c>
      <c r="J91" s="1074">
        <v>0</v>
      </c>
      <c r="K91" s="1075">
        <v>0</v>
      </c>
      <c r="L91" s="1075">
        <v>0</v>
      </c>
      <c r="M91" s="1075">
        <v>150</v>
      </c>
      <c r="N91" s="1075">
        <v>0</v>
      </c>
      <c r="O91" s="1076">
        <f t="shared" si="50"/>
        <v>150</v>
      </c>
      <c r="P91" s="1377">
        <f t="shared" si="51"/>
        <v>150</v>
      </c>
      <c r="Q91" s="1377">
        <f t="shared" si="52"/>
        <v>150</v>
      </c>
      <c r="R91" s="1074">
        <v>3826</v>
      </c>
      <c r="S91" s="1075">
        <v>3826</v>
      </c>
      <c r="T91" s="1075">
        <v>0</v>
      </c>
      <c r="U91" s="1075">
        <v>0</v>
      </c>
      <c r="V91" s="1075">
        <v>0</v>
      </c>
      <c r="W91" s="1077">
        <f t="shared" si="53"/>
        <v>7652</v>
      </c>
      <c r="X91" s="1377">
        <f t="shared" si="54"/>
        <v>0</v>
      </c>
      <c r="Y91" s="1377">
        <f t="shared" si="55"/>
        <v>0</v>
      </c>
      <c r="Z91" s="1078"/>
      <c r="AA91" s="1079"/>
      <c r="AB91" s="1079"/>
      <c r="AC91" s="1079"/>
      <c r="AD91" s="1079"/>
      <c r="AE91" s="1077">
        <f t="shared" si="56"/>
        <v>0</v>
      </c>
      <c r="AF91" s="1377">
        <f t="shared" si="57"/>
        <v>0</v>
      </c>
      <c r="AG91" s="1377">
        <f t="shared" si="58"/>
        <v>0</v>
      </c>
      <c r="AH91" s="1078"/>
      <c r="AI91" s="1079"/>
      <c r="AJ91" s="1079"/>
      <c r="AK91" s="1079"/>
      <c r="AL91" s="1079"/>
      <c r="AM91" s="1080">
        <f t="shared" si="59"/>
        <v>0</v>
      </c>
      <c r="AN91" s="1080">
        <f t="shared" si="60"/>
        <v>0</v>
      </c>
      <c r="AO91" s="1080">
        <f t="shared" si="61"/>
        <v>0</v>
      </c>
      <c r="AP91" s="1700"/>
      <c r="AQ91" s="1700"/>
      <c r="AR91" s="1700"/>
      <c r="AS91" s="1700"/>
      <c r="AT91" s="1700"/>
      <c r="AU91" s="1700">
        <f t="shared" si="62"/>
        <v>0</v>
      </c>
      <c r="AV91" s="1700">
        <f t="shared" si="63"/>
        <v>0</v>
      </c>
      <c r="AW91" s="1700">
        <f t="shared" si="64"/>
        <v>0</v>
      </c>
    </row>
    <row r="92" spans="1:49" s="237" customFormat="1" x14ac:dyDescent="0.2">
      <c r="A92" s="1070" t="s">
        <v>226</v>
      </c>
      <c r="B92" s="1071" t="s">
        <v>227</v>
      </c>
      <c r="C92" s="103" t="s">
        <v>264</v>
      </c>
      <c r="D92" s="1072">
        <f t="shared" si="44"/>
        <v>43264.800000000003</v>
      </c>
      <c r="E92" s="1072">
        <f t="shared" si="45"/>
        <v>73855.199999999997</v>
      </c>
      <c r="F92" s="1072">
        <f t="shared" si="46"/>
        <v>0</v>
      </c>
      <c r="G92" s="1073">
        <f t="shared" si="47"/>
        <v>0</v>
      </c>
      <c r="H92" s="1073">
        <f t="shared" si="48"/>
        <v>0</v>
      </c>
      <c r="I92" s="1378">
        <f t="shared" si="49"/>
        <v>117120</v>
      </c>
      <c r="J92" s="1074"/>
      <c r="K92" s="1075"/>
      <c r="L92" s="1075"/>
      <c r="M92" s="1075"/>
      <c r="N92" s="1075"/>
      <c r="O92" s="1076">
        <f t="shared" si="50"/>
        <v>0</v>
      </c>
      <c r="P92" s="1377">
        <f t="shared" si="51"/>
        <v>0</v>
      </c>
      <c r="Q92" s="1377">
        <f t="shared" si="52"/>
        <v>0</v>
      </c>
      <c r="R92" s="1074">
        <v>42156</v>
      </c>
      <c r="S92" s="1075">
        <v>42156</v>
      </c>
      <c r="T92" s="1075">
        <v>0</v>
      </c>
      <c r="U92" s="1075">
        <v>0</v>
      </c>
      <c r="V92" s="1075">
        <v>0</v>
      </c>
      <c r="W92" s="1077">
        <f t="shared" si="53"/>
        <v>84312</v>
      </c>
      <c r="X92" s="1377">
        <f t="shared" si="54"/>
        <v>0</v>
      </c>
      <c r="Y92" s="1377">
        <f t="shared" si="55"/>
        <v>0</v>
      </c>
      <c r="Z92" s="1074"/>
      <c r="AA92" s="1075"/>
      <c r="AB92" s="1075"/>
      <c r="AC92" s="1075"/>
      <c r="AD92" s="1075"/>
      <c r="AE92" s="1077">
        <f t="shared" si="56"/>
        <v>0</v>
      </c>
      <c r="AF92" s="1377">
        <f t="shared" si="57"/>
        <v>0</v>
      </c>
      <c r="AG92" s="1377">
        <f t="shared" si="58"/>
        <v>0</v>
      </c>
      <c r="AH92" s="1078">
        <v>1108.8</v>
      </c>
      <c r="AI92" s="1079">
        <v>31699.200000000001</v>
      </c>
      <c r="AJ92" s="1079">
        <v>0</v>
      </c>
      <c r="AK92" s="1079">
        <v>0</v>
      </c>
      <c r="AL92" s="1079">
        <v>0</v>
      </c>
      <c r="AM92" s="1080">
        <f t="shared" si="59"/>
        <v>32808</v>
      </c>
      <c r="AN92" s="1080">
        <f t="shared" si="60"/>
        <v>0</v>
      </c>
      <c r="AO92" s="1080">
        <f t="shared" si="61"/>
        <v>0</v>
      </c>
      <c r="AP92" s="1700"/>
      <c r="AQ92" s="1700"/>
      <c r="AR92" s="1700"/>
      <c r="AS92" s="1700"/>
      <c r="AT92" s="1700"/>
      <c r="AU92" s="1700">
        <f t="shared" si="62"/>
        <v>0</v>
      </c>
      <c r="AV92" s="1700">
        <f t="shared" si="63"/>
        <v>0</v>
      </c>
      <c r="AW92" s="1700">
        <f t="shared" si="64"/>
        <v>0</v>
      </c>
    </row>
    <row r="93" spans="1:49" s="237" customFormat="1" x14ac:dyDescent="0.2">
      <c r="A93" s="1070" t="s">
        <v>228</v>
      </c>
      <c r="B93" s="1071" t="s">
        <v>229</v>
      </c>
      <c r="C93" s="103" t="s">
        <v>268</v>
      </c>
      <c r="D93" s="1072">
        <f t="shared" si="44"/>
        <v>746037.53999999992</v>
      </c>
      <c r="E93" s="1072">
        <f t="shared" si="45"/>
        <v>1186756.3599999999</v>
      </c>
      <c r="F93" s="1072">
        <f t="shared" si="46"/>
        <v>0</v>
      </c>
      <c r="G93" s="1073">
        <f t="shared" si="47"/>
        <v>-0.2</v>
      </c>
      <c r="H93" s="1073">
        <f t="shared" si="48"/>
        <v>-0.2</v>
      </c>
      <c r="I93" s="1378">
        <f t="shared" si="49"/>
        <v>1932793.7</v>
      </c>
      <c r="J93" s="1074">
        <v>109249.98</v>
      </c>
      <c r="K93" s="1075">
        <v>109249.98</v>
      </c>
      <c r="L93" s="1075">
        <v>0</v>
      </c>
      <c r="M93" s="1075">
        <v>-0.08</v>
      </c>
      <c r="N93" s="1075">
        <v>0</v>
      </c>
      <c r="O93" s="1076">
        <f t="shared" si="50"/>
        <v>218499.88</v>
      </c>
      <c r="P93" s="1377">
        <f t="shared" si="51"/>
        <v>-0.08</v>
      </c>
      <c r="Q93" s="1377">
        <f t="shared" si="52"/>
        <v>-0.08</v>
      </c>
      <c r="R93" s="1074">
        <v>604633.96</v>
      </c>
      <c r="S93" s="1075">
        <v>604633.96</v>
      </c>
      <c r="T93" s="1075">
        <v>0</v>
      </c>
      <c r="U93" s="1075">
        <v>-7.0000000000000007E-2</v>
      </c>
      <c r="V93" s="1075">
        <v>0</v>
      </c>
      <c r="W93" s="1077">
        <f t="shared" si="53"/>
        <v>1209267.8499999999</v>
      </c>
      <c r="X93" s="1377">
        <f t="shared" si="54"/>
        <v>-7.0000000000000007E-2</v>
      </c>
      <c r="Y93" s="1377">
        <f t="shared" si="55"/>
        <v>-7.0000000000000007E-2</v>
      </c>
      <c r="Z93" s="1074"/>
      <c r="AA93" s="1075"/>
      <c r="AB93" s="1075"/>
      <c r="AC93" s="1075"/>
      <c r="AD93" s="1075"/>
      <c r="AE93" s="1077">
        <f t="shared" si="56"/>
        <v>0</v>
      </c>
      <c r="AF93" s="1377">
        <f t="shared" si="57"/>
        <v>0</v>
      </c>
      <c r="AG93" s="1377">
        <f t="shared" si="58"/>
        <v>0</v>
      </c>
      <c r="AH93" s="1078">
        <v>32153.599999999999</v>
      </c>
      <c r="AI93" s="1079">
        <v>472872.42</v>
      </c>
      <c r="AJ93" s="1079">
        <v>0</v>
      </c>
      <c r="AK93" s="1079">
        <v>-0.05</v>
      </c>
      <c r="AL93" s="1079">
        <v>0</v>
      </c>
      <c r="AM93" s="1080">
        <f t="shared" si="59"/>
        <v>505025.97</v>
      </c>
      <c r="AN93" s="1080">
        <f t="shared" si="60"/>
        <v>-0.05</v>
      </c>
      <c r="AO93" s="1080">
        <f t="shared" si="61"/>
        <v>-0.05</v>
      </c>
      <c r="AP93" s="1700"/>
      <c r="AQ93" s="1700"/>
      <c r="AR93" s="1700"/>
      <c r="AS93" s="1700"/>
      <c r="AT93" s="1700"/>
      <c r="AU93" s="1700">
        <f t="shared" si="62"/>
        <v>0</v>
      </c>
      <c r="AV93" s="1700">
        <f t="shared" si="63"/>
        <v>0</v>
      </c>
      <c r="AW93" s="1700">
        <f t="shared" si="64"/>
        <v>0</v>
      </c>
    </row>
    <row r="94" spans="1:49" s="237" customFormat="1" x14ac:dyDescent="0.2">
      <c r="A94" s="1070" t="s">
        <v>232</v>
      </c>
      <c r="B94" s="1071" t="s">
        <v>233</v>
      </c>
      <c r="C94" s="103" t="s">
        <v>267</v>
      </c>
      <c r="D94" s="1072">
        <f t="shared" si="44"/>
        <v>358946.48000000004</v>
      </c>
      <c r="E94" s="1072">
        <f t="shared" si="45"/>
        <v>616721.89</v>
      </c>
      <c r="F94" s="1072">
        <f t="shared" si="46"/>
        <v>0</v>
      </c>
      <c r="G94" s="1073">
        <f t="shared" si="47"/>
        <v>-0.11</v>
      </c>
      <c r="H94" s="1073">
        <f t="shared" si="48"/>
        <v>-0.11</v>
      </c>
      <c r="I94" s="1378">
        <f t="shared" si="49"/>
        <v>975668.26000000013</v>
      </c>
      <c r="J94" s="1074">
        <v>91190.07</v>
      </c>
      <c r="K94" s="1075">
        <v>91190.07</v>
      </c>
      <c r="L94" s="1075">
        <v>0</v>
      </c>
      <c r="M94" s="1075">
        <v>-0.1</v>
      </c>
      <c r="N94" s="1075">
        <v>0</v>
      </c>
      <c r="O94" s="1076">
        <f t="shared" si="50"/>
        <v>182380.04</v>
      </c>
      <c r="P94" s="1377">
        <f t="shared" si="51"/>
        <v>-0.1</v>
      </c>
      <c r="Q94" s="1377">
        <f t="shared" si="52"/>
        <v>-0.1</v>
      </c>
      <c r="R94" s="1074">
        <v>186288.84</v>
      </c>
      <c r="S94" s="1075">
        <v>186288.84</v>
      </c>
      <c r="T94" s="1075">
        <v>0</v>
      </c>
      <c r="U94" s="1075">
        <v>0</v>
      </c>
      <c r="V94" s="1075">
        <v>0</v>
      </c>
      <c r="W94" s="1077">
        <f t="shared" si="53"/>
        <v>372577.68</v>
      </c>
      <c r="X94" s="1377">
        <f t="shared" si="54"/>
        <v>0</v>
      </c>
      <c r="Y94" s="1377">
        <f t="shared" si="55"/>
        <v>0</v>
      </c>
      <c r="Z94" s="1074"/>
      <c r="AA94" s="1075"/>
      <c r="AB94" s="1075"/>
      <c r="AC94" s="1075"/>
      <c r="AD94" s="1075"/>
      <c r="AE94" s="1077">
        <f t="shared" si="56"/>
        <v>0</v>
      </c>
      <c r="AF94" s="1377">
        <f t="shared" si="57"/>
        <v>0</v>
      </c>
      <c r="AG94" s="1377">
        <f t="shared" si="58"/>
        <v>0</v>
      </c>
      <c r="AH94" s="1078">
        <v>81467.570000000007</v>
      </c>
      <c r="AI94" s="1079">
        <v>339242.98</v>
      </c>
      <c r="AJ94" s="1079">
        <v>0</v>
      </c>
      <c r="AK94" s="1079">
        <v>-0.01</v>
      </c>
      <c r="AL94" s="1079">
        <v>0</v>
      </c>
      <c r="AM94" s="1080">
        <f t="shared" si="59"/>
        <v>420710.54</v>
      </c>
      <c r="AN94" s="1080">
        <f t="shared" si="60"/>
        <v>-0.01</v>
      </c>
      <c r="AO94" s="1080">
        <f t="shared" si="61"/>
        <v>-0.01</v>
      </c>
      <c r="AP94" s="1700"/>
      <c r="AQ94" s="1700"/>
      <c r="AR94" s="1700"/>
      <c r="AS94" s="1700"/>
      <c r="AT94" s="1700"/>
      <c r="AU94" s="1700">
        <f t="shared" si="62"/>
        <v>0</v>
      </c>
      <c r="AV94" s="1700">
        <f t="shared" si="63"/>
        <v>0</v>
      </c>
      <c r="AW94" s="1700">
        <f t="shared" si="64"/>
        <v>0</v>
      </c>
    </row>
    <row r="95" spans="1:49" s="237" customFormat="1" x14ac:dyDescent="0.2">
      <c r="A95" s="1070" t="s">
        <v>234</v>
      </c>
      <c r="B95" s="1071" t="s">
        <v>235</v>
      </c>
      <c r="C95" s="103" t="s">
        <v>268</v>
      </c>
      <c r="D95" s="1072">
        <f t="shared" si="44"/>
        <v>591559.18000000005</v>
      </c>
      <c r="E95" s="1072">
        <f t="shared" si="45"/>
        <v>761007.55</v>
      </c>
      <c r="F95" s="1072">
        <f t="shared" si="46"/>
        <v>0</v>
      </c>
      <c r="G95" s="1073">
        <f t="shared" si="47"/>
        <v>1318.78</v>
      </c>
      <c r="H95" s="1073">
        <f t="shared" si="48"/>
        <v>1318.78</v>
      </c>
      <c r="I95" s="1378">
        <f t="shared" si="49"/>
        <v>1353885.51</v>
      </c>
      <c r="J95" s="1074">
        <v>202350.23</v>
      </c>
      <c r="K95" s="1075">
        <v>202350.23</v>
      </c>
      <c r="L95" s="1075">
        <v>0</v>
      </c>
      <c r="M95" s="1075">
        <v>-0.18</v>
      </c>
      <c r="N95" s="1075">
        <v>0</v>
      </c>
      <c r="O95" s="1076">
        <f t="shared" si="50"/>
        <v>404700.28</v>
      </c>
      <c r="P95" s="1377">
        <f t="shared" si="51"/>
        <v>-0.18</v>
      </c>
      <c r="Q95" s="1377">
        <f t="shared" si="52"/>
        <v>-0.18</v>
      </c>
      <c r="R95" s="1074">
        <v>385282.77</v>
      </c>
      <c r="S95" s="1075">
        <v>385282.77</v>
      </c>
      <c r="T95" s="1075">
        <v>0</v>
      </c>
      <c r="U95" s="1075">
        <v>1318.97</v>
      </c>
      <c r="V95" s="1075">
        <v>0</v>
      </c>
      <c r="W95" s="1077">
        <f t="shared" si="53"/>
        <v>771884.51</v>
      </c>
      <c r="X95" s="1377">
        <f t="shared" si="54"/>
        <v>1318.97</v>
      </c>
      <c r="Y95" s="1377">
        <f t="shared" si="55"/>
        <v>1318.97</v>
      </c>
      <c r="Z95" s="1074"/>
      <c r="AA95" s="1075"/>
      <c r="AB95" s="1075"/>
      <c r="AC95" s="1075"/>
      <c r="AD95" s="1075"/>
      <c r="AE95" s="1077">
        <f t="shared" si="56"/>
        <v>0</v>
      </c>
      <c r="AF95" s="1377">
        <f t="shared" si="57"/>
        <v>0</v>
      </c>
      <c r="AG95" s="1377">
        <f t="shared" si="58"/>
        <v>0</v>
      </c>
      <c r="AH95" s="1078">
        <v>3926.18</v>
      </c>
      <c r="AI95" s="1079">
        <v>173374.55</v>
      </c>
      <c r="AJ95" s="1079">
        <v>0</v>
      </c>
      <c r="AK95" s="1079">
        <v>-0.01</v>
      </c>
      <c r="AL95" s="1079">
        <v>0</v>
      </c>
      <c r="AM95" s="1080">
        <f t="shared" si="59"/>
        <v>177300.71999999997</v>
      </c>
      <c r="AN95" s="1080">
        <f t="shared" si="60"/>
        <v>-0.01</v>
      </c>
      <c r="AO95" s="1080">
        <f t="shared" si="61"/>
        <v>-0.01</v>
      </c>
      <c r="AP95" s="1700"/>
      <c r="AQ95" s="1700"/>
      <c r="AR95" s="1700"/>
      <c r="AS95" s="1700"/>
      <c r="AT95" s="1700"/>
      <c r="AU95" s="1700">
        <f t="shared" si="62"/>
        <v>0</v>
      </c>
      <c r="AV95" s="1700">
        <f t="shared" si="63"/>
        <v>0</v>
      </c>
      <c r="AW95" s="1700">
        <f t="shared" si="64"/>
        <v>0</v>
      </c>
    </row>
    <row r="96" spans="1:49" s="237" customFormat="1" x14ac:dyDescent="0.2">
      <c r="A96" s="1070" t="s">
        <v>236</v>
      </c>
      <c r="B96" s="1071" t="s">
        <v>237</v>
      </c>
      <c r="C96" s="103" t="s">
        <v>266</v>
      </c>
      <c r="D96" s="1072">
        <f t="shared" si="44"/>
        <v>68518.600000000006</v>
      </c>
      <c r="E96" s="1072">
        <f t="shared" si="45"/>
        <v>98652.6</v>
      </c>
      <c r="F96" s="1072">
        <f t="shared" si="46"/>
        <v>0</v>
      </c>
      <c r="G96" s="1073">
        <f t="shared" si="47"/>
        <v>-0.01</v>
      </c>
      <c r="H96" s="1073">
        <f t="shared" si="48"/>
        <v>-0.01</v>
      </c>
      <c r="I96" s="1378">
        <f t="shared" si="49"/>
        <v>167171.19</v>
      </c>
      <c r="J96" s="1074">
        <v>45012.6</v>
      </c>
      <c r="K96" s="1075">
        <v>45012.6</v>
      </c>
      <c r="L96" s="1075">
        <v>0</v>
      </c>
      <c r="M96" s="1075">
        <v>-0.01</v>
      </c>
      <c r="N96" s="1075">
        <v>0</v>
      </c>
      <c r="O96" s="1076">
        <f t="shared" si="50"/>
        <v>90025.19</v>
      </c>
      <c r="P96" s="1377">
        <f t="shared" si="51"/>
        <v>-0.01</v>
      </c>
      <c r="Q96" s="1377">
        <f t="shared" si="52"/>
        <v>-0.01</v>
      </c>
      <c r="R96" s="1074">
        <v>23506</v>
      </c>
      <c r="S96" s="1075">
        <v>23506</v>
      </c>
      <c r="T96" s="1075">
        <v>0</v>
      </c>
      <c r="U96" s="1075">
        <v>0</v>
      </c>
      <c r="V96" s="1075">
        <v>0</v>
      </c>
      <c r="W96" s="1077">
        <f t="shared" si="53"/>
        <v>47012</v>
      </c>
      <c r="X96" s="1377">
        <f t="shared" si="54"/>
        <v>0</v>
      </c>
      <c r="Y96" s="1377">
        <f t="shared" si="55"/>
        <v>0</v>
      </c>
      <c r="Z96" s="1074"/>
      <c r="AA96" s="1075"/>
      <c r="AB96" s="1075"/>
      <c r="AC96" s="1075"/>
      <c r="AD96" s="1075"/>
      <c r="AE96" s="1077">
        <f t="shared" si="56"/>
        <v>0</v>
      </c>
      <c r="AF96" s="1377">
        <f t="shared" si="57"/>
        <v>0</v>
      </c>
      <c r="AG96" s="1377">
        <f t="shared" si="58"/>
        <v>0</v>
      </c>
      <c r="AH96" s="1078">
        <v>0</v>
      </c>
      <c r="AI96" s="1079">
        <v>30134</v>
      </c>
      <c r="AJ96" s="1079">
        <v>0</v>
      </c>
      <c r="AK96" s="1079">
        <v>0</v>
      </c>
      <c r="AL96" s="1079">
        <v>0</v>
      </c>
      <c r="AM96" s="1080">
        <f t="shared" si="59"/>
        <v>30134</v>
      </c>
      <c r="AN96" s="1080">
        <f t="shared" si="60"/>
        <v>0</v>
      </c>
      <c r="AO96" s="1080">
        <f t="shared" si="61"/>
        <v>0</v>
      </c>
      <c r="AP96" s="1700"/>
      <c r="AQ96" s="1700"/>
      <c r="AR96" s="1700"/>
      <c r="AS96" s="1700"/>
      <c r="AT96" s="1700"/>
      <c r="AU96" s="1700">
        <f t="shared" si="62"/>
        <v>0</v>
      </c>
      <c r="AV96" s="1700">
        <f t="shared" si="63"/>
        <v>0</v>
      </c>
      <c r="AW96" s="1700">
        <f t="shared" si="64"/>
        <v>0</v>
      </c>
    </row>
    <row r="97" spans="1:49" s="237" customFormat="1" x14ac:dyDescent="0.2">
      <c r="A97" s="1070" t="s">
        <v>242</v>
      </c>
      <c r="B97" s="1071" t="s">
        <v>243</v>
      </c>
      <c r="C97" s="103" t="s">
        <v>268</v>
      </c>
      <c r="D97" s="1072">
        <f t="shared" si="44"/>
        <v>1002646.87</v>
      </c>
      <c r="E97" s="1072">
        <f t="shared" si="45"/>
        <v>1275475.96</v>
      </c>
      <c r="F97" s="1072">
        <f t="shared" si="46"/>
        <v>0</v>
      </c>
      <c r="G97" s="1073">
        <f t="shared" si="47"/>
        <v>-0.19</v>
      </c>
      <c r="H97" s="1073">
        <f t="shared" si="48"/>
        <v>-0.19</v>
      </c>
      <c r="I97" s="1378">
        <f t="shared" si="49"/>
        <v>2278122.64</v>
      </c>
      <c r="J97" s="1074">
        <v>347098.03</v>
      </c>
      <c r="K97" s="1075">
        <v>347098.03</v>
      </c>
      <c r="L97" s="1075">
        <v>0</v>
      </c>
      <c r="M97" s="1075">
        <v>-0.18</v>
      </c>
      <c r="N97" s="1075">
        <v>0</v>
      </c>
      <c r="O97" s="1076">
        <f t="shared" si="50"/>
        <v>694195.88</v>
      </c>
      <c r="P97" s="1377">
        <f t="shared" si="51"/>
        <v>-0.18</v>
      </c>
      <c r="Q97" s="1377">
        <f t="shared" si="52"/>
        <v>-0.18</v>
      </c>
      <c r="R97" s="1074">
        <v>644943.63</v>
      </c>
      <c r="S97" s="1075">
        <v>644943.63</v>
      </c>
      <c r="T97" s="1075">
        <v>0</v>
      </c>
      <c r="U97" s="1075">
        <v>-0.01</v>
      </c>
      <c r="V97" s="1075">
        <v>0</v>
      </c>
      <c r="W97" s="1077">
        <f t="shared" si="53"/>
        <v>1289887.25</v>
      </c>
      <c r="X97" s="1377">
        <f t="shared" si="54"/>
        <v>-0.01</v>
      </c>
      <c r="Y97" s="1377">
        <f t="shared" si="55"/>
        <v>-0.01</v>
      </c>
      <c r="Z97" s="1074"/>
      <c r="AA97" s="1075"/>
      <c r="AB97" s="1075"/>
      <c r="AC97" s="1075"/>
      <c r="AD97" s="1075"/>
      <c r="AE97" s="1077">
        <f t="shared" si="56"/>
        <v>0</v>
      </c>
      <c r="AF97" s="1377">
        <f t="shared" si="57"/>
        <v>0</v>
      </c>
      <c r="AG97" s="1377">
        <f t="shared" si="58"/>
        <v>0</v>
      </c>
      <c r="AH97" s="1078">
        <v>10605.21</v>
      </c>
      <c r="AI97" s="1079">
        <v>283434.3</v>
      </c>
      <c r="AJ97" s="1079">
        <v>0</v>
      </c>
      <c r="AK97" s="1079">
        <v>0</v>
      </c>
      <c r="AL97" s="1079">
        <v>0</v>
      </c>
      <c r="AM97" s="1080">
        <f t="shared" si="59"/>
        <v>294039.51</v>
      </c>
      <c r="AN97" s="1080">
        <f t="shared" si="60"/>
        <v>0</v>
      </c>
      <c r="AO97" s="1080">
        <f t="shared" si="61"/>
        <v>0</v>
      </c>
      <c r="AP97" s="1700"/>
      <c r="AQ97" s="1700"/>
      <c r="AR97" s="1700"/>
      <c r="AS97" s="1700"/>
      <c r="AT97" s="1700"/>
      <c r="AU97" s="1700">
        <f t="shared" si="62"/>
        <v>0</v>
      </c>
      <c r="AV97" s="1700">
        <f t="shared" si="63"/>
        <v>0</v>
      </c>
      <c r="AW97" s="1700">
        <f t="shared" si="64"/>
        <v>0</v>
      </c>
    </row>
    <row r="98" spans="1:49" s="237" customFormat="1" x14ac:dyDescent="0.2">
      <c r="A98" s="1070" t="s">
        <v>244</v>
      </c>
      <c r="B98" s="1071" t="s">
        <v>245</v>
      </c>
      <c r="C98" s="103" t="s">
        <v>268</v>
      </c>
      <c r="D98" s="1072">
        <f t="shared" si="44"/>
        <v>512042.39999999997</v>
      </c>
      <c r="E98" s="1072">
        <f t="shared" si="45"/>
        <v>759732.01</v>
      </c>
      <c r="F98" s="1072">
        <f t="shared" si="46"/>
        <v>0</v>
      </c>
      <c r="G98" s="1073">
        <f t="shared" si="47"/>
        <v>-0.08</v>
      </c>
      <c r="H98" s="1073">
        <f t="shared" si="48"/>
        <v>-0.08</v>
      </c>
      <c r="I98" s="1378">
        <f t="shared" si="49"/>
        <v>1271774.3299999998</v>
      </c>
      <c r="J98" s="1074">
        <v>157043.84</v>
      </c>
      <c r="K98" s="1075">
        <v>157043.84</v>
      </c>
      <c r="L98" s="1075">
        <v>0</v>
      </c>
      <c r="M98" s="1075">
        <v>-7.0000000000000007E-2</v>
      </c>
      <c r="N98" s="1075">
        <v>0</v>
      </c>
      <c r="O98" s="1076">
        <f t="shared" si="50"/>
        <v>314087.61</v>
      </c>
      <c r="P98" s="1377">
        <f t="shared" si="51"/>
        <v>-7.0000000000000007E-2</v>
      </c>
      <c r="Q98" s="1377">
        <f t="shared" si="52"/>
        <v>-7.0000000000000007E-2</v>
      </c>
      <c r="R98" s="1074">
        <v>347354.6</v>
      </c>
      <c r="S98" s="1075">
        <v>347354.6</v>
      </c>
      <c r="T98" s="1075">
        <v>0</v>
      </c>
      <c r="U98" s="1075">
        <v>-0.01</v>
      </c>
      <c r="V98" s="1075">
        <v>0</v>
      </c>
      <c r="W98" s="1077">
        <f t="shared" si="53"/>
        <v>694709.19</v>
      </c>
      <c r="X98" s="1377">
        <f t="shared" si="54"/>
        <v>-0.01</v>
      </c>
      <c r="Y98" s="1377">
        <f t="shared" si="55"/>
        <v>-0.01</v>
      </c>
      <c r="Z98" s="1074"/>
      <c r="AA98" s="1075"/>
      <c r="AB98" s="1075"/>
      <c r="AC98" s="1075"/>
      <c r="AD98" s="1075"/>
      <c r="AE98" s="1077">
        <f t="shared" si="56"/>
        <v>0</v>
      </c>
      <c r="AF98" s="1377">
        <f t="shared" si="57"/>
        <v>0</v>
      </c>
      <c r="AG98" s="1377">
        <f t="shared" si="58"/>
        <v>0</v>
      </c>
      <c r="AH98" s="1078">
        <v>7643.96</v>
      </c>
      <c r="AI98" s="1079">
        <v>255333.57</v>
      </c>
      <c r="AJ98" s="1079">
        <v>0</v>
      </c>
      <c r="AK98" s="1079">
        <v>0</v>
      </c>
      <c r="AL98" s="1079">
        <v>0</v>
      </c>
      <c r="AM98" s="1080">
        <f t="shared" si="59"/>
        <v>262977.53000000003</v>
      </c>
      <c r="AN98" s="1080">
        <f t="shared" si="60"/>
        <v>0</v>
      </c>
      <c r="AO98" s="1080">
        <f t="shared" si="61"/>
        <v>0</v>
      </c>
      <c r="AP98" s="1700"/>
      <c r="AQ98" s="1700"/>
      <c r="AR98" s="1700"/>
      <c r="AS98" s="1700"/>
      <c r="AT98" s="1700"/>
      <c r="AU98" s="1700">
        <f t="shared" si="62"/>
        <v>0</v>
      </c>
      <c r="AV98" s="1700">
        <f t="shared" si="63"/>
        <v>0</v>
      </c>
      <c r="AW98" s="1700">
        <f t="shared" si="64"/>
        <v>0</v>
      </c>
    </row>
    <row r="99" spans="1:49" s="237" customFormat="1" x14ac:dyDescent="0.2">
      <c r="A99" s="1070" t="s">
        <v>246</v>
      </c>
      <c r="B99" s="1071" t="s">
        <v>310</v>
      </c>
      <c r="C99" s="103" t="s">
        <v>264</v>
      </c>
      <c r="D99" s="1072">
        <f t="shared" si="44"/>
        <v>170768.45</v>
      </c>
      <c r="E99" s="1072">
        <f t="shared" si="45"/>
        <v>245936.29</v>
      </c>
      <c r="F99" s="1072">
        <f t="shared" si="46"/>
        <v>0</v>
      </c>
      <c r="G99" s="1073">
        <f t="shared" si="47"/>
        <v>656.95</v>
      </c>
      <c r="H99" s="1073">
        <f t="shared" si="48"/>
        <v>656.95</v>
      </c>
      <c r="I99" s="1378">
        <f t="shared" si="49"/>
        <v>417361.69</v>
      </c>
      <c r="J99" s="1074">
        <v>49561.98</v>
      </c>
      <c r="K99" s="1075">
        <v>49561.98</v>
      </c>
      <c r="L99" s="1075">
        <v>0</v>
      </c>
      <c r="M99" s="1075">
        <v>656.95</v>
      </c>
      <c r="N99" s="1075">
        <v>0</v>
      </c>
      <c r="O99" s="1076">
        <f t="shared" si="50"/>
        <v>99780.91</v>
      </c>
      <c r="P99" s="1377">
        <f t="shared" si="51"/>
        <v>656.95</v>
      </c>
      <c r="Q99" s="1377">
        <f t="shared" si="52"/>
        <v>656.95</v>
      </c>
      <c r="R99" s="1074">
        <v>116946</v>
      </c>
      <c r="S99" s="1075">
        <v>116946</v>
      </c>
      <c r="T99" s="1075">
        <v>0</v>
      </c>
      <c r="U99" s="1075">
        <v>0</v>
      </c>
      <c r="V99" s="1075">
        <v>0</v>
      </c>
      <c r="W99" s="1077">
        <f t="shared" si="53"/>
        <v>233892</v>
      </c>
      <c r="X99" s="1377">
        <f t="shared" si="54"/>
        <v>0</v>
      </c>
      <c r="Y99" s="1377">
        <f t="shared" si="55"/>
        <v>0</v>
      </c>
      <c r="Z99" s="1074"/>
      <c r="AA99" s="1075"/>
      <c r="AB99" s="1075"/>
      <c r="AC99" s="1075"/>
      <c r="AD99" s="1075"/>
      <c r="AE99" s="1077">
        <f t="shared" si="56"/>
        <v>0</v>
      </c>
      <c r="AF99" s="1377">
        <f t="shared" si="57"/>
        <v>0</v>
      </c>
      <c r="AG99" s="1377">
        <f t="shared" si="58"/>
        <v>0</v>
      </c>
      <c r="AH99" s="1078">
        <v>4260.47</v>
      </c>
      <c r="AI99" s="1079">
        <v>79428.31</v>
      </c>
      <c r="AJ99" s="1079">
        <v>0</v>
      </c>
      <c r="AK99" s="1079">
        <v>0</v>
      </c>
      <c r="AL99" s="1079">
        <v>0</v>
      </c>
      <c r="AM99" s="1080">
        <f t="shared" si="59"/>
        <v>83688.78</v>
      </c>
      <c r="AN99" s="1080">
        <f t="shared" si="60"/>
        <v>0</v>
      </c>
      <c r="AO99" s="1080">
        <f t="shared" si="61"/>
        <v>0</v>
      </c>
      <c r="AP99" s="1700"/>
      <c r="AQ99" s="1700"/>
      <c r="AR99" s="1700"/>
      <c r="AS99" s="1700"/>
      <c r="AT99" s="1700"/>
      <c r="AU99" s="1700">
        <f t="shared" si="62"/>
        <v>0</v>
      </c>
      <c r="AV99" s="1700">
        <f t="shared" si="63"/>
        <v>0</v>
      </c>
      <c r="AW99" s="1700">
        <f t="shared" si="64"/>
        <v>0</v>
      </c>
    </row>
    <row r="100" spans="1:49" s="237" customFormat="1" x14ac:dyDescent="0.2">
      <c r="A100" s="1070" t="s">
        <v>14</v>
      </c>
      <c r="B100" s="1071" t="s">
        <v>15</v>
      </c>
      <c r="C100" s="103" t="s">
        <v>267</v>
      </c>
      <c r="D100" s="1072">
        <f t="shared" si="44"/>
        <v>2104489.6599999997</v>
      </c>
      <c r="E100" s="1072">
        <f t="shared" si="45"/>
        <v>2681010.46</v>
      </c>
      <c r="F100" s="1072">
        <f t="shared" si="46"/>
        <v>0</v>
      </c>
      <c r="G100" s="1073">
        <f t="shared" si="47"/>
        <v>1310.29</v>
      </c>
      <c r="H100" s="1073">
        <f t="shared" si="48"/>
        <v>1310.29</v>
      </c>
      <c r="I100" s="1378">
        <f t="shared" si="49"/>
        <v>4786810.4099999992</v>
      </c>
      <c r="J100" s="1074">
        <v>533932.85</v>
      </c>
      <c r="K100" s="1075">
        <v>533932.85</v>
      </c>
      <c r="L100" s="1075">
        <v>0</v>
      </c>
      <c r="M100" s="1075">
        <v>-0.25</v>
      </c>
      <c r="N100" s="1075">
        <v>1310.54</v>
      </c>
      <c r="O100" s="1076">
        <f t="shared" si="50"/>
        <v>1069175.99</v>
      </c>
      <c r="P100" s="1377">
        <f t="shared" si="51"/>
        <v>1310.29</v>
      </c>
      <c r="Q100" s="1377">
        <f t="shared" si="52"/>
        <v>1310.29</v>
      </c>
      <c r="R100" s="1074">
        <v>1394958.41</v>
      </c>
      <c r="S100" s="1075">
        <v>1394958.41</v>
      </c>
      <c r="T100" s="1075">
        <v>0</v>
      </c>
      <c r="U100" s="1075">
        <v>0</v>
      </c>
      <c r="V100" s="1075">
        <v>0</v>
      </c>
      <c r="W100" s="1077">
        <f t="shared" si="53"/>
        <v>2789916.82</v>
      </c>
      <c r="X100" s="1377">
        <f t="shared" si="54"/>
        <v>0</v>
      </c>
      <c r="Y100" s="1377">
        <f t="shared" si="55"/>
        <v>0</v>
      </c>
      <c r="Z100" s="1074"/>
      <c r="AA100" s="1075"/>
      <c r="AB100" s="1075"/>
      <c r="AC100" s="1075"/>
      <c r="AD100" s="1075"/>
      <c r="AE100" s="1077">
        <f t="shared" si="56"/>
        <v>0</v>
      </c>
      <c r="AF100" s="1377">
        <f t="shared" si="57"/>
        <v>0</v>
      </c>
      <c r="AG100" s="1377">
        <f t="shared" si="58"/>
        <v>0</v>
      </c>
      <c r="AH100" s="1078">
        <v>175598.4</v>
      </c>
      <c r="AI100" s="1079">
        <v>752119.2</v>
      </c>
      <c r="AJ100" s="1079">
        <v>0</v>
      </c>
      <c r="AK100" s="1079">
        <v>0</v>
      </c>
      <c r="AL100" s="1079">
        <v>0</v>
      </c>
      <c r="AM100" s="1080">
        <f t="shared" si="59"/>
        <v>927717.6</v>
      </c>
      <c r="AN100" s="1080">
        <f t="shared" si="60"/>
        <v>0</v>
      </c>
      <c r="AO100" s="1080">
        <f t="shared" si="61"/>
        <v>0</v>
      </c>
      <c r="AP100" s="1700"/>
      <c r="AQ100" s="1700"/>
      <c r="AR100" s="1700"/>
      <c r="AS100" s="1700"/>
      <c r="AT100" s="1700"/>
      <c r="AU100" s="1700">
        <f t="shared" si="62"/>
        <v>0</v>
      </c>
      <c r="AV100" s="1700">
        <f t="shared" si="63"/>
        <v>0</v>
      </c>
      <c r="AW100" s="1700">
        <f t="shared" si="64"/>
        <v>0</v>
      </c>
    </row>
    <row r="101" spans="1:49" s="237" customFormat="1" x14ac:dyDescent="0.2">
      <c r="A101" s="1070" t="s">
        <v>34</v>
      </c>
      <c r="B101" s="1071" t="s">
        <v>35</v>
      </c>
      <c r="C101" s="103" t="s">
        <v>268</v>
      </c>
      <c r="D101" s="1072">
        <f t="shared" ref="D101:D124" si="65">J101+R101+Z101+AH101+AP101</f>
        <v>806654.58</v>
      </c>
      <c r="E101" s="1072">
        <f t="shared" ref="E101:E124" si="66">K101+S101+AA101+AI101+AQ101</f>
        <v>911322.9</v>
      </c>
      <c r="F101" s="1072">
        <f t="shared" ref="F101:F124" si="67">L101+T101+AB101+AJ101+AR101</f>
        <v>0</v>
      </c>
      <c r="G101" s="1073">
        <f t="shared" ref="G101:G124" si="68">P101+X101+AF101+AN101+AV101</f>
        <v>-0.25</v>
      </c>
      <c r="H101" s="1073">
        <f t="shared" ref="H101:H124" si="69">Q101+Y101+AG101+AO101+AW101</f>
        <v>-0.25</v>
      </c>
      <c r="I101" s="1378">
        <f t="shared" ref="I101:I124" si="70">SUM(D101:G101)</f>
        <v>1717977.23</v>
      </c>
      <c r="J101" s="1074">
        <v>467797.47</v>
      </c>
      <c r="K101" s="1075">
        <v>467797.47</v>
      </c>
      <c r="L101" s="1075">
        <v>0</v>
      </c>
      <c r="M101" s="1075">
        <v>-0.24</v>
      </c>
      <c r="N101" s="1075">
        <v>0</v>
      </c>
      <c r="O101" s="1076">
        <f t="shared" ref="O101:O124" si="71">SUM(J101:N101)</f>
        <v>935594.7</v>
      </c>
      <c r="P101" s="1377">
        <f t="shared" ref="P101:P124" si="72">M101+N101</f>
        <v>-0.24</v>
      </c>
      <c r="Q101" s="1377">
        <f t="shared" ref="Q101:Q124" si="73">L101+P101</f>
        <v>-0.24</v>
      </c>
      <c r="R101" s="1074">
        <v>334947.27</v>
      </c>
      <c r="S101" s="1075">
        <v>334947.27</v>
      </c>
      <c r="T101" s="1075">
        <v>0</v>
      </c>
      <c r="U101" s="1075">
        <v>-0.01</v>
      </c>
      <c r="V101" s="1075">
        <v>0</v>
      </c>
      <c r="W101" s="1077">
        <f t="shared" ref="W101:W124" si="74">SUM(R101:V101)</f>
        <v>669894.53</v>
      </c>
      <c r="X101" s="1377">
        <f t="shared" ref="X101:X124" si="75">U101+V101</f>
        <v>-0.01</v>
      </c>
      <c r="Y101" s="1377">
        <f t="shared" ref="Y101:Y124" si="76">T101+X101</f>
        <v>-0.01</v>
      </c>
      <c r="Z101" s="1074"/>
      <c r="AA101" s="1075"/>
      <c r="AB101" s="1075"/>
      <c r="AC101" s="1075"/>
      <c r="AD101" s="1075"/>
      <c r="AE101" s="1077">
        <f t="shared" ref="AE101:AE124" si="77">SUM(Z101:AD101)</f>
        <v>0</v>
      </c>
      <c r="AF101" s="1377">
        <f t="shared" ref="AF101:AF124" si="78">AC101+AD101</f>
        <v>0</v>
      </c>
      <c r="AG101" s="1377">
        <f t="shared" ref="AG101:AG124" si="79">AB101+AF101</f>
        <v>0</v>
      </c>
      <c r="AH101" s="1078">
        <v>3909.84</v>
      </c>
      <c r="AI101" s="1079">
        <v>108578.16</v>
      </c>
      <c r="AJ101" s="1079">
        <v>0</v>
      </c>
      <c r="AK101" s="1079">
        <v>0</v>
      </c>
      <c r="AL101" s="1079">
        <v>0</v>
      </c>
      <c r="AM101" s="1080">
        <f t="shared" ref="AM101:AM124" si="80">SUM(AH101:AL101)</f>
        <v>112488</v>
      </c>
      <c r="AN101" s="1080">
        <f t="shared" ref="AN101:AN124" si="81">AK101+AL101</f>
        <v>0</v>
      </c>
      <c r="AO101" s="1080">
        <f t="shared" ref="AO101:AO124" si="82">AJ101+AN101</f>
        <v>0</v>
      </c>
      <c r="AP101" s="1700"/>
      <c r="AQ101" s="1700"/>
      <c r="AR101" s="1700"/>
      <c r="AS101" s="1700"/>
      <c r="AT101" s="1700"/>
      <c r="AU101" s="1700">
        <f t="shared" ref="AU101:AU124" si="83">SUM(AP101:AT101)</f>
        <v>0</v>
      </c>
      <c r="AV101" s="1700">
        <f t="shared" ref="AV101:AV124" si="84">AS101+AT101</f>
        <v>0</v>
      </c>
      <c r="AW101" s="1700">
        <f t="shared" ref="AW101:AW124" si="85">AR101+AV101</f>
        <v>0</v>
      </c>
    </row>
    <row r="102" spans="1:49" s="237" customFormat="1" x14ac:dyDescent="0.2">
      <c r="A102" s="1070" t="s">
        <v>52</v>
      </c>
      <c r="B102" s="1071" t="s">
        <v>53</v>
      </c>
      <c r="C102" s="103" t="s">
        <v>265</v>
      </c>
      <c r="D102" s="1072">
        <f t="shared" si="65"/>
        <v>1397539.1300000001</v>
      </c>
      <c r="E102" s="1072">
        <f t="shared" si="66"/>
        <v>1690145.96</v>
      </c>
      <c r="F102" s="1072">
        <f t="shared" si="67"/>
        <v>0</v>
      </c>
      <c r="G102" s="1073">
        <f t="shared" si="68"/>
        <v>895.46</v>
      </c>
      <c r="H102" s="1073">
        <f t="shared" si="69"/>
        <v>895.46</v>
      </c>
      <c r="I102" s="1378">
        <f t="shared" si="70"/>
        <v>3088580.55</v>
      </c>
      <c r="J102" s="1074">
        <v>590042.1</v>
      </c>
      <c r="K102" s="1075">
        <v>590042.1</v>
      </c>
      <c r="L102" s="1075">
        <v>0</v>
      </c>
      <c r="M102" s="1075">
        <v>895.63</v>
      </c>
      <c r="N102" s="1075">
        <v>0</v>
      </c>
      <c r="O102" s="1076">
        <f t="shared" si="71"/>
        <v>1180979.8299999998</v>
      </c>
      <c r="P102" s="1377">
        <f t="shared" si="72"/>
        <v>895.63</v>
      </c>
      <c r="Q102" s="1377">
        <f t="shared" si="73"/>
        <v>895.63</v>
      </c>
      <c r="R102" s="1074">
        <v>775668.41</v>
      </c>
      <c r="S102" s="1075">
        <v>775668.41</v>
      </c>
      <c r="T102" s="1075">
        <v>0</v>
      </c>
      <c r="U102" s="1075">
        <v>-0.17</v>
      </c>
      <c r="V102" s="1075">
        <v>0</v>
      </c>
      <c r="W102" s="1077">
        <f t="shared" si="74"/>
        <v>1551336.6500000001</v>
      </c>
      <c r="X102" s="1377">
        <f t="shared" si="75"/>
        <v>-0.17</v>
      </c>
      <c r="Y102" s="1377">
        <f t="shared" si="76"/>
        <v>-0.17</v>
      </c>
      <c r="Z102" s="1074"/>
      <c r="AA102" s="1075"/>
      <c r="AB102" s="1075"/>
      <c r="AC102" s="1075"/>
      <c r="AD102" s="1075"/>
      <c r="AE102" s="1077">
        <f t="shared" si="77"/>
        <v>0</v>
      </c>
      <c r="AF102" s="1377">
        <f t="shared" si="78"/>
        <v>0</v>
      </c>
      <c r="AG102" s="1377">
        <f t="shared" si="79"/>
        <v>0</v>
      </c>
      <c r="AH102" s="1078">
        <v>31828.62</v>
      </c>
      <c r="AI102" s="1079">
        <v>324435.45</v>
      </c>
      <c r="AJ102" s="1079">
        <v>0</v>
      </c>
      <c r="AK102" s="1079">
        <v>0</v>
      </c>
      <c r="AL102" s="1079">
        <v>0</v>
      </c>
      <c r="AM102" s="1080">
        <f t="shared" si="80"/>
        <v>356264.07</v>
      </c>
      <c r="AN102" s="1080">
        <f t="shared" si="81"/>
        <v>0</v>
      </c>
      <c r="AO102" s="1080">
        <f t="shared" si="82"/>
        <v>0</v>
      </c>
      <c r="AP102" s="1700"/>
      <c r="AQ102" s="1700"/>
      <c r="AR102" s="1700"/>
      <c r="AS102" s="1700"/>
      <c r="AT102" s="1700"/>
      <c r="AU102" s="1700">
        <f t="shared" si="83"/>
        <v>0</v>
      </c>
      <c r="AV102" s="1700">
        <f t="shared" si="84"/>
        <v>0</v>
      </c>
      <c r="AW102" s="1700">
        <f t="shared" si="85"/>
        <v>0</v>
      </c>
    </row>
    <row r="103" spans="1:49" s="237" customFormat="1" x14ac:dyDescent="0.2">
      <c r="A103" s="1070" t="s">
        <v>54</v>
      </c>
      <c r="B103" s="1071" t="s">
        <v>55</v>
      </c>
      <c r="C103" s="103" t="s">
        <v>264</v>
      </c>
      <c r="D103" s="1072">
        <f t="shared" si="65"/>
        <v>1125338.8199999998</v>
      </c>
      <c r="E103" s="1072">
        <f t="shared" si="66"/>
        <v>1324311.67</v>
      </c>
      <c r="F103" s="1072">
        <f t="shared" si="67"/>
        <v>0</v>
      </c>
      <c r="G103" s="1073">
        <f t="shared" si="68"/>
        <v>-0.15000000000000002</v>
      </c>
      <c r="H103" s="1073">
        <f t="shared" si="69"/>
        <v>-0.15000000000000002</v>
      </c>
      <c r="I103" s="1378">
        <f t="shared" si="70"/>
        <v>2449650.34</v>
      </c>
      <c r="J103" s="1074">
        <v>369405.56</v>
      </c>
      <c r="K103" s="1075">
        <v>369405.56</v>
      </c>
      <c r="L103" s="1075">
        <v>0</v>
      </c>
      <c r="M103" s="1075">
        <v>-0.14000000000000001</v>
      </c>
      <c r="N103" s="1075">
        <v>0</v>
      </c>
      <c r="O103" s="1076">
        <f t="shared" si="71"/>
        <v>738810.98</v>
      </c>
      <c r="P103" s="1377">
        <f t="shared" si="72"/>
        <v>-0.14000000000000001</v>
      </c>
      <c r="Q103" s="1377">
        <f t="shared" si="73"/>
        <v>-0.14000000000000001</v>
      </c>
      <c r="R103" s="1074">
        <v>727769.86</v>
      </c>
      <c r="S103" s="1075">
        <v>727769.86</v>
      </c>
      <c r="T103" s="1075">
        <v>0</v>
      </c>
      <c r="U103" s="1075">
        <v>-0.01</v>
      </c>
      <c r="V103" s="1075">
        <v>0</v>
      </c>
      <c r="W103" s="1077">
        <f t="shared" si="74"/>
        <v>1455539.71</v>
      </c>
      <c r="X103" s="1377">
        <f t="shared" si="75"/>
        <v>-0.01</v>
      </c>
      <c r="Y103" s="1377">
        <f t="shared" si="76"/>
        <v>-0.01</v>
      </c>
      <c r="Z103" s="1074"/>
      <c r="AA103" s="1075"/>
      <c r="AB103" s="1075"/>
      <c r="AC103" s="1075"/>
      <c r="AD103" s="1075"/>
      <c r="AE103" s="1077">
        <f t="shared" si="77"/>
        <v>0</v>
      </c>
      <c r="AF103" s="1377">
        <f t="shared" si="78"/>
        <v>0</v>
      </c>
      <c r="AG103" s="1377">
        <f t="shared" si="79"/>
        <v>0</v>
      </c>
      <c r="AH103" s="1078">
        <v>28163.4</v>
      </c>
      <c r="AI103" s="1079">
        <v>227136.25</v>
      </c>
      <c r="AJ103" s="1079">
        <v>0</v>
      </c>
      <c r="AK103" s="1079">
        <v>0</v>
      </c>
      <c r="AL103" s="1079">
        <v>0</v>
      </c>
      <c r="AM103" s="1080">
        <f t="shared" si="80"/>
        <v>255299.65</v>
      </c>
      <c r="AN103" s="1080">
        <f t="shared" si="81"/>
        <v>0</v>
      </c>
      <c r="AO103" s="1080">
        <f t="shared" si="82"/>
        <v>0</v>
      </c>
      <c r="AP103" s="1700"/>
      <c r="AQ103" s="1700"/>
      <c r="AR103" s="1700"/>
      <c r="AS103" s="1700"/>
      <c r="AT103" s="1700"/>
      <c r="AU103" s="1700">
        <f t="shared" si="83"/>
        <v>0</v>
      </c>
      <c r="AV103" s="1700">
        <f t="shared" si="84"/>
        <v>0</v>
      </c>
      <c r="AW103" s="1700">
        <f t="shared" si="85"/>
        <v>0</v>
      </c>
    </row>
    <row r="104" spans="1:49" s="237" customFormat="1" x14ac:dyDescent="0.2">
      <c r="A104" s="1070" t="s">
        <v>66</v>
      </c>
      <c r="B104" s="1071" t="s">
        <v>67</v>
      </c>
      <c r="C104" s="103" t="s">
        <v>265</v>
      </c>
      <c r="D104" s="1072">
        <f t="shared" si="65"/>
        <v>735347.72</v>
      </c>
      <c r="E104" s="1072">
        <f t="shared" si="66"/>
        <v>918773.78</v>
      </c>
      <c r="F104" s="1072">
        <f t="shared" si="67"/>
        <v>0</v>
      </c>
      <c r="G104" s="1073">
        <f t="shared" si="68"/>
        <v>-0.13</v>
      </c>
      <c r="H104" s="1073">
        <f t="shared" si="69"/>
        <v>-0.13</v>
      </c>
      <c r="I104" s="1378">
        <f t="shared" si="70"/>
        <v>1654121.37</v>
      </c>
      <c r="J104" s="1074">
        <v>514890.64</v>
      </c>
      <c r="K104" s="1075">
        <v>514890.64</v>
      </c>
      <c r="L104" s="1075">
        <v>0</v>
      </c>
      <c r="M104" s="1075">
        <v>-0.13</v>
      </c>
      <c r="N104" s="1075">
        <v>0</v>
      </c>
      <c r="O104" s="1076">
        <f t="shared" si="71"/>
        <v>1029781.15</v>
      </c>
      <c r="P104" s="1377">
        <f t="shared" si="72"/>
        <v>-0.13</v>
      </c>
      <c r="Q104" s="1377">
        <f t="shared" si="73"/>
        <v>-0.13</v>
      </c>
      <c r="R104" s="1074">
        <v>194945.11</v>
      </c>
      <c r="S104" s="1075">
        <v>194945.11</v>
      </c>
      <c r="T104" s="1075">
        <v>0</v>
      </c>
      <c r="U104" s="1075">
        <v>0</v>
      </c>
      <c r="V104" s="1075">
        <v>0</v>
      </c>
      <c r="W104" s="1077">
        <f t="shared" si="74"/>
        <v>389890.22</v>
      </c>
      <c r="X104" s="1377">
        <f t="shared" si="75"/>
        <v>0</v>
      </c>
      <c r="Y104" s="1377">
        <f t="shared" si="76"/>
        <v>0</v>
      </c>
      <c r="Z104" s="1074"/>
      <c r="AA104" s="1075"/>
      <c r="AB104" s="1075"/>
      <c r="AC104" s="1075"/>
      <c r="AD104" s="1075"/>
      <c r="AE104" s="1077">
        <f t="shared" si="77"/>
        <v>0</v>
      </c>
      <c r="AF104" s="1377">
        <f t="shared" si="78"/>
        <v>0</v>
      </c>
      <c r="AG104" s="1377">
        <f t="shared" si="79"/>
        <v>0</v>
      </c>
      <c r="AH104" s="1078">
        <v>25511.97</v>
      </c>
      <c r="AI104" s="1079">
        <v>208938.03</v>
      </c>
      <c r="AJ104" s="1079">
        <v>0</v>
      </c>
      <c r="AK104" s="1079">
        <v>0</v>
      </c>
      <c r="AL104" s="1079">
        <v>0</v>
      </c>
      <c r="AM104" s="1080">
        <f t="shared" si="80"/>
        <v>234450</v>
      </c>
      <c r="AN104" s="1080">
        <f t="shared" si="81"/>
        <v>0</v>
      </c>
      <c r="AO104" s="1080">
        <f t="shared" si="82"/>
        <v>0</v>
      </c>
      <c r="AP104" s="1700"/>
      <c r="AQ104" s="1700"/>
      <c r="AR104" s="1700"/>
      <c r="AS104" s="1700"/>
      <c r="AT104" s="1700"/>
      <c r="AU104" s="1700">
        <f t="shared" si="83"/>
        <v>0</v>
      </c>
      <c r="AV104" s="1700">
        <f t="shared" si="84"/>
        <v>0</v>
      </c>
      <c r="AW104" s="1700">
        <f t="shared" si="85"/>
        <v>0</v>
      </c>
    </row>
    <row r="105" spans="1:49" s="237" customFormat="1" x14ac:dyDescent="0.2">
      <c r="A105" s="1070" t="s">
        <v>82</v>
      </c>
      <c r="B105" s="1071" t="s">
        <v>311</v>
      </c>
      <c r="C105" s="103" t="s">
        <v>264</v>
      </c>
      <c r="D105" s="1072">
        <f t="shared" si="65"/>
        <v>2410.91</v>
      </c>
      <c r="E105" s="1072">
        <f t="shared" si="66"/>
        <v>8902.91</v>
      </c>
      <c r="F105" s="1072">
        <f t="shared" si="67"/>
        <v>0</v>
      </c>
      <c r="G105" s="1073">
        <f t="shared" si="68"/>
        <v>0</v>
      </c>
      <c r="H105" s="1073">
        <f t="shared" si="69"/>
        <v>0</v>
      </c>
      <c r="I105" s="1378">
        <f t="shared" si="70"/>
        <v>11313.82</v>
      </c>
      <c r="J105" s="1074">
        <v>2410.91</v>
      </c>
      <c r="K105" s="1075">
        <v>2410.91</v>
      </c>
      <c r="L105" s="1075">
        <v>0</v>
      </c>
      <c r="M105" s="1075">
        <v>0</v>
      </c>
      <c r="N105" s="1075">
        <v>0</v>
      </c>
      <c r="O105" s="1076">
        <f t="shared" si="71"/>
        <v>4821.82</v>
      </c>
      <c r="P105" s="1377">
        <f t="shared" si="72"/>
        <v>0</v>
      </c>
      <c r="Q105" s="1377">
        <f t="shared" si="73"/>
        <v>0</v>
      </c>
      <c r="R105" s="1078"/>
      <c r="S105" s="1079"/>
      <c r="T105" s="1079"/>
      <c r="U105" s="1079"/>
      <c r="V105" s="1079"/>
      <c r="W105" s="1077">
        <f t="shared" si="74"/>
        <v>0</v>
      </c>
      <c r="X105" s="1377">
        <f t="shared" si="75"/>
        <v>0</v>
      </c>
      <c r="Y105" s="1377">
        <f t="shared" si="76"/>
        <v>0</v>
      </c>
      <c r="Z105" s="1074"/>
      <c r="AA105" s="1075"/>
      <c r="AB105" s="1075"/>
      <c r="AC105" s="1075"/>
      <c r="AD105" s="1075"/>
      <c r="AE105" s="1077">
        <f t="shared" si="77"/>
        <v>0</v>
      </c>
      <c r="AF105" s="1377">
        <f t="shared" si="78"/>
        <v>0</v>
      </c>
      <c r="AG105" s="1377">
        <f t="shared" si="79"/>
        <v>0</v>
      </c>
      <c r="AH105" s="1078">
        <v>0</v>
      </c>
      <c r="AI105" s="1079">
        <v>6492</v>
      </c>
      <c r="AJ105" s="1079">
        <v>0</v>
      </c>
      <c r="AK105" s="1079">
        <v>0</v>
      </c>
      <c r="AL105" s="1079">
        <v>0</v>
      </c>
      <c r="AM105" s="1080">
        <f t="shared" si="80"/>
        <v>6492</v>
      </c>
      <c r="AN105" s="1080">
        <f t="shared" si="81"/>
        <v>0</v>
      </c>
      <c r="AO105" s="1080">
        <f t="shared" si="82"/>
        <v>0</v>
      </c>
      <c r="AP105" s="1700"/>
      <c r="AQ105" s="1700"/>
      <c r="AR105" s="1700"/>
      <c r="AS105" s="1700"/>
      <c r="AT105" s="1700"/>
      <c r="AU105" s="1700">
        <f t="shared" si="83"/>
        <v>0</v>
      </c>
      <c r="AV105" s="1700">
        <f t="shared" si="84"/>
        <v>0</v>
      </c>
      <c r="AW105" s="1700">
        <f t="shared" si="85"/>
        <v>0</v>
      </c>
    </row>
    <row r="106" spans="1:49" s="237" customFormat="1" x14ac:dyDescent="0.2">
      <c r="A106" s="1070" t="s">
        <v>88</v>
      </c>
      <c r="B106" s="1071" t="s">
        <v>89</v>
      </c>
      <c r="C106" s="103" t="s">
        <v>267</v>
      </c>
      <c r="D106" s="1072">
        <f t="shared" si="65"/>
        <v>661093</v>
      </c>
      <c r="E106" s="1072">
        <f t="shared" si="66"/>
        <v>921691.83000000007</v>
      </c>
      <c r="F106" s="1072">
        <f t="shared" si="67"/>
        <v>0</v>
      </c>
      <c r="G106" s="1073">
        <f t="shared" si="68"/>
        <v>-0.16</v>
      </c>
      <c r="H106" s="1073">
        <f t="shared" si="69"/>
        <v>-0.16</v>
      </c>
      <c r="I106" s="1378">
        <f t="shared" si="70"/>
        <v>1582784.6700000002</v>
      </c>
      <c r="J106" s="1074">
        <v>157107.6</v>
      </c>
      <c r="K106" s="1075">
        <v>157107.6</v>
      </c>
      <c r="L106" s="1075">
        <v>0</v>
      </c>
      <c r="M106" s="1075">
        <v>-0.13</v>
      </c>
      <c r="N106" s="1075">
        <v>0</v>
      </c>
      <c r="O106" s="1076">
        <f t="shared" si="71"/>
        <v>314215.07</v>
      </c>
      <c r="P106" s="1377">
        <f t="shared" si="72"/>
        <v>-0.13</v>
      </c>
      <c r="Q106" s="1377">
        <f t="shared" si="73"/>
        <v>-0.13</v>
      </c>
      <c r="R106" s="1074">
        <v>471167.04</v>
      </c>
      <c r="S106" s="1075">
        <v>471167.04</v>
      </c>
      <c r="T106" s="1075">
        <v>0</v>
      </c>
      <c r="U106" s="1075">
        <v>-0.01</v>
      </c>
      <c r="V106" s="1075">
        <v>0</v>
      </c>
      <c r="W106" s="1077">
        <f t="shared" si="74"/>
        <v>942334.07</v>
      </c>
      <c r="X106" s="1377">
        <f t="shared" si="75"/>
        <v>-0.01</v>
      </c>
      <c r="Y106" s="1377">
        <f t="shared" si="76"/>
        <v>-0.01</v>
      </c>
      <c r="Z106" s="1074"/>
      <c r="AA106" s="1075"/>
      <c r="AB106" s="1075"/>
      <c r="AC106" s="1075"/>
      <c r="AD106" s="1075"/>
      <c r="AE106" s="1077">
        <f t="shared" si="77"/>
        <v>0</v>
      </c>
      <c r="AF106" s="1377">
        <f t="shared" si="78"/>
        <v>0</v>
      </c>
      <c r="AG106" s="1377">
        <f t="shared" si="79"/>
        <v>0</v>
      </c>
      <c r="AH106" s="1074">
        <v>32818.36</v>
      </c>
      <c r="AI106" s="1075">
        <v>293417.19</v>
      </c>
      <c r="AJ106" s="1075">
        <v>0</v>
      </c>
      <c r="AK106" s="1075">
        <v>-0.02</v>
      </c>
      <c r="AL106" s="1075">
        <v>0</v>
      </c>
      <c r="AM106" s="1080">
        <f t="shared" si="80"/>
        <v>326235.52999999997</v>
      </c>
      <c r="AN106" s="1080">
        <f t="shared" si="81"/>
        <v>-0.02</v>
      </c>
      <c r="AO106" s="1080">
        <f t="shared" si="82"/>
        <v>-0.02</v>
      </c>
      <c r="AP106" s="1700"/>
      <c r="AQ106" s="1700"/>
      <c r="AR106" s="1700"/>
      <c r="AS106" s="1700"/>
      <c r="AT106" s="1700"/>
      <c r="AU106" s="1700">
        <f t="shared" si="83"/>
        <v>0</v>
      </c>
      <c r="AV106" s="1700">
        <f t="shared" si="84"/>
        <v>0</v>
      </c>
      <c r="AW106" s="1700">
        <f t="shared" si="85"/>
        <v>0</v>
      </c>
    </row>
    <row r="107" spans="1:49" s="237" customFormat="1" x14ac:dyDescent="0.2">
      <c r="A107" s="1070" t="s">
        <v>90</v>
      </c>
      <c r="B107" s="1071" t="s">
        <v>91</v>
      </c>
      <c r="C107" s="103" t="s">
        <v>268</v>
      </c>
      <c r="D107" s="1072">
        <f t="shared" si="65"/>
        <v>51812.9</v>
      </c>
      <c r="E107" s="1072">
        <f t="shared" si="66"/>
        <v>68603.5</v>
      </c>
      <c r="F107" s="1072">
        <f t="shared" si="67"/>
        <v>0</v>
      </c>
      <c r="G107" s="1073">
        <f t="shared" si="68"/>
        <v>-0.05</v>
      </c>
      <c r="H107" s="1073">
        <f t="shared" si="69"/>
        <v>-0.05</v>
      </c>
      <c r="I107" s="1378">
        <f t="shared" si="70"/>
        <v>120416.34999999999</v>
      </c>
      <c r="J107" s="1078">
        <v>8184.41</v>
      </c>
      <c r="K107" s="1079">
        <v>8184.41</v>
      </c>
      <c r="L107" s="1079">
        <v>0</v>
      </c>
      <c r="M107" s="1079">
        <v>-0.05</v>
      </c>
      <c r="N107" s="1079">
        <v>0</v>
      </c>
      <c r="O107" s="1076">
        <f t="shared" si="71"/>
        <v>16368.77</v>
      </c>
      <c r="P107" s="1377">
        <f t="shared" si="72"/>
        <v>-0.05</v>
      </c>
      <c r="Q107" s="1377">
        <f t="shared" si="73"/>
        <v>-0.05</v>
      </c>
      <c r="R107" s="1074">
        <v>43311.5</v>
      </c>
      <c r="S107" s="1075">
        <v>43311.5</v>
      </c>
      <c r="T107" s="1075">
        <v>0</v>
      </c>
      <c r="U107" s="1075">
        <v>0</v>
      </c>
      <c r="V107" s="1075">
        <v>0</v>
      </c>
      <c r="W107" s="1077">
        <f t="shared" si="74"/>
        <v>86623</v>
      </c>
      <c r="X107" s="1377">
        <f t="shared" si="75"/>
        <v>0</v>
      </c>
      <c r="Y107" s="1377">
        <f t="shared" si="76"/>
        <v>0</v>
      </c>
      <c r="Z107" s="1074"/>
      <c r="AA107" s="1075"/>
      <c r="AB107" s="1075"/>
      <c r="AC107" s="1075"/>
      <c r="AD107" s="1075"/>
      <c r="AE107" s="1077">
        <f t="shared" si="77"/>
        <v>0</v>
      </c>
      <c r="AF107" s="1377">
        <f t="shared" si="78"/>
        <v>0</v>
      </c>
      <c r="AG107" s="1377">
        <f t="shared" si="79"/>
        <v>0</v>
      </c>
      <c r="AH107" s="1078">
        <v>316.99</v>
      </c>
      <c r="AI107" s="1079">
        <v>17107.59</v>
      </c>
      <c r="AJ107" s="1079">
        <v>0</v>
      </c>
      <c r="AK107" s="1079">
        <v>0</v>
      </c>
      <c r="AL107" s="1079">
        <v>0</v>
      </c>
      <c r="AM107" s="1080">
        <f t="shared" si="80"/>
        <v>17424.580000000002</v>
      </c>
      <c r="AN107" s="1080">
        <f t="shared" si="81"/>
        <v>0</v>
      </c>
      <c r="AO107" s="1080">
        <f t="shared" si="82"/>
        <v>0</v>
      </c>
      <c r="AP107" s="1700"/>
      <c r="AQ107" s="1700"/>
      <c r="AR107" s="1700"/>
      <c r="AS107" s="1700"/>
      <c r="AT107" s="1700"/>
      <c r="AU107" s="1700">
        <f t="shared" si="83"/>
        <v>0</v>
      </c>
      <c r="AV107" s="1700">
        <f t="shared" si="84"/>
        <v>0</v>
      </c>
      <c r="AW107" s="1700">
        <f t="shared" si="85"/>
        <v>0</v>
      </c>
    </row>
    <row r="108" spans="1:49" s="237" customFormat="1" x14ac:dyDescent="0.2">
      <c r="A108" s="1070" t="s">
        <v>106</v>
      </c>
      <c r="B108" s="1071" t="s">
        <v>107</v>
      </c>
      <c r="C108" s="103" t="s">
        <v>264</v>
      </c>
      <c r="D108" s="1072">
        <f t="shared" si="65"/>
        <v>1123092.0899999999</v>
      </c>
      <c r="E108" s="1072">
        <f t="shared" si="66"/>
        <v>1742460.67</v>
      </c>
      <c r="F108" s="1072">
        <f t="shared" si="67"/>
        <v>0</v>
      </c>
      <c r="G108" s="1073">
        <f t="shared" si="68"/>
        <v>-7.0000000000000007E-2</v>
      </c>
      <c r="H108" s="1073">
        <f t="shared" si="69"/>
        <v>-7.0000000000000007E-2</v>
      </c>
      <c r="I108" s="1378">
        <f t="shared" si="70"/>
        <v>2865552.69</v>
      </c>
      <c r="J108" s="1074">
        <v>166703.98000000001</v>
      </c>
      <c r="K108" s="1075">
        <v>166703.98000000001</v>
      </c>
      <c r="L108" s="1075">
        <v>0</v>
      </c>
      <c r="M108" s="1075">
        <v>-7.0000000000000007E-2</v>
      </c>
      <c r="N108" s="1075">
        <v>0</v>
      </c>
      <c r="O108" s="1076">
        <f t="shared" si="71"/>
        <v>333407.89</v>
      </c>
      <c r="P108" s="1377">
        <f t="shared" si="72"/>
        <v>-7.0000000000000007E-2</v>
      </c>
      <c r="Q108" s="1377">
        <f t="shared" si="73"/>
        <v>-7.0000000000000007E-2</v>
      </c>
      <c r="R108" s="1074">
        <v>664437.5</v>
      </c>
      <c r="S108" s="1075">
        <v>664437.5</v>
      </c>
      <c r="T108" s="1075">
        <v>0</v>
      </c>
      <c r="U108" s="1075">
        <v>0</v>
      </c>
      <c r="V108" s="1075">
        <v>0</v>
      </c>
      <c r="W108" s="1077">
        <f t="shared" si="74"/>
        <v>1328875</v>
      </c>
      <c r="X108" s="1377">
        <f t="shared" si="75"/>
        <v>0</v>
      </c>
      <c r="Y108" s="1377">
        <f t="shared" si="76"/>
        <v>0</v>
      </c>
      <c r="Z108" s="1074"/>
      <c r="AA108" s="1075"/>
      <c r="AB108" s="1075"/>
      <c r="AC108" s="1075"/>
      <c r="AD108" s="1075"/>
      <c r="AE108" s="1077">
        <f t="shared" si="77"/>
        <v>0</v>
      </c>
      <c r="AF108" s="1377">
        <f t="shared" si="78"/>
        <v>0</v>
      </c>
      <c r="AG108" s="1377">
        <f t="shared" si="79"/>
        <v>0</v>
      </c>
      <c r="AH108" s="1078">
        <v>291950.61</v>
      </c>
      <c r="AI108" s="1079">
        <v>911319.19</v>
      </c>
      <c r="AJ108" s="1079">
        <v>0</v>
      </c>
      <c r="AK108" s="1079">
        <v>0</v>
      </c>
      <c r="AL108" s="1079">
        <v>0</v>
      </c>
      <c r="AM108" s="1080">
        <f t="shared" si="80"/>
        <v>1203269.7999999998</v>
      </c>
      <c r="AN108" s="1080">
        <f t="shared" si="81"/>
        <v>0</v>
      </c>
      <c r="AO108" s="1080">
        <f t="shared" si="82"/>
        <v>0</v>
      </c>
      <c r="AP108" s="1700"/>
      <c r="AQ108" s="1700"/>
      <c r="AR108" s="1700"/>
      <c r="AS108" s="1700"/>
      <c r="AT108" s="1700"/>
      <c r="AU108" s="1700">
        <f t="shared" si="83"/>
        <v>0</v>
      </c>
      <c r="AV108" s="1700">
        <f t="shared" si="84"/>
        <v>0</v>
      </c>
      <c r="AW108" s="1700">
        <f t="shared" si="85"/>
        <v>0</v>
      </c>
    </row>
    <row r="109" spans="1:49" s="237" customFormat="1" x14ac:dyDescent="0.2">
      <c r="A109" s="1070" t="s">
        <v>116</v>
      </c>
      <c r="B109" s="1071" t="s">
        <v>117</v>
      </c>
      <c r="C109" s="103" t="s">
        <v>266</v>
      </c>
      <c r="D109" s="1072">
        <f t="shared" si="65"/>
        <v>321885.46000000002</v>
      </c>
      <c r="E109" s="1072">
        <f t="shared" si="66"/>
        <v>350836.66</v>
      </c>
      <c r="F109" s="1072">
        <f t="shared" si="67"/>
        <v>0</v>
      </c>
      <c r="G109" s="1073">
        <f t="shared" si="68"/>
        <v>-9.9999999999999992E-2</v>
      </c>
      <c r="H109" s="1073">
        <f t="shared" si="69"/>
        <v>-9.9999999999999992E-2</v>
      </c>
      <c r="I109" s="1378">
        <f t="shared" si="70"/>
        <v>672722.02</v>
      </c>
      <c r="J109" s="1074">
        <v>94876.12</v>
      </c>
      <c r="K109" s="1075">
        <v>94876.12</v>
      </c>
      <c r="L109" s="1075">
        <v>0</v>
      </c>
      <c r="M109" s="1075">
        <v>-0.09</v>
      </c>
      <c r="N109" s="1075">
        <v>0</v>
      </c>
      <c r="O109" s="1076">
        <f t="shared" si="71"/>
        <v>189752.15</v>
      </c>
      <c r="P109" s="1377">
        <f t="shared" si="72"/>
        <v>-0.09</v>
      </c>
      <c r="Q109" s="1377">
        <f t="shared" si="73"/>
        <v>-0.09</v>
      </c>
      <c r="R109" s="1074">
        <v>213881.94</v>
      </c>
      <c r="S109" s="1075">
        <v>213881.94</v>
      </c>
      <c r="T109" s="1075">
        <v>0</v>
      </c>
      <c r="U109" s="1075">
        <v>-0.01</v>
      </c>
      <c r="V109" s="1075">
        <v>0</v>
      </c>
      <c r="W109" s="1077">
        <f t="shared" si="74"/>
        <v>427763.87</v>
      </c>
      <c r="X109" s="1377">
        <f t="shared" si="75"/>
        <v>-0.01</v>
      </c>
      <c r="Y109" s="1377">
        <f t="shared" si="76"/>
        <v>-0.01</v>
      </c>
      <c r="Z109" s="1074"/>
      <c r="AA109" s="1075"/>
      <c r="AB109" s="1075"/>
      <c r="AC109" s="1075"/>
      <c r="AD109" s="1075"/>
      <c r="AE109" s="1077">
        <f t="shared" si="77"/>
        <v>0</v>
      </c>
      <c r="AF109" s="1377">
        <f t="shared" si="78"/>
        <v>0</v>
      </c>
      <c r="AG109" s="1377">
        <f t="shared" si="79"/>
        <v>0</v>
      </c>
      <c r="AH109" s="1078">
        <v>13127.4</v>
      </c>
      <c r="AI109" s="1079">
        <v>42078.6</v>
      </c>
      <c r="AJ109" s="1079">
        <v>0</v>
      </c>
      <c r="AK109" s="1079">
        <v>0</v>
      </c>
      <c r="AL109" s="1079">
        <v>0</v>
      </c>
      <c r="AM109" s="1080">
        <f t="shared" si="80"/>
        <v>55206</v>
      </c>
      <c r="AN109" s="1080">
        <f t="shared" si="81"/>
        <v>0</v>
      </c>
      <c r="AO109" s="1080">
        <f t="shared" si="82"/>
        <v>0</v>
      </c>
      <c r="AP109" s="1700"/>
      <c r="AQ109" s="1700"/>
      <c r="AR109" s="1700"/>
      <c r="AS109" s="1700"/>
      <c r="AT109" s="1700"/>
      <c r="AU109" s="1700">
        <f t="shared" si="83"/>
        <v>0</v>
      </c>
      <c r="AV109" s="1700">
        <f t="shared" si="84"/>
        <v>0</v>
      </c>
      <c r="AW109" s="1700">
        <f t="shared" si="85"/>
        <v>0</v>
      </c>
    </row>
    <row r="110" spans="1:49" s="237" customFormat="1" x14ac:dyDescent="0.2">
      <c r="A110" s="1070" t="s">
        <v>138</v>
      </c>
      <c r="B110" s="1071" t="s">
        <v>139</v>
      </c>
      <c r="C110" s="103" t="s">
        <v>265</v>
      </c>
      <c r="D110" s="1072">
        <f t="shared" si="65"/>
        <v>3425174.31</v>
      </c>
      <c r="E110" s="1072">
        <f t="shared" si="66"/>
        <v>4876661.04</v>
      </c>
      <c r="F110" s="1072">
        <f t="shared" si="67"/>
        <v>0</v>
      </c>
      <c r="G110" s="1073">
        <f t="shared" si="68"/>
        <v>-0.47000000000000003</v>
      </c>
      <c r="H110" s="1073">
        <f t="shared" si="69"/>
        <v>-0.47000000000000003</v>
      </c>
      <c r="I110" s="1378">
        <f t="shared" si="70"/>
        <v>8301834.8799999999</v>
      </c>
      <c r="J110" s="1074">
        <v>1241530.54</v>
      </c>
      <c r="K110" s="1075">
        <v>1241530.54</v>
      </c>
      <c r="L110" s="1075">
        <v>0</v>
      </c>
      <c r="M110" s="1075">
        <v>-0.45</v>
      </c>
      <c r="N110" s="1075">
        <v>0</v>
      </c>
      <c r="O110" s="1076">
        <f t="shared" si="71"/>
        <v>2483060.63</v>
      </c>
      <c r="P110" s="1377">
        <f t="shared" si="72"/>
        <v>-0.45</v>
      </c>
      <c r="Q110" s="1377">
        <f t="shared" si="73"/>
        <v>-0.45</v>
      </c>
      <c r="R110" s="1074">
        <v>1928715.25</v>
      </c>
      <c r="S110" s="1075">
        <v>1928715.25</v>
      </c>
      <c r="T110" s="1075">
        <v>0</v>
      </c>
      <c r="U110" s="1075">
        <v>-0.02</v>
      </c>
      <c r="V110" s="1075">
        <v>0</v>
      </c>
      <c r="W110" s="1077">
        <f t="shared" si="74"/>
        <v>3857430.48</v>
      </c>
      <c r="X110" s="1377">
        <f t="shared" si="75"/>
        <v>-0.02</v>
      </c>
      <c r="Y110" s="1377">
        <f t="shared" si="76"/>
        <v>-0.02</v>
      </c>
      <c r="Z110" s="1074"/>
      <c r="AA110" s="1075"/>
      <c r="AB110" s="1075"/>
      <c r="AC110" s="1075"/>
      <c r="AD110" s="1075"/>
      <c r="AE110" s="1077">
        <f t="shared" si="77"/>
        <v>0</v>
      </c>
      <c r="AF110" s="1377">
        <f t="shared" si="78"/>
        <v>0</v>
      </c>
      <c r="AG110" s="1377">
        <f t="shared" si="79"/>
        <v>0</v>
      </c>
      <c r="AH110" s="1078">
        <v>254928.52</v>
      </c>
      <c r="AI110" s="1079">
        <v>1706415.25</v>
      </c>
      <c r="AJ110" s="1079">
        <v>0</v>
      </c>
      <c r="AK110" s="1079">
        <v>0</v>
      </c>
      <c r="AL110" s="1079">
        <v>0</v>
      </c>
      <c r="AM110" s="1080">
        <f t="shared" si="80"/>
        <v>1961343.77</v>
      </c>
      <c r="AN110" s="1080">
        <f t="shared" si="81"/>
        <v>0</v>
      </c>
      <c r="AO110" s="1080">
        <f t="shared" si="82"/>
        <v>0</v>
      </c>
      <c r="AP110" s="1700"/>
      <c r="AQ110" s="1700"/>
      <c r="AR110" s="1700"/>
      <c r="AS110" s="1700"/>
      <c r="AT110" s="1700"/>
      <c r="AU110" s="1700">
        <f t="shared" si="83"/>
        <v>0</v>
      </c>
      <c r="AV110" s="1700">
        <f t="shared" si="84"/>
        <v>0</v>
      </c>
      <c r="AW110" s="1700">
        <f t="shared" si="85"/>
        <v>0</v>
      </c>
    </row>
    <row r="111" spans="1:49" s="237" customFormat="1" x14ac:dyDescent="0.2">
      <c r="A111" s="1070" t="s">
        <v>142</v>
      </c>
      <c r="B111" s="1071" t="s">
        <v>143</v>
      </c>
      <c r="C111" s="103" t="s">
        <v>267</v>
      </c>
      <c r="D111" s="1072">
        <f t="shared" si="65"/>
        <v>178932.94</v>
      </c>
      <c r="E111" s="1072">
        <f t="shared" si="66"/>
        <v>210987.41999999998</v>
      </c>
      <c r="F111" s="1072">
        <f t="shared" si="67"/>
        <v>0</v>
      </c>
      <c r="G111" s="1073">
        <f t="shared" si="68"/>
        <v>1847.94</v>
      </c>
      <c r="H111" s="1073">
        <f t="shared" si="69"/>
        <v>1847.94</v>
      </c>
      <c r="I111" s="1378">
        <f t="shared" si="70"/>
        <v>391768.3</v>
      </c>
      <c r="J111" s="1074">
        <v>105097.18</v>
      </c>
      <c r="K111" s="1075">
        <v>105097.18</v>
      </c>
      <c r="L111" s="1075">
        <v>0</v>
      </c>
      <c r="M111" s="1075">
        <v>1847.94</v>
      </c>
      <c r="N111" s="1075">
        <v>0</v>
      </c>
      <c r="O111" s="1076">
        <f t="shared" si="71"/>
        <v>212042.3</v>
      </c>
      <c r="P111" s="1377">
        <f t="shared" si="72"/>
        <v>1847.94</v>
      </c>
      <c r="Q111" s="1377">
        <f t="shared" si="73"/>
        <v>1847.94</v>
      </c>
      <c r="R111" s="1074">
        <v>64885.5</v>
      </c>
      <c r="S111" s="1075">
        <v>64885.5</v>
      </c>
      <c r="T111" s="1075">
        <v>0</v>
      </c>
      <c r="U111" s="1075">
        <v>0</v>
      </c>
      <c r="V111" s="1075">
        <v>0</v>
      </c>
      <c r="W111" s="1077">
        <f t="shared" si="74"/>
        <v>129771</v>
      </c>
      <c r="X111" s="1377">
        <f t="shared" si="75"/>
        <v>0</v>
      </c>
      <c r="Y111" s="1377">
        <f t="shared" si="76"/>
        <v>0</v>
      </c>
      <c r="Z111" s="1074"/>
      <c r="AA111" s="1075"/>
      <c r="AB111" s="1075"/>
      <c r="AC111" s="1075"/>
      <c r="AD111" s="1075"/>
      <c r="AE111" s="1077">
        <f t="shared" si="77"/>
        <v>0</v>
      </c>
      <c r="AF111" s="1377">
        <f t="shared" si="78"/>
        <v>0</v>
      </c>
      <c r="AG111" s="1377">
        <f t="shared" si="79"/>
        <v>0</v>
      </c>
      <c r="AH111" s="1078">
        <v>8950.26</v>
      </c>
      <c r="AI111" s="1079">
        <v>41004.74</v>
      </c>
      <c r="AJ111" s="1079">
        <v>0</v>
      </c>
      <c r="AK111" s="1079">
        <v>0</v>
      </c>
      <c r="AL111" s="1079">
        <v>0</v>
      </c>
      <c r="AM111" s="1080">
        <f t="shared" si="80"/>
        <v>49955</v>
      </c>
      <c r="AN111" s="1080">
        <f t="shared" si="81"/>
        <v>0</v>
      </c>
      <c r="AO111" s="1080">
        <f t="shared" si="82"/>
        <v>0</v>
      </c>
      <c r="AP111" s="1700"/>
      <c r="AQ111" s="1700"/>
      <c r="AR111" s="1700"/>
      <c r="AS111" s="1700"/>
      <c r="AT111" s="1700"/>
      <c r="AU111" s="1700">
        <f t="shared" si="83"/>
        <v>0</v>
      </c>
      <c r="AV111" s="1700">
        <f t="shared" si="84"/>
        <v>0</v>
      </c>
      <c r="AW111" s="1700">
        <f t="shared" si="85"/>
        <v>0</v>
      </c>
    </row>
    <row r="112" spans="1:49" s="237" customFormat="1" x14ac:dyDescent="0.2">
      <c r="A112" s="1070" t="s">
        <v>144</v>
      </c>
      <c r="B112" s="1071" t="s">
        <v>145</v>
      </c>
      <c r="C112" s="103" t="s">
        <v>267</v>
      </c>
      <c r="D112" s="1072">
        <f t="shared" si="65"/>
        <v>10440.459999999999</v>
      </c>
      <c r="E112" s="1072">
        <f t="shared" si="66"/>
        <v>10440.459999999999</v>
      </c>
      <c r="F112" s="1072">
        <f t="shared" si="67"/>
        <v>0</v>
      </c>
      <c r="G112" s="1073">
        <f t="shared" si="68"/>
        <v>0</v>
      </c>
      <c r="H112" s="1073">
        <f t="shared" si="69"/>
        <v>0</v>
      </c>
      <c r="I112" s="1378">
        <f t="shared" si="70"/>
        <v>20880.919999999998</v>
      </c>
      <c r="J112" s="1074">
        <v>10440.459999999999</v>
      </c>
      <c r="K112" s="1075">
        <v>10440.459999999999</v>
      </c>
      <c r="L112" s="1075">
        <v>0</v>
      </c>
      <c r="M112" s="1075">
        <v>0</v>
      </c>
      <c r="N112" s="1075">
        <v>0</v>
      </c>
      <c r="O112" s="1076">
        <f t="shared" si="71"/>
        <v>20880.919999999998</v>
      </c>
      <c r="P112" s="1377">
        <f t="shared" si="72"/>
        <v>0</v>
      </c>
      <c r="Q112" s="1377">
        <f t="shared" si="73"/>
        <v>0</v>
      </c>
      <c r="R112" s="1074"/>
      <c r="S112" s="1075"/>
      <c r="T112" s="1075"/>
      <c r="U112" s="1075"/>
      <c r="V112" s="1075"/>
      <c r="W112" s="1077">
        <f t="shared" si="74"/>
        <v>0</v>
      </c>
      <c r="X112" s="1377">
        <f t="shared" si="75"/>
        <v>0</v>
      </c>
      <c r="Y112" s="1377">
        <f t="shared" si="76"/>
        <v>0</v>
      </c>
      <c r="Z112" s="1074"/>
      <c r="AA112" s="1075"/>
      <c r="AB112" s="1075"/>
      <c r="AC112" s="1075"/>
      <c r="AD112" s="1075"/>
      <c r="AE112" s="1077">
        <f t="shared" si="77"/>
        <v>0</v>
      </c>
      <c r="AF112" s="1377">
        <f t="shared" si="78"/>
        <v>0</v>
      </c>
      <c r="AG112" s="1377">
        <f t="shared" si="79"/>
        <v>0</v>
      </c>
      <c r="AH112" s="1078"/>
      <c r="AI112" s="1079"/>
      <c r="AJ112" s="1079"/>
      <c r="AK112" s="1079"/>
      <c r="AL112" s="1079"/>
      <c r="AM112" s="1080">
        <f t="shared" si="80"/>
        <v>0</v>
      </c>
      <c r="AN112" s="1080">
        <f t="shared" si="81"/>
        <v>0</v>
      </c>
      <c r="AO112" s="1080">
        <f t="shared" si="82"/>
        <v>0</v>
      </c>
      <c r="AP112" s="1700"/>
      <c r="AQ112" s="1700"/>
      <c r="AR112" s="1700"/>
      <c r="AS112" s="1700"/>
      <c r="AT112" s="1700"/>
      <c r="AU112" s="1700">
        <f t="shared" si="83"/>
        <v>0</v>
      </c>
      <c r="AV112" s="1700">
        <f t="shared" si="84"/>
        <v>0</v>
      </c>
      <c r="AW112" s="1700">
        <f t="shared" si="85"/>
        <v>0</v>
      </c>
    </row>
    <row r="113" spans="1:49" s="237" customFormat="1" x14ac:dyDescent="0.2">
      <c r="A113" s="1070" t="s">
        <v>158</v>
      </c>
      <c r="B113" s="1071" t="s">
        <v>159</v>
      </c>
      <c r="C113" s="103" t="s">
        <v>264</v>
      </c>
      <c r="D113" s="1072">
        <f t="shared" si="65"/>
        <v>2127536.2800000003</v>
      </c>
      <c r="E113" s="1072">
        <f t="shared" si="66"/>
        <v>2499170.8000000003</v>
      </c>
      <c r="F113" s="1072">
        <f t="shared" si="67"/>
        <v>0</v>
      </c>
      <c r="G113" s="1073">
        <f t="shared" si="68"/>
        <v>-0.41000000000000003</v>
      </c>
      <c r="H113" s="1073">
        <f t="shared" si="69"/>
        <v>-0.41000000000000003</v>
      </c>
      <c r="I113" s="1378">
        <f t="shared" si="70"/>
        <v>4626706.67</v>
      </c>
      <c r="J113" s="1074">
        <v>367713.83</v>
      </c>
      <c r="K113" s="1075">
        <v>367713.83</v>
      </c>
      <c r="L113" s="1075">
        <v>0</v>
      </c>
      <c r="M113" s="1075">
        <v>-0.24</v>
      </c>
      <c r="N113" s="1075">
        <v>0</v>
      </c>
      <c r="O113" s="1076">
        <f t="shared" si="71"/>
        <v>735427.42</v>
      </c>
      <c r="P113" s="1377">
        <f t="shared" si="72"/>
        <v>-0.24</v>
      </c>
      <c r="Q113" s="1377">
        <f t="shared" si="73"/>
        <v>-0.24</v>
      </c>
      <c r="R113" s="1074">
        <v>1707140.51</v>
      </c>
      <c r="S113" s="1075">
        <v>1707140.51</v>
      </c>
      <c r="T113" s="1075">
        <v>0</v>
      </c>
      <c r="U113" s="1075">
        <v>-0.16</v>
      </c>
      <c r="V113" s="1075">
        <v>0</v>
      </c>
      <c r="W113" s="1077">
        <f t="shared" si="74"/>
        <v>3414280.86</v>
      </c>
      <c r="X113" s="1377">
        <f t="shared" si="75"/>
        <v>-0.16</v>
      </c>
      <c r="Y113" s="1377">
        <f t="shared" si="76"/>
        <v>-0.16</v>
      </c>
      <c r="Z113" s="1074"/>
      <c r="AA113" s="1075"/>
      <c r="AB113" s="1075"/>
      <c r="AC113" s="1075"/>
      <c r="AD113" s="1075"/>
      <c r="AE113" s="1077">
        <f t="shared" si="77"/>
        <v>0</v>
      </c>
      <c r="AF113" s="1377">
        <f t="shared" si="78"/>
        <v>0</v>
      </c>
      <c r="AG113" s="1377">
        <f t="shared" si="79"/>
        <v>0</v>
      </c>
      <c r="AH113" s="1078">
        <v>52681.94</v>
      </c>
      <c r="AI113" s="1079">
        <v>424316.46</v>
      </c>
      <c r="AJ113" s="1079">
        <v>0</v>
      </c>
      <c r="AK113" s="1079">
        <v>-0.01</v>
      </c>
      <c r="AL113" s="1079">
        <v>0</v>
      </c>
      <c r="AM113" s="1080">
        <f t="shared" si="80"/>
        <v>476998.39</v>
      </c>
      <c r="AN113" s="1080">
        <f t="shared" si="81"/>
        <v>-0.01</v>
      </c>
      <c r="AO113" s="1080">
        <f t="shared" si="82"/>
        <v>-0.01</v>
      </c>
      <c r="AP113" s="1700"/>
      <c r="AQ113" s="1700"/>
      <c r="AR113" s="1700"/>
      <c r="AS113" s="1700"/>
      <c r="AT113" s="1700"/>
      <c r="AU113" s="1700">
        <f t="shared" si="83"/>
        <v>0</v>
      </c>
      <c r="AV113" s="1700">
        <f t="shared" si="84"/>
        <v>0</v>
      </c>
      <c r="AW113" s="1700">
        <f t="shared" si="85"/>
        <v>0</v>
      </c>
    </row>
    <row r="114" spans="1:49" s="237" customFormat="1" x14ac:dyDescent="0.2">
      <c r="A114" s="1070" t="s">
        <v>160</v>
      </c>
      <c r="B114" s="1071" t="s">
        <v>161</v>
      </c>
      <c r="C114" s="103" t="s">
        <v>264</v>
      </c>
      <c r="D114" s="1072">
        <f t="shared" si="65"/>
        <v>2968325.5999999996</v>
      </c>
      <c r="E114" s="1072">
        <f t="shared" si="66"/>
        <v>3489247.0199999996</v>
      </c>
      <c r="F114" s="1072">
        <f t="shared" si="67"/>
        <v>0</v>
      </c>
      <c r="G114" s="1073">
        <f t="shared" si="68"/>
        <v>-0.5</v>
      </c>
      <c r="H114" s="1073">
        <f t="shared" si="69"/>
        <v>-0.5</v>
      </c>
      <c r="I114" s="1378">
        <f t="shared" si="70"/>
        <v>6457572.1199999992</v>
      </c>
      <c r="J114" s="1074">
        <v>1274621.06</v>
      </c>
      <c r="K114" s="1075">
        <v>1274621.06</v>
      </c>
      <c r="L114" s="1075">
        <v>0</v>
      </c>
      <c r="M114" s="1075">
        <v>-0.36</v>
      </c>
      <c r="N114" s="1075">
        <v>0</v>
      </c>
      <c r="O114" s="1076">
        <f t="shared" si="71"/>
        <v>2549241.7600000002</v>
      </c>
      <c r="P114" s="1377">
        <f t="shared" si="72"/>
        <v>-0.36</v>
      </c>
      <c r="Q114" s="1377">
        <f t="shared" si="73"/>
        <v>-0.36</v>
      </c>
      <c r="R114" s="1074">
        <v>1565627.16</v>
      </c>
      <c r="S114" s="1075">
        <v>1565627.16</v>
      </c>
      <c r="T114" s="1075">
        <v>0</v>
      </c>
      <c r="U114" s="1075">
        <v>-0.14000000000000001</v>
      </c>
      <c r="V114" s="1075">
        <v>0</v>
      </c>
      <c r="W114" s="1077">
        <f t="shared" si="74"/>
        <v>3131254.1799999997</v>
      </c>
      <c r="X114" s="1377">
        <f t="shared" si="75"/>
        <v>-0.14000000000000001</v>
      </c>
      <c r="Y114" s="1377">
        <f t="shared" si="76"/>
        <v>-0.14000000000000001</v>
      </c>
      <c r="Z114" s="1074"/>
      <c r="AA114" s="1075"/>
      <c r="AB114" s="1075"/>
      <c r="AC114" s="1075"/>
      <c r="AD114" s="1075"/>
      <c r="AE114" s="1077">
        <f t="shared" si="77"/>
        <v>0</v>
      </c>
      <c r="AF114" s="1377">
        <f t="shared" si="78"/>
        <v>0</v>
      </c>
      <c r="AG114" s="1377">
        <f t="shared" si="79"/>
        <v>0</v>
      </c>
      <c r="AH114" s="1078">
        <v>128077.38</v>
      </c>
      <c r="AI114" s="1079">
        <v>648998.80000000005</v>
      </c>
      <c r="AJ114" s="1079">
        <v>0</v>
      </c>
      <c r="AK114" s="1079">
        <v>0</v>
      </c>
      <c r="AL114" s="1079">
        <v>0</v>
      </c>
      <c r="AM114" s="1080">
        <f t="shared" si="80"/>
        <v>777076.18</v>
      </c>
      <c r="AN114" s="1080">
        <f t="shared" si="81"/>
        <v>0</v>
      </c>
      <c r="AO114" s="1080">
        <f t="shared" si="82"/>
        <v>0</v>
      </c>
      <c r="AP114" s="1700"/>
      <c r="AQ114" s="1700"/>
      <c r="AR114" s="1700"/>
      <c r="AS114" s="1700"/>
      <c r="AT114" s="1700"/>
      <c r="AU114" s="1700">
        <f t="shared" si="83"/>
        <v>0</v>
      </c>
      <c r="AV114" s="1700">
        <f t="shared" si="84"/>
        <v>0</v>
      </c>
      <c r="AW114" s="1700">
        <f t="shared" si="85"/>
        <v>0</v>
      </c>
    </row>
    <row r="115" spans="1:49" s="237" customFormat="1" x14ac:dyDescent="0.2">
      <c r="A115" s="1070" t="s">
        <v>166</v>
      </c>
      <c r="B115" s="1071" t="s">
        <v>167</v>
      </c>
      <c r="C115" s="103" t="s">
        <v>268</v>
      </c>
      <c r="D115" s="1072">
        <f t="shared" si="65"/>
        <v>85552.56</v>
      </c>
      <c r="E115" s="1072">
        <f t="shared" si="66"/>
        <v>93901.22</v>
      </c>
      <c r="F115" s="1072">
        <f t="shared" si="67"/>
        <v>0</v>
      </c>
      <c r="G115" s="1073">
        <f t="shared" si="68"/>
        <v>-0.03</v>
      </c>
      <c r="H115" s="1073">
        <f t="shared" si="69"/>
        <v>-0.03</v>
      </c>
      <c r="I115" s="1378">
        <f t="shared" si="70"/>
        <v>179453.75</v>
      </c>
      <c r="J115" s="1074">
        <v>42540.39</v>
      </c>
      <c r="K115" s="1075">
        <v>42540.39</v>
      </c>
      <c r="L115" s="1075">
        <v>0</v>
      </c>
      <c r="M115" s="1075">
        <v>-0.03</v>
      </c>
      <c r="N115" s="1075">
        <v>0</v>
      </c>
      <c r="O115" s="1076">
        <f t="shared" si="71"/>
        <v>85080.75</v>
      </c>
      <c r="P115" s="1377">
        <f t="shared" si="72"/>
        <v>-0.03</v>
      </c>
      <c r="Q115" s="1377">
        <f t="shared" si="73"/>
        <v>-0.03</v>
      </c>
      <c r="R115" s="1074">
        <v>40290</v>
      </c>
      <c r="S115" s="1075">
        <v>40290</v>
      </c>
      <c r="T115" s="1075">
        <v>0</v>
      </c>
      <c r="U115" s="1075">
        <v>0</v>
      </c>
      <c r="V115" s="1075">
        <v>0</v>
      </c>
      <c r="W115" s="1077">
        <f t="shared" si="74"/>
        <v>80580</v>
      </c>
      <c r="X115" s="1377">
        <f t="shared" si="75"/>
        <v>0</v>
      </c>
      <c r="Y115" s="1377">
        <f t="shared" si="76"/>
        <v>0</v>
      </c>
      <c r="Z115" s="1074"/>
      <c r="AA115" s="1075"/>
      <c r="AB115" s="1075"/>
      <c r="AC115" s="1075"/>
      <c r="AD115" s="1075"/>
      <c r="AE115" s="1077">
        <f t="shared" si="77"/>
        <v>0</v>
      </c>
      <c r="AF115" s="1377">
        <f t="shared" si="78"/>
        <v>0</v>
      </c>
      <c r="AG115" s="1377">
        <f t="shared" si="79"/>
        <v>0</v>
      </c>
      <c r="AH115" s="1078">
        <v>2722.17</v>
      </c>
      <c r="AI115" s="1079">
        <v>11070.83</v>
      </c>
      <c r="AJ115" s="1079">
        <v>0</v>
      </c>
      <c r="AK115" s="1079">
        <v>0</v>
      </c>
      <c r="AL115" s="1079">
        <v>0</v>
      </c>
      <c r="AM115" s="1080">
        <f t="shared" si="80"/>
        <v>13793</v>
      </c>
      <c r="AN115" s="1080">
        <f t="shared" si="81"/>
        <v>0</v>
      </c>
      <c r="AO115" s="1080">
        <f t="shared" si="82"/>
        <v>0</v>
      </c>
      <c r="AP115" s="1700"/>
      <c r="AQ115" s="1700"/>
      <c r="AR115" s="1700"/>
      <c r="AS115" s="1700"/>
      <c r="AT115" s="1700"/>
      <c r="AU115" s="1700">
        <f t="shared" si="83"/>
        <v>0</v>
      </c>
      <c r="AV115" s="1700">
        <f t="shared" si="84"/>
        <v>0</v>
      </c>
      <c r="AW115" s="1700">
        <f t="shared" si="85"/>
        <v>0</v>
      </c>
    </row>
    <row r="116" spans="1:49" s="237" customFormat="1" x14ac:dyDescent="0.2">
      <c r="A116" s="1070" t="s">
        <v>176</v>
      </c>
      <c r="B116" s="1071" t="s">
        <v>177</v>
      </c>
      <c r="C116" s="103" t="s">
        <v>266</v>
      </c>
      <c r="D116" s="1072">
        <f t="shared" si="65"/>
        <v>996126.84000000008</v>
      </c>
      <c r="E116" s="1072">
        <f t="shared" si="66"/>
        <v>1176812.76</v>
      </c>
      <c r="F116" s="1072">
        <f t="shared" si="67"/>
        <v>0</v>
      </c>
      <c r="G116" s="1073">
        <f t="shared" si="68"/>
        <v>46846.14</v>
      </c>
      <c r="H116" s="1073">
        <f t="shared" si="69"/>
        <v>46846.14</v>
      </c>
      <c r="I116" s="1378">
        <f t="shared" si="70"/>
        <v>2219785.7400000002</v>
      </c>
      <c r="J116" s="1074">
        <v>327438.61</v>
      </c>
      <c r="K116" s="1075">
        <v>327438.61</v>
      </c>
      <c r="L116" s="1075">
        <v>0</v>
      </c>
      <c r="M116" s="1075">
        <v>-0.22</v>
      </c>
      <c r="N116" s="1075">
        <v>46846.38</v>
      </c>
      <c r="O116" s="1076">
        <f t="shared" si="71"/>
        <v>701723.38</v>
      </c>
      <c r="P116" s="1377">
        <f t="shared" si="72"/>
        <v>46846.159999999996</v>
      </c>
      <c r="Q116" s="1377">
        <f t="shared" si="73"/>
        <v>46846.159999999996</v>
      </c>
      <c r="R116" s="1074">
        <v>650544.17000000004</v>
      </c>
      <c r="S116" s="1075">
        <v>650544.17000000004</v>
      </c>
      <c r="T116" s="1075">
        <v>0</v>
      </c>
      <c r="U116" s="1075">
        <v>-0.02</v>
      </c>
      <c r="V116" s="1075">
        <v>0</v>
      </c>
      <c r="W116" s="1077">
        <f t="shared" si="74"/>
        <v>1301088.32</v>
      </c>
      <c r="X116" s="1377">
        <f t="shared" si="75"/>
        <v>-0.02</v>
      </c>
      <c r="Y116" s="1377">
        <f t="shared" si="76"/>
        <v>-0.02</v>
      </c>
      <c r="Z116" s="1074"/>
      <c r="AA116" s="1075"/>
      <c r="AB116" s="1075"/>
      <c r="AC116" s="1075"/>
      <c r="AD116" s="1075"/>
      <c r="AE116" s="1077">
        <f t="shared" si="77"/>
        <v>0</v>
      </c>
      <c r="AF116" s="1377">
        <f t="shared" si="78"/>
        <v>0</v>
      </c>
      <c r="AG116" s="1377">
        <f t="shared" si="79"/>
        <v>0</v>
      </c>
      <c r="AH116" s="1078">
        <v>18144.060000000001</v>
      </c>
      <c r="AI116" s="1079">
        <v>198829.98</v>
      </c>
      <c r="AJ116" s="1079">
        <v>0</v>
      </c>
      <c r="AK116" s="1079">
        <v>0</v>
      </c>
      <c r="AL116" s="1079">
        <v>0</v>
      </c>
      <c r="AM116" s="1080">
        <f t="shared" si="80"/>
        <v>216974.04</v>
      </c>
      <c r="AN116" s="1080">
        <f t="shared" si="81"/>
        <v>0</v>
      </c>
      <c r="AO116" s="1080">
        <f t="shared" si="82"/>
        <v>0</v>
      </c>
      <c r="AP116" s="1700"/>
      <c r="AQ116" s="1700"/>
      <c r="AR116" s="1700"/>
      <c r="AS116" s="1700"/>
      <c r="AT116" s="1700"/>
      <c r="AU116" s="1700">
        <f t="shared" si="83"/>
        <v>0</v>
      </c>
      <c r="AV116" s="1700">
        <f t="shared" si="84"/>
        <v>0</v>
      </c>
      <c r="AW116" s="1700">
        <f t="shared" si="85"/>
        <v>0</v>
      </c>
    </row>
    <row r="117" spans="1:49" s="237" customFormat="1" x14ac:dyDescent="0.2">
      <c r="A117" s="1070" t="s">
        <v>180</v>
      </c>
      <c r="B117" s="1071" t="s">
        <v>181</v>
      </c>
      <c r="C117" s="103" t="s">
        <v>264</v>
      </c>
      <c r="D117" s="1072">
        <f t="shared" si="65"/>
        <v>1446611.99</v>
      </c>
      <c r="E117" s="1072">
        <f t="shared" si="66"/>
        <v>1845100.52</v>
      </c>
      <c r="F117" s="1072">
        <f t="shared" si="67"/>
        <v>0</v>
      </c>
      <c r="G117" s="1073">
        <f t="shared" si="68"/>
        <v>7607.09</v>
      </c>
      <c r="H117" s="1073">
        <f t="shared" si="69"/>
        <v>7607.09</v>
      </c>
      <c r="I117" s="1378">
        <f t="shared" si="70"/>
        <v>3299319.5999999996</v>
      </c>
      <c r="J117" s="1074">
        <v>557553.31999999995</v>
      </c>
      <c r="K117" s="1075">
        <v>557553.31999999995</v>
      </c>
      <c r="L117" s="1075">
        <v>0</v>
      </c>
      <c r="M117" s="1075">
        <v>7607.12</v>
      </c>
      <c r="N117" s="1075">
        <v>0</v>
      </c>
      <c r="O117" s="1076">
        <f t="shared" si="71"/>
        <v>1122713.76</v>
      </c>
      <c r="P117" s="1377">
        <f t="shared" si="72"/>
        <v>7607.12</v>
      </c>
      <c r="Q117" s="1377">
        <f t="shared" si="73"/>
        <v>7607.12</v>
      </c>
      <c r="R117" s="1074">
        <v>887342.67</v>
      </c>
      <c r="S117" s="1075">
        <v>887342.67</v>
      </c>
      <c r="T117" s="1075">
        <v>0</v>
      </c>
      <c r="U117" s="1075">
        <v>-0.03</v>
      </c>
      <c r="V117" s="1075">
        <v>0</v>
      </c>
      <c r="W117" s="1077">
        <f t="shared" si="74"/>
        <v>1774685.31</v>
      </c>
      <c r="X117" s="1377">
        <f t="shared" si="75"/>
        <v>-0.03</v>
      </c>
      <c r="Y117" s="1377">
        <f t="shared" si="76"/>
        <v>-0.03</v>
      </c>
      <c r="Z117" s="1074"/>
      <c r="AA117" s="1075"/>
      <c r="AB117" s="1075"/>
      <c r="AC117" s="1075"/>
      <c r="AD117" s="1075"/>
      <c r="AE117" s="1077">
        <f t="shared" si="77"/>
        <v>0</v>
      </c>
      <c r="AF117" s="1377">
        <f t="shared" si="78"/>
        <v>0</v>
      </c>
      <c r="AG117" s="1377">
        <f t="shared" si="79"/>
        <v>0</v>
      </c>
      <c r="AH117" s="1078">
        <v>1716</v>
      </c>
      <c r="AI117" s="1079">
        <v>400204.53</v>
      </c>
      <c r="AJ117" s="1079">
        <v>0</v>
      </c>
      <c r="AK117" s="1079">
        <v>0</v>
      </c>
      <c r="AL117" s="1079">
        <v>0</v>
      </c>
      <c r="AM117" s="1080">
        <f t="shared" si="80"/>
        <v>401920.53</v>
      </c>
      <c r="AN117" s="1080">
        <f t="shared" si="81"/>
        <v>0</v>
      </c>
      <c r="AO117" s="1080">
        <f t="shared" si="82"/>
        <v>0</v>
      </c>
      <c r="AP117" s="1700"/>
      <c r="AQ117" s="1700"/>
      <c r="AR117" s="1700"/>
      <c r="AS117" s="1700"/>
      <c r="AT117" s="1700"/>
      <c r="AU117" s="1700">
        <f t="shared" si="83"/>
        <v>0</v>
      </c>
      <c r="AV117" s="1700">
        <f t="shared" si="84"/>
        <v>0</v>
      </c>
      <c r="AW117" s="1700">
        <f t="shared" si="85"/>
        <v>0</v>
      </c>
    </row>
    <row r="118" spans="1:49" s="237" customFormat="1" x14ac:dyDescent="0.2">
      <c r="A118" s="1070" t="s">
        <v>192</v>
      </c>
      <c r="B118" s="1071" t="s">
        <v>193</v>
      </c>
      <c r="C118" s="103" t="s">
        <v>268</v>
      </c>
      <c r="D118" s="1072">
        <f t="shared" si="65"/>
        <v>318015.99</v>
      </c>
      <c r="E118" s="1072">
        <f t="shared" si="66"/>
        <v>341218.83999999997</v>
      </c>
      <c r="F118" s="1072">
        <f t="shared" si="67"/>
        <v>0</v>
      </c>
      <c r="G118" s="1073">
        <f t="shared" si="68"/>
        <v>-0.09</v>
      </c>
      <c r="H118" s="1073">
        <f t="shared" si="69"/>
        <v>-0.09</v>
      </c>
      <c r="I118" s="1378">
        <f t="shared" si="70"/>
        <v>659234.74</v>
      </c>
      <c r="J118" s="1074">
        <v>169050.11</v>
      </c>
      <c r="K118" s="1075">
        <v>169050.11</v>
      </c>
      <c r="L118" s="1075">
        <v>0</v>
      </c>
      <c r="M118" s="1075">
        <v>-0.08</v>
      </c>
      <c r="N118" s="1075">
        <v>0</v>
      </c>
      <c r="O118" s="1076">
        <f t="shared" si="71"/>
        <v>338100.13999999996</v>
      </c>
      <c r="P118" s="1377">
        <f t="shared" si="72"/>
        <v>-0.08</v>
      </c>
      <c r="Q118" s="1377">
        <f t="shared" si="73"/>
        <v>-0.08</v>
      </c>
      <c r="R118" s="1074">
        <v>143836.23000000001</v>
      </c>
      <c r="S118" s="1075">
        <v>143836.23000000001</v>
      </c>
      <c r="T118" s="1075">
        <v>0</v>
      </c>
      <c r="U118" s="1075">
        <v>-0.01</v>
      </c>
      <c r="V118" s="1075">
        <v>0</v>
      </c>
      <c r="W118" s="1077">
        <f t="shared" si="74"/>
        <v>287672.45</v>
      </c>
      <c r="X118" s="1377">
        <f t="shared" si="75"/>
        <v>-0.01</v>
      </c>
      <c r="Y118" s="1377">
        <f t="shared" si="76"/>
        <v>-0.01</v>
      </c>
      <c r="Z118" s="1074"/>
      <c r="AA118" s="1075"/>
      <c r="AB118" s="1075"/>
      <c r="AC118" s="1075"/>
      <c r="AD118" s="1075"/>
      <c r="AE118" s="1077">
        <f t="shared" si="77"/>
        <v>0</v>
      </c>
      <c r="AF118" s="1377">
        <f t="shared" si="78"/>
        <v>0</v>
      </c>
      <c r="AG118" s="1377">
        <f t="shared" si="79"/>
        <v>0</v>
      </c>
      <c r="AH118" s="1078">
        <v>5129.6499999999996</v>
      </c>
      <c r="AI118" s="1079">
        <v>28332.5</v>
      </c>
      <c r="AJ118" s="1079">
        <v>0</v>
      </c>
      <c r="AK118" s="1079">
        <v>0</v>
      </c>
      <c r="AL118" s="1079">
        <v>0</v>
      </c>
      <c r="AM118" s="1080">
        <f t="shared" si="80"/>
        <v>33462.15</v>
      </c>
      <c r="AN118" s="1080">
        <f t="shared" si="81"/>
        <v>0</v>
      </c>
      <c r="AO118" s="1080">
        <f t="shared" si="82"/>
        <v>0</v>
      </c>
      <c r="AP118" s="1700"/>
      <c r="AQ118" s="1700"/>
      <c r="AR118" s="1700"/>
      <c r="AS118" s="1700"/>
      <c r="AT118" s="1700"/>
      <c r="AU118" s="1700">
        <f t="shared" si="83"/>
        <v>0</v>
      </c>
      <c r="AV118" s="1700">
        <f t="shared" si="84"/>
        <v>0</v>
      </c>
      <c r="AW118" s="1700">
        <f t="shared" si="85"/>
        <v>0</v>
      </c>
    </row>
    <row r="119" spans="1:49" s="237" customFormat="1" x14ac:dyDescent="0.2">
      <c r="A119" s="1070" t="s">
        <v>196</v>
      </c>
      <c r="B119" s="1071" t="s">
        <v>312</v>
      </c>
      <c r="C119" s="103" t="s">
        <v>266</v>
      </c>
      <c r="D119" s="1072">
        <f t="shared" si="65"/>
        <v>5234702.6500000004</v>
      </c>
      <c r="E119" s="1072">
        <f t="shared" si="66"/>
        <v>6465579.0900000008</v>
      </c>
      <c r="F119" s="1072">
        <f t="shared" si="67"/>
        <v>0</v>
      </c>
      <c r="G119" s="1073">
        <f t="shared" si="68"/>
        <v>576.95999999999992</v>
      </c>
      <c r="H119" s="1073">
        <f t="shared" si="69"/>
        <v>576.95999999999992</v>
      </c>
      <c r="I119" s="1378">
        <f t="shared" si="70"/>
        <v>11700858.700000003</v>
      </c>
      <c r="J119" s="1074">
        <v>2402151.86</v>
      </c>
      <c r="K119" s="1075">
        <v>2402151.86</v>
      </c>
      <c r="L119" s="1075">
        <v>0</v>
      </c>
      <c r="M119" s="1075">
        <v>-0.37</v>
      </c>
      <c r="N119" s="1075">
        <v>0</v>
      </c>
      <c r="O119" s="1076">
        <f t="shared" si="71"/>
        <v>4804303.3499999996</v>
      </c>
      <c r="P119" s="1377">
        <f t="shared" si="72"/>
        <v>-0.37</v>
      </c>
      <c r="Q119" s="1377">
        <f t="shared" si="73"/>
        <v>-0.37</v>
      </c>
      <c r="R119" s="1074">
        <v>2699221.62</v>
      </c>
      <c r="S119" s="1075">
        <v>2699221.62</v>
      </c>
      <c r="T119" s="1075">
        <v>0</v>
      </c>
      <c r="U119" s="1075">
        <v>-7.0000000000000007E-2</v>
      </c>
      <c r="V119" s="1075">
        <v>0</v>
      </c>
      <c r="W119" s="1077">
        <f t="shared" si="74"/>
        <v>5398443.1699999999</v>
      </c>
      <c r="X119" s="1377">
        <f t="shared" si="75"/>
        <v>-7.0000000000000007E-2</v>
      </c>
      <c r="Y119" s="1377">
        <f t="shared" si="76"/>
        <v>-7.0000000000000007E-2</v>
      </c>
      <c r="Z119" s="1074"/>
      <c r="AA119" s="1075"/>
      <c r="AB119" s="1075"/>
      <c r="AC119" s="1075"/>
      <c r="AD119" s="1075"/>
      <c r="AE119" s="1077">
        <f t="shared" si="77"/>
        <v>0</v>
      </c>
      <c r="AF119" s="1377">
        <f t="shared" si="78"/>
        <v>0</v>
      </c>
      <c r="AG119" s="1377">
        <f t="shared" si="79"/>
        <v>0</v>
      </c>
      <c r="AH119" s="1078">
        <v>133329.17000000001</v>
      </c>
      <c r="AI119" s="1079">
        <v>1364205.61</v>
      </c>
      <c r="AJ119" s="1079">
        <v>0</v>
      </c>
      <c r="AK119" s="1079">
        <v>0</v>
      </c>
      <c r="AL119" s="1079">
        <v>0</v>
      </c>
      <c r="AM119" s="1080">
        <f t="shared" si="80"/>
        <v>1497534.78</v>
      </c>
      <c r="AN119" s="1080">
        <f t="shared" si="81"/>
        <v>0</v>
      </c>
      <c r="AO119" s="1080">
        <f t="shared" si="82"/>
        <v>0</v>
      </c>
      <c r="AP119" s="1700"/>
      <c r="AQ119" s="1700"/>
      <c r="AR119" s="1700"/>
      <c r="AS119" s="1700">
        <v>577.4</v>
      </c>
      <c r="AT119" s="1700"/>
      <c r="AU119" s="1700">
        <f t="shared" si="83"/>
        <v>577.4</v>
      </c>
      <c r="AV119" s="1700">
        <f t="shared" si="84"/>
        <v>577.4</v>
      </c>
      <c r="AW119" s="1700">
        <f t="shared" si="85"/>
        <v>577.4</v>
      </c>
    </row>
    <row r="120" spans="1:49" s="237" customFormat="1" x14ac:dyDescent="0.2">
      <c r="A120" s="1070" t="s">
        <v>200</v>
      </c>
      <c r="B120" s="1071" t="s">
        <v>313</v>
      </c>
      <c r="C120" s="103" t="s">
        <v>265</v>
      </c>
      <c r="D120" s="1072">
        <f t="shared" si="65"/>
        <v>4062797.68</v>
      </c>
      <c r="E120" s="1072">
        <f t="shared" si="66"/>
        <v>5280726.8</v>
      </c>
      <c r="F120" s="1072">
        <f t="shared" si="67"/>
        <v>0</v>
      </c>
      <c r="G120" s="1073">
        <f t="shared" si="68"/>
        <v>-209.51000000000002</v>
      </c>
      <c r="H120" s="1073">
        <f t="shared" si="69"/>
        <v>-209.51000000000002</v>
      </c>
      <c r="I120" s="1378">
        <f t="shared" si="70"/>
        <v>9343314.9700000007</v>
      </c>
      <c r="J120" s="1074">
        <v>1155698.79</v>
      </c>
      <c r="K120" s="1075">
        <v>1155698.79</v>
      </c>
      <c r="L120" s="1075">
        <v>0</v>
      </c>
      <c r="M120" s="1075">
        <v>-209.46</v>
      </c>
      <c r="N120" s="1075">
        <v>0</v>
      </c>
      <c r="O120" s="1076">
        <f t="shared" si="71"/>
        <v>2311188.12</v>
      </c>
      <c r="P120" s="1377">
        <f t="shared" si="72"/>
        <v>-209.46</v>
      </c>
      <c r="Q120" s="1377">
        <f t="shared" si="73"/>
        <v>-209.46</v>
      </c>
      <c r="R120" s="1074">
        <v>2807940.98</v>
      </c>
      <c r="S120" s="1075">
        <v>2807940.98</v>
      </c>
      <c r="T120" s="1075">
        <v>0</v>
      </c>
      <c r="U120" s="1075">
        <v>-0.05</v>
      </c>
      <c r="V120" s="1075">
        <v>0</v>
      </c>
      <c r="W120" s="1077">
        <f t="shared" si="74"/>
        <v>5615881.9100000001</v>
      </c>
      <c r="X120" s="1377">
        <f t="shared" si="75"/>
        <v>-0.05</v>
      </c>
      <c r="Y120" s="1377">
        <f t="shared" si="76"/>
        <v>-0.05</v>
      </c>
      <c r="Z120" s="1074"/>
      <c r="AA120" s="1075"/>
      <c r="AB120" s="1075"/>
      <c r="AC120" s="1075"/>
      <c r="AD120" s="1075"/>
      <c r="AE120" s="1077">
        <f t="shared" si="77"/>
        <v>0</v>
      </c>
      <c r="AF120" s="1377">
        <f t="shared" si="78"/>
        <v>0</v>
      </c>
      <c r="AG120" s="1377">
        <f t="shared" si="79"/>
        <v>0</v>
      </c>
      <c r="AH120" s="1078">
        <v>99157.91</v>
      </c>
      <c r="AI120" s="1079">
        <v>1317087.03</v>
      </c>
      <c r="AJ120" s="1079">
        <v>0</v>
      </c>
      <c r="AK120" s="1079">
        <v>0</v>
      </c>
      <c r="AL120" s="1079">
        <v>0</v>
      </c>
      <c r="AM120" s="1080">
        <f t="shared" si="80"/>
        <v>1416244.94</v>
      </c>
      <c r="AN120" s="1080">
        <f t="shared" si="81"/>
        <v>0</v>
      </c>
      <c r="AO120" s="1080">
        <f t="shared" si="82"/>
        <v>0</v>
      </c>
      <c r="AP120" s="1700"/>
      <c r="AQ120" s="1700"/>
      <c r="AR120" s="1700"/>
      <c r="AS120" s="1700"/>
      <c r="AT120" s="1700"/>
      <c r="AU120" s="1700">
        <f t="shared" si="83"/>
        <v>0</v>
      </c>
      <c r="AV120" s="1700">
        <f t="shared" si="84"/>
        <v>0</v>
      </c>
      <c r="AW120" s="1700">
        <f t="shared" si="85"/>
        <v>0</v>
      </c>
    </row>
    <row r="121" spans="1:49" s="237" customFormat="1" x14ac:dyDescent="0.2">
      <c r="A121" s="1070" t="s">
        <v>222</v>
      </c>
      <c r="B121" s="1071" t="s">
        <v>223</v>
      </c>
      <c r="C121" s="103" t="s">
        <v>264</v>
      </c>
      <c r="D121" s="1072">
        <f t="shared" si="65"/>
        <v>210318.96</v>
      </c>
      <c r="E121" s="1072">
        <f t="shared" si="66"/>
        <v>318477.3</v>
      </c>
      <c r="F121" s="1072">
        <f t="shared" si="67"/>
        <v>0</v>
      </c>
      <c r="G121" s="1073">
        <f t="shared" si="68"/>
        <v>1140.92</v>
      </c>
      <c r="H121" s="1073">
        <f t="shared" si="69"/>
        <v>1140.92</v>
      </c>
      <c r="I121" s="1378">
        <f t="shared" si="70"/>
        <v>529937.18000000005</v>
      </c>
      <c r="J121" s="1074">
        <v>65122.75</v>
      </c>
      <c r="K121" s="1075">
        <v>65122.75</v>
      </c>
      <c r="L121" s="1075">
        <v>0</v>
      </c>
      <c r="M121" s="1075">
        <v>-0.08</v>
      </c>
      <c r="N121" s="1075">
        <v>0</v>
      </c>
      <c r="O121" s="1076">
        <f t="shared" si="71"/>
        <v>130245.42</v>
      </c>
      <c r="P121" s="1377">
        <f t="shared" si="72"/>
        <v>-0.08</v>
      </c>
      <c r="Q121" s="1377">
        <f t="shared" si="73"/>
        <v>-0.08</v>
      </c>
      <c r="R121" s="1074">
        <v>140955.5</v>
      </c>
      <c r="S121" s="1075">
        <v>140955.5</v>
      </c>
      <c r="T121" s="1075">
        <v>0</v>
      </c>
      <c r="U121" s="1075">
        <v>0</v>
      </c>
      <c r="V121" s="1075">
        <v>1141</v>
      </c>
      <c r="W121" s="1077">
        <f t="shared" si="74"/>
        <v>283052</v>
      </c>
      <c r="X121" s="1377">
        <f t="shared" si="75"/>
        <v>1141</v>
      </c>
      <c r="Y121" s="1377">
        <f t="shared" si="76"/>
        <v>1141</v>
      </c>
      <c r="Z121" s="1074"/>
      <c r="AA121" s="1075"/>
      <c r="AB121" s="1075"/>
      <c r="AC121" s="1075"/>
      <c r="AD121" s="1075"/>
      <c r="AE121" s="1077">
        <f t="shared" si="77"/>
        <v>0</v>
      </c>
      <c r="AF121" s="1377">
        <f t="shared" si="78"/>
        <v>0</v>
      </c>
      <c r="AG121" s="1377">
        <f t="shared" si="79"/>
        <v>0</v>
      </c>
      <c r="AH121" s="1078">
        <v>4240.71</v>
      </c>
      <c r="AI121" s="1079">
        <v>112399.05</v>
      </c>
      <c r="AJ121" s="1079">
        <v>0</v>
      </c>
      <c r="AK121" s="1079">
        <v>0</v>
      </c>
      <c r="AL121" s="1079">
        <v>0</v>
      </c>
      <c r="AM121" s="1080">
        <f t="shared" si="80"/>
        <v>116639.76000000001</v>
      </c>
      <c r="AN121" s="1080">
        <f t="shared" si="81"/>
        <v>0</v>
      </c>
      <c r="AO121" s="1080">
        <f t="shared" si="82"/>
        <v>0</v>
      </c>
      <c r="AP121" s="1700"/>
      <c r="AQ121" s="1700"/>
      <c r="AR121" s="1700"/>
      <c r="AS121" s="1700"/>
      <c r="AT121" s="1700"/>
      <c r="AU121" s="1700">
        <f t="shared" si="83"/>
        <v>0</v>
      </c>
      <c r="AV121" s="1700">
        <f t="shared" si="84"/>
        <v>0</v>
      </c>
      <c r="AW121" s="1700">
        <f t="shared" si="85"/>
        <v>0</v>
      </c>
    </row>
    <row r="122" spans="1:49" s="237" customFormat="1" x14ac:dyDescent="0.2">
      <c r="A122" s="1070" t="s">
        <v>230</v>
      </c>
      <c r="B122" s="1071" t="s">
        <v>231</v>
      </c>
      <c r="C122" s="103" t="s">
        <v>264</v>
      </c>
      <c r="D122" s="1072">
        <f t="shared" si="65"/>
        <v>2488296.44</v>
      </c>
      <c r="E122" s="1072">
        <f t="shared" si="66"/>
        <v>3589063.7699999996</v>
      </c>
      <c r="F122" s="1072">
        <f t="shared" si="67"/>
        <v>0</v>
      </c>
      <c r="G122" s="1073">
        <f t="shared" si="68"/>
        <v>-0.53</v>
      </c>
      <c r="H122" s="1073">
        <f t="shared" si="69"/>
        <v>-0.53</v>
      </c>
      <c r="I122" s="1378">
        <f t="shared" si="70"/>
        <v>6077359.6799999988</v>
      </c>
      <c r="J122" s="1074">
        <v>1099903.25</v>
      </c>
      <c r="K122" s="1075">
        <v>1099903.25</v>
      </c>
      <c r="L122" s="1075">
        <v>0</v>
      </c>
      <c r="M122" s="1075">
        <v>-0.51</v>
      </c>
      <c r="N122" s="1075">
        <v>0</v>
      </c>
      <c r="O122" s="1076">
        <f t="shared" si="71"/>
        <v>2199805.9900000002</v>
      </c>
      <c r="P122" s="1377">
        <f t="shared" si="72"/>
        <v>-0.51</v>
      </c>
      <c r="Q122" s="1377">
        <f t="shared" si="73"/>
        <v>-0.51</v>
      </c>
      <c r="R122" s="1074">
        <v>1191256.05</v>
      </c>
      <c r="S122" s="1075">
        <v>1191256.05</v>
      </c>
      <c r="T122" s="1075">
        <v>0</v>
      </c>
      <c r="U122" s="1075">
        <v>-0.02</v>
      </c>
      <c r="V122" s="1075">
        <v>0</v>
      </c>
      <c r="W122" s="1077">
        <f t="shared" si="74"/>
        <v>2382512.08</v>
      </c>
      <c r="X122" s="1377">
        <f t="shared" si="75"/>
        <v>-0.02</v>
      </c>
      <c r="Y122" s="1377">
        <f t="shared" si="76"/>
        <v>-0.02</v>
      </c>
      <c r="Z122" s="1074"/>
      <c r="AA122" s="1075"/>
      <c r="AB122" s="1075"/>
      <c r="AC122" s="1075"/>
      <c r="AD122" s="1075"/>
      <c r="AE122" s="1077">
        <f t="shared" si="77"/>
        <v>0</v>
      </c>
      <c r="AF122" s="1377">
        <f t="shared" si="78"/>
        <v>0</v>
      </c>
      <c r="AG122" s="1377">
        <f t="shared" si="79"/>
        <v>0</v>
      </c>
      <c r="AH122" s="1078">
        <v>197137.14</v>
      </c>
      <c r="AI122" s="1079">
        <v>1297904.47</v>
      </c>
      <c r="AJ122" s="1079">
        <v>0</v>
      </c>
      <c r="AK122" s="1079">
        <v>0</v>
      </c>
      <c r="AL122" s="1079">
        <v>0</v>
      </c>
      <c r="AM122" s="1080">
        <f t="shared" si="80"/>
        <v>1495041.6099999999</v>
      </c>
      <c r="AN122" s="1080">
        <f t="shared" si="81"/>
        <v>0</v>
      </c>
      <c r="AO122" s="1080">
        <f t="shared" si="82"/>
        <v>0</v>
      </c>
      <c r="AP122" s="1700"/>
      <c r="AQ122" s="1700"/>
      <c r="AR122" s="1700"/>
      <c r="AS122" s="1700"/>
      <c r="AT122" s="1700"/>
      <c r="AU122" s="1700">
        <f t="shared" si="83"/>
        <v>0</v>
      </c>
      <c r="AV122" s="1700">
        <f t="shared" si="84"/>
        <v>0</v>
      </c>
      <c r="AW122" s="1700">
        <f t="shared" si="85"/>
        <v>0</v>
      </c>
    </row>
    <row r="123" spans="1:49" s="237" customFormat="1" x14ac:dyDescent="0.2">
      <c r="A123" s="1070" t="s">
        <v>238</v>
      </c>
      <c r="B123" s="1071" t="s">
        <v>239</v>
      </c>
      <c r="C123" s="103" t="s">
        <v>264</v>
      </c>
      <c r="D123" s="1072">
        <f t="shared" si="65"/>
        <v>78489.200000000012</v>
      </c>
      <c r="E123" s="1072">
        <f t="shared" si="66"/>
        <v>88976.040000000008</v>
      </c>
      <c r="F123" s="1072">
        <f t="shared" si="67"/>
        <v>0</v>
      </c>
      <c r="G123" s="1073">
        <f t="shared" si="68"/>
        <v>-7.0000000000000007E-2</v>
      </c>
      <c r="H123" s="1073">
        <f t="shared" si="69"/>
        <v>-7.0000000000000007E-2</v>
      </c>
      <c r="I123" s="1378">
        <f t="shared" si="70"/>
        <v>167465.17000000001</v>
      </c>
      <c r="J123" s="1074">
        <v>9881.49</v>
      </c>
      <c r="K123" s="1075">
        <v>9881.49</v>
      </c>
      <c r="L123" s="1075">
        <v>0</v>
      </c>
      <c r="M123" s="1075">
        <v>-0.05</v>
      </c>
      <c r="N123" s="1075">
        <v>0</v>
      </c>
      <c r="O123" s="1076">
        <f t="shared" si="71"/>
        <v>19762.93</v>
      </c>
      <c r="P123" s="1377">
        <f t="shared" si="72"/>
        <v>-0.05</v>
      </c>
      <c r="Q123" s="1377">
        <f t="shared" si="73"/>
        <v>-0.05</v>
      </c>
      <c r="R123" s="1074">
        <v>67815.710000000006</v>
      </c>
      <c r="S123" s="1075">
        <v>67815.710000000006</v>
      </c>
      <c r="T123" s="1075">
        <v>0</v>
      </c>
      <c r="U123" s="1075">
        <v>-0.02</v>
      </c>
      <c r="V123" s="1075">
        <v>0</v>
      </c>
      <c r="W123" s="1077">
        <f t="shared" si="74"/>
        <v>135631.40000000002</v>
      </c>
      <c r="X123" s="1377">
        <f t="shared" si="75"/>
        <v>-0.02</v>
      </c>
      <c r="Y123" s="1377">
        <f t="shared" si="76"/>
        <v>-0.02</v>
      </c>
      <c r="Z123" s="1074"/>
      <c r="AA123" s="1075"/>
      <c r="AB123" s="1075"/>
      <c r="AC123" s="1075"/>
      <c r="AD123" s="1075"/>
      <c r="AE123" s="1077">
        <f t="shared" si="77"/>
        <v>0</v>
      </c>
      <c r="AF123" s="1377">
        <f t="shared" si="78"/>
        <v>0</v>
      </c>
      <c r="AG123" s="1377">
        <f t="shared" si="79"/>
        <v>0</v>
      </c>
      <c r="AH123" s="1078">
        <v>792</v>
      </c>
      <c r="AI123" s="1079">
        <v>11278.84</v>
      </c>
      <c r="AJ123" s="1079">
        <v>0</v>
      </c>
      <c r="AK123" s="1079">
        <v>0</v>
      </c>
      <c r="AL123" s="1079">
        <v>0</v>
      </c>
      <c r="AM123" s="1080">
        <f t="shared" si="80"/>
        <v>12070.84</v>
      </c>
      <c r="AN123" s="1080">
        <f t="shared" si="81"/>
        <v>0</v>
      </c>
      <c r="AO123" s="1080">
        <f t="shared" si="82"/>
        <v>0</v>
      </c>
      <c r="AP123" s="1700"/>
      <c r="AQ123" s="1700"/>
      <c r="AR123" s="1700"/>
      <c r="AS123" s="1700"/>
      <c r="AT123" s="1700"/>
      <c r="AU123" s="1700">
        <f t="shared" si="83"/>
        <v>0</v>
      </c>
      <c r="AV123" s="1700">
        <f t="shared" si="84"/>
        <v>0</v>
      </c>
      <c r="AW123" s="1700">
        <f t="shared" si="85"/>
        <v>0</v>
      </c>
    </row>
    <row r="124" spans="1:49" s="237" customFormat="1" x14ac:dyDescent="0.2">
      <c r="A124" s="1070" t="s">
        <v>240</v>
      </c>
      <c r="B124" s="1071" t="s">
        <v>241</v>
      </c>
      <c r="C124" s="111" t="s">
        <v>267</v>
      </c>
      <c r="D124" s="1072">
        <f t="shared" si="65"/>
        <v>487544.68000000005</v>
      </c>
      <c r="E124" s="1072">
        <f t="shared" si="66"/>
        <v>581039.03</v>
      </c>
      <c r="F124" s="1072">
        <f t="shared" si="67"/>
        <v>0</v>
      </c>
      <c r="G124" s="1073">
        <f t="shared" si="68"/>
        <v>139.31</v>
      </c>
      <c r="H124" s="1073">
        <f t="shared" si="69"/>
        <v>139.31</v>
      </c>
      <c r="I124" s="1378">
        <f t="shared" si="70"/>
        <v>1068723.02</v>
      </c>
      <c r="J124" s="1074">
        <v>189040.84</v>
      </c>
      <c r="K124" s="1075">
        <v>189040.84</v>
      </c>
      <c r="L124" s="1075">
        <v>0</v>
      </c>
      <c r="M124" s="1075">
        <v>139.34</v>
      </c>
      <c r="N124" s="1075">
        <v>0</v>
      </c>
      <c r="O124" s="1076">
        <f t="shared" si="71"/>
        <v>378221.02</v>
      </c>
      <c r="P124" s="1377">
        <f t="shared" si="72"/>
        <v>139.34</v>
      </c>
      <c r="Q124" s="1377">
        <f t="shared" si="73"/>
        <v>139.34</v>
      </c>
      <c r="R124" s="1074">
        <v>287343.69</v>
      </c>
      <c r="S124" s="1075">
        <v>287343.69</v>
      </c>
      <c r="T124" s="1075">
        <v>0</v>
      </c>
      <c r="U124" s="1075">
        <v>-0.03</v>
      </c>
      <c r="V124" s="1075">
        <v>0</v>
      </c>
      <c r="W124" s="1077">
        <f t="shared" si="74"/>
        <v>574687.35</v>
      </c>
      <c r="X124" s="1377">
        <f t="shared" si="75"/>
        <v>-0.03</v>
      </c>
      <c r="Y124" s="1377">
        <f t="shared" si="76"/>
        <v>-0.03</v>
      </c>
      <c r="Z124" s="1074"/>
      <c r="AA124" s="1075"/>
      <c r="AB124" s="1075"/>
      <c r="AC124" s="1075"/>
      <c r="AD124" s="1075"/>
      <c r="AE124" s="1077">
        <f t="shared" si="77"/>
        <v>0</v>
      </c>
      <c r="AF124" s="1377">
        <f t="shared" si="78"/>
        <v>0</v>
      </c>
      <c r="AG124" s="1377">
        <f t="shared" si="79"/>
        <v>0</v>
      </c>
      <c r="AH124" s="1078">
        <v>11160.15</v>
      </c>
      <c r="AI124" s="1079">
        <v>104654.5</v>
      </c>
      <c r="AJ124" s="1079">
        <v>0</v>
      </c>
      <c r="AK124" s="1079">
        <v>0</v>
      </c>
      <c r="AL124" s="1079">
        <v>0</v>
      </c>
      <c r="AM124" s="1080">
        <f t="shared" si="80"/>
        <v>115814.65</v>
      </c>
      <c r="AN124" s="1080">
        <f t="shared" si="81"/>
        <v>0</v>
      </c>
      <c r="AO124" s="1080">
        <f t="shared" si="82"/>
        <v>0</v>
      </c>
      <c r="AP124" s="1700"/>
      <c r="AQ124" s="1700"/>
      <c r="AR124" s="1700"/>
      <c r="AS124" s="1700"/>
      <c r="AT124" s="1700"/>
      <c r="AU124" s="1700">
        <f t="shared" si="83"/>
        <v>0</v>
      </c>
      <c r="AV124" s="1700">
        <f t="shared" si="84"/>
        <v>0</v>
      </c>
      <c r="AW124" s="1700">
        <f t="shared" si="85"/>
        <v>0</v>
      </c>
    </row>
    <row r="125" spans="1:49" s="237" customFormat="1" x14ac:dyDescent="0.2">
      <c r="J125" s="1081"/>
      <c r="K125" s="1082"/>
      <c r="L125" s="1082"/>
      <c r="M125" s="1082"/>
      <c r="N125" s="1082"/>
      <c r="O125" s="1076"/>
      <c r="P125" s="1377"/>
      <c r="Q125" s="1377"/>
      <c r="R125" s="1083"/>
      <c r="S125" s="1082"/>
      <c r="T125" s="1082"/>
      <c r="U125" s="1082"/>
      <c r="V125" s="1082"/>
      <c r="W125" s="1077"/>
      <c r="X125" s="1377"/>
      <c r="Y125" s="1377"/>
      <c r="Z125" s="1083"/>
      <c r="AA125" s="1082"/>
      <c r="AB125" s="1084"/>
      <c r="AC125" s="1085"/>
      <c r="AD125" s="1085"/>
      <c r="AE125" s="1077"/>
      <c r="AF125" s="1377"/>
      <c r="AG125" s="1377"/>
      <c r="AH125" s="1085"/>
      <c r="AI125" s="1085"/>
      <c r="AJ125" s="1085"/>
      <c r="AK125" s="1085"/>
      <c r="AL125" s="1085"/>
      <c r="AM125" s="1080"/>
      <c r="AN125" s="1080"/>
      <c r="AO125" s="1080"/>
    </row>
    <row r="126" spans="1:49" s="237" customFormat="1" x14ac:dyDescent="0.2">
      <c r="A126" s="237" t="s">
        <v>266</v>
      </c>
      <c r="D126" s="1072">
        <v>11666259.440000001</v>
      </c>
      <c r="E126" s="1072">
        <v>14871372.030000001</v>
      </c>
      <c r="F126" s="1072">
        <v>0</v>
      </c>
      <c r="G126" s="1073">
        <v>109739.98</v>
      </c>
      <c r="H126" s="1073">
        <v>109739.98</v>
      </c>
      <c r="I126" s="1378">
        <v>26647371.450000007</v>
      </c>
      <c r="J126" s="1492">
        <v>4870129.1099999994</v>
      </c>
      <c r="K126" s="1492">
        <v>4870206.34</v>
      </c>
      <c r="L126" s="1492">
        <v>0</v>
      </c>
      <c r="M126" s="1492">
        <v>10277.369999999999</v>
      </c>
      <c r="N126" s="1492">
        <v>77425.88</v>
      </c>
      <c r="O126" s="1076">
        <v>9828038.6999999993</v>
      </c>
      <c r="P126" s="1377">
        <v>87703.25</v>
      </c>
      <c r="Q126" s="1377">
        <v>87703.25</v>
      </c>
      <c r="R126" s="1492">
        <v>6300231.6900000004</v>
      </c>
      <c r="S126" s="1492">
        <v>6300231.6900000004</v>
      </c>
      <c r="T126" s="1492">
        <v>0</v>
      </c>
      <c r="U126" s="1492">
        <v>-0.24000000000000002</v>
      </c>
      <c r="V126" s="1492">
        <v>21459.73</v>
      </c>
      <c r="W126" s="1077">
        <v>12621922.870000001</v>
      </c>
      <c r="X126" s="1377">
        <v>21459.489999999998</v>
      </c>
      <c r="Y126" s="1377">
        <v>21459.489999999998</v>
      </c>
      <c r="Z126" s="1492">
        <v>0</v>
      </c>
      <c r="AA126" s="1492">
        <v>0</v>
      </c>
      <c r="AB126" s="1492">
        <v>0</v>
      </c>
      <c r="AC126" s="1492">
        <v>0</v>
      </c>
      <c r="AD126" s="1492">
        <v>0</v>
      </c>
      <c r="AE126" s="1077">
        <v>0</v>
      </c>
      <c r="AF126" s="1492">
        <v>0</v>
      </c>
      <c r="AG126" s="1492">
        <v>0</v>
      </c>
      <c r="AH126" s="1492">
        <v>495017.62</v>
      </c>
      <c r="AI126" s="1492">
        <v>3700934</v>
      </c>
      <c r="AJ126" s="1492">
        <v>0</v>
      </c>
      <c r="AK126" s="1492">
        <v>-0.15999999999999998</v>
      </c>
      <c r="AL126" s="1492">
        <v>0</v>
      </c>
      <c r="AM126" s="1080">
        <v>4195951.46</v>
      </c>
      <c r="AN126" s="1080">
        <v>-0.15999999999999998</v>
      </c>
      <c r="AO126" s="1080">
        <v>-0.15999999999999998</v>
      </c>
      <c r="AP126" s="1492">
        <v>881.02</v>
      </c>
      <c r="AQ126" s="1492">
        <v>0</v>
      </c>
      <c r="AR126" s="1492">
        <v>0</v>
      </c>
      <c r="AS126" s="1492">
        <v>577.4</v>
      </c>
      <c r="AT126" s="1492">
        <v>0</v>
      </c>
      <c r="AU126" s="1080">
        <v>1458.42</v>
      </c>
      <c r="AV126" s="1080">
        <v>577.4</v>
      </c>
      <c r="AW126" s="1080">
        <v>577.4</v>
      </c>
    </row>
    <row r="127" spans="1:49" s="237" customFormat="1" x14ac:dyDescent="0.2">
      <c r="A127" s="237" t="s">
        <v>264</v>
      </c>
      <c r="D127" s="1072">
        <v>13320443.77</v>
      </c>
      <c r="E127" s="1072">
        <v>17448689.030000001</v>
      </c>
      <c r="F127" s="1072">
        <v>0</v>
      </c>
      <c r="G127" s="1073">
        <v>17154.460000000003</v>
      </c>
      <c r="H127" s="1073">
        <v>17154.460000000003</v>
      </c>
      <c r="I127" s="1378">
        <v>30786287.259999998</v>
      </c>
      <c r="J127" s="1492">
        <v>4372958.37</v>
      </c>
      <c r="K127" s="1492">
        <v>4372958.37</v>
      </c>
      <c r="L127" s="1492">
        <v>0</v>
      </c>
      <c r="M127" s="1492">
        <v>15738.910000000002</v>
      </c>
      <c r="N127" s="1492">
        <v>0</v>
      </c>
      <c r="O127" s="1076">
        <v>8761655.6500000004</v>
      </c>
      <c r="P127" s="1377">
        <v>15738.910000000002</v>
      </c>
      <c r="Q127" s="1377">
        <v>15738.910000000002</v>
      </c>
      <c r="R127" s="1492">
        <v>8208718.1799999997</v>
      </c>
      <c r="S127" s="1492">
        <v>8208718.1799999997</v>
      </c>
      <c r="T127" s="1492">
        <v>0</v>
      </c>
      <c r="U127" s="1492">
        <v>-0.42000000000000004</v>
      </c>
      <c r="V127" s="1492">
        <v>1141</v>
      </c>
      <c r="W127" s="1077">
        <v>16418576.939999999</v>
      </c>
      <c r="X127" s="1377">
        <v>1140.58</v>
      </c>
      <c r="Y127" s="1377">
        <v>1140.58</v>
      </c>
      <c r="Z127" s="1492">
        <v>0</v>
      </c>
      <c r="AA127" s="1492">
        <v>0</v>
      </c>
      <c r="AB127" s="1492">
        <v>0</v>
      </c>
      <c r="AC127" s="1492">
        <v>0</v>
      </c>
      <c r="AD127" s="1492">
        <v>0</v>
      </c>
      <c r="AE127" s="1077">
        <v>0</v>
      </c>
      <c r="AF127" s="1492">
        <v>0</v>
      </c>
      <c r="AG127" s="1492">
        <v>0</v>
      </c>
      <c r="AH127" s="1492">
        <v>738767.22</v>
      </c>
      <c r="AI127" s="1492">
        <v>4867012.4799999995</v>
      </c>
      <c r="AJ127" s="1492">
        <v>0</v>
      </c>
      <c r="AK127" s="1492">
        <v>274.97000000000003</v>
      </c>
      <c r="AL127" s="1492">
        <v>0</v>
      </c>
      <c r="AM127" s="1080">
        <v>5606054.669999999</v>
      </c>
      <c r="AN127" s="1080">
        <v>274.97000000000003</v>
      </c>
      <c r="AO127" s="1080">
        <v>274.97000000000003</v>
      </c>
      <c r="AP127" s="1492">
        <v>0</v>
      </c>
      <c r="AQ127" s="1492">
        <v>0</v>
      </c>
      <c r="AR127" s="1492">
        <v>0</v>
      </c>
      <c r="AS127" s="1492">
        <v>0</v>
      </c>
      <c r="AT127" s="1492">
        <v>0</v>
      </c>
      <c r="AU127" s="1080">
        <v>0</v>
      </c>
      <c r="AV127" s="1080">
        <v>0</v>
      </c>
      <c r="AW127" s="1080">
        <v>0</v>
      </c>
    </row>
    <row r="128" spans="1:49" s="237" customFormat="1" x14ac:dyDescent="0.2">
      <c r="A128" s="237" t="s">
        <v>267</v>
      </c>
      <c r="D128" s="1072">
        <v>18178612.930000003</v>
      </c>
      <c r="E128" s="1072">
        <v>26851326.860000007</v>
      </c>
      <c r="F128" s="1072">
        <v>0</v>
      </c>
      <c r="G128" s="1073">
        <v>20222.320000000007</v>
      </c>
      <c r="H128" s="1073">
        <v>20222.320000000007</v>
      </c>
      <c r="I128" s="1378">
        <v>45050162.109999992</v>
      </c>
      <c r="J128" s="1492">
        <v>5970199.6399999987</v>
      </c>
      <c r="K128" s="1492">
        <v>5970199.6399999987</v>
      </c>
      <c r="L128" s="1492">
        <v>0</v>
      </c>
      <c r="M128" s="1492">
        <v>6063.4500000000007</v>
      </c>
      <c r="N128" s="1492">
        <v>1310.54</v>
      </c>
      <c r="O128" s="1076">
        <v>11947773.269999996</v>
      </c>
      <c r="P128" s="1377">
        <v>7373.9900000000007</v>
      </c>
      <c r="Q128" s="1377">
        <v>7373.9900000000007</v>
      </c>
      <c r="R128" s="1492">
        <v>10838327.51</v>
      </c>
      <c r="S128" s="1492">
        <v>10838327.51</v>
      </c>
      <c r="T128" s="1492">
        <v>0</v>
      </c>
      <c r="U128" s="1492">
        <v>-0.45000000000000007</v>
      </c>
      <c r="V128" s="1492">
        <v>12848.949999999999</v>
      </c>
      <c r="W128" s="1077">
        <v>21689503.52</v>
      </c>
      <c r="X128" s="1377">
        <v>12848.499999999998</v>
      </c>
      <c r="Y128" s="1377">
        <v>12848.499999999998</v>
      </c>
      <c r="Z128" s="1492">
        <v>2250</v>
      </c>
      <c r="AA128" s="1492">
        <v>2250</v>
      </c>
      <c r="AB128" s="1492">
        <v>0</v>
      </c>
      <c r="AC128" s="1492">
        <v>0</v>
      </c>
      <c r="AD128" s="1492">
        <v>0</v>
      </c>
      <c r="AE128" s="1077">
        <v>4500</v>
      </c>
      <c r="AF128" s="1492">
        <v>0</v>
      </c>
      <c r="AG128" s="1492">
        <v>0</v>
      </c>
      <c r="AH128" s="1492">
        <v>1367835.7800000003</v>
      </c>
      <c r="AI128" s="1492">
        <v>10040549.709999999</v>
      </c>
      <c r="AJ128" s="1492">
        <v>0</v>
      </c>
      <c r="AK128" s="1492">
        <v>-0.17</v>
      </c>
      <c r="AL128" s="1492">
        <v>0</v>
      </c>
      <c r="AM128" s="1080">
        <v>11408385.319999998</v>
      </c>
      <c r="AN128" s="1080">
        <v>-0.17</v>
      </c>
      <c r="AO128" s="1080">
        <v>-0.17</v>
      </c>
      <c r="AP128" s="1492">
        <v>0</v>
      </c>
      <c r="AQ128" s="1492">
        <v>0</v>
      </c>
      <c r="AR128" s="1492">
        <v>0</v>
      </c>
      <c r="AS128" s="1492">
        <v>0</v>
      </c>
      <c r="AT128" s="1492">
        <v>0</v>
      </c>
      <c r="AU128" s="1080">
        <v>0</v>
      </c>
      <c r="AV128" s="1080">
        <v>0</v>
      </c>
      <c r="AW128" s="1080">
        <v>0</v>
      </c>
    </row>
    <row r="129" spans="1:49" s="237" customFormat="1" x14ac:dyDescent="0.2">
      <c r="A129" s="237" t="s">
        <v>265</v>
      </c>
      <c r="D129" s="1072">
        <v>18871921.740000002</v>
      </c>
      <c r="E129" s="1072">
        <v>25373864.120000001</v>
      </c>
      <c r="F129" s="1072">
        <v>0</v>
      </c>
      <c r="G129" s="1073">
        <v>8401.18</v>
      </c>
      <c r="H129" s="1073">
        <v>8401.18</v>
      </c>
      <c r="I129" s="1378">
        <v>44254187.039999999</v>
      </c>
      <c r="J129" s="1492">
        <v>7328317.4000000004</v>
      </c>
      <c r="K129" s="1492">
        <v>7328317.4000000004</v>
      </c>
      <c r="L129" s="1492">
        <v>0</v>
      </c>
      <c r="M129" s="1492">
        <v>4740.18</v>
      </c>
      <c r="N129" s="1492">
        <v>0</v>
      </c>
      <c r="O129" s="1076">
        <v>14661374.98</v>
      </c>
      <c r="P129" s="1377">
        <v>4740.18</v>
      </c>
      <c r="Q129" s="1377">
        <v>4740.18</v>
      </c>
      <c r="R129" s="1492">
        <v>10686613.540000001</v>
      </c>
      <c r="S129" s="1492">
        <v>10686613.540000001</v>
      </c>
      <c r="T129" s="1492">
        <v>0</v>
      </c>
      <c r="U129" s="1492">
        <v>2869.5099999999998</v>
      </c>
      <c r="V129" s="1492">
        <v>791.63</v>
      </c>
      <c r="W129" s="1077">
        <v>21376888.220000003</v>
      </c>
      <c r="X129" s="1377">
        <v>3661.14</v>
      </c>
      <c r="Y129" s="1377">
        <v>3661.14</v>
      </c>
      <c r="Z129" s="1492">
        <v>2250</v>
      </c>
      <c r="AA129" s="1492">
        <v>2250</v>
      </c>
      <c r="AB129" s="1492">
        <v>0</v>
      </c>
      <c r="AC129" s="1492">
        <v>0</v>
      </c>
      <c r="AD129" s="1492">
        <v>0</v>
      </c>
      <c r="AE129" s="1077">
        <v>4500</v>
      </c>
      <c r="AF129" s="1492">
        <v>0</v>
      </c>
      <c r="AG129" s="1492">
        <v>0</v>
      </c>
      <c r="AH129" s="1492">
        <v>854740.8</v>
      </c>
      <c r="AI129" s="1492">
        <v>7356683.1800000006</v>
      </c>
      <c r="AJ129" s="1492">
        <v>0</v>
      </c>
      <c r="AK129" s="1492">
        <v>-0.14000000000000001</v>
      </c>
      <c r="AL129" s="1492">
        <v>0</v>
      </c>
      <c r="AM129" s="1080">
        <v>8211423.8400000008</v>
      </c>
      <c r="AN129" s="1080">
        <v>-0.14000000000000001</v>
      </c>
      <c r="AO129" s="1080">
        <v>-0.14000000000000001</v>
      </c>
      <c r="AP129" s="1492">
        <v>0</v>
      </c>
      <c r="AQ129" s="1492">
        <v>0</v>
      </c>
      <c r="AR129" s="1492">
        <v>0</v>
      </c>
      <c r="AS129" s="1492">
        <v>0</v>
      </c>
      <c r="AT129" s="1492">
        <v>0</v>
      </c>
      <c r="AU129" s="1080">
        <v>0</v>
      </c>
      <c r="AV129" s="1080">
        <v>0</v>
      </c>
      <c r="AW129" s="1080">
        <v>0</v>
      </c>
    </row>
    <row r="130" spans="1:49" s="237" customFormat="1" x14ac:dyDescent="0.2">
      <c r="A130" s="237" t="s">
        <v>268</v>
      </c>
      <c r="D130" s="1072">
        <v>10985966.250000002</v>
      </c>
      <c r="E130" s="1072">
        <v>13968114.770000001</v>
      </c>
      <c r="F130" s="1072">
        <v>0</v>
      </c>
      <c r="G130" s="1073">
        <v>2751.0399999999991</v>
      </c>
      <c r="H130" s="1073">
        <v>2751.0399999999991</v>
      </c>
      <c r="I130" s="1378">
        <v>24956832.060000002</v>
      </c>
      <c r="J130" s="1492">
        <v>4014830.4799999995</v>
      </c>
      <c r="K130" s="1492">
        <v>4014830.4799999995</v>
      </c>
      <c r="L130" s="1492">
        <v>0</v>
      </c>
      <c r="M130" s="1492">
        <v>1672.0400000000004</v>
      </c>
      <c r="N130" s="1492">
        <v>0</v>
      </c>
      <c r="O130" s="1076">
        <v>8031332.9999999991</v>
      </c>
      <c r="P130" s="1377">
        <v>1672.0400000000004</v>
      </c>
      <c r="Q130" s="1377">
        <v>1672.0400000000004</v>
      </c>
      <c r="R130" s="1492">
        <v>6700933.1199999992</v>
      </c>
      <c r="S130" s="1492">
        <v>6700933.1199999992</v>
      </c>
      <c r="T130" s="1492">
        <v>0</v>
      </c>
      <c r="U130" s="1492">
        <v>1780.7200000000003</v>
      </c>
      <c r="V130" s="1492">
        <v>-701.57</v>
      </c>
      <c r="W130" s="1077">
        <v>13402945.389999999</v>
      </c>
      <c r="X130" s="1377">
        <v>1079.1500000000001</v>
      </c>
      <c r="Y130" s="1377">
        <v>1079.1500000000001</v>
      </c>
      <c r="Z130" s="1492">
        <v>0</v>
      </c>
      <c r="AA130" s="1492">
        <v>0</v>
      </c>
      <c r="AB130" s="1492">
        <v>0</v>
      </c>
      <c r="AC130" s="1492">
        <v>0</v>
      </c>
      <c r="AD130" s="1492">
        <v>0</v>
      </c>
      <c r="AE130" s="1077">
        <v>0</v>
      </c>
      <c r="AF130" s="1492">
        <v>0</v>
      </c>
      <c r="AG130" s="1492">
        <v>0</v>
      </c>
      <c r="AH130" s="1492">
        <v>270202.64999999997</v>
      </c>
      <c r="AI130" s="1492">
        <v>3252351.1699999995</v>
      </c>
      <c r="AJ130" s="1492">
        <v>0</v>
      </c>
      <c r="AK130" s="1492">
        <v>-0.15000000000000002</v>
      </c>
      <c r="AL130" s="1492">
        <v>0</v>
      </c>
      <c r="AM130" s="1080">
        <v>3522553.6699999995</v>
      </c>
      <c r="AN130" s="1080">
        <v>-0.15000000000000002</v>
      </c>
      <c r="AO130" s="1080">
        <v>-0.15000000000000002</v>
      </c>
      <c r="AP130" s="1492">
        <v>0</v>
      </c>
      <c r="AQ130" s="1492">
        <v>0</v>
      </c>
      <c r="AR130" s="1492">
        <v>0</v>
      </c>
      <c r="AS130" s="1492">
        <v>0</v>
      </c>
      <c r="AT130" s="1492">
        <v>0</v>
      </c>
      <c r="AU130" s="1080">
        <v>0</v>
      </c>
      <c r="AV130" s="1080">
        <v>0</v>
      </c>
      <c r="AW130" s="1080">
        <v>0</v>
      </c>
    </row>
    <row r="131" spans="1:49" s="237" customFormat="1" x14ac:dyDescent="0.2">
      <c r="A131" s="237" t="s">
        <v>9</v>
      </c>
      <c r="D131" s="1072">
        <f t="shared" ref="D131:I131" si="86">SUM(D126:D130)</f>
        <v>73023204.13000001</v>
      </c>
      <c r="E131" s="1072">
        <f t="shared" si="86"/>
        <v>98513366.810000002</v>
      </c>
      <c r="F131" s="1072">
        <f t="shared" si="86"/>
        <v>0</v>
      </c>
      <c r="G131" s="1073">
        <f t="shared" si="86"/>
        <v>158268.98000000001</v>
      </c>
      <c r="H131" s="1073">
        <f t="shared" si="86"/>
        <v>158268.98000000001</v>
      </c>
      <c r="I131" s="1378">
        <f t="shared" si="86"/>
        <v>171694839.91999999</v>
      </c>
      <c r="J131" s="1493">
        <f t="shared" ref="J131" si="87">SUM(J126:J130)</f>
        <v>26556435</v>
      </c>
      <c r="K131" s="1493">
        <f t="shared" ref="K131:N131" si="88">SUM(K126:K130)</f>
        <v>26556512.23</v>
      </c>
      <c r="L131" s="1493">
        <f t="shared" si="88"/>
        <v>0</v>
      </c>
      <c r="M131" s="1493">
        <f t="shared" si="88"/>
        <v>38491.950000000004</v>
      </c>
      <c r="N131" s="1493">
        <f t="shared" si="88"/>
        <v>78736.42</v>
      </c>
      <c r="O131" s="1076">
        <f t="shared" ref="O131" si="89">SUM(J131:N131)</f>
        <v>53230175.600000009</v>
      </c>
      <c r="P131" s="1377">
        <f t="shared" ref="P131" si="90">M131+N131</f>
        <v>117228.37</v>
      </c>
      <c r="Q131" s="1377">
        <f t="shared" ref="Q131" si="91">L131+P131</f>
        <v>117228.37</v>
      </c>
      <c r="R131" s="1493">
        <f t="shared" ref="R131:V131" si="92">SUM(R126:R130)</f>
        <v>42734824.039999999</v>
      </c>
      <c r="S131" s="1493">
        <f t="shared" si="92"/>
        <v>42734824.039999999</v>
      </c>
      <c r="T131" s="1493">
        <f t="shared" si="92"/>
        <v>0</v>
      </c>
      <c r="U131" s="1493">
        <f t="shared" si="92"/>
        <v>4649.12</v>
      </c>
      <c r="V131" s="1493">
        <f t="shared" si="92"/>
        <v>35539.74</v>
      </c>
      <c r="W131" s="1077">
        <f t="shared" ref="W131" si="93">SUM(R131:V131)</f>
        <v>85509836.939999998</v>
      </c>
      <c r="X131" s="1377">
        <f t="shared" ref="X131" si="94">U131+V131</f>
        <v>40188.86</v>
      </c>
      <c r="Y131" s="1377">
        <f t="shared" ref="Y131" si="95">T131+X131</f>
        <v>40188.86</v>
      </c>
      <c r="Z131" s="1493">
        <f t="shared" ref="Z131:AD131" si="96">SUM(Z126:Z130)</f>
        <v>4500</v>
      </c>
      <c r="AA131" s="1493">
        <f t="shared" si="96"/>
        <v>4500</v>
      </c>
      <c r="AB131" s="1493">
        <f t="shared" si="96"/>
        <v>0</v>
      </c>
      <c r="AC131" s="1493">
        <f t="shared" si="96"/>
        <v>0</v>
      </c>
      <c r="AD131" s="1493">
        <f t="shared" si="96"/>
        <v>0</v>
      </c>
      <c r="AE131" s="1077">
        <f t="shared" ref="AE131" si="97">SUM(Z131:AD131)</f>
        <v>9000</v>
      </c>
      <c r="AF131" s="1493">
        <f t="shared" ref="AF131" si="98">AC131+AD131</f>
        <v>0</v>
      </c>
      <c r="AG131" s="1493">
        <f t="shared" ref="AG131" si="99">AB131+AC131+AD131</f>
        <v>0</v>
      </c>
      <c r="AH131" s="1493">
        <f t="shared" ref="AH131:AL131" si="100">SUM(AH126:AH130)</f>
        <v>3726564.07</v>
      </c>
      <c r="AI131" s="1493">
        <f t="shared" si="100"/>
        <v>29217530.539999995</v>
      </c>
      <c r="AJ131" s="1493">
        <f t="shared" si="100"/>
        <v>0</v>
      </c>
      <c r="AK131" s="1493">
        <f t="shared" si="100"/>
        <v>274.35000000000002</v>
      </c>
      <c r="AL131" s="1493">
        <f t="shared" si="100"/>
        <v>0</v>
      </c>
      <c r="AM131" s="1080">
        <f t="shared" ref="AM131" si="101">SUM(AH131:AL131)</f>
        <v>32944368.959999997</v>
      </c>
      <c r="AN131" s="1080">
        <f t="shared" ref="AN131" si="102">AK131+AL131</f>
        <v>274.35000000000002</v>
      </c>
      <c r="AO131" s="1080">
        <f t="shared" ref="AO131" si="103">AJ131+AN131</f>
        <v>274.35000000000002</v>
      </c>
      <c r="AP131" s="1493">
        <f t="shared" ref="AP131:AT131" si="104">SUM(AP126:AP130)</f>
        <v>881.02</v>
      </c>
      <c r="AQ131" s="1493">
        <f t="shared" si="104"/>
        <v>0</v>
      </c>
      <c r="AR131" s="1493">
        <f t="shared" si="104"/>
        <v>0</v>
      </c>
      <c r="AS131" s="1493">
        <f t="shared" si="104"/>
        <v>577.4</v>
      </c>
      <c r="AT131" s="1493">
        <f t="shared" si="104"/>
        <v>0</v>
      </c>
      <c r="AU131" s="1080">
        <f t="shared" ref="AU131" si="105">SUM(AP131:AT131)</f>
        <v>1458.42</v>
      </c>
      <c r="AV131" s="1080">
        <f t="shared" ref="AV131" si="106">AS131+AT131</f>
        <v>577.4</v>
      </c>
      <c r="AW131" s="1080">
        <f t="shared" ref="AW131" si="107">AR131+AV131</f>
        <v>577.4</v>
      </c>
    </row>
    <row r="132" spans="1:49" s="237" customFormat="1" x14ac:dyDescent="0.2">
      <c r="J132" s="1085"/>
      <c r="K132" s="1085"/>
      <c r="L132" s="1085"/>
      <c r="M132" s="1085"/>
      <c r="N132" s="1085"/>
      <c r="O132" s="1377"/>
      <c r="P132" s="1377"/>
      <c r="Q132" s="1377"/>
      <c r="R132" s="1085"/>
      <c r="S132" s="1085"/>
      <c r="T132" s="1085"/>
      <c r="U132" s="1085"/>
      <c r="V132" s="1085"/>
      <c r="W132" s="1377"/>
      <c r="X132" s="1377"/>
      <c r="Y132" s="1377"/>
      <c r="Z132" s="1085"/>
      <c r="AA132" s="1085"/>
      <c r="AB132" s="1085"/>
      <c r="AC132" s="1085"/>
      <c r="AD132" s="1085"/>
      <c r="AE132" s="1377"/>
      <c r="AF132" s="1377"/>
      <c r="AG132" s="1377"/>
      <c r="AH132" s="1085"/>
      <c r="AI132" s="1085"/>
      <c r="AJ132" s="1085"/>
      <c r="AK132" s="1085"/>
      <c r="AL132" s="1085"/>
      <c r="AM132" s="1491"/>
      <c r="AN132" s="1491"/>
      <c r="AO132" s="1491"/>
    </row>
    <row r="133" spans="1:49" s="1086" customFormat="1" x14ac:dyDescent="0.2">
      <c r="A133" s="1823" t="s">
        <v>1242</v>
      </c>
      <c r="B133" s="1087"/>
      <c r="C133" s="1087"/>
      <c r="D133" s="1088"/>
    </row>
    <row r="134" spans="1:49" s="1086" customFormat="1" x14ac:dyDescent="0.2"/>
    <row r="135" spans="1:49" s="185" customFormat="1" x14ac:dyDescent="0.2">
      <c r="A135" s="185" t="s">
        <v>248</v>
      </c>
    </row>
    <row r="136" spans="1:49" x14ac:dyDescent="0.2">
      <c r="A136" s="192" t="s">
        <v>249</v>
      </c>
      <c r="B136" s="170" t="s">
        <v>250</v>
      </c>
      <c r="C136" s="170"/>
    </row>
  </sheetData>
  <autoFilter ref="A3:C124"/>
  <sortState ref="A5:AW124">
    <sortCondition ref="A5:A124"/>
  </sortState>
  <hyperlinks>
    <hyperlink ref="B136" r:id="rId1"/>
  </hyperlinks>
  <pageMargins left="0.7" right="0.7" top="0.75" bottom="0.75" header="0.3" footer="0.3"/>
  <pageSetup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106" activePane="bottomRight" state="frozen"/>
      <selection pane="topRight" activeCell="B1" sqref="B1"/>
      <selection pane="bottomLeft" activeCell="A5" sqref="A5"/>
      <selection pane="bottomRight" activeCell="B141" sqref="B141"/>
    </sheetView>
  </sheetViews>
  <sheetFormatPr defaultRowHeight="12.75" x14ac:dyDescent="0.2"/>
  <cols>
    <col min="1" max="1" width="9" style="222"/>
    <col min="2" max="2" width="27.75" style="222" customWidth="1"/>
    <col min="3" max="3" width="14.25" style="222" customWidth="1"/>
    <col min="4" max="9" width="12.125" style="222" customWidth="1"/>
    <col min="10" max="16384" width="9" style="222"/>
  </cols>
  <sheetData>
    <row r="1" spans="1:9" x14ac:dyDescent="0.2">
      <c r="A1" s="65" t="s">
        <v>1355</v>
      </c>
      <c r="D1" s="1055"/>
      <c r="E1" s="1055"/>
      <c r="F1" s="1055"/>
      <c r="G1" s="1055"/>
      <c r="H1" s="1055"/>
      <c r="I1" s="1055"/>
    </row>
    <row r="2" spans="1:9" x14ac:dyDescent="0.2">
      <c r="D2" s="1056"/>
      <c r="E2" s="1056"/>
      <c r="F2" s="1056"/>
      <c r="G2" s="1056"/>
      <c r="H2" s="1056"/>
      <c r="I2" s="1056"/>
    </row>
    <row r="3" spans="1:9" ht="25.5" x14ac:dyDescent="0.2">
      <c r="A3" s="1057" t="s">
        <v>4</v>
      </c>
      <c r="B3" s="1058" t="s">
        <v>5</v>
      </c>
      <c r="C3" s="1058" t="s">
        <v>251</v>
      </c>
      <c r="D3" s="1059" t="s">
        <v>1004</v>
      </c>
      <c r="E3" s="1060" t="s">
        <v>1005</v>
      </c>
      <c r="F3" s="1060" t="s">
        <v>1003</v>
      </c>
      <c r="G3" s="1060" t="s">
        <v>1006</v>
      </c>
      <c r="H3" s="1062" t="s">
        <v>1007</v>
      </c>
      <c r="I3" s="1062" t="s">
        <v>1008</v>
      </c>
    </row>
    <row r="4" spans="1:9" x14ac:dyDescent="0.2">
      <c r="A4" s="1063">
        <v>999</v>
      </c>
      <c r="B4" s="1064" t="s">
        <v>9</v>
      </c>
      <c r="C4" s="1065"/>
      <c r="D4" s="1066">
        <f t="shared" ref="D4:H4" si="0">SUM(D5:D124)</f>
        <v>0</v>
      </c>
      <c r="E4" s="1067">
        <f t="shared" si="0"/>
        <v>237207092.08000007</v>
      </c>
      <c r="F4" s="1067">
        <f t="shared" si="0"/>
        <v>126788971.31999999</v>
      </c>
      <c r="G4" s="1067">
        <f t="shared" si="0"/>
        <v>0</v>
      </c>
      <c r="H4" s="1069">
        <f t="shared" si="0"/>
        <v>363996063.4000001</v>
      </c>
      <c r="I4" s="1069">
        <f t="shared" ref="I4" si="1">SUM(I5:I124)</f>
        <v>126788971.31999999</v>
      </c>
    </row>
    <row r="5" spans="1:9" s="237" customFormat="1" x14ac:dyDescent="0.2">
      <c r="A5" s="1070" t="s">
        <v>10</v>
      </c>
      <c r="B5" s="1071" t="s">
        <v>11</v>
      </c>
      <c r="C5" s="103" t="s">
        <v>264</v>
      </c>
      <c r="D5" s="1074"/>
      <c r="E5" s="1075">
        <v>436173.54</v>
      </c>
      <c r="F5" s="1075">
        <v>152464.93</v>
      </c>
      <c r="G5" s="1079"/>
      <c r="H5" s="1077">
        <f t="shared" ref="H5:H36" si="2">SUM(D5:G5)</f>
        <v>588638.47</v>
      </c>
      <c r="I5" s="1077">
        <f t="shared" ref="I5:I36" si="3">F5+G5</f>
        <v>152464.93</v>
      </c>
    </row>
    <row r="6" spans="1:9" s="237" customFormat="1" x14ac:dyDescent="0.2">
      <c r="A6" s="1070" t="s">
        <v>12</v>
      </c>
      <c r="B6" s="1071" t="s">
        <v>13</v>
      </c>
      <c r="C6" s="103" t="s">
        <v>265</v>
      </c>
      <c r="D6" s="1074"/>
      <c r="E6" s="1075">
        <v>5850739.5999999996</v>
      </c>
      <c r="F6" s="1075">
        <v>3754436.56</v>
      </c>
      <c r="G6" s="1079"/>
      <c r="H6" s="1077">
        <f t="shared" si="2"/>
        <v>9605176.1600000001</v>
      </c>
      <c r="I6" s="1077">
        <f t="shared" si="3"/>
        <v>3754436.56</v>
      </c>
    </row>
    <row r="7" spans="1:9" s="237" customFormat="1" x14ac:dyDescent="0.2">
      <c r="A7" s="1070" t="s">
        <v>16</v>
      </c>
      <c r="B7" s="1071" t="s">
        <v>297</v>
      </c>
      <c r="C7" s="103" t="s">
        <v>265</v>
      </c>
      <c r="D7" s="1074"/>
      <c r="E7" s="1075">
        <v>2287009.9899999998</v>
      </c>
      <c r="F7" s="1075">
        <v>622715.59</v>
      </c>
      <c r="G7" s="1079"/>
      <c r="H7" s="1077">
        <f t="shared" si="2"/>
        <v>2909725.5799999996</v>
      </c>
      <c r="I7" s="1077">
        <f t="shared" si="3"/>
        <v>622715.59</v>
      </c>
    </row>
    <row r="8" spans="1:9" s="237" customFormat="1" x14ac:dyDescent="0.2">
      <c r="A8" s="1070" t="s">
        <v>18</v>
      </c>
      <c r="B8" s="1071" t="s">
        <v>19</v>
      </c>
      <c r="C8" s="103" t="s">
        <v>266</v>
      </c>
      <c r="D8" s="1074"/>
      <c r="E8" s="1075">
        <v>277713.68</v>
      </c>
      <c r="F8" s="1075">
        <v>133280.1</v>
      </c>
      <c r="G8" s="1079"/>
      <c r="H8" s="1077">
        <f t="shared" si="2"/>
        <v>410993.78</v>
      </c>
      <c r="I8" s="1077">
        <f t="shared" si="3"/>
        <v>133280.1</v>
      </c>
    </row>
    <row r="9" spans="1:9" s="237" customFormat="1" x14ac:dyDescent="0.2">
      <c r="A9" s="1070" t="s">
        <v>20</v>
      </c>
      <c r="B9" s="1071" t="s">
        <v>21</v>
      </c>
      <c r="C9" s="103" t="s">
        <v>265</v>
      </c>
      <c r="D9" s="1074"/>
      <c r="E9" s="1075">
        <v>782405.79999999993</v>
      </c>
      <c r="F9" s="1075">
        <v>283372.17000000004</v>
      </c>
      <c r="G9" s="1079"/>
      <c r="H9" s="1077">
        <f t="shared" si="2"/>
        <v>1065777.97</v>
      </c>
      <c r="I9" s="1077">
        <f t="shared" si="3"/>
        <v>283372.17000000004</v>
      </c>
    </row>
    <row r="10" spans="1:9" s="237" customFormat="1" x14ac:dyDescent="0.2">
      <c r="A10" s="1070" t="s">
        <v>22</v>
      </c>
      <c r="B10" s="1071" t="s">
        <v>23</v>
      </c>
      <c r="C10" s="103" t="s">
        <v>265</v>
      </c>
      <c r="D10" s="1074"/>
      <c r="E10" s="1075">
        <v>1261872.52</v>
      </c>
      <c r="F10" s="1075">
        <v>422162.48</v>
      </c>
      <c r="G10" s="1079"/>
      <c r="H10" s="1077">
        <f t="shared" si="2"/>
        <v>1684035</v>
      </c>
      <c r="I10" s="1077">
        <f t="shared" si="3"/>
        <v>422162.48</v>
      </c>
    </row>
    <row r="11" spans="1:9" s="237" customFormat="1" x14ac:dyDescent="0.2">
      <c r="A11" s="1070" t="s">
        <v>24</v>
      </c>
      <c r="B11" s="1071" t="s">
        <v>25</v>
      </c>
      <c r="C11" s="103" t="s">
        <v>267</v>
      </c>
      <c r="D11" s="1074"/>
      <c r="E11" s="1075">
        <v>3522929.09</v>
      </c>
      <c r="F11" s="1075">
        <v>3039848.41</v>
      </c>
      <c r="G11" s="1079"/>
      <c r="H11" s="1077">
        <f t="shared" si="2"/>
        <v>6562777.5</v>
      </c>
      <c r="I11" s="1077">
        <f t="shared" si="3"/>
        <v>3039848.41</v>
      </c>
    </row>
    <row r="12" spans="1:9" s="237" customFormat="1" x14ac:dyDescent="0.2">
      <c r="A12" s="1070" t="s">
        <v>26</v>
      </c>
      <c r="B12" s="1071" t="s">
        <v>686</v>
      </c>
      <c r="C12" s="103" t="s">
        <v>265</v>
      </c>
      <c r="D12" s="1074"/>
      <c r="E12" s="1075">
        <v>6021628.2000000002</v>
      </c>
      <c r="F12" s="1075">
        <v>2698983.83</v>
      </c>
      <c r="G12" s="1079"/>
      <c r="H12" s="1077">
        <f t="shared" si="2"/>
        <v>8720612.0300000012</v>
      </c>
      <c r="I12" s="1077">
        <f t="shared" si="3"/>
        <v>2698983.83</v>
      </c>
    </row>
    <row r="13" spans="1:9" s="237" customFormat="1" x14ac:dyDescent="0.2">
      <c r="A13" s="1070" t="s">
        <v>27</v>
      </c>
      <c r="B13" s="1071" t="s">
        <v>28</v>
      </c>
      <c r="C13" s="103" t="s">
        <v>265</v>
      </c>
      <c r="D13" s="1074"/>
      <c r="E13" s="1075">
        <v>87600.39</v>
      </c>
      <c r="F13" s="1075">
        <v>66319.33</v>
      </c>
      <c r="G13" s="1079"/>
      <c r="H13" s="1077">
        <f t="shared" si="2"/>
        <v>153919.72</v>
      </c>
      <c r="I13" s="1077">
        <f t="shared" si="3"/>
        <v>66319.33</v>
      </c>
    </row>
    <row r="14" spans="1:9" s="237" customFormat="1" x14ac:dyDescent="0.2">
      <c r="A14" s="1070" t="s">
        <v>29</v>
      </c>
      <c r="B14" s="1071" t="s">
        <v>924</v>
      </c>
      <c r="C14" s="103" t="s">
        <v>265</v>
      </c>
      <c r="D14" s="1074"/>
      <c r="E14" s="1075">
        <v>1814801.21</v>
      </c>
      <c r="F14" s="1075">
        <v>811719.71</v>
      </c>
      <c r="G14" s="1079"/>
      <c r="H14" s="1077">
        <f t="shared" si="2"/>
        <v>2626520.92</v>
      </c>
      <c r="I14" s="1077">
        <f t="shared" si="3"/>
        <v>811719.71</v>
      </c>
    </row>
    <row r="15" spans="1:9" s="237" customFormat="1" x14ac:dyDescent="0.2">
      <c r="A15" s="1070" t="s">
        <v>30</v>
      </c>
      <c r="B15" s="1071" t="s">
        <v>31</v>
      </c>
      <c r="C15" s="103" t="s">
        <v>268</v>
      </c>
      <c r="D15" s="1074"/>
      <c r="E15" s="1075">
        <v>235369.15</v>
      </c>
      <c r="F15" s="1075">
        <v>64914.51</v>
      </c>
      <c r="G15" s="1079"/>
      <c r="H15" s="1077">
        <f t="shared" si="2"/>
        <v>300283.65999999997</v>
      </c>
      <c r="I15" s="1077">
        <f t="shared" si="3"/>
        <v>64914.51</v>
      </c>
    </row>
    <row r="16" spans="1:9" s="237" customFormat="1" x14ac:dyDescent="0.2">
      <c r="A16" s="1070" t="s">
        <v>32</v>
      </c>
      <c r="B16" s="1071" t="s">
        <v>33</v>
      </c>
      <c r="C16" s="103" t="s">
        <v>265</v>
      </c>
      <c r="D16" s="1074"/>
      <c r="E16" s="1075">
        <v>866392.73</v>
      </c>
      <c r="F16" s="1075">
        <v>474790.05</v>
      </c>
      <c r="G16" s="1079"/>
      <c r="H16" s="1077">
        <f t="shared" si="2"/>
        <v>1341182.78</v>
      </c>
      <c r="I16" s="1077">
        <f t="shared" si="3"/>
        <v>474790.05</v>
      </c>
    </row>
    <row r="17" spans="1:9" s="237" customFormat="1" x14ac:dyDescent="0.2">
      <c r="A17" s="1070" t="s">
        <v>36</v>
      </c>
      <c r="B17" s="1071" t="s">
        <v>37</v>
      </c>
      <c r="C17" s="103" t="s">
        <v>264</v>
      </c>
      <c r="D17" s="1074"/>
      <c r="E17" s="1075">
        <v>477358.78</v>
      </c>
      <c r="F17" s="1075">
        <v>154031.65</v>
      </c>
      <c r="G17" s="1079"/>
      <c r="H17" s="1077">
        <f t="shared" si="2"/>
        <v>631390.43000000005</v>
      </c>
      <c r="I17" s="1077">
        <f t="shared" si="3"/>
        <v>154031.65</v>
      </c>
    </row>
    <row r="18" spans="1:9" s="237" customFormat="1" x14ac:dyDescent="0.2">
      <c r="A18" s="1070" t="s">
        <v>38</v>
      </c>
      <c r="B18" s="1071" t="s">
        <v>39</v>
      </c>
      <c r="C18" s="103" t="s">
        <v>268</v>
      </c>
      <c r="D18" s="1074"/>
      <c r="E18" s="1075">
        <v>1049556.69</v>
      </c>
      <c r="F18" s="1075">
        <v>534486.43000000005</v>
      </c>
      <c r="G18" s="1079"/>
      <c r="H18" s="1077">
        <f t="shared" si="2"/>
        <v>1584043.12</v>
      </c>
      <c r="I18" s="1077">
        <f t="shared" si="3"/>
        <v>534486.43000000005</v>
      </c>
    </row>
    <row r="19" spans="1:9" s="237" customFormat="1" x14ac:dyDescent="0.2">
      <c r="A19" s="1070" t="s">
        <v>40</v>
      </c>
      <c r="B19" s="1071" t="s">
        <v>41</v>
      </c>
      <c r="C19" s="103" t="s">
        <v>266</v>
      </c>
      <c r="D19" s="1074"/>
      <c r="E19" s="1075">
        <v>1318957.23</v>
      </c>
      <c r="F19" s="1075">
        <v>318263.87</v>
      </c>
      <c r="G19" s="1079"/>
      <c r="H19" s="1077">
        <f t="shared" si="2"/>
        <v>1637221.1</v>
      </c>
      <c r="I19" s="1077">
        <f t="shared" si="3"/>
        <v>318263.87</v>
      </c>
    </row>
    <row r="20" spans="1:9" s="237" customFormat="1" x14ac:dyDescent="0.2">
      <c r="A20" s="1070" t="s">
        <v>42</v>
      </c>
      <c r="B20" s="1071" t="s">
        <v>43</v>
      </c>
      <c r="C20" s="103" t="s">
        <v>265</v>
      </c>
      <c r="D20" s="1074"/>
      <c r="E20" s="1075">
        <v>1710582.24</v>
      </c>
      <c r="F20" s="1075">
        <v>763118.58</v>
      </c>
      <c r="G20" s="1079"/>
      <c r="H20" s="1077">
        <f t="shared" si="2"/>
        <v>2473700.8199999998</v>
      </c>
      <c r="I20" s="1077">
        <f t="shared" si="3"/>
        <v>763118.58</v>
      </c>
    </row>
    <row r="21" spans="1:9" s="237" customFormat="1" x14ac:dyDescent="0.2">
      <c r="A21" s="1070" t="s">
        <v>44</v>
      </c>
      <c r="B21" s="1071" t="s">
        <v>45</v>
      </c>
      <c r="C21" s="103" t="s">
        <v>266</v>
      </c>
      <c r="D21" s="1074"/>
      <c r="E21" s="1075">
        <v>1282853.8999999999</v>
      </c>
      <c r="F21" s="1075">
        <v>645805.53</v>
      </c>
      <c r="G21" s="1079"/>
      <c r="H21" s="1077">
        <f t="shared" si="2"/>
        <v>1928659.43</v>
      </c>
      <c r="I21" s="1077">
        <f t="shared" si="3"/>
        <v>645805.53</v>
      </c>
    </row>
    <row r="22" spans="1:9" s="237" customFormat="1" x14ac:dyDescent="0.2">
      <c r="A22" s="1070" t="s">
        <v>46</v>
      </c>
      <c r="B22" s="1071" t="s">
        <v>47</v>
      </c>
      <c r="C22" s="103" t="s">
        <v>268</v>
      </c>
      <c r="D22" s="1074"/>
      <c r="E22" s="1075">
        <v>1463557.1</v>
      </c>
      <c r="F22" s="1075">
        <v>524405.4</v>
      </c>
      <c r="G22" s="1079"/>
      <c r="H22" s="1077">
        <f t="shared" si="2"/>
        <v>1987962.5</v>
      </c>
      <c r="I22" s="1077">
        <f t="shared" si="3"/>
        <v>524405.4</v>
      </c>
    </row>
    <row r="23" spans="1:9" s="237" customFormat="1" x14ac:dyDescent="0.2">
      <c r="A23" s="1070" t="s">
        <v>48</v>
      </c>
      <c r="B23" s="1071" t="s">
        <v>269</v>
      </c>
      <c r="C23" s="103" t="s">
        <v>266</v>
      </c>
      <c r="D23" s="1074"/>
      <c r="E23" s="1075">
        <v>178166.66</v>
      </c>
      <c r="F23" s="1075">
        <v>73139.34</v>
      </c>
      <c r="G23" s="1079"/>
      <c r="H23" s="1077">
        <f t="shared" si="2"/>
        <v>251306</v>
      </c>
      <c r="I23" s="1077">
        <f t="shared" si="3"/>
        <v>73139.34</v>
      </c>
    </row>
    <row r="24" spans="1:9" s="237" customFormat="1" x14ac:dyDescent="0.2">
      <c r="A24" s="1070" t="s">
        <v>50</v>
      </c>
      <c r="B24" s="1071" t="s">
        <v>51</v>
      </c>
      <c r="C24" s="103" t="s">
        <v>265</v>
      </c>
      <c r="D24" s="1074"/>
      <c r="E24" s="1075">
        <v>792985</v>
      </c>
      <c r="F24" s="1075">
        <v>211202.8</v>
      </c>
      <c r="G24" s="1079"/>
      <c r="H24" s="1077">
        <f t="shared" si="2"/>
        <v>1004187.8</v>
      </c>
      <c r="I24" s="1077">
        <f t="shared" si="3"/>
        <v>211202.8</v>
      </c>
    </row>
    <row r="25" spans="1:9" s="237" customFormat="1" x14ac:dyDescent="0.2">
      <c r="A25" s="1070" t="s">
        <v>56</v>
      </c>
      <c r="B25" s="1071" t="s">
        <v>295</v>
      </c>
      <c r="C25" s="103" t="s">
        <v>266</v>
      </c>
      <c r="D25" s="1074"/>
      <c r="E25" s="1075">
        <v>6873304.1899999995</v>
      </c>
      <c r="F25" s="1075">
        <v>4245639.24</v>
      </c>
      <c r="G25" s="1079"/>
      <c r="H25" s="1077">
        <f t="shared" si="2"/>
        <v>11118943.43</v>
      </c>
      <c r="I25" s="1077">
        <f t="shared" si="3"/>
        <v>4245639.24</v>
      </c>
    </row>
    <row r="26" spans="1:9" s="237" customFormat="1" x14ac:dyDescent="0.2">
      <c r="A26" s="1070" t="s">
        <v>58</v>
      </c>
      <c r="B26" s="1071" t="s">
        <v>59</v>
      </c>
      <c r="C26" s="103" t="s">
        <v>267</v>
      </c>
      <c r="D26" s="1074"/>
      <c r="E26" s="1075">
        <v>293097.07</v>
      </c>
      <c r="F26" s="1075">
        <v>255117.56</v>
      </c>
      <c r="G26" s="1079"/>
      <c r="H26" s="1077">
        <f t="shared" si="2"/>
        <v>548214.63</v>
      </c>
      <c r="I26" s="1077">
        <f t="shared" si="3"/>
        <v>255117.56</v>
      </c>
    </row>
    <row r="27" spans="1:9" s="237" customFormat="1" x14ac:dyDescent="0.2">
      <c r="A27" s="1070" t="s">
        <v>60</v>
      </c>
      <c r="B27" s="1071" t="s">
        <v>61</v>
      </c>
      <c r="C27" s="103" t="s">
        <v>265</v>
      </c>
      <c r="D27" s="1074"/>
      <c r="E27" s="1075">
        <v>399721.84</v>
      </c>
      <c r="F27" s="1075">
        <v>154199.92000000001</v>
      </c>
      <c r="G27" s="1079"/>
      <c r="H27" s="1077">
        <f t="shared" si="2"/>
        <v>553921.76</v>
      </c>
      <c r="I27" s="1077">
        <f t="shared" si="3"/>
        <v>154199.92000000001</v>
      </c>
    </row>
    <row r="28" spans="1:9" s="237" customFormat="1" x14ac:dyDescent="0.2">
      <c r="A28" s="1070" t="s">
        <v>62</v>
      </c>
      <c r="B28" s="1071" t="s">
        <v>63</v>
      </c>
      <c r="C28" s="103" t="s">
        <v>267</v>
      </c>
      <c r="D28" s="1074"/>
      <c r="E28" s="1075">
        <v>2965386.08</v>
      </c>
      <c r="F28" s="1075">
        <v>1425821.48</v>
      </c>
      <c r="G28" s="1079"/>
      <c r="H28" s="1077">
        <f t="shared" si="2"/>
        <v>4391207.5600000005</v>
      </c>
      <c r="I28" s="1077">
        <f t="shared" si="3"/>
        <v>1425821.48</v>
      </c>
    </row>
    <row r="29" spans="1:9" s="237" customFormat="1" x14ac:dyDescent="0.2">
      <c r="A29" s="1070" t="s">
        <v>64</v>
      </c>
      <c r="B29" s="1071" t="s">
        <v>65</v>
      </c>
      <c r="C29" s="103" t="s">
        <v>266</v>
      </c>
      <c r="D29" s="1074"/>
      <c r="E29" s="1075">
        <v>583817.81999999995</v>
      </c>
      <c r="F29" s="1075">
        <v>249012.57</v>
      </c>
      <c r="G29" s="1079"/>
      <c r="H29" s="1077">
        <f t="shared" si="2"/>
        <v>832830.3899999999</v>
      </c>
      <c r="I29" s="1077">
        <f t="shared" si="3"/>
        <v>249012.57</v>
      </c>
    </row>
    <row r="30" spans="1:9" s="237" customFormat="1" x14ac:dyDescent="0.2">
      <c r="A30" s="1070" t="s">
        <v>68</v>
      </c>
      <c r="B30" s="1071" t="s">
        <v>69</v>
      </c>
      <c r="C30" s="103" t="s">
        <v>268</v>
      </c>
      <c r="D30" s="1074"/>
      <c r="E30" s="1075">
        <v>879069.08</v>
      </c>
      <c r="F30" s="1075">
        <v>326971.25</v>
      </c>
      <c r="G30" s="1079"/>
      <c r="H30" s="1077">
        <f t="shared" si="2"/>
        <v>1206040.33</v>
      </c>
      <c r="I30" s="1077">
        <f t="shared" si="3"/>
        <v>326971.25</v>
      </c>
    </row>
    <row r="31" spans="1:9" s="237" customFormat="1" x14ac:dyDescent="0.2">
      <c r="A31" s="1070" t="s">
        <v>70</v>
      </c>
      <c r="B31" s="1071" t="s">
        <v>71</v>
      </c>
      <c r="C31" s="103" t="s">
        <v>264</v>
      </c>
      <c r="D31" s="1074"/>
      <c r="E31" s="1075">
        <v>1212399.1599999999</v>
      </c>
      <c r="F31" s="1075">
        <v>632352.14</v>
      </c>
      <c r="G31" s="1079"/>
      <c r="H31" s="1077">
        <f t="shared" si="2"/>
        <v>1844751.2999999998</v>
      </c>
      <c r="I31" s="1077">
        <f t="shared" si="3"/>
        <v>632352.14</v>
      </c>
    </row>
    <row r="32" spans="1:9" s="237" customFormat="1" x14ac:dyDescent="0.2">
      <c r="A32" s="1070" t="s">
        <v>72</v>
      </c>
      <c r="B32" s="1071" t="s">
        <v>73</v>
      </c>
      <c r="C32" s="103" t="s">
        <v>266</v>
      </c>
      <c r="D32" s="1074"/>
      <c r="E32" s="1075">
        <v>451748.67</v>
      </c>
      <c r="F32" s="1075">
        <v>293607.14</v>
      </c>
      <c r="G32" s="1079"/>
      <c r="H32" s="1077">
        <f t="shared" si="2"/>
        <v>745355.81</v>
      </c>
      <c r="I32" s="1077">
        <f t="shared" si="3"/>
        <v>293607.14</v>
      </c>
    </row>
    <row r="33" spans="1:9" s="237" customFormat="1" x14ac:dyDescent="0.2">
      <c r="A33" s="1070" t="s">
        <v>74</v>
      </c>
      <c r="B33" s="1071" t="s">
        <v>302</v>
      </c>
      <c r="C33" s="103" t="s">
        <v>267</v>
      </c>
      <c r="D33" s="1074"/>
      <c r="E33" s="1075">
        <v>23492606.280000001</v>
      </c>
      <c r="F33" s="1075">
        <v>18447111.949999999</v>
      </c>
      <c r="G33" s="1079"/>
      <c r="H33" s="1077">
        <f t="shared" si="2"/>
        <v>41939718.230000004</v>
      </c>
      <c r="I33" s="1077">
        <f t="shared" si="3"/>
        <v>18447111.949999999</v>
      </c>
    </row>
    <row r="34" spans="1:9" s="237" customFormat="1" x14ac:dyDescent="0.2">
      <c r="A34" s="1070" t="s">
        <v>76</v>
      </c>
      <c r="B34" s="1071" t="s">
        <v>77</v>
      </c>
      <c r="C34" s="103" t="s">
        <v>267</v>
      </c>
      <c r="D34" s="1074"/>
      <c r="E34" s="1075">
        <v>2777740.48</v>
      </c>
      <c r="F34" s="1075">
        <v>2208505.66</v>
      </c>
      <c r="G34" s="1079"/>
      <c r="H34" s="1077">
        <f t="shared" si="2"/>
        <v>4986246.1400000006</v>
      </c>
      <c r="I34" s="1077">
        <f t="shared" si="3"/>
        <v>2208505.66</v>
      </c>
    </row>
    <row r="35" spans="1:9" s="237" customFormat="1" x14ac:dyDescent="0.2">
      <c r="A35" s="1070" t="s">
        <v>78</v>
      </c>
      <c r="B35" s="1071" t="s">
        <v>79</v>
      </c>
      <c r="C35" s="103" t="s">
        <v>268</v>
      </c>
      <c r="D35" s="1074"/>
      <c r="E35" s="1075">
        <v>250659.63999999998</v>
      </c>
      <c r="F35" s="1075">
        <v>75977.909999999989</v>
      </c>
      <c r="G35" s="1079"/>
      <c r="H35" s="1077">
        <f t="shared" si="2"/>
        <v>326637.55</v>
      </c>
      <c r="I35" s="1077">
        <f t="shared" si="3"/>
        <v>75977.909999999989</v>
      </c>
    </row>
    <row r="36" spans="1:9" s="237" customFormat="1" x14ac:dyDescent="0.2">
      <c r="A36" s="1070" t="s">
        <v>80</v>
      </c>
      <c r="B36" s="1071" t="s">
        <v>81</v>
      </c>
      <c r="C36" s="103" t="s">
        <v>266</v>
      </c>
      <c r="D36" s="1074"/>
      <c r="E36" s="1075">
        <v>1683879.04</v>
      </c>
      <c r="F36" s="1075">
        <v>996452.79</v>
      </c>
      <c r="G36" s="1079"/>
      <c r="H36" s="1077">
        <f t="shared" si="2"/>
        <v>2680331.83</v>
      </c>
      <c r="I36" s="1077">
        <f t="shared" si="3"/>
        <v>996452.79</v>
      </c>
    </row>
    <row r="37" spans="1:9" s="237" customFormat="1" x14ac:dyDescent="0.2">
      <c r="A37" s="1070" t="s">
        <v>84</v>
      </c>
      <c r="B37" s="1071" t="s">
        <v>308</v>
      </c>
      <c r="C37" s="103" t="s">
        <v>265</v>
      </c>
      <c r="D37" s="1074"/>
      <c r="E37" s="1075">
        <v>3372155.28</v>
      </c>
      <c r="F37" s="1075">
        <v>1220366.2</v>
      </c>
      <c r="G37" s="1079"/>
      <c r="H37" s="1077">
        <f t="shared" ref="H37:H68" si="4">SUM(D37:G37)</f>
        <v>4592521.4799999995</v>
      </c>
      <c r="I37" s="1077">
        <f t="shared" ref="I37:I68" si="5">F37+G37</f>
        <v>1220366.2</v>
      </c>
    </row>
    <row r="38" spans="1:9" s="237" customFormat="1" x14ac:dyDescent="0.2">
      <c r="A38" s="1070" t="s">
        <v>86</v>
      </c>
      <c r="B38" s="1071" t="s">
        <v>87</v>
      </c>
      <c r="C38" s="103" t="s">
        <v>267</v>
      </c>
      <c r="D38" s="1074"/>
      <c r="E38" s="1075">
        <v>1628813.09</v>
      </c>
      <c r="F38" s="1075">
        <v>1137589.27</v>
      </c>
      <c r="G38" s="1079"/>
      <c r="H38" s="1077">
        <f t="shared" si="4"/>
        <v>2766402.3600000003</v>
      </c>
      <c r="I38" s="1077">
        <f t="shared" si="5"/>
        <v>1137589.27</v>
      </c>
    </row>
    <row r="39" spans="1:9" s="237" customFormat="1" x14ac:dyDescent="0.2">
      <c r="A39" s="1070" t="s">
        <v>92</v>
      </c>
      <c r="B39" s="1071" t="s">
        <v>93</v>
      </c>
      <c r="C39" s="103" t="s">
        <v>268</v>
      </c>
      <c r="D39" s="1074"/>
      <c r="E39" s="1075">
        <v>1164193.93</v>
      </c>
      <c r="F39" s="1075">
        <v>457943.03999999998</v>
      </c>
      <c r="G39" s="1079"/>
      <c r="H39" s="1077">
        <f t="shared" si="4"/>
        <v>1622136.97</v>
      </c>
      <c r="I39" s="1077">
        <f t="shared" si="5"/>
        <v>457943.03999999998</v>
      </c>
    </row>
    <row r="40" spans="1:9" s="237" customFormat="1" x14ac:dyDescent="0.2">
      <c r="A40" s="1070" t="s">
        <v>94</v>
      </c>
      <c r="B40" s="1071" t="s">
        <v>95</v>
      </c>
      <c r="C40" s="103" t="s">
        <v>264</v>
      </c>
      <c r="D40" s="1074"/>
      <c r="E40" s="1075">
        <v>518068.72</v>
      </c>
      <c r="F40" s="1075">
        <v>297514.96999999997</v>
      </c>
      <c r="G40" s="1079"/>
      <c r="H40" s="1077">
        <f t="shared" si="4"/>
        <v>815583.69</v>
      </c>
      <c r="I40" s="1077">
        <f t="shared" si="5"/>
        <v>297514.96999999997</v>
      </c>
    </row>
    <row r="41" spans="1:9" s="237" customFormat="1" x14ac:dyDescent="0.2">
      <c r="A41" s="1070" t="s">
        <v>96</v>
      </c>
      <c r="B41" s="1071" t="s">
        <v>97</v>
      </c>
      <c r="C41" s="103" t="s">
        <v>266</v>
      </c>
      <c r="D41" s="1074"/>
      <c r="E41" s="1075">
        <v>657769.80000000005</v>
      </c>
      <c r="F41" s="1075">
        <v>698472.4</v>
      </c>
      <c r="G41" s="1079"/>
      <c r="H41" s="1077">
        <f t="shared" si="4"/>
        <v>1356242.2000000002</v>
      </c>
      <c r="I41" s="1077">
        <f t="shared" si="5"/>
        <v>698472.4</v>
      </c>
    </row>
    <row r="42" spans="1:9" s="237" customFormat="1" x14ac:dyDescent="0.2">
      <c r="A42" s="1070" t="s">
        <v>98</v>
      </c>
      <c r="B42" s="1071" t="s">
        <v>99</v>
      </c>
      <c r="C42" s="103" t="s">
        <v>268</v>
      </c>
      <c r="D42" s="1074"/>
      <c r="E42" s="1075">
        <v>373219.33</v>
      </c>
      <c r="F42" s="1075">
        <v>99737.77</v>
      </c>
      <c r="G42" s="1079"/>
      <c r="H42" s="1077">
        <f t="shared" si="4"/>
        <v>472957.10000000003</v>
      </c>
      <c r="I42" s="1077">
        <f t="shared" si="5"/>
        <v>99737.77</v>
      </c>
    </row>
    <row r="43" spans="1:9" s="237" customFormat="1" x14ac:dyDescent="0.2">
      <c r="A43" s="1070" t="s">
        <v>100</v>
      </c>
      <c r="B43" s="1071" t="s">
        <v>101</v>
      </c>
      <c r="C43" s="103" t="s">
        <v>267</v>
      </c>
      <c r="D43" s="1074"/>
      <c r="E43" s="1075">
        <v>1073962.07</v>
      </c>
      <c r="F43" s="1075">
        <v>547037.72</v>
      </c>
      <c r="G43" s="1079"/>
      <c r="H43" s="1077">
        <f t="shared" si="4"/>
        <v>1620999.79</v>
      </c>
      <c r="I43" s="1077">
        <f t="shared" si="5"/>
        <v>547037.72</v>
      </c>
    </row>
    <row r="44" spans="1:9" s="237" customFormat="1" x14ac:dyDescent="0.2">
      <c r="A44" s="1070" t="s">
        <v>102</v>
      </c>
      <c r="B44" s="1071" t="s">
        <v>103</v>
      </c>
      <c r="C44" s="103" t="s">
        <v>264</v>
      </c>
      <c r="D44" s="1074"/>
      <c r="E44" s="1075">
        <v>538528.64</v>
      </c>
      <c r="F44" s="1075">
        <v>157318.9</v>
      </c>
      <c r="G44" s="1079"/>
      <c r="H44" s="1077">
        <f t="shared" si="4"/>
        <v>695847.54</v>
      </c>
      <c r="I44" s="1077">
        <f t="shared" si="5"/>
        <v>157318.9</v>
      </c>
    </row>
    <row r="45" spans="1:9" s="237" customFormat="1" x14ac:dyDescent="0.2">
      <c r="A45" s="1070" t="s">
        <v>104</v>
      </c>
      <c r="B45" s="1071" t="s">
        <v>309</v>
      </c>
      <c r="C45" s="103" t="s">
        <v>265</v>
      </c>
      <c r="D45" s="1074"/>
      <c r="E45" s="1075">
        <v>2038425.89</v>
      </c>
      <c r="F45" s="1075">
        <v>612258.03</v>
      </c>
      <c r="G45" s="1079"/>
      <c r="H45" s="1077">
        <f t="shared" si="4"/>
        <v>2650683.92</v>
      </c>
      <c r="I45" s="1077">
        <f t="shared" si="5"/>
        <v>612258.03</v>
      </c>
    </row>
    <row r="46" spans="1:9" s="237" customFormat="1" x14ac:dyDescent="0.2">
      <c r="A46" s="1070" t="s">
        <v>108</v>
      </c>
      <c r="B46" s="1071" t="s">
        <v>109</v>
      </c>
      <c r="C46" s="103" t="s">
        <v>266</v>
      </c>
      <c r="D46" s="1074"/>
      <c r="E46" s="1075">
        <v>2268026.7400000002</v>
      </c>
      <c r="F46" s="1075">
        <v>1532474.39</v>
      </c>
      <c r="G46" s="1079"/>
      <c r="H46" s="1077">
        <f t="shared" si="4"/>
        <v>3800501.13</v>
      </c>
      <c r="I46" s="1077">
        <f t="shared" si="5"/>
        <v>1532474.39</v>
      </c>
    </row>
    <row r="47" spans="1:9" s="237" customFormat="1" x14ac:dyDescent="0.2">
      <c r="A47" s="1070" t="s">
        <v>110</v>
      </c>
      <c r="B47" s="1071" t="s">
        <v>111</v>
      </c>
      <c r="C47" s="103" t="s">
        <v>266</v>
      </c>
      <c r="D47" s="1074"/>
      <c r="E47" s="1075">
        <v>7112443.8899999997</v>
      </c>
      <c r="F47" s="1075">
        <v>4236732.49</v>
      </c>
      <c r="G47" s="1079"/>
      <c r="H47" s="1077">
        <f t="shared" si="4"/>
        <v>11349176.379999999</v>
      </c>
      <c r="I47" s="1077">
        <f t="shared" si="5"/>
        <v>4236732.49</v>
      </c>
    </row>
    <row r="48" spans="1:9" s="237" customFormat="1" x14ac:dyDescent="0.2">
      <c r="A48" s="1070" t="s">
        <v>112</v>
      </c>
      <c r="B48" s="1071" t="s">
        <v>300</v>
      </c>
      <c r="C48" s="103" t="s">
        <v>265</v>
      </c>
      <c r="D48" s="1074"/>
      <c r="E48" s="1075">
        <v>497472.76</v>
      </c>
      <c r="F48" s="1075">
        <v>222045.90000000002</v>
      </c>
      <c r="G48" s="1079"/>
      <c r="H48" s="1077">
        <f t="shared" si="4"/>
        <v>719518.66</v>
      </c>
      <c r="I48" s="1077">
        <f t="shared" si="5"/>
        <v>222045.90000000002</v>
      </c>
    </row>
    <row r="49" spans="1:9" s="237" customFormat="1" x14ac:dyDescent="0.2">
      <c r="A49" s="1070" t="s">
        <v>114</v>
      </c>
      <c r="B49" s="1071" t="s">
        <v>115</v>
      </c>
      <c r="C49" s="103" t="s">
        <v>265</v>
      </c>
      <c r="D49" s="1074"/>
      <c r="E49" s="1075">
        <v>589.87</v>
      </c>
      <c r="F49" s="1075">
        <v>364.93</v>
      </c>
      <c r="G49" s="1079"/>
      <c r="H49" s="1077">
        <f t="shared" si="4"/>
        <v>954.8</v>
      </c>
      <c r="I49" s="1077">
        <f t="shared" si="5"/>
        <v>364.93</v>
      </c>
    </row>
    <row r="50" spans="1:9" s="237" customFormat="1" x14ac:dyDescent="0.2">
      <c r="A50" s="1070" t="s">
        <v>118</v>
      </c>
      <c r="B50" s="1071" t="s">
        <v>119</v>
      </c>
      <c r="C50" s="103" t="s">
        <v>264</v>
      </c>
      <c r="D50" s="1074"/>
      <c r="E50" s="1075">
        <v>103252.48</v>
      </c>
      <c r="F50" s="1075">
        <v>60581.919999999998</v>
      </c>
      <c r="G50" s="1079"/>
      <c r="H50" s="1077">
        <f t="shared" si="4"/>
        <v>163834.4</v>
      </c>
      <c r="I50" s="1077">
        <f t="shared" si="5"/>
        <v>60581.919999999998</v>
      </c>
    </row>
    <row r="51" spans="1:9" s="237" customFormat="1" x14ac:dyDescent="0.2">
      <c r="A51" s="1070" t="s">
        <v>120</v>
      </c>
      <c r="B51" s="1071" t="s">
        <v>121</v>
      </c>
      <c r="C51" s="103" t="s">
        <v>264</v>
      </c>
      <c r="D51" s="1074"/>
      <c r="E51" s="1075">
        <v>537212.71</v>
      </c>
      <c r="F51" s="1075">
        <v>342077.56</v>
      </c>
      <c r="G51" s="1079"/>
      <c r="H51" s="1077">
        <f t="shared" si="4"/>
        <v>879290.27</v>
      </c>
      <c r="I51" s="1077">
        <f t="shared" si="5"/>
        <v>342077.56</v>
      </c>
    </row>
    <row r="52" spans="1:9" s="237" customFormat="1" x14ac:dyDescent="0.2">
      <c r="A52" s="1070" t="s">
        <v>122</v>
      </c>
      <c r="B52" s="1071" t="s">
        <v>271</v>
      </c>
      <c r="C52" s="103" t="s">
        <v>266</v>
      </c>
      <c r="D52" s="1074"/>
      <c r="E52" s="1075">
        <v>466249.09</v>
      </c>
      <c r="F52" s="1075">
        <v>211797.78</v>
      </c>
      <c r="G52" s="1079"/>
      <c r="H52" s="1077">
        <f t="shared" si="4"/>
        <v>678046.87</v>
      </c>
      <c r="I52" s="1077">
        <f t="shared" si="5"/>
        <v>211797.78</v>
      </c>
    </row>
    <row r="53" spans="1:9" s="237" customFormat="1" x14ac:dyDescent="0.2">
      <c r="A53" s="1070" t="s">
        <v>124</v>
      </c>
      <c r="B53" s="1071" t="s">
        <v>125</v>
      </c>
      <c r="C53" s="103" t="s">
        <v>267</v>
      </c>
      <c r="D53" s="1074"/>
      <c r="E53" s="1075">
        <v>1007580.51</v>
      </c>
      <c r="F53" s="1075">
        <v>589452.34</v>
      </c>
      <c r="G53" s="1079"/>
      <c r="H53" s="1077">
        <f t="shared" si="4"/>
        <v>1597032.85</v>
      </c>
      <c r="I53" s="1077">
        <f t="shared" si="5"/>
        <v>589452.34</v>
      </c>
    </row>
    <row r="54" spans="1:9" s="237" customFormat="1" x14ac:dyDescent="0.2">
      <c r="A54" s="1070" t="s">
        <v>126</v>
      </c>
      <c r="B54" s="1071" t="s">
        <v>127</v>
      </c>
      <c r="C54" s="103" t="s">
        <v>266</v>
      </c>
      <c r="D54" s="1074"/>
      <c r="E54" s="1075">
        <v>418448.26</v>
      </c>
      <c r="F54" s="1075">
        <v>262040.09</v>
      </c>
      <c r="G54" s="1079"/>
      <c r="H54" s="1077">
        <f t="shared" si="4"/>
        <v>680488.35</v>
      </c>
      <c r="I54" s="1077">
        <f t="shared" si="5"/>
        <v>262040.09</v>
      </c>
    </row>
    <row r="55" spans="1:9" s="237" customFormat="1" x14ac:dyDescent="0.2">
      <c r="A55" s="1070" t="s">
        <v>128</v>
      </c>
      <c r="B55" s="1071" t="s">
        <v>129</v>
      </c>
      <c r="C55" s="103" t="s">
        <v>266</v>
      </c>
      <c r="D55" s="1074"/>
      <c r="E55" s="1075">
        <v>340220.99</v>
      </c>
      <c r="F55" s="1075">
        <v>308942.14</v>
      </c>
      <c r="G55" s="1079"/>
      <c r="H55" s="1077">
        <f t="shared" si="4"/>
        <v>649163.13</v>
      </c>
      <c r="I55" s="1077">
        <f t="shared" si="5"/>
        <v>308942.14</v>
      </c>
    </row>
    <row r="56" spans="1:9" s="237" customFormat="1" x14ac:dyDescent="0.2">
      <c r="A56" s="1070" t="s">
        <v>130</v>
      </c>
      <c r="B56" s="1071" t="s">
        <v>131</v>
      </c>
      <c r="C56" s="103" t="s">
        <v>268</v>
      </c>
      <c r="D56" s="1074"/>
      <c r="E56" s="1075">
        <v>1007689.51</v>
      </c>
      <c r="F56" s="1075">
        <v>285801.36</v>
      </c>
      <c r="G56" s="1079"/>
      <c r="H56" s="1077">
        <f t="shared" si="4"/>
        <v>1293490.8700000001</v>
      </c>
      <c r="I56" s="1077">
        <f t="shared" si="5"/>
        <v>285801.36</v>
      </c>
    </row>
    <row r="57" spans="1:9" s="237" customFormat="1" x14ac:dyDescent="0.2">
      <c r="A57" s="1070" t="s">
        <v>132</v>
      </c>
      <c r="B57" s="1071" t="s">
        <v>133</v>
      </c>
      <c r="C57" s="103" t="s">
        <v>267</v>
      </c>
      <c r="D57" s="1074"/>
      <c r="E57" s="1075">
        <v>3163300</v>
      </c>
      <c r="F57" s="1075">
        <v>2696398.54</v>
      </c>
      <c r="G57" s="1079"/>
      <c r="H57" s="1077">
        <f t="shared" si="4"/>
        <v>5859698.54</v>
      </c>
      <c r="I57" s="1077">
        <f t="shared" si="5"/>
        <v>2696398.54</v>
      </c>
    </row>
    <row r="58" spans="1:9" s="237" customFormat="1" x14ac:dyDescent="0.2">
      <c r="A58" s="1070" t="s">
        <v>134</v>
      </c>
      <c r="B58" s="1071" t="s">
        <v>135</v>
      </c>
      <c r="C58" s="103" t="s">
        <v>267</v>
      </c>
      <c r="D58" s="1074"/>
      <c r="E58" s="1075">
        <v>1458382.73</v>
      </c>
      <c r="F58" s="1075">
        <v>1105986.74</v>
      </c>
      <c r="G58" s="1079"/>
      <c r="H58" s="1077">
        <f t="shared" si="4"/>
        <v>2564369.4699999997</v>
      </c>
      <c r="I58" s="1077">
        <f t="shared" si="5"/>
        <v>1105986.74</v>
      </c>
    </row>
    <row r="59" spans="1:9" s="237" customFormat="1" x14ac:dyDescent="0.2">
      <c r="A59" s="1070" t="s">
        <v>136</v>
      </c>
      <c r="B59" s="1071" t="s">
        <v>137</v>
      </c>
      <c r="C59" s="103" t="s">
        <v>266</v>
      </c>
      <c r="D59" s="1074"/>
      <c r="E59" s="1075">
        <v>938682.03</v>
      </c>
      <c r="F59" s="1075">
        <v>143618.28</v>
      </c>
      <c r="G59" s="1079"/>
      <c r="H59" s="1077">
        <f t="shared" si="4"/>
        <v>1082300.31</v>
      </c>
      <c r="I59" s="1077">
        <f t="shared" si="5"/>
        <v>143618.28</v>
      </c>
    </row>
    <row r="60" spans="1:9" s="237" customFormat="1" x14ac:dyDescent="0.2">
      <c r="A60" s="1070" t="s">
        <v>140</v>
      </c>
      <c r="B60" s="1071" t="s">
        <v>141</v>
      </c>
      <c r="C60" s="103" t="s">
        <v>267</v>
      </c>
      <c r="D60" s="1074"/>
      <c r="E60" s="1075">
        <v>2249497.5499999998</v>
      </c>
      <c r="F60" s="1075">
        <v>1099881.3500000001</v>
      </c>
      <c r="G60" s="1079"/>
      <c r="H60" s="1077">
        <f t="shared" si="4"/>
        <v>3349378.9</v>
      </c>
      <c r="I60" s="1077">
        <f t="shared" si="5"/>
        <v>1099881.3500000001</v>
      </c>
    </row>
    <row r="61" spans="1:9" s="237" customFormat="1" x14ac:dyDescent="0.2">
      <c r="A61" s="1070" t="s">
        <v>146</v>
      </c>
      <c r="B61" s="1071" t="s">
        <v>147</v>
      </c>
      <c r="C61" s="103" t="s">
        <v>264</v>
      </c>
      <c r="D61" s="1074"/>
      <c r="E61" s="1075">
        <v>143006.01999999999</v>
      </c>
      <c r="F61" s="1075">
        <v>108381.56</v>
      </c>
      <c r="G61" s="1079"/>
      <c r="H61" s="1077">
        <f t="shared" si="4"/>
        <v>251387.58</v>
      </c>
      <c r="I61" s="1077">
        <f t="shared" si="5"/>
        <v>108381.56</v>
      </c>
    </row>
    <row r="62" spans="1:9" s="237" customFormat="1" x14ac:dyDescent="0.2">
      <c r="A62" s="1070" t="s">
        <v>148</v>
      </c>
      <c r="B62" s="1071" t="s">
        <v>149</v>
      </c>
      <c r="C62" s="103" t="s">
        <v>265</v>
      </c>
      <c r="D62" s="1074"/>
      <c r="E62" s="1075">
        <v>1349650.97</v>
      </c>
      <c r="F62" s="1075">
        <v>382779.43</v>
      </c>
      <c r="G62" s="1079"/>
      <c r="H62" s="1077">
        <f t="shared" si="4"/>
        <v>1732430.4</v>
      </c>
      <c r="I62" s="1077">
        <f t="shared" si="5"/>
        <v>382779.43</v>
      </c>
    </row>
    <row r="63" spans="1:9" s="237" customFormat="1" x14ac:dyDescent="0.2">
      <c r="A63" s="1070" t="s">
        <v>150</v>
      </c>
      <c r="B63" s="1071" t="s">
        <v>151</v>
      </c>
      <c r="C63" s="103" t="s">
        <v>266</v>
      </c>
      <c r="D63" s="1074"/>
      <c r="E63" s="1075">
        <v>257295.18</v>
      </c>
      <c r="F63" s="1075">
        <v>194742.81</v>
      </c>
      <c r="G63" s="1079"/>
      <c r="H63" s="1077">
        <f t="shared" si="4"/>
        <v>452037.99</v>
      </c>
      <c r="I63" s="1077">
        <f t="shared" si="5"/>
        <v>194742.81</v>
      </c>
    </row>
    <row r="64" spans="1:9" s="237" customFormat="1" x14ac:dyDescent="0.2">
      <c r="A64" s="1070" t="s">
        <v>152</v>
      </c>
      <c r="B64" s="1071" t="s">
        <v>153</v>
      </c>
      <c r="C64" s="103" t="s">
        <v>268</v>
      </c>
      <c r="D64" s="1074"/>
      <c r="E64" s="1075">
        <v>754687.3</v>
      </c>
      <c r="F64" s="1075">
        <v>286269.28999999998</v>
      </c>
      <c r="G64" s="1079"/>
      <c r="H64" s="1077">
        <f t="shared" si="4"/>
        <v>1040956.5900000001</v>
      </c>
      <c r="I64" s="1077">
        <f t="shared" si="5"/>
        <v>286269.28999999998</v>
      </c>
    </row>
    <row r="65" spans="1:9" s="237" customFormat="1" x14ac:dyDescent="0.2">
      <c r="A65" s="1070" t="s">
        <v>154</v>
      </c>
      <c r="B65" s="1071" t="s">
        <v>155</v>
      </c>
      <c r="C65" s="103" t="s">
        <v>265</v>
      </c>
      <c r="D65" s="1074"/>
      <c r="E65" s="1075">
        <v>539881.29</v>
      </c>
      <c r="F65" s="1075">
        <v>249686.25</v>
      </c>
      <c r="G65" s="1079"/>
      <c r="H65" s="1077">
        <f t="shared" si="4"/>
        <v>789567.54</v>
      </c>
      <c r="I65" s="1077">
        <f t="shared" si="5"/>
        <v>249686.25</v>
      </c>
    </row>
    <row r="66" spans="1:9" s="237" customFormat="1" x14ac:dyDescent="0.2">
      <c r="A66" s="1070" t="s">
        <v>156</v>
      </c>
      <c r="B66" s="1071" t="s">
        <v>157</v>
      </c>
      <c r="C66" s="103" t="s">
        <v>266</v>
      </c>
      <c r="D66" s="1074"/>
      <c r="E66" s="1075">
        <v>647219.31000000006</v>
      </c>
      <c r="F66" s="1075">
        <v>464017.75</v>
      </c>
      <c r="G66" s="1079"/>
      <c r="H66" s="1077">
        <f t="shared" si="4"/>
        <v>1111237.06</v>
      </c>
      <c r="I66" s="1077">
        <f t="shared" si="5"/>
        <v>464017.75</v>
      </c>
    </row>
    <row r="67" spans="1:9" s="237" customFormat="1" x14ac:dyDescent="0.2">
      <c r="A67" s="1070" t="s">
        <v>162</v>
      </c>
      <c r="B67" s="1071" t="s">
        <v>163</v>
      </c>
      <c r="C67" s="103" t="s">
        <v>264</v>
      </c>
      <c r="D67" s="1074"/>
      <c r="E67" s="1075">
        <v>339157.41</v>
      </c>
      <c r="F67" s="1075">
        <v>87760.45</v>
      </c>
      <c r="G67" s="1079"/>
      <c r="H67" s="1077">
        <f t="shared" si="4"/>
        <v>426917.86</v>
      </c>
      <c r="I67" s="1077">
        <f t="shared" si="5"/>
        <v>87760.45</v>
      </c>
    </row>
    <row r="68" spans="1:9" s="237" customFormat="1" x14ac:dyDescent="0.2">
      <c r="A68" s="1070" t="s">
        <v>164</v>
      </c>
      <c r="B68" s="1071" t="s">
        <v>165</v>
      </c>
      <c r="C68" s="103" t="s">
        <v>266</v>
      </c>
      <c r="D68" s="1074"/>
      <c r="E68" s="1075">
        <v>291908.09999999998</v>
      </c>
      <c r="F68" s="1075">
        <v>145097.39000000001</v>
      </c>
      <c r="G68" s="1079"/>
      <c r="H68" s="1077">
        <f t="shared" si="4"/>
        <v>437005.49</v>
      </c>
      <c r="I68" s="1077">
        <f t="shared" si="5"/>
        <v>145097.39000000001</v>
      </c>
    </row>
    <row r="69" spans="1:9" s="237" customFormat="1" x14ac:dyDescent="0.2">
      <c r="A69" s="1070" t="s">
        <v>168</v>
      </c>
      <c r="B69" s="1071" t="s">
        <v>169</v>
      </c>
      <c r="C69" s="103" t="s">
        <v>266</v>
      </c>
      <c r="D69" s="1074"/>
      <c r="E69" s="1075">
        <v>352665.4</v>
      </c>
      <c r="F69" s="1075">
        <v>139880.76999999999</v>
      </c>
      <c r="G69" s="1079"/>
      <c r="H69" s="1077">
        <f t="shared" ref="H69:H100" si="6">SUM(D69:G69)</f>
        <v>492546.17000000004</v>
      </c>
      <c r="I69" s="1077">
        <f t="shared" ref="I69:I100" si="7">F69+G69</f>
        <v>139880.76999999999</v>
      </c>
    </row>
    <row r="70" spans="1:9" s="237" customFormat="1" x14ac:dyDescent="0.2">
      <c r="A70" s="1070" t="s">
        <v>170</v>
      </c>
      <c r="B70" s="1071" t="s">
        <v>171</v>
      </c>
      <c r="C70" s="103" t="s">
        <v>267</v>
      </c>
      <c r="D70" s="1074"/>
      <c r="E70" s="1075">
        <v>1255929.8500000001</v>
      </c>
      <c r="F70" s="1075">
        <v>785159.76</v>
      </c>
      <c r="G70" s="1079"/>
      <c r="H70" s="1077">
        <f t="shared" si="6"/>
        <v>2041089.61</v>
      </c>
      <c r="I70" s="1077">
        <f t="shared" si="7"/>
        <v>785159.76</v>
      </c>
    </row>
    <row r="71" spans="1:9" s="237" customFormat="1" x14ac:dyDescent="0.2">
      <c r="A71" s="1070" t="s">
        <v>172</v>
      </c>
      <c r="B71" s="1071" t="s">
        <v>173</v>
      </c>
      <c r="C71" s="103" t="s">
        <v>267</v>
      </c>
      <c r="D71" s="1074"/>
      <c r="E71" s="1075">
        <v>768716.36</v>
      </c>
      <c r="F71" s="1075">
        <v>303691.25</v>
      </c>
      <c r="G71" s="1079"/>
      <c r="H71" s="1077">
        <f t="shared" si="6"/>
        <v>1072407.6099999999</v>
      </c>
      <c r="I71" s="1077">
        <f t="shared" si="7"/>
        <v>303691.25</v>
      </c>
    </row>
    <row r="72" spans="1:9" s="237" customFormat="1" x14ac:dyDescent="0.2">
      <c r="A72" s="1070" t="s">
        <v>174</v>
      </c>
      <c r="B72" s="1071" t="s">
        <v>175</v>
      </c>
      <c r="C72" s="103" t="s">
        <v>268</v>
      </c>
      <c r="D72" s="1074"/>
      <c r="E72" s="1075">
        <v>233607.92</v>
      </c>
      <c r="F72" s="1075">
        <v>83915.25</v>
      </c>
      <c r="G72" s="1079"/>
      <c r="H72" s="1077">
        <f t="shared" si="6"/>
        <v>317523.17000000004</v>
      </c>
      <c r="I72" s="1077">
        <f t="shared" si="7"/>
        <v>83915.25</v>
      </c>
    </row>
    <row r="73" spans="1:9" s="237" customFormat="1" x14ac:dyDescent="0.2">
      <c r="A73" s="1070" t="s">
        <v>178</v>
      </c>
      <c r="B73" s="1071" t="s">
        <v>179</v>
      </c>
      <c r="C73" s="103" t="s">
        <v>265</v>
      </c>
      <c r="D73" s="1074"/>
      <c r="E73" s="1075">
        <v>3936889.27</v>
      </c>
      <c r="F73" s="1075">
        <v>1066625.82</v>
      </c>
      <c r="G73" s="1079"/>
      <c r="H73" s="1077">
        <f t="shared" si="6"/>
        <v>5003515.09</v>
      </c>
      <c r="I73" s="1077">
        <f t="shared" si="7"/>
        <v>1066625.82</v>
      </c>
    </row>
    <row r="74" spans="1:9" s="237" customFormat="1" x14ac:dyDescent="0.2">
      <c r="A74" s="1070" t="s">
        <v>182</v>
      </c>
      <c r="B74" s="1071" t="s">
        <v>183</v>
      </c>
      <c r="C74" s="103" t="s">
        <v>266</v>
      </c>
      <c r="D74" s="1074"/>
      <c r="E74" s="1075">
        <v>1099769.28</v>
      </c>
      <c r="F74" s="1075">
        <v>794447.38</v>
      </c>
      <c r="G74" s="1079"/>
      <c r="H74" s="1077">
        <f t="shared" si="6"/>
        <v>1894216.6600000001</v>
      </c>
      <c r="I74" s="1077">
        <f t="shared" si="7"/>
        <v>794447.38</v>
      </c>
    </row>
    <row r="75" spans="1:9" s="237" customFormat="1" x14ac:dyDescent="0.2">
      <c r="A75" s="1070" t="s">
        <v>184</v>
      </c>
      <c r="B75" s="1071" t="s">
        <v>185</v>
      </c>
      <c r="C75" s="103" t="s">
        <v>266</v>
      </c>
      <c r="D75" s="1074"/>
      <c r="E75" s="1075">
        <v>871759.49</v>
      </c>
      <c r="F75" s="1075">
        <v>236276.92</v>
      </c>
      <c r="G75" s="1079"/>
      <c r="H75" s="1077">
        <f t="shared" si="6"/>
        <v>1108036.4099999999</v>
      </c>
      <c r="I75" s="1077">
        <f t="shared" si="7"/>
        <v>236276.92</v>
      </c>
    </row>
    <row r="76" spans="1:9" s="237" customFormat="1" x14ac:dyDescent="0.2">
      <c r="A76" s="1070" t="s">
        <v>186</v>
      </c>
      <c r="B76" s="1071" t="s">
        <v>187</v>
      </c>
      <c r="C76" s="103" t="s">
        <v>264</v>
      </c>
      <c r="D76" s="1074"/>
      <c r="E76" s="1075">
        <v>853458.35</v>
      </c>
      <c r="F76" s="1075">
        <v>510109.24</v>
      </c>
      <c r="G76" s="1079"/>
      <c r="H76" s="1077">
        <f t="shared" si="6"/>
        <v>1363567.5899999999</v>
      </c>
      <c r="I76" s="1077">
        <f t="shared" si="7"/>
        <v>510109.24</v>
      </c>
    </row>
    <row r="77" spans="1:9" s="237" customFormat="1" x14ac:dyDescent="0.2">
      <c r="A77" s="1070" t="s">
        <v>188</v>
      </c>
      <c r="B77" s="1071" t="s">
        <v>189</v>
      </c>
      <c r="C77" s="103" t="s">
        <v>267</v>
      </c>
      <c r="D77" s="1074"/>
      <c r="E77" s="1075">
        <v>6250432.6399999997</v>
      </c>
      <c r="F77" s="1075">
        <v>2992259.78</v>
      </c>
      <c r="G77" s="1079"/>
      <c r="H77" s="1077">
        <f t="shared" si="6"/>
        <v>9242692.4199999999</v>
      </c>
      <c r="I77" s="1077">
        <f t="shared" si="7"/>
        <v>2992259.78</v>
      </c>
    </row>
    <row r="78" spans="1:9" s="237" customFormat="1" x14ac:dyDescent="0.2">
      <c r="A78" s="1070" t="s">
        <v>190</v>
      </c>
      <c r="B78" s="1071" t="s">
        <v>191</v>
      </c>
      <c r="C78" s="103" t="s">
        <v>268</v>
      </c>
      <c r="D78" s="1074"/>
      <c r="E78" s="1075">
        <v>2766001.03</v>
      </c>
      <c r="F78" s="1075">
        <v>1101188.28</v>
      </c>
      <c r="G78" s="1079"/>
      <c r="H78" s="1077">
        <f t="shared" si="6"/>
        <v>3867189.3099999996</v>
      </c>
      <c r="I78" s="1077">
        <f t="shared" si="7"/>
        <v>1101188.28</v>
      </c>
    </row>
    <row r="79" spans="1:9" s="237" customFormat="1" x14ac:dyDescent="0.2">
      <c r="A79" s="1070" t="s">
        <v>194</v>
      </c>
      <c r="B79" s="1071" t="s">
        <v>195</v>
      </c>
      <c r="C79" s="103" t="s">
        <v>267</v>
      </c>
      <c r="D79" s="1074"/>
      <c r="E79" s="1075">
        <v>641070.44999999995</v>
      </c>
      <c r="F79" s="1075">
        <v>441805.98</v>
      </c>
      <c r="G79" s="1079"/>
      <c r="H79" s="1077">
        <f t="shared" si="6"/>
        <v>1082876.43</v>
      </c>
      <c r="I79" s="1077">
        <f t="shared" si="7"/>
        <v>441805.98</v>
      </c>
    </row>
    <row r="80" spans="1:9" s="237" customFormat="1" x14ac:dyDescent="0.2">
      <c r="A80" s="1070" t="s">
        <v>198</v>
      </c>
      <c r="B80" s="1071" t="s">
        <v>199</v>
      </c>
      <c r="C80" s="103" t="s">
        <v>266</v>
      </c>
      <c r="D80" s="1074"/>
      <c r="E80" s="1075">
        <v>247198.74</v>
      </c>
      <c r="F80" s="1075">
        <v>122461.58</v>
      </c>
      <c r="G80" s="1079"/>
      <c r="H80" s="1077">
        <f t="shared" si="6"/>
        <v>369660.32</v>
      </c>
      <c r="I80" s="1077">
        <f t="shared" si="7"/>
        <v>122461.58</v>
      </c>
    </row>
    <row r="81" spans="1:9" s="237" customFormat="1" x14ac:dyDescent="0.2">
      <c r="A81" s="1070" t="s">
        <v>202</v>
      </c>
      <c r="B81" s="1071" t="s">
        <v>203</v>
      </c>
      <c r="C81" s="103" t="s">
        <v>265</v>
      </c>
      <c r="D81" s="1074"/>
      <c r="E81" s="1075">
        <v>4605766.5600000005</v>
      </c>
      <c r="F81" s="1075">
        <v>3329596.58</v>
      </c>
      <c r="G81" s="1079"/>
      <c r="H81" s="1077">
        <f t="shared" si="6"/>
        <v>7935363.1400000006</v>
      </c>
      <c r="I81" s="1077">
        <f t="shared" si="7"/>
        <v>3329596.58</v>
      </c>
    </row>
    <row r="82" spans="1:9" s="237" customFormat="1" x14ac:dyDescent="0.2">
      <c r="A82" s="1070" t="s">
        <v>204</v>
      </c>
      <c r="B82" s="1071" t="s">
        <v>205</v>
      </c>
      <c r="C82" s="103" t="s">
        <v>265</v>
      </c>
      <c r="D82" s="1074"/>
      <c r="E82" s="1075">
        <v>2913565.65</v>
      </c>
      <c r="F82" s="1075">
        <v>848067.82000000007</v>
      </c>
      <c r="G82" s="1079"/>
      <c r="H82" s="1077">
        <f t="shared" si="6"/>
        <v>3761633.4699999997</v>
      </c>
      <c r="I82" s="1077">
        <f t="shared" si="7"/>
        <v>848067.82000000007</v>
      </c>
    </row>
    <row r="83" spans="1:9" s="237" customFormat="1" x14ac:dyDescent="0.2">
      <c r="A83" s="1070" t="s">
        <v>206</v>
      </c>
      <c r="B83" s="1071" t="s">
        <v>207</v>
      </c>
      <c r="C83" s="103" t="s">
        <v>267</v>
      </c>
      <c r="D83" s="1074"/>
      <c r="E83" s="1075">
        <v>5617586.5899999999</v>
      </c>
      <c r="F83" s="1075">
        <v>3138034.4699999997</v>
      </c>
      <c r="G83" s="1079"/>
      <c r="H83" s="1077">
        <f t="shared" si="6"/>
        <v>8755621.0599999987</v>
      </c>
      <c r="I83" s="1077">
        <f t="shared" si="7"/>
        <v>3138034.4699999997</v>
      </c>
    </row>
    <row r="84" spans="1:9" s="237" customFormat="1" x14ac:dyDescent="0.2">
      <c r="A84" s="1070" t="s">
        <v>208</v>
      </c>
      <c r="B84" s="1071" t="s">
        <v>209</v>
      </c>
      <c r="C84" s="103" t="s">
        <v>268</v>
      </c>
      <c r="D84" s="1074"/>
      <c r="E84" s="1075">
        <v>1340688.71</v>
      </c>
      <c r="F84" s="1075">
        <v>332126.58</v>
      </c>
      <c r="G84" s="1079"/>
      <c r="H84" s="1077">
        <f t="shared" si="6"/>
        <v>1672815.29</v>
      </c>
      <c r="I84" s="1077">
        <f t="shared" si="7"/>
        <v>332126.58</v>
      </c>
    </row>
    <row r="85" spans="1:9" s="237" customFormat="1" x14ac:dyDescent="0.2">
      <c r="A85" s="1070" t="s">
        <v>210</v>
      </c>
      <c r="B85" s="1071" t="s">
        <v>211</v>
      </c>
      <c r="C85" s="103" t="s">
        <v>268</v>
      </c>
      <c r="D85" s="1074"/>
      <c r="E85" s="1075">
        <v>539584.43000000005</v>
      </c>
      <c r="F85" s="1075">
        <v>257263.95</v>
      </c>
      <c r="G85" s="1079"/>
      <c r="H85" s="1077">
        <f t="shared" si="6"/>
        <v>796848.38000000012</v>
      </c>
      <c r="I85" s="1077">
        <f t="shared" si="7"/>
        <v>257263.95</v>
      </c>
    </row>
    <row r="86" spans="1:9" s="237" customFormat="1" x14ac:dyDescent="0.2">
      <c r="A86" s="1070" t="s">
        <v>212</v>
      </c>
      <c r="B86" s="1071" t="s">
        <v>213</v>
      </c>
      <c r="C86" s="103" t="s">
        <v>267</v>
      </c>
      <c r="D86" s="1074"/>
      <c r="E86" s="1075">
        <v>1764420.37</v>
      </c>
      <c r="F86" s="1075">
        <v>867691.38</v>
      </c>
      <c r="G86" s="1079"/>
      <c r="H86" s="1077">
        <f t="shared" si="6"/>
        <v>2632111.75</v>
      </c>
      <c r="I86" s="1077">
        <f t="shared" si="7"/>
        <v>867691.38</v>
      </c>
    </row>
    <row r="87" spans="1:9" s="237" customFormat="1" x14ac:dyDescent="0.2">
      <c r="A87" s="1070" t="s">
        <v>214</v>
      </c>
      <c r="B87" s="1071" t="s">
        <v>215</v>
      </c>
      <c r="C87" s="103" t="s">
        <v>268</v>
      </c>
      <c r="D87" s="1074"/>
      <c r="E87" s="1075">
        <v>808435.48</v>
      </c>
      <c r="F87" s="1075">
        <v>220812.18</v>
      </c>
      <c r="G87" s="1079"/>
      <c r="H87" s="1077">
        <f t="shared" si="6"/>
        <v>1029247.6599999999</v>
      </c>
      <c r="I87" s="1077">
        <f t="shared" si="7"/>
        <v>220812.18</v>
      </c>
    </row>
    <row r="88" spans="1:9" s="237" customFormat="1" x14ac:dyDescent="0.2">
      <c r="A88" s="1070" t="s">
        <v>216</v>
      </c>
      <c r="B88" s="1071" t="s">
        <v>217</v>
      </c>
      <c r="C88" s="103" t="s">
        <v>264</v>
      </c>
      <c r="D88" s="1074"/>
      <c r="E88" s="1075">
        <v>307893.09999999998</v>
      </c>
      <c r="F88" s="1075">
        <v>149914.62</v>
      </c>
      <c r="G88" s="1079"/>
      <c r="H88" s="1077">
        <f t="shared" si="6"/>
        <v>457807.72</v>
      </c>
      <c r="I88" s="1077">
        <f t="shared" si="7"/>
        <v>149914.62</v>
      </c>
    </row>
    <row r="89" spans="1:9" s="237" customFormat="1" x14ac:dyDescent="0.2">
      <c r="A89" s="1070" t="s">
        <v>218</v>
      </c>
      <c r="B89" s="1071" t="s">
        <v>219</v>
      </c>
      <c r="C89" s="103" t="s">
        <v>267</v>
      </c>
      <c r="D89" s="1074"/>
      <c r="E89" s="1075">
        <v>4735461.75</v>
      </c>
      <c r="F89" s="1075">
        <v>3692361.12</v>
      </c>
      <c r="G89" s="1079"/>
      <c r="H89" s="1077">
        <f t="shared" si="6"/>
        <v>8427822.870000001</v>
      </c>
      <c r="I89" s="1077">
        <f t="shared" si="7"/>
        <v>3692361.12</v>
      </c>
    </row>
    <row r="90" spans="1:9" s="237" customFormat="1" x14ac:dyDescent="0.2">
      <c r="A90" s="1070" t="s">
        <v>220</v>
      </c>
      <c r="B90" s="1071" t="s">
        <v>221</v>
      </c>
      <c r="C90" s="103" t="s">
        <v>267</v>
      </c>
      <c r="D90" s="1074"/>
      <c r="E90" s="1075">
        <v>2568476.4</v>
      </c>
      <c r="F90" s="1075">
        <v>2043685.61</v>
      </c>
      <c r="G90" s="1079"/>
      <c r="H90" s="1077">
        <f t="shared" si="6"/>
        <v>4612162.01</v>
      </c>
      <c r="I90" s="1077">
        <f t="shared" si="7"/>
        <v>2043685.61</v>
      </c>
    </row>
    <row r="91" spans="1:9" s="237" customFormat="1" x14ac:dyDescent="0.2">
      <c r="A91" s="1070" t="s">
        <v>224</v>
      </c>
      <c r="B91" s="1071" t="s">
        <v>225</v>
      </c>
      <c r="C91" s="103" t="s">
        <v>264</v>
      </c>
      <c r="D91" s="1074"/>
      <c r="E91" s="1075">
        <v>44598.04</v>
      </c>
      <c r="F91" s="1075">
        <v>26799.96</v>
      </c>
      <c r="G91" s="1079"/>
      <c r="H91" s="1077">
        <f t="shared" si="6"/>
        <v>71398</v>
      </c>
      <c r="I91" s="1077">
        <f t="shared" si="7"/>
        <v>26799.96</v>
      </c>
    </row>
    <row r="92" spans="1:9" s="237" customFormat="1" x14ac:dyDescent="0.2">
      <c r="A92" s="1070" t="s">
        <v>226</v>
      </c>
      <c r="B92" s="1071" t="s">
        <v>227</v>
      </c>
      <c r="C92" s="103" t="s">
        <v>264</v>
      </c>
      <c r="D92" s="1074"/>
      <c r="E92" s="1075">
        <v>462872.89</v>
      </c>
      <c r="F92" s="1075">
        <v>144729.13</v>
      </c>
      <c r="G92" s="1079"/>
      <c r="H92" s="1077">
        <f t="shared" si="6"/>
        <v>607602.02</v>
      </c>
      <c r="I92" s="1077">
        <f t="shared" si="7"/>
        <v>144729.13</v>
      </c>
    </row>
    <row r="93" spans="1:9" s="237" customFormat="1" x14ac:dyDescent="0.2">
      <c r="A93" s="1070" t="s">
        <v>228</v>
      </c>
      <c r="B93" s="1071" t="s">
        <v>229</v>
      </c>
      <c r="C93" s="103" t="s">
        <v>268</v>
      </c>
      <c r="D93" s="1074"/>
      <c r="E93" s="1075">
        <v>1396623.99</v>
      </c>
      <c r="F93" s="1075">
        <v>430424.28</v>
      </c>
      <c r="G93" s="1079"/>
      <c r="H93" s="1077">
        <f t="shared" si="6"/>
        <v>1827048.27</v>
      </c>
      <c r="I93" s="1077">
        <f t="shared" si="7"/>
        <v>430424.28</v>
      </c>
    </row>
    <row r="94" spans="1:9" s="237" customFormat="1" x14ac:dyDescent="0.2">
      <c r="A94" s="1070" t="s">
        <v>232</v>
      </c>
      <c r="B94" s="1071" t="s">
        <v>233</v>
      </c>
      <c r="C94" s="103" t="s">
        <v>267</v>
      </c>
      <c r="D94" s="1074"/>
      <c r="E94" s="1075">
        <v>926583.69</v>
      </c>
      <c r="F94" s="1075">
        <v>573859.61</v>
      </c>
      <c r="G94" s="1079"/>
      <c r="H94" s="1077">
        <f t="shared" si="6"/>
        <v>1500443.2999999998</v>
      </c>
      <c r="I94" s="1077">
        <f t="shared" si="7"/>
        <v>573859.61</v>
      </c>
    </row>
    <row r="95" spans="1:9" s="237" customFormat="1" x14ac:dyDescent="0.2">
      <c r="A95" s="1070" t="s">
        <v>234</v>
      </c>
      <c r="B95" s="1071" t="s">
        <v>235</v>
      </c>
      <c r="C95" s="103" t="s">
        <v>268</v>
      </c>
      <c r="D95" s="1074"/>
      <c r="E95" s="1075">
        <v>1129688.27</v>
      </c>
      <c r="F95" s="1075">
        <v>420871.8</v>
      </c>
      <c r="G95" s="1079"/>
      <c r="H95" s="1077">
        <f t="shared" si="6"/>
        <v>1550560.07</v>
      </c>
      <c r="I95" s="1077">
        <f t="shared" si="7"/>
        <v>420871.8</v>
      </c>
    </row>
    <row r="96" spans="1:9" s="237" customFormat="1" x14ac:dyDescent="0.2">
      <c r="A96" s="1070" t="s">
        <v>236</v>
      </c>
      <c r="B96" s="1071" t="s">
        <v>237</v>
      </c>
      <c r="C96" s="103" t="s">
        <v>266</v>
      </c>
      <c r="D96" s="1074"/>
      <c r="E96" s="1075">
        <v>862466.37</v>
      </c>
      <c r="F96" s="1075">
        <v>378304.86</v>
      </c>
      <c r="G96" s="1079"/>
      <c r="H96" s="1077">
        <f t="shared" si="6"/>
        <v>1240771.23</v>
      </c>
      <c r="I96" s="1077">
        <f t="shared" si="7"/>
        <v>378304.86</v>
      </c>
    </row>
    <row r="97" spans="1:9" s="237" customFormat="1" x14ac:dyDescent="0.2">
      <c r="A97" s="1070" t="s">
        <v>242</v>
      </c>
      <c r="B97" s="1071" t="s">
        <v>243</v>
      </c>
      <c r="C97" s="103" t="s">
        <v>268</v>
      </c>
      <c r="D97" s="1074"/>
      <c r="E97" s="1075">
        <v>1284875.76</v>
      </c>
      <c r="F97" s="1075">
        <v>455351.95</v>
      </c>
      <c r="G97" s="1079"/>
      <c r="H97" s="1077">
        <f t="shared" si="6"/>
        <v>1740227.71</v>
      </c>
      <c r="I97" s="1077">
        <f t="shared" si="7"/>
        <v>455351.95</v>
      </c>
    </row>
    <row r="98" spans="1:9" s="237" customFormat="1" x14ac:dyDescent="0.2">
      <c r="A98" s="1070" t="s">
        <v>244</v>
      </c>
      <c r="B98" s="1071" t="s">
        <v>245</v>
      </c>
      <c r="C98" s="103" t="s">
        <v>268</v>
      </c>
      <c r="D98" s="1074"/>
      <c r="E98" s="1075">
        <v>1430072.49</v>
      </c>
      <c r="F98" s="1075">
        <v>513246.39</v>
      </c>
      <c r="G98" s="1079"/>
      <c r="H98" s="1077">
        <f t="shared" si="6"/>
        <v>1943318.88</v>
      </c>
      <c r="I98" s="1077">
        <f t="shared" si="7"/>
        <v>513246.39</v>
      </c>
    </row>
    <row r="99" spans="1:9" s="237" customFormat="1" x14ac:dyDescent="0.2">
      <c r="A99" s="1070" t="s">
        <v>246</v>
      </c>
      <c r="B99" s="1071" t="s">
        <v>310</v>
      </c>
      <c r="C99" s="103" t="s">
        <v>264</v>
      </c>
      <c r="D99" s="1074"/>
      <c r="E99" s="1075">
        <v>859058.55</v>
      </c>
      <c r="F99" s="1075">
        <v>457976.37</v>
      </c>
      <c r="G99" s="1079"/>
      <c r="H99" s="1077">
        <f t="shared" si="6"/>
        <v>1317034.92</v>
      </c>
      <c r="I99" s="1077">
        <f t="shared" si="7"/>
        <v>457976.37</v>
      </c>
    </row>
    <row r="100" spans="1:9" s="237" customFormat="1" x14ac:dyDescent="0.2">
      <c r="A100" s="1070" t="s">
        <v>14</v>
      </c>
      <c r="B100" s="1071" t="s">
        <v>15</v>
      </c>
      <c r="C100" s="103" t="s">
        <v>267</v>
      </c>
      <c r="D100" s="1074"/>
      <c r="E100" s="1075">
        <v>4238889.0599999996</v>
      </c>
      <c r="F100" s="1075">
        <v>3919715.12</v>
      </c>
      <c r="G100" s="1079"/>
      <c r="H100" s="1077">
        <f t="shared" si="6"/>
        <v>8158604.1799999997</v>
      </c>
      <c r="I100" s="1077">
        <f t="shared" si="7"/>
        <v>3919715.12</v>
      </c>
    </row>
    <row r="101" spans="1:9" s="237" customFormat="1" x14ac:dyDescent="0.2">
      <c r="A101" s="1070" t="s">
        <v>34</v>
      </c>
      <c r="B101" s="1071" t="s">
        <v>35</v>
      </c>
      <c r="C101" s="103" t="s">
        <v>268</v>
      </c>
      <c r="D101" s="1074"/>
      <c r="E101" s="1075">
        <v>1537708.95</v>
      </c>
      <c r="F101" s="1075">
        <v>541535.87</v>
      </c>
      <c r="G101" s="1079"/>
      <c r="H101" s="1077">
        <f t="shared" ref="H101:H124" si="8">SUM(D101:G101)</f>
        <v>2079244.8199999998</v>
      </c>
      <c r="I101" s="1077">
        <f t="shared" ref="I101:I124" si="9">F101+G101</f>
        <v>541535.87</v>
      </c>
    </row>
    <row r="102" spans="1:9" s="237" customFormat="1" x14ac:dyDescent="0.2">
      <c r="A102" s="1070" t="s">
        <v>52</v>
      </c>
      <c r="B102" s="1071" t="s">
        <v>53</v>
      </c>
      <c r="C102" s="103" t="s">
        <v>265</v>
      </c>
      <c r="D102" s="1074"/>
      <c r="E102" s="1075">
        <v>5186707.1900000004</v>
      </c>
      <c r="F102" s="1075">
        <v>1996579.88</v>
      </c>
      <c r="G102" s="1079"/>
      <c r="H102" s="1077">
        <f t="shared" si="8"/>
        <v>7183287.0700000003</v>
      </c>
      <c r="I102" s="1077">
        <f t="shared" si="9"/>
        <v>1996579.88</v>
      </c>
    </row>
    <row r="103" spans="1:9" s="237" customFormat="1" x14ac:dyDescent="0.2">
      <c r="A103" s="1070" t="s">
        <v>54</v>
      </c>
      <c r="B103" s="1071" t="s">
        <v>55</v>
      </c>
      <c r="C103" s="103" t="s">
        <v>264</v>
      </c>
      <c r="D103" s="1074"/>
      <c r="E103" s="1075">
        <v>2337423.42</v>
      </c>
      <c r="F103" s="1075">
        <v>1322285.06</v>
      </c>
      <c r="G103" s="1079"/>
      <c r="H103" s="1077">
        <f t="shared" si="8"/>
        <v>3659708.48</v>
      </c>
      <c r="I103" s="1077">
        <f t="shared" si="9"/>
        <v>1322285.06</v>
      </c>
    </row>
    <row r="104" spans="1:9" s="237" customFormat="1" x14ac:dyDescent="0.2">
      <c r="A104" s="1070" t="s">
        <v>66</v>
      </c>
      <c r="B104" s="1071" t="s">
        <v>67</v>
      </c>
      <c r="C104" s="103" t="s">
        <v>265</v>
      </c>
      <c r="D104" s="1074"/>
      <c r="E104" s="1075">
        <v>3005779.93</v>
      </c>
      <c r="F104" s="1075">
        <v>823262.6</v>
      </c>
      <c r="G104" s="1079"/>
      <c r="H104" s="1077">
        <f t="shared" si="8"/>
        <v>3829042.5300000003</v>
      </c>
      <c r="I104" s="1077">
        <f t="shared" si="9"/>
        <v>823262.6</v>
      </c>
    </row>
    <row r="105" spans="1:9" s="237" customFormat="1" x14ac:dyDescent="0.2">
      <c r="A105" s="1070" t="s">
        <v>82</v>
      </c>
      <c r="B105" s="1071" t="s">
        <v>311</v>
      </c>
      <c r="C105" s="103" t="s">
        <v>264</v>
      </c>
      <c r="D105" s="1074"/>
      <c r="E105" s="1075">
        <v>96860.1</v>
      </c>
      <c r="F105" s="1075">
        <v>56524.27</v>
      </c>
      <c r="G105" s="1079"/>
      <c r="H105" s="1077">
        <f t="shared" si="8"/>
        <v>153384.37</v>
      </c>
      <c r="I105" s="1077">
        <f t="shared" si="9"/>
        <v>56524.27</v>
      </c>
    </row>
    <row r="106" spans="1:9" s="237" customFormat="1" x14ac:dyDescent="0.2">
      <c r="A106" s="1070" t="s">
        <v>88</v>
      </c>
      <c r="B106" s="1071" t="s">
        <v>89</v>
      </c>
      <c r="C106" s="103" t="s">
        <v>267</v>
      </c>
      <c r="D106" s="1074"/>
      <c r="E106" s="1075">
        <v>1014689.21</v>
      </c>
      <c r="F106" s="1075">
        <v>521358.63</v>
      </c>
      <c r="G106" s="1079"/>
      <c r="H106" s="1077">
        <f t="shared" si="8"/>
        <v>1536047.8399999999</v>
      </c>
      <c r="I106" s="1077">
        <f t="shared" si="9"/>
        <v>521358.63</v>
      </c>
    </row>
    <row r="107" spans="1:9" s="237" customFormat="1" x14ac:dyDescent="0.2">
      <c r="A107" s="1070" t="s">
        <v>90</v>
      </c>
      <c r="B107" s="1071" t="s">
        <v>91</v>
      </c>
      <c r="C107" s="103" t="s">
        <v>268</v>
      </c>
      <c r="D107" s="1074"/>
      <c r="E107" s="1075">
        <v>284709.48</v>
      </c>
      <c r="F107" s="1075">
        <v>90574.91</v>
      </c>
      <c r="G107" s="1079"/>
      <c r="H107" s="1077">
        <f t="shared" si="8"/>
        <v>375284.39</v>
      </c>
      <c r="I107" s="1077">
        <f t="shared" si="9"/>
        <v>90574.91</v>
      </c>
    </row>
    <row r="108" spans="1:9" s="237" customFormat="1" x14ac:dyDescent="0.2">
      <c r="A108" s="1070" t="s">
        <v>106</v>
      </c>
      <c r="B108" s="1071" t="s">
        <v>107</v>
      </c>
      <c r="C108" s="103" t="s">
        <v>264</v>
      </c>
      <c r="D108" s="1074"/>
      <c r="E108" s="1075">
        <v>5085178.76</v>
      </c>
      <c r="F108" s="1075">
        <v>1497531.01</v>
      </c>
      <c r="G108" s="1079"/>
      <c r="H108" s="1077">
        <f t="shared" si="8"/>
        <v>6582709.7699999996</v>
      </c>
      <c r="I108" s="1077">
        <f t="shared" si="9"/>
        <v>1497531.01</v>
      </c>
    </row>
    <row r="109" spans="1:9" s="237" customFormat="1" x14ac:dyDescent="0.2">
      <c r="A109" s="1070" t="s">
        <v>116</v>
      </c>
      <c r="B109" s="1071" t="s">
        <v>117</v>
      </c>
      <c r="C109" s="103" t="s">
        <v>266</v>
      </c>
      <c r="D109" s="1074"/>
      <c r="E109" s="1075">
        <v>1969235.8</v>
      </c>
      <c r="F109" s="1075">
        <v>695156.61</v>
      </c>
      <c r="G109" s="1079"/>
      <c r="H109" s="1077">
        <f t="shared" si="8"/>
        <v>2664392.41</v>
      </c>
      <c r="I109" s="1077">
        <f t="shared" si="9"/>
        <v>695156.61</v>
      </c>
    </row>
    <row r="110" spans="1:9" s="237" customFormat="1" x14ac:dyDescent="0.2">
      <c r="A110" s="1070" t="s">
        <v>138</v>
      </c>
      <c r="B110" s="1071" t="s">
        <v>139</v>
      </c>
      <c r="C110" s="103" t="s">
        <v>265</v>
      </c>
      <c r="D110" s="1074"/>
      <c r="E110" s="1075">
        <v>4274534.9400000004</v>
      </c>
      <c r="F110" s="1075">
        <v>1539758.75</v>
      </c>
      <c r="G110" s="1079"/>
      <c r="H110" s="1077">
        <f t="shared" si="8"/>
        <v>5814293.6900000004</v>
      </c>
      <c r="I110" s="1077">
        <f t="shared" si="9"/>
        <v>1539758.75</v>
      </c>
    </row>
    <row r="111" spans="1:9" s="237" customFormat="1" x14ac:dyDescent="0.2">
      <c r="A111" s="1070" t="s">
        <v>142</v>
      </c>
      <c r="B111" s="1071" t="s">
        <v>143</v>
      </c>
      <c r="C111" s="103" t="s">
        <v>267</v>
      </c>
      <c r="D111" s="1074"/>
      <c r="E111" s="1075">
        <v>684541.83</v>
      </c>
      <c r="F111" s="1075">
        <v>491076.5</v>
      </c>
      <c r="G111" s="1079"/>
      <c r="H111" s="1077">
        <f t="shared" si="8"/>
        <v>1175618.33</v>
      </c>
      <c r="I111" s="1077">
        <f t="shared" si="9"/>
        <v>491076.5</v>
      </c>
    </row>
    <row r="112" spans="1:9" s="237" customFormat="1" x14ac:dyDescent="0.2">
      <c r="A112" s="1070" t="s">
        <v>144</v>
      </c>
      <c r="B112" s="1071" t="s">
        <v>145</v>
      </c>
      <c r="C112" s="103" t="s">
        <v>267</v>
      </c>
      <c r="D112" s="1074"/>
      <c r="E112" s="1075">
        <v>531100.5</v>
      </c>
      <c r="F112" s="1075">
        <v>391843.74</v>
      </c>
      <c r="G112" s="1079"/>
      <c r="H112" s="1077">
        <f t="shared" si="8"/>
        <v>922944.24</v>
      </c>
      <c r="I112" s="1077">
        <f t="shared" si="9"/>
        <v>391843.74</v>
      </c>
    </row>
    <row r="113" spans="1:9" s="237" customFormat="1" x14ac:dyDescent="0.2">
      <c r="A113" s="1070" t="s">
        <v>158</v>
      </c>
      <c r="B113" s="1071" t="s">
        <v>159</v>
      </c>
      <c r="C113" s="103" t="s">
        <v>264</v>
      </c>
      <c r="D113" s="1074"/>
      <c r="E113" s="1075">
        <v>4325556.05</v>
      </c>
      <c r="F113" s="1075">
        <v>1613148.18</v>
      </c>
      <c r="G113" s="1079"/>
      <c r="H113" s="1077">
        <f t="shared" si="8"/>
        <v>5938704.2299999995</v>
      </c>
      <c r="I113" s="1077">
        <f t="shared" si="9"/>
        <v>1613148.18</v>
      </c>
    </row>
    <row r="114" spans="1:9" s="237" customFormat="1" x14ac:dyDescent="0.2">
      <c r="A114" s="1070" t="s">
        <v>160</v>
      </c>
      <c r="B114" s="1071" t="s">
        <v>161</v>
      </c>
      <c r="C114" s="103" t="s">
        <v>264</v>
      </c>
      <c r="D114" s="1074"/>
      <c r="E114" s="1075">
        <v>6369019.5099999998</v>
      </c>
      <c r="F114" s="1075">
        <v>2048507.69</v>
      </c>
      <c r="G114" s="1079"/>
      <c r="H114" s="1077">
        <f t="shared" si="8"/>
        <v>8417527.1999999993</v>
      </c>
      <c r="I114" s="1077">
        <f t="shared" si="9"/>
        <v>2048507.69</v>
      </c>
    </row>
    <row r="115" spans="1:9" s="237" customFormat="1" x14ac:dyDescent="0.2">
      <c r="A115" s="1070" t="s">
        <v>166</v>
      </c>
      <c r="B115" s="1071" t="s">
        <v>167</v>
      </c>
      <c r="C115" s="103" t="s">
        <v>268</v>
      </c>
      <c r="D115" s="1074"/>
      <c r="E115" s="1075">
        <v>122207.27</v>
      </c>
      <c r="F115" s="1075">
        <v>56496.03</v>
      </c>
      <c r="G115" s="1079"/>
      <c r="H115" s="1077">
        <f t="shared" si="8"/>
        <v>178703.3</v>
      </c>
      <c r="I115" s="1077">
        <f t="shared" si="9"/>
        <v>56496.03</v>
      </c>
    </row>
    <row r="116" spans="1:9" s="237" customFormat="1" x14ac:dyDescent="0.2">
      <c r="A116" s="1070" t="s">
        <v>176</v>
      </c>
      <c r="B116" s="1071" t="s">
        <v>177</v>
      </c>
      <c r="C116" s="103" t="s">
        <v>266</v>
      </c>
      <c r="D116" s="1074"/>
      <c r="E116" s="1075">
        <v>3159642.49</v>
      </c>
      <c r="F116" s="1075">
        <v>1692717.14</v>
      </c>
      <c r="G116" s="1079"/>
      <c r="H116" s="1077">
        <f t="shared" si="8"/>
        <v>4852359.63</v>
      </c>
      <c r="I116" s="1077">
        <f t="shared" si="9"/>
        <v>1692717.14</v>
      </c>
    </row>
    <row r="117" spans="1:9" s="237" customFormat="1" x14ac:dyDescent="0.2">
      <c r="A117" s="1070" t="s">
        <v>180</v>
      </c>
      <c r="B117" s="1071" t="s">
        <v>181</v>
      </c>
      <c r="C117" s="103" t="s">
        <v>264</v>
      </c>
      <c r="D117" s="1074"/>
      <c r="E117" s="1075">
        <v>2295276.21</v>
      </c>
      <c r="F117" s="1075">
        <v>810881.24</v>
      </c>
      <c r="G117" s="1079"/>
      <c r="H117" s="1077">
        <f t="shared" si="8"/>
        <v>3106157.45</v>
      </c>
      <c r="I117" s="1077">
        <f t="shared" si="9"/>
        <v>810881.24</v>
      </c>
    </row>
    <row r="118" spans="1:9" s="237" customFormat="1" x14ac:dyDescent="0.2">
      <c r="A118" s="1070" t="s">
        <v>192</v>
      </c>
      <c r="B118" s="1071" t="s">
        <v>193</v>
      </c>
      <c r="C118" s="103" t="s">
        <v>268</v>
      </c>
      <c r="D118" s="1074"/>
      <c r="E118" s="1075">
        <v>1077543.22</v>
      </c>
      <c r="F118" s="1075">
        <v>259926.76</v>
      </c>
      <c r="G118" s="1079"/>
      <c r="H118" s="1077">
        <f t="shared" si="8"/>
        <v>1337469.98</v>
      </c>
      <c r="I118" s="1077">
        <f t="shared" si="9"/>
        <v>259926.76</v>
      </c>
    </row>
    <row r="119" spans="1:9" s="237" customFormat="1" x14ac:dyDescent="0.2">
      <c r="A119" s="1070" t="s">
        <v>196</v>
      </c>
      <c r="B119" s="1071" t="s">
        <v>312</v>
      </c>
      <c r="C119" s="103" t="s">
        <v>266</v>
      </c>
      <c r="D119" s="1074"/>
      <c r="E119" s="1075">
        <v>10656159.710000001</v>
      </c>
      <c r="F119" s="1075">
        <v>6339623.46</v>
      </c>
      <c r="G119" s="1079"/>
      <c r="H119" s="1077">
        <f t="shared" si="8"/>
        <v>16995783.170000002</v>
      </c>
      <c r="I119" s="1077">
        <f t="shared" si="9"/>
        <v>6339623.46</v>
      </c>
    </row>
    <row r="120" spans="1:9" s="237" customFormat="1" x14ac:dyDescent="0.2">
      <c r="A120" s="1070" t="s">
        <v>200</v>
      </c>
      <c r="B120" s="1071" t="s">
        <v>313</v>
      </c>
      <c r="C120" s="103" t="s">
        <v>265</v>
      </c>
      <c r="D120" s="1074"/>
      <c r="E120" s="1075">
        <v>6624473.0700000003</v>
      </c>
      <c r="F120" s="1075">
        <v>2983056.99</v>
      </c>
      <c r="G120" s="1079"/>
      <c r="H120" s="1077">
        <f t="shared" si="8"/>
        <v>9607530.0600000005</v>
      </c>
      <c r="I120" s="1077">
        <f t="shared" si="9"/>
        <v>2983056.99</v>
      </c>
    </row>
    <row r="121" spans="1:9" s="237" customFormat="1" x14ac:dyDescent="0.2">
      <c r="A121" s="1070" t="s">
        <v>222</v>
      </c>
      <c r="B121" s="1071" t="s">
        <v>223</v>
      </c>
      <c r="C121" s="103" t="s">
        <v>264</v>
      </c>
      <c r="D121" s="1074"/>
      <c r="E121" s="1075">
        <v>703512.08</v>
      </c>
      <c r="F121" s="1075">
        <v>232160.64000000001</v>
      </c>
      <c r="G121" s="1079"/>
      <c r="H121" s="1077">
        <f t="shared" si="8"/>
        <v>935672.72</v>
      </c>
      <c r="I121" s="1077">
        <f t="shared" si="9"/>
        <v>232160.64000000001</v>
      </c>
    </row>
    <row r="122" spans="1:9" s="237" customFormat="1" x14ac:dyDescent="0.2">
      <c r="A122" s="1070" t="s">
        <v>230</v>
      </c>
      <c r="B122" s="1071" t="s">
        <v>231</v>
      </c>
      <c r="C122" s="103" t="s">
        <v>264</v>
      </c>
      <c r="D122" s="1074"/>
      <c r="E122" s="1075">
        <v>6803140.4800000004</v>
      </c>
      <c r="F122" s="1075">
        <v>3828404.18</v>
      </c>
      <c r="G122" s="1079"/>
      <c r="H122" s="1077">
        <f t="shared" si="8"/>
        <v>10631544.66</v>
      </c>
      <c r="I122" s="1077">
        <f t="shared" si="9"/>
        <v>3828404.18</v>
      </c>
    </row>
    <row r="123" spans="1:9" s="237" customFormat="1" x14ac:dyDescent="0.2">
      <c r="A123" s="1070" t="s">
        <v>238</v>
      </c>
      <c r="B123" s="1071" t="s">
        <v>239</v>
      </c>
      <c r="C123" s="103" t="s">
        <v>264</v>
      </c>
      <c r="D123" s="1074"/>
      <c r="E123" s="1075">
        <v>107098.44</v>
      </c>
      <c r="F123" s="1075">
        <v>69786.73</v>
      </c>
      <c r="G123" s="1079"/>
      <c r="H123" s="1077">
        <f t="shared" si="8"/>
        <v>176885.16999999998</v>
      </c>
      <c r="I123" s="1077">
        <f t="shared" si="9"/>
        <v>69786.73</v>
      </c>
    </row>
    <row r="124" spans="1:9" s="237" customFormat="1" x14ac:dyDescent="0.2">
      <c r="A124" s="1070" t="s">
        <v>240</v>
      </c>
      <c r="B124" s="1071" t="s">
        <v>241</v>
      </c>
      <c r="C124" s="111" t="s">
        <v>267</v>
      </c>
      <c r="D124" s="1074"/>
      <c r="E124" s="1075">
        <v>1000812.21</v>
      </c>
      <c r="F124" s="1075">
        <v>802718.74</v>
      </c>
      <c r="G124" s="1079"/>
      <c r="H124" s="1077">
        <f t="shared" si="8"/>
        <v>1803530.95</v>
      </c>
      <c r="I124" s="1077">
        <f t="shared" si="9"/>
        <v>802718.74</v>
      </c>
    </row>
    <row r="125" spans="1:9" s="237" customFormat="1" x14ac:dyDescent="0.2">
      <c r="D125" s="1085"/>
      <c r="E125" s="1085"/>
      <c r="F125" s="1085"/>
      <c r="G125" s="1085"/>
      <c r="H125" s="1085"/>
      <c r="I125" s="1085"/>
    </row>
    <row r="126" spans="1:9" s="237" customFormat="1" x14ac:dyDescent="0.2">
      <c r="A126" s="237" t="s">
        <v>266</v>
      </c>
      <c r="D126" s="1586">
        <v>0</v>
      </c>
      <c r="E126" s="1586">
        <v>45267601.859999999</v>
      </c>
      <c r="F126" s="1586">
        <v>25552004.820000004</v>
      </c>
      <c r="G126" s="1586">
        <v>0</v>
      </c>
      <c r="H126" s="1077">
        <v>70819606.680000007</v>
      </c>
      <c r="I126" s="1077">
        <v>25552004.820000004</v>
      </c>
    </row>
    <row r="127" spans="1:9" s="237" customFormat="1" x14ac:dyDescent="0.2">
      <c r="A127" s="237" t="s">
        <v>264</v>
      </c>
      <c r="D127" s="1586">
        <v>0</v>
      </c>
      <c r="E127" s="1586">
        <v>34956103.439999998</v>
      </c>
      <c r="F127" s="1586">
        <v>14761242.4</v>
      </c>
      <c r="G127" s="1586">
        <v>0</v>
      </c>
      <c r="H127" s="1077">
        <v>49717345.839999996</v>
      </c>
      <c r="I127" s="1077">
        <v>14761242.4</v>
      </c>
    </row>
    <row r="128" spans="1:9" s="237" customFormat="1" x14ac:dyDescent="0.2">
      <c r="A128" s="237" t="s">
        <v>267</v>
      </c>
      <c r="D128" s="1586">
        <v>0</v>
      </c>
      <c r="E128" s="1586">
        <v>75632005.859999985</v>
      </c>
      <c r="F128" s="1586">
        <v>53518012.710000001</v>
      </c>
      <c r="G128" s="1586">
        <v>0</v>
      </c>
      <c r="H128" s="1077">
        <v>129150018.56999999</v>
      </c>
      <c r="I128" s="1077">
        <v>53518012.710000001</v>
      </c>
    </row>
    <row r="129" spans="1:9" s="237" customFormat="1" x14ac:dyDescent="0.2">
      <c r="A129" s="237" t="s">
        <v>265</v>
      </c>
      <c r="D129" s="1586">
        <v>0</v>
      </c>
      <c r="E129" s="1586">
        <v>60221632.189999998</v>
      </c>
      <c r="F129" s="1586">
        <v>25537470.200000003</v>
      </c>
      <c r="G129" s="1586">
        <v>0</v>
      </c>
      <c r="H129" s="1077">
        <v>85759102.390000001</v>
      </c>
      <c r="I129" s="1077">
        <v>25537470.200000003</v>
      </c>
    </row>
    <row r="130" spans="1:9" s="237" customFormat="1" x14ac:dyDescent="0.2">
      <c r="A130" s="237" t="s">
        <v>268</v>
      </c>
      <c r="D130" s="1586">
        <v>0</v>
      </c>
      <c r="E130" s="1586">
        <v>21129748.729999997</v>
      </c>
      <c r="F130" s="1085">
        <v>7420241.1900000004</v>
      </c>
      <c r="G130" s="1586">
        <v>0</v>
      </c>
      <c r="H130" s="1077">
        <v>28549989.919999998</v>
      </c>
      <c r="I130" s="1077">
        <v>7420241.1900000004</v>
      </c>
    </row>
    <row r="131" spans="1:9" s="237" customFormat="1" x14ac:dyDescent="0.2">
      <c r="A131" s="237" t="s">
        <v>9</v>
      </c>
      <c r="D131" s="1085">
        <f t="shared" ref="D131:G131" si="10">SUM(D126:D130)</f>
        <v>0</v>
      </c>
      <c r="E131" s="1085">
        <f t="shared" si="10"/>
        <v>237207092.07999995</v>
      </c>
      <c r="F131" s="1085">
        <f t="shared" si="10"/>
        <v>126788971.32000001</v>
      </c>
      <c r="G131" s="1085">
        <f t="shared" si="10"/>
        <v>0</v>
      </c>
      <c r="H131" s="1077">
        <f t="shared" ref="H131" si="11">SUM(D131:G131)</f>
        <v>363996063.39999998</v>
      </c>
      <c r="I131" s="1077">
        <f t="shared" ref="I131" si="12">F131+G131</f>
        <v>126788971.32000001</v>
      </c>
    </row>
    <row r="132" spans="1:9" s="237" customFormat="1" x14ac:dyDescent="0.2">
      <c r="D132" s="1585"/>
      <c r="E132" s="1085"/>
      <c r="F132" s="1085"/>
      <c r="G132" s="1085"/>
      <c r="H132" s="1377"/>
      <c r="I132" s="1377"/>
    </row>
    <row r="133" spans="1:9" s="237" customFormat="1" x14ac:dyDescent="0.2">
      <c r="D133" s="1085"/>
      <c r="E133" s="1085"/>
      <c r="F133" s="1085"/>
      <c r="G133" s="1085"/>
      <c r="H133" s="1085"/>
      <c r="I133" s="1085"/>
    </row>
    <row r="134" spans="1:9" s="1086" customFormat="1" ht="15.75" x14ac:dyDescent="0.25">
      <c r="A134" s="986" t="s">
        <v>1233</v>
      </c>
      <c r="B134" s="1087"/>
      <c r="C134" s="1087"/>
    </row>
    <row r="135" spans="1:9" s="1086" customFormat="1" x14ac:dyDescent="0.2"/>
    <row r="136" spans="1:9" s="185" customFormat="1" x14ac:dyDescent="0.2">
      <c r="A136" s="185" t="s">
        <v>248</v>
      </c>
    </row>
    <row r="137" spans="1:9" x14ac:dyDescent="0.2">
      <c r="A137" s="192" t="s">
        <v>249</v>
      </c>
      <c r="B137" s="170" t="s">
        <v>250</v>
      </c>
      <c r="C137" s="170"/>
    </row>
  </sheetData>
  <autoFilter ref="A3:I124"/>
  <sortState ref="A5:I124">
    <sortCondition ref="A5:A124"/>
  </sortState>
  <hyperlinks>
    <hyperlink ref="B137" r:id="rId1"/>
  </hyperlinks>
  <pageMargins left="0.7" right="0.7" top="0.75" bottom="0.75" header="0.3" footer="0.3"/>
  <pageSetup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F111" activePane="bottomRight" state="frozen"/>
      <selection pane="topRight" activeCell="D1" sqref="D1"/>
      <selection pane="bottomLeft" activeCell="A5" sqref="A5"/>
      <selection pane="bottomRight" activeCell="M129" sqref="M129"/>
    </sheetView>
  </sheetViews>
  <sheetFormatPr defaultRowHeight="15.75" x14ac:dyDescent="0.25"/>
  <cols>
    <col min="1" max="1" width="9.25" style="1118" bestFit="1" customWidth="1"/>
    <col min="2" max="2" width="28.125" style="1119" customWidth="1"/>
    <col min="3" max="3" width="16.5" style="1119" customWidth="1"/>
    <col min="4" max="4" width="12.625" style="1120" bestFit="1" customWidth="1"/>
    <col min="5" max="5" width="13.5" style="1120" bestFit="1" customWidth="1"/>
    <col min="6" max="6" width="12.625" style="1120" bestFit="1" customWidth="1"/>
    <col min="7" max="7" width="13.5" style="1120" bestFit="1" customWidth="1"/>
    <col min="8" max="8" width="11.25" style="1120" customWidth="1"/>
    <col min="9" max="11" width="13.75" style="1121" customWidth="1"/>
    <col min="12" max="16384" width="9" style="1119"/>
  </cols>
  <sheetData>
    <row r="1" spans="1:11" x14ac:dyDescent="0.25">
      <c r="A1" s="1123" t="s">
        <v>1237</v>
      </c>
    </row>
    <row r="3" spans="1:11" s="1117" customFormat="1" ht="15" x14ac:dyDescent="0.25">
      <c r="A3" s="1116" t="s">
        <v>4</v>
      </c>
      <c r="B3" s="1117" t="s">
        <v>5</v>
      </c>
      <c r="C3" s="1117" t="s">
        <v>251</v>
      </c>
      <c r="D3" s="1126" t="s">
        <v>855</v>
      </c>
      <c r="E3" s="1126" t="s">
        <v>856</v>
      </c>
      <c r="F3" s="1126" t="s">
        <v>857</v>
      </c>
      <c r="G3" s="1126" t="s">
        <v>858</v>
      </c>
      <c r="H3" s="1126" t="s">
        <v>859</v>
      </c>
      <c r="I3" s="1127" t="s">
        <v>314</v>
      </c>
      <c r="J3" s="1127" t="s">
        <v>315</v>
      </c>
      <c r="K3" s="1128" t="s">
        <v>860</v>
      </c>
    </row>
    <row r="4" spans="1:11" s="1117" customFormat="1" ht="15" x14ac:dyDescent="0.25">
      <c r="A4" s="1124" t="s">
        <v>8</v>
      </c>
      <c r="B4" s="1125" t="s">
        <v>861</v>
      </c>
      <c r="C4" s="1125"/>
      <c r="D4" s="1633">
        <f>SUM(D5:D124)</f>
        <v>51874583.32</v>
      </c>
      <c r="E4" s="1633">
        <f t="shared" ref="E4:K4" si="0">SUM(E5:E124)</f>
        <v>10121571.4</v>
      </c>
      <c r="F4" s="1633">
        <f t="shared" si="0"/>
        <v>0</v>
      </c>
      <c r="G4" s="1633">
        <f t="shared" si="0"/>
        <v>69968117.180000007</v>
      </c>
      <c r="H4" s="1633">
        <f t="shared" si="0"/>
        <v>131964271.90000002</v>
      </c>
      <c r="I4" s="1633">
        <f t="shared" si="0"/>
        <v>106026980.23999999</v>
      </c>
      <c r="J4" s="1633">
        <f t="shared" si="0"/>
        <v>25937291.66</v>
      </c>
      <c r="K4" s="1852">
        <f t="shared" si="0"/>
        <v>131964271.90000002</v>
      </c>
    </row>
    <row r="5" spans="1:11" ht="15" x14ac:dyDescent="0.25">
      <c r="A5" s="1118" t="s">
        <v>10</v>
      </c>
      <c r="B5" s="1119" t="s">
        <v>11</v>
      </c>
      <c r="C5" s="1119" t="s">
        <v>264</v>
      </c>
      <c r="D5" s="1636">
        <v>33730</v>
      </c>
      <c r="E5" s="1636">
        <v>14930</v>
      </c>
      <c r="F5" s="1636">
        <v>0</v>
      </c>
      <c r="G5" s="1636">
        <v>87917</v>
      </c>
      <c r="H5" s="1636">
        <f t="shared" ref="H5:H36" si="1">SUM(D5:G5)</f>
        <v>136577</v>
      </c>
      <c r="I5" s="1635">
        <f t="shared" ref="I5:I36" si="2">(D5*0.5)+E5+(F5*0.5)+G5</f>
        <v>119712</v>
      </c>
      <c r="J5" s="1635">
        <f t="shared" ref="J5:J36" si="3">(D5*0.5)+(F5*0.5)</f>
        <v>16865</v>
      </c>
      <c r="K5" s="1634">
        <f t="shared" ref="K5:K36" si="4">I5+J5</f>
        <v>136577</v>
      </c>
    </row>
    <row r="6" spans="1:11" ht="15" x14ac:dyDescent="0.25">
      <c r="A6" s="1118" t="s">
        <v>12</v>
      </c>
      <c r="B6" s="1119" t="s">
        <v>13</v>
      </c>
      <c r="C6" s="1119" t="s">
        <v>265</v>
      </c>
      <c r="D6" s="1636">
        <v>310101</v>
      </c>
      <c r="E6" s="1636">
        <v>16056</v>
      </c>
      <c r="F6" s="1636">
        <v>0</v>
      </c>
      <c r="G6" s="1636">
        <v>619069</v>
      </c>
      <c r="H6" s="1636">
        <f t="shared" si="1"/>
        <v>945226</v>
      </c>
      <c r="I6" s="1635">
        <f t="shared" si="2"/>
        <v>790175.5</v>
      </c>
      <c r="J6" s="1635">
        <f t="shared" si="3"/>
        <v>155050.5</v>
      </c>
      <c r="K6" s="1634">
        <f t="shared" si="4"/>
        <v>945226</v>
      </c>
    </row>
    <row r="7" spans="1:11" ht="15" x14ac:dyDescent="0.25">
      <c r="A7" s="1118" t="s">
        <v>16</v>
      </c>
      <c r="B7" s="1122" t="s">
        <v>297</v>
      </c>
      <c r="C7" s="1122" t="s">
        <v>265</v>
      </c>
      <c r="D7" s="1636">
        <v>30491</v>
      </c>
      <c r="E7" s="1636">
        <v>14092</v>
      </c>
      <c r="F7" s="1636">
        <v>0</v>
      </c>
      <c r="G7" s="1636">
        <v>89264</v>
      </c>
      <c r="H7" s="1636">
        <f t="shared" si="1"/>
        <v>133847</v>
      </c>
      <c r="I7" s="1635">
        <f t="shared" si="2"/>
        <v>118601.5</v>
      </c>
      <c r="J7" s="1635">
        <f t="shared" si="3"/>
        <v>15245.5</v>
      </c>
      <c r="K7" s="1634">
        <f t="shared" si="4"/>
        <v>133847</v>
      </c>
    </row>
    <row r="8" spans="1:11" ht="15" x14ac:dyDescent="0.25">
      <c r="A8" s="1118" t="s">
        <v>18</v>
      </c>
      <c r="B8" s="1119" t="s">
        <v>19</v>
      </c>
      <c r="C8" s="1119" t="s">
        <v>266</v>
      </c>
      <c r="D8" s="1636">
        <v>12464</v>
      </c>
      <c r="E8" s="1636">
        <v>10786</v>
      </c>
      <c r="F8" s="1636">
        <v>0</v>
      </c>
      <c r="G8" s="1636">
        <v>42617</v>
      </c>
      <c r="H8" s="1636">
        <f t="shared" si="1"/>
        <v>65867</v>
      </c>
      <c r="I8" s="1635">
        <f t="shared" si="2"/>
        <v>59635</v>
      </c>
      <c r="J8" s="1635">
        <f t="shared" si="3"/>
        <v>6232</v>
      </c>
      <c r="K8" s="1634">
        <f t="shared" si="4"/>
        <v>65867</v>
      </c>
    </row>
    <row r="9" spans="1:11" ht="15" x14ac:dyDescent="0.25">
      <c r="A9" s="1118" t="s">
        <v>20</v>
      </c>
      <c r="B9" s="1119" t="s">
        <v>21</v>
      </c>
      <c r="C9" s="1119" t="s">
        <v>265</v>
      </c>
      <c r="D9" s="1636">
        <v>89110</v>
      </c>
      <c r="E9" s="1636">
        <v>20175</v>
      </c>
      <c r="F9" s="1636">
        <v>0</v>
      </c>
      <c r="G9" s="1636">
        <v>182867</v>
      </c>
      <c r="H9" s="1636">
        <f t="shared" si="1"/>
        <v>292152</v>
      </c>
      <c r="I9" s="1635">
        <f t="shared" si="2"/>
        <v>247597</v>
      </c>
      <c r="J9" s="1635">
        <f t="shared" si="3"/>
        <v>44555</v>
      </c>
      <c r="K9" s="1634">
        <f t="shared" si="4"/>
        <v>292152</v>
      </c>
    </row>
    <row r="10" spans="1:11" ht="15" x14ac:dyDescent="0.25">
      <c r="A10" s="1118" t="s">
        <v>22</v>
      </c>
      <c r="B10" s="1119" t="s">
        <v>23</v>
      </c>
      <c r="C10" s="1119" t="s">
        <v>265</v>
      </c>
      <c r="D10" s="1636">
        <v>41150</v>
      </c>
      <c r="E10" s="1636">
        <v>0</v>
      </c>
      <c r="F10" s="1636">
        <v>0</v>
      </c>
      <c r="G10" s="1636">
        <v>42804</v>
      </c>
      <c r="H10" s="1636">
        <f t="shared" si="1"/>
        <v>83954</v>
      </c>
      <c r="I10" s="1635">
        <f t="shared" si="2"/>
        <v>63379</v>
      </c>
      <c r="J10" s="1635">
        <f t="shared" si="3"/>
        <v>20575</v>
      </c>
      <c r="K10" s="1634">
        <f t="shared" si="4"/>
        <v>83954</v>
      </c>
    </row>
    <row r="11" spans="1:11" ht="15" x14ac:dyDescent="0.25">
      <c r="A11" s="1118" t="s">
        <v>24</v>
      </c>
      <c r="B11" s="1119" t="s">
        <v>25</v>
      </c>
      <c r="C11" s="1119" t="s">
        <v>267</v>
      </c>
      <c r="D11" s="1636">
        <v>678571</v>
      </c>
      <c r="E11" s="1636">
        <v>698684</v>
      </c>
      <c r="F11" s="1636">
        <v>0</v>
      </c>
      <c r="G11" s="1636">
        <v>1242530</v>
      </c>
      <c r="H11" s="1636">
        <f t="shared" si="1"/>
        <v>2619785</v>
      </c>
      <c r="I11" s="1635">
        <f t="shared" si="2"/>
        <v>2280499.5</v>
      </c>
      <c r="J11" s="1635">
        <f t="shared" si="3"/>
        <v>339285.5</v>
      </c>
      <c r="K11" s="1634">
        <f t="shared" si="4"/>
        <v>2619785</v>
      </c>
    </row>
    <row r="12" spans="1:11" ht="15" x14ac:dyDescent="0.25">
      <c r="A12" s="1118" t="s">
        <v>26</v>
      </c>
      <c r="B12" s="1122" t="s">
        <v>686</v>
      </c>
      <c r="C12" s="1122" t="s">
        <v>265</v>
      </c>
      <c r="D12" s="1636">
        <v>354400</v>
      </c>
      <c r="E12" s="1636">
        <v>69324</v>
      </c>
      <c r="F12" s="1636">
        <v>0</v>
      </c>
      <c r="G12" s="1636">
        <v>567342</v>
      </c>
      <c r="H12" s="1636">
        <f t="shared" si="1"/>
        <v>991066</v>
      </c>
      <c r="I12" s="1635">
        <f t="shared" si="2"/>
        <v>813866</v>
      </c>
      <c r="J12" s="1635">
        <f t="shared" si="3"/>
        <v>177200</v>
      </c>
      <c r="K12" s="1634">
        <f t="shared" si="4"/>
        <v>991066</v>
      </c>
    </row>
    <row r="13" spans="1:11" ht="15" x14ac:dyDescent="0.25">
      <c r="A13" s="1118" t="s">
        <v>27</v>
      </c>
      <c r="B13" s="1119" t="s">
        <v>28</v>
      </c>
      <c r="C13" s="1119" t="s">
        <v>265</v>
      </c>
      <c r="D13" s="1636">
        <v>0</v>
      </c>
      <c r="E13" s="1636">
        <v>2472</v>
      </c>
      <c r="F13" s="1636">
        <v>0</v>
      </c>
      <c r="G13" s="1636">
        <v>0</v>
      </c>
      <c r="H13" s="1636">
        <f t="shared" si="1"/>
        <v>2472</v>
      </c>
      <c r="I13" s="1635">
        <f t="shared" si="2"/>
        <v>2472</v>
      </c>
      <c r="J13" s="1635">
        <f t="shared" si="3"/>
        <v>0</v>
      </c>
      <c r="K13" s="1634">
        <f t="shared" si="4"/>
        <v>2472</v>
      </c>
    </row>
    <row r="14" spans="1:11" ht="15" x14ac:dyDescent="0.25">
      <c r="A14" s="1118" t="s">
        <v>29</v>
      </c>
      <c r="B14" s="1119" t="s">
        <v>924</v>
      </c>
      <c r="C14" s="1119" t="s">
        <v>265</v>
      </c>
      <c r="D14" s="1636">
        <v>235024</v>
      </c>
      <c r="E14" s="1636">
        <v>16254</v>
      </c>
      <c r="F14" s="1636">
        <v>0</v>
      </c>
      <c r="G14" s="1636">
        <v>415575</v>
      </c>
      <c r="H14" s="1636">
        <f t="shared" si="1"/>
        <v>666853</v>
      </c>
      <c r="I14" s="1635">
        <f t="shared" si="2"/>
        <v>549341</v>
      </c>
      <c r="J14" s="1635">
        <f t="shared" si="3"/>
        <v>117512</v>
      </c>
      <c r="K14" s="1634">
        <f t="shared" si="4"/>
        <v>666853</v>
      </c>
    </row>
    <row r="15" spans="1:11" ht="15" x14ac:dyDescent="0.25">
      <c r="A15" s="1118" t="s">
        <v>30</v>
      </c>
      <c r="B15" s="1119" t="s">
        <v>31</v>
      </c>
      <c r="C15" s="1119" t="s">
        <v>268</v>
      </c>
      <c r="D15" s="1636">
        <v>0</v>
      </c>
      <c r="E15" s="1636">
        <v>0</v>
      </c>
      <c r="F15" s="1636">
        <v>0</v>
      </c>
      <c r="G15" s="1636">
        <v>10308</v>
      </c>
      <c r="H15" s="1636">
        <f t="shared" si="1"/>
        <v>10308</v>
      </c>
      <c r="I15" s="1635">
        <f t="shared" si="2"/>
        <v>10308</v>
      </c>
      <c r="J15" s="1635">
        <f t="shared" si="3"/>
        <v>0</v>
      </c>
      <c r="K15" s="1634">
        <f t="shared" si="4"/>
        <v>10308</v>
      </c>
    </row>
    <row r="16" spans="1:11" ht="15" x14ac:dyDescent="0.25">
      <c r="A16" s="1118" t="s">
        <v>32</v>
      </c>
      <c r="B16" s="1119" t="s">
        <v>33</v>
      </c>
      <c r="C16" s="1119" t="s">
        <v>265</v>
      </c>
      <c r="D16" s="1636">
        <v>84511</v>
      </c>
      <c r="E16" s="1636">
        <v>30762</v>
      </c>
      <c r="F16" s="1636">
        <v>0</v>
      </c>
      <c r="G16" s="1636">
        <v>183857</v>
      </c>
      <c r="H16" s="1636">
        <f t="shared" si="1"/>
        <v>299130</v>
      </c>
      <c r="I16" s="1635">
        <f t="shared" si="2"/>
        <v>256874.5</v>
      </c>
      <c r="J16" s="1635">
        <f t="shared" si="3"/>
        <v>42255.5</v>
      </c>
      <c r="K16" s="1634">
        <f t="shared" si="4"/>
        <v>299130</v>
      </c>
    </row>
    <row r="17" spans="1:11" ht="15" x14ac:dyDescent="0.25">
      <c r="A17" s="1118" t="s">
        <v>36</v>
      </c>
      <c r="B17" s="1119" t="s">
        <v>37</v>
      </c>
      <c r="C17" s="1119" t="s">
        <v>264</v>
      </c>
      <c r="D17" s="1636">
        <v>15396</v>
      </c>
      <c r="E17" s="1636">
        <v>0</v>
      </c>
      <c r="F17" s="1636">
        <v>0</v>
      </c>
      <c r="G17" s="1636">
        <v>54000</v>
      </c>
      <c r="H17" s="1636">
        <f t="shared" si="1"/>
        <v>69396</v>
      </c>
      <c r="I17" s="1635">
        <f t="shared" si="2"/>
        <v>61698</v>
      </c>
      <c r="J17" s="1635">
        <f t="shared" si="3"/>
        <v>7698</v>
      </c>
      <c r="K17" s="1634">
        <f t="shared" si="4"/>
        <v>69396</v>
      </c>
    </row>
    <row r="18" spans="1:11" ht="15" x14ac:dyDescent="0.25">
      <c r="A18" s="1118" t="s">
        <v>38</v>
      </c>
      <c r="B18" s="1119" t="s">
        <v>39</v>
      </c>
      <c r="C18" s="1119" t="s">
        <v>268</v>
      </c>
      <c r="D18" s="1636">
        <v>0</v>
      </c>
      <c r="E18" s="1636">
        <v>0</v>
      </c>
      <c r="F18" s="1636">
        <v>0</v>
      </c>
      <c r="G18" s="1636">
        <v>0</v>
      </c>
      <c r="H18" s="1636">
        <f t="shared" si="1"/>
        <v>0</v>
      </c>
      <c r="I18" s="1635">
        <f t="shared" si="2"/>
        <v>0</v>
      </c>
      <c r="J18" s="1635">
        <f t="shared" si="3"/>
        <v>0</v>
      </c>
      <c r="K18" s="1634">
        <f t="shared" si="4"/>
        <v>0</v>
      </c>
    </row>
    <row r="19" spans="1:11" ht="15" x14ac:dyDescent="0.25">
      <c r="A19" s="1118" t="s">
        <v>40</v>
      </c>
      <c r="B19" s="1119" t="s">
        <v>41</v>
      </c>
      <c r="C19" s="1119" t="s">
        <v>266</v>
      </c>
      <c r="D19" s="1636">
        <v>15252</v>
      </c>
      <c r="E19" s="1636">
        <v>0</v>
      </c>
      <c r="F19" s="1636">
        <v>0</v>
      </c>
      <c r="G19" s="1636">
        <v>33404</v>
      </c>
      <c r="H19" s="1636">
        <f t="shared" si="1"/>
        <v>48656</v>
      </c>
      <c r="I19" s="1635">
        <f t="shared" si="2"/>
        <v>41030</v>
      </c>
      <c r="J19" s="1635">
        <f t="shared" si="3"/>
        <v>7626</v>
      </c>
      <c r="K19" s="1634">
        <f t="shared" si="4"/>
        <v>48656</v>
      </c>
    </row>
    <row r="20" spans="1:11" ht="15" x14ac:dyDescent="0.25">
      <c r="A20" s="1118" t="s">
        <v>42</v>
      </c>
      <c r="B20" s="1119" t="s">
        <v>43</v>
      </c>
      <c r="C20" s="1119" t="s">
        <v>265</v>
      </c>
      <c r="D20" s="1636">
        <v>127879</v>
      </c>
      <c r="E20" s="1636">
        <v>3435</v>
      </c>
      <c r="F20" s="1636">
        <v>0</v>
      </c>
      <c r="G20" s="1636">
        <v>349019</v>
      </c>
      <c r="H20" s="1636">
        <f t="shared" si="1"/>
        <v>480333</v>
      </c>
      <c r="I20" s="1635">
        <f t="shared" si="2"/>
        <v>416393.5</v>
      </c>
      <c r="J20" s="1635">
        <f t="shared" si="3"/>
        <v>63939.5</v>
      </c>
      <c r="K20" s="1634">
        <f t="shared" si="4"/>
        <v>480333</v>
      </c>
    </row>
    <row r="21" spans="1:11" ht="15" x14ac:dyDescent="0.25">
      <c r="A21" s="1118" t="s">
        <v>44</v>
      </c>
      <c r="B21" s="1119" t="s">
        <v>45</v>
      </c>
      <c r="C21" s="1119" t="s">
        <v>266</v>
      </c>
      <c r="D21" s="1636">
        <v>322609</v>
      </c>
      <c r="E21" s="1636">
        <v>30417</v>
      </c>
      <c r="F21" s="1636">
        <v>0</v>
      </c>
      <c r="G21" s="1636">
        <v>381250</v>
      </c>
      <c r="H21" s="1636">
        <f t="shared" si="1"/>
        <v>734276</v>
      </c>
      <c r="I21" s="1635">
        <f t="shared" si="2"/>
        <v>572971.5</v>
      </c>
      <c r="J21" s="1635">
        <f t="shared" si="3"/>
        <v>161304.5</v>
      </c>
      <c r="K21" s="1634">
        <f t="shared" si="4"/>
        <v>734276</v>
      </c>
    </row>
    <row r="22" spans="1:11" ht="15" x14ac:dyDescent="0.25">
      <c r="A22" s="1118" t="s">
        <v>46</v>
      </c>
      <c r="B22" s="1119" t="s">
        <v>47</v>
      </c>
      <c r="C22" s="1119" t="s">
        <v>268</v>
      </c>
      <c r="D22" s="1636">
        <v>147489</v>
      </c>
      <c r="E22" s="1636">
        <v>6604</v>
      </c>
      <c r="F22" s="1636">
        <v>0</v>
      </c>
      <c r="G22" s="1636">
        <v>202141</v>
      </c>
      <c r="H22" s="1636">
        <f t="shared" si="1"/>
        <v>356234</v>
      </c>
      <c r="I22" s="1635">
        <f t="shared" si="2"/>
        <v>282489.5</v>
      </c>
      <c r="J22" s="1635">
        <f t="shared" si="3"/>
        <v>73744.5</v>
      </c>
      <c r="K22" s="1634">
        <f t="shared" si="4"/>
        <v>356234</v>
      </c>
    </row>
    <row r="23" spans="1:11" ht="15" x14ac:dyDescent="0.25">
      <c r="A23" s="1118" t="s">
        <v>48</v>
      </c>
      <c r="B23" s="1119" t="s">
        <v>269</v>
      </c>
      <c r="C23" s="1119" t="s">
        <v>266</v>
      </c>
      <c r="D23" s="1636">
        <v>9670</v>
      </c>
      <c r="E23" s="1636">
        <v>45338</v>
      </c>
      <c r="F23" s="1636">
        <v>0</v>
      </c>
      <c r="G23" s="1636">
        <v>97159</v>
      </c>
      <c r="H23" s="1636">
        <f t="shared" si="1"/>
        <v>152167</v>
      </c>
      <c r="I23" s="1635">
        <f t="shared" si="2"/>
        <v>147332</v>
      </c>
      <c r="J23" s="1635">
        <f t="shared" si="3"/>
        <v>4835</v>
      </c>
      <c r="K23" s="1634">
        <f t="shared" si="4"/>
        <v>152167</v>
      </c>
    </row>
    <row r="24" spans="1:11" ht="15" x14ac:dyDescent="0.25">
      <c r="A24" s="1118" t="s">
        <v>50</v>
      </c>
      <c r="B24" s="1119" t="s">
        <v>51</v>
      </c>
      <c r="C24" s="1119" t="s">
        <v>265</v>
      </c>
      <c r="D24" s="1636">
        <v>7822</v>
      </c>
      <c r="E24" s="1636">
        <v>0</v>
      </c>
      <c r="F24" s="1636">
        <v>0</v>
      </c>
      <c r="G24" s="1636">
        <v>20621</v>
      </c>
      <c r="H24" s="1636">
        <f t="shared" si="1"/>
        <v>28443</v>
      </c>
      <c r="I24" s="1635">
        <f t="shared" si="2"/>
        <v>24532</v>
      </c>
      <c r="J24" s="1635">
        <f t="shared" si="3"/>
        <v>3911</v>
      </c>
      <c r="K24" s="1634">
        <f t="shared" si="4"/>
        <v>28443</v>
      </c>
    </row>
    <row r="25" spans="1:11" ht="15" x14ac:dyDescent="0.25">
      <c r="A25" s="1118" t="s">
        <v>56</v>
      </c>
      <c r="B25" s="1122" t="s">
        <v>295</v>
      </c>
      <c r="C25" s="1122" t="s">
        <v>266</v>
      </c>
      <c r="D25" s="1636">
        <v>2152244</v>
      </c>
      <c r="E25" s="1636">
        <v>188142</v>
      </c>
      <c r="F25" s="1636">
        <v>0</v>
      </c>
      <c r="G25" s="1636">
        <v>1580575</v>
      </c>
      <c r="H25" s="1636">
        <f t="shared" si="1"/>
        <v>3920961</v>
      </c>
      <c r="I25" s="1635">
        <f t="shared" si="2"/>
        <v>2844839</v>
      </c>
      <c r="J25" s="1635">
        <f t="shared" si="3"/>
        <v>1076122</v>
      </c>
      <c r="K25" s="1634">
        <f t="shared" si="4"/>
        <v>3920961</v>
      </c>
    </row>
    <row r="26" spans="1:11" ht="15" x14ac:dyDescent="0.25">
      <c r="A26" s="1118" t="s">
        <v>58</v>
      </c>
      <c r="B26" s="1119" t="s">
        <v>59</v>
      </c>
      <c r="C26" s="1119" t="s">
        <v>267</v>
      </c>
      <c r="D26" s="1636">
        <v>39874</v>
      </c>
      <c r="E26" s="1636">
        <v>9974</v>
      </c>
      <c r="F26" s="1636">
        <v>0</v>
      </c>
      <c r="G26" s="1636">
        <v>130515</v>
      </c>
      <c r="H26" s="1636">
        <f t="shared" si="1"/>
        <v>180363</v>
      </c>
      <c r="I26" s="1635">
        <f t="shared" si="2"/>
        <v>160426</v>
      </c>
      <c r="J26" s="1635">
        <f t="shared" si="3"/>
        <v>19937</v>
      </c>
      <c r="K26" s="1634">
        <f t="shared" si="4"/>
        <v>180363</v>
      </c>
    </row>
    <row r="27" spans="1:11" ht="15" x14ac:dyDescent="0.25">
      <c r="A27" s="1118" t="s">
        <v>60</v>
      </c>
      <c r="B27" s="1119" t="s">
        <v>61</v>
      </c>
      <c r="C27" s="1119" t="s">
        <v>265</v>
      </c>
      <c r="D27" s="1636">
        <v>5139</v>
      </c>
      <c r="E27" s="1636">
        <v>89813</v>
      </c>
      <c r="F27" s="1636">
        <v>0</v>
      </c>
      <c r="G27" s="1636">
        <v>22213</v>
      </c>
      <c r="H27" s="1636">
        <f t="shared" si="1"/>
        <v>117165</v>
      </c>
      <c r="I27" s="1635">
        <f t="shared" si="2"/>
        <v>114595.5</v>
      </c>
      <c r="J27" s="1635">
        <f t="shared" si="3"/>
        <v>2569.5</v>
      </c>
      <c r="K27" s="1634">
        <f t="shared" si="4"/>
        <v>117165</v>
      </c>
    </row>
    <row r="28" spans="1:11" ht="15" x14ac:dyDescent="0.25">
      <c r="A28" s="1118" t="s">
        <v>62</v>
      </c>
      <c r="B28" s="1119" t="s">
        <v>63</v>
      </c>
      <c r="C28" s="1119" t="s">
        <v>267</v>
      </c>
      <c r="D28" s="1636">
        <v>352482</v>
      </c>
      <c r="E28" s="1636">
        <v>741965</v>
      </c>
      <c r="F28" s="1636">
        <v>0</v>
      </c>
      <c r="G28" s="1636">
        <v>604504</v>
      </c>
      <c r="H28" s="1636">
        <f t="shared" si="1"/>
        <v>1698951</v>
      </c>
      <c r="I28" s="1635">
        <f t="shared" si="2"/>
        <v>1522710</v>
      </c>
      <c r="J28" s="1635">
        <f t="shared" si="3"/>
        <v>176241</v>
      </c>
      <c r="K28" s="1634">
        <f t="shared" si="4"/>
        <v>1698951</v>
      </c>
    </row>
    <row r="29" spans="1:11" ht="15" x14ac:dyDescent="0.25">
      <c r="A29" s="1118" t="s">
        <v>64</v>
      </c>
      <c r="B29" s="1119" t="s">
        <v>65</v>
      </c>
      <c r="C29" s="1119" t="s">
        <v>266</v>
      </c>
      <c r="D29" s="1636">
        <v>54214</v>
      </c>
      <c r="E29" s="1636">
        <v>0</v>
      </c>
      <c r="F29" s="1636">
        <v>0</v>
      </c>
      <c r="G29" s="1636">
        <v>68478</v>
      </c>
      <c r="H29" s="1636">
        <f t="shared" si="1"/>
        <v>122692</v>
      </c>
      <c r="I29" s="1635">
        <f t="shared" si="2"/>
        <v>95585</v>
      </c>
      <c r="J29" s="1635">
        <f t="shared" si="3"/>
        <v>27107</v>
      </c>
      <c r="K29" s="1634">
        <f t="shared" si="4"/>
        <v>122692</v>
      </c>
    </row>
    <row r="30" spans="1:11" ht="15" x14ac:dyDescent="0.25">
      <c r="A30" s="1118" t="s">
        <v>68</v>
      </c>
      <c r="B30" s="1119" t="s">
        <v>69</v>
      </c>
      <c r="C30" s="1119" t="s">
        <v>268</v>
      </c>
      <c r="D30" s="1636">
        <v>14498</v>
      </c>
      <c r="E30" s="1636">
        <v>10935</v>
      </c>
      <c r="F30" s="1636">
        <v>0</v>
      </c>
      <c r="G30" s="1636">
        <v>10903</v>
      </c>
      <c r="H30" s="1636">
        <f t="shared" si="1"/>
        <v>36336</v>
      </c>
      <c r="I30" s="1635">
        <f t="shared" si="2"/>
        <v>29087</v>
      </c>
      <c r="J30" s="1635">
        <f t="shared" si="3"/>
        <v>7249</v>
      </c>
      <c r="K30" s="1634">
        <f t="shared" si="4"/>
        <v>36336</v>
      </c>
    </row>
    <row r="31" spans="1:11" ht="15" x14ac:dyDescent="0.25">
      <c r="A31" s="1118" t="s">
        <v>70</v>
      </c>
      <c r="B31" s="1119" t="s">
        <v>71</v>
      </c>
      <c r="C31" s="1119" t="s">
        <v>264</v>
      </c>
      <c r="D31" s="1636">
        <v>58389</v>
      </c>
      <c r="E31" s="1636">
        <v>1802</v>
      </c>
      <c r="F31" s="1636">
        <v>0</v>
      </c>
      <c r="G31" s="1636">
        <v>112380</v>
      </c>
      <c r="H31" s="1636">
        <f t="shared" si="1"/>
        <v>172571</v>
      </c>
      <c r="I31" s="1635">
        <f t="shared" si="2"/>
        <v>143376.5</v>
      </c>
      <c r="J31" s="1635">
        <f t="shared" si="3"/>
        <v>29194.5</v>
      </c>
      <c r="K31" s="1634">
        <f t="shared" si="4"/>
        <v>172571</v>
      </c>
    </row>
    <row r="32" spans="1:11" ht="15" x14ac:dyDescent="0.25">
      <c r="A32" s="1118" t="s">
        <v>72</v>
      </c>
      <c r="B32" s="1119" t="s">
        <v>73</v>
      </c>
      <c r="C32" s="1119" t="s">
        <v>266</v>
      </c>
      <c r="D32" s="1636">
        <v>165644</v>
      </c>
      <c r="E32" s="1636">
        <v>18095</v>
      </c>
      <c r="F32" s="1636">
        <v>0</v>
      </c>
      <c r="G32" s="1636">
        <v>165217</v>
      </c>
      <c r="H32" s="1636">
        <f t="shared" si="1"/>
        <v>348956</v>
      </c>
      <c r="I32" s="1635">
        <f t="shared" si="2"/>
        <v>266134</v>
      </c>
      <c r="J32" s="1635">
        <f t="shared" si="3"/>
        <v>82822</v>
      </c>
      <c r="K32" s="1634">
        <f t="shared" si="4"/>
        <v>348956</v>
      </c>
    </row>
    <row r="33" spans="1:11" ht="15" x14ac:dyDescent="0.25">
      <c r="A33" s="1118" t="s">
        <v>74</v>
      </c>
      <c r="B33" s="1119" t="s">
        <v>664</v>
      </c>
      <c r="C33" s="1119" t="s">
        <v>267</v>
      </c>
      <c r="D33" s="1636">
        <v>5653016</v>
      </c>
      <c r="E33" s="1636">
        <v>2033424.4</v>
      </c>
      <c r="F33" s="1636">
        <v>0</v>
      </c>
      <c r="G33" s="1636">
        <v>17527931.390000001</v>
      </c>
      <c r="H33" s="1636">
        <f t="shared" si="1"/>
        <v>25214371.789999999</v>
      </c>
      <c r="I33" s="1635">
        <f t="shared" si="2"/>
        <v>22387863.789999999</v>
      </c>
      <c r="J33" s="1635">
        <f t="shared" si="3"/>
        <v>2826508</v>
      </c>
      <c r="K33" s="1634">
        <f t="shared" si="4"/>
        <v>25214371.789999999</v>
      </c>
    </row>
    <row r="34" spans="1:11" ht="15" x14ac:dyDescent="0.25">
      <c r="A34" s="1118" t="s">
        <v>76</v>
      </c>
      <c r="B34" s="1119" t="s">
        <v>77</v>
      </c>
      <c r="C34" s="1119" t="s">
        <v>267</v>
      </c>
      <c r="D34" s="1636">
        <v>228112</v>
      </c>
      <c r="E34" s="1636">
        <v>66936</v>
      </c>
      <c r="F34" s="1636">
        <v>0</v>
      </c>
      <c r="G34" s="1636">
        <v>426459</v>
      </c>
      <c r="H34" s="1636">
        <f t="shared" si="1"/>
        <v>721507</v>
      </c>
      <c r="I34" s="1635">
        <f t="shared" si="2"/>
        <v>607451</v>
      </c>
      <c r="J34" s="1635">
        <f t="shared" si="3"/>
        <v>114056</v>
      </c>
      <c r="K34" s="1634">
        <f t="shared" si="4"/>
        <v>721507</v>
      </c>
    </row>
    <row r="35" spans="1:11" ht="15" x14ac:dyDescent="0.25">
      <c r="A35" s="1118" t="s">
        <v>78</v>
      </c>
      <c r="B35" s="1119" t="s">
        <v>79</v>
      </c>
      <c r="C35" s="1119" t="s">
        <v>268</v>
      </c>
      <c r="D35" s="1636">
        <v>23968</v>
      </c>
      <c r="E35" s="1636">
        <v>0</v>
      </c>
      <c r="F35" s="1636">
        <v>0</v>
      </c>
      <c r="G35" s="1636">
        <v>8089</v>
      </c>
      <c r="H35" s="1636">
        <f t="shared" si="1"/>
        <v>32057</v>
      </c>
      <c r="I35" s="1635">
        <f t="shared" si="2"/>
        <v>20073</v>
      </c>
      <c r="J35" s="1635">
        <f t="shared" si="3"/>
        <v>11984</v>
      </c>
      <c r="K35" s="1634">
        <f t="shared" si="4"/>
        <v>32057</v>
      </c>
    </row>
    <row r="36" spans="1:11" ht="15" x14ac:dyDescent="0.25">
      <c r="A36" s="1118" t="s">
        <v>80</v>
      </c>
      <c r="B36" s="1119" t="s">
        <v>81</v>
      </c>
      <c r="C36" s="1119" t="s">
        <v>266</v>
      </c>
      <c r="D36" s="1636">
        <v>45687</v>
      </c>
      <c r="E36" s="1636">
        <v>13922</v>
      </c>
      <c r="F36" s="1636">
        <v>0</v>
      </c>
      <c r="G36" s="1636">
        <v>134883</v>
      </c>
      <c r="H36" s="1636">
        <f t="shared" si="1"/>
        <v>194492</v>
      </c>
      <c r="I36" s="1635">
        <f t="shared" si="2"/>
        <v>171648.5</v>
      </c>
      <c r="J36" s="1635">
        <f t="shared" si="3"/>
        <v>22843.5</v>
      </c>
      <c r="K36" s="1634">
        <f t="shared" si="4"/>
        <v>194492</v>
      </c>
    </row>
    <row r="37" spans="1:11" ht="15" x14ac:dyDescent="0.25">
      <c r="A37" s="1118" t="s">
        <v>84</v>
      </c>
      <c r="B37" s="1119" t="s">
        <v>308</v>
      </c>
      <c r="C37" s="1119" t="s">
        <v>265</v>
      </c>
      <c r="D37" s="1636">
        <v>163196</v>
      </c>
      <c r="E37" s="1636">
        <v>19184</v>
      </c>
      <c r="F37" s="1636">
        <v>0</v>
      </c>
      <c r="G37" s="1636">
        <v>256508</v>
      </c>
      <c r="H37" s="1636">
        <f t="shared" ref="H37:H68" si="5">SUM(D37:G37)</f>
        <v>438888</v>
      </c>
      <c r="I37" s="1635">
        <f t="shared" ref="I37:I68" si="6">(D37*0.5)+E37+(F37*0.5)+G37</f>
        <v>357290</v>
      </c>
      <c r="J37" s="1635">
        <f t="shared" ref="J37:J68" si="7">(D37*0.5)+(F37*0.5)</f>
        <v>81598</v>
      </c>
      <c r="K37" s="1634">
        <f t="shared" ref="K37:K68" si="8">I37+J37</f>
        <v>438888</v>
      </c>
    </row>
    <row r="38" spans="1:11" ht="15" x14ac:dyDescent="0.25">
      <c r="A38" s="1118" t="s">
        <v>86</v>
      </c>
      <c r="B38" s="1119" t="s">
        <v>87</v>
      </c>
      <c r="C38" s="1119" t="s">
        <v>267</v>
      </c>
      <c r="D38" s="1636">
        <v>133105</v>
      </c>
      <c r="E38" s="1636">
        <v>19351</v>
      </c>
      <c r="F38" s="1636">
        <v>0</v>
      </c>
      <c r="G38" s="1636">
        <v>509083</v>
      </c>
      <c r="H38" s="1636">
        <f t="shared" si="5"/>
        <v>661539</v>
      </c>
      <c r="I38" s="1635">
        <f t="shared" si="6"/>
        <v>594986.5</v>
      </c>
      <c r="J38" s="1635">
        <f t="shared" si="7"/>
        <v>66552.5</v>
      </c>
      <c r="K38" s="1634">
        <f t="shared" si="8"/>
        <v>661539</v>
      </c>
    </row>
    <row r="39" spans="1:11" ht="15" x14ac:dyDescent="0.25">
      <c r="A39" s="1118" t="s">
        <v>92</v>
      </c>
      <c r="B39" s="1119" t="s">
        <v>93</v>
      </c>
      <c r="C39" s="1119" t="s">
        <v>268</v>
      </c>
      <c r="D39" s="1636">
        <v>51713</v>
      </c>
      <c r="E39" s="1636">
        <v>6796</v>
      </c>
      <c r="F39" s="1636">
        <v>0</v>
      </c>
      <c r="G39" s="1636">
        <v>56894</v>
      </c>
      <c r="H39" s="1636">
        <f t="shared" si="5"/>
        <v>115403</v>
      </c>
      <c r="I39" s="1635">
        <f t="shared" si="6"/>
        <v>89546.5</v>
      </c>
      <c r="J39" s="1635">
        <f t="shared" si="7"/>
        <v>25856.5</v>
      </c>
      <c r="K39" s="1634">
        <f t="shared" si="8"/>
        <v>115403</v>
      </c>
    </row>
    <row r="40" spans="1:11" ht="15" x14ac:dyDescent="0.25">
      <c r="A40" s="1118" t="s">
        <v>94</v>
      </c>
      <c r="B40" s="1119" t="s">
        <v>95</v>
      </c>
      <c r="C40" s="1119" t="s">
        <v>264</v>
      </c>
      <c r="D40" s="1636">
        <v>164670</v>
      </c>
      <c r="E40" s="1636">
        <v>26300</v>
      </c>
      <c r="F40" s="1636">
        <v>0</v>
      </c>
      <c r="G40" s="1636">
        <v>230192</v>
      </c>
      <c r="H40" s="1636">
        <f t="shared" si="5"/>
        <v>421162</v>
      </c>
      <c r="I40" s="1635">
        <f t="shared" si="6"/>
        <v>338827</v>
      </c>
      <c r="J40" s="1635">
        <f t="shared" si="7"/>
        <v>82335</v>
      </c>
      <c r="K40" s="1634">
        <f t="shared" si="8"/>
        <v>421162</v>
      </c>
    </row>
    <row r="41" spans="1:11" ht="15" x14ac:dyDescent="0.25">
      <c r="A41" s="1118" t="s">
        <v>96</v>
      </c>
      <c r="B41" s="1119" t="s">
        <v>97</v>
      </c>
      <c r="C41" s="1119" t="s">
        <v>266</v>
      </c>
      <c r="D41" s="1636">
        <v>38464</v>
      </c>
      <c r="E41" s="1636">
        <v>0</v>
      </c>
      <c r="F41" s="1636">
        <v>0</v>
      </c>
      <c r="G41" s="1636">
        <v>187818</v>
      </c>
      <c r="H41" s="1636">
        <f t="shared" si="5"/>
        <v>226282</v>
      </c>
      <c r="I41" s="1635">
        <f t="shared" si="6"/>
        <v>207050</v>
      </c>
      <c r="J41" s="1635">
        <f t="shared" si="7"/>
        <v>19232</v>
      </c>
      <c r="K41" s="1634">
        <f t="shared" si="8"/>
        <v>226282</v>
      </c>
    </row>
    <row r="42" spans="1:11" ht="15" x14ac:dyDescent="0.25">
      <c r="A42" s="1118" t="s">
        <v>98</v>
      </c>
      <c r="B42" s="1119" t="s">
        <v>99</v>
      </c>
      <c r="C42" s="1119" t="s">
        <v>268</v>
      </c>
      <c r="D42" s="1636">
        <v>22511</v>
      </c>
      <c r="E42" s="1636">
        <v>0</v>
      </c>
      <c r="F42" s="1636">
        <v>0</v>
      </c>
      <c r="G42" s="1636">
        <v>30621.03</v>
      </c>
      <c r="H42" s="1636">
        <f t="shared" si="5"/>
        <v>53132.03</v>
      </c>
      <c r="I42" s="1635">
        <f t="shared" si="6"/>
        <v>41876.53</v>
      </c>
      <c r="J42" s="1635">
        <f t="shared" si="7"/>
        <v>11255.5</v>
      </c>
      <c r="K42" s="1634">
        <f t="shared" si="8"/>
        <v>53132.03</v>
      </c>
    </row>
    <row r="43" spans="1:11" ht="15" x14ac:dyDescent="0.25">
      <c r="A43" s="1118" t="s">
        <v>100</v>
      </c>
      <c r="B43" s="1119" t="s">
        <v>101</v>
      </c>
      <c r="C43" s="1119" t="s">
        <v>267</v>
      </c>
      <c r="D43" s="1636">
        <v>64439</v>
      </c>
      <c r="E43" s="1636">
        <v>2191</v>
      </c>
      <c r="F43" s="1636">
        <v>0</v>
      </c>
      <c r="G43" s="1636">
        <v>45451</v>
      </c>
      <c r="H43" s="1636">
        <f t="shared" si="5"/>
        <v>112081</v>
      </c>
      <c r="I43" s="1635">
        <f t="shared" si="6"/>
        <v>79861.5</v>
      </c>
      <c r="J43" s="1635">
        <f t="shared" si="7"/>
        <v>32219.5</v>
      </c>
      <c r="K43" s="1634">
        <f t="shared" si="8"/>
        <v>112081</v>
      </c>
    </row>
    <row r="44" spans="1:11" ht="15" x14ac:dyDescent="0.25">
      <c r="A44" s="1118" t="s">
        <v>102</v>
      </c>
      <c r="B44" s="1119" t="s">
        <v>103</v>
      </c>
      <c r="C44" s="1119" t="s">
        <v>264</v>
      </c>
      <c r="D44" s="1636">
        <v>51546</v>
      </c>
      <c r="E44" s="1636">
        <v>0</v>
      </c>
      <c r="F44" s="1636">
        <v>0</v>
      </c>
      <c r="G44" s="1636">
        <v>171044</v>
      </c>
      <c r="H44" s="1636">
        <f t="shared" si="5"/>
        <v>222590</v>
      </c>
      <c r="I44" s="1635">
        <f t="shared" si="6"/>
        <v>196817</v>
      </c>
      <c r="J44" s="1635">
        <f t="shared" si="7"/>
        <v>25773</v>
      </c>
      <c r="K44" s="1634">
        <f t="shared" si="8"/>
        <v>222590</v>
      </c>
    </row>
    <row r="45" spans="1:11" ht="15" x14ac:dyDescent="0.25">
      <c r="A45" s="1118" t="s">
        <v>104</v>
      </c>
      <c r="B45" s="1119" t="s">
        <v>309</v>
      </c>
      <c r="C45" s="1119" t="s">
        <v>265</v>
      </c>
      <c r="D45" s="1636">
        <v>60688</v>
      </c>
      <c r="E45" s="1636">
        <v>22059</v>
      </c>
      <c r="F45" s="1636">
        <v>0</v>
      </c>
      <c r="G45" s="1636">
        <v>66940</v>
      </c>
      <c r="H45" s="1636">
        <f t="shared" si="5"/>
        <v>149687</v>
      </c>
      <c r="I45" s="1635">
        <f t="shared" si="6"/>
        <v>119343</v>
      </c>
      <c r="J45" s="1635">
        <f t="shared" si="7"/>
        <v>30344</v>
      </c>
      <c r="K45" s="1634">
        <f t="shared" si="8"/>
        <v>149687</v>
      </c>
    </row>
    <row r="46" spans="1:11" ht="15" x14ac:dyDescent="0.25">
      <c r="A46" s="1118" t="s">
        <v>108</v>
      </c>
      <c r="B46" s="1119" t="s">
        <v>109</v>
      </c>
      <c r="C46" s="1119" t="s">
        <v>266</v>
      </c>
      <c r="D46" s="1636">
        <v>245823</v>
      </c>
      <c r="E46" s="1636">
        <v>49808</v>
      </c>
      <c r="F46" s="1636">
        <v>0</v>
      </c>
      <c r="G46" s="1636">
        <v>648909</v>
      </c>
      <c r="H46" s="1636">
        <f t="shared" si="5"/>
        <v>944540</v>
      </c>
      <c r="I46" s="1635">
        <f t="shared" si="6"/>
        <v>821628.5</v>
      </c>
      <c r="J46" s="1635">
        <f t="shared" si="7"/>
        <v>122911.5</v>
      </c>
      <c r="K46" s="1634">
        <f t="shared" si="8"/>
        <v>944540</v>
      </c>
    </row>
    <row r="47" spans="1:11" ht="15" x14ac:dyDescent="0.25">
      <c r="A47" s="1118" t="s">
        <v>110</v>
      </c>
      <c r="B47" s="1122" t="s">
        <v>111</v>
      </c>
      <c r="C47" s="1122" t="s">
        <v>266</v>
      </c>
      <c r="D47" s="1636">
        <v>3570197</v>
      </c>
      <c r="E47" s="1636">
        <v>226715</v>
      </c>
      <c r="F47" s="1636">
        <v>0</v>
      </c>
      <c r="G47" s="1636">
        <v>3179504</v>
      </c>
      <c r="H47" s="1636">
        <f t="shared" si="5"/>
        <v>6976416</v>
      </c>
      <c r="I47" s="1635">
        <f t="shared" si="6"/>
        <v>5191317.5</v>
      </c>
      <c r="J47" s="1635">
        <f t="shared" si="7"/>
        <v>1785098.5</v>
      </c>
      <c r="K47" s="1634">
        <f t="shared" si="8"/>
        <v>6976416</v>
      </c>
    </row>
    <row r="48" spans="1:11" ht="15" x14ac:dyDescent="0.25">
      <c r="A48" s="1118" t="s">
        <v>112</v>
      </c>
      <c r="B48" s="1122" t="s">
        <v>300</v>
      </c>
      <c r="C48" s="1122" t="s">
        <v>265</v>
      </c>
      <c r="D48" s="1636">
        <v>252763</v>
      </c>
      <c r="E48" s="1636">
        <v>0</v>
      </c>
      <c r="F48" s="1636">
        <v>0</v>
      </c>
      <c r="G48" s="1636">
        <v>315515</v>
      </c>
      <c r="H48" s="1636">
        <f t="shared" si="5"/>
        <v>568278</v>
      </c>
      <c r="I48" s="1635">
        <f t="shared" si="6"/>
        <v>441896.5</v>
      </c>
      <c r="J48" s="1635">
        <f t="shared" si="7"/>
        <v>126381.5</v>
      </c>
      <c r="K48" s="1634">
        <f t="shared" si="8"/>
        <v>568278</v>
      </c>
    </row>
    <row r="49" spans="1:11" ht="15" x14ac:dyDescent="0.25">
      <c r="A49" s="1118" t="s">
        <v>114</v>
      </c>
      <c r="B49" s="1122" t="s">
        <v>115</v>
      </c>
      <c r="C49" s="1122" t="s">
        <v>265</v>
      </c>
      <c r="D49" s="1636">
        <v>0</v>
      </c>
      <c r="E49" s="1636">
        <v>0</v>
      </c>
      <c r="F49" s="1636">
        <v>0</v>
      </c>
      <c r="G49" s="1636">
        <v>0</v>
      </c>
      <c r="H49" s="1636">
        <f t="shared" si="5"/>
        <v>0</v>
      </c>
      <c r="I49" s="1635">
        <f t="shared" si="6"/>
        <v>0</v>
      </c>
      <c r="J49" s="1635">
        <f t="shared" si="7"/>
        <v>0</v>
      </c>
      <c r="K49" s="1634">
        <f t="shared" si="8"/>
        <v>0</v>
      </c>
    </row>
    <row r="50" spans="1:11" ht="15" x14ac:dyDescent="0.25">
      <c r="A50" s="1118" t="s">
        <v>118</v>
      </c>
      <c r="B50" s="1119" t="s">
        <v>119</v>
      </c>
      <c r="C50" s="1119" t="s">
        <v>264</v>
      </c>
      <c r="D50" s="1636">
        <v>46451</v>
      </c>
      <c r="E50" s="1636">
        <v>0</v>
      </c>
      <c r="F50" s="1636">
        <v>0</v>
      </c>
      <c r="G50" s="1636">
        <v>95901</v>
      </c>
      <c r="H50" s="1636">
        <f t="shared" si="5"/>
        <v>142352</v>
      </c>
      <c r="I50" s="1635">
        <f t="shared" si="6"/>
        <v>119126.5</v>
      </c>
      <c r="J50" s="1635">
        <f t="shared" si="7"/>
        <v>23225.5</v>
      </c>
      <c r="K50" s="1634">
        <f t="shared" si="8"/>
        <v>142352</v>
      </c>
    </row>
    <row r="51" spans="1:11" ht="15" x14ac:dyDescent="0.25">
      <c r="A51" s="1118" t="s">
        <v>120</v>
      </c>
      <c r="B51" s="1119" t="s">
        <v>121</v>
      </c>
      <c r="C51" s="1119" t="s">
        <v>264</v>
      </c>
      <c r="D51" s="1636">
        <v>229027</v>
      </c>
      <c r="E51" s="1636">
        <v>141304</v>
      </c>
      <c r="F51" s="1636">
        <v>0</v>
      </c>
      <c r="G51" s="1636">
        <v>407433</v>
      </c>
      <c r="H51" s="1636">
        <f t="shared" si="5"/>
        <v>777764</v>
      </c>
      <c r="I51" s="1635">
        <f t="shared" si="6"/>
        <v>663250.5</v>
      </c>
      <c r="J51" s="1635">
        <f t="shared" si="7"/>
        <v>114513.5</v>
      </c>
      <c r="K51" s="1634">
        <f t="shared" si="8"/>
        <v>777764</v>
      </c>
    </row>
    <row r="52" spans="1:11" ht="15" x14ac:dyDescent="0.25">
      <c r="A52" s="1118" t="s">
        <v>122</v>
      </c>
      <c r="B52" s="1119" t="s">
        <v>271</v>
      </c>
      <c r="C52" s="1119" t="s">
        <v>266</v>
      </c>
      <c r="D52" s="1636">
        <v>10456</v>
      </c>
      <c r="E52" s="1636">
        <v>6568</v>
      </c>
      <c r="F52" s="1636">
        <v>0</v>
      </c>
      <c r="G52" s="1636">
        <v>40015</v>
      </c>
      <c r="H52" s="1636">
        <f t="shared" si="5"/>
        <v>57039</v>
      </c>
      <c r="I52" s="1635">
        <f t="shared" si="6"/>
        <v>51811</v>
      </c>
      <c r="J52" s="1635">
        <f t="shared" si="7"/>
        <v>5228</v>
      </c>
      <c r="K52" s="1634">
        <f t="shared" si="8"/>
        <v>57039</v>
      </c>
    </row>
    <row r="53" spans="1:11" ht="15" x14ac:dyDescent="0.25">
      <c r="A53" s="1118" t="s">
        <v>124</v>
      </c>
      <c r="B53" s="1119" t="s">
        <v>125</v>
      </c>
      <c r="C53" s="1119" t="s">
        <v>267</v>
      </c>
      <c r="D53" s="1636">
        <v>198311</v>
      </c>
      <c r="E53" s="1636">
        <v>50257</v>
      </c>
      <c r="F53" s="1636">
        <v>0</v>
      </c>
      <c r="G53" s="1636">
        <v>292071</v>
      </c>
      <c r="H53" s="1636">
        <f t="shared" si="5"/>
        <v>540639</v>
      </c>
      <c r="I53" s="1635">
        <f t="shared" si="6"/>
        <v>441483.5</v>
      </c>
      <c r="J53" s="1635">
        <f t="shared" si="7"/>
        <v>99155.5</v>
      </c>
      <c r="K53" s="1634">
        <f t="shared" si="8"/>
        <v>540639</v>
      </c>
    </row>
    <row r="54" spans="1:11" ht="15" x14ac:dyDescent="0.25">
      <c r="A54" s="1118" t="s">
        <v>126</v>
      </c>
      <c r="B54" s="1119" t="s">
        <v>127</v>
      </c>
      <c r="C54" s="1119" t="s">
        <v>266</v>
      </c>
      <c r="D54" s="1636">
        <v>37422</v>
      </c>
      <c r="E54" s="1636">
        <v>23797</v>
      </c>
      <c r="F54" s="1636">
        <v>0</v>
      </c>
      <c r="G54" s="1636">
        <v>137457</v>
      </c>
      <c r="H54" s="1636">
        <f t="shared" si="5"/>
        <v>198676</v>
      </c>
      <c r="I54" s="1635">
        <f t="shared" si="6"/>
        <v>179965</v>
      </c>
      <c r="J54" s="1635">
        <f t="shared" si="7"/>
        <v>18711</v>
      </c>
      <c r="K54" s="1634">
        <f t="shared" si="8"/>
        <v>198676</v>
      </c>
    </row>
    <row r="55" spans="1:11" ht="15" x14ac:dyDescent="0.25">
      <c r="A55" s="1118" t="s">
        <v>128</v>
      </c>
      <c r="B55" s="1119" t="s">
        <v>129</v>
      </c>
      <c r="C55" s="1119" t="s">
        <v>266</v>
      </c>
      <c r="D55" s="1636">
        <v>17390</v>
      </c>
      <c r="E55" s="1636">
        <v>14777</v>
      </c>
      <c r="F55" s="1636">
        <v>0</v>
      </c>
      <c r="G55" s="1636">
        <v>36700</v>
      </c>
      <c r="H55" s="1636">
        <f t="shared" si="5"/>
        <v>68867</v>
      </c>
      <c r="I55" s="1635">
        <f t="shared" si="6"/>
        <v>60172</v>
      </c>
      <c r="J55" s="1635">
        <f t="shared" si="7"/>
        <v>8695</v>
      </c>
      <c r="K55" s="1634">
        <f t="shared" si="8"/>
        <v>68867</v>
      </c>
    </row>
    <row r="56" spans="1:11" ht="15" x14ac:dyDescent="0.25">
      <c r="A56" s="1118" t="s">
        <v>130</v>
      </c>
      <c r="B56" s="1119" t="s">
        <v>131</v>
      </c>
      <c r="C56" s="1119" t="s">
        <v>268</v>
      </c>
      <c r="D56" s="1636">
        <v>14854</v>
      </c>
      <c r="E56" s="1636">
        <v>0</v>
      </c>
      <c r="F56" s="1636">
        <v>0</v>
      </c>
      <c r="G56" s="1636">
        <v>12906</v>
      </c>
      <c r="H56" s="1636">
        <f t="shared" si="5"/>
        <v>27760</v>
      </c>
      <c r="I56" s="1635">
        <f t="shared" si="6"/>
        <v>20333</v>
      </c>
      <c r="J56" s="1635">
        <f t="shared" si="7"/>
        <v>7427</v>
      </c>
      <c r="K56" s="1634">
        <f t="shared" si="8"/>
        <v>27760</v>
      </c>
    </row>
    <row r="57" spans="1:11" ht="15" x14ac:dyDescent="0.25">
      <c r="A57" s="1118" t="s">
        <v>132</v>
      </c>
      <c r="B57" s="1119" t="s">
        <v>133</v>
      </c>
      <c r="C57" s="1119" t="s">
        <v>267</v>
      </c>
      <c r="D57" s="1636">
        <v>1371374</v>
      </c>
      <c r="E57" s="1636">
        <v>826157</v>
      </c>
      <c r="F57" s="1636">
        <v>0</v>
      </c>
      <c r="G57" s="1636">
        <v>1292591.6000000001</v>
      </c>
      <c r="H57" s="1636">
        <f t="shared" si="5"/>
        <v>3490122.6</v>
      </c>
      <c r="I57" s="1635">
        <f t="shared" si="6"/>
        <v>2804435.6</v>
      </c>
      <c r="J57" s="1635">
        <f t="shared" si="7"/>
        <v>685687</v>
      </c>
      <c r="K57" s="1634">
        <f t="shared" si="8"/>
        <v>3490122.6</v>
      </c>
    </row>
    <row r="58" spans="1:11" ht="15" x14ac:dyDescent="0.25">
      <c r="A58" s="1118" t="s">
        <v>134</v>
      </c>
      <c r="B58" s="1119" t="s">
        <v>135</v>
      </c>
      <c r="C58" s="1119" t="s">
        <v>267</v>
      </c>
      <c r="D58" s="1636">
        <v>128085</v>
      </c>
      <c r="E58" s="1636">
        <v>0</v>
      </c>
      <c r="F58" s="1636">
        <v>0</v>
      </c>
      <c r="G58" s="1636">
        <v>26409</v>
      </c>
      <c r="H58" s="1636">
        <f t="shared" si="5"/>
        <v>154494</v>
      </c>
      <c r="I58" s="1635">
        <f t="shared" si="6"/>
        <v>90451.5</v>
      </c>
      <c r="J58" s="1635">
        <f t="shared" si="7"/>
        <v>64042.5</v>
      </c>
      <c r="K58" s="1634">
        <f t="shared" si="8"/>
        <v>154494</v>
      </c>
    </row>
    <row r="59" spans="1:11" ht="15" x14ac:dyDescent="0.25">
      <c r="A59" s="1118" t="s">
        <v>136</v>
      </c>
      <c r="B59" s="1119" t="s">
        <v>137</v>
      </c>
      <c r="C59" s="1119" t="s">
        <v>266</v>
      </c>
      <c r="D59" s="1636">
        <v>1345</v>
      </c>
      <c r="E59" s="1636">
        <v>0</v>
      </c>
      <c r="F59" s="1636">
        <v>0</v>
      </c>
      <c r="G59" s="1636">
        <v>17903</v>
      </c>
      <c r="H59" s="1636">
        <f t="shared" si="5"/>
        <v>19248</v>
      </c>
      <c r="I59" s="1635">
        <f t="shared" si="6"/>
        <v>18575.5</v>
      </c>
      <c r="J59" s="1635">
        <f t="shared" si="7"/>
        <v>672.5</v>
      </c>
      <c r="K59" s="1634">
        <f t="shared" si="8"/>
        <v>19248</v>
      </c>
    </row>
    <row r="60" spans="1:11" ht="15" x14ac:dyDescent="0.25">
      <c r="A60" s="1118" t="s">
        <v>140</v>
      </c>
      <c r="B60" s="1119" t="s">
        <v>141</v>
      </c>
      <c r="C60" s="1119" t="s">
        <v>267</v>
      </c>
      <c r="D60" s="1636">
        <v>33225</v>
      </c>
      <c r="E60" s="1636">
        <v>38404</v>
      </c>
      <c r="F60" s="1636">
        <v>0</v>
      </c>
      <c r="G60" s="1636">
        <v>20463</v>
      </c>
      <c r="H60" s="1636">
        <f t="shared" si="5"/>
        <v>92092</v>
      </c>
      <c r="I60" s="1635">
        <f t="shared" si="6"/>
        <v>75479.5</v>
      </c>
      <c r="J60" s="1635">
        <f t="shared" si="7"/>
        <v>16612.5</v>
      </c>
      <c r="K60" s="1634">
        <f t="shared" si="8"/>
        <v>92092</v>
      </c>
    </row>
    <row r="61" spans="1:11" ht="15" x14ac:dyDescent="0.25">
      <c r="A61" s="1118" t="s">
        <v>146</v>
      </c>
      <c r="B61" s="1119" t="s">
        <v>147</v>
      </c>
      <c r="C61" s="1119" t="s">
        <v>264</v>
      </c>
      <c r="D61" s="1636">
        <v>32983</v>
      </c>
      <c r="E61" s="1636">
        <v>0</v>
      </c>
      <c r="F61" s="1636">
        <v>0</v>
      </c>
      <c r="G61" s="1636">
        <v>38476</v>
      </c>
      <c r="H61" s="1636">
        <f t="shared" si="5"/>
        <v>71459</v>
      </c>
      <c r="I61" s="1635">
        <f t="shared" si="6"/>
        <v>54967.5</v>
      </c>
      <c r="J61" s="1635">
        <f t="shared" si="7"/>
        <v>16491.5</v>
      </c>
      <c r="K61" s="1634">
        <f t="shared" si="8"/>
        <v>71459</v>
      </c>
    </row>
    <row r="62" spans="1:11" ht="15" x14ac:dyDescent="0.25">
      <c r="A62" s="1118" t="s">
        <v>148</v>
      </c>
      <c r="B62" s="1119" t="s">
        <v>149</v>
      </c>
      <c r="C62" s="1119" t="s">
        <v>265</v>
      </c>
      <c r="D62" s="1636">
        <v>51656</v>
      </c>
      <c r="E62" s="1636">
        <v>0</v>
      </c>
      <c r="F62" s="1636">
        <v>0</v>
      </c>
      <c r="G62" s="1636">
        <v>76079</v>
      </c>
      <c r="H62" s="1636">
        <f t="shared" si="5"/>
        <v>127735</v>
      </c>
      <c r="I62" s="1635">
        <f t="shared" si="6"/>
        <v>101907</v>
      </c>
      <c r="J62" s="1635">
        <f t="shared" si="7"/>
        <v>25828</v>
      </c>
      <c r="K62" s="1634">
        <f t="shared" si="8"/>
        <v>127735</v>
      </c>
    </row>
    <row r="63" spans="1:11" ht="15" x14ac:dyDescent="0.25">
      <c r="A63" s="1118" t="s">
        <v>150</v>
      </c>
      <c r="B63" s="1119" t="s">
        <v>151</v>
      </c>
      <c r="C63" s="1119" t="s">
        <v>266</v>
      </c>
      <c r="D63" s="1636">
        <v>83350</v>
      </c>
      <c r="E63" s="1636">
        <v>53347</v>
      </c>
      <c r="F63" s="1636">
        <v>0</v>
      </c>
      <c r="G63" s="1636">
        <v>90153</v>
      </c>
      <c r="H63" s="1636">
        <f t="shared" si="5"/>
        <v>226850</v>
      </c>
      <c r="I63" s="1635">
        <f t="shared" si="6"/>
        <v>185175</v>
      </c>
      <c r="J63" s="1635">
        <f t="shared" si="7"/>
        <v>41675</v>
      </c>
      <c r="K63" s="1634">
        <f t="shared" si="8"/>
        <v>226850</v>
      </c>
    </row>
    <row r="64" spans="1:11" ht="15" x14ac:dyDescent="0.25">
      <c r="A64" s="1118" t="s">
        <v>152</v>
      </c>
      <c r="B64" s="1119" t="s">
        <v>153</v>
      </c>
      <c r="C64" s="1119" t="s">
        <v>268</v>
      </c>
      <c r="D64" s="1636">
        <v>315524</v>
      </c>
      <c r="E64" s="1636">
        <v>55645</v>
      </c>
      <c r="F64" s="1636">
        <v>0</v>
      </c>
      <c r="G64" s="1636">
        <v>479145</v>
      </c>
      <c r="H64" s="1636">
        <f t="shared" si="5"/>
        <v>850314</v>
      </c>
      <c r="I64" s="1635">
        <f t="shared" si="6"/>
        <v>692552</v>
      </c>
      <c r="J64" s="1635">
        <f t="shared" si="7"/>
        <v>157762</v>
      </c>
      <c r="K64" s="1634">
        <f t="shared" si="8"/>
        <v>850314</v>
      </c>
    </row>
    <row r="65" spans="1:11" ht="15" x14ac:dyDescent="0.25">
      <c r="A65" s="1118" t="s">
        <v>154</v>
      </c>
      <c r="B65" s="1119" t="s">
        <v>155</v>
      </c>
      <c r="C65" s="1119" t="s">
        <v>265</v>
      </c>
      <c r="D65" s="1636">
        <v>18652</v>
      </c>
      <c r="E65" s="1636">
        <v>1314</v>
      </c>
      <c r="F65" s="1636">
        <v>0</v>
      </c>
      <c r="G65" s="1636">
        <v>36928</v>
      </c>
      <c r="H65" s="1636">
        <f t="shared" si="5"/>
        <v>56894</v>
      </c>
      <c r="I65" s="1635">
        <f t="shared" si="6"/>
        <v>47568</v>
      </c>
      <c r="J65" s="1635">
        <f t="shared" si="7"/>
        <v>9326</v>
      </c>
      <c r="K65" s="1634">
        <f t="shared" si="8"/>
        <v>56894</v>
      </c>
    </row>
    <row r="66" spans="1:11" ht="15" x14ac:dyDescent="0.25">
      <c r="A66" s="1118" t="s">
        <v>156</v>
      </c>
      <c r="B66" s="1119" t="s">
        <v>157</v>
      </c>
      <c r="C66" s="1119" t="s">
        <v>266</v>
      </c>
      <c r="D66" s="1636">
        <v>153009</v>
      </c>
      <c r="E66" s="1636">
        <v>41705</v>
      </c>
      <c r="F66" s="1636">
        <v>0</v>
      </c>
      <c r="G66" s="1636">
        <v>75201</v>
      </c>
      <c r="H66" s="1636">
        <f t="shared" si="5"/>
        <v>269915</v>
      </c>
      <c r="I66" s="1635">
        <f t="shared" si="6"/>
        <v>193410.5</v>
      </c>
      <c r="J66" s="1635">
        <f t="shared" si="7"/>
        <v>76504.5</v>
      </c>
      <c r="K66" s="1634">
        <f t="shared" si="8"/>
        <v>269915</v>
      </c>
    </row>
    <row r="67" spans="1:11" ht="15" x14ac:dyDescent="0.25">
      <c r="A67" s="1118" t="s">
        <v>162</v>
      </c>
      <c r="B67" s="1119" t="s">
        <v>163</v>
      </c>
      <c r="C67" s="1119" t="s">
        <v>264</v>
      </c>
      <c r="D67" s="1636">
        <v>91035</v>
      </c>
      <c r="E67" s="1636">
        <v>99</v>
      </c>
      <c r="F67" s="1636">
        <v>0</v>
      </c>
      <c r="G67" s="1636">
        <v>158501</v>
      </c>
      <c r="H67" s="1636">
        <f t="shared" si="5"/>
        <v>249635</v>
      </c>
      <c r="I67" s="1635">
        <f t="shared" si="6"/>
        <v>204117.5</v>
      </c>
      <c r="J67" s="1635">
        <f t="shared" si="7"/>
        <v>45517.5</v>
      </c>
      <c r="K67" s="1634">
        <f t="shared" si="8"/>
        <v>249635</v>
      </c>
    </row>
    <row r="68" spans="1:11" ht="15" x14ac:dyDescent="0.25">
      <c r="A68" s="1118" t="s">
        <v>164</v>
      </c>
      <c r="B68" s="1119" t="s">
        <v>165</v>
      </c>
      <c r="C68" s="1119" t="s">
        <v>266</v>
      </c>
      <c r="D68" s="1636">
        <v>2643</v>
      </c>
      <c r="E68" s="1636">
        <v>618</v>
      </c>
      <c r="F68" s="1636">
        <v>0</v>
      </c>
      <c r="G68" s="1636">
        <v>24600</v>
      </c>
      <c r="H68" s="1636">
        <f t="shared" si="5"/>
        <v>27861</v>
      </c>
      <c r="I68" s="1635">
        <f t="shared" si="6"/>
        <v>26539.5</v>
      </c>
      <c r="J68" s="1635">
        <f t="shared" si="7"/>
        <v>1321.5</v>
      </c>
      <c r="K68" s="1634">
        <f t="shared" si="8"/>
        <v>27861</v>
      </c>
    </row>
    <row r="69" spans="1:11" ht="15" x14ac:dyDescent="0.25">
      <c r="A69" s="1118" t="s">
        <v>168</v>
      </c>
      <c r="B69" s="1119" t="s">
        <v>169</v>
      </c>
      <c r="C69" s="1119" t="s">
        <v>266</v>
      </c>
      <c r="D69" s="1636">
        <v>11228</v>
      </c>
      <c r="E69" s="1636">
        <v>0</v>
      </c>
      <c r="F69" s="1636">
        <v>0</v>
      </c>
      <c r="G69" s="1636">
        <v>90323</v>
      </c>
      <c r="H69" s="1636">
        <f t="shared" ref="H69:H100" si="9">SUM(D69:G69)</f>
        <v>101551</v>
      </c>
      <c r="I69" s="1635">
        <f t="shared" ref="I69:I100" si="10">(D69*0.5)+E69+(F69*0.5)+G69</f>
        <v>95937</v>
      </c>
      <c r="J69" s="1635">
        <f t="shared" ref="J69:J100" si="11">(D69*0.5)+(F69*0.5)</f>
        <v>5614</v>
      </c>
      <c r="K69" s="1634">
        <f t="shared" ref="K69:K100" si="12">I69+J69</f>
        <v>101551</v>
      </c>
    </row>
    <row r="70" spans="1:11" ht="15" x14ac:dyDescent="0.25">
      <c r="A70" s="1118" t="s">
        <v>170</v>
      </c>
      <c r="B70" s="1119" t="s">
        <v>171</v>
      </c>
      <c r="C70" s="1119" t="s">
        <v>267</v>
      </c>
      <c r="D70" s="1636">
        <v>128324</v>
      </c>
      <c r="E70" s="1636">
        <v>40849</v>
      </c>
      <c r="F70" s="1636">
        <v>0</v>
      </c>
      <c r="G70" s="1636">
        <v>227729</v>
      </c>
      <c r="H70" s="1636">
        <f t="shared" si="9"/>
        <v>396902</v>
      </c>
      <c r="I70" s="1635">
        <f t="shared" si="10"/>
        <v>332740</v>
      </c>
      <c r="J70" s="1635">
        <f t="shared" si="11"/>
        <v>64162</v>
      </c>
      <c r="K70" s="1634">
        <f t="shared" si="12"/>
        <v>396902</v>
      </c>
    </row>
    <row r="71" spans="1:11" ht="15" x14ac:dyDescent="0.25">
      <c r="A71" s="1118" t="s">
        <v>172</v>
      </c>
      <c r="B71" s="1119" t="s">
        <v>173</v>
      </c>
      <c r="C71" s="1119" t="s">
        <v>267</v>
      </c>
      <c r="D71" s="1636">
        <v>0</v>
      </c>
      <c r="E71" s="1636">
        <v>0</v>
      </c>
      <c r="F71" s="1636">
        <v>0</v>
      </c>
      <c r="G71" s="1636">
        <v>79272</v>
      </c>
      <c r="H71" s="1636">
        <f t="shared" si="9"/>
        <v>79272</v>
      </c>
      <c r="I71" s="1635">
        <f t="shared" si="10"/>
        <v>79272</v>
      </c>
      <c r="J71" s="1635">
        <f t="shared" si="11"/>
        <v>0</v>
      </c>
      <c r="K71" s="1634">
        <f t="shared" si="12"/>
        <v>79272</v>
      </c>
    </row>
    <row r="72" spans="1:11" ht="15" x14ac:dyDescent="0.25">
      <c r="A72" s="1118" t="s">
        <v>174</v>
      </c>
      <c r="B72" s="1119" t="s">
        <v>175</v>
      </c>
      <c r="C72" s="1119" t="s">
        <v>268</v>
      </c>
      <c r="D72" s="1636">
        <v>32127</v>
      </c>
      <c r="E72" s="1636">
        <v>0</v>
      </c>
      <c r="F72" s="1636">
        <v>0</v>
      </c>
      <c r="G72" s="1636">
        <v>69345</v>
      </c>
      <c r="H72" s="1636">
        <f t="shared" si="9"/>
        <v>101472</v>
      </c>
      <c r="I72" s="1635">
        <f t="shared" si="10"/>
        <v>85408.5</v>
      </c>
      <c r="J72" s="1635">
        <f t="shared" si="11"/>
        <v>16063.5</v>
      </c>
      <c r="K72" s="1634">
        <f t="shared" si="12"/>
        <v>101472</v>
      </c>
    </row>
    <row r="73" spans="1:11" ht="15" x14ac:dyDescent="0.25">
      <c r="A73" s="1118" t="s">
        <v>178</v>
      </c>
      <c r="B73" s="1119" t="s">
        <v>179</v>
      </c>
      <c r="C73" s="1119" t="s">
        <v>265</v>
      </c>
      <c r="D73" s="1636">
        <v>93054</v>
      </c>
      <c r="E73" s="1636">
        <v>13712</v>
      </c>
      <c r="F73" s="1636">
        <v>0</v>
      </c>
      <c r="G73" s="1636">
        <v>195832</v>
      </c>
      <c r="H73" s="1636">
        <f t="shared" si="9"/>
        <v>302598</v>
      </c>
      <c r="I73" s="1635">
        <f t="shared" si="10"/>
        <v>256071</v>
      </c>
      <c r="J73" s="1635">
        <f t="shared" si="11"/>
        <v>46527</v>
      </c>
      <c r="K73" s="1634">
        <f t="shared" si="12"/>
        <v>302598</v>
      </c>
    </row>
    <row r="74" spans="1:11" ht="15" x14ac:dyDescent="0.25">
      <c r="A74" s="1118" t="s">
        <v>182</v>
      </c>
      <c r="B74" s="1119" t="s">
        <v>183</v>
      </c>
      <c r="C74" s="1119" t="s">
        <v>266</v>
      </c>
      <c r="D74" s="1636">
        <v>86506</v>
      </c>
      <c r="E74" s="1636">
        <v>29199</v>
      </c>
      <c r="F74" s="1636">
        <v>0</v>
      </c>
      <c r="G74" s="1636">
        <v>75335</v>
      </c>
      <c r="H74" s="1636">
        <f t="shared" si="9"/>
        <v>191040</v>
      </c>
      <c r="I74" s="1635">
        <f t="shared" si="10"/>
        <v>147787</v>
      </c>
      <c r="J74" s="1635">
        <f t="shared" si="11"/>
        <v>43253</v>
      </c>
      <c r="K74" s="1634">
        <f t="shared" si="12"/>
        <v>191040</v>
      </c>
    </row>
    <row r="75" spans="1:11" ht="15" x14ac:dyDescent="0.25">
      <c r="A75" s="1118" t="s">
        <v>184</v>
      </c>
      <c r="B75" s="1119" t="s">
        <v>185</v>
      </c>
      <c r="C75" s="1119" t="s">
        <v>266</v>
      </c>
      <c r="D75" s="1636">
        <v>57503</v>
      </c>
      <c r="E75" s="1636">
        <v>0</v>
      </c>
      <c r="F75" s="1636">
        <v>0</v>
      </c>
      <c r="G75" s="1636">
        <v>78785</v>
      </c>
      <c r="H75" s="1636">
        <f t="shared" si="9"/>
        <v>136288</v>
      </c>
      <c r="I75" s="1635">
        <f t="shared" si="10"/>
        <v>107536.5</v>
      </c>
      <c r="J75" s="1635">
        <f t="shared" si="11"/>
        <v>28751.5</v>
      </c>
      <c r="K75" s="1634">
        <f t="shared" si="12"/>
        <v>136288</v>
      </c>
    </row>
    <row r="76" spans="1:11" ht="15" x14ac:dyDescent="0.25">
      <c r="A76" s="1118" t="s">
        <v>186</v>
      </c>
      <c r="B76" s="1119" t="s">
        <v>187</v>
      </c>
      <c r="C76" s="1119" t="s">
        <v>264</v>
      </c>
      <c r="D76" s="1636">
        <v>59365</v>
      </c>
      <c r="E76" s="1636">
        <v>0</v>
      </c>
      <c r="F76" s="1636">
        <v>0</v>
      </c>
      <c r="G76" s="1636">
        <v>105921</v>
      </c>
      <c r="H76" s="1636">
        <f t="shared" si="9"/>
        <v>165286</v>
      </c>
      <c r="I76" s="1635">
        <f t="shared" si="10"/>
        <v>135603.5</v>
      </c>
      <c r="J76" s="1635">
        <f t="shared" si="11"/>
        <v>29682.5</v>
      </c>
      <c r="K76" s="1634">
        <f t="shared" si="12"/>
        <v>165286</v>
      </c>
    </row>
    <row r="77" spans="1:11" ht="15" x14ac:dyDescent="0.25">
      <c r="A77" s="1118" t="s">
        <v>188</v>
      </c>
      <c r="B77" s="1119" t="s">
        <v>189</v>
      </c>
      <c r="C77" s="1119" t="s">
        <v>267</v>
      </c>
      <c r="D77" s="1636">
        <v>2909160.75</v>
      </c>
      <c r="E77" s="1636">
        <v>936695</v>
      </c>
      <c r="F77" s="1636">
        <v>0</v>
      </c>
      <c r="G77" s="1636">
        <v>2731558</v>
      </c>
      <c r="H77" s="1636">
        <f t="shared" si="9"/>
        <v>6577413.75</v>
      </c>
      <c r="I77" s="1635">
        <f t="shared" si="10"/>
        <v>5122833.375</v>
      </c>
      <c r="J77" s="1635">
        <f t="shared" si="11"/>
        <v>1454580.375</v>
      </c>
      <c r="K77" s="1634">
        <f t="shared" si="12"/>
        <v>6577413.75</v>
      </c>
    </row>
    <row r="78" spans="1:11" ht="15" x14ac:dyDescent="0.25">
      <c r="A78" s="1118" t="s">
        <v>190</v>
      </c>
      <c r="B78" s="1119" t="s">
        <v>191</v>
      </c>
      <c r="C78" s="1119" t="s">
        <v>268</v>
      </c>
      <c r="D78" s="1636">
        <v>123642</v>
      </c>
      <c r="E78" s="1636">
        <v>6381</v>
      </c>
      <c r="F78" s="1636">
        <v>0</v>
      </c>
      <c r="G78" s="1636">
        <v>135800</v>
      </c>
      <c r="H78" s="1636">
        <f t="shared" si="9"/>
        <v>265823</v>
      </c>
      <c r="I78" s="1635">
        <f t="shared" si="10"/>
        <v>204002</v>
      </c>
      <c r="J78" s="1635">
        <f t="shared" si="11"/>
        <v>61821</v>
      </c>
      <c r="K78" s="1634">
        <f t="shared" si="12"/>
        <v>265823</v>
      </c>
    </row>
    <row r="79" spans="1:11" ht="15" x14ac:dyDescent="0.25">
      <c r="A79" s="1118" t="s">
        <v>194</v>
      </c>
      <c r="B79" s="1119" t="s">
        <v>195</v>
      </c>
      <c r="C79" s="1119" t="s">
        <v>267</v>
      </c>
      <c r="D79" s="1636">
        <v>6296</v>
      </c>
      <c r="E79" s="1636">
        <v>0</v>
      </c>
      <c r="F79" s="1636">
        <v>0</v>
      </c>
      <c r="G79" s="1636">
        <v>84604</v>
      </c>
      <c r="H79" s="1636">
        <f t="shared" si="9"/>
        <v>90900</v>
      </c>
      <c r="I79" s="1635">
        <f t="shared" si="10"/>
        <v>87752</v>
      </c>
      <c r="J79" s="1635">
        <f t="shared" si="11"/>
        <v>3148</v>
      </c>
      <c r="K79" s="1634">
        <f t="shared" si="12"/>
        <v>90900</v>
      </c>
    </row>
    <row r="80" spans="1:11" ht="15" x14ac:dyDescent="0.25">
      <c r="A80" s="1118" t="s">
        <v>198</v>
      </c>
      <c r="B80" s="1119" t="s">
        <v>199</v>
      </c>
      <c r="C80" s="1119" t="s">
        <v>266</v>
      </c>
      <c r="D80" s="1636">
        <v>7191</v>
      </c>
      <c r="E80" s="1636">
        <v>0</v>
      </c>
      <c r="F80" s="1636">
        <v>0</v>
      </c>
      <c r="G80" s="1636">
        <v>65003</v>
      </c>
      <c r="H80" s="1636">
        <f t="shared" si="9"/>
        <v>72194</v>
      </c>
      <c r="I80" s="1635">
        <f t="shared" si="10"/>
        <v>68598.5</v>
      </c>
      <c r="J80" s="1635">
        <f t="shared" si="11"/>
        <v>3595.5</v>
      </c>
      <c r="K80" s="1634">
        <f t="shared" si="12"/>
        <v>72194</v>
      </c>
    </row>
    <row r="81" spans="1:11" ht="15" x14ac:dyDescent="0.25">
      <c r="A81" s="1118" t="s">
        <v>202</v>
      </c>
      <c r="B81" s="1119" t="s">
        <v>203</v>
      </c>
      <c r="C81" s="1119" t="s">
        <v>265</v>
      </c>
      <c r="D81" s="1636">
        <v>834636</v>
      </c>
      <c r="E81" s="1636">
        <v>110630</v>
      </c>
      <c r="F81" s="1636">
        <v>0</v>
      </c>
      <c r="G81" s="1636">
        <v>973958</v>
      </c>
      <c r="H81" s="1636">
        <f t="shared" si="9"/>
        <v>1919224</v>
      </c>
      <c r="I81" s="1635">
        <f t="shared" si="10"/>
        <v>1501906</v>
      </c>
      <c r="J81" s="1635">
        <f t="shared" si="11"/>
        <v>417318</v>
      </c>
      <c r="K81" s="1634">
        <f t="shared" si="12"/>
        <v>1919224</v>
      </c>
    </row>
    <row r="82" spans="1:11" ht="15" x14ac:dyDescent="0.25">
      <c r="A82" s="1118" t="s">
        <v>204</v>
      </c>
      <c r="B82" s="1122" t="s">
        <v>205</v>
      </c>
      <c r="C82" s="1122" t="s">
        <v>265</v>
      </c>
      <c r="D82" s="1636">
        <v>28624</v>
      </c>
      <c r="E82" s="1636">
        <v>12737</v>
      </c>
      <c r="F82" s="1636">
        <v>0</v>
      </c>
      <c r="G82" s="1636">
        <v>44467</v>
      </c>
      <c r="H82" s="1636">
        <f t="shared" si="9"/>
        <v>85828</v>
      </c>
      <c r="I82" s="1635">
        <f t="shared" si="10"/>
        <v>71516</v>
      </c>
      <c r="J82" s="1635">
        <f t="shared" si="11"/>
        <v>14312</v>
      </c>
      <c r="K82" s="1634">
        <f t="shared" si="12"/>
        <v>85828</v>
      </c>
    </row>
    <row r="83" spans="1:11" ht="15" x14ac:dyDescent="0.25">
      <c r="A83" s="1118" t="s">
        <v>206</v>
      </c>
      <c r="B83" s="1122" t="s">
        <v>207</v>
      </c>
      <c r="C83" s="1122" t="s">
        <v>267</v>
      </c>
      <c r="D83" s="1636">
        <v>373685</v>
      </c>
      <c r="E83" s="1636">
        <v>34803</v>
      </c>
      <c r="F83" s="1636">
        <v>0</v>
      </c>
      <c r="G83" s="1636">
        <v>432522</v>
      </c>
      <c r="H83" s="1636">
        <f t="shared" si="9"/>
        <v>841010</v>
      </c>
      <c r="I83" s="1635">
        <f t="shared" si="10"/>
        <v>654167.5</v>
      </c>
      <c r="J83" s="1635">
        <f t="shared" si="11"/>
        <v>186842.5</v>
      </c>
      <c r="K83" s="1634">
        <f t="shared" si="12"/>
        <v>841010</v>
      </c>
    </row>
    <row r="84" spans="1:11" ht="15" x14ac:dyDescent="0.25">
      <c r="A84" s="1118" t="s">
        <v>208</v>
      </c>
      <c r="B84" s="1119" t="s">
        <v>209</v>
      </c>
      <c r="C84" s="1119" t="s">
        <v>268</v>
      </c>
      <c r="D84" s="1636">
        <v>17349</v>
      </c>
      <c r="E84" s="1636">
        <v>845</v>
      </c>
      <c r="F84" s="1636">
        <v>0</v>
      </c>
      <c r="G84" s="1636">
        <v>63597</v>
      </c>
      <c r="H84" s="1636">
        <f t="shared" si="9"/>
        <v>81791</v>
      </c>
      <c r="I84" s="1635">
        <f t="shared" si="10"/>
        <v>73116.5</v>
      </c>
      <c r="J84" s="1635">
        <f t="shared" si="11"/>
        <v>8674.5</v>
      </c>
      <c r="K84" s="1634">
        <f t="shared" si="12"/>
        <v>81791</v>
      </c>
    </row>
    <row r="85" spans="1:11" ht="15" x14ac:dyDescent="0.25">
      <c r="A85" s="1118" t="s">
        <v>210</v>
      </c>
      <c r="B85" s="1119" t="s">
        <v>211</v>
      </c>
      <c r="C85" s="1119" t="s">
        <v>268</v>
      </c>
      <c r="D85" s="1636">
        <v>9927</v>
      </c>
      <c r="E85" s="1636">
        <v>0</v>
      </c>
      <c r="F85" s="1636">
        <v>0</v>
      </c>
      <c r="G85" s="1636">
        <v>2844</v>
      </c>
      <c r="H85" s="1636">
        <f t="shared" si="9"/>
        <v>12771</v>
      </c>
      <c r="I85" s="1635">
        <f t="shared" si="10"/>
        <v>7807.5</v>
      </c>
      <c r="J85" s="1635">
        <f t="shared" si="11"/>
        <v>4963.5</v>
      </c>
      <c r="K85" s="1634">
        <f t="shared" si="12"/>
        <v>12771</v>
      </c>
    </row>
    <row r="86" spans="1:11" ht="15" x14ac:dyDescent="0.25">
      <c r="A86" s="1118" t="s">
        <v>212</v>
      </c>
      <c r="B86" s="1119" t="s">
        <v>213</v>
      </c>
      <c r="C86" s="1119" t="s">
        <v>267</v>
      </c>
      <c r="D86" s="1636">
        <v>52512</v>
      </c>
      <c r="E86" s="1636">
        <v>1622</v>
      </c>
      <c r="F86" s="1636">
        <v>0</v>
      </c>
      <c r="G86" s="1636">
        <v>145807</v>
      </c>
      <c r="H86" s="1636">
        <f t="shared" si="9"/>
        <v>199941</v>
      </c>
      <c r="I86" s="1635">
        <f t="shared" si="10"/>
        <v>173685</v>
      </c>
      <c r="J86" s="1635">
        <f t="shared" si="11"/>
        <v>26256</v>
      </c>
      <c r="K86" s="1634">
        <f t="shared" si="12"/>
        <v>199941</v>
      </c>
    </row>
    <row r="87" spans="1:11" ht="15" x14ac:dyDescent="0.25">
      <c r="A87" s="1118" t="s">
        <v>214</v>
      </c>
      <c r="B87" s="1119" t="s">
        <v>215</v>
      </c>
      <c r="C87" s="1119" t="s">
        <v>268</v>
      </c>
      <c r="D87" s="1636">
        <v>68528</v>
      </c>
      <c r="E87" s="1636">
        <v>3905</v>
      </c>
      <c r="F87" s="1636">
        <v>0</v>
      </c>
      <c r="G87" s="1636">
        <v>74270</v>
      </c>
      <c r="H87" s="1636">
        <f t="shared" si="9"/>
        <v>146703</v>
      </c>
      <c r="I87" s="1635">
        <f t="shared" si="10"/>
        <v>112439</v>
      </c>
      <c r="J87" s="1635">
        <f t="shared" si="11"/>
        <v>34264</v>
      </c>
      <c r="K87" s="1634">
        <f t="shared" si="12"/>
        <v>146703</v>
      </c>
    </row>
    <row r="88" spans="1:11" ht="15" x14ac:dyDescent="0.25">
      <c r="A88" s="1118" t="s">
        <v>216</v>
      </c>
      <c r="B88" s="1119" t="s">
        <v>217</v>
      </c>
      <c r="C88" s="1119" t="s">
        <v>264</v>
      </c>
      <c r="D88" s="1636">
        <v>30346</v>
      </c>
      <c r="E88" s="1636">
        <v>3382</v>
      </c>
      <c r="F88" s="1636">
        <v>0</v>
      </c>
      <c r="G88" s="1636">
        <v>8192</v>
      </c>
      <c r="H88" s="1636">
        <f t="shared" si="9"/>
        <v>41920</v>
      </c>
      <c r="I88" s="1635">
        <f t="shared" si="10"/>
        <v>26747</v>
      </c>
      <c r="J88" s="1635">
        <f t="shared" si="11"/>
        <v>15173</v>
      </c>
      <c r="K88" s="1634">
        <f t="shared" si="12"/>
        <v>41920</v>
      </c>
    </row>
    <row r="89" spans="1:11" ht="15" x14ac:dyDescent="0.25">
      <c r="A89" s="1118" t="s">
        <v>218</v>
      </c>
      <c r="B89" s="1119" t="s">
        <v>219</v>
      </c>
      <c r="C89" s="1119" t="s">
        <v>267</v>
      </c>
      <c r="D89" s="1636">
        <v>688458</v>
      </c>
      <c r="E89" s="1636">
        <v>55562</v>
      </c>
      <c r="F89" s="1636">
        <v>0</v>
      </c>
      <c r="G89" s="1636">
        <v>207023</v>
      </c>
      <c r="H89" s="1636">
        <f t="shared" si="9"/>
        <v>951043</v>
      </c>
      <c r="I89" s="1635">
        <f t="shared" si="10"/>
        <v>606814</v>
      </c>
      <c r="J89" s="1635">
        <f t="shared" si="11"/>
        <v>344229</v>
      </c>
      <c r="K89" s="1634">
        <f t="shared" si="12"/>
        <v>951043</v>
      </c>
    </row>
    <row r="90" spans="1:11" ht="15" x14ac:dyDescent="0.25">
      <c r="A90" s="1118" t="s">
        <v>220</v>
      </c>
      <c r="B90" s="1119" t="s">
        <v>221</v>
      </c>
      <c r="C90" s="1119" t="s">
        <v>267</v>
      </c>
      <c r="D90" s="1636">
        <v>916576</v>
      </c>
      <c r="E90" s="1636">
        <v>276184</v>
      </c>
      <c r="F90" s="1636">
        <v>0</v>
      </c>
      <c r="G90" s="1636">
        <v>398798</v>
      </c>
      <c r="H90" s="1636">
        <f t="shared" si="9"/>
        <v>1591558</v>
      </c>
      <c r="I90" s="1635">
        <f t="shared" si="10"/>
        <v>1133270</v>
      </c>
      <c r="J90" s="1635">
        <f t="shared" si="11"/>
        <v>458288</v>
      </c>
      <c r="K90" s="1634">
        <f t="shared" si="12"/>
        <v>1591558</v>
      </c>
    </row>
    <row r="91" spans="1:11" ht="15" x14ac:dyDescent="0.25">
      <c r="A91" s="1118" t="s">
        <v>224</v>
      </c>
      <c r="B91" s="1119" t="s">
        <v>225</v>
      </c>
      <c r="C91" s="1119" t="s">
        <v>264</v>
      </c>
      <c r="D91" s="1636">
        <v>15199</v>
      </c>
      <c r="E91" s="1636">
        <v>406</v>
      </c>
      <c r="F91" s="1636">
        <v>0</v>
      </c>
      <c r="G91" s="1636">
        <v>48930</v>
      </c>
      <c r="H91" s="1636">
        <f t="shared" si="9"/>
        <v>64535</v>
      </c>
      <c r="I91" s="1635">
        <f t="shared" si="10"/>
        <v>56935.5</v>
      </c>
      <c r="J91" s="1635">
        <f t="shared" si="11"/>
        <v>7599.5</v>
      </c>
      <c r="K91" s="1634">
        <f t="shared" si="12"/>
        <v>64535</v>
      </c>
    </row>
    <row r="92" spans="1:11" ht="15" x14ac:dyDescent="0.25">
      <c r="A92" s="1118" t="s">
        <v>226</v>
      </c>
      <c r="B92" s="1119" t="s">
        <v>227</v>
      </c>
      <c r="C92" s="1119" t="s">
        <v>264</v>
      </c>
      <c r="D92" s="1636">
        <v>5026</v>
      </c>
      <c r="E92" s="1636">
        <v>5878</v>
      </c>
      <c r="F92" s="1636">
        <v>0</v>
      </c>
      <c r="G92" s="1636">
        <v>103451.12</v>
      </c>
      <c r="H92" s="1636">
        <f t="shared" si="9"/>
        <v>114355.12</v>
      </c>
      <c r="I92" s="1635">
        <f t="shared" si="10"/>
        <v>111842.12</v>
      </c>
      <c r="J92" s="1635">
        <f t="shared" si="11"/>
        <v>2513</v>
      </c>
      <c r="K92" s="1634">
        <f t="shared" si="12"/>
        <v>114355.12</v>
      </c>
    </row>
    <row r="93" spans="1:11" ht="15" x14ac:dyDescent="0.25">
      <c r="A93" s="1118" t="s">
        <v>228</v>
      </c>
      <c r="B93" s="1119" t="s">
        <v>229</v>
      </c>
      <c r="C93" s="1119" t="s">
        <v>268</v>
      </c>
      <c r="D93" s="1636">
        <v>153101</v>
      </c>
      <c r="E93" s="1636">
        <v>282</v>
      </c>
      <c r="F93" s="1636">
        <v>0</v>
      </c>
      <c r="G93" s="1636">
        <v>122220</v>
      </c>
      <c r="H93" s="1636">
        <f t="shared" si="9"/>
        <v>275603</v>
      </c>
      <c r="I93" s="1635">
        <f t="shared" si="10"/>
        <v>199052.5</v>
      </c>
      <c r="J93" s="1635">
        <f t="shared" si="11"/>
        <v>76550.5</v>
      </c>
      <c r="K93" s="1634">
        <f t="shared" si="12"/>
        <v>275603</v>
      </c>
    </row>
    <row r="94" spans="1:11" ht="15" x14ac:dyDescent="0.25">
      <c r="A94" s="1118" t="s">
        <v>232</v>
      </c>
      <c r="B94" s="1119" t="s">
        <v>233</v>
      </c>
      <c r="C94" s="1119" t="s">
        <v>267</v>
      </c>
      <c r="D94" s="1636">
        <v>270015</v>
      </c>
      <c r="E94" s="1636">
        <v>2460</v>
      </c>
      <c r="F94" s="1636">
        <v>0</v>
      </c>
      <c r="G94" s="1636">
        <v>419734</v>
      </c>
      <c r="H94" s="1636">
        <f t="shared" si="9"/>
        <v>692209</v>
      </c>
      <c r="I94" s="1635">
        <f t="shared" si="10"/>
        <v>557201.5</v>
      </c>
      <c r="J94" s="1635">
        <f t="shared" si="11"/>
        <v>135007.5</v>
      </c>
      <c r="K94" s="1634">
        <f t="shared" si="12"/>
        <v>692209</v>
      </c>
    </row>
    <row r="95" spans="1:11" ht="15" x14ac:dyDescent="0.25">
      <c r="A95" s="1118" t="s">
        <v>234</v>
      </c>
      <c r="B95" s="1119" t="s">
        <v>235</v>
      </c>
      <c r="C95" s="1119" t="s">
        <v>268</v>
      </c>
      <c r="D95" s="1636">
        <v>49731</v>
      </c>
      <c r="E95" s="1636">
        <v>1933</v>
      </c>
      <c r="F95" s="1636">
        <v>0</v>
      </c>
      <c r="G95" s="1636">
        <v>90240</v>
      </c>
      <c r="H95" s="1636">
        <f t="shared" si="9"/>
        <v>141904</v>
      </c>
      <c r="I95" s="1635">
        <f t="shared" si="10"/>
        <v>117038.5</v>
      </c>
      <c r="J95" s="1635">
        <f t="shared" si="11"/>
        <v>24865.5</v>
      </c>
      <c r="K95" s="1634">
        <f t="shared" si="12"/>
        <v>141904</v>
      </c>
    </row>
    <row r="96" spans="1:11" ht="15" x14ac:dyDescent="0.25">
      <c r="A96" s="1118" t="s">
        <v>236</v>
      </c>
      <c r="B96" s="1119" t="s">
        <v>237</v>
      </c>
      <c r="C96" s="1119" t="s">
        <v>266</v>
      </c>
      <c r="D96" s="1636">
        <v>55992</v>
      </c>
      <c r="E96" s="1636">
        <v>3412</v>
      </c>
      <c r="F96" s="1636">
        <v>0</v>
      </c>
      <c r="G96" s="1636">
        <v>159438</v>
      </c>
      <c r="H96" s="1636">
        <f t="shared" si="9"/>
        <v>218842</v>
      </c>
      <c r="I96" s="1635">
        <f t="shared" si="10"/>
        <v>190846</v>
      </c>
      <c r="J96" s="1635">
        <f t="shared" si="11"/>
        <v>27996</v>
      </c>
      <c r="K96" s="1634">
        <f t="shared" si="12"/>
        <v>218842</v>
      </c>
    </row>
    <row r="97" spans="1:11" ht="15" x14ac:dyDescent="0.25">
      <c r="A97" s="1118" t="s">
        <v>242</v>
      </c>
      <c r="B97" s="1119" t="s">
        <v>243</v>
      </c>
      <c r="C97" s="1119" t="s">
        <v>268</v>
      </c>
      <c r="D97" s="1636">
        <v>106034</v>
      </c>
      <c r="E97" s="1636">
        <v>3240</v>
      </c>
      <c r="F97" s="1636">
        <v>0</v>
      </c>
      <c r="G97" s="1636">
        <v>61301</v>
      </c>
      <c r="H97" s="1636">
        <f t="shared" si="9"/>
        <v>170575</v>
      </c>
      <c r="I97" s="1635">
        <f t="shared" si="10"/>
        <v>117558</v>
      </c>
      <c r="J97" s="1635">
        <f t="shared" si="11"/>
        <v>53017</v>
      </c>
      <c r="K97" s="1634">
        <f t="shared" si="12"/>
        <v>170575</v>
      </c>
    </row>
    <row r="98" spans="1:11" ht="15" x14ac:dyDescent="0.25">
      <c r="A98" s="1118" t="s">
        <v>244</v>
      </c>
      <c r="B98" s="1119" t="s">
        <v>245</v>
      </c>
      <c r="C98" s="1119" t="s">
        <v>268</v>
      </c>
      <c r="D98" s="1636">
        <v>76746</v>
      </c>
      <c r="E98" s="1636">
        <v>15188</v>
      </c>
      <c r="F98" s="1636">
        <v>0</v>
      </c>
      <c r="G98" s="1636">
        <v>144314</v>
      </c>
      <c r="H98" s="1636">
        <f t="shared" si="9"/>
        <v>236248</v>
      </c>
      <c r="I98" s="1635">
        <f t="shared" si="10"/>
        <v>197875</v>
      </c>
      <c r="J98" s="1635">
        <f t="shared" si="11"/>
        <v>38373</v>
      </c>
      <c r="K98" s="1634">
        <f t="shared" si="12"/>
        <v>236248</v>
      </c>
    </row>
    <row r="99" spans="1:11" ht="15" x14ac:dyDescent="0.25">
      <c r="A99" s="1118" t="s">
        <v>246</v>
      </c>
      <c r="B99" s="1119" t="s">
        <v>310</v>
      </c>
      <c r="C99" s="1119" t="s">
        <v>264</v>
      </c>
      <c r="D99" s="1636">
        <v>173966</v>
      </c>
      <c r="E99" s="1636">
        <v>113336</v>
      </c>
      <c r="F99" s="1636">
        <v>0</v>
      </c>
      <c r="G99" s="1636">
        <v>271951</v>
      </c>
      <c r="H99" s="1636">
        <f t="shared" si="9"/>
        <v>559253</v>
      </c>
      <c r="I99" s="1635">
        <f t="shared" si="10"/>
        <v>472270</v>
      </c>
      <c r="J99" s="1635">
        <f t="shared" si="11"/>
        <v>86983</v>
      </c>
      <c r="K99" s="1634">
        <f t="shared" si="12"/>
        <v>559253</v>
      </c>
    </row>
    <row r="100" spans="1:11" ht="15" x14ac:dyDescent="0.25">
      <c r="A100" s="1118" t="s">
        <v>14</v>
      </c>
      <c r="B100" s="1119" t="s">
        <v>15</v>
      </c>
      <c r="C100" s="1119" t="s">
        <v>267</v>
      </c>
      <c r="D100" s="1636">
        <v>1268787</v>
      </c>
      <c r="E100" s="1636">
        <v>298646</v>
      </c>
      <c r="F100" s="1636">
        <v>0</v>
      </c>
      <c r="G100" s="1636">
        <v>1801021</v>
      </c>
      <c r="H100" s="1636">
        <f t="shared" si="9"/>
        <v>3368454</v>
      </c>
      <c r="I100" s="1635">
        <f t="shared" si="10"/>
        <v>2734060.5</v>
      </c>
      <c r="J100" s="1635">
        <f t="shared" si="11"/>
        <v>634393.5</v>
      </c>
      <c r="K100" s="1634">
        <f t="shared" si="12"/>
        <v>3368454</v>
      </c>
    </row>
    <row r="101" spans="1:11" ht="15" x14ac:dyDescent="0.25">
      <c r="A101" s="1118" t="s">
        <v>34</v>
      </c>
      <c r="B101" s="1119" t="s">
        <v>35</v>
      </c>
      <c r="C101" s="1119" t="s">
        <v>268</v>
      </c>
      <c r="D101" s="1636">
        <v>288620</v>
      </c>
      <c r="E101" s="1636">
        <v>38183</v>
      </c>
      <c r="F101" s="1636">
        <v>0</v>
      </c>
      <c r="G101" s="1636">
        <v>341240</v>
      </c>
      <c r="H101" s="1636">
        <f t="shared" ref="H101:H124" si="13">SUM(D101:G101)</f>
        <v>668043</v>
      </c>
      <c r="I101" s="1635">
        <f t="shared" ref="I101:I124" si="14">(D101*0.5)+E101+(F101*0.5)+G101</f>
        <v>523733</v>
      </c>
      <c r="J101" s="1635">
        <f t="shared" ref="J101:J124" si="15">(D101*0.5)+(F101*0.5)</f>
        <v>144310</v>
      </c>
      <c r="K101" s="1634">
        <f t="shared" ref="K101:K124" si="16">I101+J101</f>
        <v>668043</v>
      </c>
    </row>
    <row r="102" spans="1:11" ht="15" x14ac:dyDescent="0.25">
      <c r="A102" s="1118" t="s">
        <v>52</v>
      </c>
      <c r="B102" s="1119" t="s">
        <v>53</v>
      </c>
      <c r="C102" s="1119" t="s">
        <v>265</v>
      </c>
      <c r="D102" s="1636">
        <v>595200</v>
      </c>
      <c r="E102" s="1636">
        <v>16138</v>
      </c>
      <c r="F102" s="1636">
        <v>0</v>
      </c>
      <c r="G102" s="1636">
        <v>661079</v>
      </c>
      <c r="H102" s="1636">
        <f t="shared" si="13"/>
        <v>1272417</v>
      </c>
      <c r="I102" s="1635">
        <f t="shared" si="14"/>
        <v>974817</v>
      </c>
      <c r="J102" s="1635">
        <f t="shared" si="15"/>
        <v>297600</v>
      </c>
      <c r="K102" s="1634">
        <f t="shared" si="16"/>
        <v>1272417</v>
      </c>
    </row>
    <row r="103" spans="1:11" ht="15" x14ac:dyDescent="0.25">
      <c r="A103" s="1118" t="s">
        <v>54</v>
      </c>
      <c r="B103" s="1119" t="s">
        <v>55</v>
      </c>
      <c r="C103" s="1119" t="s">
        <v>264</v>
      </c>
      <c r="D103" s="1636">
        <v>1810218.09</v>
      </c>
      <c r="E103" s="1636">
        <v>47411</v>
      </c>
      <c r="F103" s="1636">
        <v>0</v>
      </c>
      <c r="G103" s="1636">
        <v>1738811</v>
      </c>
      <c r="H103" s="1636">
        <f t="shared" si="13"/>
        <v>3596440.09</v>
      </c>
      <c r="I103" s="1635">
        <f t="shared" si="14"/>
        <v>2691331.0449999999</v>
      </c>
      <c r="J103" s="1635">
        <f t="shared" si="15"/>
        <v>905109.04500000004</v>
      </c>
      <c r="K103" s="1634">
        <f t="shared" si="16"/>
        <v>3596440.09</v>
      </c>
    </row>
    <row r="104" spans="1:11" ht="15" x14ac:dyDescent="0.25">
      <c r="A104" s="1118" t="s">
        <v>66</v>
      </c>
      <c r="B104" s="1119" t="s">
        <v>67</v>
      </c>
      <c r="C104" s="1119" t="s">
        <v>265</v>
      </c>
      <c r="D104" s="1636">
        <v>300485</v>
      </c>
      <c r="E104" s="1636">
        <v>52272</v>
      </c>
      <c r="F104" s="1636">
        <v>0</v>
      </c>
      <c r="G104" s="1636">
        <v>578588</v>
      </c>
      <c r="H104" s="1636">
        <f t="shared" si="13"/>
        <v>931345</v>
      </c>
      <c r="I104" s="1635">
        <f t="shared" si="14"/>
        <v>781102.5</v>
      </c>
      <c r="J104" s="1635">
        <f t="shared" si="15"/>
        <v>150242.5</v>
      </c>
      <c r="K104" s="1634">
        <f t="shared" si="16"/>
        <v>931345</v>
      </c>
    </row>
    <row r="105" spans="1:11" ht="15" x14ac:dyDescent="0.25">
      <c r="A105" s="1118" t="s">
        <v>82</v>
      </c>
      <c r="B105" s="1119" t="s">
        <v>311</v>
      </c>
      <c r="C105" s="1119" t="s">
        <v>264</v>
      </c>
      <c r="D105" s="1636">
        <v>90336</v>
      </c>
      <c r="E105" s="1636">
        <v>0</v>
      </c>
      <c r="F105" s="1636">
        <v>0</v>
      </c>
      <c r="G105" s="1636">
        <v>69723</v>
      </c>
      <c r="H105" s="1636">
        <f t="shared" si="13"/>
        <v>160059</v>
      </c>
      <c r="I105" s="1635">
        <f t="shared" si="14"/>
        <v>114891</v>
      </c>
      <c r="J105" s="1635">
        <f t="shared" si="15"/>
        <v>45168</v>
      </c>
      <c r="K105" s="1634">
        <f t="shared" si="16"/>
        <v>160059</v>
      </c>
    </row>
    <row r="106" spans="1:11" ht="15" x14ac:dyDescent="0.25">
      <c r="A106" s="1118" t="s">
        <v>88</v>
      </c>
      <c r="B106" s="1119" t="s">
        <v>89</v>
      </c>
      <c r="C106" s="1119" t="s">
        <v>267</v>
      </c>
      <c r="D106" s="1636">
        <v>660814</v>
      </c>
      <c r="E106" s="1636">
        <v>387038</v>
      </c>
      <c r="F106" s="1636">
        <v>0</v>
      </c>
      <c r="G106" s="1636">
        <v>285300</v>
      </c>
      <c r="H106" s="1636">
        <f t="shared" si="13"/>
        <v>1333152</v>
      </c>
      <c r="I106" s="1635">
        <f t="shared" si="14"/>
        <v>1002745</v>
      </c>
      <c r="J106" s="1635">
        <f t="shared" si="15"/>
        <v>330407</v>
      </c>
      <c r="K106" s="1634">
        <f t="shared" si="16"/>
        <v>1333152</v>
      </c>
    </row>
    <row r="107" spans="1:11" ht="15" x14ac:dyDescent="0.25">
      <c r="A107" s="1118" t="s">
        <v>90</v>
      </c>
      <c r="B107" s="1119" t="s">
        <v>91</v>
      </c>
      <c r="C107" s="1119" t="s">
        <v>268</v>
      </c>
      <c r="D107" s="1636">
        <v>31515</v>
      </c>
      <c r="E107" s="1636">
        <v>2213</v>
      </c>
      <c r="F107" s="1636">
        <v>0</v>
      </c>
      <c r="G107" s="1636">
        <v>46216</v>
      </c>
      <c r="H107" s="1636">
        <f t="shared" si="13"/>
        <v>79944</v>
      </c>
      <c r="I107" s="1635">
        <f t="shared" si="14"/>
        <v>64186.5</v>
      </c>
      <c r="J107" s="1635">
        <f t="shared" si="15"/>
        <v>15757.5</v>
      </c>
      <c r="K107" s="1634">
        <f t="shared" si="16"/>
        <v>79944</v>
      </c>
    </row>
    <row r="108" spans="1:11" ht="15" x14ac:dyDescent="0.25">
      <c r="A108" s="1118" t="s">
        <v>106</v>
      </c>
      <c r="B108" s="1119" t="s">
        <v>107</v>
      </c>
      <c r="C108" s="1119" t="s">
        <v>264</v>
      </c>
      <c r="D108" s="1636">
        <v>2155959</v>
      </c>
      <c r="E108" s="1636">
        <v>0</v>
      </c>
      <c r="F108" s="1636">
        <v>0</v>
      </c>
      <c r="G108" s="1636">
        <v>557307</v>
      </c>
      <c r="H108" s="1636">
        <f t="shared" si="13"/>
        <v>2713266</v>
      </c>
      <c r="I108" s="1635">
        <f t="shared" si="14"/>
        <v>1635286.5</v>
      </c>
      <c r="J108" s="1635">
        <f t="shared" si="15"/>
        <v>1077979.5</v>
      </c>
      <c r="K108" s="1634">
        <f t="shared" si="16"/>
        <v>2713266</v>
      </c>
    </row>
    <row r="109" spans="1:11" ht="15" x14ac:dyDescent="0.25">
      <c r="A109" s="1118" t="s">
        <v>116</v>
      </c>
      <c r="B109" s="1119" t="s">
        <v>117</v>
      </c>
      <c r="C109" s="1119" t="s">
        <v>266</v>
      </c>
      <c r="D109" s="1636">
        <v>361794</v>
      </c>
      <c r="E109" s="1636">
        <v>126502</v>
      </c>
      <c r="F109" s="1636">
        <v>0</v>
      </c>
      <c r="G109" s="1636">
        <v>212728</v>
      </c>
      <c r="H109" s="1636">
        <f t="shared" si="13"/>
        <v>701024</v>
      </c>
      <c r="I109" s="1635">
        <f t="shared" si="14"/>
        <v>520127</v>
      </c>
      <c r="J109" s="1635">
        <f t="shared" si="15"/>
        <v>180897</v>
      </c>
      <c r="K109" s="1634">
        <f t="shared" si="16"/>
        <v>701024</v>
      </c>
    </row>
    <row r="110" spans="1:11" ht="15" x14ac:dyDescent="0.25">
      <c r="A110" s="1118" t="s">
        <v>138</v>
      </c>
      <c r="B110" s="1119" t="s">
        <v>139</v>
      </c>
      <c r="C110" s="1119" t="s">
        <v>265</v>
      </c>
      <c r="D110" s="1636">
        <v>506299</v>
      </c>
      <c r="E110" s="1636">
        <v>32952</v>
      </c>
      <c r="F110" s="1636">
        <v>0</v>
      </c>
      <c r="G110" s="1636">
        <v>836669</v>
      </c>
      <c r="H110" s="1636">
        <f t="shared" si="13"/>
        <v>1375920</v>
      </c>
      <c r="I110" s="1635">
        <f t="shared" si="14"/>
        <v>1122770.5</v>
      </c>
      <c r="J110" s="1635">
        <f t="shared" si="15"/>
        <v>253149.5</v>
      </c>
      <c r="K110" s="1634">
        <f t="shared" si="16"/>
        <v>1375920</v>
      </c>
    </row>
    <row r="111" spans="1:11" ht="15" x14ac:dyDescent="0.25">
      <c r="A111" s="1118" t="s">
        <v>142</v>
      </c>
      <c r="B111" s="1119" t="s">
        <v>143</v>
      </c>
      <c r="C111" s="1119" t="s">
        <v>267</v>
      </c>
      <c r="D111" s="1636">
        <v>371946</v>
      </c>
      <c r="E111" s="1636">
        <v>58784</v>
      </c>
      <c r="F111" s="1636">
        <v>0</v>
      </c>
      <c r="G111" s="1636">
        <v>1264076</v>
      </c>
      <c r="H111" s="1636">
        <f t="shared" si="13"/>
        <v>1694806</v>
      </c>
      <c r="I111" s="1635">
        <f t="shared" si="14"/>
        <v>1508833</v>
      </c>
      <c r="J111" s="1635">
        <f t="shared" si="15"/>
        <v>185973</v>
      </c>
      <c r="K111" s="1634">
        <f t="shared" si="16"/>
        <v>1694806</v>
      </c>
    </row>
    <row r="112" spans="1:11" ht="15" x14ac:dyDescent="0.25">
      <c r="A112" s="1118" t="s">
        <v>144</v>
      </c>
      <c r="B112" s="1119" t="s">
        <v>145</v>
      </c>
      <c r="C112" s="1119" t="s">
        <v>267</v>
      </c>
      <c r="D112" s="1636">
        <v>60277</v>
      </c>
      <c r="E112" s="1636">
        <v>46210</v>
      </c>
      <c r="F112" s="1636">
        <v>0</v>
      </c>
      <c r="G112" s="1636">
        <v>199841</v>
      </c>
      <c r="H112" s="1636">
        <f t="shared" si="13"/>
        <v>306328</v>
      </c>
      <c r="I112" s="1635">
        <f t="shared" si="14"/>
        <v>276189.5</v>
      </c>
      <c r="J112" s="1635">
        <f t="shared" si="15"/>
        <v>30138.5</v>
      </c>
      <c r="K112" s="1634">
        <f t="shared" si="16"/>
        <v>306328</v>
      </c>
    </row>
    <row r="113" spans="1:11" ht="15" x14ac:dyDescent="0.25">
      <c r="A113" s="1118" t="s">
        <v>158</v>
      </c>
      <c r="B113" s="1119" t="s">
        <v>159</v>
      </c>
      <c r="C113" s="1119" t="s">
        <v>264</v>
      </c>
      <c r="D113" s="1636">
        <v>3008168.5</v>
      </c>
      <c r="E113" s="1636">
        <v>364796</v>
      </c>
      <c r="F113" s="1636">
        <v>0</v>
      </c>
      <c r="G113" s="1636">
        <v>2583840</v>
      </c>
      <c r="H113" s="1636">
        <f t="shared" si="13"/>
        <v>5956804.5</v>
      </c>
      <c r="I113" s="1635">
        <f t="shared" si="14"/>
        <v>4452720.25</v>
      </c>
      <c r="J113" s="1635">
        <f t="shared" si="15"/>
        <v>1504084.25</v>
      </c>
      <c r="K113" s="1634">
        <f t="shared" si="16"/>
        <v>5956804.5</v>
      </c>
    </row>
    <row r="114" spans="1:11" ht="15" x14ac:dyDescent="0.25">
      <c r="A114" s="1118" t="s">
        <v>160</v>
      </c>
      <c r="B114" s="1119" t="s">
        <v>161</v>
      </c>
      <c r="C114" s="1119" t="s">
        <v>264</v>
      </c>
      <c r="D114" s="1636">
        <v>3205659</v>
      </c>
      <c r="E114" s="1636">
        <v>34849</v>
      </c>
      <c r="F114" s="1636">
        <v>0</v>
      </c>
      <c r="G114" s="1636">
        <v>3966728</v>
      </c>
      <c r="H114" s="1636">
        <f t="shared" si="13"/>
        <v>7207236</v>
      </c>
      <c r="I114" s="1635">
        <f t="shared" si="14"/>
        <v>5604406.5</v>
      </c>
      <c r="J114" s="1635">
        <f t="shared" si="15"/>
        <v>1602829.5</v>
      </c>
      <c r="K114" s="1634">
        <f t="shared" si="16"/>
        <v>7207236</v>
      </c>
    </row>
    <row r="115" spans="1:11" ht="15" x14ac:dyDescent="0.25">
      <c r="A115" s="1118" t="s">
        <v>166</v>
      </c>
      <c r="B115" s="1119" t="s">
        <v>167</v>
      </c>
      <c r="C115" s="1119" t="s">
        <v>268</v>
      </c>
      <c r="D115" s="1636">
        <v>17357</v>
      </c>
      <c r="E115" s="1636">
        <v>0</v>
      </c>
      <c r="F115" s="1636">
        <v>0</v>
      </c>
      <c r="G115" s="1636">
        <v>10257</v>
      </c>
      <c r="H115" s="1636">
        <f t="shared" si="13"/>
        <v>27614</v>
      </c>
      <c r="I115" s="1635">
        <f t="shared" si="14"/>
        <v>18935.5</v>
      </c>
      <c r="J115" s="1635">
        <f t="shared" si="15"/>
        <v>8678.5</v>
      </c>
      <c r="K115" s="1634">
        <f t="shared" si="16"/>
        <v>27614</v>
      </c>
    </row>
    <row r="116" spans="1:11" ht="15" x14ac:dyDescent="0.25">
      <c r="A116" s="1118" t="s">
        <v>176</v>
      </c>
      <c r="B116" s="1119" t="s">
        <v>177</v>
      </c>
      <c r="C116" s="1119" t="s">
        <v>266</v>
      </c>
      <c r="D116" s="1636">
        <v>473452</v>
      </c>
      <c r="E116" s="1636">
        <v>61590</v>
      </c>
      <c r="F116" s="1636">
        <v>0</v>
      </c>
      <c r="G116" s="1636">
        <v>484640</v>
      </c>
      <c r="H116" s="1636">
        <f t="shared" si="13"/>
        <v>1019682</v>
      </c>
      <c r="I116" s="1635">
        <f t="shared" si="14"/>
        <v>782956</v>
      </c>
      <c r="J116" s="1635">
        <f t="shared" si="15"/>
        <v>236726</v>
      </c>
      <c r="K116" s="1634">
        <f t="shared" si="16"/>
        <v>1019682</v>
      </c>
    </row>
    <row r="117" spans="1:11" ht="15" x14ac:dyDescent="0.25">
      <c r="A117" s="1118" t="s">
        <v>180</v>
      </c>
      <c r="B117" s="1119" t="s">
        <v>181</v>
      </c>
      <c r="C117" s="1119" t="s">
        <v>264</v>
      </c>
      <c r="D117" s="1636">
        <v>1686251</v>
      </c>
      <c r="E117" s="1636">
        <v>324753</v>
      </c>
      <c r="F117" s="1636">
        <v>0</v>
      </c>
      <c r="G117" s="1636">
        <v>918935</v>
      </c>
      <c r="H117" s="1636">
        <f t="shared" si="13"/>
        <v>2929939</v>
      </c>
      <c r="I117" s="1635">
        <f t="shared" si="14"/>
        <v>2086813.5</v>
      </c>
      <c r="J117" s="1635">
        <f t="shared" si="15"/>
        <v>843125.5</v>
      </c>
      <c r="K117" s="1634">
        <f t="shared" si="16"/>
        <v>2929939</v>
      </c>
    </row>
    <row r="118" spans="1:11" ht="15" x14ac:dyDescent="0.25">
      <c r="A118" s="1118" t="s">
        <v>192</v>
      </c>
      <c r="B118" s="1119" t="s">
        <v>193</v>
      </c>
      <c r="C118" s="1119" t="s">
        <v>268</v>
      </c>
      <c r="D118" s="1636">
        <v>86579</v>
      </c>
      <c r="E118" s="1636">
        <v>7269</v>
      </c>
      <c r="F118" s="1636">
        <v>0</v>
      </c>
      <c r="G118" s="1636">
        <v>33115</v>
      </c>
      <c r="H118" s="1636">
        <f t="shared" si="13"/>
        <v>126963</v>
      </c>
      <c r="I118" s="1635">
        <f t="shared" si="14"/>
        <v>83673.5</v>
      </c>
      <c r="J118" s="1635">
        <f t="shared" si="15"/>
        <v>43289.5</v>
      </c>
      <c r="K118" s="1634">
        <f t="shared" si="16"/>
        <v>126963</v>
      </c>
    </row>
    <row r="119" spans="1:11" ht="15" x14ac:dyDescent="0.25">
      <c r="A119" s="1118" t="s">
        <v>196</v>
      </c>
      <c r="B119" s="1119" t="s">
        <v>312</v>
      </c>
      <c r="C119" s="1119" t="s">
        <v>266</v>
      </c>
      <c r="D119" s="1636">
        <v>4135182</v>
      </c>
      <c r="E119" s="1636">
        <v>162845</v>
      </c>
      <c r="F119" s="1636">
        <v>0</v>
      </c>
      <c r="G119" s="1636">
        <v>3061256</v>
      </c>
      <c r="H119" s="1636">
        <f t="shared" si="13"/>
        <v>7359283</v>
      </c>
      <c r="I119" s="1635">
        <f t="shared" si="14"/>
        <v>5291692</v>
      </c>
      <c r="J119" s="1635">
        <f t="shared" si="15"/>
        <v>2067591</v>
      </c>
      <c r="K119" s="1634">
        <f t="shared" si="16"/>
        <v>7359283</v>
      </c>
    </row>
    <row r="120" spans="1:11" ht="15" x14ac:dyDescent="0.25">
      <c r="A120" s="1118" t="s">
        <v>200</v>
      </c>
      <c r="B120" s="1119" t="s">
        <v>313</v>
      </c>
      <c r="C120" s="1119" t="s">
        <v>265</v>
      </c>
      <c r="D120" s="1636">
        <v>2043731</v>
      </c>
      <c r="E120" s="1636">
        <v>406672</v>
      </c>
      <c r="F120" s="1636">
        <v>0</v>
      </c>
      <c r="G120" s="1636">
        <v>1698326</v>
      </c>
      <c r="H120" s="1636">
        <f t="shared" si="13"/>
        <v>4148729</v>
      </c>
      <c r="I120" s="1635">
        <f t="shared" si="14"/>
        <v>3126863.5</v>
      </c>
      <c r="J120" s="1635">
        <f t="shared" si="15"/>
        <v>1021865.5</v>
      </c>
      <c r="K120" s="1634">
        <f t="shared" si="16"/>
        <v>4148729</v>
      </c>
    </row>
    <row r="121" spans="1:11" ht="15" x14ac:dyDescent="0.25">
      <c r="A121" s="1118" t="s">
        <v>222</v>
      </c>
      <c r="B121" s="1119" t="s">
        <v>223</v>
      </c>
      <c r="C121" s="1119" t="s">
        <v>264</v>
      </c>
      <c r="D121" s="1636">
        <v>251197.97999999998</v>
      </c>
      <c r="E121" s="1636">
        <v>73104</v>
      </c>
      <c r="F121" s="1636">
        <v>0</v>
      </c>
      <c r="G121" s="1636">
        <v>441852</v>
      </c>
      <c r="H121" s="1636">
        <f t="shared" si="13"/>
        <v>766153.98</v>
      </c>
      <c r="I121" s="1635">
        <f t="shared" si="14"/>
        <v>640554.99</v>
      </c>
      <c r="J121" s="1635">
        <f t="shared" si="15"/>
        <v>125598.98999999999</v>
      </c>
      <c r="K121" s="1634">
        <f t="shared" si="16"/>
        <v>766153.98</v>
      </c>
    </row>
    <row r="122" spans="1:11" ht="15" x14ac:dyDescent="0.25">
      <c r="A122" s="1118" t="s">
        <v>230</v>
      </c>
      <c r="B122" s="1119" t="s">
        <v>231</v>
      </c>
      <c r="C122" s="1119" t="s">
        <v>264</v>
      </c>
      <c r="D122" s="1636">
        <v>1834180</v>
      </c>
      <c r="E122" s="1636">
        <v>55332</v>
      </c>
      <c r="F122" s="1636">
        <v>0</v>
      </c>
      <c r="G122" s="1636">
        <v>5569251.04</v>
      </c>
      <c r="H122" s="1636">
        <f t="shared" si="13"/>
        <v>7458763.04</v>
      </c>
      <c r="I122" s="1635">
        <f t="shared" si="14"/>
        <v>6541673.04</v>
      </c>
      <c r="J122" s="1635">
        <f t="shared" si="15"/>
        <v>917090</v>
      </c>
      <c r="K122" s="1634">
        <f t="shared" si="16"/>
        <v>7458763.04</v>
      </c>
    </row>
    <row r="123" spans="1:11" ht="15" x14ac:dyDescent="0.25">
      <c r="A123" s="1118" t="s">
        <v>238</v>
      </c>
      <c r="B123" s="1119" t="s">
        <v>239</v>
      </c>
      <c r="C123" s="1119" t="s">
        <v>264</v>
      </c>
      <c r="D123" s="1636">
        <v>79178</v>
      </c>
      <c r="E123" s="1636">
        <v>35944</v>
      </c>
      <c r="F123" s="1636">
        <v>0</v>
      </c>
      <c r="G123" s="1636">
        <v>189053</v>
      </c>
      <c r="H123" s="1636">
        <f t="shared" si="13"/>
        <v>304175</v>
      </c>
      <c r="I123" s="1635">
        <f t="shared" si="14"/>
        <v>264586</v>
      </c>
      <c r="J123" s="1635">
        <f t="shared" si="15"/>
        <v>39589</v>
      </c>
      <c r="K123" s="1634">
        <f t="shared" si="16"/>
        <v>304175</v>
      </c>
    </row>
    <row r="124" spans="1:11" ht="15" x14ac:dyDescent="0.25">
      <c r="A124" s="1118" t="s">
        <v>240</v>
      </c>
      <c r="B124" s="1119" t="s">
        <v>241</v>
      </c>
      <c r="C124" s="1119" t="s">
        <v>267</v>
      </c>
      <c r="D124" s="1636">
        <v>145707</v>
      </c>
      <c r="E124" s="1636">
        <v>34694</v>
      </c>
      <c r="F124" s="1636">
        <v>0</v>
      </c>
      <c r="G124" s="1636">
        <v>234398</v>
      </c>
      <c r="H124" s="1636">
        <f t="shared" si="13"/>
        <v>414799</v>
      </c>
      <c r="I124" s="1635">
        <f t="shared" si="14"/>
        <v>341945.5</v>
      </c>
      <c r="J124" s="1635">
        <f t="shared" si="15"/>
        <v>72853.5</v>
      </c>
      <c r="K124" s="1634">
        <f t="shared" si="16"/>
        <v>414799</v>
      </c>
    </row>
    <row r="126" spans="1:11" ht="15" x14ac:dyDescent="0.25">
      <c r="A126" s="1494" t="s">
        <v>266</v>
      </c>
      <c r="D126" s="1492">
        <v>12126731</v>
      </c>
      <c r="E126" s="1492">
        <v>1107583</v>
      </c>
      <c r="F126" s="1492">
        <v>0</v>
      </c>
      <c r="G126" s="1492">
        <v>11169351</v>
      </c>
      <c r="H126" s="1636">
        <v>24403665</v>
      </c>
      <c r="I126" s="1635">
        <v>18340299.5</v>
      </c>
      <c r="J126" s="1635">
        <v>6063365.5</v>
      </c>
      <c r="K126" s="1634">
        <v>24403665</v>
      </c>
    </row>
    <row r="127" spans="1:11" ht="15" x14ac:dyDescent="0.25">
      <c r="A127" s="1494" t="s">
        <v>264</v>
      </c>
      <c r="D127" s="1492">
        <v>15128276.57</v>
      </c>
      <c r="E127" s="1492">
        <v>1243626</v>
      </c>
      <c r="F127" s="1492">
        <v>0</v>
      </c>
      <c r="G127" s="1492">
        <v>17929789.16</v>
      </c>
      <c r="H127" s="1636">
        <v>34301691.730000004</v>
      </c>
      <c r="I127" s="1635">
        <v>26737553.445</v>
      </c>
      <c r="J127" s="1635">
        <v>7564138.2850000001</v>
      </c>
      <c r="K127" s="1634">
        <v>34301691.730000004</v>
      </c>
    </row>
    <row r="128" spans="1:11" ht="15" x14ac:dyDescent="0.25">
      <c r="A128" s="1494" t="s">
        <v>267</v>
      </c>
      <c r="D128" s="1492">
        <v>16733151.75</v>
      </c>
      <c r="E128" s="1492">
        <v>6660890.4000000004</v>
      </c>
      <c r="F128" s="1492">
        <v>0</v>
      </c>
      <c r="G128" s="1492">
        <v>30629690.990000002</v>
      </c>
      <c r="H128" s="1636">
        <v>54023733.140000001</v>
      </c>
      <c r="I128" s="1635">
        <v>45657157.265000001</v>
      </c>
      <c r="J128" s="1635">
        <v>8366575.875</v>
      </c>
      <c r="K128" s="1634">
        <v>54023733.140000001</v>
      </c>
    </row>
    <row r="129" spans="1:11" ht="15" x14ac:dyDescent="0.25">
      <c r="A129" s="1494" t="s">
        <v>265</v>
      </c>
      <c r="D129" s="1492">
        <v>6234611</v>
      </c>
      <c r="E129" s="1492">
        <v>950053</v>
      </c>
      <c r="F129" s="1492">
        <v>0</v>
      </c>
      <c r="G129" s="1492">
        <v>8233520</v>
      </c>
      <c r="H129" s="1636">
        <v>15418184</v>
      </c>
      <c r="I129" s="1635">
        <v>12300878.5</v>
      </c>
      <c r="J129" s="1635">
        <v>3117305.5</v>
      </c>
      <c r="K129" s="1634">
        <v>15418184</v>
      </c>
    </row>
    <row r="130" spans="1:11" ht="15" x14ac:dyDescent="0.25">
      <c r="A130" s="1494" t="s">
        <v>268</v>
      </c>
      <c r="D130" s="1492">
        <v>1651813</v>
      </c>
      <c r="E130" s="1492">
        <v>159419</v>
      </c>
      <c r="F130" s="1492">
        <v>0</v>
      </c>
      <c r="G130" s="1492">
        <v>2005766.03</v>
      </c>
      <c r="H130" s="1636">
        <v>3816998.0300000003</v>
      </c>
      <c r="I130" s="1635">
        <v>2991091.5300000003</v>
      </c>
      <c r="J130" s="1635">
        <v>825906.5</v>
      </c>
      <c r="K130" s="1634">
        <v>3816998.0300000003</v>
      </c>
    </row>
    <row r="131" spans="1:11" ht="15" x14ac:dyDescent="0.25">
      <c r="A131" s="1494" t="s">
        <v>9</v>
      </c>
      <c r="D131" s="1495">
        <f t="shared" ref="D131" si="17">SUM(D126:D130)</f>
        <v>51874583.32</v>
      </c>
      <c r="E131" s="1495">
        <f t="shared" ref="E131:F131" si="18">SUM(E126:E130)</f>
        <v>10121571.4</v>
      </c>
      <c r="F131" s="1495">
        <f t="shared" si="18"/>
        <v>0</v>
      </c>
      <c r="G131" s="1495">
        <f t="shared" ref="G131" si="19">SUM(G126:G130)</f>
        <v>69968117.180000007</v>
      </c>
      <c r="H131" s="1636">
        <f t="shared" ref="H131" si="20">SUM(D131:G131)</f>
        <v>131964271.90000001</v>
      </c>
      <c r="I131" s="1635">
        <f t="shared" ref="I131" si="21">(D131*0.5)+E131+(F131*0.5)+G131</f>
        <v>106026980.24000001</v>
      </c>
      <c r="J131" s="1635">
        <f t="shared" ref="J131" si="22">(D131*0.5)+(F131*0.5)</f>
        <v>25937291.66</v>
      </c>
      <c r="K131" s="1634">
        <f t="shared" ref="K131" si="23">I131+J131</f>
        <v>131964271.90000001</v>
      </c>
    </row>
    <row r="134" spans="1:11" x14ac:dyDescent="0.25">
      <c r="A134" s="986" t="s">
        <v>1233</v>
      </c>
      <c r="B134" s="712"/>
    </row>
    <row r="135" spans="1:11" x14ac:dyDescent="0.25">
      <c r="A135" s="392"/>
      <c r="B135" s="392"/>
    </row>
    <row r="136" spans="1:11" x14ac:dyDescent="0.25">
      <c r="A136" s="412" t="s">
        <v>248</v>
      </c>
      <c r="B136" s="412"/>
    </row>
    <row r="137" spans="1:11" x14ac:dyDescent="0.25">
      <c r="A137" s="413" t="s">
        <v>249</v>
      </c>
      <c r="B137" s="414" t="s">
        <v>250</v>
      </c>
    </row>
  </sheetData>
  <autoFilter ref="A3:C124"/>
  <sortState ref="A5:K124">
    <sortCondition ref="A5:A124"/>
  </sortState>
  <hyperlinks>
    <hyperlink ref="B137"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Y136"/>
  <sheetViews>
    <sheetView workbookViewId="0">
      <pane xSplit="3" ySplit="4" topLeftCell="H102" activePane="bottomRight" state="frozen"/>
      <selection pane="topRight" activeCell="D1" sqref="D1"/>
      <selection pane="bottomLeft" activeCell="A6" sqref="A6"/>
      <selection pane="bottomRight" activeCell="I102" sqref="I102"/>
    </sheetView>
  </sheetViews>
  <sheetFormatPr defaultColWidth="13.25" defaultRowHeight="15.75" x14ac:dyDescent="0.25"/>
  <cols>
    <col min="1" max="1" width="13.25" style="270"/>
    <col min="2" max="2" width="35" style="270" customWidth="1"/>
    <col min="3" max="3" width="16.75" style="270" customWidth="1"/>
    <col min="4" max="5" width="13.25" style="270"/>
    <col min="6" max="6" width="15.75" style="270" customWidth="1"/>
    <col min="7" max="9" width="13.25" style="270"/>
    <col min="10" max="11" width="10.75" style="270" customWidth="1"/>
    <col min="12" max="12" width="10.75" style="718" customWidth="1"/>
    <col min="13" max="27" width="13.25" style="718"/>
    <col min="28" max="30" width="11.125" style="718" customWidth="1"/>
    <col min="31" max="51" width="13.25" style="718"/>
    <col min="52" max="16384" width="13.25" style="270"/>
  </cols>
  <sheetData>
    <row r="1" spans="1:51" x14ac:dyDescent="0.25">
      <c r="A1" s="264" t="s">
        <v>1239</v>
      </c>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row>
    <row r="2" spans="1:51" x14ac:dyDescent="0.25">
      <c r="B2" s="802"/>
      <c r="C2" s="906"/>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row>
    <row r="3" spans="1:51" s="718" customFormat="1" ht="30" x14ac:dyDescent="0.25">
      <c r="A3" s="1095" t="s">
        <v>4</v>
      </c>
      <c r="B3" s="1095" t="s">
        <v>5</v>
      </c>
      <c r="C3" s="1096" t="s">
        <v>251</v>
      </c>
      <c r="D3" s="1097" t="s">
        <v>314</v>
      </c>
      <c r="E3" s="1098" t="s">
        <v>315</v>
      </c>
      <c r="F3" s="1098" t="s">
        <v>316</v>
      </c>
      <c r="G3" s="1098" t="s">
        <v>304</v>
      </c>
      <c r="H3" s="1099" t="s">
        <v>954</v>
      </c>
      <c r="I3" s="1383" t="s">
        <v>281</v>
      </c>
      <c r="J3" s="1100" t="s">
        <v>426</v>
      </c>
      <c r="K3" s="1101" t="s">
        <v>427</v>
      </c>
      <c r="L3" s="1101" t="s">
        <v>428</v>
      </c>
      <c r="M3" s="1101" t="s">
        <v>1013</v>
      </c>
      <c r="N3" s="1101" t="s">
        <v>1014</v>
      </c>
      <c r="O3" s="1850" t="s">
        <v>429</v>
      </c>
      <c r="P3" s="1100" t="s">
        <v>412</v>
      </c>
      <c r="Q3" s="1101" t="s">
        <v>413</v>
      </c>
      <c r="R3" s="1101" t="s">
        <v>414</v>
      </c>
      <c r="S3" s="1101" t="s">
        <v>972</v>
      </c>
      <c r="T3" s="1101" t="s">
        <v>1069</v>
      </c>
      <c r="U3" s="1851" t="s">
        <v>415</v>
      </c>
      <c r="V3" s="1413" t="s">
        <v>416</v>
      </c>
      <c r="W3" s="1101" t="s">
        <v>417</v>
      </c>
      <c r="X3" s="1101" t="s">
        <v>418</v>
      </c>
      <c r="Y3" s="1101" t="s">
        <v>967</v>
      </c>
      <c r="Z3" s="1101" t="s">
        <v>1070</v>
      </c>
      <c r="AA3" s="1851" t="s">
        <v>419</v>
      </c>
      <c r="AB3" s="1100" t="s">
        <v>430</v>
      </c>
      <c r="AC3" s="1101" t="s">
        <v>431</v>
      </c>
      <c r="AD3" s="1101" t="s">
        <v>432</v>
      </c>
      <c r="AE3" s="1101" t="s">
        <v>1015</v>
      </c>
      <c r="AF3" s="1101" t="s">
        <v>1016</v>
      </c>
      <c r="AG3" s="1851" t="s">
        <v>433</v>
      </c>
      <c r="AH3" s="1100" t="s">
        <v>434</v>
      </c>
      <c r="AI3" s="1101" t="s">
        <v>435</v>
      </c>
      <c r="AJ3" s="1101" t="s">
        <v>436</v>
      </c>
      <c r="AK3" s="1101" t="s">
        <v>1017</v>
      </c>
      <c r="AL3" s="1101" t="s">
        <v>1018</v>
      </c>
      <c r="AM3" s="1851" t="s">
        <v>437</v>
      </c>
      <c r="AN3" s="1100" t="s">
        <v>420</v>
      </c>
      <c r="AO3" s="1101" t="s">
        <v>421</v>
      </c>
      <c r="AP3" s="1101" t="s">
        <v>422</v>
      </c>
      <c r="AQ3" s="1101" t="s">
        <v>968</v>
      </c>
      <c r="AR3" s="1101" t="s">
        <v>969</v>
      </c>
      <c r="AS3" s="1851" t="s">
        <v>423</v>
      </c>
      <c r="AT3" s="1100" t="s">
        <v>424</v>
      </c>
      <c r="AU3" s="1101" t="s">
        <v>425</v>
      </c>
      <c r="AV3" s="1101" t="s">
        <v>410</v>
      </c>
      <c r="AW3" s="1101" t="s">
        <v>970</v>
      </c>
      <c r="AX3" s="1101" t="s">
        <v>971</v>
      </c>
      <c r="AY3" s="1851" t="s">
        <v>411</v>
      </c>
    </row>
    <row r="4" spans="1:51" s="718" customFormat="1" x14ac:dyDescent="0.25">
      <c r="A4" s="1102">
        <v>999</v>
      </c>
      <c r="B4" s="1102" t="s">
        <v>9</v>
      </c>
      <c r="C4" s="1103"/>
      <c r="D4" s="1380">
        <f t="shared" ref="D4:N4" si="0">SUM(D5:D124)</f>
        <v>3509819.0199999996</v>
      </c>
      <c r="E4" s="1380">
        <f t="shared" si="0"/>
        <v>20876467.190000009</v>
      </c>
      <c r="F4" s="1380">
        <f t="shared" si="0"/>
        <v>5373715.7700000023</v>
      </c>
      <c r="G4" s="1382">
        <f t="shared" si="0"/>
        <v>1236155.4599999997</v>
      </c>
      <c r="H4" s="1382">
        <f t="shared" si="0"/>
        <v>6609871.2300000023</v>
      </c>
      <c r="I4" s="1382">
        <f t="shared" si="0"/>
        <v>30996157.439999994</v>
      </c>
      <c r="J4" s="1380">
        <f t="shared" si="0"/>
        <v>0</v>
      </c>
      <c r="K4" s="1104">
        <f t="shared" si="0"/>
        <v>20619797.910000008</v>
      </c>
      <c r="L4" s="1104">
        <f t="shared" si="0"/>
        <v>5154949.4800000023</v>
      </c>
      <c r="M4" s="1104">
        <f t="shared" si="0"/>
        <v>903</v>
      </c>
      <c r="N4" s="1104">
        <f t="shared" si="0"/>
        <v>2932</v>
      </c>
      <c r="O4" s="1849">
        <f t="shared" ref="O4:AM4" si="1">SUM(O5:O124)</f>
        <v>25778582.390000004</v>
      </c>
      <c r="P4" s="1414">
        <f t="shared" si="1"/>
        <v>-104095.57999999999</v>
      </c>
      <c r="Q4" s="1412">
        <f t="shared" si="1"/>
        <v>-100013.50000000001</v>
      </c>
      <c r="R4" s="1412">
        <f t="shared" si="1"/>
        <v>0</v>
      </c>
      <c r="S4" s="1412">
        <f t="shared" si="1"/>
        <v>-844.6400000000001</v>
      </c>
      <c r="T4" s="1412">
        <f t="shared" si="1"/>
        <v>0</v>
      </c>
      <c r="U4" s="1415">
        <f t="shared" si="1"/>
        <v>-204953.72000000003</v>
      </c>
      <c r="V4" s="1415">
        <f t="shared" si="1"/>
        <v>1533.51</v>
      </c>
      <c r="W4" s="1415">
        <f t="shared" si="1"/>
        <v>1473.39</v>
      </c>
      <c r="X4" s="1415">
        <f t="shared" si="1"/>
        <v>0</v>
      </c>
      <c r="Y4" s="1415">
        <f t="shared" si="1"/>
        <v>4048.8500000000004</v>
      </c>
      <c r="Z4" s="1415">
        <f t="shared" si="1"/>
        <v>0</v>
      </c>
      <c r="AA4" s="1415">
        <f t="shared" si="1"/>
        <v>7055.75</v>
      </c>
      <c r="AB4" s="1393">
        <f t="shared" si="1"/>
        <v>0</v>
      </c>
      <c r="AC4" s="1106">
        <f t="shared" si="1"/>
        <v>364610.3</v>
      </c>
      <c r="AD4" s="1106">
        <f t="shared" si="1"/>
        <v>218766.29000000004</v>
      </c>
      <c r="AE4" s="1106">
        <f t="shared" si="1"/>
        <v>1153805.1599999997</v>
      </c>
      <c r="AF4" s="1106">
        <f t="shared" si="1"/>
        <v>63790.559999999998</v>
      </c>
      <c r="AG4" s="1107">
        <f t="shared" si="1"/>
        <v>1800972.3099999998</v>
      </c>
      <c r="AH4" s="1105">
        <f t="shared" si="1"/>
        <v>686435.82000000007</v>
      </c>
      <c r="AI4" s="1394">
        <f t="shared" si="1"/>
        <v>0</v>
      </c>
      <c r="AJ4" s="1394">
        <f t="shared" si="1"/>
        <v>0</v>
      </c>
      <c r="AK4" s="1106">
        <f t="shared" si="1"/>
        <v>1038</v>
      </c>
      <c r="AL4" s="1106">
        <f t="shared" si="1"/>
        <v>614</v>
      </c>
      <c r="AM4" s="1107">
        <f t="shared" si="1"/>
        <v>688087.82000000007</v>
      </c>
      <c r="AN4" s="1422">
        <f t="shared" ref="AN4:AS4" si="2">SUM(AN5:AN124)</f>
        <v>0</v>
      </c>
      <c r="AO4" s="1423">
        <f t="shared" si="2"/>
        <v>-11490.910000000002</v>
      </c>
      <c r="AP4" s="1423">
        <f t="shared" si="2"/>
        <v>0</v>
      </c>
      <c r="AQ4" s="1423">
        <f t="shared" si="2"/>
        <v>4799.8</v>
      </c>
      <c r="AR4" s="1423">
        <f t="shared" si="2"/>
        <v>244</v>
      </c>
      <c r="AS4" s="1107">
        <f t="shared" si="2"/>
        <v>-6447.1100000000006</v>
      </c>
      <c r="AT4" s="1422">
        <f t="shared" ref="AT4:AY4" si="3">SUM(AT5:AT124)</f>
        <v>2925945.27</v>
      </c>
      <c r="AU4" s="1423">
        <f t="shared" si="3"/>
        <v>2090</v>
      </c>
      <c r="AV4" s="1423">
        <f t="shared" si="3"/>
        <v>0</v>
      </c>
      <c r="AW4" s="1423">
        <f t="shared" si="3"/>
        <v>4824.7300000000005</v>
      </c>
      <c r="AX4" s="1423">
        <f t="shared" si="3"/>
        <v>0</v>
      </c>
      <c r="AY4" s="1107">
        <f t="shared" si="3"/>
        <v>2932860</v>
      </c>
    </row>
    <row r="5" spans="1:51" s="831" customFormat="1" x14ac:dyDescent="0.25">
      <c r="A5" s="1108" t="s">
        <v>10</v>
      </c>
      <c r="B5" s="1108" t="s">
        <v>11</v>
      </c>
      <c r="C5" s="1053" t="s">
        <v>264</v>
      </c>
      <c r="D5" s="1379">
        <f>J5+P5+V5+AB5+AH5+AN5+AT5</f>
        <v>-2443.0300000000002</v>
      </c>
      <c r="E5" s="1379">
        <f>K5+Q5+W5+AC5+AI5+AO5+AU5</f>
        <v>135693.56</v>
      </c>
      <c r="F5" s="1379">
        <f>L5+R5+X5+AD5+AJ5+AP5+AV5</f>
        <v>34510.199999999997</v>
      </c>
      <c r="G5" s="1381">
        <f>M5+N5+S5+T5+Y5+Z5+AE5+AF5+AK5+AL5+AQ5+AR5+AW5+AX5</f>
        <v>0</v>
      </c>
      <c r="H5" s="1384">
        <f t="shared" ref="H5:H36" si="4">F5+G5</f>
        <v>34510.199999999997</v>
      </c>
      <c r="I5" s="1385">
        <f t="shared" ref="I5:I68" si="5">SUM(D5:G5)</f>
        <v>167760.72999999998</v>
      </c>
      <c r="J5" s="1109">
        <v>0</v>
      </c>
      <c r="K5" s="1109">
        <v>138040.79999999999</v>
      </c>
      <c r="L5" s="1109">
        <v>34510.199999999997</v>
      </c>
      <c r="M5" s="1109">
        <v>0</v>
      </c>
      <c r="N5" s="1109">
        <v>0</v>
      </c>
      <c r="O5" s="1110">
        <f t="shared" ref="O5:O36" si="6">SUM(J5:N5)</f>
        <v>172551</v>
      </c>
      <c r="P5" s="1416">
        <v>-2443.0300000000002</v>
      </c>
      <c r="Q5" s="1411">
        <v>-2347.2399999999998</v>
      </c>
      <c r="R5" s="1411">
        <v>0</v>
      </c>
      <c r="S5" s="1411">
        <v>0</v>
      </c>
      <c r="T5" s="1411">
        <v>0</v>
      </c>
      <c r="U5" s="1417">
        <f t="shared" ref="U5:U36" si="7">SUM(P5:T5)</f>
        <v>-4790.2700000000004</v>
      </c>
      <c r="V5" s="1411"/>
      <c r="W5" s="1411"/>
      <c r="X5" s="1411"/>
      <c r="Y5" s="1411"/>
      <c r="Z5" s="1411"/>
      <c r="AA5" s="1411">
        <f t="shared" ref="AA5:AA36" si="8">SUM(V5:Z5)</f>
        <v>0</v>
      </c>
      <c r="AB5" s="1089"/>
      <c r="AC5" s="1090"/>
      <c r="AD5" s="1090"/>
      <c r="AE5" s="1090"/>
      <c r="AF5" s="1090"/>
      <c r="AG5" s="1091">
        <f t="shared" ref="AG5:AG36" si="9">SUM(AB5:AF5)</f>
        <v>0</v>
      </c>
      <c r="AH5" s="1092"/>
      <c r="AI5" s="1093"/>
      <c r="AJ5" s="1093"/>
      <c r="AK5" s="1093"/>
      <c r="AL5" s="1093"/>
      <c r="AM5" s="1094">
        <f t="shared" ref="AM5:AM36" si="10">SUM(AH5:AL5)</f>
        <v>0</v>
      </c>
      <c r="AN5" s="1092"/>
      <c r="AO5" s="1093"/>
      <c r="AP5" s="1093"/>
      <c r="AQ5" s="1093"/>
      <c r="AR5" s="1093"/>
      <c r="AS5" s="1094">
        <f t="shared" ref="AS5:AS36" si="11">SUM(AN5:AR5)</f>
        <v>0</v>
      </c>
      <c r="AT5" s="1092"/>
      <c r="AU5" s="1093"/>
      <c r="AV5" s="1093"/>
      <c r="AW5" s="1093"/>
      <c r="AX5" s="1093"/>
      <c r="AY5" s="1094">
        <f t="shared" ref="AY5:AY36" si="12">SUM(AT5:AX5)</f>
        <v>0</v>
      </c>
    </row>
    <row r="6" spans="1:51" s="831" customFormat="1" x14ac:dyDescent="0.25">
      <c r="A6" s="1108" t="s">
        <v>12</v>
      </c>
      <c r="B6" s="1108" t="s">
        <v>13</v>
      </c>
      <c r="C6" s="1053" t="s">
        <v>265</v>
      </c>
      <c r="D6" s="1379">
        <f t="shared" ref="D6:D69" si="13">J6+P6+V6+AB6+AH6+AN6+AT6</f>
        <v>3460</v>
      </c>
      <c r="E6" s="1379">
        <f t="shared" ref="E6:E69" si="14">K6+Q6+W6+AC6+AI6+AO6+AU6</f>
        <v>132444.56</v>
      </c>
      <c r="F6" s="1379">
        <f t="shared" ref="F6:F69" si="15">L6+R6+X6+AD6+AJ6+AP6+AV6</f>
        <v>33569.56</v>
      </c>
      <c r="G6" s="1381">
        <f t="shared" ref="G6:G69" si="16">M6+N6+S6+T6+Y6+Z6+AE6+AF6+AK6+AL6+AQ6+AR6+AW6+AX6</f>
        <v>-0.12</v>
      </c>
      <c r="H6" s="1384">
        <f t="shared" si="4"/>
        <v>33569.439999999995</v>
      </c>
      <c r="I6" s="1385">
        <f t="shared" si="5"/>
        <v>169474</v>
      </c>
      <c r="J6" s="1109">
        <v>0</v>
      </c>
      <c r="K6" s="1109">
        <v>131452</v>
      </c>
      <c r="L6" s="1109">
        <v>32863</v>
      </c>
      <c r="M6" s="1109">
        <v>0</v>
      </c>
      <c r="N6" s="1109">
        <v>0</v>
      </c>
      <c r="O6" s="1110">
        <f t="shared" si="6"/>
        <v>164315</v>
      </c>
      <c r="P6" s="1418"/>
      <c r="Q6" s="1411"/>
      <c r="R6" s="1411"/>
      <c r="S6" s="1411"/>
      <c r="T6" s="1411"/>
      <c r="U6" s="1417">
        <f t="shared" si="7"/>
        <v>0</v>
      </c>
      <c r="V6" s="1411"/>
      <c r="W6" s="1411"/>
      <c r="X6" s="1411"/>
      <c r="Y6" s="1411"/>
      <c r="Z6" s="1411"/>
      <c r="AA6" s="1411">
        <f t="shared" si="8"/>
        <v>0</v>
      </c>
      <c r="AB6" s="1092">
        <v>0</v>
      </c>
      <c r="AC6" s="1093">
        <v>1177.56</v>
      </c>
      <c r="AD6" s="1093">
        <v>706.56</v>
      </c>
      <c r="AE6" s="1093">
        <v>-0.12</v>
      </c>
      <c r="AF6" s="1093">
        <v>0</v>
      </c>
      <c r="AG6" s="1091">
        <f t="shared" si="9"/>
        <v>1884</v>
      </c>
      <c r="AH6" s="1092">
        <v>3460</v>
      </c>
      <c r="AI6" s="1093">
        <v>0</v>
      </c>
      <c r="AJ6" s="1093">
        <v>0</v>
      </c>
      <c r="AK6" s="1093">
        <v>0</v>
      </c>
      <c r="AL6" s="1093">
        <v>0</v>
      </c>
      <c r="AM6" s="1094">
        <f t="shared" si="10"/>
        <v>3460</v>
      </c>
      <c r="AN6" s="1092">
        <v>0</v>
      </c>
      <c r="AO6" s="1093">
        <v>-185</v>
      </c>
      <c r="AP6" s="1093">
        <v>0</v>
      </c>
      <c r="AQ6" s="1093">
        <v>0</v>
      </c>
      <c r="AR6" s="1093">
        <v>0</v>
      </c>
      <c r="AS6" s="1094">
        <f t="shared" si="11"/>
        <v>-185</v>
      </c>
      <c r="AT6" s="1092"/>
      <c r="AU6" s="1093"/>
      <c r="AV6" s="1093"/>
      <c r="AW6" s="1093"/>
      <c r="AX6" s="1093"/>
      <c r="AY6" s="1094">
        <f t="shared" si="12"/>
        <v>0</v>
      </c>
    </row>
    <row r="7" spans="1:51" s="831" customFormat="1" x14ac:dyDescent="0.25">
      <c r="A7" s="1108" t="s">
        <v>16</v>
      </c>
      <c r="B7" s="1108" t="s">
        <v>297</v>
      </c>
      <c r="C7" s="1053" t="s">
        <v>265</v>
      </c>
      <c r="D7" s="1379">
        <f t="shared" si="13"/>
        <v>-745.62</v>
      </c>
      <c r="E7" s="1379">
        <f t="shared" si="14"/>
        <v>51510.05</v>
      </c>
      <c r="F7" s="1379">
        <f t="shared" si="15"/>
        <v>13056.61</v>
      </c>
      <c r="G7" s="1381">
        <f t="shared" si="16"/>
        <v>200</v>
      </c>
      <c r="H7" s="1384">
        <f t="shared" si="4"/>
        <v>13256.61</v>
      </c>
      <c r="I7" s="1385">
        <f t="shared" si="5"/>
        <v>64021.04</v>
      </c>
      <c r="J7" s="1109">
        <v>0</v>
      </c>
      <c r="K7" s="1109">
        <v>52226.43</v>
      </c>
      <c r="L7" s="1109">
        <v>13056.61</v>
      </c>
      <c r="M7" s="1109">
        <v>0</v>
      </c>
      <c r="N7" s="1109">
        <v>0</v>
      </c>
      <c r="O7" s="1110">
        <f t="shared" si="6"/>
        <v>65283.040000000001</v>
      </c>
      <c r="P7" s="1418">
        <v>-745.62</v>
      </c>
      <c r="Q7" s="1411">
        <v>-716.38</v>
      </c>
      <c r="R7" s="1411">
        <v>0</v>
      </c>
      <c r="S7" s="1411">
        <v>200</v>
      </c>
      <c r="T7" s="1411">
        <v>0</v>
      </c>
      <c r="U7" s="1417">
        <f t="shared" si="7"/>
        <v>-1262</v>
      </c>
      <c r="V7" s="1411"/>
      <c r="W7" s="1411"/>
      <c r="X7" s="1411"/>
      <c r="Y7" s="1411"/>
      <c r="Z7" s="1411"/>
      <c r="AA7" s="1411">
        <f t="shared" si="8"/>
        <v>0</v>
      </c>
      <c r="AB7" s="1089"/>
      <c r="AC7" s="1090"/>
      <c r="AD7" s="1090"/>
      <c r="AE7" s="1090"/>
      <c r="AF7" s="1090"/>
      <c r="AG7" s="1091">
        <f t="shared" si="9"/>
        <v>0</v>
      </c>
      <c r="AH7" s="1089"/>
      <c r="AI7" s="1090"/>
      <c r="AJ7" s="1090"/>
      <c r="AK7" s="1090"/>
      <c r="AL7" s="1090"/>
      <c r="AM7" s="1094">
        <f t="shared" si="10"/>
        <v>0</v>
      </c>
      <c r="AN7" s="1089"/>
      <c r="AO7" s="1090"/>
      <c r="AP7" s="1090"/>
      <c r="AQ7" s="1090"/>
      <c r="AR7" s="1090"/>
      <c r="AS7" s="1094">
        <f t="shared" si="11"/>
        <v>0</v>
      </c>
      <c r="AT7" s="1089"/>
      <c r="AU7" s="1090"/>
      <c r="AV7" s="1090"/>
      <c r="AW7" s="1090"/>
      <c r="AX7" s="1090"/>
      <c r="AY7" s="1094">
        <f t="shared" si="12"/>
        <v>0</v>
      </c>
    </row>
    <row r="8" spans="1:51" s="831" customFormat="1" x14ac:dyDescent="0.25">
      <c r="A8" s="1108" t="s">
        <v>18</v>
      </c>
      <c r="B8" s="1108" t="s">
        <v>19</v>
      </c>
      <c r="C8" s="1053" t="s">
        <v>266</v>
      </c>
      <c r="D8" s="1379">
        <f t="shared" si="13"/>
        <v>0</v>
      </c>
      <c r="E8" s="1379">
        <f t="shared" si="14"/>
        <v>63561.599999999999</v>
      </c>
      <c r="F8" s="1379">
        <f t="shared" si="15"/>
        <v>15926.4</v>
      </c>
      <c r="G8" s="1381">
        <f t="shared" si="16"/>
        <v>0</v>
      </c>
      <c r="H8" s="1384">
        <f t="shared" si="4"/>
        <v>15926.4</v>
      </c>
      <c r="I8" s="1385">
        <f t="shared" si="5"/>
        <v>79488</v>
      </c>
      <c r="J8" s="1109">
        <v>0</v>
      </c>
      <c r="K8" s="1109">
        <v>63705.599999999999</v>
      </c>
      <c r="L8" s="1109">
        <v>15926.4</v>
      </c>
      <c r="M8" s="1109">
        <v>0</v>
      </c>
      <c r="N8" s="1109">
        <v>0</v>
      </c>
      <c r="O8" s="1110">
        <f t="shared" si="6"/>
        <v>79632</v>
      </c>
      <c r="P8" s="1418"/>
      <c r="Q8" s="1411"/>
      <c r="R8" s="1411"/>
      <c r="S8" s="1411"/>
      <c r="T8" s="1411"/>
      <c r="U8" s="1417">
        <f t="shared" si="7"/>
        <v>0</v>
      </c>
      <c r="V8" s="1411"/>
      <c r="W8" s="1411"/>
      <c r="X8" s="1411"/>
      <c r="Y8" s="1411"/>
      <c r="Z8" s="1411"/>
      <c r="AA8" s="1411">
        <f t="shared" si="8"/>
        <v>0</v>
      </c>
      <c r="AB8" s="1089"/>
      <c r="AC8" s="1090"/>
      <c r="AD8" s="1090"/>
      <c r="AE8" s="1090"/>
      <c r="AF8" s="1090"/>
      <c r="AG8" s="1091">
        <f t="shared" si="9"/>
        <v>0</v>
      </c>
      <c r="AH8" s="1089"/>
      <c r="AI8" s="1090"/>
      <c r="AJ8" s="1090"/>
      <c r="AK8" s="1090"/>
      <c r="AL8" s="1090"/>
      <c r="AM8" s="1094">
        <f t="shared" si="10"/>
        <v>0</v>
      </c>
      <c r="AN8" s="1089">
        <v>0</v>
      </c>
      <c r="AO8" s="1090">
        <v>-144</v>
      </c>
      <c r="AP8" s="1090">
        <v>0</v>
      </c>
      <c r="AQ8" s="1090">
        <v>0</v>
      </c>
      <c r="AR8" s="1090">
        <v>0</v>
      </c>
      <c r="AS8" s="1094">
        <f t="shared" si="11"/>
        <v>-144</v>
      </c>
      <c r="AT8" s="1089"/>
      <c r="AU8" s="1090"/>
      <c r="AV8" s="1090"/>
      <c r="AW8" s="1090"/>
      <c r="AX8" s="1090"/>
      <c r="AY8" s="1094">
        <f t="shared" si="12"/>
        <v>0</v>
      </c>
    </row>
    <row r="9" spans="1:51" s="831" customFormat="1" x14ac:dyDescent="0.25">
      <c r="A9" s="1108" t="s">
        <v>20</v>
      </c>
      <c r="B9" s="1108" t="s">
        <v>21</v>
      </c>
      <c r="C9" s="1053" t="s">
        <v>265</v>
      </c>
      <c r="D9" s="1379">
        <f t="shared" si="13"/>
        <v>0</v>
      </c>
      <c r="E9" s="1379">
        <f t="shared" si="14"/>
        <v>117144</v>
      </c>
      <c r="F9" s="1379">
        <f t="shared" si="15"/>
        <v>29286</v>
      </c>
      <c r="G9" s="1381">
        <f t="shared" si="16"/>
        <v>0</v>
      </c>
      <c r="H9" s="1384">
        <f t="shared" si="4"/>
        <v>29286</v>
      </c>
      <c r="I9" s="1385">
        <f t="shared" si="5"/>
        <v>146430</v>
      </c>
      <c r="J9" s="1109">
        <v>0</v>
      </c>
      <c r="K9" s="1109">
        <v>117144</v>
      </c>
      <c r="L9" s="1109">
        <v>29286</v>
      </c>
      <c r="M9" s="1109">
        <v>0</v>
      </c>
      <c r="N9" s="1109">
        <v>0</v>
      </c>
      <c r="O9" s="1110">
        <f t="shared" si="6"/>
        <v>146430</v>
      </c>
      <c r="P9" s="1418"/>
      <c r="Q9" s="1411"/>
      <c r="R9" s="1411"/>
      <c r="S9" s="1411"/>
      <c r="T9" s="1411"/>
      <c r="U9" s="1417">
        <f t="shared" si="7"/>
        <v>0</v>
      </c>
      <c r="V9" s="1411"/>
      <c r="W9" s="1411"/>
      <c r="X9" s="1411"/>
      <c r="Y9" s="1411"/>
      <c r="Z9" s="1411"/>
      <c r="AA9" s="1411">
        <f t="shared" si="8"/>
        <v>0</v>
      </c>
      <c r="AB9" s="1089"/>
      <c r="AC9" s="1090"/>
      <c r="AD9" s="1090"/>
      <c r="AE9" s="1090"/>
      <c r="AF9" s="1090"/>
      <c r="AG9" s="1091">
        <f t="shared" si="9"/>
        <v>0</v>
      </c>
      <c r="AH9" s="1089"/>
      <c r="AI9" s="1090"/>
      <c r="AJ9" s="1090"/>
      <c r="AK9" s="1090"/>
      <c r="AL9" s="1090"/>
      <c r="AM9" s="1094">
        <f t="shared" si="10"/>
        <v>0</v>
      </c>
      <c r="AN9" s="1089"/>
      <c r="AO9" s="1090"/>
      <c r="AP9" s="1090"/>
      <c r="AQ9" s="1090"/>
      <c r="AR9" s="1090"/>
      <c r="AS9" s="1094">
        <f t="shared" si="11"/>
        <v>0</v>
      </c>
      <c r="AT9" s="1089"/>
      <c r="AU9" s="1090"/>
      <c r="AV9" s="1090"/>
      <c r="AW9" s="1090"/>
      <c r="AX9" s="1090"/>
      <c r="AY9" s="1094">
        <f t="shared" si="12"/>
        <v>0</v>
      </c>
    </row>
    <row r="10" spans="1:51" s="831" customFormat="1" x14ac:dyDescent="0.25">
      <c r="A10" s="1108" t="s">
        <v>22</v>
      </c>
      <c r="B10" s="1108" t="s">
        <v>23</v>
      </c>
      <c r="C10" s="1053" t="s">
        <v>265</v>
      </c>
      <c r="D10" s="1379">
        <f t="shared" si="13"/>
        <v>-88.23</v>
      </c>
      <c r="E10" s="1379">
        <f t="shared" si="14"/>
        <v>76156.03</v>
      </c>
      <c r="F10" s="1379">
        <f t="shared" si="15"/>
        <v>19060.2</v>
      </c>
      <c r="G10" s="1381">
        <f t="shared" si="16"/>
        <v>0</v>
      </c>
      <c r="H10" s="1384">
        <f t="shared" si="4"/>
        <v>19060.2</v>
      </c>
      <c r="I10" s="1385">
        <f t="shared" si="5"/>
        <v>95128</v>
      </c>
      <c r="J10" s="1109">
        <v>0</v>
      </c>
      <c r="K10" s="1109">
        <v>76240.800000000003</v>
      </c>
      <c r="L10" s="1109">
        <v>19060.2</v>
      </c>
      <c r="M10" s="1109">
        <v>0</v>
      </c>
      <c r="N10" s="1109">
        <v>0</v>
      </c>
      <c r="O10" s="1110">
        <f t="shared" si="6"/>
        <v>95301</v>
      </c>
      <c r="P10" s="1418">
        <v>-88.23</v>
      </c>
      <c r="Q10" s="1411">
        <v>-84.77</v>
      </c>
      <c r="R10" s="1411">
        <v>0</v>
      </c>
      <c r="S10" s="1411">
        <v>0</v>
      </c>
      <c r="T10" s="1411">
        <v>0</v>
      </c>
      <c r="U10" s="1417">
        <f t="shared" si="7"/>
        <v>-173</v>
      </c>
      <c r="V10" s="1411"/>
      <c r="W10" s="1411"/>
      <c r="X10" s="1411"/>
      <c r="Y10" s="1411"/>
      <c r="Z10" s="1411"/>
      <c r="AA10" s="1411">
        <f t="shared" si="8"/>
        <v>0</v>
      </c>
      <c r="AB10" s="1089"/>
      <c r="AC10" s="1090"/>
      <c r="AD10" s="1090"/>
      <c r="AE10" s="1090"/>
      <c r="AF10" s="1090"/>
      <c r="AG10" s="1091">
        <f t="shared" si="9"/>
        <v>0</v>
      </c>
      <c r="AH10" s="1089"/>
      <c r="AI10" s="1090"/>
      <c r="AJ10" s="1090"/>
      <c r="AK10" s="1090"/>
      <c r="AL10" s="1090"/>
      <c r="AM10" s="1094">
        <f t="shared" si="10"/>
        <v>0</v>
      </c>
      <c r="AN10" s="1089"/>
      <c r="AO10" s="1090"/>
      <c r="AP10" s="1090"/>
      <c r="AQ10" s="1090"/>
      <c r="AR10" s="1090"/>
      <c r="AS10" s="1094">
        <f t="shared" si="11"/>
        <v>0</v>
      </c>
      <c r="AT10" s="1089"/>
      <c r="AU10" s="1090"/>
      <c r="AV10" s="1090"/>
      <c r="AW10" s="1090"/>
      <c r="AX10" s="1090"/>
      <c r="AY10" s="1094">
        <f t="shared" si="12"/>
        <v>0</v>
      </c>
    </row>
    <row r="11" spans="1:51" s="831" customFormat="1" x14ac:dyDescent="0.25">
      <c r="A11" s="1108" t="s">
        <v>24</v>
      </c>
      <c r="B11" s="1108" t="s">
        <v>25</v>
      </c>
      <c r="C11" s="1053" t="s">
        <v>267</v>
      </c>
      <c r="D11" s="1379">
        <f t="shared" si="13"/>
        <v>169921.8</v>
      </c>
      <c r="E11" s="1379">
        <f t="shared" si="14"/>
        <v>402015.37</v>
      </c>
      <c r="F11" s="1379">
        <f t="shared" si="15"/>
        <v>100690.2</v>
      </c>
      <c r="G11" s="1381">
        <f t="shared" si="16"/>
        <v>455806.74</v>
      </c>
      <c r="H11" s="1384">
        <f t="shared" si="4"/>
        <v>556496.93999999994</v>
      </c>
      <c r="I11" s="1385">
        <f t="shared" si="5"/>
        <v>1128434.1099999999</v>
      </c>
      <c r="J11" s="1109">
        <v>0</v>
      </c>
      <c r="K11" s="1109">
        <v>402760.8</v>
      </c>
      <c r="L11" s="1109">
        <v>100690.2</v>
      </c>
      <c r="M11" s="1109">
        <v>0</v>
      </c>
      <c r="N11" s="1109">
        <v>0</v>
      </c>
      <c r="O11" s="1110">
        <f t="shared" si="6"/>
        <v>503451</v>
      </c>
      <c r="P11" s="1418">
        <v>-1191.1400000000001</v>
      </c>
      <c r="Q11" s="1411">
        <v>-1144.43</v>
      </c>
      <c r="R11" s="1411">
        <v>0</v>
      </c>
      <c r="S11" s="1411">
        <v>0</v>
      </c>
      <c r="T11" s="1411">
        <v>0</v>
      </c>
      <c r="U11" s="1417">
        <f t="shared" si="7"/>
        <v>-2335.5700000000002</v>
      </c>
      <c r="V11" s="1411"/>
      <c r="W11" s="1411"/>
      <c r="X11" s="1411"/>
      <c r="Y11" s="1411"/>
      <c r="Z11" s="1411"/>
      <c r="AA11" s="1411">
        <f t="shared" si="8"/>
        <v>0</v>
      </c>
      <c r="AB11" s="1092">
        <v>0</v>
      </c>
      <c r="AC11" s="1093">
        <v>0</v>
      </c>
      <c r="AD11" s="1093">
        <v>0</v>
      </c>
      <c r="AE11" s="1093">
        <v>455806.74</v>
      </c>
      <c r="AF11" s="1093">
        <v>0</v>
      </c>
      <c r="AG11" s="1091">
        <f t="shared" si="9"/>
        <v>455806.74</v>
      </c>
      <c r="AH11" s="1092">
        <v>31550.82</v>
      </c>
      <c r="AI11" s="1093">
        <v>0</v>
      </c>
      <c r="AJ11" s="1093">
        <v>0</v>
      </c>
      <c r="AK11" s="1093">
        <v>0</v>
      </c>
      <c r="AL11" s="1093">
        <v>0</v>
      </c>
      <c r="AM11" s="1094">
        <f t="shared" si="10"/>
        <v>31550.82</v>
      </c>
      <c r="AN11" s="1092">
        <v>0</v>
      </c>
      <c r="AO11" s="1093">
        <v>399</v>
      </c>
      <c r="AP11" s="1093">
        <v>0</v>
      </c>
      <c r="AQ11" s="1093">
        <v>0</v>
      </c>
      <c r="AR11" s="1093">
        <v>0</v>
      </c>
      <c r="AS11" s="1094">
        <f t="shared" si="11"/>
        <v>399</v>
      </c>
      <c r="AT11" s="1092">
        <v>139562.12</v>
      </c>
      <c r="AU11" s="1093">
        <v>0</v>
      </c>
      <c r="AV11" s="1093">
        <v>0</v>
      </c>
      <c r="AW11" s="1093">
        <v>0</v>
      </c>
      <c r="AX11" s="1093">
        <v>0</v>
      </c>
      <c r="AY11" s="1094">
        <f t="shared" si="12"/>
        <v>139562.12</v>
      </c>
    </row>
    <row r="12" spans="1:51" s="831" customFormat="1" x14ac:dyDescent="0.25">
      <c r="A12" s="1108" t="s">
        <v>26</v>
      </c>
      <c r="B12" s="1108" t="s">
        <v>686</v>
      </c>
      <c r="C12" s="1053" t="s">
        <v>265</v>
      </c>
      <c r="D12" s="1379">
        <f t="shared" si="13"/>
        <v>273813.11</v>
      </c>
      <c r="E12" s="1379">
        <f t="shared" si="14"/>
        <v>324208.51999999996</v>
      </c>
      <c r="F12" s="1379">
        <f t="shared" si="15"/>
        <v>84288.01</v>
      </c>
      <c r="G12" s="1381">
        <f t="shared" si="16"/>
        <v>27442.98</v>
      </c>
      <c r="H12" s="1384">
        <f t="shared" si="4"/>
        <v>111730.98999999999</v>
      </c>
      <c r="I12" s="1385">
        <f t="shared" si="5"/>
        <v>709752.61999999988</v>
      </c>
      <c r="J12" s="1109">
        <v>0</v>
      </c>
      <c r="K12" s="1109">
        <v>313210.39999999997</v>
      </c>
      <c r="L12" s="1109">
        <v>78302.599999999991</v>
      </c>
      <c r="M12" s="1109">
        <v>0</v>
      </c>
      <c r="N12" s="1109">
        <v>0</v>
      </c>
      <c r="O12" s="1110">
        <f t="shared" si="6"/>
        <v>391512.99999999994</v>
      </c>
      <c r="P12" s="1418">
        <v>-1111.1500000000001</v>
      </c>
      <c r="Q12" s="1411">
        <v>-1067.57</v>
      </c>
      <c r="R12" s="1411">
        <v>0</v>
      </c>
      <c r="S12" s="1411">
        <v>0</v>
      </c>
      <c r="T12" s="1411">
        <v>0</v>
      </c>
      <c r="U12" s="1417">
        <f t="shared" si="7"/>
        <v>-2178.7200000000003</v>
      </c>
      <c r="V12" s="1411"/>
      <c r="W12" s="1411"/>
      <c r="X12" s="1411"/>
      <c r="Y12" s="1411"/>
      <c r="Z12" s="1411"/>
      <c r="AA12" s="1411">
        <f t="shared" si="8"/>
        <v>0</v>
      </c>
      <c r="AB12" s="1092">
        <v>0</v>
      </c>
      <c r="AC12" s="1093">
        <v>9975.6899999999987</v>
      </c>
      <c r="AD12" s="1093">
        <v>5985.41</v>
      </c>
      <c r="AE12" s="1093">
        <v>27442.98</v>
      </c>
      <c r="AF12" s="1093">
        <v>0</v>
      </c>
      <c r="AG12" s="1091">
        <f t="shared" si="9"/>
        <v>43404.08</v>
      </c>
      <c r="AH12" s="1092"/>
      <c r="AI12" s="1093"/>
      <c r="AJ12" s="1093"/>
      <c r="AK12" s="1093"/>
      <c r="AL12" s="1093"/>
      <c r="AM12" s="1094">
        <f t="shared" si="10"/>
        <v>0</v>
      </c>
      <c r="AN12" s="1092"/>
      <c r="AO12" s="1093"/>
      <c r="AP12" s="1093"/>
      <c r="AQ12" s="1093"/>
      <c r="AR12" s="1093"/>
      <c r="AS12" s="1094">
        <f t="shared" si="11"/>
        <v>0</v>
      </c>
      <c r="AT12" s="1092">
        <v>274924.26</v>
      </c>
      <c r="AU12" s="1093">
        <v>2090</v>
      </c>
      <c r="AV12" s="1093">
        <v>0</v>
      </c>
      <c r="AW12" s="1093">
        <v>0</v>
      </c>
      <c r="AX12" s="1093">
        <v>0</v>
      </c>
      <c r="AY12" s="1094">
        <f t="shared" si="12"/>
        <v>277014.26</v>
      </c>
    </row>
    <row r="13" spans="1:51" s="831" customFormat="1" x14ac:dyDescent="0.25">
      <c r="A13" s="1108" t="s">
        <v>27</v>
      </c>
      <c r="B13" s="1108" t="s">
        <v>28</v>
      </c>
      <c r="C13" s="1053" t="s">
        <v>265</v>
      </c>
      <c r="D13" s="1379">
        <f t="shared" si="13"/>
        <v>0</v>
      </c>
      <c r="E13" s="1379">
        <f t="shared" si="14"/>
        <v>5452.8</v>
      </c>
      <c r="F13" s="1379">
        <f t="shared" si="15"/>
        <v>1363.2</v>
      </c>
      <c r="G13" s="1381">
        <f t="shared" si="16"/>
        <v>0</v>
      </c>
      <c r="H13" s="1384">
        <f t="shared" si="4"/>
        <v>1363.2</v>
      </c>
      <c r="I13" s="1385">
        <f t="shared" si="5"/>
        <v>6816</v>
      </c>
      <c r="J13" s="1109">
        <v>0</v>
      </c>
      <c r="K13" s="1109">
        <v>5452.8</v>
      </c>
      <c r="L13" s="1109">
        <v>1363.2</v>
      </c>
      <c r="M13" s="1109">
        <v>0</v>
      </c>
      <c r="N13" s="1109">
        <v>0</v>
      </c>
      <c r="O13" s="1110">
        <f t="shared" si="6"/>
        <v>6816</v>
      </c>
      <c r="P13" s="1418"/>
      <c r="Q13" s="1411"/>
      <c r="R13" s="1411"/>
      <c r="S13" s="1411"/>
      <c r="T13" s="1411"/>
      <c r="U13" s="1417">
        <f t="shared" si="7"/>
        <v>0</v>
      </c>
      <c r="V13" s="1411"/>
      <c r="W13" s="1411"/>
      <c r="X13" s="1411"/>
      <c r="Y13" s="1411"/>
      <c r="Z13" s="1411"/>
      <c r="AA13" s="1411">
        <f t="shared" si="8"/>
        <v>0</v>
      </c>
      <c r="AB13" s="1089"/>
      <c r="AC13" s="1090"/>
      <c r="AD13" s="1090"/>
      <c r="AE13" s="1090"/>
      <c r="AF13" s="1090"/>
      <c r="AG13" s="1091">
        <f t="shared" si="9"/>
        <v>0</v>
      </c>
      <c r="AH13" s="1089"/>
      <c r="AI13" s="1090"/>
      <c r="AJ13" s="1090"/>
      <c r="AK13" s="1090"/>
      <c r="AL13" s="1090"/>
      <c r="AM13" s="1094">
        <f t="shared" si="10"/>
        <v>0</v>
      </c>
      <c r="AN13" s="1089"/>
      <c r="AO13" s="1090"/>
      <c r="AP13" s="1090"/>
      <c r="AQ13" s="1090"/>
      <c r="AR13" s="1090"/>
      <c r="AS13" s="1094">
        <f t="shared" si="11"/>
        <v>0</v>
      </c>
      <c r="AT13" s="1089"/>
      <c r="AU13" s="1090"/>
      <c r="AV13" s="1090"/>
      <c r="AW13" s="1090"/>
      <c r="AX13" s="1090"/>
      <c r="AY13" s="1094">
        <f t="shared" si="12"/>
        <v>0</v>
      </c>
    </row>
    <row r="14" spans="1:51" s="831" customFormat="1" x14ac:dyDescent="0.25">
      <c r="A14" s="1108" t="s">
        <v>29</v>
      </c>
      <c r="B14" s="1108" t="s">
        <v>924</v>
      </c>
      <c r="C14" s="1053" t="s">
        <v>265</v>
      </c>
      <c r="D14" s="1379">
        <f t="shared" si="13"/>
        <v>-422.76</v>
      </c>
      <c r="E14" s="1379">
        <f t="shared" si="14"/>
        <v>161857.01</v>
      </c>
      <c r="F14" s="1379">
        <f t="shared" si="15"/>
        <v>40565.800000000003</v>
      </c>
      <c r="G14" s="1381">
        <f t="shared" si="16"/>
        <v>-15.18</v>
      </c>
      <c r="H14" s="1384">
        <f t="shared" si="4"/>
        <v>40550.620000000003</v>
      </c>
      <c r="I14" s="1385">
        <f t="shared" si="5"/>
        <v>201984.87</v>
      </c>
      <c r="J14" s="1109">
        <v>0</v>
      </c>
      <c r="K14" s="1109">
        <v>162263.20000000001</v>
      </c>
      <c r="L14" s="1109">
        <v>40565.800000000003</v>
      </c>
      <c r="M14" s="1109">
        <v>0</v>
      </c>
      <c r="N14" s="1109">
        <v>0</v>
      </c>
      <c r="O14" s="1110">
        <f t="shared" si="6"/>
        <v>202829</v>
      </c>
      <c r="P14" s="1418">
        <v>-422.76</v>
      </c>
      <c r="Q14" s="1411">
        <v>-406.19</v>
      </c>
      <c r="R14" s="1411">
        <v>0</v>
      </c>
      <c r="S14" s="1411">
        <v>-15.18</v>
      </c>
      <c r="T14" s="1411">
        <v>0</v>
      </c>
      <c r="U14" s="1417">
        <f t="shared" si="7"/>
        <v>-844.13</v>
      </c>
      <c r="V14" s="1411"/>
      <c r="W14" s="1411"/>
      <c r="X14" s="1411"/>
      <c r="Y14" s="1411"/>
      <c r="Z14" s="1411"/>
      <c r="AA14" s="1411">
        <f t="shared" si="8"/>
        <v>0</v>
      </c>
      <c r="AB14" s="1089"/>
      <c r="AC14" s="1090"/>
      <c r="AD14" s="1090"/>
      <c r="AE14" s="1090"/>
      <c r="AF14" s="1090"/>
      <c r="AG14" s="1091">
        <f t="shared" si="9"/>
        <v>0</v>
      </c>
      <c r="AH14" s="1089"/>
      <c r="AI14" s="1090"/>
      <c r="AJ14" s="1090"/>
      <c r="AK14" s="1090"/>
      <c r="AL14" s="1090"/>
      <c r="AM14" s="1094">
        <f t="shared" si="10"/>
        <v>0</v>
      </c>
      <c r="AN14" s="1089"/>
      <c r="AO14" s="1090"/>
      <c r="AP14" s="1090"/>
      <c r="AQ14" s="1090"/>
      <c r="AR14" s="1090"/>
      <c r="AS14" s="1094">
        <f t="shared" si="11"/>
        <v>0</v>
      </c>
      <c r="AT14" s="1089"/>
      <c r="AU14" s="1090"/>
      <c r="AV14" s="1090"/>
      <c r="AW14" s="1090"/>
      <c r="AX14" s="1090"/>
      <c r="AY14" s="1094">
        <f t="shared" si="12"/>
        <v>0</v>
      </c>
    </row>
    <row r="15" spans="1:51" s="831" customFormat="1" x14ac:dyDescent="0.25">
      <c r="A15" s="1108" t="s">
        <v>30</v>
      </c>
      <c r="B15" s="1108" t="s">
        <v>31</v>
      </c>
      <c r="C15" s="1053" t="s">
        <v>268</v>
      </c>
      <c r="D15" s="1379">
        <f t="shared" si="13"/>
        <v>0</v>
      </c>
      <c r="E15" s="1379">
        <f t="shared" si="14"/>
        <v>13568</v>
      </c>
      <c r="F15" s="1379">
        <f t="shared" si="15"/>
        <v>3392</v>
      </c>
      <c r="G15" s="1381">
        <f t="shared" si="16"/>
        <v>0</v>
      </c>
      <c r="H15" s="1384">
        <f t="shared" si="4"/>
        <v>3392</v>
      </c>
      <c r="I15" s="1385">
        <f t="shared" si="5"/>
        <v>16960</v>
      </c>
      <c r="J15" s="1109">
        <v>0</v>
      </c>
      <c r="K15" s="1109">
        <v>13568</v>
      </c>
      <c r="L15" s="1109">
        <v>3392</v>
      </c>
      <c r="M15" s="1109">
        <v>0</v>
      </c>
      <c r="N15" s="1109">
        <v>0</v>
      </c>
      <c r="O15" s="1110">
        <f t="shared" si="6"/>
        <v>16960</v>
      </c>
      <c r="P15" s="1418"/>
      <c r="Q15" s="1411"/>
      <c r="R15" s="1411"/>
      <c r="S15" s="1411"/>
      <c r="T15" s="1411"/>
      <c r="U15" s="1417">
        <f t="shared" si="7"/>
        <v>0</v>
      </c>
      <c r="V15" s="1411"/>
      <c r="W15" s="1411"/>
      <c r="X15" s="1411"/>
      <c r="Y15" s="1411"/>
      <c r="Z15" s="1411"/>
      <c r="AA15" s="1411">
        <f t="shared" si="8"/>
        <v>0</v>
      </c>
      <c r="AB15" s="1089"/>
      <c r="AC15" s="1090"/>
      <c r="AD15" s="1090"/>
      <c r="AE15" s="1090"/>
      <c r="AF15" s="1090"/>
      <c r="AG15" s="1091">
        <f t="shared" si="9"/>
        <v>0</v>
      </c>
      <c r="AH15" s="1089"/>
      <c r="AI15" s="1090"/>
      <c r="AJ15" s="1090"/>
      <c r="AK15" s="1090"/>
      <c r="AL15" s="1090"/>
      <c r="AM15" s="1094">
        <f t="shared" si="10"/>
        <v>0</v>
      </c>
      <c r="AN15" s="1089"/>
      <c r="AO15" s="1090"/>
      <c r="AP15" s="1090"/>
      <c r="AQ15" s="1090"/>
      <c r="AR15" s="1090"/>
      <c r="AS15" s="1094">
        <f t="shared" si="11"/>
        <v>0</v>
      </c>
      <c r="AT15" s="1089"/>
      <c r="AU15" s="1090"/>
      <c r="AV15" s="1090"/>
      <c r="AW15" s="1090"/>
      <c r="AX15" s="1090"/>
      <c r="AY15" s="1094">
        <f t="shared" si="12"/>
        <v>0</v>
      </c>
    </row>
    <row r="16" spans="1:51" s="831" customFormat="1" x14ac:dyDescent="0.25">
      <c r="A16" s="1108" t="s">
        <v>32</v>
      </c>
      <c r="B16" s="1108" t="s">
        <v>33</v>
      </c>
      <c r="C16" s="1053" t="s">
        <v>265</v>
      </c>
      <c r="D16" s="1379">
        <f t="shared" si="13"/>
        <v>0</v>
      </c>
      <c r="E16" s="1379">
        <f t="shared" si="14"/>
        <v>86273.600000000006</v>
      </c>
      <c r="F16" s="1379">
        <f t="shared" si="15"/>
        <v>21568.400000000001</v>
      </c>
      <c r="G16" s="1381">
        <f t="shared" si="16"/>
        <v>0</v>
      </c>
      <c r="H16" s="1384">
        <f t="shared" si="4"/>
        <v>21568.400000000001</v>
      </c>
      <c r="I16" s="1385">
        <f t="shared" si="5"/>
        <v>107842</v>
      </c>
      <c r="J16" s="1109">
        <v>0</v>
      </c>
      <c r="K16" s="1109">
        <v>86273.600000000006</v>
      </c>
      <c r="L16" s="1109">
        <v>21568.400000000001</v>
      </c>
      <c r="M16" s="1109">
        <v>0</v>
      </c>
      <c r="N16" s="1109">
        <v>0</v>
      </c>
      <c r="O16" s="1110">
        <f t="shared" si="6"/>
        <v>107842</v>
      </c>
      <c r="P16" s="1418"/>
      <c r="Q16" s="1411"/>
      <c r="R16" s="1411"/>
      <c r="S16" s="1411"/>
      <c r="T16" s="1411"/>
      <c r="U16" s="1417">
        <f t="shared" si="7"/>
        <v>0</v>
      </c>
      <c r="V16" s="1411"/>
      <c r="W16" s="1411"/>
      <c r="X16" s="1411"/>
      <c r="Y16" s="1411"/>
      <c r="Z16" s="1411"/>
      <c r="AA16" s="1411">
        <f t="shared" si="8"/>
        <v>0</v>
      </c>
      <c r="AB16" s="1089"/>
      <c r="AC16" s="1090"/>
      <c r="AD16" s="1090"/>
      <c r="AE16" s="1090"/>
      <c r="AF16" s="1090"/>
      <c r="AG16" s="1091">
        <f t="shared" si="9"/>
        <v>0</v>
      </c>
      <c r="AH16" s="1089"/>
      <c r="AI16" s="1090"/>
      <c r="AJ16" s="1090"/>
      <c r="AK16" s="1090"/>
      <c r="AL16" s="1090"/>
      <c r="AM16" s="1094">
        <f t="shared" si="10"/>
        <v>0</v>
      </c>
      <c r="AN16" s="1089"/>
      <c r="AO16" s="1090"/>
      <c r="AP16" s="1090"/>
      <c r="AQ16" s="1090"/>
      <c r="AR16" s="1090"/>
      <c r="AS16" s="1094">
        <f t="shared" si="11"/>
        <v>0</v>
      </c>
      <c r="AT16" s="1089"/>
      <c r="AU16" s="1090"/>
      <c r="AV16" s="1090"/>
      <c r="AW16" s="1090"/>
      <c r="AX16" s="1090"/>
      <c r="AY16" s="1094">
        <f t="shared" si="12"/>
        <v>0</v>
      </c>
    </row>
    <row r="17" spans="1:51" s="831" customFormat="1" x14ac:dyDescent="0.25">
      <c r="A17" s="1108" t="s">
        <v>36</v>
      </c>
      <c r="B17" s="1108" t="s">
        <v>37</v>
      </c>
      <c r="C17" s="1053" t="s">
        <v>264</v>
      </c>
      <c r="D17" s="1379">
        <f t="shared" si="13"/>
        <v>21070.91</v>
      </c>
      <c r="E17" s="1379">
        <f t="shared" si="14"/>
        <v>120126.39999999999</v>
      </c>
      <c r="F17" s="1379">
        <f t="shared" si="15"/>
        <v>30031.599999999999</v>
      </c>
      <c r="G17" s="1381">
        <f t="shared" si="16"/>
        <v>0</v>
      </c>
      <c r="H17" s="1384">
        <f t="shared" si="4"/>
        <v>30031.599999999999</v>
      </c>
      <c r="I17" s="1385">
        <f t="shared" si="5"/>
        <v>171228.91</v>
      </c>
      <c r="J17" s="1109">
        <v>0</v>
      </c>
      <c r="K17" s="1109">
        <v>120126.39999999999</v>
      </c>
      <c r="L17" s="1109">
        <v>30031.599999999999</v>
      </c>
      <c r="M17" s="1109">
        <v>0</v>
      </c>
      <c r="N17" s="1109">
        <v>0</v>
      </c>
      <c r="O17" s="1110">
        <f t="shared" si="6"/>
        <v>150158</v>
      </c>
      <c r="P17" s="1418"/>
      <c r="Q17" s="1411"/>
      <c r="R17" s="1411"/>
      <c r="S17" s="1411"/>
      <c r="T17" s="1411"/>
      <c r="U17" s="1417">
        <f t="shared" si="7"/>
        <v>0</v>
      </c>
      <c r="V17" s="1411"/>
      <c r="W17" s="1411"/>
      <c r="X17" s="1411"/>
      <c r="Y17" s="1411"/>
      <c r="Z17" s="1411"/>
      <c r="AA17" s="1411">
        <f t="shared" si="8"/>
        <v>0</v>
      </c>
      <c r="AB17" s="1089"/>
      <c r="AC17" s="1090"/>
      <c r="AD17" s="1090"/>
      <c r="AE17" s="1090"/>
      <c r="AF17" s="1090"/>
      <c r="AG17" s="1091">
        <f t="shared" si="9"/>
        <v>0</v>
      </c>
      <c r="AH17" s="1089"/>
      <c r="AI17" s="1090"/>
      <c r="AJ17" s="1090"/>
      <c r="AK17" s="1090"/>
      <c r="AL17" s="1090"/>
      <c r="AM17" s="1094">
        <f t="shared" si="10"/>
        <v>0</v>
      </c>
      <c r="AN17" s="1089"/>
      <c r="AO17" s="1090"/>
      <c r="AP17" s="1090"/>
      <c r="AQ17" s="1090"/>
      <c r="AR17" s="1090"/>
      <c r="AS17" s="1094">
        <f t="shared" si="11"/>
        <v>0</v>
      </c>
      <c r="AT17" s="1089">
        <v>21070.91</v>
      </c>
      <c r="AU17" s="1090">
        <v>0</v>
      </c>
      <c r="AV17" s="1090">
        <v>0</v>
      </c>
      <c r="AW17" s="1090">
        <v>0</v>
      </c>
      <c r="AX17" s="1090">
        <v>0</v>
      </c>
      <c r="AY17" s="1094">
        <f t="shared" si="12"/>
        <v>21070.91</v>
      </c>
    </row>
    <row r="18" spans="1:51" s="831" customFormat="1" x14ac:dyDescent="0.25">
      <c r="A18" s="1108" t="s">
        <v>38</v>
      </c>
      <c r="B18" s="1108" t="s">
        <v>39</v>
      </c>
      <c r="C18" s="1053" t="s">
        <v>268</v>
      </c>
      <c r="D18" s="1379">
        <f t="shared" si="13"/>
        <v>0</v>
      </c>
      <c r="E18" s="1379">
        <f t="shared" si="14"/>
        <v>123532</v>
      </c>
      <c r="F18" s="1379">
        <f t="shared" si="15"/>
        <v>30883</v>
      </c>
      <c r="G18" s="1381">
        <f t="shared" si="16"/>
        <v>0</v>
      </c>
      <c r="H18" s="1384">
        <f t="shared" si="4"/>
        <v>30883</v>
      </c>
      <c r="I18" s="1385">
        <f t="shared" si="5"/>
        <v>154415</v>
      </c>
      <c r="J18" s="1109">
        <v>0</v>
      </c>
      <c r="K18" s="1109">
        <v>123532</v>
      </c>
      <c r="L18" s="1109">
        <v>30883</v>
      </c>
      <c r="M18" s="1109">
        <v>0</v>
      </c>
      <c r="N18" s="1109">
        <v>0</v>
      </c>
      <c r="O18" s="1110">
        <f t="shared" si="6"/>
        <v>154415</v>
      </c>
      <c r="P18" s="1418"/>
      <c r="Q18" s="1411"/>
      <c r="R18" s="1411"/>
      <c r="S18" s="1411"/>
      <c r="T18" s="1411"/>
      <c r="U18" s="1417">
        <f t="shared" si="7"/>
        <v>0</v>
      </c>
      <c r="V18" s="1411"/>
      <c r="W18" s="1411"/>
      <c r="X18" s="1411"/>
      <c r="Y18" s="1411"/>
      <c r="Z18" s="1411"/>
      <c r="AA18" s="1411">
        <f t="shared" si="8"/>
        <v>0</v>
      </c>
      <c r="AB18" s="1089"/>
      <c r="AC18" s="1090"/>
      <c r="AD18" s="1090"/>
      <c r="AE18" s="1090"/>
      <c r="AF18" s="1090"/>
      <c r="AG18" s="1091">
        <f t="shared" si="9"/>
        <v>0</v>
      </c>
      <c r="AH18" s="1089"/>
      <c r="AI18" s="1090"/>
      <c r="AJ18" s="1090"/>
      <c r="AK18" s="1090"/>
      <c r="AL18" s="1090"/>
      <c r="AM18" s="1094">
        <f t="shared" si="10"/>
        <v>0</v>
      </c>
      <c r="AN18" s="1089"/>
      <c r="AO18" s="1090"/>
      <c r="AP18" s="1090"/>
      <c r="AQ18" s="1090"/>
      <c r="AR18" s="1090"/>
      <c r="AS18" s="1094">
        <f t="shared" si="11"/>
        <v>0</v>
      </c>
      <c r="AT18" s="1089"/>
      <c r="AU18" s="1090"/>
      <c r="AV18" s="1090"/>
      <c r="AW18" s="1090"/>
      <c r="AX18" s="1090"/>
      <c r="AY18" s="1094">
        <f t="shared" si="12"/>
        <v>0</v>
      </c>
    </row>
    <row r="19" spans="1:51" s="831" customFormat="1" x14ac:dyDescent="0.25">
      <c r="A19" s="1108" t="s">
        <v>40</v>
      </c>
      <c r="B19" s="1108" t="s">
        <v>41</v>
      </c>
      <c r="C19" s="1053" t="s">
        <v>266</v>
      </c>
      <c r="D19" s="1379">
        <f t="shared" si="13"/>
        <v>-99.55</v>
      </c>
      <c r="E19" s="1379">
        <f t="shared" si="14"/>
        <v>79961.150000000009</v>
      </c>
      <c r="F19" s="1379">
        <f t="shared" si="15"/>
        <v>20014.2</v>
      </c>
      <c r="G19" s="1381">
        <f t="shared" si="16"/>
        <v>0</v>
      </c>
      <c r="H19" s="1384">
        <f t="shared" si="4"/>
        <v>20014.2</v>
      </c>
      <c r="I19" s="1385">
        <f t="shared" si="5"/>
        <v>99875.8</v>
      </c>
      <c r="J19" s="1109">
        <v>0</v>
      </c>
      <c r="K19" s="1109">
        <v>80056.800000000003</v>
      </c>
      <c r="L19" s="1109">
        <v>20014.2</v>
      </c>
      <c r="M19" s="1109">
        <v>0</v>
      </c>
      <c r="N19" s="1109">
        <v>0</v>
      </c>
      <c r="O19" s="1110">
        <f t="shared" si="6"/>
        <v>100071</v>
      </c>
      <c r="P19" s="1418">
        <v>-99.55</v>
      </c>
      <c r="Q19" s="1411">
        <v>-95.65</v>
      </c>
      <c r="R19" s="1411">
        <v>0</v>
      </c>
      <c r="S19" s="1411">
        <v>0</v>
      </c>
      <c r="T19" s="1411">
        <v>0</v>
      </c>
      <c r="U19" s="1417">
        <f t="shared" si="7"/>
        <v>-195.2</v>
      </c>
      <c r="V19" s="1411"/>
      <c r="W19" s="1411"/>
      <c r="X19" s="1411"/>
      <c r="Y19" s="1411"/>
      <c r="Z19" s="1411"/>
      <c r="AA19" s="1411">
        <f t="shared" si="8"/>
        <v>0</v>
      </c>
      <c r="AB19" s="1089"/>
      <c r="AC19" s="1090"/>
      <c r="AD19" s="1090"/>
      <c r="AE19" s="1090"/>
      <c r="AF19" s="1090"/>
      <c r="AG19" s="1091">
        <f t="shared" si="9"/>
        <v>0</v>
      </c>
      <c r="AH19" s="1089"/>
      <c r="AI19" s="1090"/>
      <c r="AJ19" s="1090"/>
      <c r="AK19" s="1090"/>
      <c r="AL19" s="1090"/>
      <c r="AM19" s="1094">
        <f t="shared" si="10"/>
        <v>0</v>
      </c>
      <c r="AN19" s="1089"/>
      <c r="AO19" s="1090"/>
      <c r="AP19" s="1090"/>
      <c r="AQ19" s="1090"/>
      <c r="AR19" s="1090"/>
      <c r="AS19" s="1094">
        <f t="shared" si="11"/>
        <v>0</v>
      </c>
      <c r="AT19" s="1089"/>
      <c r="AU19" s="1090"/>
      <c r="AV19" s="1090"/>
      <c r="AW19" s="1090"/>
      <c r="AX19" s="1090"/>
      <c r="AY19" s="1094">
        <f t="shared" si="12"/>
        <v>0</v>
      </c>
    </row>
    <row r="20" spans="1:51" s="831" customFormat="1" x14ac:dyDescent="0.25">
      <c r="A20" s="1108" t="s">
        <v>42</v>
      </c>
      <c r="B20" s="1108" t="s">
        <v>43</v>
      </c>
      <c r="C20" s="1053" t="s">
        <v>265</v>
      </c>
      <c r="D20" s="1379">
        <f t="shared" si="13"/>
        <v>1711</v>
      </c>
      <c r="E20" s="1379">
        <f t="shared" si="14"/>
        <v>153475.17000000001</v>
      </c>
      <c r="F20" s="1379">
        <f t="shared" si="15"/>
        <v>43281.120000000003</v>
      </c>
      <c r="G20" s="1381">
        <f t="shared" si="16"/>
        <v>-0.02</v>
      </c>
      <c r="H20" s="1384">
        <f t="shared" si="4"/>
        <v>43281.100000000006</v>
      </c>
      <c r="I20" s="1385">
        <f t="shared" si="5"/>
        <v>198467.27000000002</v>
      </c>
      <c r="J20" s="1109">
        <v>0</v>
      </c>
      <c r="K20" s="1109">
        <v>139020</v>
      </c>
      <c r="L20" s="1109">
        <v>34755</v>
      </c>
      <c r="M20" s="1109">
        <v>0</v>
      </c>
      <c r="N20" s="1109">
        <v>0</v>
      </c>
      <c r="O20" s="1110">
        <f t="shared" si="6"/>
        <v>173775</v>
      </c>
      <c r="P20" s="1418"/>
      <c r="Q20" s="1411"/>
      <c r="R20" s="1411"/>
      <c r="S20" s="1411"/>
      <c r="T20" s="1411"/>
      <c r="U20" s="1417">
        <f t="shared" si="7"/>
        <v>0</v>
      </c>
      <c r="V20" s="1411">
        <v>255</v>
      </c>
      <c r="W20" s="1411">
        <v>245</v>
      </c>
      <c r="X20" s="1411">
        <v>0</v>
      </c>
      <c r="Y20" s="1411">
        <v>0</v>
      </c>
      <c r="Z20" s="1411">
        <v>0</v>
      </c>
      <c r="AA20" s="1411">
        <f t="shared" si="8"/>
        <v>500</v>
      </c>
      <c r="AB20" s="1092">
        <v>0</v>
      </c>
      <c r="AC20" s="1093">
        <v>14210.17</v>
      </c>
      <c r="AD20" s="1093">
        <v>8526.1200000000008</v>
      </c>
      <c r="AE20" s="1093">
        <v>-0.02</v>
      </c>
      <c r="AF20" s="1093">
        <v>0</v>
      </c>
      <c r="AG20" s="1091">
        <f t="shared" si="9"/>
        <v>22736.27</v>
      </c>
      <c r="AH20" s="1089">
        <v>1456</v>
      </c>
      <c r="AI20" s="1090">
        <v>0</v>
      </c>
      <c r="AJ20" s="1090">
        <v>0</v>
      </c>
      <c r="AK20" s="1090">
        <v>0</v>
      </c>
      <c r="AL20" s="1090">
        <v>0</v>
      </c>
      <c r="AM20" s="1094">
        <f t="shared" si="10"/>
        <v>1456</v>
      </c>
      <c r="AN20" s="1089"/>
      <c r="AO20" s="1090"/>
      <c r="AP20" s="1090"/>
      <c r="AQ20" s="1090"/>
      <c r="AR20" s="1090"/>
      <c r="AS20" s="1094">
        <f t="shared" si="11"/>
        <v>0</v>
      </c>
      <c r="AT20" s="1089"/>
      <c r="AU20" s="1090"/>
      <c r="AV20" s="1090"/>
      <c r="AW20" s="1090"/>
      <c r="AX20" s="1090"/>
      <c r="AY20" s="1094">
        <f t="shared" si="12"/>
        <v>0</v>
      </c>
    </row>
    <row r="21" spans="1:51" s="831" customFormat="1" x14ac:dyDescent="0.25">
      <c r="A21" s="1108" t="s">
        <v>44</v>
      </c>
      <c r="B21" s="1108" t="s">
        <v>45</v>
      </c>
      <c r="C21" s="1053" t="s">
        <v>266</v>
      </c>
      <c r="D21" s="1379">
        <f t="shared" si="13"/>
        <v>0</v>
      </c>
      <c r="E21" s="1379">
        <f t="shared" si="14"/>
        <v>17654.400000000001</v>
      </c>
      <c r="F21" s="1379">
        <f t="shared" si="15"/>
        <v>4413.6000000000004</v>
      </c>
      <c r="G21" s="1381">
        <f t="shared" si="16"/>
        <v>0</v>
      </c>
      <c r="H21" s="1384">
        <f t="shared" si="4"/>
        <v>4413.6000000000004</v>
      </c>
      <c r="I21" s="1385">
        <f t="shared" si="5"/>
        <v>22068</v>
      </c>
      <c r="J21" s="1109">
        <v>0</v>
      </c>
      <c r="K21" s="1109">
        <v>17654.400000000001</v>
      </c>
      <c r="L21" s="1109">
        <v>4413.6000000000004</v>
      </c>
      <c r="M21" s="1109">
        <v>0</v>
      </c>
      <c r="N21" s="1109">
        <v>0</v>
      </c>
      <c r="O21" s="1110">
        <f t="shared" si="6"/>
        <v>22068</v>
      </c>
      <c r="P21" s="1418"/>
      <c r="Q21" s="1411"/>
      <c r="R21" s="1411"/>
      <c r="S21" s="1411"/>
      <c r="T21" s="1411"/>
      <c r="U21" s="1417">
        <f t="shared" si="7"/>
        <v>0</v>
      </c>
      <c r="V21" s="1411"/>
      <c r="W21" s="1411"/>
      <c r="X21" s="1411"/>
      <c r="Y21" s="1411"/>
      <c r="Z21" s="1411"/>
      <c r="AA21" s="1411">
        <f t="shared" si="8"/>
        <v>0</v>
      </c>
      <c r="AB21" s="1089"/>
      <c r="AC21" s="1090"/>
      <c r="AD21" s="1090"/>
      <c r="AE21" s="1090"/>
      <c r="AF21" s="1090"/>
      <c r="AG21" s="1091">
        <f t="shared" si="9"/>
        <v>0</v>
      </c>
      <c r="AH21" s="1089"/>
      <c r="AI21" s="1090"/>
      <c r="AJ21" s="1090"/>
      <c r="AK21" s="1090"/>
      <c r="AL21" s="1090"/>
      <c r="AM21" s="1094">
        <f t="shared" si="10"/>
        <v>0</v>
      </c>
      <c r="AN21" s="1089"/>
      <c r="AO21" s="1090"/>
      <c r="AP21" s="1090"/>
      <c r="AQ21" s="1090"/>
      <c r="AR21" s="1090"/>
      <c r="AS21" s="1094">
        <f t="shared" si="11"/>
        <v>0</v>
      </c>
      <c r="AT21" s="1089"/>
      <c r="AU21" s="1090"/>
      <c r="AV21" s="1090"/>
      <c r="AW21" s="1090"/>
      <c r="AX21" s="1090"/>
      <c r="AY21" s="1094">
        <f t="shared" si="12"/>
        <v>0</v>
      </c>
    </row>
    <row r="22" spans="1:51" s="831" customFormat="1" x14ac:dyDescent="0.25">
      <c r="A22" s="1108" t="s">
        <v>46</v>
      </c>
      <c r="B22" s="1108" t="s">
        <v>47</v>
      </c>
      <c r="C22" s="1053" t="s">
        <v>268</v>
      </c>
      <c r="D22" s="1379">
        <f t="shared" si="13"/>
        <v>0</v>
      </c>
      <c r="E22" s="1379">
        <f t="shared" si="14"/>
        <v>128612.8</v>
      </c>
      <c r="F22" s="1379">
        <f t="shared" si="15"/>
        <v>32153.200000000001</v>
      </c>
      <c r="G22" s="1381">
        <f t="shared" si="16"/>
        <v>0</v>
      </c>
      <c r="H22" s="1384">
        <f t="shared" si="4"/>
        <v>32153.200000000001</v>
      </c>
      <c r="I22" s="1385">
        <f t="shared" si="5"/>
        <v>160766</v>
      </c>
      <c r="J22" s="1109">
        <v>0</v>
      </c>
      <c r="K22" s="1109">
        <v>128612.8</v>
      </c>
      <c r="L22" s="1109">
        <v>32153.200000000001</v>
      </c>
      <c r="M22" s="1109">
        <v>0</v>
      </c>
      <c r="N22" s="1109">
        <v>0</v>
      </c>
      <c r="O22" s="1110">
        <f t="shared" si="6"/>
        <v>160766</v>
      </c>
      <c r="P22" s="1418"/>
      <c r="Q22" s="1411"/>
      <c r="R22" s="1411"/>
      <c r="S22" s="1411"/>
      <c r="T22" s="1411"/>
      <c r="U22" s="1417">
        <f t="shared" si="7"/>
        <v>0</v>
      </c>
      <c r="V22" s="1411"/>
      <c r="W22" s="1411"/>
      <c r="X22" s="1411"/>
      <c r="Y22" s="1411"/>
      <c r="Z22" s="1411"/>
      <c r="AA22" s="1411">
        <f t="shared" si="8"/>
        <v>0</v>
      </c>
      <c r="AB22" s="1089"/>
      <c r="AC22" s="1090"/>
      <c r="AD22" s="1090"/>
      <c r="AE22" s="1090"/>
      <c r="AF22" s="1090"/>
      <c r="AG22" s="1091">
        <f t="shared" si="9"/>
        <v>0</v>
      </c>
      <c r="AH22" s="1089"/>
      <c r="AI22" s="1090"/>
      <c r="AJ22" s="1090"/>
      <c r="AK22" s="1090"/>
      <c r="AL22" s="1090"/>
      <c r="AM22" s="1094">
        <f t="shared" si="10"/>
        <v>0</v>
      </c>
      <c r="AN22" s="1089"/>
      <c r="AO22" s="1090"/>
      <c r="AP22" s="1090"/>
      <c r="AQ22" s="1090"/>
      <c r="AR22" s="1090"/>
      <c r="AS22" s="1094">
        <f t="shared" si="11"/>
        <v>0</v>
      </c>
      <c r="AT22" s="1089"/>
      <c r="AU22" s="1090"/>
      <c r="AV22" s="1090"/>
      <c r="AW22" s="1090"/>
      <c r="AX22" s="1090"/>
      <c r="AY22" s="1094">
        <f t="shared" si="12"/>
        <v>0</v>
      </c>
    </row>
    <row r="23" spans="1:51" s="831" customFormat="1" x14ac:dyDescent="0.25">
      <c r="A23" s="1108" t="s">
        <v>48</v>
      </c>
      <c r="B23" s="1108" t="s">
        <v>269</v>
      </c>
      <c r="C23" s="1053" t="s">
        <v>266</v>
      </c>
      <c r="D23" s="1379">
        <f t="shared" si="13"/>
        <v>0</v>
      </c>
      <c r="E23" s="1379">
        <f t="shared" si="14"/>
        <v>21438.400000000001</v>
      </c>
      <c r="F23" s="1379">
        <f t="shared" si="15"/>
        <v>5359.6</v>
      </c>
      <c r="G23" s="1381">
        <f t="shared" si="16"/>
        <v>0</v>
      </c>
      <c r="H23" s="1384">
        <f t="shared" si="4"/>
        <v>5359.6</v>
      </c>
      <c r="I23" s="1385">
        <f t="shared" si="5"/>
        <v>26798</v>
      </c>
      <c r="J23" s="1109">
        <v>0</v>
      </c>
      <c r="K23" s="1109">
        <v>21438.400000000001</v>
      </c>
      <c r="L23" s="1109">
        <v>5359.6</v>
      </c>
      <c r="M23" s="1109">
        <v>0</v>
      </c>
      <c r="N23" s="1109">
        <v>0</v>
      </c>
      <c r="O23" s="1110">
        <f t="shared" si="6"/>
        <v>26798</v>
      </c>
      <c r="P23" s="1418"/>
      <c r="Q23" s="1411"/>
      <c r="R23" s="1411"/>
      <c r="S23" s="1411"/>
      <c r="T23" s="1411"/>
      <c r="U23" s="1417">
        <f t="shared" si="7"/>
        <v>0</v>
      </c>
      <c r="V23" s="1411"/>
      <c r="W23" s="1411"/>
      <c r="X23" s="1411"/>
      <c r="Y23" s="1411"/>
      <c r="Z23" s="1411"/>
      <c r="AA23" s="1411">
        <f t="shared" si="8"/>
        <v>0</v>
      </c>
      <c r="AB23" s="1089"/>
      <c r="AC23" s="1090"/>
      <c r="AD23" s="1090"/>
      <c r="AE23" s="1090"/>
      <c r="AF23" s="1090"/>
      <c r="AG23" s="1091">
        <f t="shared" si="9"/>
        <v>0</v>
      </c>
      <c r="AH23" s="1089"/>
      <c r="AI23" s="1090"/>
      <c r="AJ23" s="1090"/>
      <c r="AK23" s="1090"/>
      <c r="AL23" s="1090"/>
      <c r="AM23" s="1094">
        <f t="shared" si="10"/>
        <v>0</v>
      </c>
      <c r="AN23" s="1089"/>
      <c r="AO23" s="1090"/>
      <c r="AP23" s="1090"/>
      <c r="AQ23" s="1090"/>
      <c r="AR23" s="1090"/>
      <c r="AS23" s="1094">
        <f t="shared" si="11"/>
        <v>0</v>
      </c>
      <c r="AT23" s="1089"/>
      <c r="AU23" s="1090"/>
      <c r="AV23" s="1090"/>
      <c r="AW23" s="1090"/>
      <c r="AX23" s="1090"/>
      <c r="AY23" s="1094">
        <f t="shared" si="12"/>
        <v>0</v>
      </c>
    </row>
    <row r="24" spans="1:51" s="831" customFormat="1" x14ac:dyDescent="0.25">
      <c r="A24" s="1108" t="s">
        <v>50</v>
      </c>
      <c r="B24" s="1108" t="s">
        <v>51</v>
      </c>
      <c r="C24" s="1053" t="s">
        <v>265</v>
      </c>
      <c r="D24" s="1379">
        <f t="shared" si="13"/>
        <v>172467.56999999998</v>
      </c>
      <c r="E24" s="1379">
        <f t="shared" si="14"/>
        <v>49827.14</v>
      </c>
      <c r="F24" s="1379">
        <f t="shared" si="15"/>
        <v>12414.4</v>
      </c>
      <c r="G24" s="1381">
        <f t="shared" si="16"/>
        <v>0</v>
      </c>
      <c r="H24" s="1384">
        <f t="shared" si="4"/>
        <v>12414.4</v>
      </c>
      <c r="I24" s="1385">
        <f t="shared" si="5"/>
        <v>234709.10999999996</v>
      </c>
      <c r="J24" s="1109">
        <v>0</v>
      </c>
      <c r="K24" s="1109">
        <v>49657.599999999999</v>
      </c>
      <c r="L24" s="1109">
        <v>12414.4</v>
      </c>
      <c r="M24" s="1109">
        <v>0</v>
      </c>
      <c r="N24" s="1109">
        <v>0</v>
      </c>
      <c r="O24" s="1110">
        <f t="shared" si="6"/>
        <v>62072</v>
      </c>
      <c r="P24" s="1418">
        <v>-53.04</v>
      </c>
      <c r="Q24" s="1411">
        <v>-50.96</v>
      </c>
      <c r="R24" s="1411">
        <v>0</v>
      </c>
      <c r="S24" s="1411">
        <v>0</v>
      </c>
      <c r="T24" s="1411">
        <v>0</v>
      </c>
      <c r="U24" s="1417">
        <f t="shared" si="7"/>
        <v>-104</v>
      </c>
      <c r="V24" s="1411">
        <v>229.5</v>
      </c>
      <c r="W24" s="1411">
        <v>220.5</v>
      </c>
      <c r="X24" s="1411">
        <v>0</v>
      </c>
      <c r="Y24" s="1411">
        <v>0</v>
      </c>
      <c r="Z24" s="1411">
        <v>0</v>
      </c>
      <c r="AA24" s="1411">
        <f t="shared" si="8"/>
        <v>450</v>
      </c>
      <c r="AB24" s="1089"/>
      <c r="AC24" s="1090"/>
      <c r="AD24" s="1090"/>
      <c r="AE24" s="1090"/>
      <c r="AF24" s="1090"/>
      <c r="AG24" s="1091">
        <f t="shared" si="9"/>
        <v>0</v>
      </c>
      <c r="AH24" s="1089"/>
      <c r="AI24" s="1090"/>
      <c r="AJ24" s="1090"/>
      <c r="AK24" s="1090"/>
      <c r="AL24" s="1090"/>
      <c r="AM24" s="1094">
        <f t="shared" si="10"/>
        <v>0</v>
      </c>
      <c r="AN24" s="1089"/>
      <c r="AO24" s="1090"/>
      <c r="AP24" s="1090"/>
      <c r="AQ24" s="1090"/>
      <c r="AR24" s="1090"/>
      <c r="AS24" s="1094">
        <f t="shared" si="11"/>
        <v>0</v>
      </c>
      <c r="AT24" s="1089">
        <v>172291.11</v>
      </c>
      <c r="AU24" s="1090">
        <v>0</v>
      </c>
      <c r="AV24" s="1090">
        <v>0</v>
      </c>
      <c r="AW24" s="1090">
        <v>0</v>
      </c>
      <c r="AX24" s="1090">
        <v>0</v>
      </c>
      <c r="AY24" s="1094">
        <f t="shared" si="12"/>
        <v>172291.11</v>
      </c>
    </row>
    <row r="25" spans="1:51" s="831" customFormat="1" x14ac:dyDescent="0.25">
      <c r="A25" s="1108" t="s">
        <v>56</v>
      </c>
      <c r="B25" s="1108" t="s">
        <v>295</v>
      </c>
      <c r="C25" s="1053" t="s">
        <v>266</v>
      </c>
      <c r="D25" s="1379">
        <f t="shared" si="13"/>
        <v>1780.83</v>
      </c>
      <c r="E25" s="1379">
        <f t="shared" si="14"/>
        <v>639472.76</v>
      </c>
      <c r="F25" s="1379">
        <f t="shared" si="15"/>
        <v>170762.46</v>
      </c>
      <c r="G25" s="1381">
        <f t="shared" si="16"/>
        <v>-382.30999999999995</v>
      </c>
      <c r="H25" s="1384">
        <f t="shared" si="4"/>
        <v>170380.15</v>
      </c>
      <c r="I25" s="1385">
        <f t="shared" si="5"/>
        <v>811633.73999999987</v>
      </c>
      <c r="J25" s="1109">
        <v>0</v>
      </c>
      <c r="K25" s="1109">
        <v>610020</v>
      </c>
      <c r="L25" s="1109">
        <v>152505</v>
      </c>
      <c r="M25" s="1109">
        <v>0</v>
      </c>
      <c r="N25" s="1109">
        <v>0</v>
      </c>
      <c r="O25" s="1110">
        <f t="shared" si="6"/>
        <v>762525</v>
      </c>
      <c r="P25" s="1418">
        <v>-1016.17</v>
      </c>
      <c r="Q25" s="1411">
        <v>-976.29000000000008</v>
      </c>
      <c r="R25" s="1411">
        <v>0</v>
      </c>
      <c r="S25" s="1411">
        <v>-996.28</v>
      </c>
      <c r="T25" s="1411">
        <v>0</v>
      </c>
      <c r="U25" s="1417">
        <f t="shared" si="7"/>
        <v>-2988.74</v>
      </c>
      <c r="V25" s="1411"/>
      <c r="W25" s="1411"/>
      <c r="X25" s="1411"/>
      <c r="Y25" s="1411"/>
      <c r="Z25" s="1411"/>
      <c r="AA25" s="1411">
        <f t="shared" si="8"/>
        <v>0</v>
      </c>
      <c r="AB25" s="1092">
        <v>0</v>
      </c>
      <c r="AC25" s="1093">
        <v>30429.05</v>
      </c>
      <c r="AD25" s="1093">
        <v>18257.46</v>
      </c>
      <c r="AE25" s="1093">
        <v>-0.03</v>
      </c>
      <c r="AF25" s="1093">
        <v>0</v>
      </c>
      <c r="AG25" s="1091">
        <f t="shared" si="9"/>
        <v>48686.479999999996</v>
      </c>
      <c r="AH25" s="1092">
        <v>2797</v>
      </c>
      <c r="AI25" s="1093">
        <v>0</v>
      </c>
      <c r="AJ25" s="1093">
        <v>0</v>
      </c>
      <c r="AK25" s="1093">
        <v>0</v>
      </c>
      <c r="AL25" s="1093">
        <v>614</v>
      </c>
      <c r="AM25" s="1094">
        <f t="shared" si="10"/>
        <v>3411</v>
      </c>
      <c r="AN25" s="1092"/>
      <c r="AO25" s="1093"/>
      <c r="AP25" s="1093"/>
      <c r="AQ25" s="1093"/>
      <c r="AR25" s="1093"/>
      <c r="AS25" s="1094">
        <f t="shared" si="11"/>
        <v>0</v>
      </c>
      <c r="AT25" s="1092"/>
      <c r="AU25" s="1093"/>
      <c r="AV25" s="1093"/>
      <c r="AW25" s="1093"/>
      <c r="AX25" s="1093"/>
      <c r="AY25" s="1094">
        <f t="shared" si="12"/>
        <v>0</v>
      </c>
    </row>
    <row r="26" spans="1:51" s="831" customFormat="1" x14ac:dyDescent="0.25">
      <c r="A26" s="1108" t="s">
        <v>58</v>
      </c>
      <c r="B26" s="1108" t="s">
        <v>59</v>
      </c>
      <c r="C26" s="1053" t="s">
        <v>267</v>
      </c>
      <c r="D26" s="1379">
        <f t="shared" si="13"/>
        <v>0</v>
      </c>
      <c r="E26" s="1379">
        <f t="shared" si="14"/>
        <v>24668.799999999999</v>
      </c>
      <c r="F26" s="1379">
        <f t="shared" si="15"/>
        <v>6167.2</v>
      </c>
      <c r="G26" s="1381">
        <f t="shared" si="16"/>
        <v>0</v>
      </c>
      <c r="H26" s="1384">
        <f t="shared" si="4"/>
        <v>6167.2</v>
      </c>
      <c r="I26" s="1385">
        <f t="shared" si="5"/>
        <v>30836</v>
      </c>
      <c r="J26" s="1109">
        <v>0</v>
      </c>
      <c r="K26" s="1109">
        <v>24668.799999999999</v>
      </c>
      <c r="L26" s="1109">
        <v>6167.2</v>
      </c>
      <c r="M26" s="1109">
        <v>0</v>
      </c>
      <c r="N26" s="1109">
        <v>0</v>
      </c>
      <c r="O26" s="1110">
        <f t="shared" si="6"/>
        <v>30836</v>
      </c>
      <c r="P26" s="1418"/>
      <c r="Q26" s="1411"/>
      <c r="R26" s="1411"/>
      <c r="S26" s="1411"/>
      <c r="T26" s="1411"/>
      <c r="U26" s="1417">
        <f t="shared" si="7"/>
        <v>0</v>
      </c>
      <c r="V26" s="1411"/>
      <c r="W26" s="1411"/>
      <c r="X26" s="1411"/>
      <c r="Y26" s="1411"/>
      <c r="Z26" s="1411"/>
      <c r="AA26" s="1411">
        <f t="shared" si="8"/>
        <v>0</v>
      </c>
      <c r="AB26" s="1089"/>
      <c r="AC26" s="1090"/>
      <c r="AD26" s="1090"/>
      <c r="AE26" s="1090"/>
      <c r="AF26" s="1090"/>
      <c r="AG26" s="1091">
        <f t="shared" si="9"/>
        <v>0</v>
      </c>
      <c r="AH26" s="1089"/>
      <c r="AI26" s="1090"/>
      <c r="AJ26" s="1090"/>
      <c r="AK26" s="1090"/>
      <c r="AL26" s="1090"/>
      <c r="AM26" s="1094">
        <f t="shared" si="10"/>
        <v>0</v>
      </c>
      <c r="AN26" s="1089"/>
      <c r="AO26" s="1090"/>
      <c r="AP26" s="1090"/>
      <c r="AQ26" s="1090"/>
      <c r="AR26" s="1090"/>
      <c r="AS26" s="1094">
        <f t="shared" si="11"/>
        <v>0</v>
      </c>
      <c r="AT26" s="1089"/>
      <c r="AU26" s="1090"/>
      <c r="AV26" s="1090"/>
      <c r="AW26" s="1090"/>
      <c r="AX26" s="1090"/>
      <c r="AY26" s="1094">
        <f t="shared" si="12"/>
        <v>0</v>
      </c>
    </row>
    <row r="27" spans="1:51" s="831" customFormat="1" x14ac:dyDescent="0.25">
      <c r="A27" s="1108" t="s">
        <v>60</v>
      </c>
      <c r="B27" s="1108" t="s">
        <v>61</v>
      </c>
      <c r="C27" s="1053" t="s">
        <v>265</v>
      </c>
      <c r="D27" s="1379">
        <f t="shared" si="13"/>
        <v>-194.82</v>
      </c>
      <c r="E27" s="1379">
        <f t="shared" si="14"/>
        <v>32089.62</v>
      </c>
      <c r="F27" s="1379">
        <f t="shared" si="15"/>
        <v>8069.2</v>
      </c>
      <c r="G27" s="1381">
        <f t="shared" si="16"/>
        <v>0</v>
      </c>
      <c r="H27" s="1384">
        <f t="shared" si="4"/>
        <v>8069.2</v>
      </c>
      <c r="I27" s="1385">
        <f t="shared" si="5"/>
        <v>39964</v>
      </c>
      <c r="J27" s="1109">
        <v>0</v>
      </c>
      <c r="K27" s="1109">
        <v>32276.799999999999</v>
      </c>
      <c r="L27" s="1109">
        <v>8069.2</v>
      </c>
      <c r="M27" s="1109">
        <v>0</v>
      </c>
      <c r="N27" s="1109">
        <v>0</v>
      </c>
      <c r="O27" s="1110">
        <f t="shared" si="6"/>
        <v>40346</v>
      </c>
      <c r="P27" s="1418">
        <v>-194.82</v>
      </c>
      <c r="Q27" s="1411">
        <v>-187.18</v>
      </c>
      <c r="R27" s="1411">
        <v>0</v>
      </c>
      <c r="S27" s="1411">
        <v>0</v>
      </c>
      <c r="T27" s="1411">
        <v>0</v>
      </c>
      <c r="U27" s="1417">
        <f t="shared" si="7"/>
        <v>-382</v>
      </c>
      <c r="V27" s="1411"/>
      <c r="W27" s="1411"/>
      <c r="X27" s="1411"/>
      <c r="Y27" s="1411"/>
      <c r="Z27" s="1411"/>
      <c r="AA27" s="1411">
        <f t="shared" si="8"/>
        <v>0</v>
      </c>
      <c r="AB27" s="1089"/>
      <c r="AC27" s="1090"/>
      <c r="AD27" s="1090"/>
      <c r="AE27" s="1090"/>
      <c r="AF27" s="1090"/>
      <c r="AG27" s="1091">
        <f t="shared" si="9"/>
        <v>0</v>
      </c>
      <c r="AH27" s="1089"/>
      <c r="AI27" s="1090"/>
      <c r="AJ27" s="1090"/>
      <c r="AK27" s="1090"/>
      <c r="AL27" s="1090"/>
      <c r="AM27" s="1094">
        <f t="shared" si="10"/>
        <v>0</v>
      </c>
      <c r="AN27" s="1089"/>
      <c r="AO27" s="1090"/>
      <c r="AP27" s="1090"/>
      <c r="AQ27" s="1090"/>
      <c r="AR27" s="1090"/>
      <c r="AS27" s="1094">
        <f t="shared" si="11"/>
        <v>0</v>
      </c>
      <c r="AT27" s="1089"/>
      <c r="AU27" s="1090"/>
      <c r="AV27" s="1090"/>
      <c r="AW27" s="1090"/>
      <c r="AX27" s="1090"/>
      <c r="AY27" s="1094">
        <f t="shared" si="12"/>
        <v>0</v>
      </c>
    </row>
    <row r="28" spans="1:51" s="831" customFormat="1" x14ac:dyDescent="0.25">
      <c r="A28" s="1108" t="s">
        <v>62</v>
      </c>
      <c r="B28" s="1108" t="s">
        <v>63</v>
      </c>
      <c r="C28" s="1053" t="s">
        <v>267</v>
      </c>
      <c r="D28" s="1379">
        <f t="shared" si="13"/>
        <v>-892.27</v>
      </c>
      <c r="E28" s="1379">
        <f t="shared" si="14"/>
        <v>54231.530000000006</v>
      </c>
      <c r="F28" s="1379">
        <f t="shared" si="15"/>
        <v>13772.2</v>
      </c>
      <c r="G28" s="1381">
        <f t="shared" si="16"/>
        <v>-8</v>
      </c>
      <c r="H28" s="1384">
        <f t="shared" si="4"/>
        <v>13764.2</v>
      </c>
      <c r="I28" s="1385">
        <f t="shared" si="5"/>
        <v>67103.460000000006</v>
      </c>
      <c r="J28" s="1109">
        <v>0</v>
      </c>
      <c r="K28" s="1109">
        <v>55088.800000000003</v>
      </c>
      <c r="L28" s="1109">
        <v>13772.2</v>
      </c>
      <c r="M28" s="1109">
        <v>0</v>
      </c>
      <c r="N28" s="1109">
        <v>0</v>
      </c>
      <c r="O28" s="1110">
        <f t="shared" si="6"/>
        <v>68861</v>
      </c>
      <c r="P28" s="1418">
        <v>-892.27</v>
      </c>
      <c r="Q28" s="1411">
        <v>-857.27</v>
      </c>
      <c r="R28" s="1411">
        <v>0</v>
      </c>
      <c r="S28" s="1411">
        <v>-8</v>
      </c>
      <c r="T28" s="1411">
        <v>0</v>
      </c>
      <c r="U28" s="1417">
        <f t="shared" si="7"/>
        <v>-1757.54</v>
      </c>
      <c r="V28" s="1411"/>
      <c r="W28" s="1411"/>
      <c r="X28" s="1411"/>
      <c r="Y28" s="1411"/>
      <c r="Z28" s="1411"/>
      <c r="AA28" s="1411">
        <f t="shared" si="8"/>
        <v>0</v>
      </c>
      <c r="AB28" s="1092"/>
      <c r="AC28" s="1093"/>
      <c r="AD28" s="1093"/>
      <c r="AE28" s="1093"/>
      <c r="AF28" s="1093"/>
      <c r="AG28" s="1091">
        <f t="shared" si="9"/>
        <v>0</v>
      </c>
      <c r="AH28" s="1089"/>
      <c r="AI28" s="1090"/>
      <c r="AJ28" s="1090"/>
      <c r="AK28" s="1090"/>
      <c r="AL28" s="1090"/>
      <c r="AM28" s="1094">
        <f t="shared" si="10"/>
        <v>0</v>
      </c>
      <c r="AN28" s="1089"/>
      <c r="AO28" s="1090"/>
      <c r="AP28" s="1090"/>
      <c r="AQ28" s="1090"/>
      <c r="AR28" s="1090"/>
      <c r="AS28" s="1094">
        <f t="shared" si="11"/>
        <v>0</v>
      </c>
      <c r="AT28" s="1089"/>
      <c r="AU28" s="1090"/>
      <c r="AV28" s="1090"/>
      <c r="AW28" s="1090"/>
      <c r="AX28" s="1090"/>
      <c r="AY28" s="1094">
        <f t="shared" si="12"/>
        <v>0</v>
      </c>
    </row>
    <row r="29" spans="1:51" s="831" customFormat="1" x14ac:dyDescent="0.25">
      <c r="A29" s="1108" t="s">
        <v>64</v>
      </c>
      <c r="B29" s="1108" t="s">
        <v>65</v>
      </c>
      <c r="C29" s="1053" t="s">
        <v>266</v>
      </c>
      <c r="D29" s="1379">
        <f t="shared" si="13"/>
        <v>-173.44</v>
      </c>
      <c r="E29" s="1379">
        <f t="shared" si="14"/>
        <v>66000.569999999992</v>
      </c>
      <c r="F29" s="1379">
        <f t="shared" si="15"/>
        <v>16541.8</v>
      </c>
      <c r="G29" s="1381">
        <f t="shared" si="16"/>
        <v>0</v>
      </c>
      <c r="H29" s="1384">
        <f t="shared" si="4"/>
        <v>16541.8</v>
      </c>
      <c r="I29" s="1385">
        <f t="shared" si="5"/>
        <v>82368.929999999993</v>
      </c>
      <c r="J29" s="1109">
        <v>0</v>
      </c>
      <c r="K29" s="1109">
        <v>66167.199999999997</v>
      </c>
      <c r="L29" s="1109">
        <v>16541.8</v>
      </c>
      <c r="M29" s="1109">
        <v>0</v>
      </c>
      <c r="N29" s="1109">
        <v>0</v>
      </c>
      <c r="O29" s="1110">
        <f t="shared" si="6"/>
        <v>82709</v>
      </c>
      <c r="P29" s="1418">
        <v>-173.44</v>
      </c>
      <c r="Q29" s="1411">
        <v>-166.63</v>
      </c>
      <c r="R29" s="1411">
        <v>0</v>
      </c>
      <c r="S29" s="1411">
        <v>0</v>
      </c>
      <c r="T29" s="1411">
        <v>0</v>
      </c>
      <c r="U29" s="1417">
        <f t="shared" si="7"/>
        <v>-340.07</v>
      </c>
      <c r="V29" s="1411"/>
      <c r="W29" s="1411"/>
      <c r="X29" s="1411"/>
      <c r="Y29" s="1411"/>
      <c r="Z29" s="1411"/>
      <c r="AA29" s="1411">
        <f t="shared" si="8"/>
        <v>0</v>
      </c>
      <c r="AB29" s="1089"/>
      <c r="AC29" s="1090"/>
      <c r="AD29" s="1090"/>
      <c r="AE29" s="1090"/>
      <c r="AF29" s="1090"/>
      <c r="AG29" s="1091">
        <f t="shared" si="9"/>
        <v>0</v>
      </c>
      <c r="AH29" s="1089"/>
      <c r="AI29" s="1090"/>
      <c r="AJ29" s="1090"/>
      <c r="AK29" s="1090"/>
      <c r="AL29" s="1090"/>
      <c r="AM29" s="1094">
        <f t="shared" si="10"/>
        <v>0</v>
      </c>
      <c r="AN29" s="1089"/>
      <c r="AO29" s="1090"/>
      <c r="AP29" s="1090"/>
      <c r="AQ29" s="1090"/>
      <c r="AR29" s="1090"/>
      <c r="AS29" s="1094">
        <f t="shared" si="11"/>
        <v>0</v>
      </c>
      <c r="AT29" s="1089"/>
      <c r="AU29" s="1090"/>
      <c r="AV29" s="1090"/>
      <c r="AW29" s="1090"/>
      <c r="AX29" s="1090"/>
      <c r="AY29" s="1094">
        <f t="shared" si="12"/>
        <v>0</v>
      </c>
    </row>
    <row r="30" spans="1:51" s="831" customFormat="1" x14ac:dyDescent="0.25">
      <c r="A30" s="1108" t="s">
        <v>68</v>
      </c>
      <c r="B30" s="1108" t="s">
        <v>69</v>
      </c>
      <c r="C30" s="1053" t="s">
        <v>268</v>
      </c>
      <c r="D30" s="1379">
        <f t="shared" si="13"/>
        <v>-754.55</v>
      </c>
      <c r="E30" s="1379">
        <f t="shared" si="14"/>
        <v>38709.440000000002</v>
      </c>
      <c r="F30" s="1379">
        <f t="shared" si="15"/>
        <v>9858.6</v>
      </c>
      <c r="G30" s="1381">
        <f t="shared" si="16"/>
        <v>0.01</v>
      </c>
      <c r="H30" s="1384">
        <f t="shared" si="4"/>
        <v>9858.61</v>
      </c>
      <c r="I30" s="1385">
        <f t="shared" si="5"/>
        <v>47813.5</v>
      </c>
      <c r="J30" s="1109">
        <v>0</v>
      </c>
      <c r="K30" s="1109">
        <v>39434.400000000001</v>
      </c>
      <c r="L30" s="1109">
        <v>9858.6</v>
      </c>
      <c r="M30" s="1109">
        <v>0</v>
      </c>
      <c r="N30" s="1109">
        <v>0</v>
      </c>
      <c r="O30" s="1110">
        <f t="shared" si="6"/>
        <v>49293</v>
      </c>
      <c r="P30" s="1418">
        <v>-754.55</v>
      </c>
      <c r="Q30" s="1411">
        <v>-724.96</v>
      </c>
      <c r="R30" s="1411">
        <v>0</v>
      </c>
      <c r="S30" s="1411">
        <v>0.01</v>
      </c>
      <c r="T30" s="1411">
        <v>0</v>
      </c>
      <c r="U30" s="1417">
        <f t="shared" si="7"/>
        <v>-1479.5</v>
      </c>
      <c r="V30" s="1411"/>
      <c r="W30" s="1411"/>
      <c r="X30" s="1411"/>
      <c r="Y30" s="1411"/>
      <c r="Z30" s="1411"/>
      <c r="AA30" s="1411">
        <f t="shared" si="8"/>
        <v>0</v>
      </c>
      <c r="AB30" s="1089"/>
      <c r="AC30" s="1090"/>
      <c r="AD30" s="1090"/>
      <c r="AE30" s="1090"/>
      <c r="AF30" s="1090"/>
      <c r="AG30" s="1091">
        <f t="shared" si="9"/>
        <v>0</v>
      </c>
      <c r="AH30" s="1089"/>
      <c r="AI30" s="1090"/>
      <c r="AJ30" s="1090"/>
      <c r="AK30" s="1090"/>
      <c r="AL30" s="1090"/>
      <c r="AM30" s="1094">
        <f t="shared" si="10"/>
        <v>0</v>
      </c>
      <c r="AN30" s="1089"/>
      <c r="AO30" s="1090"/>
      <c r="AP30" s="1090"/>
      <c r="AQ30" s="1090"/>
      <c r="AR30" s="1090"/>
      <c r="AS30" s="1094">
        <f t="shared" si="11"/>
        <v>0</v>
      </c>
      <c r="AT30" s="1089"/>
      <c r="AU30" s="1090"/>
      <c r="AV30" s="1090"/>
      <c r="AW30" s="1090"/>
      <c r="AX30" s="1090"/>
      <c r="AY30" s="1094">
        <f t="shared" si="12"/>
        <v>0</v>
      </c>
    </row>
    <row r="31" spans="1:51" s="831" customFormat="1" x14ac:dyDescent="0.25">
      <c r="A31" s="1108" t="s">
        <v>70</v>
      </c>
      <c r="B31" s="1108" t="s">
        <v>71</v>
      </c>
      <c r="C31" s="1053" t="s">
        <v>264</v>
      </c>
      <c r="D31" s="1379">
        <f t="shared" si="13"/>
        <v>0</v>
      </c>
      <c r="E31" s="1379">
        <f t="shared" si="14"/>
        <v>189724.79999999999</v>
      </c>
      <c r="F31" s="1379">
        <f t="shared" si="15"/>
        <v>47431.199999999997</v>
      </c>
      <c r="G31" s="1381">
        <f t="shared" si="16"/>
        <v>903</v>
      </c>
      <c r="H31" s="1384">
        <f t="shared" si="4"/>
        <v>48334.2</v>
      </c>
      <c r="I31" s="1385">
        <f t="shared" si="5"/>
        <v>238059</v>
      </c>
      <c r="J31" s="1109">
        <v>0</v>
      </c>
      <c r="K31" s="1109">
        <v>189724.79999999999</v>
      </c>
      <c r="L31" s="1109">
        <v>47431.199999999997</v>
      </c>
      <c r="M31" s="1109">
        <v>903</v>
      </c>
      <c r="N31" s="1109">
        <v>0</v>
      </c>
      <c r="O31" s="1110">
        <f t="shared" si="6"/>
        <v>238059</v>
      </c>
      <c r="P31" s="1418"/>
      <c r="Q31" s="1411"/>
      <c r="R31" s="1411"/>
      <c r="S31" s="1411"/>
      <c r="T31" s="1411"/>
      <c r="U31" s="1417">
        <f t="shared" si="7"/>
        <v>0</v>
      </c>
      <c r="V31" s="1411"/>
      <c r="W31" s="1411"/>
      <c r="X31" s="1411"/>
      <c r="Y31" s="1411"/>
      <c r="Z31" s="1411"/>
      <c r="AA31" s="1411">
        <f t="shared" si="8"/>
        <v>0</v>
      </c>
      <c r="AB31" s="1089"/>
      <c r="AC31" s="1090"/>
      <c r="AD31" s="1090"/>
      <c r="AE31" s="1090"/>
      <c r="AF31" s="1090"/>
      <c r="AG31" s="1091">
        <f t="shared" si="9"/>
        <v>0</v>
      </c>
      <c r="AH31" s="1089"/>
      <c r="AI31" s="1090"/>
      <c r="AJ31" s="1090"/>
      <c r="AK31" s="1090"/>
      <c r="AL31" s="1090"/>
      <c r="AM31" s="1094">
        <f t="shared" si="10"/>
        <v>0</v>
      </c>
      <c r="AN31" s="1089"/>
      <c r="AO31" s="1090"/>
      <c r="AP31" s="1090"/>
      <c r="AQ31" s="1090"/>
      <c r="AR31" s="1090"/>
      <c r="AS31" s="1094">
        <f t="shared" si="11"/>
        <v>0</v>
      </c>
      <c r="AT31" s="1089"/>
      <c r="AU31" s="1090"/>
      <c r="AV31" s="1090"/>
      <c r="AW31" s="1090"/>
      <c r="AX31" s="1090"/>
      <c r="AY31" s="1094">
        <f t="shared" si="12"/>
        <v>0</v>
      </c>
    </row>
    <row r="32" spans="1:51" s="831" customFormat="1" x14ac:dyDescent="0.25">
      <c r="A32" s="1108" t="s">
        <v>72</v>
      </c>
      <c r="B32" s="1108" t="s">
        <v>73</v>
      </c>
      <c r="C32" s="1053" t="s">
        <v>266</v>
      </c>
      <c r="D32" s="1379">
        <f t="shared" si="13"/>
        <v>0</v>
      </c>
      <c r="E32" s="1379">
        <f t="shared" si="14"/>
        <v>32303.200000000001</v>
      </c>
      <c r="F32" s="1379">
        <f t="shared" si="15"/>
        <v>8075.8</v>
      </c>
      <c r="G32" s="1381">
        <f t="shared" si="16"/>
        <v>0</v>
      </c>
      <c r="H32" s="1384">
        <f t="shared" si="4"/>
        <v>8075.8</v>
      </c>
      <c r="I32" s="1385">
        <f t="shared" si="5"/>
        <v>40379</v>
      </c>
      <c r="J32" s="1109">
        <v>0</v>
      </c>
      <c r="K32" s="1109">
        <v>32303.200000000001</v>
      </c>
      <c r="L32" s="1109">
        <v>8075.8</v>
      </c>
      <c r="M32" s="1109">
        <v>0</v>
      </c>
      <c r="N32" s="1109">
        <v>0</v>
      </c>
      <c r="O32" s="1110">
        <f t="shared" si="6"/>
        <v>40379</v>
      </c>
      <c r="P32" s="1418"/>
      <c r="Q32" s="1411"/>
      <c r="R32" s="1411"/>
      <c r="S32" s="1411"/>
      <c r="T32" s="1411"/>
      <c r="U32" s="1417">
        <f t="shared" si="7"/>
        <v>0</v>
      </c>
      <c r="V32" s="1411"/>
      <c r="W32" s="1411"/>
      <c r="X32" s="1411"/>
      <c r="Y32" s="1411"/>
      <c r="Z32" s="1411"/>
      <c r="AA32" s="1411">
        <f t="shared" si="8"/>
        <v>0</v>
      </c>
      <c r="AB32" s="1089"/>
      <c r="AC32" s="1090"/>
      <c r="AD32" s="1090"/>
      <c r="AE32" s="1090"/>
      <c r="AF32" s="1090"/>
      <c r="AG32" s="1091">
        <f t="shared" si="9"/>
        <v>0</v>
      </c>
      <c r="AH32" s="1089"/>
      <c r="AI32" s="1090"/>
      <c r="AJ32" s="1090"/>
      <c r="AK32" s="1090"/>
      <c r="AL32" s="1090"/>
      <c r="AM32" s="1094">
        <f t="shared" si="10"/>
        <v>0</v>
      </c>
      <c r="AN32" s="1089"/>
      <c r="AO32" s="1090"/>
      <c r="AP32" s="1090"/>
      <c r="AQ32" s="1090"/>
      <c r="AR32" s="1090"/>
      <c r="AS32" s="1094">
        <f t="shared" si="11"/>
        <v>0</v>
      </c>
      <c r="AT32" s="1089"/>
      <c r="AU32" s="1090"/>
      <c r="AV32" s="1090"/>
      <c r="AW32" s="1090"/>
      <c r="AX32" s="1090"/>
      <c r="AY32" s="1094">
        <f t="shared" si="12"/>
        <v>0</v>
      </c>
    </row>
    <row r="33" spans="1:51" s="831" customFormat="1" x14ac:dyDescent="0.25">
      <c r="A33" s="1108" t="s">
        <v>74</v>
      </c>
      <c r="B33" s="1108" t="s">
        <v>664</v>
      </c>
      <c r="C33" s="1053" t="s">
        <v>267</v>
      </c>
      <c r="D33" s="1379">
        <f t="shared" si="13"/>
        <v>581994.30000000005</v>
      </c>
      <c r="E33" s="1379">
        <f t="shared" si="14"/>
        <v>1063851.04</v>
      </c>
      <c r="F33" s="1379">
        <f t="shared" si="15"/>
        <v>285176.40000000002</v>
      </c>
      <c r="G33" s="1381">
        <f t="shared" si="16"/>
        <v>0</v>
      </c>
      <c r="H33" s="1384">
        <f t="shared" si="4"/>
        <v>285176.40000000002</v>
      </c>
      <c r="I33" s="1385">
        <f t="shared" si="5"/>
        <v>1931021.7400000002</v>
      </c>
      <c r="J33" s="1109">
        <v>0</v>
      </c>
      <c r="K33" s="1109">
        <v>1041045.6</v>
      </c>
      <c r="L33" s="1109">
        <v>260261.4</v>
      </c>
      <c r="M33" s="1109">
        <v>0</v>
      </c>
      <c r="N33" s="1109">
        <v>0</v>
      </c>
      <c r="O33" s="1110">
        <f t="shared" si="6"/>
        <v>1301307</v>
      </c>
      <c r="P33" s="1418">
        <v>-17628.88</v>
      </c>
      <c r="Q33" s="1411">
        <v>-16937.560000000001</v>
      </c>
      <c r="R33" s="1411">
        <v>0</v>
      </c>
      <c r="S33" s="1411">
        <v>0</v>
      </c>
      <c r="T33" s="1411">
        <v>0</v>
      </c>
      <c r="U33" s="1417">
        <f t="shared" si="7"/>
        <v>-34566.44</v>
      </c>
      <c r="V33" s="1411"/>
      <c r="W33" s="1411"/>
      <c r="X33" s="1411"/>
      <c r="Y33" s="1411"/>
      <c r="Z33" s="1411"/>
      <c r="AA33" s="1411">
        <f t="shared" si="8"/>
        <v>0</v>
      </c>
      <c r="AB33" s="1092">
        <v>0</v>
      </c>
      <c r="AC33" s="1093">
        <v>41525</v>
      </c>
      <c r="AD33" s="1093">
        <v>24915</v>
      </c>
      <c r="AE33" s="1093">
        <v>0</v>
      </c>
      <c r="AF33" s="1093">
        <v>0</v>
      </c>
      <c r="AG33" s="1091">
        <f t="shared" si="9"/>
        <v>66440</v>
      </c>
      <c r="AH33" s="1092">
        <v>214636</v>
      </c>
      <c r="AI33" s="1093">
        <v>0</v>
      </c>
      <c r="AJ33" s="1093">
        <v>0</v>
      </c>
      <c r="AK33" s="1093">
        <v>0</v>
      </c>
      <c r="AL33" s="1093">
        <v>0</v>
      </c>
      <c r="AM33" s="1094">
        <f t="shared" si="10"/>
        <v>214636</v>
      </c>
      <c r="AN33" s="1092">
        <v>0</v>
      </c>
      <c r="AO33" s="1093">
        <v>-1782</v>
      </c>
      <c r="AP33" s="1093">
        <v>0</v>
      </c>
      <c r="AQ33" s="1093">
        <v>0</v>
      </c>
      <c r="AR33" s="1093">
        <v>0</v>
      </c>
      <c r="AS33" s="1094">
        <f t="shared" si="11"/>
        <v>-1782</v>
      </c>
      <c r="AT33" s="1092">
        <v>384987.18</v>
      </c>
      <c r="AU33" s="1093">
        <v>0</v>
      </c>
      <c r="AV33" s="1093">
        <v>0</v>
      </c>
      <c r="AW33" s="1093">
        <v>0</v>
      </c>
      <c r="AX33" s="1093">
        <v>0</v>
      </c>
      <c r="AY33" s="1094">
        <f t="shared" si="12"/>
        <v>384987.18</v>
      </c>
    </row>
    <row r="34" spans="1:51" s="831" customFormat="1" x14ac:dyDescent="0.25">
      <c r="A34" s="1108" t="s">
        <v>76</v>
      </c>
      <c r="B34" s="1108" t="s">
        <v>77</v>
      </c>
      <c r="C34" s="1053" t="s">
        <v>267</v>
      </c>
      <c r="D34" s="1379">
        <f t="shared" si="13"/>
        <v>968</v>
      </c>
      <c r="E34" s="1379">
        <f t="shared" si="14"/>
        <v>84907.18</v>
      </c>
      <c r="F34" s="1379">
        <f t="shared" si="15"/>
        <v>21289.55</v>
      </c>
      <c r="G34" s="1381">
        <f t="shared" si="16"/>
        <v>24831.620000000003</v>
      </c>
      <c r="H34" s="1384">
        <f t="shared" si="4"/>
        <v>46121.17</v>
      </c>
      <c r="I34" s="1385">
        <f t="shared" si="5"/>
        <v>131996.35</v>
      </c>
      <c r="J34" s="1109">
        <v>0</v>
      </c>
      <c r="K34" s="1109">
        <v>85158.18</v>
      </c>
      <c r="L34" s="1109">
        <v>21289.55</v>
      </c>
      <c r="M34" s="1109">
        <v>0</v>
      </c>
      <c r="N34" s="1109">
        <v>2516</v>
      </c>
      <c r="O34" s="1110">
        <f t="shared" si="6"/>
        <v>108963.73</v>
      </c>
      <c r="P34" s="1418"/>
      <c r="Q34" s="1411"/>
      <c r="R34" s="1411"/>
      <c r="S34" s="1411"/>
      <c r="T34" s="1411"/>
      <c r="U34" s="1417">
        <f t="shared" si="7"/>
        <v>0</v>
      </c>
      <c r="V34" s="1411"/>
      <c r="W34" s="1411"/>
      <c r="X34" s="1411"/>
      <c r="Y34" s="1411"/>
      <c r="Z34" s="1411"/>
      <c r="AA34" s="1411">
        <f t="shared" si="8"/>
        <v>0</v>
      </c>
      <c r="AB34" s="1092">
        <v>0</v>
      </c>
      <c r="AC34" s="1093">
        <v>0</v>
      </c>
      <c r="AD34" s="1093">
        <v>0</v>
      </c>
      <c r="AE34" s="1093">
        <v>11503.33</v>
      </c>
      <c r="AF34" s="1093">
        <v>10812.29</v>
      </c>
      <c r="AG34" s="1091">
        <f t="shared" si="9"/>
        <v>22315.620000000003</v>
      </c>
      <c r="AH34" s="1089">
        <v>968</v>
      </c>
      <c r="AI34" s="1090">
        <v>0</v>
      </c>
      <c r="AJ34" s="1090">
        <v>0</v>
      </c>
      <c r="AK34" s="1090">
        <v>0</v>
      </c>
      <c r="AL34" s="1090">
        <v>0</v>
      </c>
      <c r="AM34" s="1094">
        <f t="shared" si="10"/>
        <v>968</v>
      </c>
      <c r="AN34" s="1089">
        <v>0</v>
      </c>
      <c r="AO34" s="1090">
        <v>-251</v>
      </c>
      <c r="AP34" s="1090">
        <v>0</v>
      </c>
      <c r="AQ34" s="1090">
        <v>0</v>
      </c>
      <c r="AR34" s="1090">
        <v>0</v>
      </c>
      <c r="AS34" s="1094">
        <f t="shared" si="11"/>
        <v>-251</v>
      </c>
      <c r="AT34" s="1089"/>
      <c r="AU34" s="1090"/>
      <c r="AV34" s="1090"/>
      <c r="AW34" s="1090"/>
      <c r="AX34" s="1090"/>
      <c r="AY34" s="1094">
        <f t="shared" si="12"/>
        <v>0</v>
      </c>
    </row>
    <row r="35" spans="1:51" s="831" customFormat="1" x14ac:dyDescent="0.25">
      <c r="A35" s="1108" t="s">
        <v>78</v>
      </c>
      <c r="B35" s="1108" t="s">
        <v>79</v>
      </c>
      <c r="C35" s="1053" t="s">
        <v>268</v>
      </c>
      <c r="D35" s="1379">
        <f t="shared" si="13"/>
        <v>-25.5</v>
      </c>
      <c r="E35" s="1379">
        <f t="shared" si="14"/>
        <v>43302.1</v>
      </c>
      <c r="F35" s="1379">
        <f t="shared" si="15"/>
        <v>10850.4</v>
      </c>
      <c r="G35" s="1381">
        <f t="shared" si="16"/>
        <v>0</v>
      </c>
      <c r="H35" s="1384">
        <f t="shared" si="4"/>
        <v>10850.4</v>
      </c>
      <c r="I35" s="1385">
        <f t="shared" si="5"/>
        <v>54127</v>
      </c>
      <c r="J35" s="1109">
        <v>0</v>
      </c>
      <c r="K35" s="1109">
        <v>43401.599999999999</v>
      </c>
      <c r="L35" s="1109">
        <v>10850.4</v>
      </c>
      <c r="M35" s="1109">
        <v>0</v>
      </c>
      <c r="N35" s="1109">
        <v>0</v>
      </c>
      <c r="O35" s="1110">
        <f t="shared" si="6"/>
        <v>54252</v>
      </c>
      <c r="P35" s="1418">
        <v>-25.5</v>
      </c>
      <c r="Q35" s="1411">
        <v>-24.5</v>
      </c>
      <c r="R35" s="1411">
        <v>0</v>
      </c>
      <c r="S35" s="1411">
        <v>0</v>
      </c>
      <c r="T35" s="1411">
        <v>0</v>
      </c>
      <c r="U35" s="1417">
        <f t="shared" si="7"/>
        <v>-50</v>
      </c>
      <c r="V35" s="1411"/>
      <c r="W35" s="1411"/>
      <c r="X35" s="1411"/>
      <c r="Y35" s="1411"/>
      <c r="Z35" s="1411"/>
      <c r="AA35" s="1411">
        <f t="shared" si="8"/>
        <v>0</v>
      </c>
      <c r="AB35" s="1089"/>
      <c r="AC35" s="1090"/>
      <c r="AD35" s="1090"/>
      <c r="AE35" s="1090"/>
      <c r="AF35" s="1090"/>
      <c r="AG35" s="1091">
        <f t="shared" si="9"/>
        <v>0</v>
      </c>
      <c r="AH35" s="1089"/>
      <c r="AI35" s="1090"/>
      <c r="AJ35" s="1090"/>
      <c r="AK35" s="1090"/>
      <c r="AL35" s="1090"/>
      <c r="AM35" s="1094">
        <f t="shared" si="10"/>
        <v>0</v>
      </c>
      <c r="AN35" s="1089">
        <v>0</v>
      </c>
      <c r="AO35" s="1090">
        <v>-75</v>
      </c>
      <c r="AP35" s="1090">
        <v>0</v>
      </c>
      <c r="AQ35" s="1090">
        <v>0</v>
      </c>
      <c r="AR35" s="1090">
        <v>0</v>
      </c>
      <c r="AS35" s="1094">
        <f t="shared" si="11"/>
        <v>-75</v>
      </c>
      <c r="AT35" s="1089"/>
      <c r="AU35" s="1090"/>
      <c r="AV35" s="1090"/>
      <c r="AW35" s="1090"/>
      <c r="AX35" s="1090"/>
      <c r="AY35" s="1094">
        <f t="shared" si="12"/>
        <v>0</v>
      </c>
    </row>
    <row r="36" spans="1:51" s="831" customFormat="1" x14ac:dyDescent="0.25">
      <c r="A36" s="1108" t="s">
        <v>80</v>
      </c>
      <c r="B36" s="1108" t="s">
        <v>81</v>
      </c>
      <c r="C36" s="1053" t="s">
        <v>266</v>
      </c>
      <c r="D36" s="1379">
        <f t="shared" si="13"/>
        <v>0</v>
      </c>
      <c r="E36" s="1379">
        <f t="shared" si="14"/>
        <v>18724</v>
      </c>
      <c r="F36" s="1379">
        <f t="shared" si="15"/>
        <v>5059</v>
      </c>
      <c r="G36" s="1381">
        <f t="shared" si="16"/>
        <v>0</v>
      </c>
      <c r="H36" s="1384">
        <f t="shared" si="4"/>
        <v>5059</v>
      </c>
      <c r="I36" s="1385">
        <f t="shared" si="5"/>
        <v>23783</v>
      </c>
      <c r="J36" s="1109">
        <v>0</v>
      </c>
      <c r="K36" s="1109">
        <v>17644</v>
      </c>
      <c r="L36" s="1109">
        <v>4411</v>
      </c>
      <c r="M36" s="1109">
        <v>0</v>
      </c>
      <c r="N36" s="1109">
        <v>0</v>
      </c>
      <c r="O36" s="1110">
        <f t="shared" si="6"/>
        <v>22055</v>
      </c>
      <c r="P36" s="1418"/>
      <c r="Q36" s="1411"/>
      <c r="R36" s="1411"/>
      <c r="S36" s="1411"/>
      <c r="T36" s="1411"/>
      <c r="U36" s="1417">
        <f t="shared" si="7"/>
        <v>0</v>
      </c>
      <c r="V36" s="1411"/>
      <c r="W36" s="1411"/>
      <c r="X36" s="1411"/>
      <c r="Y36" s="1411"/>
      <c r="Z36" s="1411"/>
      <c r="AA36" s="1411">
        <f t="shared" si="8"/>
        <v>0</v>
      </c>
      <c r="AB36" s="1092">
        <v>0</v>
      </c>
      <c r="AC36" s="1093">
        <v>1080</v>
      </c>
      <c r="AD36" s="1093">
        <v>648</v>
      </c>
      <c r="AE36" s="1093">
        <v>0</v>
      </c>
      <c r="AF36" s="1093">
        <v>0</v>
      </c>
      <c r="AG36" s="1091">
        <f t="shared" si="9"/>
        <v>1728</v>
      </c>
      <c r="AH36" s="1089"/>
      <c r="AI36" s="1090"/>
      <c r="AJ36" s="1090"/>
      <c r="AK36" s="1090"/>
      <c r="AL36" s="1090"/>
      <c r="AM36" s="1094">
        <f t="shared" si="10"/>
        <v>0</v>
      </c>
      <c r="AN36" s="1089"/>
      <c r="AO36" s="1090"/>
      <c r="AP36" s="1090"/>
      <c r="AQ36" s="1090"/>
      <c r="AR36" s="1090"/>
      <c r="AS36" s="1094">
        <f t="shared" si="11"/>
        <v>0</v>
      </c>
      <c r="AT36" s="1089"/>
      <c r="AU36" s="1090"/>
      <c r="AV36" s="1090"/>
      <c r="AW36" s="1090"/>
      <c r="AX36" s="1090"/>
      <c r="AY36" s="1094">
        <f t="shared" si="12"/>
        <v>0</v>
      </c>
    </row>
    <row r="37" spans="1:51" s="831" customFormat="1" x14ac:dyDescent="0.25">
      <c r="A37" s="1108" t="s">
        <v>84</v>
      </c>
      <c r="B37" s="1108" t="s">
        <v>308</v>
      </c>
      <c r="C37" s="1053" t="s">
        <v>265</v>
      </c>
      <c r="D37" s="1379">
        <f t="shared" si="13"/>
        <v>-1063.47</v>
      </c>
      <c r="E37" s="1379">
        <f t="shared" si="14"/>
        <v>147797.45000000001</v>
      </c>
      <c r="F37" s="1379">
        <f t="shared" si="15"/>
        <v>37204.800000000003</v>
      </c>
      <c r="G37" s="1381">
        <f t="shared" si="16"/>
        <v>0</v>
      </c>
      <c r="H37" s="1384">
        <f t="shared" ref="H37:H68" si="17">F37+G37</f>
        <v>37204.800000000003</v>
      </c>
      <c r="I37" s="1385">
        <f t="shared" si="5"/>
        <v>183938.78000000003</v>
      </c>
      <c r="J37" s="1109">
        <v>0</v>
      </c>
      <c r="K37" s="1109">
        <v>148819.20000000001</v>
      </c>
      <c r="L37" s="1109">
        <v>37204.800000000003</v>
      </c>
      <c r="M37" s="1109">
        <v>0</v>
      </c>
      <c r="N37" s="1109">
        <v>0</v>
      </c>
      <c r="O37" s="1110">
        <f t="shared" ref="O37:O68" si="18">SUM(J37:N37)</f>
        <v>186024</v>
      </c>
      <c r="P37" s="1418">
        <v>-1063.47</v>
      </c>
      <c r="Q37" s="1411">
        <v>-1021.75</v>
      </c>
      <c r="R37" s="1411">
        <v>0</v>
      </c>
      <c r="S37" s="1411">
        <v>0</v>
      </c>
      <c r="T37" s="1411">
        <v>0</v>
      </c>
      <c r="U37" s="1417">
        <f t="shared" ref="U37:U68" si="19">SUM(P37:T37)</f>
        <v>-2085.2200000000003</v>
      </c>
      <c r="V37" s="1411"/>
      <c r="W37" s="1411"/>
      <c r="X37" s="1411"/>
      <c r="Y37" s="1411"/>
      <c r="Z37" s="1411"/>
      <c r="AA37" s="1411">
        <f t="shared" ref="AA37:AA68" si="20">SUM(V37:Z37)</f>
        <v>0</v>
      </c>
      <c r="AB37" s="1092"/>
      <c r="AC37" s="1093"/>
      <c r="AD37" s="1093"/>
      <c r="AE37" s="1093"/>
      <c r="AF37" s="1093"/>
      <c r="AG37" s="1091">
        <f t="shared" ref="AG37:AG68" si="21">SUM(AB37:AF37)</f>
        <v>0</v>
      </c>
      <c r="AH37" s="1089"/>
      <c r="AI37" s="1090"/>
      <c r="AJ37" s="1090"/>
      <c r="AK37" s="1090"/>
      <c r="AL37" s="1090"/>
      <c r="AM37" s="1094">
        <f t="shared" ref="AM37:AM68" si="22">SUM(AH37:AL37)</f>
        <v>0</v>
      </c>
      <c r="AN37" s="1089"/>
      <c r="AO37" s="1090"/>
      <c r="AP37" s="1090"/>
      <c r="AQ37" s="1090"/>
      <c r="AR37" s="1090"/>
      <c r="AS37" s="1094">
        <f t="shared" ref="AS37:AS68" si="23">SUM(AN37:AR37)</f>
        <v>0</v>
      </c>
      <c r="AT37" s="1089"/>
      <c r="AU37" s="1090"/>
      <c r="AV37" s="1090"/>
      <c r="AW37" s="1090"/>
      <c r="AX37" s="1090"/>
      <c r="AY37" s="1094">
        <f t="shared" ref="AY37:AY68" si="24">SUM(AT37:AX37)</f>
        <v>0</v>
      </c>
    </row>
    <row r="38" spans="1:51" s="831" customFormat="1" x14ac:dyDescent="0.25">
      <c r="A38" s="1108" t="s">
        <v>86</v>
      </c>
      <c r="B38" s="1108" t="s">
        <v>87</v>
      </c>
      <c r="C38" s="1053" t="s">
        <v>267</v>
      </c>
      <c r="D38" s="1379">
        <f t="shared" si="13"/>
        <v>-844.85</v>
      </c>
      <c r="E38" s="1379">
        <f t="shared" si="14"/>
        <v>53621.88</v>
      </c>
      <c r="F38" s="1379">
        <f t="shared" si="15"/>
        <v>13608.4</v>
      </c>
      <c r="G38" s="1381">
        <f t="shared" si="16"/>
        <v>4197.72</v>
      </c>
      <c r="H38" s="1384">
        <f t="shared" si="17"/>
        <v>17806.12</v>
      </c>
      <c r="I38" s="1385">
        <f t="shared" si="5"/>
        <v>70583.149999999994</v>
      </c>
      <c r="J38" s="1109">
        <v>0</v>
      </c>
      <c r="K38" s="1109">
        <v>54433.599999999999</v>
      </c>
      <c r="L38" s="1109">
        <v>13608.4</v>
      </c>
      <c r="M38" s="1109">
        <v>0</v>
      </c>
      <c r="N38" s="1109">
        <v>0</v>
      </c>
      <c r="O38" s="1110">
        <f t="shared" si="18"/>
        <v>68042</v>
      </c>
      <c r="P38" s="1418">
        <v>-844.85</v>
      </c>
      <c r="Q38" s="1411">
        <v>-811.72</v>
      </c>
      <c r="R38" s="1411">
        <v>0</v>
      </c>
      <c r="S38" s="1411">
        <v>0</v>
      </c>
      <c r="T38" s="1411">
        <v>0</v>
      </c>
      <c r="U38" s="1417">
        <f t="shared" si="19"/>
        <v>-1656.5700000000002</v>
      </c>
      <c r="V38" s="1411"/>
      <c r="W38" s="1411"/>
      <c r="X38" s="1411"/>
      <c r="Y38" s="1411"/>
      <c r="Z38" s="1411"/>
      <c r="AA38" s="1411">
        <f t="shared" si="20"/>
        <v>0</v>
      </c>
      <c r="AB38" s="1092">
        <v>0</v>
      </c>
      <c r="AC38" s="1093">
        <v>0</v>
      </c>
      <c r="AD38" s="1093">
        <v>0</v>
      </c>
      <c r="AE38" s="1093">
        <v>4197.72</v>
      </c>
      <c r="AF38" s="1093">
        <v>0</v>
      </c>
      <c r="AG38" s="1091">
        <f t="shared" si="21"/>
        <v>4197.72</v>
      </c>
      <c r="AH38" s="1089"/>
      <c r="AI38" s="1090"/>
      <c r="AJ38" s="1090"/>
      <c r="AK38" s="1090"/>
      <c r="AL38" s="1090"/>
      <c r="AM38" s="1094">
        <f t="shared" si="22"/>
        <v>0</v>
      </c>
      <c r="AN38" s="1089"/>
      <c r="AO38" s="1090"/>
      <c r="AP38" s="1090"/>
      <c r="AQ38" s="1090"/>
      <c r="AR38" s="1090"/>
      <c r="AS38" s="1094">
        <f t="shared" si="23"/>
        <v>0</v>
      </c>
      <c r="AT38" s="1089"/>
      <c r="AU38" s="1090"/>
      <c r="AV38" s="1090"/>
      <c r="AW38" s="1090"/>
      <c r="AX38" s="1090"/>
      <c r="AY38" s="1094">
        <f t="shared" si="24"/>
        <v>0</v>
      </c>
    </row>
    <row r="39" spans="1:51" s="831" customFormat="1" x14ac:dyDescent="0.25">
      <c r="A39" s="1108" t="s">
        <v>92</v>
      </c>
      <c r="B39" s="1108" t="s">
        <v>93</v>
      </c>
      <c r="C39" s="1053" t="s">
        <v>268</v>
      </c>
      <c r="D39" s="1379">
        <f t="shared" si="13"/>
        <v>0</v>
      </c>
      <c r="E39" s="1379">
        <f t="shared" si="14"/>
        <v>28283.200000000001</v>
      </c>
      <c r="F39" s="1379">
        <f t="shared" si="15"/>
        <v>7070.8</v>
      </c>
      <c r="G39" s="1381">
        <f t="shared" si="16"/>
        <v>0</v>
      </c>
      <c r="H39" s="1384">
        <f t="shared" si="17"/>
        <v>7070.8</v>
      </c>
      <c r="I39" s="1385">
        <f t="shared" si="5"/>
        <v>35354</v>
      </c>
      <c r="J39" s="1109">
        <v>0</v>
      </c>
      <c r="K39" s="1109">
        <v>28283.200000000001</v>
      </c>
      <c r="L39" s="1109">
        <v>7070.8</v>
      </c>
      <c r="M39" s="1109">
        <v>0</v>
      </c>
      <c r="N39" s="1109">
        <v>0</v>
      </c>
      <c r="O39" s="1110">
        <f t="shared" si="18"/>
        <v>35354</v>
      </c>
      <c r="P39" s="1418"/>
      <c r="Q39" s="1411"/>
      <c r="R39" s="1411"/>
      <c r="S39" s="1411"/>
      <c r="T39" s="1411"/>
      <c r="U39" s="1417">
        <f t="shared" si="19"/>
        <v>0</v>
      </c>
      <c r="V39" s="1411"/>
      <c r="W39" s="1411"/>
      <c r="X39" s="1411"/>
      <c r="Y39" s="1411"/>
      <c r="Z39" s="1411"/>
      <c r="AA39" s="1411">
        <f t="shared" si="20"/>
        <v>0</v>
      </c>
      <c r="AB39" s="1089"/>
      <c r="AC39" s="1090"/>
      <c r="AD39" s="1090"/>
      <c r="AE39" s="1090"/>
      <c r="AF39" s="1090"/>
      <c r="AG39" s="1091">
        <f t="shared" si="21"/>
        <v>0</v>
      </c>
      <c r="AH39" s="1089"/>
      <c r="AI39" s="1090"/>
      <c r="AJ39" s="1090"/>
      <c r="AK39" s="1090"/>
      <c r="AL39" s="1090"/>
      <c r="AM39" s="1094">
        <f t="shared" si="22"/>
        <v>0</v>
      </c>
      <c r="AN39" s="1089"/>
      <c r="AO39" s="1090"/>
      <c r="AP39" s="1090"/>
      <c r="AQ39" s="1090"/>
      <c r="AR39" s="1090"/>
      <c r="AS39" s="1094">
        <f t="shared" si="23"/>
        <v>0</v>
      </c>
      <c r="AT39" s="1089"/>
      <c r="AU39" s="1090"/>
      <c r="AV39" s="1090"/>
      <c r="AW39" s="1090"/>
      <c r="AX39" s="1090"/>
      <c r="AY39" s="1094">
        <f t="shared" si="24"/>
        <v>0</v>
      </c>
    </row>
    <row r="40" spans="1:51" s="831" customFormat="1" x14ac:dyDescent="0.25">
      <c r="A40" s="1108" t="s">
        <v>94</v>
      </c>
      <c r="B40" s="1108" t="s">
        <v>95</v>
      </c>
      <c r="C40" s="1053" t="s">
        <v>264</v>
      </c>
      <c r="D40" s="1379">
        <f t="shared" si="13"/>
        <v>-453.9</v>
      </c>
      <c r="E40" s="1379">
        <f t="shared" si="14"/>
        <v>137503.1</v>
      </c>
      <c r="F40" s="1379">
        <f t="shared" si="15"/>
        <v>34484.800000000003</v>
      </c>
      <c r="G40" s="1381">
        <f t="shared" si="16"/>
        <v>0</v>
      </c>
      <c r="H40" s="1384">
        <f t="shared" si="17"/>
        <v>34484.800000000003</v>
      </c>
      <c r="I40" s="1385">
        <f t="shared" si="5"/>
        <v>171534</v>
      </c>
      <c r="J40" s="1109">
        <v>0</v>
      </c>
      <c r="K40" s="1109">
        <v>137939.20000000001</v>
      </c>
      <c r="L40" s="1109">
        <v>34484.800000000003</v>
      </c>
      <c r="M40" s="1109">
        <v>0</v>
      </c>
      <c r="N40" s="1109">
        <v>0</v>
      </c>
      <c r="O40" s="1110">
        <f t="shared" si="18"/>
        <v>172424</v>
      </c>
      <c r="P40" s="1418">
        <v>-453.9</v>
      </c>
      <c r="Q40" s="1411">
        <v>-436.1</v>
      </c>
      <c r="R40" s="1411">
        <v>0</v>
      </c>
      <c r="S40" s="1411">
        <v>0</v>
      </c>
      <c r="T40" s="1411">
        <v>0</v>
      </c>
      <c r="U40" s="1417">
        <f t="shared" si="19"/>
        <v>-890</v>
      </c>
      <c r="V40" s="1411"/>
      <c r="W40" s="1411"/>
      <c r="X40" s="1411"/>
      <c r="Y40" s="1411"/>
      <c r="Z40" s="1411"/>
      <c r="AA40" s="1411">
        <f t="shared" si="20"/>
        <v>0</v>
      </c>
      <c r="AB40" s="1089"/>
      <c r="AC40" s="1090"/>
      <c r="AD40" s="1090"/>
      <c r="AE40" s="1090"/>
      <c r="AF40" s="1090"/>
      <c r="AG40" s="1091">
        <f t="shared" si="21"/>
        <v>0</v>
      </c>
      <c r="AH40" s="1089"/>
      <c r="AI40" s="1090"/>
      <c r="AJ40" s="1090"/>
      <c r="AK40" s="1090"/>
      <c r="AL40" s="1090"/>
      <c r="AM40" s="1094">
        <f t="shared" si="22"/>
        <v>0</v>
      </c>
      <c r="AN40" s="1089"/>
      <c r="AO40" s="1090"/>
      <c r="AP40" s="1090"/>
      <c r="AQ40" s="1090"/>
      <c r="AR40" s="1090"/>
      <c r="AS40" s="1094">
        <f t="shared" si="23"/>
        <v>0</v>
      </c>
      <c r="AT40" s="1089"/>
      <c r="AU40" s="1090"/>
      <c r="AV40" s="1090"/>
      <c r="AW40" s="1090"/>
      <c r="AX40" s="1090"/>
      <c r="AY40" s="1094">
        <f t="shared" si="24"/>
        <v>0</v>
      </c>
    </row>
    <row r="41" spans="1:51" s="831" customFormat="1" x14ac:dyDescent="0.25">
      <c r="A41" s="1108" t="s">
        <v>96</v>
      </c>
      <c r="B41" s="1108" t="s">
        <v>97</v>
      </c>
      <c r="C41" s="1053" t="s">
        <v>266</v>
      </c>
      <c r="D41" s="1379">
        <f t="shared" si="13"/>
        <v>0</v>
      </c>
      <c r="E41" s="1379">
        <f t="shared" si="14"/>
        <v>26925.599999999999</v>
      </c>
      <c r="F41" s="1379">
        <f t="shared" si="15"/>
        <v>6731.4</v>
      </c>
      <c r="G41" s="1381">
        <f t="shared" si="16"/>
        <v>205723.28</v>
      </c>
      <c r="H41" s="1384">
        <f t="shared" si="17"/>
        <v>212454.68</v>
      </c>
      <c r="I41" s="1385">
        <f t="shared" si="5"/>
        <v>239380.28</v>
      </c>
      <c r="J41" s="1109">
        <v>0</v>
      </c>
      <c r="K41" s="1109">
        <v>26925.599999999999</v>
      </c>
      <c r="L41" s="1109">
        <v>6731.4</v>
      </c>
      <c r="M41" s="1109">
        <v>0</v>
      </c>
      <c r="N41" s="1109">
        <v>0</v>
      </c>
      <c r="O41" s="1110">
        <f t="shared" si="18"/>
        <v>33657</v>
      </c>
      <c r="P41" s="1418"/>
      <c r="Q41" s="1411"/>
      <c r="R41" s="1411"/>
      <c r="S41" s="1411"/>
      <c r="T41" s="1411"/>
      <c r="U41" s="1417">
        <f t="shared" si="19"/>
        <v>0</v>
      </c>
      <c r="V41" s="1411"/>
      <c r="W41" s="1411"/>
      <c r="X41" s="1411"/>
      <c r="Y41" s="1411"/>
      <c r="Z41" s="1411"/>
      <c r="AA41" s="1411">
        <f t="shared" si="20"/>
        <v>0</v>
      </c>
      <c r="AB41" s="1092">
        <v>0</v>
      </c>
      <c r="AC41" s="1093">
        <v>0</v>
      </c>
      <c r="AD41" s="1093">
        <v>0</v>
      </c>
      <c r="AE41" s="1093">
        <v>205723.28</v>
      </c>
      <c r="AF41" s="1093">
        <v>0</v>
      </c>
      <c r="AG41" s="1091">
        <f t="shared" si="21"/>
        <v>205723.28</v>
      </c>
      <c r="AH41" s="1089"/>
      <c r="AI41" s="1090"/>
      <c r="AJ41" s="1090"/>
      <c r="AK41" s="1090"/>
      <c r="AL41" s="1090"/>
      <c r="AM41" s="1094">
        <f t="shared" si="22"/>
        <v>0</v>
      </c>
      <c r="AN41" s="1089"/>
      <c r="AO41" s="1090"/>
      <c r="AP41" s="1090"/>
      <c r="AQ41" s="1090"/>
      <c r="AR41" s="1090"/>
      <c r="AS41" s="1094">
        <f t="shared" si="23"/>
        <v>0</v>
      </c>
      <c r="AT41" s="1089"/>
      <c r="AU41" s="1090"/>
      <c r="AV41" s="1090"/>
      <c r="AW41" s="1090"/>
      <c r="AX41" s="1090"/>
      <c r="AY41" s="1094">
        <f t="shared" si="24"/>
        <v>0</v>
      </c>
    </row>
    <row r="42" spans="1:51" s="831" customFormat="1" x14ac:dyDescent="0.25">
      <c r="A42" s="1108" t="s">
        <v>98</v>
      </c>
      <c r="B42" s="1108" t="s">
        <v>99</v>
      </c>
      <c r="C42" s="1053" t="s">
        <v>268</v>
      </c>
      <c r="D42" s="1379">
        <f t="shared" si="13"/>
        <v>0</v>
      </c>
      <c r="E42" s="1379">
        <f t="shared" si="14"/>
        <v>142360</v>
      </c>
      <c r="F42" s="1379">
        <f t="shared" si="15"/>
        <v>35590</v>
      </c>
      <c r="G42" s="1381">
        <f t="shared" si="16"/>
        <v>0</v>
      </c>
      <c r="H42" s="1384">
        <f t="shared" si="17"/>
        <v>35590</v>
      </c>
      <c r="I42" s="1385">
        <f t="shared" si="5"/>
        <v>177950</v>
      </c>
      <c r="J42" s="1109">
        <v>0</v>
      </c>
      <c r="K42" s="1109">
        <v>142360</v>
      </c>
      <c r="L42" s="1109">
        <v>35590</v>
      </c>
      <c r="M42" s="1109">
        <v>0</v>
      </c>
      <c r="N42" s="1109">
        <v>0</v>
      </c>
      <c r="O42" s="1110">
        <f t="shared" si="18"/>
        <v>177950</v>
      </c>
      <c r="P42" s="1418"/>
      <c r="Q42" s="1411"/>
      <c r="R42" s="1411"/>
      <c r="S42" s="1411"/>
      <c r="T42" s="1411"/>
      <c r="U42" s="1417">
        <f t="shared" si="19"/>
        <v>0</v>
      </c>
      <c r="V42" s="1411"/>
      <c r="W42" s="1411"/>
      <c r="X42" s="1411"/>
      <c r="Y42" s="1411"/>
      <c r="Z42" s="1411"/>
      <c r="AA42" s="1411">
        <f t="shared" si="20"/>
        <v>0</v>
      </c>
      <c r="AB42" s="1089"/>
      <c r="AC42" s="1090"/>
      <c r="AD42" s="1090"/>
      <c r="AE42" s="1090"/>
      <c r="AF42" s="1090"/>
      <c r="AG42" s="1091">
        <f t="shared" si="21"/>
        <v>0</v>
      </c>
      <c r="AH42" s="1089"/>
      <c r="AI42" s="1090"/>
      <c r="AJ42" s="1090"/>
      <c r="AK42" s="1090"/>
      <c r="AL42" s="1090"/>
      <c r="AM42" s="1094">
        <f t="shared" si="22"/>
        <v>0</v>
      </c>
      <c r="AN42" s="1089"/>
      <c r="AO42" s="1090"/>
      <c r="AP42" s="1090"/>
      <c r="AQ42" s="1090"/>
      <c r="AR42" s="1090"/>
      <c r="AS42" s="1094">
        <f t="shared" si="23"/>
        <v>0</v>
      </c>
      <c r="AT42" s="1089"/>
      <c r="AU42" s="1090"/>
      <c r="AV42" s="1090"/>
      <c r="AW42" s="1090"/>
      <c r="AX42" s="1090"/>
      <c r="AY42" s="1094">
        <f t="shared" si="24"/>
        <v>0</v>
      </c>
    </row>
    <row r="43" spans="1:51" s="831" customFormat="1" x14ac:dyDescent="0.25">
      <c r="A43" s="1108" t="s">
        <v>100</v>
      </c>
      <c r="B43" s="1108" t="s">
        <v>101</v>
      </c>
      <c r="C43" s="1053" t="s">
        <v>267</v>
      </c>
      <c r="D43" s="1379">
        <f t="shared" si="13"/>
        <v>0</v>
      </c>
      <c r="E43" s="1379">
        <f t="shared" si="14"/>
        <v>15222.4</v>
      </c>
      <c r="F43" s="1379">
        <f t="shared" si="15"/>
        <v>3810.6</v>
      </c>
      <c r="G43" s="1381">
        <f t="shared" si="16"/>
        <v>0</v>
      </c>
      <c r="H43" s="1384">
        <f t="shared" si="17"/>
        <v>3810.6</v>
      </c>
      <c r="I43" s="1385">
        <f t="shared" si="5"/>
        <v>19033</v>
      </c>
      <c r="J43" s="1109">
        <v>0</v>
      </c>
      <c r="K43" s="1109">
        <v>15242.4</v>
      </c>
      <c r="L43" s="1109">
        <v>3810.6</v>
      </c>
      <c r="M43" s="1109">
        <v>0</v>
      </c>
      <c r="N43" s="1109">
        <v>0</v>
      </c>
      <c r="O43" s="1110">
        <f t="shared" si="18"/>
        <v>19053</v>
      </c>
      <c r="P43" s="1418"/>
      <c r="Q43" s="1411"/>
      <c r="R43" s="1411"/>
      <c r="S43" s="1411"/>
      <c r="T43" s="1411"/>
      <c r="U43" s="1417">
        <f t="shared" si="19"/>
        <v>0</v>
      </c>
      <c r="V43" s="1411"/>
      <c r="W43" s="1411"/>
      <c r="X43" s="1411"/>
      <c r="Y43" s="1411"/>
      <c r="Z43" s="1411"/>
      <c r="AA43" s="1411">
        <f t="shared" si="20"/>
        <v>0</v>
      </c>
      <c r="AB43" s="1089"/>
      <c r="AC43" s="1090"/>
      <c r="AD43" s="1090"/>
      <c r="AE43" s="1090"/>
      <c r="AF43" s="1090"/>
      <c r="AG43" s="1091">
        <f t="shared" si="21"/>
        <v>0</v>
      </c>
      <c r="AH43" s="1089"/>
      <c r="AI43" s="1090"/>
      <c r="AJ43" s="1090"/>
      <c r="AK43" s="1090"/>
      <c r="AL43" s="1090"/>
      <c r="AM43" s="1094">
        <f t="shared" si="22"/>
        <v>0</v>
      </c>
      <c r="AN43" s="1089">
        <v>0</v>
      </c>
      <c r="AO43" s="1090">
        <v>-20</v>
      </c>
      <c r="AP43" s="1090">
        <v>0</v>
      </c>
      <c r="AQ43" s="1090">
        <v>0</v>
      </c>
      <c r="AR43" s="1090">
        <v>0</v>
      </c>
      <c r="AS43" s="1094">
        <f t="shared" si="23"/>
        <v>-20</v>
      </c>
      <c r="AT43" s="1089"/>
      <c r="AU43" s="1090"/>
      <c r="AV43" s="1090"/>
      <c r="AW43" s="1090"/>
      <c r="AX43" s="1090"/>
      <c r="AY43" s="1094">
        <f t="shared" si="24"/>
        <v>0</v>
      </c>
    </row>
    <row r="44" spans="1:51" s="831" customFormat="1" x14ac:dyDescent="0.25">
      <c r="A44" s="1108" t="s">
        <v>102</v>
      </c>
      <c r="B44" s="1108" t="s">
        <v>103</v>
      </c>
      <c r="C44" s="1053" t="s">
        <v>264</v>
      </c>
      <c r="D44" s="1379">
        <f t="shared" si="13"/>
        <v>0</v>
      </c>
      <c r="E44" s="1379">
        <f t="shared" si="14"/>
        <v>42530.400000000001</v>
      </c>
      <c r="F44" s="1379">
        <f t="shared" si="15"/>
        <v>10632.6</v>
      </c>
      <c r="G44" s="1381">
        <f t="shared" si="16"/>
        <v>0</v>
      </c>
      <c r="H44" s="1384">
        <f t="shared" si="17"/>
        <v>10632.6</v>
      </c>
      <c r="I44" s="1385">
        <f t="shared" si="5"/>
        <v>53163</v>
      </c>
      <c r="J44" s="1109">
        <v>0</v>
      </c>
      <c r="K44" s="1109">
        <v>42530.400000000001</v>
      </c>
      <c r="L44" s="1109">
        <v>10632.6</v>
      </c>
      <c r="M44" s="1109">
        <v>0</v>
      </c>
      <c r="N44" s="1109">
        <v>0</v>
      </c>
      <c r="O44" s="1110">
        <f t="shared" si="18"/>
        <v>53163</v>
      </c>
      <c r="P44" s="1418"/>
      <c r="Q44" s="1411"/>
      <c r="R44" s="1411"/>
      <c r="S44" s="1411"/>
      <c r="T44" s="1411"/>
      <c r="U44" s="1417">
        <f t="shared" si="19"/>
        <v>0</v>
      </c>
      <c r="V44" s="1411"/>
      <c r="W44" s="1411"/>
      <c r="X44" s="1411"/>
      <c r="Y44" s="1411"/>
      <c r="Z44" s="1411"/>
      <c r="AA44" s="1411">
        <f t="shared" si="20"/>
        <v>0</v>
      </c>
      <c r="AB44" s="1089"/>
      <c r="AC44" s="1090"/>
      <c r="AD44" s="1090"/>
      <c r="AE44" s="1090"/>
      <c r="AF44" s="1090"/>
      <c r="AG44" s="1091">
        <f t="shared" si="21"/>
        <v>0</v>
      </c>
      <c r="AH44" s="1089"/>
      <c r="AI44" s="1090"/>
      <c r="AJ44" s="1090"/>
      <c r="AK44" s="1090"/>
      <c r="AL44" s="1090"/>
      <c r="AM44" s="1094">
        <f t="shared" si="22"/>
        <v>0</v>
      </c>
      <c r="AN44" s="1089"/>
      <c r="AO44" s="1090"/>
      <c r="AP44" s="1090"/>
      <c r="AQ44" s="1090"/>
      <c r="AR44" s="1090"/>
      <c r="AS44" s="1094">
        <f t="shared" si="23"/>
        <v>0</v>
      </c>
      <c r="AT44" s="1089"/>
      <c r="AU44" s="1090"/>
      <c r="AV44" s="1090"/>
      <c r="AW44" s="1090"/>
      <c r="AX44" s="1090"/>
      <c r="AY44" s="1094">
        <f t="shared" si="24"/>
        <v>0</v>
      </c>
    </row>
    <row r="45" spans="1:51" s="831" customFormat="1" x14ac:dyDescent="0.25">
      <c r="A45" s="1108" t="s">
        <v>104</v>
      </c>
      <c r="B45" s="1108" t="s">
        <v>309</v>
      </c>
      <c r="C45" s="1053" t="s">
        <v>265</v>
      </c>
      <c r="D45" s="1379">
        <f t="shared" si="13"/>
        <v>-954.06</v>
      </c>
      <c r="E45" s="1379">
        <f t="shared" si="14"/>
        <v>164924.11000000002</v>
      </c>
      <c r="F45" s="1379">
        <f t="shared" si="15"/>
        <v>41489.800000000003</v>
      </c>
      <c r="G45" s="1381">
        <f t="shared" si="16"/>
        <v>0.02</v>
      </c>
      <c r="H45" s="1384">
        <f t="shared" si="17"/>
        <v>41489.82</v>
      </c>
      <c r="I45" s="1385">
        <f t="shared" si="5"/>
        <v>205459.87000000002</v>
      </c>
      <c r="J45" s="1109">
        <v>0</v>
      </c>
      <c r="K45" s="1109">
        <v>165959.20000000001</v>
      </c>
      <c r="L45" s="1109">
        <v>41489.800000000003</v>
      </c>
      <c r="M45" s="1109">
        <v>0</v>
      </c>
      <c r="N45" s="1109">
        <v>0</v>
      </c>
      <c r="O45" s="1110">
        <f t="shared" si="18"/>
        <v>207449</v>
      </c>
      <c r="P45" s="1418">
        <v>-954.06</v>
      </c>
      <c r="Q45" s="1411">
        <v>-916.65</v>
      </c>
      <c r="R45" s="1411">
        <v>0</v>
      </c>
      <c r="S45" s="1411">
        <v>0.02</v>
      </c>
      <c r="T45" s="1411">
        <v>0</v>
      </c>
      <c r="U45" s="1417">
        <f t="shared" si="19"/>
        <v>-1870.69</v>
      </c>
      <c r="V45" s="1411"/>
      <c r="W45" s="1411"/>
      <c r="X45" s="1411"/>
      <c r="Y45" s="1411"/>
      <c r="Z45" s="1411"/>
      <c r="AA45" s="1411">
        <f t="shared" si="20"/>
        <v>0</v>
      </c>
      <c r="AB45" s="1089"/>
      <c r="AC45" s="1090"/>
      <c r="AD45" s="1090"/>
      <c r="AE45" s="1090"/>
      <c r="AF45" s="1090"/>
      <c r="AG45" s="1091">
        <f t="shared" si="21"/>
        <v>0</v>
      </c>
      <c r="AH45" s="1089"/>
      <c r="AI45" s="1090"/>
      <c r="AJ45" s="1090"/>
      <c r="AK45" s="1090"/>
      <c r="AL45" s="1090"/>
      <c r="AM45" s="1094">
        <f t="shared" si="22"/>
        <v>0</v>
      </c>
      <c r="AN45" s="1089">
        <v>0</v>
      </c>
      <c r="AO45" s="1090">
        <v>-118.44</v>
      </c>
      <c r="AP45" s="1090">
        <v>0</v>
      </c>
      <c r="AQ45" s="1090">
        <v>0</v>
      </c>
      <c r="AR45" s="1090">
        <v>0</v>
      </c>
      <c r="AS45" s="1094">
        <f t="shared" si="23"/>
        <v>-118.44</v>
      </c>
      <c r="AT45" s="1089"/>
      <c r="AU45" s="1090"/>
      <c r="AV45" s="1090"/>
      <c r="AW45" s="1090"/>
      <c r="AX45" s="1090"/>
      <c r="AY45" s="1094">
        <f t="shared" si="24"/>
        <v>0</v>
      </c>
    </row>
    <row r="46" spans="1:51" s="831" customFormat="1" x14ac:dyDescent="0.25">
      <c r="A46" s="1108" t="s">
        <v>108</v>
      </c>
      <c r="B46" s="1108" t="s">
        <v>109</v>
      </c>
      <c r="C46" s="1053" t="s">
        <v>266</v>
      </c>
      <c r="D46" s="1379">
        <f t="shared" si="13"/>
        <v>0</v>
      </c>
      <c r="E46" s="1379">
        <f t="shared" si="14"/>
        <v>77777.8</v>
      </c>
      <c r="F46" s="1379">
        <f t="shared" si="15"/>
        <v>19513.2</v>
      </c>
      <c r="G46" s="1381">
        <f t="shared" si="16"/>
        <v>-432</v>
      </c>
      <c r="H46" s="1384">
        <f t="shared" si="17"/>
        <v>19081.2</v>
      </c>
      <c r="I46" s="1385">
        <f t="shared" si="5"/>
        <v>96859</v>
      </c>
      <c r="J46" s="1109">
        <v>0</v>
      </c>
      <c r="K46" s="1109">
        <v>78052.800000000003</v>
      </c>
      <c r="L46" s="1109">
        <v>19513.2</v>
      </c>
      <c r="M46" s="1109">
        <v>0</v>
      </c>
      <c r="N46" s="1109">
        <v>0</v>
      </c>
      <c r="O46" s="1110">
        <f t="shared" si="18"/>
        <v>97566</v>
      </c>
      <c r="P46" s="1418">
        <v>0</v>
      </c>
      <c r="Q46" s="1411">
        <v>0</v>
      </c>
      <c r="R46" s="1411">
        <v>0</v>
      </c>
      <c r="S46" s="1411">
        <v>-432</v>
      </c>
      <c r="T46" s="1411">
        <v>0</v>
      </c>
      <c r="U46" s="1417">
        <f t="shared" si="19"/>
        <v>-432</v>
      </c>
      <c r="V46" s="1411"/>
      <c r="W46" s="1411"/>
      <c r="X46" s="1411"/>
      <c r="Y46" s="1411"/>
      <c r="Z46" s="1411"/>
      <c r="AA46" s="1411">
        <f t="shared" si="20"/>
        <v>0</v>
      </c>
      <c r="AB46" s="1089"/>
      <c r="AC46" s="1090"/>
      <c r="AD46" s="1090"/>
      <c r="AE46" s="1090"/>
      <c r="AF46" s="1090"/>
      <c r="AG46" s="1091">
        <f t="shared" si="21"/>
        <v>0</v>
      </c>
      <c r="AH46" s="1089"/>
      <c r="AI46" s="1090"/>
      <c r="AJ46" s="1090"/>
      <c r="AK46" s="1090"/>
      <c r="AL46" s="1090"/>
      <c r="AM46" s="1094">
        <f t="shared" si="22"/>
        <v>0</v>
      </c>
      <c r="AN46" s="1089">
        <v>0</v>
      </c>
      <c r="AO46" s="1090">
        <v>-275</v>
      </c>
      <c r="AP46" s="1090">
        <v>0</v>
      </c>
      <c r="AQ46" s="1090">
        <v>0</v>
      </c>
      <c r="AR46" s="1090">
        <v>0</v>
      </c>
      <c r="AS46" s="1094">
        <f t="shared" si="23"/>
        <v>-275</v>
      </c>
      <c r="AT46" s="1089"/>
      <c r="AU46" s="1090"/>
      <c r="AV46" s="1090"/>
      <c r="AW46" s="1090"/>
      <c r="AX46" s="1090"/>
      <c r="AY46" s="1094">
        <f t="shared" si="24"/>
        <v>0</v>
      </c>
    </row>
    <row r="47" spans="1:51" s="831" customFormat="1" x14ac:dyDescent="0.25">
      <c r="A47" s="1108" t="s">
        <v>110</v>
      </c>
      <c r="B47" s="1108" t="s">
        <v>111</v>
      </c>
      <c r="C47" s="1053" t="s">
        <v>266</v>
      </c>
      <c r="D47" s="1379">
        <f t="shared" si="13"/>
        <v>789465.86</v>
      </c>
      <c r="E47" s="1379">
        <f t="shared" si="14"/>
        <v>662431.80999999994</v>
      </c>
      <c r="F47" s="1379">
        <f t="shared" si="15"/>
        <v>189409.69999999998</v>
      </c>
      <c r="G47" s="1381">
        <f t="shared" si="16"/>
        <v>-0.05</v>
      </c>
      <c r="H47" s="1384">
        <f t="shared" si="17"/>
        <v>189409.65</v>
      </c>
      <c r="I47" s="1385">
        <f t="shared" si="5"/>
        <v>1641307.3199999998</v>
      </c>
      <c r="J47" s="1109">
        <v>0</v>
      </c>
      <c r="K47" s="1109">
        <v>597419.19999999995</v>
      </c>
      <c r="L47" s="1109">
        <v>149354.79999999999</v>
      </c>
      <c r="M47" s="1109">
        <v>0</v>
      </c>
      <c r="N47" s="1109">
        <v>0</v>
      </c>
      <c r="O47" s="1110">
        <f t="shared" si="18"/>
        <v>746774</v>
      </c>
      <c r="P47" s="1418">
        <v>-1369.23</v>
      </c>
      <c r="Q47" s="1411">
        <v>-1315.54</v>
      </c>
      <c r="R47" s="1411">
        <v>0</v>
      </c>
      <c r="S47" s="1411">
        <v>0</v>
      </c>
      <c r="T47" s="1411">
        <v>0</v>
      </c>
      <c r="U47" s="1417">
        <f t="shared" si="19"/>
        <v>-2684.77</v>
      </c>
      <c r="V47" s="1411"/>
      <c r="W47" s="1411"/>
      <c r="X47" s="1411"/>
      <c r="Y47" s="1411"/>
      <c r="Z47" s="1411"/>
      <c r="AA47" s="1411">
        <f t="shared" si="20"/>
        <v>0</v>
      </c>
      <c r="AB47" s="1092">
        <v>0</v>
      </c>
      <c r="AC47" s="1093">
        <v>66758.149999999994</v>
      </c>
      <c r="AD47" s="1093">
        <v>40054.9</v>
      </c>
      <c r="AE47" s="1093">
        <v>-0.05</v>
      </c>
      <c r="AF47" s="1093">
        <v>0</v>
      </c>
      <c r="AG47" s="1091">
        <f t="shared" si="21"/>
        <v>106812.99999999999</v>
      </c>
      <c r="AH47" s="1092">
        <v>36250</v>
      </c>
      <c r="AI47" s="1093">
        <v>0</v>
      </c>
      <c r="AJ47" s="1093">
        <v>0</v>
      </c>
      <c r="AK47" s="1093">
        <v>0</v>
      </c>
      <c r="AL47" s="1093">
        <v>0</v>
      </c>
      <c r="AM47" s="1094">
        <f t="shared" si="22"/>
        <v>36250</v>
      </c>
      <c r="AN47" s="1092">
        <v>0</v>
      </c>
      <c r="AO47" s="1093">
        <v>-430</v>
      </c>
      <c r="AP47" s="1093">
        <v>0</v>
      </c>
      <c r="AQ47" s="1093">
        <v>0</v>
      </c>
      <c r="AR47" s="1093">
        <v>0</v>
      </c>
      <c r="AS47" s="1094">
        <f t="shared" si="23"/>
        <v>-430</v>
      </c>
      <c r="AT47" s="1092">
        <v>754585.09</v>
      </c>
      <c r="AU47" s="1093">
        <v>0</v>
      </c>
      <c r="AV47" s="1093">
        <v>0</v>
      </c>
      <c r="AW47" s="1093">
        <v>0</v>
      </c>
      <c r="AX47" s="1093">
        <v>0</v>
      </c>
      <c r="AY47" s="1094">
        <f t="shared" si="24"/>
        <v>754585.09</v>
      </c>
    </row>
    <row r="48" spans="1:51" s="831" customFormat="1" x14ac:dyDescent="0.25">
      <c r="A48" s="1108" t="s">
        <v>112</v>
      </c>
      <c r="B48" s="1108" t="s">
        <v>300</v>
      </c>
      <c r="C48" s="1053" t="s">
        <v>265</v>
      </c>
      <c r="D48" s="1379">
        <f t="shared" si="13"/>
        <v>-284.07</v>
      </c>
      <c r="E48" s="1379">
        <f t="shared" si="14"/>
        <v>242159.87</v>
      </c>
      <c r="F48" s="1379">
        <f t="shared" si="15"/>
        <v>60608.2</v>
      </c>
      <c r="G48" s="1381">
        <f t="shared" si="16"/>
        <v>0</v>
      </c>
      <c r="H48" s="1384">
        <f t="shared" si="17"/>
        <v>60608.2</v>
      </c>
      <c r="I48" s="1385">
        <f t="shared" si="5"/>
        <v>302484</v>
      </c>
      <c r="J48" s="1109">
        <v>0</v>
      </c>
      <c r="K48" s="1109">
        <v>242432.8</v>
      </c>
      <c r="L48" s="1109">
        <v>60608.2</v>
      </c>
      <c r="M48" s="1109">
        <v>0</v>
      </c>
      <c r="N48" s="1109">
        <v>0</v>
      </c>
      <c r="O48" s="1110">
        <f t="shared" si="18"/>
        <v>303041</v>
      </c>
      <c r="P48" s="1418">
        <v>-284.07</v>
      </c>
      <c r="Q48" s="1411">
        <v>-272.93</v>
      </c>
      <c r="R48" s="1411">
        <v>0</v>
      </c>
      <c r="S48" s="1411">
        <v>0</v>
      </c>
      <c r="T48" s="1411">
        <v>0</v>
      </c>
      <c r="U48" s="1417">
        <f t="shared" si="19"/>
        <v>-557</v>
      </c>
      <c r="V48" s="1411"/>
      <c r="W48" s="1411"/>
      <c r="X48" s="1411"/>
      <c r="Y48" s="1411"/>
      <c r="Z48" s="1411"/>
      <c r="AA48" s="1411">
        <f t="shared" si="20"/>
        <v>0</v>
      </c>
      <c r="AB48" s="1089"/>
      <c r="AC48" s="1090"/>
      <c r="AD48" s="1090"/>
      <c r="AE48" s="1090"/>
      <c r="AF48" s="1090"/>
      <c r="AG48" s="1091">
        <f t="shared" si="21"/>
        <v>0</v>
      </c>
      <c r="AH48" s="1089"/>
      <c r="AI48" s="1090"/>
      <c r="AJ48" s="1090"/>
      <c r="AK48" s="1090"/>
      <c r="AL48" s="1090"/>
      <c r="AM48" s="1094">
        <f t="shared" si="22"/>
        <v>0</v>
      </c>
      <c r="AN48" s="1089"/>
      <c r="AO48" s="1090"/>
      <c r="AP48" s="1090"/>
      <c r="AQ48" s="1090"/>
      <c r="AR48" s="1090"/>
      <c r="AS48" s="1094">
        <f t="shared" si="23"/>
        <v>0</v>
      </c>
      <c r="AT48" s="1089"/>
      <c r="AU48" s="1090"/>
      <c r="AV48" s="1090"/>
      <c r="AW48" s="1090"/>
      <c r="AX48" s="1090"/>
      <c r="AY48" s="1094">
        <f t="shared" si="24"/>
        <v>0</v>
      </c>
    </row>
    <row r="49" spans="1:51" s="831" customFormat="1" x14ac:dyDescent="0.25">
      <c r="A49" s="1108" t="s">
        <v>114</v>
      </c>
      <c r="B49" s="1108" t="s">
        <v>115</v>
      </c>
      <c r="C49" s="1053" t="s">
        <v>265</v>
      </c>
      <c r="D49" s="1379">
        <f t="shared" si="13"/>
        <v>0</v>
      </c>
      <c r="E49" s="1379">
        <f t="shared" si="14"/>
        <v>11699.2</v>
      </c>
      <c r="F49" s="1379">
        <f t="shared" si="15"/>
        <v>2924.8</v>
      </c>
      <c r="G49" s="1381">
        <f t="shared" si="16"/>
        <v>0</v>
      </c>
      <c r="H49" s="1384">
        <f t="shared" si="17"/>
        <v>2924.8</v>
      </c>
      <c r="I49" s="1385">
        <f t="shared" si="5"/>
        <v>14624</v>
      </c>
      <c r="J49" s="1109">
        <v>0</v>
      </c>
      <c r="K49" s="1109">
        <v>11699.2</v>
      </c>
      <c r="L49" s="1109">
        <v>2924.8</v>
      </c>
      <c r="M49" s="1109">
        <v>0</v>
      </c>
      <c r="N49" s="1109">
        <v>0</v>
      </c>
      <c r="O49" s="1110">
        <f t="shared" si="18"/>
        <v>14624</v>
      </c>
      <c r="P49" s="1418"/>
      <c r="Q49" s="1411"/>
      <c r="R49" s="1411"/>
      <c r="S49" s="1411"/>
      <c r="T49" s="1411"/>
      <c r="U49" s="1417">
        <f t="shared" si="19"/>
        <v>0</v>
      </c>
      <c r="V49" s="1411"/>
      <c r="W49" s="1411"/>
      <c r="X49" s="1411"/>
      <c r="Y49" s="1411"/>
      <c r="Z49" s="1411"/>
      <c r="AA49" s="1411">
        <f t="shared" si="20"/>
        <v>0</v>
      </c>
      <c r="AB49" s="1089"/>
      <c r="AC49" s="1090"/>
      <c r="AD49" s="1090"/>
      <c r="AE49" s="1090"/>
      <c r="AF49" s="1090"/>
      <c r="AG49" s="1091">
        <f t="shared" si="21"/>
        <v>0</v>
      </c>
      <c r="AH49" s="1089"/>
      <c r="AI49" s="1090"/>
      <c r="AJ49" s="1090"/>
      <c r="AK49" s="1090"/>
      <c r="AL49" s="1090"/>
      <c r="AM49" s="1094">
        <f t="shared" si="22"/>
        <v>0</v>
      </c>
      <c r="AN49" s="1089"/>
      <c r="AO49" s="1090"/>
      <c r="AP49" s="1090"/>
      <c r="AQ49" s="1090"/>
      <c r="AR49" s="1090"/>
      <c r="AS49" s="1094">
        <f t="shared" si="23"/>
        <v>0</v>
      </c>
      <c r="AT49" s="1089"/>
      <c r="AU49" s="1090"/>
      <c r="AV49" s="1090"/>
      <c r="AW49" s="1090"/>
      <c r="AX49" s="1090"/>
      <c r="AY49" s="1094">
        <f t="shared" si="24"/>
        <v>0</v>
      </c>
    </row>
    <row r="50" spans="1:51" s="831" customFormat="1" x14ac:dyDescent="0.25">
      <c r="A50" s="1108" t="s">
        <v>118</v>
      </c>
      <c r="B50" s="1108" t="s">
        <v>119</v>
      </c>
      <c r="C50" s="1053" t="s">
        <v>264</v>
      </c>
      <c r="D50" s="1379">
        <f t="shared" si="13"/>
        <v>-419.66</v>
      </c>
      <c r="E50" s="1379">
        <f t="shared" si="14"/>
        <v>65457.22</v>
      </c>
      <c r="F50" s="1379">
        <f t="shared" si="15"/>
        <v>17469.599999999999</v>
      </c>
      <c r="G50" s="1381">
        <f t="shared" si="16"/>
        <v>-213</v>
      </c>
      <c r="H50" s="1384">
        <f t="shared" si="17"/>
        <v>17256.599999999999</v>
      </c>
      <c r="I50" s="1385">
        <f t="shared" si="5"/>
        <v>82294.16</v>
      </c>
      <c r="J50" s="1109">
        <v>0</v>
      </c>
      <c r="K50" s="1109">
        <v>62990.400000000001</v>
      </c>
      <c r="L50" s="1109">
        <v>15747.6</v>
      </c>
      <c r="M50" s="1109">
        <v>0</v>
      </c>
      <c r="N50" s="1109">
        <v>0</v>
      </c>
      <c r="O50" s="1110">
        <f t="shared" si="18"/>
        <v>78738</v>
      </c>
      <c r="P50" s="1418">
        <v>-419.66</v>
      </c>
      <c r="Q50" s="1411">
        <v>-403.18</v>
      </c>
      <c r="R50" s="1411">
        <v>0</v>
      </c>
      <c r="S50" s="1411">
        <v>-213</v>
      </c>
      <c r="T50" s="1411">
        <v>0</v>
      </c>
      <c r="U50" s="1417">
        <f t="shared" si="19"/>
        <v>-1035.8400000000001</v>
      </c>
      <c r="V50" s="1411"/>
      <c r="W50" s="1411"/>
      <c r="X50" s="1411"/>
      <c r="Y50" s="1411"/>
      <c r="Z50" s="1411"/>
      <c r="AA50" s="1411">
        <f t="shared" si="20"/>
        <v>0</v>
      </c>
      <c r="AB50" s="1092">
        <v>0</v>
      </c>
      <c r="AC50" s="1093">
        <v>2870</v>
      </c>
      <c r="AD50" s="1093">
        <v>1722</v>
      </c>
      <c r="AE50" s="1093">
        <v>0</v>
      </c>
      <c r="AF50" s="1093">
        <v>0</v>
      </c>
      <c r="AG50" s="1091">
        <f t="shared" si="21"/>
        <v>4592</v>
      </c>
      <c r="AH50" s="1089"/>
      <c r="AI50" s="1090"/>
      <c r="AJ50" s="1090"/>
      <c r="AK50" s="1090"/>
      <c r="AL50" s="1090"/>
      <c r="AM50" s="1094">
        <f t="shared" si="22"/>
        <v>0</v>
      </c>
      <c r="AN50" s="1089"/>
      <c r="AO50" s="1090"/>
      <c r="AP50" s="1090"/>
      <c r="AQ50" s="1090"/>
      <c r="AR50" s="1090"/>
      <c r="AS50" s="1094">
        <f t="shared" si="23"/>
        <v>0</v>
      </c>
      <c r="AT50" s="1089"/>
      <c r="AU50" s="1090"/>
      <c r="AV50" s="1090"/>
      <c r="AW50" s="1090"/>
      <c r="AX50" s="1090"/>
      <c r="AY50" s="1094">
        <f t="shared" si="24"/>
        <v>0</v>
      </c>
    </row>
    <row r="51" spans="1:51" s="831" customFormat="1" x14ac:dyDescent="0.25">
      <c r="A51" s="1108" t="s">
        <v>120</v>
      </c>
      <c r="B51" s="1108" t="s">
        <v>121</v>
      </c>
      <c r="C51" s="1053" t="s">
        <v>264</v>
      </c>
      <c r="D51" s="1379">
        <f t="shared" si="13"/>
        <v>-79.56</v>
      </c>
      <c r="E51" s="1379">
        <f t="shared" si="14"/>
        <v>103280.9</v>
      </c>
      <c r="F51" s="1379">
        <f t="shared" si="15"/>
        <v>27523.74</v>
      </c>
      <c r="G51" s="1381">
        <f t="shared" si="16"/>
        <v>763.92</v>
      </c>
      <c r="H51" s="1384">
        <f t="shared" si="17"/>
        <v>28287.66</v>
      </c>
      <c r="I51" s="1385">
        <f t="shared" si="5"/>
        <v>131489</v>
      </c>
      <c r="J51" s="1109">
        <v>0</v>
      </c>
      <c r="K51" s="1109">
        <v>98544.8</v>
      </c>
      <c r="L51" s="1109">
        <v>24636.2</v>
      </c>
      <c r="M51" s="1109">
        <v>0</v>
      </c>
      <c r="N51" s="1109">
        <v>0</v>
      </c>
      <c r="O51" s="1110">
        <f t="shared" si="18"/>
        <v>123181</v>
      </c>
      <c r="P51" s="1418">
        <v>-79.56</v>
      </c>
      <c r="Q51" s="1411">
        <v>-76.44</v>
      </c>
      <c r="R51" s="1411">
        <v>0</v>
      </c>
      <c r="S51" s="1411">
        <v>0</v>
      </c>
      <c r="T51" s="1411">
        <v>0</v>
      </c>
      <c r="U51" s="1417">
        <f t="shared" si="19"/>
        <v>-156</v>
      </c>
      <c r="V51" s="1411"/>
      <c r="W51" s="1411"/>
      <c r="X51" s="1411"/>
      <c r="Y51" s="1411"/>
      <c r="Z51" s="1411"/>
      <c r="AA51" s="1411">
        <f t="shared" si="20"/>
        <v>0</v>
      </c>
      <c r="AB51" s="1092">
        <v>0</v>
      </c>
      <c r="AC51" s="1093">
        <v>4812.54</v>
      </c>
      <c r="AD51" s="1093">
        <v>2887.54</v>
      </c>
      <c r="AE51" s="1093">
        <v>763.92</v>
      </c>
      <c r="AF51" s="1093">
        <v>0</v>
      </c>
      <c r="AG51" s="1091">
        <f t="shared" si="21"/>
        <v>8464</v>
      </c>
      <c r="AH51" s="1089"/>
      <c r="AI51" s="1090"/>
      <c r="AJ51" s="1090"/>
      <c r="AK51" s="1090"/>
      <c r="AL51" s="1090"/>
      <c r="AM51" s="1094">
        <f t="shared" si="22"/>
        <v>0</v>
      </c>
      <c r="AN51" s="1089"/>
      <c r="AO51" s="1090"/>
      <c r="AP51" s="1090"/>
      <c r="AQ51" s="1090"/>
      <c r="AR51" s="1090"/>
      <c r="AS51" s="1094">
        <f t="shared" si="23"/>
        <v>0</v>
      </c>
      <c r="AT51" s="1089"/>
      <c r="AU51" s="1090"/>
      <c r="AV51" s="1090"/>
      <c r="AW51" s="1090"/>
      <c r="AX51" s="1090"/>
      <c r="AY51" s="1094">
        <f t="shared" si="24"/>
        <v>0</v>
      </c>
    </row>
    <row r="52" spans="1:51" s="831" customFormat="1" x14ac:dyDescent="0.25">
      <c r="A52" s="1108" t="s">
        <v>122</v>
      </c>
      <c r="B52" s="1108" t="s">
        <v>271</v>
      </c>
      <c r="C52" s="1053" t="s">
        <v>266</v>
      </c>
      <c r="D52" s="1379">
        <f t="shared" si="13"/>
        <v>0</v>
      </c>
      <c r="E52" s="1379">
        <f t="shared" si="14"/>
        <v>10905.6</v>
      </c>
      <c r="F52" s="1379">
        <f t="shared" si="15"/>
        <v>2726.4</v>
      </c>
      <c r="G52" s="1381">
        <f t="shared" si="16"/>
        <v>374.65999999999997</v>
      </c>
      <c r="H52" s="1384">
        <f t="shared" si="17"/>
        <v>3101.06</v>
      </c>
      <c r="I52" s="1385">
        <f t="shared" si="5"/>
        <v>14006.66</v>
      </c>
      <c r="J52" s="1109">
        <v>0</v>
      </c>
      <c r="K52" s="1109">
        <v>10905.6</v>
      </c>
      <c r="L52" s="1109">
        <v>2726.4</v>
      </c>
      <c r="M52" s="1109">
        <v>0</v>
      </c>
      <c r="N52" s="1109">
        <v>0</v>
      </c>
      <c r="O52" s="1110">
        <f t="shared" si="18"/>
        <v>13632</v>
      </c>
      <c r="P52" s="1418">
        <v>0</v>
      </c>
      <c r="Q52" s="1411">
        <v>0</v>
      </c>
      <c r="R52" s="1411">
        <v>0</v>
      </c>
      <c r="S52" s="1411">
        <v>144</v>
      </c>
      <c r="T52" s="1411">
        <v>0</v>
      </c>
      <c r="U52" s="1417">
        <f t="shared" si="19"/>
        <v>144</v>
      </c>
      <c r="V52" s="1411"/>
      <c r="W52" s="1411"/>
      <c r="X52" s="1411"/>
      <c r="Y52" s="1411"/>
      <c r="Z52" s="1411"/>
      <c r="AA52" s="1411">
        <f t="shared" si="20"/>
        <v>0</v>
      </c>
      <c r="AB52" s="1092">
        <v>0</v>
      </c>
      <c r="AC52" s="1093">
        <v>0</v>
      </c>
      <c r="AD52" s="1093">
        <v>0</v>
      </c>
      <c r="AE52" s="1093">
        <v>230.66</v>
      </c>
      <c r="AF52" s="1093">
        <v>0</v>
      </c>
      <c r="AG52" s="1091">
        <f t="shared" si="21"/>
        <v>230.66</v>
      </c>
      <c r="AH52" s="1089"/>
      <c r="AI52" s="1090"/>
      <c r="AJ52" s="1090"/>
      <c r="AK52" s="1090"/>
      <c r="AL52" s="1090"/>
      <c r="AM52" s="1094">
        <f t="shared" si="22"/>
        <v>0</v>
      </c>
      <c r="AN52" s="1089"/>
      <c r="AO52" s="1090"/>
      <c r="AP52" s="1090"/>
      <c r="AQ52" s="1090"/>
      <c r="AR52" s="1090"/>
      <c r="AS52" s="1094">
        <f t="shared" si="23"/>
        <v>0</v>
      </c>
      <c r="AT52" s="1089"/>
      <c r="AU52" s="1090"/>
      <c r="AV52" s="1090"/>
      <c r="AW52" s="1090"/>
      <c r="AX52" s="1090"/>
      <c r="AY52" s="1094">
        <f t="shared" si="24"/>
        <v>0</v>
      </c>
    </row>
    <row r="53" spans="1:51" s="831" customFormat="1" x14ac:dyDescent="0.25">
      <c r="A53" s="1108" t="s">
        <v>124</v>
      </c>
      <c r="B53" s="1108" t="s">
        <v>125</v>
      </c>
      <c r="C53" s="1053" t="s">
        <v>267</v>
      </c>
      <c r="D53" s="1379">
        <f t="shared" si="13"/>
        <v>0</v>
      </c>
      <c r="E53" s="1379">
        <f t="shared" si="14"/>
        <v>6412.8</v>
      </c>
      <c r="F53" s="1379">
        <f t="shared" si="15"/>
        <v>1603.2</v>
      </c>
      <c r="G53" s="1381">
        <f t="shared" si="16"/>
        <v>0</v>
      </c>
      <c r="H53" s="1384">
        <f t="shared" si="17"/>
        <v>1603.2</v>
      </c>
      <c r="I53" s="1385">
        <f t="shared" si="5"/>
        <v>8016</v>
      </c>
      <c r="J53" s="1109">
        <v>0</v>
      </c>
      <c r="K53" s="1109">
        <v>6412.8</v>
      </c>
      <c r="L53" s="1109">
        <v>1603.2</v>
      </c>
      <c r="M53" s="1109">
        <v>0</v>
      </c>
      <c r="N53" s="1109">
        <v>0</v>
      </c>
      <c r="O53" s="1110">
        <f t="shared" si="18"/>
        <v>8016</v>
      </c>
      <c r="P53" s="1418"/>
      <c r="Q53" s="1411"/>
      <c r="R53" s="1411"/>
      <c r="S53" s="1411"/>
      <c r="T53" s="1411"/>
      <c r="U53" s="1417">
        <f t="shared" si="19"/>
        <v>0</v>
      </c>
      <c r="V53" s="1411"/>
      <c r="W53" s="1411"/>
      <c r="X53" s="1411"/>
      <c r="Y53" s="1411"/>
      <c r="Z53" s="1411"/>
      <c r="AA53" s="1411">
        <f t="shared" si="20"/>
        <v>0</v>
      </c>
      <c r="AB53" s="1089"/>
      <c r="AC53" s="1090"/>
      <c r="AD53" s="1090"/>
      <c r="AE53" s="1090"/>
      <c r="AF53" s="1090"/>
      <c r="AG53" s="1091">
        <f t="shared" si="21"/>
        <v>0</v>
      </c>
      <c r="AH53" s="1089"/>
      <c r="AI53" s="1090"/>
      <c r="AJ53" s="1090"/>
      <c r="AK53" s="1090"/>
      <c r="AL53" s="1090"/>
      <c r="AM53" s="1094">
        <f t="shared" si="22"/>
        <v>0</v>
      </c>
      <c r="AN53" s="1089"/>
      <c r="AO53" s="1090"/>
      <c r="AP53" s="1090"/>
      <c r="AQ53" s="1090"/>
      <c r="AR53" s="1090"/>
      <c r="AS53" s="1094">
        <f t="shared" si="23"/>
        <v>0</v>
      </c>
      <c r="AT53" s="1089"/>
      <c r="AU53" s="1090"/>
      <c r="AV53" s="1090"/>
      <c r="AW53" s="1090"/>
      <c r="AX53" s="1090"/>
      <c r="AY53" s="1094">
        <f t="shared" si="24"/>
        <v>0</v>
      </c>
    </row>
    <row r="54" spans="1:51" s="831" customFormat="1" x14ac:dyDescent="0.25">
      <c r="A54" s="1108" t="s">
        <v>126</v>
      </c>
      <c r="B54" s="1108" t="s">
        <v>127</v>
      </c>
      <c r="C54" s="1053" t="s">
        <v>266</v>
      </c>
      <c r="D54" s="1379">
        <f t="shared" si="13"/>
        <v>0</v>
      </c>
      <c r="E54" s="1379">
        <f t="shared" si="14"/>
        <v>46477.1</v>
      </c>
      <c r="F54" s="1379">
        <f t="shared" si="15"/>
        <v>12034.9</v>
      </c>
      <c r="G54" s="1381">
        <f t="shared" si="16"/>
        <v>0</v>
      </c>
      <c r="H54" s="1384">
        <f t="shared" si="17"/>
        <v>12034.9</v>
      </c>
      <c r="I54" s="1385">
        <f t="shared" si="5"/>
        <v>58512</v>
      </c>
      <c r="J54" s="1109">
        <v>0</v>
      </c>
      <c r="K54" s="1109">
        <v>45289.599999999999</v>
      </c>
      <c r="L54" s="1109">
        <v>11322.4</v>
      </c>
      <c r="M54" s="1109">
        <v>0</v>
      </c>
      <c r="N54" s="1109">
        <v>0</v>
      </c>
      <c r="O54" s="1110">
        <f t="shared" si="18"/>
        <v>56612</v>
      </c>
      <c r="P54" s="1418"/>
      <c r="Q54" s="1411"/>
      <c r="R54" s="1411"/>
      <c r="S54" s="1411"/>
      <c r="T54" s="1411"/>
      <c r="U54" s="1417">
        <f t="shared" si="19"/>
        <v>0</v>
      </c>
      <c r="V54" s="1411"/>
      <c r="W54" s="1411"/>
      <c r="X54" s="1411"/>
      <c r="Y54" s="1411"/>
      <c r="Z54" s="1411"/>
      <c r="AA54" s="1411">
        <f t="shared" si="20"/>
        <v>0</v>
      </c>
      <c r="AB54" s="1089">
        <v>0</v>
      </c>
      <c r="AC54" s="1090">
        <v>1187.5</v>
      </c>
      <c r="AD54" s="1090">
        <v>712.5</v>
      </c>
      <c r="AE54" s="1090">
        <v>0</v>
      </c>
      <c r="AF54" s="1090">
        <v>0</v>
      </c>
      <c r="AG54" s="1091">
        <f t="shared" si="21"/>
        <v>1900</v>
      </c>
      <c r="AH54" s="1089"/>
      <c r="AI54" s="1090"/>
      <c r="AJ54" s="1090"/>
      <c r="AK54" s="1090"/>
      <c r="AL54" s="1090"/>
      <c r="AM54" s="1094">
        <f t="shared" si="22"/>
        <v>0</v>
      </c>
      <c r="AN54" s="1089"/>
      <c r="AO54" s="1090"/>
      <c r="AP54" s="1090"/>
      <c r="AQ54" s="1090"/>
      <c r="AR54" s="1090"/>
      <c r="AS54" s="1094">
        <f t="shared" si="23"/>
        <v>0</v>
      </c>
      <c r="AT54" s="1089"/>
      <c r="AU54" s="1090"/>
      <c r="AV54" s="1090"/>
      <c r="AW54" s="1090"/>
      <c r="AX54" s="1090"/>
      <c r="AY54" s="1094">
        <f t="shared" si="24"/>
        <v>0</v>
      </c>
    </row>
    <row r="55" spans="1:51" s="831" customFormat="1" x14ac:dyDescent="0.25">
      <c r="A55" s="1108" t="s">
        <v>128</v>
      </c>
      <c r="B55" s="1108" t="s">
        <v>129</v>
      </c>
      <c r="C55" s="1053" t="s">
        <v>266</v>
      </c>
      <c r="D55" s="1379">
        <f t="shared" si="13"/>
        <v>-53.24</v>
      </c>
      <c r="E55" s="1379">
        <f t="shared" si="14"/>
        <v>29474.44</v>
      </c>
      <c r="F55" s="1379">
        <f t="shared" si="15"/>
        <v>7381.4</v>
      </c>
      <c r="G55" s="1381">
        <f t="shared" si="16"/>
        <v>0</v>
      </c>
      <c r="H55" s="1384">
        <f t="shared" si="17"/>
        <v>7381.4</v>
      </c>
      <c r="I55" s="1385">
        <f t="shared" si="5"/>
        <v>36802.6</v>
      </c>
      <c r="J55" s="1109">
        <v>0</v>
      </c>
      <c r="K55" s="1109">
        <v>29525.599999999999</v>
      </c>
      <c r="L55" s="1109">
        <v>7381.4</v>
      </c>
      <c r="M55" s="1109">
        <v>0</v>
      </c>
      <c r="N55" s="1109">
        <v>0</v>
      </c>
      <c r="O55" s="1110">
        <f t="shared" si="18"/>
        <v>36907</v>
      </c>
      <c r="P55" s="1418">
        <v>-53.24</v>
      </c>
      <c r="Q55" s="1411">
        <v>-51.16</v>
      </c>
      <c r="R55" s="1411">
        <v>0</v>
      </c>
      <c r="S55" s="1411">
        <v>0</v>
      </c>
      <c r="T55" s="1411">
        <v>0</v>
      </c>
      <c r="U55" s="1417">
        <f t="shared" si="19"/>
        <v>-104.4</v>
      </c>
      <c r="V55" s="1411"/>
      <c r="W55" s="1411"/>
      <c r="X55" s="1411"/>
      <c r="Y55" s="1411"/>
      <c r="Z55" s="1411"/>
      <c r="AA55" s="1411">
        <f t="shared" si="20"/>
        <v>0</v>
      </c>
      <c r="AB55" s="1089"/>
      <c r="AC55" s="1090"/>
      <c r="AD55" s="1090"/>
      <c r="AE55" s="1090"/>
      <c r="AF55" s="1090"/>
      <c r="AG55" s="1091">
        <f t="shared" si="21"/>
        <v>0</v>
      </c>
      <c r="AH55" s="1089"/>
      <c r="AI55" s="1090"/>
      <c r="AJ55" s="1090"/>
      <c r="AK55" s="1090"/>
      <c r="AL55" s="1090"/>
      <c r="AM55" s="1094">
        <f t="shared" si="22"/>
        <v>0</v>
      </c>
      <c r="AN55" s="1089"/>
      <c r="AO55" s="1090"/>
      <c r="AP55" s="1090"/>
      <c r="AQ55" s="1090"/>
      <c r="AR55" s="1090"/>
      <c r="AS55" s="1094">
        <f t="shared" si="23"/>
        <v>0</v>
      </c>
      <c r="AT55" s="1089"/>
      <c r="AU55" s="1090"/>
      <c r="AV55" s="1090"/>
      <c r="AW55" s="1090"/>
      <c r="AX55" s="1090"/>
      <c r="AY55" s="1094">
        <f t="shared" si="24"/>
        <v>0</v>
      </c>
    </row>
    <row r="56" spans="1:51" s="831" customFormat="1" x14ac:dyDescent="0.25">
      <c r="A56" s="1108" t="s">
        <v>130</v>
      </c>
      <c r="B56" s="1108" t="s">
        <v>131</v>
      </c>
      <c r="C56" s="1053" t="s">
        <v>268</v>
      </c>
      <c r="D56" s="1379">
        <f t="shared" si="13"/>
        <v>-132.33000000000001</v>
      </c>
      <c r="E56" s="1379">
        <f t="shared" si="14"/>
        <v>398366.73</v>
      </c>
      <c r="F56" s="1379">
        <f t="shared" si="15"/>
        <v>99623.47</v>
      </c>
      <c r="G56" s="1381">
        <f t="shared" si="16"/>
        <v>0</v>
      </c>
      <c r="H56" s="1384">
        <f t="shared" si="17"/>
        <v>99623.47</v>
      </c>
      <c r="I56" s="1385">
        <f t="shared" si="5"/>
        <v>497857.87</v>
      </c>
      <c r="J56" s="1109">
        <v>0</v>
      </c>
      <c r="K56" s="1109">
        <v>398493.87</v>
      </c>
      <c r="L56" s="1109">
        <v>99623.47</v>
      </c>
      <c r="M56" s="1109">
        <v>0</v>
      </c>
      <c r="N56" s="1109">
        <v>0</v>
      </c>
      <c r="O56" s="1110">
        <f t="shared" si="18"/>
        <v>498117.33999999997</v>
      </c>
      <c r="P56" s="1418">
        <v>-132.33000000000001</v>
      </c>
      <c r="Q56" s="1411">
        <v>-127.14</v>
      </c>
      <c r="R56" s="1411">
        <v>0</v>
      </c>
      <c r="S56" s="1411">
        <v>0</v>
      </c>
      <c r="T56" s="1411">
        <v>0</v>
      </c>
      <c r="U56" s="1417">
        <f t="shared" si="19"/>
        <v>-259.47000000000003</v>
      </c>
      <c r="V56" s="1411"/>
      <c r="W56" s="1411"/>
      <c r="X56" s="1411"/>
      <c r="Y56" s="1411"/>
      <c r="Z56" s="1411"/>
      <c r="AA56" s="1411">
        <f t="shared" si="20"/>
        <v>0</v>
      </c>
      <c r="AB56" s="1089"/>
      <c r="AC56" s="1090"/>
      <c r="AD56" s="1090"/>
      <c r="AE56" s="1090"/>
      <c r="AF56" s="1090"/>
      <c r="AG56" s="1091">
        <f t="shared" si="21"/>
        <v>0</v>
      </c>
      <c r="AH56" s="1089"/>
      <c r="AI56" s="1090"/>
      <c r="AJ56" s="1090"/>
      <c r="AK56" s="1090"/>
      <c r="AL56" s="1090"/>
      <c r="AM56" s="1094">
        <f t="shared" si="22"/>
        <v>0</v>
      </c>
      <c r="AN56" s="1089"/>
      <c r="AO56" s="1090"/>
      <c r="AP56" s="1090"/>
      <c r="AQ56" s="1090"/>
      <c r="AR56" s="1090"/>
      <c r="AS56" s="1094">
        <f t="shared" si="23"/>
        <v>0</v>
      </c>
      <c r="AT56" s="1089"/>
      <c r="AU56" s="1090"/>
      <c r="AV56" s="1090"/>
      <c r="AW56" s="1090"/>
      <c r="AX56" s="1090"/>
      <c r="AY56" s="1094">
        <f t="shared" si="24"/>
        <v>0</v>
      </c>
    </row>
    <row r="57" spans="1:51" s="831" customFormat="1" x14ac:dyDescent="0.25">
      <c r="A57" s="1108" t="s">
        <v>132</v>
      </c>
      <c r="B57" s="1108" t="s">
        <v>133</v>
      </c>
      <c r="C57" s="1053" t="s">
        <v>267</v>
      </c>
      <c r="D57" s="1379">
        <f t="shared" si="13"/>
        <v>29508.14</v>
      </c>
      <c r="E57" s="1379">
        <f t="shared" si="14"/>
        <v>107300.62</v>
      </c>
      <c r="F57" s="1379">
        <f t="shared" si="15"/>
        <v>29560.6</v>
      </c>
      <c r="G57" s="1381">
        <f t="shared" si="16"/>
        <v>8731</v>
      </c>
      <c r="H57" s="1384">
        <f t="shared" si="17"/>
        <v>38291.599999999999</v>
      </c>
      <c r="I57" s="1385">
        <f t="shared" si="5"/>
        <v>175100.36000000002</v>
      </c>
      <c r="J57" s="1109">
        <v>0</v>
      </c>
      <c r="K57" s="1109">
        <v>118242.4</v>
      </c>
      <c r="L57" s="1109">
        <v>29560.6</v>
      </c>
      <c r="M57" s="1109">
        <v>0</v>
      </c>
      <c r="N57" s="1109">
        <v>0</v>
      </c>
      <c r="O57" s="1110">
        <f t="shared" si="18"/>
        <v>147803</v>
      </c>
      <c r="P57" s="1418">
        <v>-2032.86</v>
      </c>
      <c r="Q57" s="1411">
        <v>-1953.14</v>
      </c>
      <c r="R57" s="1411">
        <v>0</v>
      </c>
      <c r="S57" s="1411">
        <v>3986</v>
      </c>
      <c r="T57" s="1411">
        <v>0</v>
      </c>
      <c r="U57" s="1417">
        <f t="shared" si="19"/>
        <v>0</v>
      </c>
      <c r="V57" s="1411"/>
      <c r="W57" s="1411"/>
      <c r="X57" s="1411"/>
      <c r="Y57" s="1411"/>
      <c r="Z57" s="1411"/>
      <c r="AA57" s="1411">
        <f t="shared" si="20"/>
        <v>0</v>
      </c>
      <c r="AB57" s="1092"/>
      <c r="AC57" s="1093"/>
      <c r="AD57" s="1093"/>
      <c r="AE57" s="1093"/>
      <c r="AF57" s="1093"/>
      <c r="AG57" s="1091">
        <f t="shared" si="21"/>
        <v>0</v>
      </c>
      <c r="AH57" s="1092">
        <v>31541</v>
      </c>
      <c r="AI57" s="1093">
        <v>0</v>
      </c>
      <c r="AJ57" s="1093">
        <v>0</v>
      </c>
      <c r="AK57" s="1093">
        <v>0</v>
      </c>
      <c r="AL57" s="1093">
        <v>0</v>
      </c>
      <c r="AM57" s="1094">
        <f t="shared" si="22"/>
        <v>31541</v>
      </c>
      <c r="AN57" s="1092">
        <v>0</v>
      </c>
      <c r="AO57" s="1093">
        <v>-8988.64</v>
      </c>
      <c r="AP57" s="1093">
        <v>0</v>
      </c>
      <c r="AQ57" s="1093">
        <v>4745</v>
      </c>
      <c r="AR57" s="1093">
        <v>0</v>
      </c>
      <c r="AS57" s="1094">
        <f t="shared" si="23"/>
        <v>-4243.6399999999994</v>
      </c>
      <c r="AT57" s="1092"/>
      <c r="AU57" s="1093"/>
      <c r="AV57" s="1093"/>
      <c r="AW57" s="1093"/>
      <c r="AX57" s="1093"/>
      <c r="AY57" s="1094">
        <f t="shared" si="24"/>
        <v>0</v>
      </c>
    </row>
    <row r="58" spans="1:51" s="831" customFormat="1" x14ac:dyDescent="0.25">
      <c r="A58" s="1108" t="s">
        <v>134</v>
      </c>
      <c r="B58" s="1108" t="s">
        <v>135</v>
      </c>
      <c r="C58" s="1053" t="s">
        <v>267</v>
      </c>
      <c r="D58" s="1379">
        <f t="shared" si="13"/>
        <v>-486.12</v>
      </c>
      <c r="E58" s="1379">
        <f t="shared" si="14"/>
        <v>44732.14</v>
      </c>
      <c r="F58" s="1379">
        <f t="shared" si="15"/>
        <v>11299.8</v>
      </c>
      <c r="G58" s="1381">
        <f t="shared" si="16"/>
        <v>0.01</v>
      </c>
      <c r="H58" s="1384">
        <f t="shared" si="17"/>
        <v>11299.81</v>
      </c>
      <c r="I58" s="1385">
        <f t="shared" si="5"/>
        <v>55545.829999999994</v>
      </c>
      <c r="J58" s="1109">
        <v>0</v>
      </c>
      <c r="K58" s="1109">
        <v>45199.199999999997</v>
      </c>
      <c r="L58" s="1109">
        <v>11299.8</v>
      </c>
      <c r="M58" s="1109">
        <v>0</v>
      </c>
      <c r="N58" s="1109">
        <v>0</v>
      </c>
      <c r="O58" s="1110">
        <f t="shared" si="18"/>
        <v>56499</v>
      </c>
      <c r="P58" s="1418">
        <v>-486.12</v>
      </c>
      <c r="Q58" s="1411">
        <v>-467.06</v>
      </c>
      <c r="R58" s="1411">
        <v>0</v>
      </c>
      <c r="S58" s="1411">
        <v>0.01</v>
      </c>
      <c r="T58" s="1411">
        <v>0</v>
      </c>
      <c r="U58" s="1417">
        <f t="shared" si="19"/>
        <v>-953.17000000000007</v>
      </c>
      <c r="V58" s="1411"/>
      <c r="W58" s="1411"/>
      <c r="X58" s="1411"/>
      <c r="Y58" s="1411"/>
      <c r="Z58" s="1411"/>
      <c r="AA58" s="1411">
        <f t="shared" si="20"/>
        <v>0</v>
      </c>
      <c r="AB58" s="1089"/>
      <c r="AC58" s="1090"/>
      <c r="AD58" s="1090"/>
      <c r="AE58" s="1090"/>
      <c r="AF58" s="1090"/>
      <c r="AG58" s="1091">
        <f t="shared" si="21"/>
        <v>0</v>
      </c>
      <c r="AH58" s="1089"/>
      <c r="AI58" s="1090"/>
      <c r="AJ58" s="1090"/>
      <c r="AK58" s="1090"/>
      <c r="AL58" s="1090"/>
      <c r="AM58" s="1094">
        <f t="shared" si="22"/>
        <v>0</v>
      </c>
      <c r="AN58" s="1089"/>
      <c r="AO58" s="1090"/>
      <c r="AP58" s="1090"/>
      <c r="AQ58" s="1090"/>
      <c r="AR58" s="1090"/>
      <c r="AS58" s="1094">
        <f t="shared" si="23"/>
        <v>0</v>
      </c>
      <c r="AT58" s="1089"/>
      <c r="AU58" s="1090"/>
      <c r="AV58" s="1090"/>
      <c r="AW58" s="1090"/>
      <c r="AX58" s="1090"/>
      <c r="AY58" s="1094">
        <f t="shared" si="24"/>
        <v>0</v>
      </c>
    </row>
    <row r="59" spans="1:51" s="831" customFormat="1" x14ac:dyDescent="0.25">
      <c r="A59" s="1108" t="s">
        <v>136</v>
      </c>
      <c r="B59" s="1108" t="s">
        <v>137</v>
      </c>
      <c r="C59" s="1053" t="s">
        <v>266</v>
      </c>
      <c r="D59" s="1379">
        <f t="shared" si="13"/>
        <v>0</v>
      </c>
      <c r="E59" s="1379">
        <f t="shared" si="14"/>
        <v>59616.639999999999</v>
      </c>
      <c r="F59" s="1379">
        <f t="shared" si="15"/>
        <v>14904.16</v>
      </c>
      <c r="G59" s="1381">
        <f t="shared" si="16"/>
        <v>0</v>
      </c>
      <c r="H59" s="1384">
        <f t="shared" si="17"/>
        <v>14904.16</v>
      </c>
      <c r="I59" s="1385">
        <f t="shared" si="5"/>
        <v>74520.800000000003</v>
      </c>
      <c r="J59" s="1109">
        <v>0</v>
      </c>
      <c r="K59" s="1109">
        <v>59616.639999999999</v>
      </c>
      <c r="L59" s="1109">
        <v>14904.16</v>
      </c>
      <c r="M59" s="1109">
        <v>0</v>
      </c>
      <c r="N59" s="1109">
        <v>0</v>
      </c>
      <c r="O59" s="1110">
        <f t="shared" si="18"/>
        <v>74520.800000000003</v>
      </c>
      <c r="P59" s="1418"/>
      <c r="Q59" s="1411"/>
      <c r="R59" s="1411"/>
      <c r="S59" s="1411"/>
      <c r="T59" s="1411"/>
      <c r="U59" s="1417">
        <f t="shared" si="19"/>
        <v>0</v>
      </c>
      <c r="V59" s="1411"/>
      <c r="W59" s="1411"/>
      <c r="X59" s="1411"/>
      <c r="Y59" s="1411"/>
      <c r="Z59" s="1411"/>
      <c r="AA59" s="1411">
        <f t="shared" si="20"/>
        <v>0</v>
      </c>
      <c r="AB59" s="1089"/>
      <c r="AC59" s="1090"/>
      <c r="AD59" s="1090"/>
      <c r="AE59" s="1090"/>
      <c r="AF59" s="1090"/>
      <c r="AG59" s="1091">
        <f t="shared" si="21"/>
        <v>0</v>
      </c>
      <c r="AH59" s="1089"/>
      <c r="AI59" s="1090"/>
      <c r="AJ59" s="1090"/>
      <c r="AK59" s="1090"/>
      <c r="AL59" s="1090"/>
      <c r="AM59" s="1094">
        <f t="shared" si="22"/>
        <v>0</v>
      </c>
      <c r="AN59" s="1089"/>
      <c r="AO59" s="1090"/>
      <c r="AP59" s="1090"/>
      <c r="AQ59" s="1090"/>
      <c r="AR59" s="1090"/>
      <c r="AS59" s="1094">
        <f t="shared" si="23"/>
        <v>0</v>
      </c>
      <c r="AT59" s="1089"/>
      <c r="AU59" s="1090"/>
      <c r="AV59" s="1090"/>
      <c r="AW59" s="1090"/>
      <c r="AX59" s="1090"/>
      <c r="AY59" s="1094">
        <f t="shared" si="24"/>
        <v>0</v>
      </c>
    </row>
    <row r="60" spans="1:51" s="831" customFormat="1" x14ac:dyDescent="0.25">
      <c r="A60" s="1108" t="s">
        <v>140</v>
      </c>
      <c r="B60" s="1108" t="s">
        <v>141</v>
      </c>
      <c r="C60" s="1053" t="s">
        <v>267</v>
      </c>
      <c r="D60" s="1379">
        <f t="shared" si="13"/>
        <v>-35.700000000000003</v>
      </c>
      <c r="E60" s="1379">
        <f t="shared" si="14"/>
        <v>17159.3</v>
      </c>
      <c r="F60" s="1379">
        <f t="shared" si="15"/>
        <v>4298.3999999999996</v>
      </c>
      <c r="G60" s="1381">
        <f t="shared" si="16"/>
        <v>1000</v>
      </c>
      <c r="H60" s="1384">
        <f t="shared" si="17"/>
        <v>5298.4</v>
      </c>
      <c r="I60" s="1385">
        <f t="shared" si="5"/>
        <v>22422</v>
      </c>
      <c r="J60" s="1109">
        <v>0</v>
      </c>
      <c r="K60" s="1109">
        <v>17193.599999999999</v>
      </c>
      <c r="L60" s="1109">
        <v>4298.3999999999996</v>
      </c>
      <c r="M60" s="1109">
        <v>0</v>
      </c>
      <c r="N60" s="1109">
        <v>0</v>
      </c>
      <c r="O60" s="1110">
        <f t="shared" si="18"/>
        <v>21492</v>
      </c>
      <c r="P60" s="1418">
        <v>-35.700000000000003</v>
      </c>
      <c r="Q60" s="1411">
        <v>-34.299999999999997</v>
      </c>
      <c r="R60" s="1411">
        <v>0</v>
      </c>
      <c r="S60" s="1411">
        <v>0</v>
      </c>
      <c r="T60" s="1411">
        <v>0</v>
      </c>
      <c r="U60" s="1417">
        <f t="shared" si="19"/>
        <v>-70</v>
      </c>
      <c r="V60" s="1411"/>
      <c r="W60" s="1411"/>
      <c r="X60" s="1411"/>
      <c r="Y60" s="1411"/>
      <c r="Z60" s="1411"/>
      <c r="AA60" s="1411">
        <f t="shared" si="20"/>
        <v>0</v>
      </c>
      <c r="AB60" s="1089">
        <v>0</v>
      </c>
      <c r="AC60" s="1090">
        <v>0</v>
      </c>
      <c r="AD60" s="1090">
        <v>0</v>
      </c>
      <c r="AE60" s="1090">
        <v>1000</v>
      </c>
      <c r="AF60" s="1090">
        <v>0</v>
      </c>
      <c r="AG60" s="1091">
        <f t="shared" si="21"/>
        <v>1000</v>
      </c>
      <c r="AH60" s="1092"/>
      <c r="AI60" s="1093"/>
      <c r="AJ60" s="1093"/>
      <c r="AK60" s="1093"/>
      <c r="AL60" s="1093"/>
      <c r="AM60" s="1094">
        <f t="shared" si="22"/>
        <v>0</v>
      </c>
      <c r="AN60" s="1092"/>
      <c r="AO60" s="1093"/>
      <c r="AP60" s="1093"/>
      <c r="AQ60" s="1093"/>
      <c r="AR60" s="1093"/>
      <c r="AS60" s="1094">
        <f t="shared" si="23"/>
        <v>0</v>
      </c>
      <c r="AT60" s="1092"/>
      <c r="AU60" s="1093"/>
      <c r="AV60" s="1093"/>
      <c r="AW60" s="1093"/>
      <c r="AX60" s="1093"/>
      <c r="AY60" s="1094">
        <f t="shared" si="24"/>
        <v>0</v>
      </c>
    </row>
    <row r="61" spans="1:51" s="831" customFormat="1" x14ac:dyDescent="0.25">
      <c r="A61" s="1108" t="s">
        <v>146</v>
      </c>
      <c r="B61" s="1108" t="s">
        <v>147</v>
      </c>
      <c r="C61" s="1053" t="s">
        <v>264</v>
      </c>
      <c r="D61" s="1379">
        <f t="shared" si="13"/>
        <v>0</v>
      </c>
      <c r="E61" s="1379">
        <f t="shared" si="14"/>
        <v>9542.4</v>
      </c>
      <c r="F61" s="1379">
        <f t="shared" si="15"/>
        <v>2385.6</v>
      </c>
      <c r="G61" s="1381">
        <f t="shared" si="16"/>
        <v>0</v>
      </c>
      <c r="H61" s="1384">
        <f t="shared" si="17"/>
        <v>2385.6</v>
      </c>
      <c r="I61" s="1385">
        <f t="shared" si="5"/>
        <v>11928</v>
      </c>
      <c r="J61" s="1109">
        <v>0</v>
      </c>
      <c r="K61" s="1109">
        <v>9542.4</v>
      </c>
      <c r="L61" s="1109">
        <v>2385.6</v>
      </c>
      <c r="M61" s="1109">
        <v>0</v>
      </c>
      <c r="N61" s="1109">
        <v>0</v>
      </c>
      <c r="O61" s="1110">
        <f t="shared" si="18"/>
        <v>11928</v>
      </c>
      <c r="P61" s="1418"/>
      <c r="Q61" s="1411"/>
      <c r="R61" s="1411"/>
      <c r="S61" s="1411"/>
      <c r="T61" s="1411"/>
      <c r="U61" s="1417">
        <f t="shared" si="19"/>
        <v>0</v>
      </c>
      <c r="V61" s="1411"/>
      <c r="W61" s="1411"/>
      <c r="X61" s="1411"/>
      <c r="Y61" s="1411"/>
      <c r="Z61" s="1411"/>
      <c r="AA61" s="1411">
        <f t="shared" si="20"/>
        <v>0</v>
      </c>
      <c r="AB61" s="1089"/>
      <c r="AC61" s="1090"/>
      <c r="AD61" s="1090"/>
      <c r="AE61" s="1090"/>
      <c r="AF61" s="1090"/>
      <c r="AG61" s="1091">
        <f t="shared" si="21"/>
        <v>0</v>
      </c>
      <c r="AH61" s="1089"/>
      <c r="AI61" s="1090"/>
      <c r="AJ61" s="1090"/>
      <c r="AK61" s="1090"/>
      <c r="AL61" s="1090"/>
      <c r="AM61" s="1094">
        <f t="shared" si="22"/>
        <v>0</v>
      </c>
      <c r="AN61" s="1089"/>
      <c r="AO61" s="1090"/>
      <c r="AP61" s="1090"/>
      <c r="AQ61" s="1090"/>
      <c r="AR61" s="1090"/>
      <c r="AS61" s="1094">
        <f t="shared" si="23"/>
        <v>0</v>
      </c>
      <c r="AT61" s="1089"/>
      <c r="AU61" s="1090"/>
      <c r="AV61" s="1090"/>
      <c r="AW61" s="1090"/>
      <c r="AX61" s="1090"/>
      <c r="AY61" s="1094">
        <f t="shared" si="24"/>
        <v>0</v>
      </c>
    </row>
    <row r="62" spans="1:51" s="831" customFormat="1" x14ac:dyDescent="0.25">
      <c r="A62" s="1108" t="s">
        <v>148</v>
      </c>
      <c r="B62" s="1108" t="s">
        <v>149</v>
      </c>
      <c r="C62" s="1053" t="s">
        <v>265</v>
      </c>
      <c r="D62" s="1379">
        <f t="shared" si="13"/>
        <v>17071.060000000001</v>
      </c>
      <c r="E62" s="1379">
        <f t="shared" si="14"/>
        <v>183735.27000000002</v>
      </c>
      <c r="F62" s="1379">
        <f t="shared" si="15"/>
        <v>45976.800000000003</v>
      </c>
      <c r="G62" s="1381">
        <f t="shared" si="16"/>
        <v>0</v>
      </c>
      <c r="H62" s="1384">
        <f t="shared" si="17"/>
        <v>45976.800000000003</v>
      </c>
      <c r="I62" s="1385">
        <f t="shared" si="5"/>
        <v>246783.13</v>
      </c>
      <c r="J62" s="1109">
        <v>0</v>
      </c>
      <c r="K62" s="1109">
        <v>183907.20000000001</v>
      </c>
      <c r="L62" s="1109">
        <v>45976.800000000003</v>
      </c>
      <c r="M62" s="1109">
        <v>0</v>
      </c>
      <c r="N62" s="1109">
        <v>0</v>
      </c>
      <c r="O62" s="1110">
        <f t="shared" si="18"/>
        <v>229884</v>
      </c>
      <c r="P62" s="1418">
        <v>-178.94</v>
      </c>
      <c r="Q62" s="1411">
        <v>-171.93</v>
      </c>
      <c r="R62" s="1411">
        <v>0</v>
      </c>
      <c r="S62" s="1411">
        <v>0</v>
      </c>
      <c r="T62" s="1411">
        <v>0</v>
      </c>
      <c r="U62" s="1417">
        <f t="shared" si="19"/>
        <v>-350.87</v>
      </c>
      <c r="V62" s="1411"/>
      <c r="W62" s="1411"/>
      <c r="X62" s="1411"/>
      <c r="Y62" s="1411"/>
      <c r="Z62" s="1411"/>
      <c r="AA62" s="1411">
        <f t="shared" si="20"/>
        <v>0</v>
      </c>
      <c r="AB62" s="1089"/>
      <c r="AC62" s="1090"/>
      <c r="AD62" s="1090"/>
      <c r="AE62" s="1090"/>
      <c r="AF62" s="1090"/>
      <c r="AG62" s="1091">
        <f t="shared" si="21"/>
        <v>0</v>
      </c>
      <c r="AH62" s="1089"/>
      <c r="AI62" s="1090"/>
      <c r="AJ62" s="1090"/>
      <c r="AK62" s="1090"/>
      <c r="AL62" s="1090"/>
      <c r="AM62" s="1094">
        <f t="shared" si="22"/>
        <v>0</v>
      </c>
      <c r="AN62" s="1089"/>
      <c r="AO62" s="1090"/>
      <c r="AP62" s="1090"/>
      <c r="AQ62" s="1090"/>
      <c r="AR62" s="1090"/>
      <c r="AS62" s="1094">
        <f t="shared" si="23"/>
        <v>0</v>
      </c>
      <c r="AT62" s="1089">
        <v>17250</v>
      </c>
      <c r="AU62" s="1090">
        <v>0</v>
      </c>
      <c r="AV62" s="1090">
        <v>0</v>
      </c>
      <c r="AW62" s="1090">
        <v>0</v>
      </c>
      <c r="AX62" s="1090">
        <v>0</v>
      </c>
      <c r="AY62" s="1094">
        <f t="shared" si="24"/>
        <v>17250</v>
      </c>
    </row>
    <row r="63" spans="1:51" s="831" customFormat="1" x14ac:dyDescent="0.25">
      <c r="A63" s="1108" t="s">
        <v>150</v>
      </c>
      <c r="B63" s="1108" t="s">
        <v>151</v>
      </c>
      <c r="C63" s="1053" t="s">
        <v>266</v>
      </c>
      <c r="D63" s="1379">
        <f t="shared" si="13"/>
        <v>0</v>
      </c>
      <c r="E63" s="1379">
        <f t="shared" si="14"/>
        <v>25976.799999999999</v>
      </c>
      <c r="F63" s="1379">
        <f t="shared" si="15"/>
        <v>6494.2</v>
      </c>
      <c r="G63" s="1381">
        <f t="shared" si="16"/>
        <v>0</v>
      </c>
      <c r="H63" s="1384">
        <f t="shared" si="17"/>
        <v>6494.2</v>
      </c>
      <c r="I63" s="1385">
        <f t="shared" si="5"/>
        <v>32471</v>
      </c>
      <c r="J63" s="1109">
        <v>0</v>
      </c>
      <c r="K63" s="1109">
        <v>25976.799999999999</v>
      </c>
      <c r="L63" s="1109">
        <v>6494.2</v>
      </c>
      <c r="M63" s="1109">
        <v>0</v>
      </c>
      <c r="N63" s="1109">
        <v>0</v>
      </c>
      <c r="O63" s="1110">
        <f t="shared" si="18"/>
        <v>32471</v>
      </c>
      <c r="P63" s="1418"/>
      <c r="Q63" s="1411"/>
      <c r="R63" s="1411"/>
      <c r="S63" s="1411"/>
      <c r="T63" s="1411"/>
      <c r="U63" s="1417">
        <f t="shared" si="19"/>
        <v>0</v>
      </c>
      <c r="V63" s="1411"/>
      <c r="W63" s="1411"/>
      <c r="X63" s="1411"/>
      <c r="Y63" s="1411"/>
      <c r="Z63" s="1411"/>
      <c r="AA63" s="1411">
        <f t="shared" si="20"/>
        <v>0</v>
      </c>
      <c r="AB63" s="1089"/>
      <c r="AC63" s="1090"/>
      <c r="AD63" s="1090"/>
      <c r="AE63" s="1090"/>
      <c r="AF63" s="1090"/>
      <c r="AG63" s="1091">
        <f t="shared" si="21"/>
        <v>0</v>
      </c>
      <c r="AH63" s="1089"/>
      <c r="AI63" s="1090"/>
      <c r="AJ63" s="1090"/>
      <c r="AK63" s="1090"/>
      <c r="AL63" s="1090"/>
      <c r="AM63" s="1094">
        <f t="shared" si="22"/>
        <v>0</v>
      </c>
      <c r="AN63" s="1089"/>
      <c r="AO63" s="1090"/>
      <c r="AP63" s="1090"/>
      <c r="AQ63" s="1090"/>
      <c r="AR63" s="1090"/>
      <c r="AS63" s="1094">
        <f t="shared" si="23"/>
        <v>0</v>
      </c>
      <c r="AT63" s="1089"/>
      <c r="AU63" s="1090"/>
      <c r="AV63" s="1090"/>
      <c r="AW63" s="1090"/>
      <c r="AX63" s="1090"/>
      <c r="AY63" s="1094">
        <f t="shared" si="24"/>
        <v>0</v>
      </c>
    </row>
    <row r="64" spans="1:51" s="831" customFormat="1" x14ac:dyDescent="0.25">
      <c r="A64" s="1108" t="s">
        <v>152</v>
      </c>
      <c r="B64" s="1108" t="s">
        <v>153</v>
      </c>
      <c r="C64" s="1053" t="s">
        <v>268</v>
      </c>
      <c r="D64" s="1379">
        <f t="shared" si="13"/>
        <v>-1516.81</v>
      </c>
      <c r="E64" s="1379">
        <f t="shared" si="14"/>
        <v>137849.48000000001</v>
      </c>
      <c r="F64" s="1379">
        <f t="shared" si="15"/>
        <v>34944.400000000001</v>
      </c>
      <c r="G64" s="1381">
        <f t="shared" si="16"/>
        <v>0</v>
      </c>
      <c r="H64" s="1384">
        <f t="shared" si="17"/>
        <v>34944.400000000001</v>
      </c>
      <c r="I64" s="1385">
        <f t="shared" si="5"/>
        <v>171277.07</v>
      </c>
      <c r="J64" s="1109">
        <v>0</v>
      </c>
      <c r="K64" s="1109">
        <v>139777.60000000001</v>
      </c>
      <c r="L64" s="1109">
        <v>34944.400000000001</v>
      </c>
      <c r="M64" s="1109">
        <v>0</v>
      </c>
      <c r="N64" s="1109">
        <v>0</v>
      </c>
      <c r="O64" s="1110">
        <f t="shared" si="18"/>
        <v>174722</v>
      </c>
      <c r="P64" s="1418">
        <v>-2006.81</v>
      </c>
      <c r="Q64" s="1411">
        <v>-1928.12</v>
      </c>
      <c r="R64" s="1411">
        <v>0</v>
      </c>
      <c r="S64" s="1411">
        <v>0</v>
      </c>
      <c r="T64" s="1411">
        <v>0</v>
      </c>
      <c r="U64" s="1417">
        <f t="shared" si="19"/>
        <v>-3934.93</v>
      </c>
      <c r="V64" s="1411"/>
      <c r="W64" s="1411"/>
      <c r="X64" s="1411"/>
      <c r="Y64" s="1411"/>
      <c r="Z64" s="1411"/>
      <c r="AA64" s="1411">
        <f t="shared" si="20"/>
        <v>0</v>
      </c>
      <c r="AB64" s="1089"/>
      <c r="AC64" s="1090"/>
      <c r="AD64" s="1090"/>
      <c r="AE64" s="1090"/>
      <c r="AF64" s="1090"/>
      <c r="AG64" s="1091">
        <f t="shared" si="21"/>
        <v>0</v>
      </c>
      <c r="AH64" s="1089">
        <v>490</v>
      </c>
      <c r="AI64" s="1090">
        <v>0</v>
      </c>
      <c r="AJ64" s="1090">
        <v>0</v>
      </c>
      <c r="AK64" s="1090">
        <v>0</v>
      </c>
      <c r="AL64" s="1090">
        <v>0</v>
      </c>
      <c r="AM64" s="1094">
        <f t="shared" si="22"/>
        <v>490</v>
      </c>
      <c r="AN64" s="1089"/>
      <c r="AO64" s="1090"/>
      <c r="AP64" s="1090"/>
      <c r="AQ64" s="1090"/>
      <c r="AR64" s="1090"/>
      <c r="AS64" s="1094">
        <f t="shared" si="23"/>
        <v>0</v>
      </c>
      <c r="AT64" s="1089"/>
      <c r="AU64" s="1090"/>
      <c r="AV64" s="1090"/>
      <c r="AW64" s="1090"/>
      <c r="AX64" s="1090"/>
      <c r="AY64" s="1094">
        <f t="shared" si="24"/>
        <v>0</v>
      </c>
    </row>
    <row r="65" spans="1:51" s="831" customFormat="1" x14ac:dyDescent="0.25">
      <c r="A65" s="1108" t="s">
        <v>154</v>
      </c>
      <c r="B65" s="1108" t="s">
        <v>155</v>
      </c>
      <c r="C65" s="1053" t="s">
        <v>265</v>
      </c>
      <c r="D65" s="1379">
        <f t="shared" si="13"/>
        <v>0</v>
      </c>
      <c r="E65" s="1379">
        <f t="shared" si="14"/>
        <v>75683.199999999997</v>
      </c>
      <c r="F65" s="1379">
        <f t="shared" si="15"/>
        <v>18920.8</v>
      </c>
      <c r="G65" s="1381">
        <f t="shared" si="16"/>
        <v>0</v>
      </c>
      <c r="H65" s="1384">
        <f t="shared" si="17"/>
        <v>18920.8</v>
      </c>
      <c r="I65" s="1385">
        <f t="shared" si="5"/>
        <v>94604</v>
      </c>
      <c r="J65" s="1109">
        <v>0</v>
      </c>
      <c r="K65" s="1109">
        <v>75683.199999999997</v>
      </c>
      <c r="L65" s="1109">
        <v>18920.8</v>
      </c>
      <c r="M65" s="1109">
        <v>0</v>
      </c>
      <c r="N65" s="1109">
        <v>0</v>
      </c>
      <c r="O65" s="1110">
        <f t="shared" si="18"/>
        <v>94604</v>
      </c>
      <c r="P65" s="1418"/>
      <c r="Q65" s="1411"/>
      <c r="R65" s="1411"/>
      <c r="S65" s="1411"/>
      <c r="T65" s="1411"/>
      <c r="U65" s="1417">
        <f t="shared" si="19"/>
        <v>0</v>
      </c>
      <c r="V65" s="1411"/>
      <c r="W65" s="1411"/>
      <c r="X65" s="1411"/>
      <c r="Y65" s="1411"/>
      <c r="Z65" s="1411"/>
      <c r="AA65" s="1411">
        <f t="shared" si="20"/>
        <v>0</v>
      </c>
      <c r="AB65" s="1089"/>
      <c r="AC65" s="1090"/>
      <c r="AD65" s="1090"/>
      <c r="AE65" s="1090"/>
      <c r="AF65" s="1090"/>
      <c r="AG65" s="1091">
        <f t="shared" si="21"/>
        <v>0</v>
      </c>
      <c r="AH65" s="1089"/>
      <c r="AI65" s="1090"/>
      <c r="AJ65" s="1090"/>
      <c r="AK65" s="1090"/>
      <c r="AL65" s="1090"/>
      <c r="AM65" s="1094">
        <f t="shared" si="22"/>
        <v>0</v>
      </c>
      <c r="AN65" s="1089"/>
      <c r="AO65" s="1090"/>
      <c r="AP65" s="1090"/>
      <c r="AQ65" s="1090"/>
      <c r="AR65" s="1090"/>
      <c r="AS65" s="1094">
        <f t="shared" si="23"/>
        <v>0</v>
      </c>
      <c r="AT65" s="1089"/>
      <c r="AU65" s="1090"/>
      <c r="AV65" s="1090"/>
      <c r="AW65" s="1090"/>
      <c r="AX65" s="1090"/>
      <c r="AY65" s="1094">
        <f t="shared" si="24"/>
        <v>0</v>
      </c>
    </row>
    <row r="66" spans="1:51" s="831" customFormat="1" x14ac:dyDescent="0.25">
      <c r="A66" s="1108" t="s">
        <v>156</v>
      </c>
      <c r="B66" s="1108" t="s">
        <v>157</v>
      </c>
      <c r="C66" s="1053" t="s">
        <v>266</v>
      </c>
      <c r="D66" s="1379">
        <f t="shared" si="13"/>
        <v>0</v>
      </c>
      <c r="E66" s="1379">
        <f t="shared" si="14"/>
        <v>13358.4</v>
      </c>
      <c r="F66" s="1379">
        <f t="shared" si="15"/>
        <v>3339.6</v>
      </c>
      <c r="G66" s="1381">
        <f t="shared" si="16"/>
        <v>0</v>
      </c>
      <c r="H66" s="1384">
        <f t="shared" si="17"/>
        <v>3339.6</v>
      </c>
      <c r="I66" s="1385">
        <f t="shared" si="5"/>
        <v>16698</v>
      </c>
      <c r="J66" s="1109">
        <v>0</v>
      </c>
      <c r="K66" s="1109">
        <v>13358.4</v>
      </c>
      <c r="L66" s="1109">
        <v>3339.6</v>
      </c>
      <c r="M66" s="1109">
        <v>0</v>
      </c>
      <c r="N66" s="1109">
        <v>0</v>
      </c>
      <c r="O66" s="1110">
        <f t="shared" si="18"/>
        <v>16698</v>
      </c>
      <c r="P66" s="1418"/>
      <c r="Q66" s="1411"/>
      <c r="R66" s="1411"/>
      <c r="S66" s="1411"/>
      <c r="T66" s="1411"/>
      <c r="U66" s="1417">
        <f t="shared" si="19"/>
        <v>0</v>
      </c>
      <c r="V66" s="1411"/>
      <c r="W66" s="1411"/>
      <c r="X66" s="1411"/>
      <c r="Y66" s="1411"/>
      <c r="Z66" s="1411"/>
      <c r="AA66" s="1411">
        <f t="shared" si="20"/>
        <v>0</v>
      </c>
      <c r="AB66" s="1089"/>
      <c r="AC66" s="1090"/>
      <c r="AD66" s="1090"/>
      <c r="AE66" s="1090"/>
      <c r="AF66" s="1090"/>
      <c r="AG66" s="1091">
        <f t="shared" si="21"/>
        <v>0</v>
      </c>
      <c r="AH66" s="1089"/>
      <c r="AI66" s="1090"/>
      <c r="AJ66" s="1090"/>
      <c r="AK66" s="1090"/>
      <c r="AL66" s="1090"/>
      <c r="AM66" s="1094">
        <f t="shared" si="22"/>
        <v>0</v>
      </c>
      <c r="AN66" s="1089"/>
      <c r="AO66" s="1090"/>
      <c r="AP66" s="1090"/>
      <c r="AQ66" s="1090"/>
      <c r="AR66" s="1090"/>
      <c r="AS66" s="1094">
        <f t="shared" si="23"/>
        <v>0</v>
      </c>
      <c r="AT66" s="1089"/>
      <c r="AU66" s="1090"/>
      <c r="AV66" s="1090"/>
      <c r="AW66" s="1090"/>
      <c r="AX66" s="1090"/>
      <c r="AY66" s="1094">
        <f t="shared" si="24"/>
        <v>0</v>
      </c>
    </row>
    <row r="67" spans="1:51" s="831" customFormat="1" x14ac:dyDescent="0.25">
      <c r="A67" s="1108" t="s">
        <v>162</v>
      </c>
      <c r="B67" s="1108" t="s">
        <v>163</v>
      </c>
      <c r="C67" s="1053" t="s">
        <v>264</v>
      </c>
      <c r="D67" s="1379">
        <f t="shared" si="13"/>
        <v>0</v>
      </c>
      <c r="E67" s="1379">
        <f t="shared" si="14"/>
        <v>61341.599999999999</v>
      </c>
      <c r="F67" s="1379">
        <f t="shared" si="15"/>
        <v>15335.4</v>
      </c>
      <c r="G67" s="1381">
        <f t="shared" si="16"/>
        <v>0</v>
      </c>
      <c r="H67" s="1384">
        <f t="shared" si="17"/>
        <v>15335.4</v>
      </c>
      <c r="I67" s="1385">
        <f t="shared" si="5"/>
        <v>76677</v>
      </c>
      <c r="J67" s="1109">
        <v>0</v>
      </c>
      <c r="K67" s="1109">
        <v>61341.599999999999</v>
      </c>
      <c r="L67" s="1109">
        <v>15335.4</v>
      </c>
      <c r="M67" s="1109">
        <v>0</v>
      </c>
      <c r="N67" s="1109">
        <v>0</v>
      </c>
      <c r="O67" s="1110">
        <f t="shared" si="18"/>
        <v>76677</v>
      </c>
      <c r="P67" s="1418"/>
      <c r="Q67" s="1411"/>
      <c r="R67" s="1411"/>
      <c r="S67" s="1411"/>
      <c r="T67" s="1411"/>
      <c r="U67" s="1417">
        <f t="shared" si="19"/>
        <v>0</v>
      </c>
      <c r="V67" s="1411"/>
      <c r="W67" s="1411"/>
      <c r="X67" s="1411"/>
      <c r="Y67" s="1411"/>
      <c r="Z67" s="1411"/>
      <c r="AA67" s="1411">
        <f t="shared" si="20"/>
        <v>0</v>
      </c>
      <c r="AB67" s="1089"/>
      <c r="AC67" s="1090"/>
      <c r="AD67" s="1090"/>
      <c r="AE67" s="1090"/>
      <c r="AF67" s="1090"/>
      <c r="AG67" s="1091">
        <f t="shared" si="21"/>
        <v>0</v>
      </c>
      <c r="AH67" s="1089"/>
      <c r="AI67" s="1090"/>
      <c r="AJ67" s="1090"/>
      <c r="AK67" s="1090"/>
      <c r="AL67" s="1090"/>
      <c r="AM67" s="1094">
        <f t="shared" si="22"/>
        <v>0</v>
      </c>
      <c r="AN67" s="1089"/>
      <c r="AO67" s="1090"/>
      <c r="AP67" s="1090"/>
      <c r="AQ67" s="1090"/>
      <c r="AR67" s="1090"/>
      <c r="AS67" s="1094">
        <f t="shared" si="23"/>
        <v>0</v>
      </c>
      <c r="AT67" s="1089"/>
      <c r="AU67" s="1090"/>
      <c r="AV67" s="1090"/>
      <c r="AW67" s="1090"/>
      <c r="AX67" s="1090"/>
      <c r="AY67" s="1094">
        <f t="shared" si="24"/>
        <v>0</v>
      </c>
    </row>
    <row r="68" spans="1:51" s="831" customFormat="1" x14ac:dyDescent="0.25">
      <c r="A68" s="1108" t="s">
        <v>164</v>
      </c>
      <c r="B68" s="1108" t="s">
        <v>165</v>
      </c>
      <c r="C68" s="1053" t="s">
        <v>266</v>
      </c>
      <c r="D68" s="1379">
        <f t="shared" si="13"/>
        <v>-289.17</v>
      </c>
      <c r="E68" s="1379">
        <f t="shared" si="14"/>
        <v>29964.57</v>
      </c>
      <c r="F68" s="1379">
        <f t="shared" si="15"/>
        <v>7560.6</v>
      </c>
      <c r="G68" s="1381">
        <f t="shared" si="16"/>
        <v>250</v>
      </c>
      <c r="H68" s="1384">
        <f t="shared" si="17"/>
        <v>7810.6</v>
      </c>
      <c r="I68" s="1385">
        <f t="shared" si="5"/>
        <v>37486</v>
      </c>
      <c r="J68" s="1109">
        <v>0</v>
      </c>
      <c r="K68" s="1109">
        <v>30242.400000000001</v>
      </c>
      <c r="L68" s="1109">
        <v>7560.6</v>
      </c>
      <c r="M68" s="1109">
        <v>0</v>
      </c>
      <c r="N68" s="1109">
        <v>0</v>
      </c>
      <c r="O68" s="1110">
        <f t="shared" si="18"/>
        <v>37803</v>
      </c>
      <c r="P68" s="1418">
        <v>-289.17</v>
      </c>
      <c r="Q68" s="1411">
        <v>-277.83</v>
      </c>
      <c r="R68" s="1411">
        <v>0</v>
      </c>
      <c r="S68" s="1411">
        <v>0</v>
      </c>
      <c r="T68" s="1411">
        <v>0</v>
      </c>
      <c r="U68" s="1417">
        <f t="shared" si="19"/>
        <v>-567</v>
      </c>
      <c r="V68" s="1411"/>
      <c r="W68" s="1411"/>
      <c r="X68" s="1411"/>
      <c r="Y68" s="1411"/>
      <c r="Z68" s="1411"/>
      <c r="AA68" s="1411">
        <f t="shared" si="20"/>
        <v>0</v>
      </c>
      <c r="AB68" s="1092">
        <v>0</v>
      </c>
      <c r="AC68" s="1093">
        <v>0</v>
      </c>
      <c r="AD68" s="1093">
        <v>0</v>
      </c>
      <c r="AE68" s="1093">
        <v>250</v>
      </c>
      <c r="AF68" s="1093">
        <v>0</v>
      </c>
      <c r="AG68" s="1091">
        <f t="shared" si="21"/>
        <v>250</v>
      </c>
      <c r="AH68" s="1089"/>
      <c r="AI68" s="1090"/>
      <c r="AJ68" s="1090"/>
      <c r="AK68" s="1090"/>
      <c r="AL68" s="1090"/>
      <c r="AM68" s="1094">
        <f t="shared" si="22"/>
        <v>0</v>
      </c>
      <c r="AN68" s="1089"/>
      <c r="AO68" s="1090"/>
      <c r="AP68" s="1090"/>
      <c r="AQ68" s="1090"/>
      <c r="AR68" s="1090"/>
      <c r="AS68" s="1094">
        <f t="shared" si="23"/>
        <v>0</v>
      </c>
      <c r="AT68" s="1089"/>
      <c r="AU68" s="1090"/>
      <c r="AV68" s="1090"/>
      <c r="AW68" s="1090"/>
      <c r="AX68" s="1090"/>
      <c r="AY68" s="1094">
        <f t="shared" si="24"/>
        <v>0</v>
      </c>
    </row>
    <row r="69" spans="1:51" s="831" customFormat="1" x14ac:dyDescent="0.25">
      <c r="A69" s="1108" t="s">
        <v>168</v>
      </c>
      <c r="B69" s="1108" t="s">
        <v>169</v>
      </c>
      <c r="C69" s="1053" t="s">
        <v>266</v>
      </c>
      <c r="D69" s="1379">
        <f t="shared" si="13"/>
        <v>0</v>
      </c>
      <c r="E69" s="1379">
        <f t="shared" si="14"/>
        <v>88678.399999999994</v>
      </c>
      <c r="F69" s="1379">
        <f t="shared" si="15"/>
        <v>22169.599999999999</v>
      </c>
      <c r="G69" s="1381">
        <f t="shared" si="16"/>
        <v>0</v>
      </c>
      <c r="H69" s="1384">
        <f t="shared" ref="H69:H100" si="25">F69+G69</f>
        <v>22169.599999999999</v>
      </c>
      <c r="I69" s="1385">
        <f t="shared" ref="I69:I124" si="26">SUM(D69:G69)</f>
        <v>110848</v>
      </c>
      <c r="J69" s="1109">
        <v>0</v>
      </c>
      <c r="K69" s="1109">
        <v>88678.399999999994</v>
      </c>
      <c r="L69" s="1109">
        <v>22169.599999999999</v>
      </c>
      <c r="M69" s="1109">
        <v>0</v>
      </c>
      <c r="N69" s="1109">
        <v>0</v>
      </c>
      <c r="O69" s="1110">
        <f t="shared" ref="O69:O100" si="27">SUM(J69:N69)</f>
        <v>110848</v>
      </c>
      <c r="P69" s="1418"/>
      <c r="Q69" s="1411"/>
      <c r="R69" s="1411"/>
      <c r="S69" s="1411"/>
      <c r="T69" s="1411"/>
      <c r="U69" s="1417">
        <f t="shared" ref="U69:U100" si="28">SUM(P69:T69)</f>
        <v>0</v>
      </c>
      <c r="V69" s="1411"/>
      <c r="W69" s="1411"/>
      <c r="X69" s="1411"/>
      <c r="Y69" s="1411"/>
      <c r="Z69" s="1411"/>
      <c r="AA69" s="1411">
        <f t="shared" ref="AA69:AA100" si="29">SUM(V69:Z69)</f>
        <v>0</v>
      </c>
      <c r="AB69" s="1089"/>
      <c r="AC69" s="1090"/>
      <c r="AD69" s="1090"/>
      <c r="AE69" s="1090"/>
      <c r="AF69" s="1090"/>
      <c r="AG69" s="1091">
        <f t="shared" ref="AG69:AG100" si="30">SUM(AB69:AF69)</f>
        <v>0</v>
      </c>
      <c r="AH69" s="1089"/>
      <c r="AI69" s="1090"/>
      <c r="AJ69" s="1090"/>
      <c r="AK69" s="1090"/>
      <c r="AL69" s="1090"/>
      <c r="AM69" s="1094">
        <f t="shared" ref="AM69:AM100" si="31">SUM(AH69:AL69)</f>
        <v>0</v>
      </c>
      <c r="AN69" s="1089"/>
      <c r="AO69" s="1090"/>
      <c r="AP69" s="1090"/>
      <c r="AQ69" s="1090"/>
      <c r="AR69" s="1090"/>
      <c r="AS69" s="1094">
        <f t="shared" ref="AS69:AS100" si="32">SUM(AN69:AR69)</f>
        <v>0</v>
      </c>
      <c r="AT69" s="1089"/>
      <c r="AU69" s="1090"/>
      <c r="AV69" s="1090"/>
      <c r="AW69" s="1090"/>
      <c r="AX69" s="1090"/>
      <c r="AY69" s="1094">
        <f t="shared" ref="AY69:AY100" si="33">SUM(AT69:AX69)</f>
        <v>0</v>
      </c>
    </row>
    <row r="70" spans="1:51" s="831" customFormat="1" x14ac:dyDescent="0.25">
      <c r="A70" s="1108" t="s">
        <v>170</v>
      </c>
      <c r="B70" s="1108" t="s">
        <v>171</v>
      </c>
      <c r="C70" s="1053" t="s">
        <v>267</v>
      </c>
      <c r="D70" s="1379">
        <f t="shared" ref="D70:D124" si="34">J70+P70+V70+AB70+AH70+AN70+AT70</f>
        <v>-1176.06</v>
      </c>
      <c r="E70" s="1379">
        <f t="shared" ref="E70:E124" si="35">K70+Q70+W70+AC70+AI70+AO70+AU70</f>
        <v>60259.659999999996</v>
      </c>
      <c r="F70" s="1379">
        <f t="shared" ref="F70:F124" si="36">L70+R70+X70+AD70+AJ70+AP70+AV70</f>
        <v>15347.4</v>
      </c>
      <c r="G70" s="1381">
        <f t="shared" ref="G70:G124" si="37">M70+N70+S70+T70+Y70+Z70+AE70+AF70+AK70+AL70+AQ70+AR70+AW70+AX70</f>
        <v>0</v>
      </c>
      <c r="H70" s="1384">
        <f t="shared" si="25"/>
        <v>15347.4</v>
      </c>
      <c r="I70" s="1385">
        <f t="shared" si="26"/>
        <v>74431</v>
      </c>
      <c r="J70" s="1109">
        <v>0</v>
      </c>
      <c r="K70" s="1109">
        <v>61389.599999999999</v>
      </c>
      <c r="L70" s="1109">
        <v>15347.4</v>
      </c>
      <c r="M70" s="1109">
        <v>0</v>
      </c>
      <c r="N70" s="1109">
        <v>0</v>
      </c>
      <c r="O70" s="1110">
        <f t="shared" si="27"/>
        <v>76737</v>
      </c>
      <c r="P70" s="1418">
        <v>-1176.06</v>
      </c>
      <c r="Q70" s="1411">
        <v>-1129.94</v>
      </c>
      <c r="R70" s="1411">
        <v>0</v>
      </c>
      <c r="S70" s="1411">
        <v>0</v>
      </c>
      <c r="T70" s="1411">
        <v>0</v>
      </c>
      <c r="U70" s="1417">
        <f t="shared" si="28"/>
        <v>-2306</v>
      </c>
      <c r="V70" s="1411"/>
      <c r="W70" s="1411"/>
      <c r="X70" s="1411"/>
      <c r="Y70" s="1411"/>
      <c r="Z70" s="1411"/>
      <c r="AA70" s="1411">
        <f t="shared" si="29"/>
        <v>0</v>
      </c>
      <c r="AB70" s="1089"/>
      <c r="AC70" s="1090"/>
      <c r="AD70" s="1090"/>
      <c r="AE70" s="1090"/>
      <c r="AF70" s="1090"/>
      <c r="AG70" s="1091">
        <f t="shared" si="30"/>
        <v>0</v>
      </c>
      <c r="AH70" s="1089"/>
      <c r="AI70" s="1090"/>
      <c r="AJ70" s="1090"/>
      <c r="AK70" s="1090"/>
      <c r="AL70" s="1090"/>
      <c r="AM70" s="1094">
        <f t="shared" si="31"/>
        <v>0</v>
      </c>
      <c r="AN70" s="1089"/>
      <c r="AO70" s="1090"/>
      <c r="AP70" s="1090"/>
      <c r="AQ70" s="1090"/>
      <c r="AR70" s="1090"/>
      <c r="AS70" s="1094">
        <f t="shared" si="32"/>
        <v>0</v>
      </c>
      <c r="AT70" s="1089"/>
      <c r="AU70" s="1090"/>
      <c r="AV70" s="1090"/>
      <c r="AW70" s="1090"/>
      <c r="AX70" s="1090"/>
      <c r="AY70" s="1094">
        <f t="shared" si="33"/>
        <v>0</v>
      </c>
    </row>
    <row r="71" spans="1:51" s="831" customFormat="1" x14ac:dyDescent="0.25">
      <c r="A71" s="1108" t="s">
        <v>172</v>
      </c>
      <c r="B71" s="1108" t="s">
        <v>173</v>
      </c>
      <c r="C71" s="1053" t="s">
        <v>267</v>
      </c>
      <c r="D71" s="1379">
        <f t="shared" si="34"/>
        <v>-508.37</v>
      </c>
      <c r="E71" s="1379">
        <f t="shared" si="35"/>
        <v>73676.37000000001</v>
      </c>
      <c r="F71" s="1379">
        <f t="shared" si="36"/>
        <v>18541.2</v>
      </c>
      <c r="G71" s="1381">
        <f t="shared" si="37"/>
        <v>0</v>
      </c>
      <c r="H71" s="1384">
        <f t="shared" si="25"/>
        <v>18541.2</v>
      </c>
      <c r="I71" s="1385">
        <f t="shared" si="26"/>
        <v>91709.200000000012</v>
      </c>
      <c r="J71" s="1109">
        <v>0</v>
      </c>
      <c r="K71" s="1109">
        <v>74164.800000000003</v>
      </c>
      <c r="L71" s="1109">
        <v>18541.2</v>
      </c>
      <c r="M71" s="1109">
        <v>0</v>
      </c>
      <c r="N71" s="1109">
        <v>0</v>
      </c>
      <c r="O71" s="1110">
        <f t="shared" si="27"/>
        <v>92706</v>
      </c>
      <c r="P71" s="1418">
        <v>-508.37</v>
      </c>
      <c r="Q71" s="1411">
        <v>-488.43</v>
      </c>
      <c r="R71" s="1411">
        <v>0</v>
      </c>
      <c r="S71" s="1411">
        <v>0</v>
      </c>
      <c r="T71" s="1411">
        <v>0</v>
      </c>
      <c r="U71" s="1417">
        <f t="shared" si="28"/>
        <v>-996.8</v>
      </c>
      <c r="V71" s="1411"/>
      <c r="W71" s="1411"/>
      <c r="X71" s="1411"/>
      <c r="Y71" s="1411"/>
      <c r="Z71" s="1411"/>
      <c r="AA71" s="1411">
        <f t="shared" si="29"/>
        <v>0</v>
      </c>
      <c r="AB71" s="1089"/>
      <c r="AC71" s="1090"/>
      <c r="AD71" s="1090"/>
      <c r="AE71" s="1090"/>
      <c r="AF71" s="1090"/>
      <c r="AG71" s="1091">
        <f t="shared" si="30"/>
        <v>0</v>
      </c>
      <c r="AH71" s="1089"/>
      <c r="AI71" s="1090"/>
      <c r="AJ71" s="1090"/>
      <c r="AK71" s="1090"/>
      <c r="AL71" s="1090"/>
      <c r="AM71" s="1094">
        <f t="shared" si="31"/>
        <v>0</v>
      </c>
      <c r="AN71" s="1089"/>
      <c r="AO71" s="1090"/>
      <c r="AP71" s="1090"/>
      <c r="AQ71" s="1090"/>
      <c r="AR71" s="1090"/>
      <c r="AS71" s="1094">
        <f t="shared" si="32"/>
        <v>0</v>
      </c>
      <c r="AT71" s="1089"/>
      <c r="AU71" s="1090"/>
      <c r="AV71" s="1090"/>
      <c r="AW71" s="1090"/>
      <c r="AX71" s="1090"/>
      <c r="AY71" s="1094">
        <f t="shared" si="33"/>
        <v>0</v>
      </c>
    </row>
    <row r="72" spans="1:51" s="831" customFormat="1" x14ac:dyDescent="0.25">
      <c r="A72" s="1108" t="s">
        <v>174</v>
      </c>
      <c r="B72" s="1108" t="s">
        <v>175</v>
      </c>
      <c r="C72" s="1053" t="s">
        <v>268</v>
      </c>
      <c r="D72" s="1379">
        <f t="shared" si="34"/>
        <v>-1258</v>
      </c>
      <c r="E72" s="1379">
        <f t="shared" si="35"/>
        <v>71144.94</v>
      </c>
      <c r="F72" s="1379">
        <f t="shared" si="36"/>
        <v>18088.400000000001</v>
      </c>
      <c r="G72" s="1381">
        <f t="shared" si="37"/>
        <v>0</v>
      </c>
      <c r="H72" s="1384">
        <f t="shared" si="25"/>
        <v>18088.400000000001</v>
      </c>
      <c r="I72" s="1385">
        <f t="shared" si="26"/>
        <v>87975.34</v>
      </c>
      <c r="J72" s="1109">
        <v>0</v>
      </c>
      <c r="K72" s="1109">
        <v>72353.600000000006</v>
      </c>
      <c r="L72" s="1109">
        <v>18088.400000000001</v>
      </c>
      <c r="M72" s="1109">
        <v>0</v>
      </c>
      <c r="N72" s="1109">
        <v>0</v>
      </c>
      <c r="O72" s="1110">
        <f t="shared" si="27"/>
        <v>90442</v>
      </c>
      <c r="P72" s="1418">
        <v>-1258</v>
      </c>
      <c r="Q72" s="1411">
        <v>-1208.6600000000001</v>
      </c>
      <c r="R72" s="1411">
        <v>0</v>
      </c>
      <c r="S72" s="1411">
        <v>0</v>
      </c>
      <c r="T72" s="1411">
        <v>0</v>
      </c>
      <c r="U72" s="1417">
        <f t="shared" si="28"/>
        <v>-2466.66</v>
      </c>
      <c r="V72" s="1411"/>
      <c r="W72" s="1411"/>
      <c r="X72" s="1411"/>
      <c r="Y72" s="1411"/>
      <c r="Z72" s="1411"/>
      <c r="AA72" s="1411">
        <f t="shared" si="29"/>
        <v>0</v>
      </c>
      <c r="AB72" s="1089"/>
      <c r="AC72" s="1090"/>
      <c r="AD72" s="1090"/>
      <c r="AE72" s="1090"/>
      <c r="AF72" s="1090"/>
      <c r="AG72" s="1091">
        <f t="shared" si="30"/>
        <v>0</v>
      </c>
      <c r="AH72" s="1089"/>
      <c r="AI72" s="1090"/>
      <c r="AJ72" s="1090"/>
      <c r="AK72" s="1090"/>
      <c r="AL72" s="1090"/>
      <c r="AM72" s="1094">
        <f t="shared" si="31"/>
        <v>0</v>
      </c>
      <c r="AN72" s="1089"/>
      <c r="AO72" s="1090"/>
      <c r="AP72" s="1090"/>
      <c r="AQ72" s="1090"/>
      <c r="AR72" s="1090"/>
      <c r="AS72" s="1094">
        <f t="shared" si="32"/>
        <v>0</v>
      </c>
      <c r="AT72" s="1089"/>
      <c r="AU72" s="1090"/>
      <c r="AV72" s="1090"/>
      <c r="AW72" s="1090"/>
      <c r="AX72" s="1090"/>
      <c r="AY72" s="1094">
        <f t="shared" si="33"/>
        <v>0</v>
      </c>
    </row>
    <row r="73" spans="1:51" s="831" customFormat="1" x14ac:dyDescent="0.25">
      <c r="A73" s="1108" t="s">
        <v>178</v>
      </c>
      <c r="B73" s="1108" t="s">
        <v>179</v>
      </c>
      <c r="C73" s="1053" t="s">
        <v>265</v>
      </c>
      <c r="D73" s="1379">
        <f t="shared" si="34"/>
        <v>-268.77</v>
      </c>
      <c r="E73" s="1379">
        <f t="shared" si="35"/>
        <v>149500.97</v>
      </c>
      <c r="F73" s="1379">
        <f t="shared" si="36"/>
        <v>37439.800000000003</v>
      </c>
      <c r="G73" s="1381">
        <f t="shared" si="37"/>
        <v>3191</v>
      </c>
      <c r="H73" s="1384">
        <f t="shared" si="25"/>
        <v>40630.800000000003</v>
      </c>
      <c r="I73" s="1385">
        <f t="shared" si="26"/>
        <v>189863</v>
      </c>
      <c r="J73" s="1109">
        <v>0</v>
      </c>
      <c r="K73" s="1109">
        <v>149759.20000000001</v>
      </c>
      <c r="L73" s="1109">
        <v>37439.800000000003</v>
      </c>
      <c r="M73" s="1109">
        <v>0</v>
      </c>
      <c r="N73" s="1109">
        <v>0</v>
      </c>
      <c r="O73" s="1110">
        <f t="shared" si="27"/>
        <v>187199</v>
      </c>
      <c r="P73" s="1418">
        <v>-268.77</v>
      </c>
      <c r="Q73" s="1411">
        <v>-258.23</v>
      </c>
      <c r="R73" s="1411">
        <v>0</v>
      </c>
      <c r="S73" s="1411">
        <v>416</v>
      </c>
      <c r="T73" s="1411">
        <v>0</v>
      </c>
      <c r="U73" s="1417">
        <f t="shared" si="28"/>
        <v>-111</v>
      </c>
      <c r="V73" s="1411"/>
      <c r="W73" s="1411"/>
      <c r="X73" s="1411"/>
      <c r="Y73" s="1411"/>
      <c r="Z73" s="1411"/>
      <c r="AA73" s="1411">
        <f t="shared" si="29"/>
        <v>0</v>
      </c>
      <c r="AB73" s="1092">
        <v>0</v>
      </c>
      <c r="AC73" s="1093">
        <v>0</v>
      </c>
      <c r="AD73" s="1093">
        <v>0</v>
      </c>
      <c r="AE73" s="1093">
        <v>2775</v>
      </c>
      <c r="AF73" s="1093">
        <v>0</v>
      </c>
      <c r="AG73" s="1091">
        <f t="shared" si="30"/>
        <v>2775</v>
      </c>
      <c r="AH73" s="1089"/>
      <c r="AI73" s="1090"/>
      <c r="AJ73" s="1090"/>
      <c r="AK73" s="1090"/>
      <c r="AL73" s="1090"/>
      <c r="AM73" s="1094">
        <f t="shared" si="31"/>
        <v>0</v>
      </c>
      <c r="AN73" s="1089"/>
      <c r="AO73" s="1090"/>
      <c r="AP73" s="1090"/>
      <c r="AQ73" s="1090"/>
      <c r="AR73" s="1090"/>
      <c r="AS73" s="1094">
        <f t="shared" si="32"/>
        <v>0</v>
      </c>
      <c r="AT73" s="1089"/>
      <c r="AU73" s="1090"/>
      <c r="AV73" s="1090"/>
      <c r="AW73" s="1090"/>
      <c r="AX73" s="1090"/>
      <c r="AY73" s="1094">
        <f t="shared" si="33"/>
        <v>0</v>
      </c>
    </row>
    <row r="74" spans="1:51" s="831" customFormat="1" x14ac:dyDescent="0.25">
      <c r="A74" s="1108" t="s">
        <v>182</v>
      </c>
      <c r="B74" s="1108" t="s">
        <v>183</v>
      </c>
      <c r="C74" s="1053" t="s">
        <v>266</v>
      </c>
      <c r="D74" s="1379">
        <f t="shared" si="34"/>
        <v>0</v>
      </c>
      <c r="E74" s="1379">
        <f t="shared" si="35"/>
        <v>41011.199999999997</v>
      </c>
      <c r="F74" s="1379">
        <f t="shared" si="36"/>
        <v>10252.799999999999</v>
      </c>
      <c r="G74" s="1381">
        <f t="shared" si="37"/>
        <v>0</v>
      </c>
      <c r="H74" s="1384">
        <f t="shared" si="25"/>
        <v>10252.799999999999</v>
      </c>
      <c r="I74" s="1385">
        <f t="shared" si="26"/>
        <v>51264</v>
      </c>
      <c r="J74" s="1109">
        <v>0</v>
      </c>
      <c r="K74" s="1109">
        <v>41011.199999999997</v>
      </c>
      <c r="L74" s="1109">
        <v>10252.799999999999</v>
      </c>
      <c r="M74" s="1109">
        <v>0</v>
      </c>
      <c r="N74" s="1109">
        <v>0</v>
      </c>
      <c r="O74" s="1110">
        <f t="shared" si="27"/>
        <v>51264</v>
      </c>
      <c r="P74" s="1418"/>
      <c r="Q74" s="1411"/>
      <c r="R74" s="1411"/>
      <c r="S74" s="1411"/>
      <c r="T74" s="1411"/>
      <c r="U74" s="1417">
        <f t="shared" si="28"/>
        <v>0</v>
      </c>
      <c r="V74" s="1411"/>
      <c r="W74" s="1411"/>
      <c r="X74" s="1411"/>
      <c r="Y74" s="1411"/>
      <c r="Z74" s="1411"/>
      <c r="AA74" s="1411">
        <f t="shared" si="29"/>
        <v>0</v>
      </c>
      <c r="AB74" s="1089"/>
      <c r="AC74" s="1090"/>
      <c r="AD74" s="1090"/>
      <c r="AE74" s="1090"/>
      <c r="AF74" s="1090"/>
      <c r="AG74" s="1091">
        <f t="shared" si="30"/>
        <v>0</v>
      </c>
      <c r="AH74" s="1089"/>
      <c r="AI74" s="1090"/>
      <c r="AJ74" s="1090"/>
      <c r="AK74" s="1090"/>
      <c r="AL74" s="1090"/>
      <c r="AM74" s="1094">
        <f t="shared" si="31"/>
        <v>0</v>
      </c>
      <c r="AN74" s="1089"/>
      <c r="AO74" s="1090"/>
      <c r="AP74" s="1090"/>
      <c r="AQ74" s="1090"/>
      <c r="AR74" s="1090"/>
      <c r="AS74" s="1094">
        <f t="shared" si="32"/>
        <v>0</v>
      </c>
      <c r="AT74" s="1089"/>
      <c r="AU74" s="1090"/>
      <c r="AV74" s="1090"/>
      <c r="AW74" s="1090"/>
      <c r="AX74" s="1090"/>
      <c r="AY74" s="1094">
        <f t="shared" si="33"/>
        <v>0</v>
      </c>
    </row>
    <row r="75" spans="1:51" s="831" customFormat="1" x14ac:dyDescent="0.25">
      <c r="A75" s="1108" t="s">
        <v>184</v>
      </c>
      <c r="B75" s="1108" t="s">
        <v>185</v>
      </c>
      <c r="C75" s="1053" t="s">
        <v>266</v>
      </c>
      <c r="D75" s="1379">
        <f t="shared" si="34"/>
        <v>0</v>
      </c>
      <c r="E75" s="1379">
        <f t="shared" si="35"/>
        <v>93699.199999999997</v>
      </c>
      <c r="F75" s="1379">
        <f t="shared" si="36"/>
        <v>23424.799999999999</v>
      </c>
      <c r="G75" s="1381">
        <f t="shared" si="37"/>
        <v>0</v>
      </c>
      <c r="H75" s="1384">
        <f t="shared" si="25"/>
        <v>23424.799999999999</v>
      </c>
      <c r="I75" s="1385">
        <f t="shared" si="26"/>
        <v>117124</v>
      </c>
      <c r="J75" s="1109">
        <v>0</v>
      </c>
      <c r="K75" s="1109">
        <v>93699.199999999997</v>
      </c>
      <c r="L75" s="1109">
        <v>23424.799999999999</v>
      </c>
      <c r="M75" s="1109">
        <v>0</v>
      </c>
      <c r="N75" s="1109">
        <v>0</v>
      </c>
      <c r="O75" s="1110">
        <f t="shared" si="27"/>
        <v>117124</v>
      </c>
      <c r="P75" s="1418"/>
      <c r="Q75" s="1411"/>
      <c r="R75" s="1411"/>
      <c r="S75" s="1411"/>
      <c r="T75" s="1411"/>
      <c r="U75" s="1417">
        <f t="shared" si="28"/>
        <v>0</v>
      </c>
      <c r="V75" s="1411"/>
      <c r="W75" s="1411"/>
      <c r="X75" s="1411"/>
      <c r="Y75" s="1411"/>
      <c r="Z75" s="1411"/>
      <c r="AA75" s="1411">
        <f t="shared" si="29"/>
        <v>0</v>
      </c>
      <c r="AB75" s="1089"/>
      <c r="AC75" s="1090"/>
      <c r="AD75" s="1090"/>
      <c r="AE75" s="1090"/>
      <c r="AF75" s="1090"/>
      <c r="AG75" s="1091">
        <f t="shared" si="30"/>
        <v>0</v>
      </c>
      <c r="AH75" s="1089"/>
      <c r="AI75" s="1090"/>
      <c r="AJ75" s="1090"/>
      <c r="AK75" s="1090"/>
      <c r="AL75" s="1090"/>
      <c r="AM75" s="1094">
        <f t="shared" si="31"/>
        <v>0</v>
      </c>
      <c r="AN75" s="1089"/>
      <c r="AO75" s="1090"/>
      <c r="AP75" s="1090"/>
      <c r="AQ75" s="1090"/>
      <c r="AR75" s="1090"/>
      <c r="AS75" s="1094">
        <f t="shared" si="32"/>
        <v>0</v>
      </c>
      <c r="AT75" s="1089"/>
      <c r="AU75" s="1090"/>
      <c r="AV75" s="1090"/>
      <c r="AW75" s="1090"/>
      <c r="AX75" s="1090"/>
      <c r="AY75" s="1094">
        <f t="shared" si="33"/>
        <v>0</v>
      </c>
    </row>
    <row r="76" spans="1:51" s="831" customFormat="1" x14ac:dyDescent="0.25">
      <c r="A76" s="1108" t="s">
        <v>186</v>
      </c>
      <c r="B76" s="1108" t="s">
        <v>187</v>
      </c>
      <c r="C76" s="1053" t="s">
        <v>264</v>
      </c>
      <c r="D76" s="1379">
        <f t="shared" si="34"/>
        <v>0</v>
      </c>
      <c r="E76" s="1379">
        <f t="shared" si="35"/>
        <v>36640</v>
      </c>
      <c r="F76" s="1379">
        <f t="shared" si="36"/>
        <v>9160</v>
      </c>
      <c r="G76" s="1381">
        <f t="shared" si="37"/>
        <v>0</v>
      </c>
      <c r="H76" s="1384">
        <f t="shared" si="25"/>
        <v>9160</v>
      </c>
      <c r="I76" s="1385">
        <f t="shared" si="26"/>
        <v>45800</v>
      </c>
      <c r="J76" s="1109">
        <v>0</v>
      </c>
      <c r="K76" s="1109">
        <v>36640</v>
      </c>
      <c r="L76" s="1109">
        <v>9160</v>
      </c>
      <c r="M76" s="1109">
        <v>0</v>
      </c>
      <c r="N76" s="1109">
        <v>0</v>
      </c>
      <c r="O76" s="1110">
        <f t="shared" si="27"/>
        <v>45800</v>
      </c>
      <c r="P76" s="1418"/>
      <c r="Q76" s="1411"/>
      <c r="R76" s="1411"/>
      <c r="S76" s="1411"/>
      <c r="T76" s="1411"/>
      <c r="U76" s="1417">
        <f t="shared" si="28"/>
        <v>0</v>
      </c>
      <c r="V76" s="1411"/>
      <c r="W76" s="1411"/>
      <c r="X76" s="1411"/>
      <c r="Y76" s="1411"/>
      <c r="Z76" s="1411"/>
      <c r="AA76" s="1411">
        <f t="shared" si="29"/>
        <v>0</v>
      </c>
      <c r="AB76" s="1089"/>
      <c r="AC76" s="1090"/>
      <c r="AD76" s="1090"/>
      <c r="AE76" s="1090"/>
      <c r="AF76" s="1090"/>
      <c r="AG76" s="1091">
        <f t="shared" si="30"/>
        <v>0</v>
      </c>
      <c r="AH76" s="1089"/>
      <c r="AI76" s="1090"/>
      <c r="AJ76" s="1090"/>
      <c r="AK76" s="1090"/>
      <c r="AL76" s="1090"/>
      <c r="AM76" s="1094">
        <f t="shared" si="31"/>
        <v>0</v>
      </c>
      <c r="AN76" s="1089"/>
      <c r="AO76" s="1090"/>
      <c r="AP76" s="1090"/>
      <c r="AQ76" s="1090"/>
      <c r="AR76" s="1090"/>
      <c r="AS76" s="1094">
        <f t="shared" si="32"/>
        <v>0</v>
      </c>
      <c r="AT76" s="1089"/>
      <c r="AU76" s="1090"/>
      <c r="AV76" s="1090"/>
      <c r="AW76" s="1090"/>
      <c r="AX76" s="1090"/>
      <c r="AY76" s="1094">
        <f t="shared" si="33"/>
        <v>0</v>
      </c>
    </row>
    <row r="77" spans="1:51" s="831" customFormat="1" x14ac:dyDescent="0.25">
      <c r="A77" s="1108" t="s">
        <v>188</v>
      </c>
      <c r="B77" s="1108" t="s">
        <v>189</v>
      </c>
      <c r="C77" s="1053" t="s">
        <v>267</v>
      </c>
      <c r="D77" s="1379">
        <f t="shared" si="34"/>
        <v>45549.47</v>
      </c>
      <c r="E77" s="1379">
        <f t="shared" si="35"/>
        <v>299744.01999999996</v>
      </c>
      <c r="F77" s="1379">
        <f t="shared" si="36"/>
        <v>76392.2</v>
      </c>
      <c r="G77" s="1381">
        <f t="shared" si="37"/>
        <v>0.02</v>
      </c>
      <c r="H77" s="1384">
        <f t="shared" si="25"/>
        <v>76392.22</v>
      </c>
      <c r="I77" s="1385">
        <f t="shared" si="26"/>
        <v>421685.71</v>
      </c>
      <c r="J77" s="1109">
        <v>0</v>
      </c>
      <c r="K77" s="1109">
        <v>305568.8</v>
      </c>
      <c r="L77" s="1109">
        <v>76392.2</v>
      </c>
      <c r="M77" s="1109">
        <v>0</v>
      </c>
      <c r="N77" s="1109">
        <v>0</v>
      </c>
      <c r="O77" s="1110">
        <f t="shared" si="27"/>
        <v>381961</v>
      </c>
      <c r="P77" s="1418">
        <v>-6062.53</v>
      </c>
      <c r="Q77" s="1411">
        <v>-5824.78</v>
      </c>
      <c r="R77" s="1411">
        <v>0</v>
      </c>
      <c r="S77" s="1411">
        <v>0.02</v>
      </c>
      <c r="T77" s="1411">
        <v>0</v>
      </c>
      <c r="U77" s="1417">
        <f t="shared" si="28"/>
        <v>-11887.289999999999</v>
      </c>
      <c r="V77" s="1411"/>
      <c r="W77" s="1411"/>
      <c r="X77" s="1411"/>
      <c r="Y77" s="1411"/>
      <c r="Z77" s="1411"/>
      <c r="AA77" s="1411">
        <f t="shared" si="29"/>
        <v>0</v>
      </c>
      <c r="AB77" s="1089"/>
      <c r="AC77" s="1090"/>
      <c r="AD77" s="1090"/>
      <c r="AE77" s="1090"/>
      <c r="AF77" s="1090"/>
      <c r="AG77" s="1091">
        <f t="shared" si="30"/>
        <v>0</v>
      </c>
      <c r="AH77" s="1092">
        <v>51612</v>
      </c>
      <c r="AI77" s="1093">
        <v>0</v>
      </c>
      <c r="AJ77" s="1093">
        <v>0</v>
      </c>
      <c r="AK77" s="1093">
        <v>0</v>
      </c>
      <c r="AL77" s="1093">
        <v>0</v>
      </c>
      <c r="AM77" s="1094">
        <f t="shared" si="31"/>
        <v>51612</v>
      </c>
      <c r="AN77" s="1092"/>
      <c r="AO77" s="1093"/>
      <c r="AP77" s="1093"/>
      <c r="AQ77" s="1093"/>
      <c r="AR77" s="1093"/>
      <c r="AS77" s="1094">
        <f t="shared" si="32"/>
        <v>0</v>
      </c>
      <c r="AT77" s="1092"/>
      <c r="AU77" s="1093"/>
      <c r="AV77" s="1093"/>
      <c r="AW77" s="1093"/>
      <c r="AX77" s="1093"/>
      <c r="AY77" s="1094">
        <f t="shared" si="33"/>
        <v>0</v>
      </c>
    </row>
    <row r="78" spans="1:51" s="831" customFormat="1" x14ac:dyDescent="0.25">
      <c r="A78" s="1108" t="s">
        <v>190</v>
      </c>
      <c r="B78" s="1108" t="s">
        <v>191</v>
      </c>
      <c r="C78" s="1053" t="s">
        <v>268</v>
      </c>
      <c r="D78" s="1379">
        <f t="shared" si="34"/>
        <v>-1037.3699999999999</v>
      </c>
      <c r="E78" s="1379">
        <f t="shared" si="35"/>
        <v>155285.69999999998</v>
      </c>
      <c r="F78" s="1379">
        <f t="shared" si="36"/>
        <v>39070.6</v>
      </c>
      <c r="G78" s="1381">
        <f t="shared" si="37"/>
        <v>4000.01</v>
      </c>
      <c r="H78" s="1384">
        <f t="shared" si="25"/>
        <v>43070.61</v>
      </c>
      <c r="I78" s="1385">
        <f t="shared" si="26"/>
        <v>197318.94</v>
      </c>
      <c r="J78" s="1109">
        <v>0</v>
      </c>
      <c r="K78" s="1109">
        <v>156282.4</v>
      </c>
      <c r="L78" s="1109">
        <v>39070.6</v>
      </c>
      <c r="M78" s="1109">
        <v>0</v>
      </c>
      <c r="N78" s="1109">
        <v>0</v>
      </c>
      <c r="O78" s="1110">
        <f t="shared" si="27"/>
        <v>195353</v>
      </c>
      <c r="P78" s="1418">
        <v>-1037.3699999999999</v>
      </c>
      <c r="Q78" s="1411">
        <v>-996.7</v>
      </c>
      <c r="R78" s="1411">
        <v>0</v>
      </c>
      <c r="S78" s="1411">
        <v>0.01</v>
      </c>
      <c r="T78" s="1411">
        <v>0</v>
      </c>
      <c r="U78" s="1417">
        <f t="shared" si="28"/>
        <v>-2034.06</v>
      </c>
      <c r="V78" s="1411"/>
      <c r="W78" s="1411"/>
      <c r="X78" s="1411"/>
      <c r="Y78" s="1411"/>
      <c r="Z78" s="1411"/>
      <c r="AA78" s="1411">
        <f t="shared" si="29"/>
        <v>0</v>
      </c>
      <c r="AB78" s="1092">
        <v>0</v>
      </c>
      <c r="AC78" s="1093">
        <v>0</v>
      </c>
      <c r="AD78" s="1093">
        <v>0</v>
      </c>
      <c r="AE78" s="1093">
        <v>0</v>
      </c>
      <c r="AF78" s="1093">
        <v>4000</v>
      </c>
      <c r="AG78" s="1091">
        <f t="shared" si="30"/>
        <v>4000</v>
      </c>
      <c r="AH78" s="1089"/>
      <c r="AI78" s="1090"/>
      <c r="AJ78" s="1090"/>
      <c r="AK78" s="1090"/>
      <c r="AL78" s="1090"/>
      <c r="AM78" s="1094">
        <f t="shared" si="31"/>
        <v>0</v>
      </c>
      <c r="AN78" s="1089"/>
      <c r="AO78" s="1090"/>
      <c r="AP78" s="1090"/>
      <c r="AQ78" s="1090"/>
      <c r="AR78" s="1090"/>
      <c r="AS78" s="1094">
        <f t="shared" si="32"/>
        <v>0</v>
      </c>
      <c r="AT78" s="1089"/>
      <c r="AU78" s="1090"/>
      <c r="AV78" s="1090"/>
      <c r="AW78" s="1090"/>
      <c r="AX78" s="1090"/>
      <c r="AY78" s="1094">
        <f t="shared" si="33"/>
        <v>0</v>
      </c>
    </row>
    <row r="79" spans="1:51" s="831" customFormat="1" x14ac:dyDescent="0.25">
      <c r="A79" s="1108" t="s">
        <v>194</v>
      </c>
      <c r="B79" s="1108" t="s">
        <v>195</v>
      </c>
      <c r="C79" s="1053" t="s">
        <v>267</v>
      </c>
      <c r="D79" s="1379">
        <f t="shared" si="34"/>
        <v>0</v>
      </c>
      <c r="E79" s="1379">
        <f t="shared" si="35"/>
        <v>4998.3999999999996</v>
      </c>
      <c r="F79" s="1379">
        <f t="shared" si="36"/>
        <v>1249.5999999999999</v>
      </c>
      <c r="G79" s="1381">
        <f t="shared" si="37"/>
        <v>0</v>
      </c>
      <c r="H79" s="1384">
        <f t="shared" si="25"/>
        <v>1249.5999999999999</v>
      </c>
      <c r="I79" s="1385">
        <f t="shared" si="26"/>
        <v>6248</v>
      </c>
      <c r="J79" s="1109">
        <v>0</v>
      </c>
      <c r="K79" s="1109">
        <v>4998.3999999999996</v>
      </c>
      <c r="L79" s="1109">
        <v>1249.5999999999999</v>
      </c>
      <c r="M79" s="1109">
        <v>0</v>
      </c>
      <c r="N79" s="1109">
        <v>0</v>
      </c>
      <c r="O79" s="1110">
        <f t="shared" si="27"/>
        <v>6248</v>
      </c>
      <c r="P79" s="1418"/>
      <c r="Q79" s="1411"/>
      <c r="R79" s="1411"/>
      <c r="S79" s="1411"/>
      <c r="T79" s="1411"/>
      <c r="U79" s="1417">
        <f t="shared" si="28"/>
        <v>0</v>
      </c>
      <c r="V79" s="1411"/>
      <c r="W79" s="1411"/>
      <c r="X79" s="1411"/>
      <c r="Y79" s="1411"/>
      <c r="Z79" s="1411"/>
      <c r="AA79" s="1411">
        <f t="shared" si="29"/>
        <v>0</v>
      </c>
      <c r="AB79" s="1089"/>
      <c r="AC79" s="1090"/>
      <c r="AD79" s="1090"/>
      <c r="AE79" s="1090"/>
      <c r="AF79" s="1090"/>
      <c r="AG79" s="1091">
        <f t="shared" si="30"/>
        <v>0</v>
      </c>
      <c r="AH79" s="1089"/>
      <c r="AI79" s="1090"/>
      <c r="AJ79" s="1090"/>
      <c r="AK79" s="1090"/>
      <c r="AL79" s="1090"/>
      <c r="AM79" s="1094">
        <f t="shared" si="31"/>
        <v>0</v>
      </c>
      <c r="AN79" s="1089"/>
      <c r="AO79" s="1090"/>
      <c r="AP79" s="1090"/>
      <c r="AQ79" s="1090"/>
      <c r="AR79" s="1090"/>
      <c r="AS79" s="1094">
        <f t="shared" si="32"/>
        <v>0</v>
      </c>
      <c r="AT79" s="1089"/>
      <c r="AU79" s="1090"/>
      <c r="AV79" s="1090"/>
      <c r="AW79" s="1090"/>
      <c r="AX79" s="1090"/>
      <c r="AY79" s="1094">
        <f t="shared" si="33"/>
        <v>0</v>
      </c>
    </row>
    <row r="80" spans="1:51" s="831" customFormat="1" x14ac:dyDescent="0.25">
      <c r="A80" s="1108" t="s">
        <v>198</v>
      </c>
      <c r="B80" s="1108" t="s">
        <v>199</v>
      </c>
      <c r="C80" s="1053" t="s">
        <v>266</v>
      </c>
      <c r="D80" s="1379">
        <f t="shared" si="34"/>
        <v>0</v>
      </c>
      <c r="E80" s="1379">
        <f t="shared" si="35"/>
        <v>16060.8</v>
      </c>
      <c r="F80" s="1379">
        <f t="shared" si="36"/>
        <v>4015.2</v>
      </c>
      <c r="G80" s="1381">
        <f t="shared" si="37"/>
        <v>0</v>
      </c>
      <c r="H80" s="1384">
        <f t="shared" si="25"/>
        <v>4015.2</v>
      </c>
      <c r="I80" s="1385">
        <f t="shared" si="26"/>
        <v>20076</v>
      </c>
      <c r="J80" s="1109">
        <v>0</v>
      </c>
      <c r="K80" s="1109">
        <v>16060.8</v>
      </c>
      <c r="L80" s="1109">
        <v>4015.2</v>
      </c>
      <c r="M80" s="1109">
        <v>0</v>
      </c>
      <c r="N80" s="1109">
        <v>0</v>
      </c>
      <c r="O80" s="1110">
        <f t="shared" si="27"/>
        <v>20076</v>
      </c>
      <c r="P80" s="1418"/>
      <c r="Q80" s="1411"/>
      <c r="R80" s="1411"/>
      <c r="S80" s="1411"/>
      <c r="T80" s="1411"/>
      <c r="U80" s="1417">
        <f t="shared" si="28"/>
        <v>0</v>
      </c>
      <c r="V80" s="1411"/>
      <c r="W80" s="1411"/>
      <c r="X80" s="1411"/>
      <c r="Y80" s="1411"/>
      <c r="Z80" s="1411"/>
      <c r="AA80" s="1411">
        <f t="shared" si="29"/>
        <v>0</v>
      </c>
      <c r="AB80" s="1089"/>
      <c r="AC80" s="1090"/>
      <c r="AD80" s="1090"/>
      <c r="AE80" s="1090"/>
      <c r="AF80" s="1090"/>
      <c r="AG80" s="1091">
        <f t="shared" si="30"/>
        <v>0</v>
      </c>
      <c r="AH80" s="1089"/>
      <c r="AI80" s="1090"/>
      <c r="AJ80" s="1090"/>
      <c r="AK80" s="1090"/>
      <c r="AL80" s="1090"/>
      <c r="AM80" s="1094">
        <f t="shared" si="31"/>
        <v>0</v>
      </c>
      <c r="AN80" s="1089"/>
      <c r="AO80" s="1090"/>
      <c r="AP80" s="1090"/>
      <c r="AQ80" s="1090"/>
      <c r="AR80" s="1090"/>
      <c r="AS80" s="1094">
        <f t="shared" si="32"/>
        <v>0</v>
      </c>
      <c r="AT80" s="1089"/>
      <c r="AU80" s="1090"/>
      <c r="AV80" s="1090"/>
      <c r="AW80" s="1090"/>
      <c r="AX80" s="1090"/>
      <c r="AY80" s="1094">
        <f t="shared" si="33"/>
        <v>0</v>
      </c>
    </row>
    <row r="81" spans="1:51" s="831" customFormat="1" x14ac:dyDescent="0.25">
      <c r="A81" s="1108" t="s">
        <v>202</v>
      </c>
      <c r="B81" s="1108" t="s">
        <v>203</v>
      </c>
      <c r="C81" s="1053" t="s">
        <v>265</v>
      </c>
      <c r="D81" s="1379">
        <f t="shared" si="34"/>
        <v>9795</v>
      </c>
      <c r="E81" s="1379">
        <f t="shared" si="35"/>
        <v>230783.2</v>
      </c>
      <c r="F81" s="1379">
        <f t="shared" si="36"/>
        <v>57695.8</v>
      </c>
      <c r="G81" s="1381">
        <f t="shared" si="37"/>
        <v>10134.44</v>
      </c>
      <c r="H81" s="1384">
        <f t="shared" si="25"/>
        <v>67830.240000000005</v>
      </c>
      <c r="I81" s="1385">
        <f t="shared" si="26"/>
        <v>308408.44</v>
      </c>
      <c r="J81" s="1109">
        <v>0</v>
      </c>
      <c r="K81" s="1109">
        <v>230783.2</v>
      </c>
      <c r="L81" s="1109">
        <v>57695.8</v>
      </c>
      <c r="M81" s="1109">
        <v>0</v>
      </c>
      <c r="N81" s="1109">
        <v>0</v>
      </c>
      <c r="O81" s="1110">
        <f t="shared" si="27"/>
        <v>288479</v>
      </c>
      <c r="P81" s="1418"/>
      <c r="Q81" s="1411"/>
      <c r="R81" s="1411"/>
      <c r="S81" s="1411"/>
      <c r="T81" s="1411"/>
      <c r="U81" s="1417">
        <f t="shared" si="28"/>
        <v>0</v>
      </c>
      <c r="V81" s="1411"/>
      <c r="W81" s="1411"/>
      <c r="X81" s="1411"/>
      <c r="Y81" s="1411"/>
      <c r="Z81" s="1411"/>
      <c r="AA81" s="1411">
        <f t="shared" si="29"/>
        <v>0</v>
      </c>
      <c r="AB81" s="1092">
        <v>0</v>
      </c>
      <c r="AC81" s="1093">
        <v>0</v>
      </c>
      <c r="AD81" s="1093">
        <v>0</v>
      </c>
      <c r="AE81" s="1093">
        <v>9096.44</v>
      </c>
      <c r="AF81" s="1093">
        <v>0</v>
      </c>
      <c r="AG81" s="1091">
        <f t="shared" si="30"/>
        <v>9096.44</v>
      </c>
      <c r="AH81" s="1092">
        <v>9795</v>
      </c>
      <c r="AI81" s="1093">
        <v>0</v>
      </c>
      <c r="AJ81" s="1093">
        <v>0</v>
      </c>
      <c r="AK81" s="1093">
        <v>1038</v>
      </c>
      <c r="AL81" s="1093">
        <v>0</v>
      </c>
      <c r="AM81" s="1094">
        <f t="shared" si="31"/>
        <v>10833</v>
      </c>
      <c r="AN81" s="1092"/>
      <c r="AO81" s="1093"/>
      <c r="AP81" s="1093"/>
      <c r="AQ81" s="1093"/>
      <c r="AR81" s="1093"/>
      <c r="AS81" s="1094">
        <f t="shared" si="32"/>
        <v>0</v>
      </c>
      <c r="AT81" s="1092"/>
      <c r="AU81" s="1093"/>
      <c r="AV81" s="1093"/>
      <c r="AW81" s="1093"/>
      <c r="AX81" s="1093"/>
      <c r="AY81" s="1094">
        <f t="shared" si="33"/>
        <v>0</v>
      </c>
    </row>
    <row r="82" spans="1:51" s="831" customFormat="1" x14ac:dyDescent="0.25">
      <c r="A82" s="1108" t="s">
        <v>204</v>
      </c>
      <c r="B82" s="1108" t="s">
        <v>205</v>
      </c>
      <c r="C82" s="1053" t="s">
        <v>265</v>
      </c>
      <c r="D82" s="1379">
        <f t="shared" si="34"/>
        <v>0</v>
      </c>
      <c r="E82" s="1379">
        <f t="shared" si="35"/>
        <v>86900.800000000003</v>
      </c>
      <c r="F82" s="1379">
        <f t="shared" si="36"/>
        <v>21725.200000000001</v>
      </c>
      <c r="G82" s="1381">
        <f t="shared" si="37"/>
        <v>0</v>
      </c>
      <c r="H82" s="1384">
        <f t="shared" si="25"/>
        <v>21725.200000000001</v>
      </c>
      <c r="I82" s="1385">
        <f t="shared" si="26"/>
        <v>108626</v>
      </c>
      <c r="J82" s="1109">
        <v>0</v>
      </c>
      <c r="K82" s="1109">
        <v>86900.800000000003</v>
      </c>
      <c r="L82" s="1109">
        <v>21725.200000000001</v>
      </c>
      <c r="M82" s="1109">
        <v>0</v>
      </c>
      <c r="N82" s="1109">
        <v>0</v>
      </c>
      <c r="O82" s="1110">
        <f t="shared" si="27"/>
        <v>108626</v>
      </c>
      <c r="P82" s="1418"/>
      <c r="Q82" s="1411"/>
      <c r="R82" s="1411"/>
      <c r="S82" s="1411"/>
      <c r="T82" s="1411"/>
      <c r="U82" s="1417">
        <f t="shared" si="28"/>
        <v>0</v>
      </c>
      <c r="V82" s="1411"/>
      <c r="W82" s="1411"/>
      <c r="X82" s="1411"/>
      <c r="Y82" s="1411"/>
      <c r="Z82" s="1411"/>
      <c r="AA82" s="1411">
        <f t="shared" si="29"/>
        <v>0</v>
      </c>
      <c r="AB82" s="1089"/>
      <c r="AC82" s="1090"/>
      <c r="AD82" s="1090"/>
      <c r="AE82" s="1090"/>
      <c r="AF82" s="1090"/>
      <c r="AG82" s="1091">
        <f t="shared" si="30"/>
        <v>0</v>
      </c>
      <c r="AH82" s="1089"/>
      <c r="AI82" s="1090"/>
      <c r="AJ82" s="1090"/>
      <c r="AK82" s="1090"/>
      <c r="AL82" s="1090"/>
      <c r="AM82" s="1094">
        <f t="shared" si="31"/>
        <v>0</v>
      </c>
      <c r="AN82" s="1089"/>
      <c r="AO82" s="1090"/>
      <c r="AP82" s="1090"/>
      <c r="AQ82" s="1090"/>
      <c r="AR82" s="1090"/>
      <c r="AS82" s="1094">
        <f t="shared" si="32"/>
        <v>0</v>
      </c>
      <c r="AT82" s="1089"/>
      <c r="AU82" s="1090"/>
      <c r="AV82" s="1090"/>
      <c r="AW82" s="1090"/>
      <c r="AX82" s="1090"/>
      <c r="AY82" s="1094">
        <f t="shared" si="33"/>
        <v>0</v>
      </c>
    </row>
    <row r="83" spans="1:51" s="831" customFormat="1" x14ac:dyDescent="0.25">
      <c r="A83" s="1108" t="s">
        <v>206</v>
      </c>
      <c r="B83" s="1108" t="s">
        <v>207</v>
      </c>
      <c r="C83" s="1053" t="s">
        <v>267</v>
      </c>
      <c r="D83" s="1379">
        <f t="shared" si="34"/>
        <v>58982.979999999996</v>
      </c>
      <c r="E83" s="1379">
        <f t="shared" si="35"/>
        <v>246653.86</v>
      </c>
      <c r="F83" s="1379">
        <f t="shared" si="36"/>
        <v>62137.399999999994</v>
      </c>
      <c r="G83" s="1381">
        <f t="shared" si="37"/>
        <v>0</v>
      </c>
      <c r="H83" s="1384">
        <f t="shared" si="25"/>
        <v>62137.399999999994</v>
      </c>
      <c r="I83" s="1385">
        <f t="shared" si="26"/>
        <v>367774.24</v>
      </c>
      <c r="J83" s="1109">
        <v>0</v>
      </c>
      <c r="K83" s="1109">
        <v>248549.59999999998</v>
      </c>
      <c r="L83" s="1109">
        <v>62137.399999999994</v>
      </c>
      <c r="M83" s="1109">
        <v>0</v>
      </c>
      <c r="N83" s="1109">
        <v>0</v>
      </c>
      <c r="O83" s="1110">
        <f t="shared" si="27"/>
        <v>310687</v>
      </c>
      <c r="P83" s="1418">
        <v>-1973.09</v>
      </c>
      <c r="Q83" s="1411">
        <v>-1895.74</v>
      </c>
      <c r="R83" s="1411">
        <v>0</v>
      </c>
      <c r="S83" s="1411">
        <v>0</v>
      </c>
      <c r="T83" s="1411">
        <v>0</v>
      </c>
      <c r="U83" s="1417">
        <f t="shared" si="28"/>
        <v>-3868.83</v>
      </c>
      <c r="V83" s="1411"/>
      <c r="W83" s="1411"/>
      <c r="X83" s="1411"/>
      <c r="Y83" s="1411"/>
      <c r="Z83" s="1411"/>
      <c r="AA83" s="1411">
        <f t="shared" si="29"/>
        <v>0</v>
      </c>
      <c r="AB83" s="1092"/>
      <c r="AC83" s="1093"/>
      <c r="AD83" s="1093"/>
      <c r="AE83" s="1093"/>
      <c r="AF83" s="1093"/>
      <c r="AG83" s="1091">
        <f t="shared" si="30"/>
        <v>0</v>
      </c>
      <c r="AH83" s="1092">
        <v>23873</v>
      </c>
      <c r="AI83" s="1093">
        <v>0</v>
      </c>
      <c r="AJ83" s="1093">
        <v>0</v>
      </c>
      <c r="AK83" s="1093">
        <v>0</v>
      </c>
      <c r="AL83" s="1093">
        <v>0</v>
      </c>
      <c r="AM83" s="1094">
        <f t="shared" si="31"/>
        <v>23873</v>
      </c>
      <c r="AN83" s="1092"/>
      <c r="AO83" s="1093"/>
      <c r="AP83" s="1093"/>
      <c r="AQ83" s="1093"/>
      <c r="AR83" s="1093"/>
      <c r="AS83" s="1094">
        <f t="shared" si="32"/>
        <v>0</v>
      </c>
      <c r="AT83" s="1092">
        <v>37083.07</v>
      </c>
      <c r="AU83" s="1093">
        <v>0</v>
      </c>
      <c r="AV83" s="1093">
        <v>0</v>
      </c>
      <c r="AW83" s="1093">
        <v>0</v>
      </c>
      <c r="AX83" s="1093">
        <v>0</v>
      </c>
      <c r="AY83" s="1094">
        <f t="shared" si="33"/>
        <v>37083.07</v>
      </c>
    </row>
    <row r="84" spans="1:51" s="831" customFormat="1" x14ac:dyDescent="0.25">
      <c r="A84" s="1108" t="s">
        <v>208</v>
      </c>
      <c r="B84" s="1108" t="s">
        <v>209</v>
      </c>
      <c r="C84" s="1053" t="s">
        <v>268</v>
      </c>
      <c r="D84" s="1379">
        <f t="shared" si="34"/>
        <v>0</v>
      </c>
      <c r="E84" s="1379">
        <f t="shared" si="35"/>
        <v>278794.40000000002</v>
      </c>
      <c r="F84" s="1379">
        <f t="shared" si="36"/>
        <v>69698.600000000006</v>
      </c>
      <c r="G84" s="1381">
        <f t="shared" si="37"/>
        <v>0</v>
      </c>
      <c r="H84" s="1384">
        <f t="shared" si="25"/>
        <v>69698.600000000006</v>
      </c>
      <c r="I84" s="1385">
        <f t="shared" si="26"/>
        <v>348493</v>
      </c>
      <c r="J84" s="1109">
        <v>0</v>
      </c>
      <c r="K84" s="1109">
        <v>278794.40000000002</v>
      </c>
      <c r="L84" s="1109">
        <v>69698.600000000006</v>
      </c>
      <c r="M84" s="1109">
        <v>0</v>
      </c>
      <c r="N84" s="1109">
        <v>0</v>
      </c>
      <c r="O84" s="1110">
        <f t="shared" si="27"/>
        <v>348493</v>
      </c>
      <c r="P84" s="1418"/>
      <c r="Q84" s="1411"/>
      <c r="R84" s="1411"/>
      <c r="S84" s="1411"/>
      <c r="T84" s="1411"/>
      <c r="U84" s="1417">
        <f t="shared" si="28"/>
        <v>0</v>
      </c>
      <c r="V84" s="1411"/>
      <c r="W84" s="1411"/>
      <c r="X84" s="1411"/>
      <c r="Y84" s="1411"/>
      <c r="Z84" s="1411"/>
      <c r="AA84" s="1411">
        <f t="shared" si="29"/>
        <v>0</v>
      </c>
      <c r="AB84" s="1089"/>
      <c r="AC84" s="1090"/>
      <c r="AD84" s="1090"/>
      <c r="AE84" s="1090"/>
      <c r="AF84" s="1090"/>
      <c r="AG84" s="1091">
        <f t="shared" si="30"/>
        <v>0</v>
      </c>
      <c r="AH84" s="1089"/>
      <c r="AI84" s="1090"/>
      <c r="AJ84" s="1090"/>
      <c r="AK84" s="1090"/>
      <c r="AL84" s="1090"/>
      <c r="AM84" s="1094">
        <f t="shared" si="31"/>
        <v>0</v>
      </c>
      <c r="AN84" s="1089"/>
      <c r="AO84" s="1090"/>
      <c r="AP84" s="1090"/>
      <c r="AQ84" s="1090"/>
      <c r="AR84" s="1090"/>
      <c r="AS84" s="1094">
        <f t="shared" si="32"/>
        <v>0</v>
      </c>
      <c r="AT84" s="1089"/>
      <c r="AU84" s="1090"/>
      <c r="AV84" s="1090"/>
      <c r="AW84" s="1090"/>
      <c r="AX84" s="1090"/>
      <c r="AY84" s="1094">
        <f t="shared" si="33"/>
        <v>0</v>
      </c>
    </row>
    <row r="85" spans="1:51" s="831" customFormat="1" x14ac:dyDescent="0.25">
      <c r="A85" s="1108" t="s">
        <v>210</v>
      </c>
      <c r="B85" s="1108" t="s">
        <v>211</v>
      </c>
      <c r="C85" s="1053" t="s">
        <v>268</v>
      </c>
      <c r="D85" s="1379">
        <f t="shared" si="34"/>
        <v>-142.80000000000001</v>
      </c>
      <c r="E85" s="1379">
        <f t="shared" si="35"/>
        <v>176979.59999999998</v>
      </c>
      <c r="F85" s="1379">
        <f t="shared" si="36"/>
        <v>44279.199999999997</v>
      </c>
      <c r="G85" s="1381">
        <f t="shared" si="37"/>
        <v>0</v>
      </c>
      <c r="H85" s="1384">
        <f t="shared" si="25"/>
        <v>44279.199999999997</v>
      </c>
      <c r="I85" s="1385">
        <f t="shared" si="26"/>
        <v>221116</v>
      </c>
      <c r="J85" s="1109">
        <v>0</v>
      </c>
      <c r="K85" s="1109">
        <v>177116.79999999999</v>
      </c>
      <c r="L85" s="1109">
        <v>44279.199999999997</v>
      </c>
      <c r="M85" s="1109">
        <v>0</v>
      </c>
      <c r="N85" s="1109">
        <v>0</v>
      </c>
      <c r="O85" s="1110">
        <f t="shared" si="27"/>
        <v>221396</v>
      </c>
      <c r="P85" s="1418">
        <v>-142.80000000000001</v>
      </c>
      <c r="Q85" s="1411">
        <v>-137.19999999999999</v>
      </c>
      <c r="R85" s="1411">
        <v>0</v>
      </c>
      <c r="S85" s="1411">
        <v>0</v>
      </c>
      <c r="T85" s="1411">
        <v>0</v>
      </c>
      <c r="U85" s="1417">
        <f t="shared" si="28"/>
        <v>-280</v>
      </c>
      <c r="V85" s="1411"/>
      <c r="W85" s="1411"/>
      <c r="X85" s="1411"/>
      <c r="Y85" s="1411"/>
      <c r="Z85" s="1411"/>
      <c r="AA85" s="1411">
        <f t="shared" si="29"/>
        <v>0</v>
      </c>
      <c r="AB85" s="1089"/>
      <c r="AC85" s="1090"/>
      <c r="AD85" s="1090"/>
      <c r="AE85" s="1090"/>
      <c r="AF85" s="1090"/>
      <c r="AG85" s="1091">
        <f t="shared" si="30"/>
        <v>0</v>
      </c>
      <c r="AH85" s="1089"/>
      <c r="AI85" s="1090"/>
      <c r="AJ85" s="1090"/>
      <c r="AK85" s="1090"/>
      <c r="AL85" s="1090"/>
      <c r="AM85" s="1094">
        <f t="shared" si="31"/>
        <v>0</v>
      </c>
      <c r="AN85" s="1089"/>
      <c r="AO85" s="1090"/>
      <c r="AP85" s="1090"/>
      <c r="AQ85" s="1090"/>
      <c r="AR85" s="1090"/>
      <c r="AS85" s="1094">
        <f t="shared" si="32"/>
        <v>0</v>
      </c>
      <c r="AT85" s="1089"/>
      <c r="AU85" s="1090"/>
      <c r="AV85" s="1090"/>
      <c r="AW85" s="1090"/>
      <c r="AX85" s="1090"/>
      <c r="AY85" s="1094">
        <f t="shared" si="33"/>
        <v>0</v>
      </c>
    </row>
    <row r="86" spans="1:51" s="831" customFormat="1" x14ac:dyDescent="0.25">
      <c r="A86" s="1108" t="s">
        <v>212</v>
      </c>
      <c r="B86" s="1108" t="s">
        <v>213</v>
      </c>
      <c r="C86" s="1053" t="s">
        <v>267</v>
      </c>
      <c r="D86" s="1379">
        <f t="shared" si="34"/>
        <v>0</v>
      </c>
      <c r="E86" s="1379">
        <f t="shared" si="35"/>
        <v>209056.8</v>
      </c>
      <c r="F86" s="1379">
        <f t="shared" si="36"/>
        <v>52264.2</v>
      </c>
      <c r="G86" s="1381">
        <f t="shared" si="37"/>
        <v>0</v>
      </c>
      <c r="H86" s="1384">
        <f t="shared" si="25"/>
        <v>52264.2</v>
      </c>
      <c r="I86" s="1385">
        <f t="shared" si="26"/>
        <v>261321</v>
      </c>
      <c r="J86" s="1109">
        <v>0</v>
      </c>
      <c r="K86" s="1109">
        <v>209056.8</v>
      </c>
      <c r="L86" s="1109">
        <v>52264.2</v>
      </c>
      <c r="M86" s="1109">
        <v>0</v>
      </c>
      <c r="N86" s="1109">
        <v>0</v>
      </c>
      <c r="O86" s="1110">
        <f t="shared" si="27"/>
        <v>261321</v>
      </c>
      <c r="P86" s="1418"/>
      <c r="Q86" s="1411"/>
      <c r="R86" s="1411"/>
      <c r="S86" s="1411"/>
      <c r="T86" s="1411"/>
      <c r="U86" s="1417">
        <f t="shared" si="28"/>
        <v>0</v>
      </c>
      <c r="V86" s="1411"/>
      <c r="W86" s="1411"/>
      <c r="X86" s="1411"/>
      <c r="Y86" s="1411"/>
      <c r="Z86" s="1411"/>
      <c r="AA86" s="1411">
        <f t="shared" si="29"/>
        <v>0</v>
      </c>
      <c r="AB86" s="1089"/>
      <c r="AC86" s="1090"/>
      <c r="AD86" s="1090"/>
      <c r="AE86" s="1090"/>
      <c r="AF86" s="1090"/>
      <c r="AG86" s="1091">
        <f t="shared" si="30"/>
        <v>0</v>
      </c>
      <c r="AH86" s="1089"/>
      <c r="AI86" s="1090"/>
      <c r="AJ86" s="1090"/>
      <c r="AK86" s="1090"/>
      <c r="AL86" s="1090"/>
      <c r="AM86" s="1094">
        <f t="shared" si="31"/>
        <v>0</v>
      </c>
      <c r="AN86" s="1089"/>
      <c r="AO86" s="1090"/>
      <c r="AP86" s="1090"/>
      <c r="AQ86" s="1090"/>
      <c r="AR86" s="1090"/>
      <c r="AS86" s="1094">
        <f t="shared" si="32"/>
        <v>0</v>
      </c>
      <c r="AT86" s="1089"/>
      <c r="AU86" s="1090"/>
      <c r="AV86" s="1090"/>
      <c r="AW86" s="1090"/>
      <c r="AX86" s="1090"/>
      <c r="AY86" s="1094">
        <f t="shared" si="33"/>
        <v>0</v>
      </c>
    </row>
    <row r="87" spans="1:51" s="831" customFormat="1" x14ac:dyDescent="0.25">
      <c r="A87" s="1108" t="s">
        <v>214</v>
      </c>
      <c r="B87" s="1108" t="s">
        <v>215</v>
      </c>
      <c r="C87" s="1053" t="s">
        <v>268</v>
      </c>
      <c r="D87" s="1379">
        <f t="shared" si="34"/>
        <v>-671.5</v>
      </c>
      <c r="E87" s="1379">
        <f t="shared" si="35"/>
        <v>297279.2</v>
      </c>
      <c r="F87" s="1379">
        <f t="shared" si="36"/>
        <v>74510.8</v>
      </c>
      <c r="G87" s="1381">
        <f t="shared" si="37"/>
        <v>1000</v>
      </c>
      <c r="H87" s="1384">
        <f t="shared" si="25"/>
        <v>75510.8</v>
      </c>
      <c r="I87" s="1385">
        <f t="shared" si="26"/>
        <v>372118.5</v>
      </c>
      <c r="J87" s="1109">
        <v>0</v>
      </c>
      <c r="K87" s="1109">
        <v>298043.2</v>
      </c>
      <c r="L87" s="1109">
        <v>74510.8</v>
      </c>
      <c r="M87" s="1109">
        <v>0</v>
      </c>
      <c r="N87" s="1109">
        <v>0</v>
      </c>
      <c r="O87" s="1110">
        <f t="shared" si="27"/>
        <v>372554</v>
      </c>
      <c r="P87" s="1418">
        <v>-926.46</v>
      </c>
      <c r="Q87" s="1411">
        <v>-890.12</v>
      </c>
      <c r="R87" s="1411">
        <v>0</v>
      </c>
      <c r="S87" s="1411">
        <v>0</v>
      </c>
      <c r="T87" s="1411">
        <v>0</v>
      </c>
      <c r="U87" s="1417">
        <f t="shared" si="28"/>
        <v>-1816.58</v>
      </c>
      <c r="V87" s="1411">
        <v>254.96</v>
      </c>
      <c r="W87" s="1411">
        <v>244.97</v>
      </c>
      <c r="X87" s="1411">
        <v>0</v>
      </c>
      <c r="Y87" s="1411">
        <v>0</v>
      </c>
      <c r="Z87" s="1411">
        <v>0</v>
      </c>
      <c r="AA87" s="1411">
        <f t="shared" si="29"/>
        <v>499.93</v>
      </c>
      <c r="AB87" s="1089">
        <v>0</v>
      </c>
      <c r="AC87" s="1090">
        <v>0</v>
      </c>
      <c r="AD87" s="1090">
        <v>0</v>
      </c>
      <c r="AE87" s="1090">
        <v>1000</v>
      </c>
      <c r="AF87" s="1090">
        <v>0</v>
      </c>
      <c r="AG87" s="1091">
        <f t="shared" si="30"/>
        <v>1000</v>
      </c>
      <c r="AH87" s="1089"/>
      <c r="AI87" s="1090"/>
      <c r="AJ87" s="1090"/>
      <c r="AK87" s="1090"/>
      <c r="AL87" s="1090"/>
      <c r="AM87" s="1094">
        <f t="shared" si="31"/>
        <v>0</v>
      </c>
      <c r="AN87" s="1089">
        <v>0</v>
      </c>
      <c r="AO87" s="1090">
        <v>-118.85</v>
      </c>
      <c r="AP87" s="1090">
        <v>0</v>
      </c>
      <c r="AQ87" s="1090">
        <v>0</v>
      </c>
      <c r="AR87" s="1090">
        <v>0</v>
      </c>
      <c r="AS87" s="1094">
        <f t="shared" si="32"/>
        <v>-118.85</v>
      </c>
      <c r="AT87" s="1089"/>
      <c r="AU87" s="1090"/>
      <c r="AV87" s="1090"/>
      <c r="AW87" s="1090"/>
      <c r="AX87" s="1090"/>
      <c r="AY87" s="1094">
        <f t="shared" si="33"/>
        <v>0</v>
      </c>
    </row>
    <row r="88" spans="1:51" s="831" customFormat="1" x14ac:dyDescent="0.25">
      <c r="A88" s="1108" t="s">
        <v>216</v>
      </c>
      <c r="B88" s="1108" t="s">
        <v>217</v>
      </c>
      <c r="C88" s="1053" t="s">
        <v>264</v>
      </c>
      <c r="D88" s="1379">
        <f t="shared" si="34"/>
        <v>-68.849999999999994</v>
      </c>
      <c r="E88" s="1379">
        <f t="shared" si="35"/>
        <v>48317.049999999996</v>
      </c>
      <c r="F88" s="1379">
        <f t="shared" si="36"/>
        <v>12095.8</v>
      </c>
      <c r="G88" s="1381">
        <f t="shared" si="37"/>
        <v>0</v>
      </c>
      <c r="H88" s="1384">
        <f t="shared" si="25"/>
        <v>12095.8</v>
      </c>
      <c r="I88" s="1385">
        <f t="shared" si="26"/>
        <v>60344</v>
      </c>
      <c r="J88" s="1109">
        <v>0</v>
      </c>
      <c r="K88" s="1109">
        <v>48383.199999999997</v>
      </c>
      <c r="L88" s="1109">
        <v>12095.8</v>
      </c>
      <c r="M88" s="1109">
        <v>0</v>
      </c>
      <c r="N88" s="1109">
        <v>0</v>
      </c>
      <c r="O88" s="1110">
        <f t="shared" si="27"/>
        <v>60479</v>
      </c>
      <c r="P88" s="1418">
        <v>-68.849999999999994</v>
      </c>
      <c r="Q88" s="1411">
        <v>-66.150000000000006</v>
      </c>
      <c r="R88" s="1411">
        <v>0</v>
      </c>
      <c r="S88" s="1411">
        <v>0</v>
      </c>
      <c r="T88" s="1411">
        <v>0</v>
      </c>
      <c r="U88" s="1417">
        <f t="shared" si="28"/>
        <v>-135</v>
      </c>
      <c r="V88" s="1411"/>
      <c r="W88" s="1411"/>
      <c r="X88" s="1411"/>
      <c r="Y88" s="1411"/>
      <c r="Z88" s="1411"/>
      <c r="AA88" s="1411">
        <f t="shared" si="29"/>
        <v>0</v>
      </c>
      <c r="AB88" s="1089"/>
      <c r="AC88" s="1090"/>
      <c r="AD88" s="1090"/>
      <c r="AE88" s="1090"/>
      <c r="AF88" s="1090"/>
      <c r="AG88" s="1091">
        <f t="shared" si="30"/>
        <v>0</v>
      </c>
      <c r="AH88" s="1089"/>
      <c r="AI88" s="1090"/>
      <c r="AJ88" s="1090"/>
      <c r="AK88" s="1090"/>
      <c r="AL88" s="1090"/>
      <c r="AM88" s="1094">
        <f t="shared" si="31"/>
        <v>0</v>
      </c>
      <c r="AN88" s="1089"/>
      <c r="AO88" s="1090"/>
      <c r="AP88" s="1090"/>
      <c r="AQ88" s="1090"/>
      <c r="AR88" s="1090"/>
      <c r="AS88" s="1094">
        <f t="shared" si="32"/>
        <v>0</v>
      </c>
      <c r="AT88" s="1089"/>
      <c r="AU88" s="1090"/>
      <c r="AV88" s="1090"/>
      <c r="AW88" s="1090"/>
      <c r="AX88" s="1090"/>
      <c r="AY88" s="1094">
        <f t="shared" si="33"/>
        <v>0</v>
      </c>
    </row>
    <row r="89" spans="1:51" s="831" customFormat="1" x14ac:dyDescent="0.25">
      <c r="A89" s="1108" t="s">
        <v>218</v>
      </c>
      <c r="B89" s="1108" t="s">
        <v>219</v>
      </c>
      <c r="C89" s="1053" t="s">
        <v>267</v>
      </c>
      <c r="D89" s="1379">
        <f t="shared" si="34"/>
        <v>186625.32</v>
      </c>
      <c r="E89" s="1379">
        <f t="shared" si="35"/>
        <v>117407.81</v>
      </c>
      <c r="F89" s="1379">
        <f t="shared" si="36"/>
        <v>29245.599999999999</v>
      </c>
      <c r="G89" s="1381">
        <f t="shared" si="37"/>
        <v>0</v>
      </c>
      <c r="H89" s="1384">
        <f t="shared" si="25"/>
        <v>29245.599999999999</v>
      </c>
      <c r="I89" s="1385">
        <f t="shared" si="26"/>
        <v>333278.73</v>
      </c>
      <c r="J89" s="1109">
        <v>0</v>
      </c>
      <c r="K89" s="1109">
        <v>116982.39999999999</v>
      </c>
      <c r="L89" s="1109">
        <v>29245.599999999999</v>
      </c>
      <c r="M89" s="1109">
        <v>0</v>
      </c>
      <c r="N89" s="1109">
        <v>0</v>
      </c>
      <c r="O89" s="1110">
        <f t="shared" si="27"/>
        <v>146228</v>
      </c>
      <c r="P89" s="1418">
        <v>-150.5</v>
      </c>
      <c r="Q89" s="1411">
        <v>-144.59</v>
      </c>
      <c r="R89" s="1411">
        <v>0</v>
      </c>
      <c r="S89" s="1411">
        <v>0</v>
      </c>
      <c r="T89" s="1411">
        <v>0</v>
      </c>
      <c r="U89" s="1417">
        <f t="shared" si="28"/>
        <v>-295.09000000000003</v>
      </c>
      <c r="V89" s="1411"/>
      <c r="W89" s="1411"/>
      <c r="X89" s="1411"/>
      <c r="Y89" s="1411"/>
      <c r="Z89" s="1411"/>
      <c r="AA89" s="1411">
        <f t="shared" si="29"/>
        <v>0</v>
      </c>
      <c r="AB89" s="1089"/>
      <c r="AC89" s="1090"/>
      <c r="AD89" s="1090"/>
      <c r="AE89" s="1090"/>
      <c r="AF89" s="1090"/>
      <c r="AG89" s="1091">
        <f t="shared" si="30"/>
        <v>0</v>
      </c>
      <c r="AH89" s="1092">
        <v>2746</v>
      </c>
      <c r="AI89" s="1093">
        <v>0</v>
      </c>
      <c r="AJ89" s="1093">
        <v>0</v>
      </c>
      <c r="AK89" s="1093">
        <v>0</v>
      </c>
      <c r="AL89" s="1093">
        <v>0</v>
      </c>
      <c r="AM89" s="1094">
        <f t="shared" si="31"/>
        <v>2746</v>
      </c>
      <c r="AN89" s="1092">
        <v>0</v>
      </c>
      <c r="AO89" s="1093">
        <v>570</v>
      </c>
      <c r="AP89" s="1093">
        <v>0</v>
      </c>
      <c r="AQ89" s="1093">
        <v>0</v>
      </c>
      <c r="AR89" s="1093">
        <v>0</v>
      </c>
      <c r="AS89" s="1094">
        <f t="shared" si="32"/>
        <v>570</v>
      </c>
      <c r="AT89" s="1092">
        <v>184029.82</v>
      </c>
      <c r="AU89" s="1093">
        <v>0</v>
      </c>
      <c r="AV89" s="1093">
        <v>0</v>
      </c>
      <c r="AW89" s="1093">
        <v>0</v>
      </c>
      <c r="AX89" s="1093">
        <v>0</v>
      </c>
      <c r="AY89" s="1094">
        <f t="shared" si="33"/>
        <v>184029.82</v>
      </c>
    </row>
    <row r="90" spans="1:51" s="831" customFormat="1" x14ac:dyDescent="0.25">
      <c r="A90" s="1108" t="s">
        <v>220</v>
      </c>
      <c r="B90" s="1108" t="s">
        <v>221</v>
      </c>
      <c r="C90" s="1053" t="s">
        <v>267</v>
      </c>
      <c r="D90" s="1379">
        <f t="shared" si="34"/>
        <v>-863.73</v>
      </c>
      <c r="E90" s="1379">
        <f t="shared" si="35"/>
        <v>50867.530000000006</v>
      </c>
      <c r="F90" s="1379">
        <f t="shared" si="36"/>
        <v>13626.2</v>
      </c>
      <c r="G90" s="1381">
        <f t="shared" si="37"/>
        <v>0</v>
      </c>
      <c r="H90" s="1384">
        <f t="shared" si="25"/>
        <v>13626.2</v>
      </c>
      <c r="I90" s="1385">
        <f t="shared" si="26"/>
        <v>63630</v>
      </c>
      <c r="J90" s="1109">
        <v>0</v>
      </c>
      <c r="K90" s="1109">
        <v>54504.800000000003</v>
      </c>
      <c r="L90" s="1109">
        <v>13626.2</v>
      </c>
      <c r="M90" s="1109">
        <v>0</v>
      </c>
      <c r="N90" s="1109">
        <v>0</v>
      </c>
      <c r="O90" s="1110">
        <f t="shared" si="27"/>
        <v>68131</v>
      </c>
      <c r="P90" s="1418">
        <v>-3785.73</v>
      </c>
      <c r="Q90" s="1411">
        <v>-3637.27</v>
      </c>
      <c r="R90" s="1411">
        <v>0</v>
      </c>
      <c r="S90" s="1411">
        <v>0</v>
      </c>
      <c r="T90" s="1411">
        <v>0</v>
      </c>
      <c r="U90" s="1417">
        <f t="shared" si="28"/>
        <v>-7423</v>
      </c>
      <c r="V90" s="1411"/>
      <c r="W90" s="1411"/>
      <c r="X90" s="1411"/>
      <c r="Y90" s="1411"/>
      <c r="Z90" s="1411"/>
      <c r="AA90" s="1411">
        <f t="shared" si="29"/>
        <v>0</v>
      </c>
      <c r="AB90" s="1092"/>
      <c r="AC90" s="1093"/>
      <c r="AD90" s="1093"/>
      <c r="AE90" s="1093"/>
      <c r="AF90" s="1093"/>
      <c r="AG90" s="1091">
        <f t="shared" si="30"/>
        <v>0</v>
      </c>
      <c r="AH90" s="1092">
        <v>2922</v>
      </c>
      <c r="AI90" s="1093">
        <v>0</v>
      </c>
      <c r="AJ90" s="1093">
        <v>0</v>
      </c>
      <c r="AK90" s="1093">
        <v>0</v>
      </c>
      <c r="AL90" s="1093">
        <v>0</v>
      </c>
      <c r="AM90" s="1094">
        <f t="shared" si="31"/>
        <v>2922</v>
      </c>
      <c r="AN90" s="1092"/>
      <c r="AO90" s="1093"/>
      <c r="AP90" s="1093"/>
      <c r="AQ90" s="1093"/>
      <c r="AR90" s="1093"/>
      <c r="AS90" s="1094">
        <f t="shared" si="32"/>
        <v>0</v>
      </c>
      <c r="AT90" s="1092"/>
      <c r="AU90" s="1093"/>
      <c r="AV90" s="1093"/>
      <c r="AW90" s="1093"/>
      <c r="AX90" s="1093"/>
      <c r="AY90" s="1094">
        <f t="shared" si="33"/>
        <v>0</v>
      </c>
    </row>
    <row r="91" spans="1:51" s="831" customFormat="1" x14ac:dyDescent="0.25">
      <c r="A91" s="1108" t="s">
        <v>224</v>
      </c>
      <c r="B91" s="1108" t="s">
        <v>225</v>
      </c>
      <c r="C91" s="1053" t="s">
        <v>264</v>
      </c>
      <c r="D91" s="1379">
        <f t="shared" si="34"/>
        <v>0</v>
      </c>
      <c r="E91" s="1379">
        <f t="shared" si="35"/>
        <v>31766.400000000001</v>
      </c>
      <c r="F91" s="1379">
        <f t="shared" si="36"/>
        <v>7941.6</v>
      </c>
      <c r="G91" s="1381">
        <f t="shared" si="37"/>
        <v>0</v>
      </c>
      <c r="H91" s="1384">
        <f t="shared" si="25"/>
        <v>7941.6</v>
      </c>
      <c r="I91" s="1385">
        <f t="shared" si="26"/>
        <v>39708</v>
      </c>
      <c r="J91" s="1109">
        <v>0</v>
      </c>
      <c r="K91" s="1109">
        <v>31766.400000000001</v>
      </c>
      <c r="L91" s="1109">
        <v>7941.6</v>
      </c>
      <c r="M91" s="1109">
        <v>0</v>
      </c>
      <c r="N91" s="1109">
        <v>0</v>
      </c>
      <c r="O91" s="1110">
        <f t="shared" si="27"/>
        <v>39708</v>
      </c>
      <c r="P91" s="1418"/>
      <c r="Q91" s="1411"/>
      <c r="R91" s="1411"/>
      <c r="S91" s="1411"/>
      <c r="T91" s="1411"/>
      <c r="U91" s="1417">
        <f t="shared" si="28"/>
        <v>0</v>
      </c>
      <c r="V91" s="1411"/>
      <c r="W91" s="1411"/>
      <c r="X91" s="1411"/>
      <c r="Y91" s="1411"/>
      <c r="Z91" s="1411"/>
      <c r="AA91" s="1411">
        <f t="shared" si="29"/>
        <v>0</v>
      </c>
      <c r="AB91" s="1089"/>
      <c r="AC91" s="1090"/>
      <c r="AD91" s="1090"/>
      <c r="AE91" s="1090"/>
      <c r="AF91" s="1090"/>
      <c r="AG91" s="1091">
        <f t="shared" si="30"/>
        <v>0</v>
      </c>
      <c r="AH91" s="1089"/>
      <c r="AI91" s="1090"/>
      <c r="AJ91" s="1090"/>
      <c r="AK91" s="1090"/>
      <c r="AL91" s="1090"/>
      <c r="AM91" s="1094">
        <f t="shared" si="31"/>
        <v>0</v>
      </c>
      <c r="AN91" s="1089"/>
      <c r="AO91" s="1090"/>
      <c r="AP91" s="1090"/>
      <c r="AQ91" s="1090"/>
      <c r="AR91" s="1090"/>
      <c r="AS91" s="1094">
        <f t="shared" si="32"/>
        <v>0</v>
      </c>
      <c r="AT91" s="1089"/>
      <c r="AU91" s="1090"/>
      <c r="AV91" s="1090"/>
      <c r="AW91" s="1090"/>
      <c r="AX91" s="1090"/>
      <c r="AY91" s="1094">
        <f t="shared" si="33"/>
        <v>0</v>
      </c>
    </row>
    <row r="92" spans="1:51" s="831" customFormat="1" x14ac:dyDescent="0.25">
      <c r="A92" s="1108" t="s">
        <v>226</v>
      </c>
      <c r="B92" s="1108" t="s">
        <v>227</v>
      </c>
      <c r="C92" s="1053" t="s">
        <v>264</v>
      </c>
      <c r="D92" s="1379">
        <f t="shared" si="34"/>
        <v>-472.4</v>
      </c>
      <c r="E92" s="1379">
        <f t="shared" si="35"/>
        <v>51440</v>
      </c>
      <c r="F92" s="1379">
        <f t="shared" si="36"/>
        <v>13171.970000000001</v>
      </c>
      <c r="G92" s="1381">
        <f t="shared" si="37"/>
        <v>212.36</v>
      </c>
      <c r="H92" s="1384">
        <f t="shared" si="25"/>
        <v>13384.330000000002</v>
      </c>
      <c r="I92" s="1385">
        <f t="shared" si="26"/>
        <v>64351.93</v>
      </c>
      <c r="J92" s="1109">
        <v>0</v>
      </c>
      <c r="K92" s="1109">
        <v>51508.800000000003</v>
      </c>
      <c r="L92" s="1109">
        <v>12877.2</v>
      </c>
      <c r="M92" s="1109">
        <v>0</v>
      </c>
      <c r="N92" s="1109">
        <v>0</v>
      </c>
      <c r="O92" s="1110">
        <f t="shared" si="27"/>
        <v>64386</v>
      </c>
      <c r="P92" s="1418">
        <v>-472.4</v>
      </c>
      <c r="Q92" s="1411">
        <v>-453.87</v>
      </c>
      <c r="R92" s="1411">
        <v>0</v>
      </c>
      <c r="S92" s="1411">
        <v>106.2</v>
      </c>
      <c r="T92" s="1411">
        <v>0</v>
      </c>
      <c r="U92" s="1417">
        <f t="shared" si="28"/>
        <v>-820.06999999999994</v>
      </c>
      <c r="V92" s="1411"/>
      <c r="W92" s="1411"/>
      <c r="X92" s="1411"/>
      <c r="Y92" s="1411"/>
      <c r="Z92" s="1411"/>
      <c r="AA92" s="1411">
        <f t="shared" si="29"/>
        <v>0</v>
      </c>
      <c r="AB92" s="1092">
        <v>0</v>
      </c>
      <c r="AC92" s="1093">
        <v>491.27</v>
      </c>
      <c r="AD92" s="1093">
        <v>294.77</v>
      </c>
      <c r="AE92" s="1093">
        <v>-0.04</v>
      </c>
      <c r="AF92" s="1093">
        <v>0</v>
      </c>
      <c r="AG92" s="1091">
        <f t="shared" si="30"/>
        <v>786</v>
      </c>
      <c r="AH92" s="1089"/>
      <c r="AI92" s="1090"/>
      <c r="AJ92" s="1090"/>
      <c r="AK92" s="1090"/>
      <c r="AL92" s="1090"/>
      <c r="AM92" s="1094">
        <f t="shared" si="31"/>
        <v>0</v>
      </c>
      <c r="AN92" s="1089">
        <v>0</v>
      </c>
      <c r="AO92" s="1090">
        <v>-106.2</v>
      </c>
      <c r="AP92" s="1090">
        <v>0</v>
      </c>
      <c r="AQ92" s="1090">
        <v>106.2</v>
      </c>
      <c r="AR92" s="1090">
        <v>0</v>
      </c>
      <c r="AS92" s="1094">
        <f t="shared" si="32"/>
        <v>0</v>
      </c>
      <c r="AT92" s="1089"/>
      <c r="AU92" s="1090"/>
      <c r="AV92" s="1090"/>
      <c r="AW92" s="1090"/>
      <c r="AX92" s="1090"/>
      <c r="AY92" s="1094">
        <f t="shared" si="33"/>
        <v>0</v>
      </c>
    </row>
    <row r="93" spans="1:51" s="831" customFormat="1" x14ac:dyDescent="0.25">
      <c r="A93" s="1108" t="s">
        <v>228</v>
      </c>
      <c r="B93" s="1108" t="s">
        <v>229</v>
      </c>
      <c r="C93" s="1053" t="s">
        <v>268</v>
      </c>
      <c r="D93" s="1379">
        <f t="shared" si="34"/>
        <v>-520.71</v>
      </c>
      <c r="E93" s="1379">
        <f t="shared" si="35"/>
        <v>300334.71000000002</v>
      </c>
      <c r="F93" s="1379">
        <f t="shared" si="36"/>
        <v>75305</v>
      </c>
      <c r="G93" s="1381">
        <f t="shared" si="37"/>
        <v>32120.97</v>
      </c>
      <c r="H93" s="1384">
        <f t="shared" si="25"/>
        <v>107425.97</v>
      </c>
      <c r="I93" s="1385">
        <f t="shared" si="26"/>
        <v>407239.97</v>
      </c>
      <c r="J93" s="1109">
        <v>0</v>
      </c>
      <c r="K93" s="1109">
        <v>301220</v>
      </c>
      <c r="L93" s="1109">
        <v>75305</v>
      </c>
      <c r="M93" s="1109">
        <v>0</v>
      </c>
      <c r="N93" s="1109">
        <v>0</v>
      </c>
      <c r="O93" s="1110">
        <f t="shared" si="27"/>
        <v>376525</v>
      </c>
      <c r="P93" s="1418">
        <v>-520.71</v>
      </c>
      <c r="Q93" s="1411">
        <v>-500.29</v>
      </c>
      <c r="R93" s="1411">
        <v>0</v>
      </c>
      <c r="S93" s="1411">
        <v>0</v>
      </c>
      <c r="T93" s="1411">
        <v>0</v>
      </c>
      <c r="U93" s="1417">
        <f t="shared" si="28"/>
        <v>-1021</v>
      </c>
      <c r="V93" s="1411"/>
      <c r="W93" s="1411"/>
      <c r="X93" s="1411"/>
      <c r="Y93" s="1411"/>
      <c r="Z93" s="1411"/>
      <c r="AA93" s="1411">
        <f t="shared" si="29"/>
        <v>0</v>
      </c>
      <c r="AB93" s="1092">
        <v>0</v>
      </c>
      <c r="AC93" s="1093">
        <v>0</v>
      </c>
      <c r="AD93" s="1093">
        <v>0</v>
      </c>
      <c r="AE93" s="1093">
        <v>32120.97</v>
      </c>
      <c r="AF93" s="1093">
        <v>0</v>
      </c>
      <c r="AG93" s="1091">
        <f t="shared" si="30"/>
        <v>32120.97</v>
      </c>
      <c r="AH93" s="1089"/>
      <c r="AI93" s="1090"/>
      <c r="AJ93" s="1090"/>
      <c r="AK93" s="1090"/>
      <c r="AL93" s="1090"/>
      <c r="AM93" s="1094">
        <f t="shared" si="31"/>
        <v>0</v>
      </c>
      <c r="AN93" s="1089">
        <v>0</v>
      </c>
      <c r="AO93" s="1090">
        <v>-385</v>
      </c>
      <c r="AP93" s="1090">
        <v>0</v>
      </c>
      <c r="AQ93" s="1090">
        <v>0</v>
      </c>
      <c r="AR93" s="1090">
        <v>0</v>
      </c>
      <c r="AS93" s="1094">
        <f t="shared" si="32"/>
        <v>-385</v>
      </c>
      <c r="AT93" s="1089"/>
      <c r="AU93" s="1090"/>
      <c r="AV93" s="1090"/>
      <c r="AW93" s="1090"/>
      <c r="AX93" s="1090"/>
      <c r="AY93" s="1094">
        <f t="shared" si="33"/>
        <v>0</v>
      </c>
    </row>
    <row r="94" spans="1:51" s="831" customFormat="1" x14ac:dyDescent="0.25">
      <c r="A94" s="1108" t="s">
        <v>232</v>
      </c>
      <c r="B94" s="1108" t="s">
        <v>233</v>
      </c>
      <c r="C94" s="1053" t="s">
        <v>267</v>
      </c>
      <c r="D94" s="1379">
        <f t="shared" si="34"/>
        <v>0</v>
      </c>
      <c r="E94" s="1379">
        <f t="shared" si="35"/>
        <v>80448.13</v>
      </c>
      <c r="F94" s="1379">
        <f t="shared" si="36"/>
        <v>20112.03</v>
      </c>
      <c r="G94" s="1381">
        <f t="shared" si="37"/>
        <v>0</v>
      </c>
      <c r="H94" s="1384">
        <f t="shared" si="25"/>
        <v>20112.03</v>
      </c>
      <c r="I94" s="1385">
        <f t="shared" si="26"/>
        <v>100560.16</v>
      </c>
      <c r="J94" s="1109">
        <v>0</v>
      </c>
      <c r="K94" s="1109">
        <v>80448.13</v>
      </c>
      <c r="L94" s="1109">
        <v>20112.03</v>
      </c>
      <c r="M94" s="1109">
        <v>0</v>
      </c>
      <c r="N94" s="1109">
        <v>0</v>
      </c>
      <c r="O94" s="1110">
        <f t="shared" si="27"/>
        <v>100560.16</v>
      </c>
      <c r="P94" s="1418"/>
      <c r="Q94" s="1411"/>
      <c r="R94" s="1411"/>
      <c r="S94" s="1411"/>
      <c r="T94" s="1411"/>
      <c r="U94" s="1417">
        <f t="shared" si="28"/>
        <v>0</v>
      </c>
      <c r="V94" s="1411"/>
      <c r="W94" s="1411"/>
      <c r="X94" s="1411"/>
      <c r="Y94" s="1411"/>
      <c r="Z94" s="1411"/>
      <c r="AA94" s="1411">
        <f t="shared" si="29"/>
        <v>0</v>
      </c>
      <c r="AB94" s="1089"/>
      <c r="AC94" s="1090"/>
      <c r="AD94" s="1090"/>
      <c r="AE94" s="1090"/>
      <c r="AF94" s="1090"/>
      <c r="AG94" s="1091">
        <f t="shared" si="30"/>
        <v>0</v>
      </c>
      <c r="AH94" s="1089"/>
      <c r="AI94" s="1090"/>
      <c r="AJ94" s="1090"/>
      <c r="AK94" s="1090"/>
      <c r="AL94" s="1090"/>
      <c r="AM94" s="1094">
        <f t="shared" si="31"/>
        <v>0</v>
      </c>
      <c r="AN94" s="1089"/>
      <c r="AO94" s="1090"/>
      <c r="AP94" s="1090"/>
      <c r="AQ94" s="1090"/>
      <c r="AR94" s="1090"/>
      <c r="AS94" s="1094">
        <f t="shared" si="32"/>
        <v>0</v>
      </c>
      <c r="AT94" s="1089"/>
      <c r="AU94" s="1090"/>
      <c r="AV94" s="1090"/>
      <c r="AW94" s="1090"/>
      <c r="AX94" s="1090"/>
      <c r="AY94" s="1094">
        <f t="shared" si="33"/>
        <v>0</v>
      </c>
    </row>
    <row r="95" spans="1:51" s="831" customFormat="1" x14ac:dyDescent="0.25">
      <c r="A95" s="1108" t="s">
        <v>234</v>
      </c>
      <c r="B95" s="1108" t="s">
        <v>235</v>
      </c>
      <c r="C95" s="1053" t="s">
        <v>268</v>
      </c>
      <c r="D95" s="1379">
        <f t="shared" si="34"/>
        <v>-608.42999999999995</v>
      </c>
      <c r="E95" s="1379">
        <f t="shared" si="35"/>
        <v>746125.83000000007</v>
      </c>
      <c r="F95" s="1379">
        <f t="shared" si="36"/>
        <v>186677.6</v>
      </c>
      <c r="G95" s="1381">
        <f t="shared" si="37"/>
        <v>8400</v>
      </c>
      <c r="H95" s="1384">
        <f t="shared" si="25"/>
        <v>195077.6</v>
      </c>
      <c r="I95" s="1385">
        <f t="shared" si="26"/>
        <v>940595</v>
      </c>
      <c r="J95" s="1109">
        <v>0</v>
      </c>
      <c r="K95" s="1109">
        <v>746710.4</v>
      </c>
      <c r="L95" s="1109">
        <v>186677.6</v>
      </c>
      <c r="M95" s="1109">
        <v>0</v>
      </c>
      <c r="N95" s="1109">
        <v>0</v>
      </c>
      <c r="O95" s="1110">
        <f t="shared" si="27"/>
        <v>933388</v>
      </c>
      <c r="P95" s="1418">
        <v>-608.42999999999995</v>
      </c>
      <c r="Q95" s="1411">
        <v>-584.57000000000005</v>
      </c>
      <c r="R95" s="1411">
        <v>0</v>
      </c>
      <c r="S95" s="1411">
        <v>0</v>
      </c>
      <c r="T95" s="1411">
        <v>0</v>
      </c>
      <c r="U95" s="1417">
        <f t="shared" si="28"/>
        <v>-1193</v>
      </c>
      <c r="V95" s="1411"/>
      <c r="W95" s="1411"/>
      <c r="X95" s="1411"/>
      <c r="Y95" s="1411"/>
      <c r="Z95" s="1411"/>
      <c r="AA95" s="1411">
        <f t="shared" si="29"/>
        <v>0</v>
      </c>
      <c r="AB95" s="1092">
        <v>0</v>
      </c>
      <c r="AC95" s="1093">
        <v>0</v>
      </c>
      <c r="AD95" s="1093">
        <v>0</v>
      </c>
      <c r="AE95" s="1093">
        <v>8400</v>
      </c>
      <c r="AF95" s="1093">
        <v>0</v>
      </c>
      <c r="AG95" s="1091">
        <f t="shared" si="30"/>
        <v>8400</v>
      </c>
      <c r="AH95" s="1089"/>
      <c r="AI95" s="1090"/>
      <c r="AJ95" s="1090"/>
      <c r="AK95" s="1090"/>
      <c r="AL95" s="1090"/>
      <c r="AM95" s="1094">
        <f t="shared" si="31"/>
        <v>0</v>
      </c>
      <c r="AN95" s="1089"/>
      <c r="AO95" s="1090"/>
      <c r="AP95" s="1090"/>
      <c r="AQ95" s="1090"/>
      <c r="AR95" s="1090"/>
      <c r="AS95" s="1094">
        <f t="shared" si="32"/>
        <v>0</v>
      </c>
      <c r="AT95" s="1089"/>
      <c r="AU95" s="1090"/>
      <c r="AV95" s="1090"/>
      <c r="AW95" s="1090"/>
      <c r="AX95" s="1090"/>
      <c r="AY95" s="1094">
        <f t="shared" si="33"/>
        <v>0</v>
      </c>
    </row>
    <row r="96" spans="1:51" s="831" customFormat="1" x14ac:dyDescent="0.25">
      <c r="A96" s="1108" t="s">
        <v>236</v>
      </c>
      <c r="B96" s="1108" t="s">
        <v>237</v>
      </c>
      <c r="C96" s="1053" t="s">
        <v>266</v>
      </c>
      <c r="D96" s="1379">
        <f t="shared" si="34"/>
        <v>0</v>
      </c>
      <c r="E96" s="1379">
        <f t="shared" si="35"/>
        <v>39008</v>
      </c>
      <c r="F96" s="1379">
        <f t="shared" si="36"/>
        <v>9752</v>
      </c>
      <c r="G96" s="1381">
        <f t="shared" si="37"/>
        <v>1500</v>
      </c>
      <c r="H96" s="1384">
        <f t="shared" si="25"/>
        <v>11252</v>
      </c>
      <c r="I96" s="1385">
        <f t="shared" si="26"/>
        <v>50260</v>
      </c>
      <c r="J96" s="1109">
        <v>0</v>
      </c>
      <c r="K96" s="1109">
        <v>39008</v>
      </c>
      <c r="L96" s="1109">
        <v>9752</v>
      </c>
      <c r="M96" s="1109">
        <v>0</v>
      </c>
      <c r="N96" s="1109">
        <v>0</v>
      </c>
      <c r="O96" s="1110">
        <f t="shared" si="27"/>
        <v>48760</v>
      </c>
      <c r="P96" s="1418"/>
      <c r="Q96" s="1411"/>
      <c r="R96" s="1411"/>
      <c r="S96" s="1411"/>
      <c r="T96" s="1411"/>
      <c r="U96" s="1417">
        <f t="shared" si="28"/>
        <v>0</v>
      </c>
      <c r="V96" s="1411"/>
      <c r="W96" s="1411"/>
      <c r="X96" s="1411"/>
      <c r="Y96" s="1411"/>
      <c r="Z96" s="1411"/>
      <c r="AA96" s="1411">
        <f t="shared" si="29"/>
        <v>0</v>
      </c>
      <c r="AB96" s="1089">
        <v>0</v>
      </c>
      <c r="AC96" s="1090">
        <v>0</v>
      </c>
      <c r="AD96" s="1090">
        <v>0</v>
      </c>
      <c r="AE96" s="1090">
        <v>1500</v>
      </c>
      <c r="AF96" s="1090">
        <v>0</v>
      </c>
      <c r="AG96" s="1091">
        <f t="shared" si="30"/>
        <v>1500</v>
      </c>
      <c r="AH96" s="1089"/>
      <c r="AI96" s="1090"/>
      <c r="AJ96" s="1090"/>
      <c r="AK96" s="1090"/>
      <c r="AL96" s="1090"/>
      <c r="AM96" s="1094">
        <f t="shared" si="31"/>
        <v>0</v>
      </c>
      <c r="AN96" s="1089"/>
      <c r="AO96" s="1090"/>
      <c r="AP96" s="1090"/>
      <c r="AQ96" s="1090"/>
      <c r="AR96" s="1090"/>
      <c r="AS96" s="1094">
        <f t="shared" si="32"/>
        <v>0</v>
      </c>
      <c r="AT96" s="1089"/>
      <c r="AU96" s="1090"/>
      <c r="AV96" s="1090"/>
      <c r="AW96" s="1090"/>
      <c r="AX96" s="1090"/>
      <c r="AY96" s="1094">
        <f t="shared" si="33"/>
        <v>0</v>
      </c>
    </row>
    <row r="97" spans="1:51" s="831" customFormat="1" x14ac:dyDescent="0.25">
      <c r="A97" s="1108" t="s">
        <v>242</v>
      </c>
      <c r="B97" s="1108" t="s">
        <v>243</v>
      </c>
      <c r="C97" s="1053" t="s">
        <v>268</v>
      </c>
      <c r="D97" s="1379">
        <f t="shared" si="34"/>
        <v>-1339.18</v>
      </c>
      <c r="E97" s="1379">
        <f t="shared" si="35"/>
        <v>177210.94</v>
      </c>
      <c r="F97" s="1379">
        <f t="shared" si="36"/>
        <v>44624.4</v>
      </c>
      <c r="G97" s="1381">
        <f t="shared" si="37"/>
        <v>0</v>
      </c>
      <c r="H97" s="1384">
        <f t="shared" si="25"/>
        <v>44624.4</v>
      </c>
      <c r="I97" s="1385">
        <f t="shared" si="26"/>
        <v>220496.16</v>
      </c>
      <c r="J97" s="1109">
        <v>0</v>
      </c>
      <c r="K97" s="1109">
        <v>178497.6</v>
      </c>
      <c r="L97" s="1109">
        <v>44624.4</v>
      </c>
      <c r="M97" s="1109">
        <v>0</v>
      </c>
      <c r="N97" s="1109">
        <v>0</v>
      </c>
      <c r="O97" s="1110">
        <f t="shared" si="27"/>
        <v>223122</v>
      </c>
      <c r="P97" s="1418">
        <v>-1339.18</v>
      </c>
      <c r="Q97" s="1411">
        <v>-1286.6600000000001</v>
      </c>
      <c r="R97" s="1411">
        <v>0</v>
      </c>
      <c r="S97" s="1411">
        <v>0</v>
      </c>
      <c r="T97" s="1411">
        <v>0</v>
      </c>
      <c r="U97" s="1417">
        <f t="shared" si="28"/>
        <v>-2625.84</v>
      </c>
      <c r="V97" s="1411"/>
      <c r="W97" s="1411"/>
      <c r="X97" s="1411"/>
      <c r="Y97" s="1411"/>
      <c r="Z97" s="1411"/>
      <c r="AA97" s="1411">
        <f t="shared" si="29"/>
        <v>0</v>
      </c>
      <c r="AB97" s="1089"/>
      <c r="AC97" s="1090"/>
      <c r="AD97" s="1090"/>
      <c r="AE97" s="1090"/>
      <c r="AF97" s="1090"/>
      <c r="AG97" s="1091">
        <f t="shared" si="30"/>
        <v>0</v>
      </c>
      <c r="AH97" s="1089"/>
      <c r="AI97" s="1090"/>
      <c r="AJ97" s="1090"/>
      <c r="AK97" s="1090"/>
      <c r="AL97" s="1090"/>
      <c r="AM97" s="1094">
        <f t="shared" si="31"/>
        <v>0</v>
      </c>
      <c r="AN97" s="1089"/>
      <c r="AO97" s="1090"/>
      <c r="AP97" s="1090"/>
      <c r="AQ97" s="1090"/>
      <c r="AR97" s="1090"/>
      <c r="AS97" s="1094">
        <f t="shared" si="32"/>
        <v>0</v>
      </c>
      <c r="AT97" s="1089"/>
      <c r="AU97" s="1090"/>
      <c r="AV97" s="1090"/>
      <c r="AW97" s="1090"/>
      <c r="AX97" s="1090"/>
      <c r="AY97" s="1094">
        <f t="shared" si="33"/>
        <v>0</v>
      </c>
    </row>
    <row r="98" spans="1:51" s="831" customFormat="1" x14ac:dyDescent="0.25">
      <c r="A98" s="1108" t="s">
        <v>244</v>
      </c>
      <c r="B98" s="1108" t="s">
        <v>245</v>
      </c>
      <c r="C98" s="1053" t="s">
        <v>268</v>
      </c>
      <c r="D98" s="1379">
        <f t="shared" si="34"/>
        <v>-621.69000000000005</v>
      </c>
      <c r="E98" s="1379">
        <f t="shared" si="35"/>
        <v>90653.09</v>
      </c>
      <c r="F98" s="1379">
        <f t="shared" si="36"/>
        <v>22812.6</v>
      </c>
      <c r="G98" s="1381">
        <f t="shared" si="37"/>
        <v>705</v>
      </c>
      <c r="H98" s="1384">
        <f t="shared" si="25"/>
        <v>23517.599999999999</v>
      </c>
      <c r="I98" s="1385">
        <f t="shared" si="26"/>
        <v>113549</v>
      </c>
      <c r="J98" s="1109">
        <v>0</v>
      </c>
      <c r="K98" s="1109">
        <v>91250.4</v>
      </c>
      <c r="L98" s="1109">
        <v>22812.6</v>
      </c>
      <c r="M98" s="1109">
        <v>0</v>
      </c>
      <c r="N98" s="1109">
        <v>0</v>
      </c>
      <c r="O98" s="1110">
        <f t="shared" si="27"/>
        <v>114063</v>
      </c>
      <c r="P98" s="1418">
        <v>-621.69000000000005</v>
      </c>
      <c r="Q98" s="1411">
        <v>-597.30999999999995</v>
      </c>
      <c r="R98" s="1411">
        <v>0</v>
      </c>
      <c r="S98" s="1411">
        <v>705</v>
      </c>
      <c r="T98" s="1411">
        <v>0</v>
      </c>
      <c r="U98" s="1417">
        <f t="shared" si="28"/>
        <v>-514</v>
      </c>
      <c r="V98" s="1411"/>
      <c r="W98" s="1411"/>
      <c r="X98" s="1411"/>
      <c r="Y98" s="1411"/>
      <c r="Z98" s="1411"/>
      <c r="AA98" s="1411">
        <f t="shared" si="29"/>
        <v>0</v>
      </c>
      <c r="AB98" s="1092"/>
      <c r="AC98" s="1093"/>
      <c r="AD98" s="1093"/>
      <c r="AE98" s="1093"/>
      <c r="AF98" s="1093"/>
      <c r="AG98" s="1091">
        <f t="shared" si="30"/>
        <v>0</v>
      </c>
      <c r="AH98" s="1089"/>
      <c r="AI98" s="1090"/>
      <c r="AJ98" s="1090"/>
      <c r="AK98" s="1090"/>
      <c r="AL98" s="1090"/>
      <c r="AM98" s="1094">
        <f t="shared" si="31"/>
        <v>0</v>
      </c>
      <c r="AN98" s="1089"/>
      <c r="AO98" s="1090"/>
      <c r="AP98" s="1090"/>
      <c r="AQ98" s="1090"/>
      <c r="AR98" s="1090"/>
      <c r="AS98" s="1094">
        <f t="shared" si="32"/>
        <v>0</v>
      </c>
      <c r="AT98" s="1089"/>
      <c r="AU98" s="1090"/>
      <c r="AV98" s="1090"/>
      <c r="AW98" s="1090"/>
      <c r="AX98" s="1090"/>
      <c r="AY98" s="1094">
        <f t="shared" si="33"/>
        <v>0</v>
      </c>
    </row>
    <row r="99" spans="1:51" s="831" customFormat="1" x14ac:dyDescent="0.25">
      <c r="A99" s="1108" t="s">
        <v>246</v>
      </c>
      <c r="B99" s="1108" t="s">
        <v>310</v>
      </c>
      <c r="C99" s="1053" t="s">
        <v>264</v>
      </c>
      <c r="D99" s="1379">
        <f t="shared" si="34"/>
        <v>-539.78</v>
      </c>
      <c r="E99" s="1379">
        <f t="shared" si="35"/>
        <v>90235.470000000016</v>
      </c>
      <c r="F99" s="1379">
        <f t="shared" si="36"/>
        <v>24057.89</v>
      </c>
      <c r="G99" s="1381">
        <f t="shared" si="37"/>
        <v>0.02</v>
      </c>
      <c r="H99" s="1384">
        <f t="shared" si="25"/>
        <v>24057.91</v>
      </c>
      <c r="I99" s="1385">
        <f t="shared" si="26"/>
        <v>113753.60000000002</v>
      </c>
      <c r="J99" s="1109">
        <v>0</v>
      </c>
      <c r="K99" s="1109">
        <v>86841.600000000006</v>
      </c>
      <c r="L99" s="1109">
        <v>21710.400000000001</v>
      </c>
      <c r="M99" s="1109">
        <v>0</v>
      </c>
      <c r="N99" s="1109">
        <v>0</v>
      </c>
      <c r="O99" s="1110">
        <f t="shared" si="27"/>
        <v>108552</v>
      </c>
      <c r="P99" s="1418">
        <v>-539.78</v>
      </c>
      <c r="Q99" s="1411">
        <v>-518.62</v>
      </c>
      <c r="R99" s="1411">
        <v>0</v>
      </c>
      <c r="S99" s="1411">
        <v>0</v>
      </c>
      <c r="T99" s="1411">
        <v>0</v>
      </c>
      <c r="U99" s="1417">
        <f t="shared" si="28"/>
        <v>-1058.4000000000001</v>
      </c>
      <c r="V99" s="1411"/>
      <c r="W99" s="1411"/>
      <c r="X99" s="1411"/>
      <c r="Y99" s="1411"/>
      <c r="Z99" s="1411"/>
      <c r="AA99" s="1411">
        <f t="shared" si="29"/>
        <v>0</v>
      </c>
      <c r="AB99" s="1092">
        <v>0</v>
      </c>
      <c r="AC99" s="1093">
        <v>3912.49</v>
      </c>
      <c r="AD99" s="1093">
        <v>2347.4899999999998</v>
      </c>
      <c r="AE99" s="1093">
        <v>0.02</v>
      </c>
      <c r="AF99" s="1093">
        <v>0</v>
      </c>
      <c r="AG99" s="1091">
        <f t="shared" si="30"/>
        <v>6260</v>
      </c>
      <c r="AH99" s="1089"/>
      <c r="AI99" s="1090"/>
      <c r="AJ99" s="1090"/>
      <c r="AK99" s="1090"/>
      <c r="AL99" s="1090"/>
      <c r="AM99" s="1094">
        <f t="shared" si="31"/>
        <v>0</v>
      </c>
      <c r="AN99" s="1089"/>
      <c r="AO99" s="1090"/>
      <c r="AP99" s="1090"/>
      <c r="AQ99" s="1090"/>
      <c r="AR99" s="1090"/>
      <c r="AS99" s="1094">
        <f t="shared" si="32"/>
        <v>0</v>
      </c>
      <c r="AT99" s="1089"/>
      <c r="AU99" s="1090"/>
      <c r="AV99" s="1090"/>
      <c r="AW99" s="1090"/>
      <c r="AX99" s="1090"/>
      <c r="AY99" s="1094">
        <f t="shared" si="33"/>
        <v>0</v>
      </c>
    </row>
    <row r="100" spans="1:51" s="831" customFormat="1" x14ac:dyDescent="0.25">
      <c r="A100" s="1108" t="s">
        <v>14</v>
      </c>
      <c r="B100" s="1108" t="s">
        <v>15</v>
      </c>
      <c r="C100" s="1053" t="s">
        <v>267</v>
      </c>
      <c r="D100" s="1379">
        <f t="shared" si="34"/>
        <v>91518.68</v>
      </c>
      <c r="E100" s="1379">
        <f t="shared" si="35"/>
        <v>197181.38</v>
      </c>
      <c r="F100" s="1379">
        <f t="shared" si="36"/>
        <v>55215.009999999995</v>
      </c>
      <c r="G100" s="1381">
        <f t="shared" si="37"/>
        <v>0</v>
      </c>
      <c r="H100" s="1384">
        <f t="shared" si="25"/>
        <v>55215.009999999995</v>
      </c>
      <c r="I100" s="1385">
        <f t="shared" si="26"/>
        <v>343915.07</v>
      </c>
      <c r="J100" s="1109">
        <v>0</v>
      </c>
      <c r="K100" s="1109">
        <v>182544.8</v>
      </c>
      <c r="L100" s="1109">
        <v>45636.2</v>
      </c>
      <c r="M100" s="1109">
        <v>0</v>
      </c>
      <c r="N100" s="1109">
        <v>0</v>
      </c>
      <c r="O100" s="1110">
        <f t="shared" si="27"/>
        <v>228181</v>
      </c>
      <c r="P100" s="1418">
        <v>-1382.32</v>
      </c>
      <c r="Q100" s="1411">
        <v>-1328.11</v>
      </c>
      <c r="R100" s="1411">
        <v>0</v>
      </c>
      <c r="S100" s="1411">
        <v>0</v>
      </c>
      <c r="T100" s="1411">
        <v>0</v>
      </c>
      <c r="U100" s="1417">
        <f t="shared" si="28"/>
        <v>-2710.43</v>
      </c>
      <c r="V100" s="1411"/>
      <c r="W100" s="1411"/>
      <c r="X100" s="1411"/>
      <c r="Y100" s="1411"/>
      <c r="Z100" s="1411"/>
      <c r="AA100" s="1411">
        <f t="shared" si="29"/>
        <v>0</v>
      </c>
      <c r="AB100" s="1092">
        <v>0</v>
      </c>
      <c r="AC100" s="1093">
        <v>15964.69</v>
      </c>
      <c r="AD100" s="1093">
        <v>9578.81</v>
      </c>
      <c r="AE100" s="1093">
        <v>0</v>
      </c>
      <c r="AF100" s="1093">
        <v>0</v>
      </c>
      <c r="AG100" s="1091">
        <f t="shared" si="30"/>
        <v>25543.5</v>
      </c>
      <c r="AH100" s="1092">
        <v>92901</v>
      </c>
      <c r="AI100" s="1093">
        <v>0</v>
      </c>
      <c r="AJ100" s="1093">
        <v>0</v>
      </c>
      <c r="AK100" s="1093">
        <v>0</v>
      </c>
      <c r="AL100" s="1093">
        <v>0</v>
      </c>
      <c r="AM100" s="1094">
        <f t="shared" si="31"/>
        <v>92901</v>
      </c>
      <c r="AN100" s="1092"/>
      <c r="AO100" s="1093"/>
      <c r="AP100" s="1093"/>
      <c r="AQ100" s="1093"/>
      <c r="AR100" s="1093"/>
      <c r="AS100" s="1094">
        <f t="shared" si="32"/>
        <v>0</v>
      </c>
      <c r="AT100" s="1092"/>
      <c r="AU100" s="1093"/>
      <c r="AV100" s="1093"/>
      <c r="AW100" s="1093"/>
      <c r="AX100" s="1093"/>
      <c r="AY100" s="1094">
        <f t="shared" si="33"/>
        <v>0</v>
      </c>
    </row>
    <row r="101" spans="1:51" s="831" customFormat="1" x14ac:dyDescent="0.25">
      <c r="A101" s="1108" t="s">
        <v>34</v>
      </c>
      <c r="B101" s="1108" t="s">
        <v>35</v>
      </c>
      <c r="C101" s="1053" t="s">
        <v>268</v>
      </c>
      <c r="D101" s="1379">
        <f t="shared" si="34"/>
        <v>0</v>
      </c>
      <c r="E101" s="1379">
        <f t="shared" si="35"/>
        <v>199372.79999999999</v>
      </c>
      <c r="F101" s="1379">
        <f t="shared" si="36"/>
        <v>49918.2</v>
      </c>
      <c r="G101" s="1381">
        <f t="shared" si="37"/>
        <v>0</v>
      </c>
      <c r="H101" s="1384">
        <f t="shared" ref="H101:H124" si="38">F101+G101</f>
        <v>49918.2</v>
      </c>
      <c r="I101" s="1385">
        <f t="shared" si="26"/>
        <v>249291</v>
      </c>
      <c r="J101" s="1109">
        <v>0</v>
      </c>
      <c r="K101" s="1109">
        <v>199672.8</v>
      </c>
      <c r="L101" s="1109">
        <v>49918.2</v>
      </c>
      <c r="M101" s="1109">
        <v>0</v>
      </c>
      <c r="N101" s="1109">
        <v>0</v>
      </c>
      <c r="O101" s="1110">
        <f t="shared" ref="O101:O124" si="39">SUM(J101:N101)</f>
        <v>249591</v>
      </c>
      <c r="P101" s="1418"/>
      <c r="Q101" s="1411"/>
      <c r="R101" s="1411"/>
      <c r="S101" s="1411"/>
      <c r="T101" s="1411"/>
      <c r="U101" s="1417">
        <f t="shared" ref="U101:U124" si="40">SUM(P101:T101)</f>
        <v>0</v>
      </c>
      <c r="V101" s="1411"/>
      <c r="W101" s="1411"/>
      <c r="X101" s="1411"/>
      <c r="Y101" s="1411"/>
      <c r="Z101" s="1411"/>
      <c r="AA101" s="1411">
        <f t="shared" ref="AA101:AA124" si="41">SUM(V101:Z101)</f>
        <v>0</v>
      </c>
      <c r="AB101" s="1089"/>
      <c r="AC101" s="1090"/>
      <c r="AD101" s="1090"/>
      <c r="AE101" s="1090"/>
      <c r="AF101" s="1090"/>
      <c r="AG101" s="1091">
        <f t="shared" ref="AG101:AG124" si="42">SUM(AB101:AF101)</f>
        <v>0</v>
      </c>
      <c r="AH101" s="1089"/>
      <c r="AI101" s="1090"/>
      <c r="AJ101" s="1090"/>
      <c r="AK101" s="1090"/>
      <c r="AL101" s="1090"/>
      <c r="AM101" s="1094">
        <f t="shared" ref="AM101:AM124" si="43">SUM(AH101:AL101)</f>
        <v>0</v>
      </c>
      <c r="AN101" s="1089">
        <v>0</v>
      </c>
      <c r="AO101" s="1090">
        <v>-300</v>
      </c>
      <c r="AP101" s="1090">
        <v>0</v>
      </c>
      <c r="AQ101" s="1090">
        <v>0</v>
      </c>
      <c r="AR101" s="1090">
        <v>0</v>
      </c>
      <c r="AS101" s="1094">
        <f t="shared" ref="AS101:AS124" si="44">SUM(AN101:AR101)</f>
        <v>-300</v>
      </c>
      <c r="AT101" s="1089"/>
      <c r="AU101" s="1090"/>
      <c r="AV101" s="1090"/>
      <c r="AW101" s="1090"/>
      <c r="AX101" s="1090"/>
      <c r="AY101" s="1094">
        <f t="shared" ref="AY101:AY124" si="45">SUM(AT101:AX101)</f>
        <v>0</v>
      </c>
    </row>
    <row r="102" spans="1:51" s="831" customFormat="1" x14ac:dyDescent="0.25">
      <c r="A102" s="1108" t="s">
        <v>52</v>
      </c>
      <c r="B102" s="1108" t="s">
        <v>53</v>
      </c>
      <c r="C102" s="1053" t="s">
        <v>265</v>
      </c>
      <c r="D102" s="1379">
        <f t="shared" si="34"/>
        <v>15110.8</v>
      </c>
      <c r="E102" s="1379">
        <f t="shared" si="35"/>
        <v>209520.53</v>
      </c>
      <c r="F102" s="1379">
        <f t="shared" si="36"/>
        <v>54212</v>
      </c>
      <c r="G102" s="1381">
        <f t="shared" si="37"/>
        <v>-3307.96</v>
      </c>
      <c r="H102" s="1384">
        <f t="shared" si="38"/>
        <v>50904.04</v>
      </c>
      <c r="I102" s="1385">
        <f t="shared" si="26"/>
        <v>275535.36999999994</v>
      </c>
      <c r="J102" s="1109">
        <v>0</v>
      </c>
      <c r="K102" s="1109">
        <v>202964</v>
      </c>
      <c r="L102" s="1109">
        <v>50741</v>
      </c>
      <c r="M102" s="1109">
        <v>0</v>
      </c>
      <c r="N102" s="1109">
        <v>0</v>
      </c>
      <c r="O102" s="1110">
        <f t="shared" si="39"/>
        <v>253705</v>
      </c>
      <c r="P102" s="1418">
        <v>843.8</v>
      </c>
      <c r="Q102" s="1411">
        <v>810.71</v>
      </c>
      <c r="R102" s="1411">
        <v>0</v>
      </c>
      <c r="S102" s="1411">
        <v>-3307.96</v>
      </c>
      <c r="T102" s="1411">
        <v>0</v>
      </c>
      <c r="U102" s="1417">
        <f t="shared" si="40"/>
        <v>-1653.45</v>
      </c>
      <c r="V102" s="1411"/>
      <c r="W102" s="1411"/>
      <c r="X102" s="1411"/>
      <c r="Y102" s="1411"/>
      <c r="Z102" s="1411"/>
      <c r="AA102" s="1411">
        <f t="shared" si="41"/>
        <v>0</v>
      </c>
      <c r="AB102" s="1092">
        <v>0</v>
      </c>
      <c r="AC102" s="1093">
        <v>5785</v>
      </c>
      <c r="AD102" s="1093">
        <v>3471</v>
      </c>
      <c r="AE102" s="1093">
        <v>0</v>
      </c>
      <c r="AF102" s="1093">
        <v>0</v>
      </c>
      <c r="AG102" s="1091">
        <f t="shared" si="42"/>
        <v>9256</v>
      </c>
      <c r="AH102" s="1092">
        <v>14267</v>
      </c>
      <c r="AI102" s="1093">
        <v>0</v>
      </c>
      <c r="AJ102" s="1093">
        <v>0</v>
      </c>
      <c r="AK102" s="1093">
        <v>0</v>
      </c>
      <c r="AL102" s="1093">
        <v>0</v>
      </c>
      <c r="AM102" s="1094">
        <f t="shared" si="43"/>
        <v>14267</v>
      </c>
      <c r="AN102" s="1092">
        <v>0</v>
      </c>
      <c r="AO102" s="1093">
        <v>-39.18</v>
      </c>
      <c r="AP102" s="1093">
        <v>0</v>
      </c>
      <c r="AQ102" s="1093">
        <v>0</v>
      </c>
      <c r="AR102" s="1093">
        <v>0</v>
      </c>
      <c r="AS102" s="1094">
        <f t="shared" si="44"/>
        <v>-39.18</v>
      </c>
      <c r="AT102" s="1092"/>
      <c r="AU102" s="1093"/>
      <c r="AV102" s="1093"/>
      <c r="AW102" s="1093"/>
      <c r="AX102" s="1093"/>
      <c r="AY102" s="1094">
        <f t="shared" si="45"/>
        <v>0</v>
      </c>
    </row>
    <row r="103" spans="1:51" s="831" customFormat="1" x14ac:dyDescent="0.25">
      <c r="A103" s="1108" t="s">
        <v>54</v>
      </c>
      <c r="B103" s="1108" t="s">
        <v>55</v>
      </c>
      <c r="C103" s="1053" t="s">
        <v>264</v>
      </c>
      <c r="D103" s="1379">
        <f t="shared" si="34"/>
        <v>-2561.96</v>
      </c>
      <c r="E103" s="1379">
        <f t="shared" si="35"/>
        <v>491189.45</v>
      </c>
      <c r="F103" s="1379">
        <f t="shared" si="36"/>
        <v>123412.74</v>
      </c>
      <c r="G103" s="1381">
        <f t="shared" si="37"/>
        <v>-2765.51</v>
      </c>
      <c r="H103" s="1384">
        <f t="shared" si="38"/>
        <v>120647.23000000001</v>
      </c>
      <c r="I103" s="1385">
        <f t="shared" si="26"/>
        <v>609274.72</v>
      </c>
      <c r="J103" s="1109">
        <v>0</v>
      </c>
      <c r="K103" s="1109">
        <v>493650.96</v>
      </c>
      <c r="L103" s="1109">
        <v>123412.74</v>
      </c>
      <c r="M103" s="1109">
        <v>0</v>
      </c>
      <c r="N103" s="1109">
        <v>0</v>
      </c>
      <c r="O103" s="1110">
        <f t="shared" si="39"/>
        <v>617063.70000000007</v>
      </c>
      <c r="P103" s="1418">
        <v>-2561.96</v>
      </c>
      <c r="Q103" s="1411">
        <v>-2461.5100000000002</v>
      </c>
      <c r="R103" s="1411">
        <v>0</v>
      </c>
      <c r="S103" s="1411">
        <v>-2765.51</v>
      </c>
      <c r="T103" s="1411">
        <v>0</v>
      </c>
      <c r="U103" s="1417">
        <f t="shared" si="40"/>
        <v>-7788.9800000000005</v>
      </c>
      <c r="V103" s="1411"/>
      <c r="W103" s="1411"/>
      <c r="X103" s="1411"/>
      <c r="Y103" s="1411"/>
      <c r="Z103" s="1411"/>
      <c r="AA103" s="1411">
        <f t="shared" si="41"/>
        <v>0</v>
      </c>
      <c r="AB103" s="1092"/>
      <c r="AC103" s="1093"/>
      <c r="AD103" s="1093"/>
      <c r="AE103" s="1093"/>
      <c r="AF103" s="1093"/>
      <c r="AG103" s="1091">
        <f t="shared" si="42"/>
        <v>0</v>
      </c>
      <c r="AH103" s="1092"/>
      <c r="AI103" s="1093"/>
      <c r="AJ103" s="1093"/>
      <c r="AK103" s="1093"/>
      <c r="AL103" s="1093"/>
      <c r="AM103" s="1094">
        <f t="shared" si="43"/>
        <v>0</v>
      </c>
      <c r="AN103" s="1092"/>
      <c r="AO103" s="1093"/>
      <c r="AP103" s="1093"/>
      <c r="AQ103" s="1093"/>
      <c r="AR103" s="1093"/>
      <c r="AS103" s="1094">
        <f t="shared" si="44"/>
        <v>0</v>
      </c>
      <c r="AT103" s="1092"/>
      <c r="AU103" s="1093"/>
      <c r="AV103" s="1093"/>
      <c r="AW103" s="1093"/>
      <c r="AX103" s="1093"/>
      <c r="AY103" s="1094">
        <f t="shared" si="45"/>
        <v>0</v>
      </c>
    </row>
    <row r="104" spans="1:51" s="831" customFormat="1" x14ac:dyDescent="0.25">
      <c r="A104" s="1108" t="s">
        <v>66</v>
      </c>
      <c r="B104" s="1108" t="s">
        <v>67</v>
      </c>
      <c r="C104" s="1053" t="s">
        <v>265</v>
      </c>
      <c r="D104" s="1379">
        <f t="shared" si="34"/>
        <v>-538.75</v>
      </c>
      <c r="E104" s="1379">
        <f t="shared" si="35"/>
        <v>243186.38</v>
      </c>
      <c r="F104" s="1379">
        <f t="shared" si="36"/>
        <v>60926</v>
      </c>
      <c r="G104" s="1381">
        <f t="shared" si="37"/>
        <v>0</v>
      </c>
      <c r="H104" s="1384">
        <f t="shared" si="38"/>
        <v>60926</v>
      </c>
      <c r="I104" s="1385">
        <f t="shared" si="26"/>
        <v>303573.63</v>
      </c>
      <c r="J104" s="1109">
        <v>0</v>
      </c>
      <c r="K104" s="1109">
        <v>243704</v>
      </c>
      <c r="L104" s="1109">
        <v>60926</v>
      </c>
      <c r="M104" s="1109">
        <v>0</v>
      </c>
      <c r="N104" s="1109">
        <v>0</v>
      </c>
      <c r="O104" s="1110">
        <f t="shared" si="39"/>
        <v>304630</v>
      </c>
      <c r="P104" s="1418">
        <v>-538.75</v>
      </c>
      <c r="Q104" s="1411">
        <v>-517.62</v>
      </c>
      <c r="R104" s="1411">
        <v>0</v>
      </c>
      <c r="S104" s="1411">
        <v>0</v>
      </c>
      <c r="T104" s="1411">
        <v>0</v>
      </c>
      <c r="U104" s="1417">
        <f t="shared" si="40"/>
        <v>-1056.3699999999999</v>
      </c>
      <c r="V104" s="1411"/>
      <c r="W104" s="1411"/>
      <c r="X104" s="1411"/>
      <c r="Y104" s="1411"/>
      <c r="Z104" s="1411"/>
      <c r="AA104" s="1411">
        <f t="shared" si="41"/>
        <v>0</v>
      </c>
      <c r="AB104" s="1089"/>
      <c r="AC104" s="1090"/>
      <c r="AD104" s="1090"/>
      <c r="AE104" s="1090"/>
      <c r="AF104" s="1090"/>
      <c r="AG104" s="1091">
        <f t="shared" si="42"/>
        <v>0</v>
      </c>
      <c r="AH104" s="1089"/>
      <c r="AI104" s="1090"/>
      <c r="AJ104" s="1090"/>
      <c r="AK104" s="1090"/>
      <c r="AL104" s="1090"/>
      <c r="AM104" s="1094">
        <f t="shared" si="43"/>
        <v>0</v>
      </c>
      <c r="AN104" s="1089"/>
      <c r="AO104" s="1090"/>
      <c r="AP104" s="1090"/>
      <c r="AQ104" s="1090"/>
      <c r="AR104" s="1090"/>
      <c r="AS104" s="1094">
        <f t="shared" si="44"/>
        <v>0</v>
      </c>
      <c r="AT104" s="1089"/>
      <c r="AU104" s="1090"/>
      <c r="AV104" s="1090"/>
      <c r="AW104" s="1090"/>
      <c r="AX104" s="1090"/>
      <c r="AY104" s="1094">
        <f t="shared" si="45"/>
        <v>0</v>
      </c>
    </row>
    <row r="105" spans="1:51" s="831" customFormat="1" x14ac:dyDescent="0.25">
      <c r="A105" s="1108" t="s">
        <v>82</v>
      </c>
      <c r="B105" s="1108" t="s">
        <v>311</v>
      </c>
      <c r="C105" s="1053" t="s">
        <v>264</v>
      </c>
      <c r="D105" s="1379">
        <f t="shared" si="34"/>
        <v>0</v>
      </c>
      <c r="E105" s="1379">
        <f t="shared" si="35"/>
        <v>47361.599999999999</v>
      </c>
      <c r="F105" s="1379">
        <f t="shared" si="36"/>
        <v>11840.4</v>
      </c>
      <c r="G105" s="1381">
        <f t="shared" si="37"/>
        <v>0</v>
      </c>
      <c r="H105" s="1384">
        <f t="shared" si="38"/>
        <v>11840.4</v>
      </c>
      <c r="I105" s="1385">
        <f t="shared" si="26"/>
        <v>59202</v>
      </c>
      <c r="J105" s="1109">
        <v>0</v>
      </c>
      <c r="K105" s="1109">
        <v>47361.599999999999</v>
      </c>
      <c r="L105" s="1109">
        <v>11840.4</v>
      </c>
      <c r="M105" s="1109">
        <v>0</v>
      </c>
      <c r="N105" s="1109">
        <v>0</v>
      </c>
      <c r="O105" s="1110">
        <f t="shared" si="39"/>
        <v>59202</v>
      </c>
      <c r="P105" s="1418"/>
      <c r="Q105" s="1411"/>
      <c r="R105" s="1411"/>
      <c r="S105" s="1411"/>
      <c r="T105" s="1411"/>
      <c r="U105" s="1417">
        <f t="shared" si="40"/>
        <v>0</v>
      </c>
      <c r="V105" s="1411"/>
      <c r="W105" s="1411"/>
      <c r="X105" s="1411"/>
      <c r="Y105" s="1411"/>
      <c r="Z105" s="1411"/>
      <c r="AA105" s="1411">
        <f t="shared" si="41"/>
        <v>0</v>
      </c>
      <c r="AB105" s="1089"/>
      <c r="AC105" s="1090"/>
      <c r="AD105" s="1090"/>
      <c r="AE105" s="1090"/>
      <c r="AF105" s="1090"/>
      <c r="AG105" s="1091">
        <f t="shared" si="42"/>
        <v>0</v>
      </c>
      <c r="AH105" s="1089"/>
      <c r="AI105" s="1090"/>
      <c r="AJ105" s="1090"/>
      <c r="AK105" s="1090"/>
      <c r="AL105" s="1090"/>
      <c r="AM105" s="1094">
        <f t="shared" si="43"/>
        <v>0</v>
      </c>
      <c r="AN105" s="1089"/>
      <c r="AO105" s="1090"/>
      <c r="AP105" s="1090"/>
      <c r="AQ105" s="1090"/>
      <c r="AR105" s="1090"/>
      <c r="AS105" s="1094">
        <f t="shared" si="44"/>
        <v>0</v>
      </c>
      <c r="AT105" s="1089"/>
      <c r="AU105" s="1090"/>
      <c r="AV105" s="1090"/>
      <c r="AW105" s="1090"/>
      <c r="AX105" s="1090"/>
      <c r="AY105" s="1094">
        <f t="shared" si="45"/>
        <v>0</v>
      </c>
    </row>
    <row r="106" spans="1:51" s="831" customFormat="1" x14ac:dyDescent="0.25">
      <c r="A106" s="1108" t="s">
        <v>88</v>
      </c>
      <c r="B106" s="1108" t="s">
        <v>89</v>
      </c>
      <c r="C106" s="1053" t="s">
        <v>267</v>
      </c>
      <c r="D106" s="1379">
        <f t="shared" si="34"/>
        <v>9579.35</v>
      </c>
      <c r="E106" s="1379">
        <f t="shared" si="35"/>
        <v>74714.89</v>
      </c>
      <c r="F106" s="1379">
        <f t="shared" si="36"/>
        <v>18875.599999999999</v>
      </c>
      <c r="G106" s="1381">
        <f t="shared" si="37"/>
        <v>0</v>
      </c>
      <c r="H106" s="1384">
        <f t="shared" si="38"/>
        <v>18875.599999999999</v>
      </c>
      <c r="I106" s="1385">
        <f t="shared" si="26"/>
        <v>103169.84</v>
      </c>
      <c r="J106" s="1109">
        <v>0</v>
      </c>
      <c r="K106" s="1109">
        <v>75502.399999999994</v>
      </c>
      <c r="L106" s="1109">
        <v>18875.599999999999</v>
      </c>
      <c r="M106" s="1109">
        <v>0</v>
      </c>
      <c r="N106" s="1109">
        <v>0</v>
      </c>
      <c r="O106" s="1110">
        <f t="shared" si="39"/>
        <v>94378</v>
      </c>
      <c r="P106" s="1418">
        <v>-819.65</v>
      </c>
      <c r="Q106" s="1411">
        <v>-787.51</v>
      </c>
      <c r="R106" s="1411">
        <v>0</v>
      </c>
      <c r="S106" s="1411">
        <v>0</v>
      </c>
      <c r="T106" s="1411">
        <v>0</v>
      </c>
      <c r="U106" s="1417">
        <f t="shared" si="40"/>
        <v>-1607.1599999999999</v>
      </c>
      <c r="V106" s="1411"/>
      <c r="W106" s="1411"/>
      <c r="X106" s="1411"/>
      <c r="Y106" s="1411"/>
      <c r="Z106" s="1411"/>
      <c r="AA106" s="1411">
        <f t="shared" si="41"/>
        <v>0</v>
      </c>
      <c r="AB106" s="1089"/>
      <c r="AC106" s="1090"/>
      <c r="AD106" s="1090"/>
      <c r="AE106" s="1090"/>
      <c r="AF106" s="1090"/>
      <c r="AG106" s="1091">
        <f t="shared" si="42"/>
        <v>0</v>
      </c>
      <c r="AH106" s="1089">
        <v>10399</v>
      </c>
      <c r="AI106" s="1090">
        <v>0</v>
      </c>
      <c r="AJ106" s="1090">
        <v>0</v>
      </c>
      <c r="AK106" s="1090">
        <v>0</v>
      </c>
      <c r="AL106" s="1090">
        <v>0</v>
      </c>
      <c r="AM106" s="1094">
        <f t="shared" si="43"/>
        <v>10399</v>
      </c>
      <c r="AN106" s="1089"/>
      <c r="AO106" s="1090"/>
      <c r="AP106" s="1090"/>
      <c r="AQ106" s="1090"/>
      <c r="AR106" s="1090"/>
      <c r="AS106" s="1094">
        <f t="shared" si="44"/>
        <v>0</v>
      </c>
      <c r="AT106" s="1089"/>
      <c r="AU106" s="1090"/>
      <c r="AV106" s="1090"/>
      <c r="AW106" s="1090"/>
      <c r="AX106" s="1090"/>
      <c r="AY106" s="1094">
        <f t="shared" si="45"/>
        <v>0</v>
      </c>
    </row>
    <row r="107" spans="1:51" s="831" customFormat="1" x14ac:dyDescent="0.25">
      <c r="A107" s="1108" t="s">
        <v>90</v>
      </c>
      <c r="B107" s="1108" t="s">
        <v>91</v>
      </c>
      <c r="C107" s="1053" t="s">
        <v>268</v>
      </c>
      <c r="D107" s="1379">
        <f t="shared" si="34"/>
        <v>0</v>
      </c>
      <c r="E107" s="1379">
        <f t="shared" si="35"/>
        <v>65812.800000000003</v>
      </c>
      <c r="F107" s="1379">
        <f t="shared" si="36"/>
        <v>16453.2</v>
      </c>
      <c r="G107" s="1381">
        <f t="shared" si="37"/>
        <v>0</v>
      </c>
      <c r="H107" s="1384">
        <f t="shared" si="38"/>
        <v>16453.2</v>
      </c>
      <c r="I107" s="1385">
        <f t="shared" si="26"/>
        <v>82266</v>
      </c>
      <c r="J107" s="1109">
        <v>0</v>
      </c>
      <c r="K107" s="1109">
        <v>65812.800000000003</v>
      </c>
      <c r="L107" s="1109">
        <v>16453.2</v>
      </c>
      <c r="M107" s="1109">
        <v>0</v>
      </c>
      <c r="N107" s="1109">
        <v>0</v>
      </c>
      <c r="O107" s="1110">
        <f t="shared" si="39"/>
        <v>82266</v>
      </c>
      <c r="P107" s="1418"/>
      <c r="Q107" s="1411"/>
      <c r="R107" s="1411"/>
      <c r="S107" s="1411"/>
      <c r="T107" s="1411"/>
      <c r="U107" s="1417">
        <f t="shared" si="40"/>
        <v>0</v>
      </c>
      <c r="V107" s="1411"/>
      <c r="W107" s="1411"/>
      <c r="X107" s="1411"/>
      <c r="Y107" s="1411"/>
      <c r="Z107" s="1411"/>
      <c r="AA107" s="1411">
        <f t="shared" si="41"/>
        <v>0</v>
      </c>
      <c r="AB107" s="1089"/>
      <c r="AC107" s="1090"/>
      <c r="AD107" s="1090"/>
      <c r="AE107" s="1090"/>
      <c r="AF107" s="1090"/>
      <c r="AG107" s="1091">
        <f t="shared" si="42"/>
        <v>0</v>
      </c>
      <c r="AH107" s="1089"/>
      <c r="AI107" s="1090"/>
      <c r="AJ107" s="1090"/>
      <c r="AK107" s="1090"/>
      <c r="AL107" s="1090"/>
      <c r="AM107" s="1094">
        <f t="shared" si="43"/>
        <v>0</v>
      </c>
      <c r="AN107" s="1089"/>
      <c r="AO107" s="1090"/>
      <c r="AP107" s="1090"/>
      <c r="AQ107" s="1090"/>
      <c r="AR107" s="1090"/>
      <c r="AS107" s="1094">
        <f t="shared" si="44"/>
        <v>0</v>
      </c>
      <c r="AT107" s="1089"/>
      <c r="AU107" s="1090"/>
      <c r="AV107" s="1090"/>
      <c r="AW107" s="1090"/>
      <c r="AX107" s="1090"/>
      <c r="AY107" s="1094">
        <f t="shared" si="45"/>
        <v>0</v>
      </c>
    </row>
    <row r="108" spans="1:51" s="831" customFormat="1" x14ac:dyDescent="0.25">
      <c r="A108" s="1108" t="s">
        <v>106</v>
      </c>
      <c r="B108" s="1108" t="s">
        <v>107</v>
      </c>
      <c r="C108" s="1053" t="s">
        <v>264</v>
      </c>
      <c r="D108" s="1379">
        <f t="shared" si="34"/>
        <v>14070.83</v>
      </c>
      <c r="E108" s="1379">
        <f t="shared" si="35"/>
        <v>411608.3</v>
      </c>
      <c r="F108" s="1379">
        <f t="shared" si="36"/>
        <v>113794.37999999999</v>
      </c>
      <c r="G108" s="1381">
        <f t="shared" si="37"/>
        <v>2400.96</v>
      </c>
      <c r="H108" s="1384">
        <f t="shared" si="38"/>
        <v>116195.34</v>
      </c>
      <c r="I108" s="1385">
        <f t="shared" si="26"/>
        <v>541874.47</v>
      </c>
      <c r="J108" s="1109">
        <v>0</v>
      </c>
      <c r="K108" s="1109">
        <v>388029.6</v>
      </c>
      <c r="L108" s="1109">
        <v>97007.4</v>
      </c>
      <c r="M108" s="1109">
        <v>0</v>
      </c>
      <c r="N108" s="1109">
        <v>0</v>
      </c>
      <c r="O108" s="1110">
        <f t="shared" si="39"/>
        <v>485037</v>
      </c>
      <c r="P108" s="1418">
        <v>-4579.17</v>
      </c>
      <c r="Q108" s="1411">
        <v>-4399.62</v>
      </c>
      <c r="R108" s="1411">
        <v>0</v>
      </c>
      <c r="S108" s="1411">
        <v>0.01</v>
      </c>
      <c r="T108" s="1411">
        <v>0</v>
      </c>
      <c r="U108" s="1417">
        <f t="shared" si="40"/>
        <v>-8978.7800000000007</v>
      </c>
      <c r="V108" s="1411">
        <v>0</v>
      </c>
      <c r="W108" s="1411">
        <v>0</v>
      </c>
      <c r="X108" s="1411">
        <v>0</v>
      </c>
      <c r="Y108" s="1411">
        <v>2400.96</v>
      </c>
      <c r="Z108" s="1411">
        <v>0</v>
      </c>
      <c r="AA108" s="1411">
        <f t="shared" si="41"/>
        <v>2400.96</v>
      </c>
      <c r="AB108" s="1092">
        <v>0</v>
      </c>
      <c r="AC108" s="1093">
        <v>27978.32</v>
      </c>
      <c r="AD108" s="1093">
        <v>16786.98</v>
      </c>
      <c r="AE108" s="1093">
        <v>-0.01</v>
      </c>
      <c r="AF108" s="1093">
        <v>0</v>
      </c>
      <c r="AG108" s="1091">
        <f t="shared" si="42"/>
        <v>44765.29</v>
      </c>
      <c r="AH108" s="1092">
        <v>18650</v>
      </c>
      <c r="AI108" s="1093">
        <v>0</v>
      </c>
      <c r="AJ108" s="1093">
        <v>0</v>
      </c>
      <c r="AK108" s="1093">
        <v>0</v>
      </c>
      <c r="AL108" s="1093">
        <v>0</v>
      </c>
      <c r="AM108" s="1094">
        <f t="shared" si="43"/>
        <v>18650</v>
      </c>
      <c r="AN108" s="1092"/>
      <c r="AO108" s="1093"/>
      <c r="AP108" s="1093"/>
      <c r="AQ108" s="1093"/>
      <c r="AR108" s="1093"/>
      <c r="AS108" s="1094">
        <f t="shared" si="44"/>
        <v>0</v>
      </c>
      <c r="AT108" s="1092"/>
      <c r="AU108" s="1093"/>
      <c r="AV108" s="1093"/>
      <c r="AW108" s="1093"/>
      <c r="AX108" s="1093"/>
      <c r="AY108" s="1094">
        <f t="shared" si="45"/>
        <v>0</v>
      </c>
    </row>
    <row r="109" spans="1:51" s="831" customFormat="1" x14ac:dyDescent="0.25">
      <c r="A109" s="1108" t="s">
        <v>116</v>
      </c>
      <c r="B109" s="1108" t="s">
        <v>117</v>
      </c>
      <c r="C109" s="1053" t="s">
        <v>266</v>
      </c>
      <c r="D109" s="1379">
        <f t="shared" si="34"/>
        <v>0</v>
      </c>
      <c r="E109" s="1379">
        <f t="shared" si="35"/>
        <v>57148.800000000003</v>
      </c>
      <c r="F109" s="1379">
        <f t="shared" si="36"/>
        <v>14287.2</v>
      </c>
      <c r="G109" s="1381">
        <f t="shared" si="37"/>
        <v>0</v>
      </c>
      <c r="H109" s="1384">
        <f t="shared" si="38"/>
        <v>14287.2</v>
      </c>
      <c r="I109" s="1385">
        <f t="shared" si="26"/>
        <v>71436</v>
      </c>
      <c r="J109" s="1109">
        <v>0</v>
      </c>
      <c r="K109" s="1109">
        <v>57148.800000000003</v>
      </c>
      <c r="L109" s="1109">
        <v>14287.2</v>
      </c>
      <c r="M109" s="1109">
        <v>0</v>
      </c>
      <c r="N109" s="1109">
        <v>0</v>
      </c>
      <c r="O109" s="1110">
        <f t="shared" si="39"/>
        <v>71436</v>
      </c>
      <c r="P109" s="1418"/>
      <c r="Q109" s="1411"/>
      <c r="R109" s="1411"/>
      <c r="S109" s="1411"/>
      <c r="T109" s="1411"/>
      <c r="U109" s="1417">
        <f t="shared" si="40"/>
        <v>0</v>
      </c>
      <c r="V109" s="1411"/>
      <c r="W109" s="1411"/>
      <c r="X109" s="1411"/>
      <c r="Y109" s="1411"/>
      <c r="Z109" s="1411"/>
      <c r="AA109" s="1411">
        <f t="shared" si="41"/>
        <v>0</v>
      </c>
      <c r="AB109" s="1089"/>
      <c r="AC109" s="1090"/>
      <c r="AD109" s="1090"/>
      <c r="AE109" s="1090"/>
      <c r="AF109" s="1090"/>
      <c r="AG109" s="1091">
        <f t="shared" si="42"/>
        <v>0</v>
      </c>
      <c r="AH109" s="1089"/>
      <c r="AI109" s="1090"/>
      <c r="AJ109" s="1090"/>
      <c r="AK109" s="1090"/>
      <c r="AL109" s="1090"/>
      <c r="AM109" s="1094">
        <f t="shared" si="43"/>
        <v>0</v>
      </c>
      <c r="AN109" s="1089"/>
      <c r="AO109" s="1090"/>
      <c r="AP109" s="1090"/>
      <c r="AQ109" s="1090"/>
      <c r="AR109" s="1090"/>
      <c r="AS109" s="1094">
        <f t="shared" si="44"/>
        <v>0</v>
      </c>
      <c r="AT109" s="1089"/>
      <c r="AU109" s="1090"/>
      <c r="AV109" s="1090"/>
      <c r="AW109" s="1090"/>
      <c r="AX109" s="1090"/>
      <c r="AY109" s="1094">
        <f t="shared" si="45"/>
        <v>0</v>
      </c>
    </row>
    <row r="110" spans="1:51" s="831" customFormat="1" x14ac:dyDescent="0.25">
      <c r="A110" s="1108" t="s">
        <v>138</v>
      </c>
      <c r="B110" s="1108" t="s">
        <v>139</v>
      </c>
      <c r="C110" s="1053" t="s">
        <v>265</v>
      </c>
      <c r="D110" s="1379">
        <f t="shared" si="34"/>
        <v>-160.65</v>
      </c>
      <c r="E110" s="1379">
        <f t="shared" si="35"/>
        <v>427471.15</v>
      </c>
      <c r="F110" s="1379">
        <f t="shared" si="36"/>
        <v>106906.37</v>
      </c>
      <c r="G110" s="1381">
        <f t="shared" si="37"/>
        <v>0</v>
      </c>
      <c r="H110" s="1384">
        <f t="shared" si="38"/>
        <v>106906.37</v>
      </c>
      <c r="I110" s="1385">
        <f t="shared" si="26"/>
        <v>534216.87</v>
      </c>
      <c r="J110" s="1109">
        <v>0</v>
      </c>
      <c r="K110" s="1109">
        <v>427625.5</v>
      </c>
      <c r="L110" s="1109">
        <v>106906.37</v>
      </c>
      <c r="M110" s="1109">
        <v>0</v>
      </c>
      <c r="N110" s="1109">
        <v>0</v>
      </c>
      <c r="O110" s="1110">
        <f t="shared" si="39"/>
        <v>534531.87</v>
      </c>
      <c r="P110" s="1418">
        <v>-160.65</v>
      </c>
      <c r="Q110" s="1411">
        <v>-154.35</v>
      </c>
      <c r="R110" s="1411">
        <v>0</v>
      </c>
      <c r="S110" s="1411">
        <v>0</v>
      </c>
      <c r="T110" s="1411">
        <v>0</v>
      </c>
      <c r="U110" s="1417">
        <f t="shared" si="40"/>
        <v>-315</v>
      </c>
      <c r="V110" s="1411"/>
      <c r="W110" s="1411"/>
      <c r="X110" s="1411"/>
      <c r="Y110" s="1411"/>
      <c r="Z110" s="1411"/>
      <c r="AA110" s="1411">
        <f t="shared" si="41"/>
        <v>0</v>
      </c>
      <c r="AB110" s="1092"/>
      <c r="AC110" s="1093"/>
      <c r="AD110" s="1093"/>
      <c r="AE110" s="1093"/>
      <c r="AF110" s="1093"/>
      <c r="AG110" s="1091">
        <f t="shared" si="42"/>
        <v>0</v>
      </c>
      <c r="AH110" s="1092"/>
      <c r="AI110" s="1093"/>
      <c r="AJ110" s="1093"/>
      <c r="AK110" s="1093"/>
      <c r="AL110" s="1093"/>
      <c r="AM110" s="1094">
        <f t="shared" si="43"/>
        <v>0</v>
      </c>
      <c r="AN110" s="1092"/>
      <c r="AO110" s="1093"/>
      <c r="AP110" s="1093"/>
      <c r="AQ110" s="1093"/>
      <c r="AR110" s="1093"/>
      <c r="AS110" s="1094">
        <f t="shared" si="44"/>
        <v>0</v>
      </c>
      <c r="AT110" s="1092"/>
      <c r="AU110" s="1093"/>
      <c r="AV110" s="1093"/>
      <c r="AW110" s="1093"/>
      <c r="AX110" s="1093"/>
      <c r="AY110" s="1094">
        <f t="shared" si="45"/>
        <v>0</v>
      </c>
    </row>
    <row r="111" spans="1:51" s="831" customFormat="1" x14ac:dyDescent="0.25">
      <c r="A111" s="1108" t="s">
        <v>142</v>
      </c>
      <c r="B111" s="1108" t="s">
        <v>143</v>
      </c>
      <c r="C111" s="1053" t="s">
        <v>267</v>
      </c>
      <c r="D111" s="1379">
        <f t="shared" si="34"/>
        <v>0</v>
      </c>
      <c r="E111" s="1379">
        <f t="shared" si="35"/>
        <v>10012.799999999999</v>
      </c>
      <c r="F111" s="1379">
        <f t="shared" si="36"/>
        <v>2503.1999999999998</v>
      </c>
      <c r="G111" s="1381">
        <f t="shared" si="37"/>
        <v>-5</v>
      </c>
      <c r="H111" s="1384">
        <f t="shared" si="38"/>
        <v>2498.1999999999998</v>
      </c>
      <c r="I111" s="1385">
        <f t="shared" si="26"/>
        <v>12511</v>
      </c>
      <c r="J111" s="1109">
        <v>0</v>
      </c>
      <c r="K111" s="1109">
        <v>10012.799999999999</v>
      </c>
      <c r="L111" s="1109">
        <v>2503.1999999999998</v>
      </c>
      <c r="M111" s="1109">
        <v>0</v>
      </c>
      <c r="N111" s="1109">
        <v>0</v>
      </c>
      <c r="O111" s="1110">
        <f t="shared" si="39"/>
        <v>12516</v>
      </c>
      <c r="P111" s="1418">
        <v>0</v>
      </c>
      <c r="Q111" s="1411">
        <v>0</v>
      </c>
      <c r="R111" s="1411">
        <v>0</v>
      </c>
      <c r="S111" s="1411">
        <v>-5</v>
      </c>
      <c r="T111" s="1411">
        <v>0</v>
      </c>
      <c r="U111" s="1417">
        <f t="shared" si="40"/>
        <v>-5</v>
      </c>
      <c r="V111" s="1411"/>
      <c r="W111" s="1411"/>
      <c r="X111" s="1411"/>
      <c r="Y111" s="1411"/>
      <c r="Z111" s="1411"/>
      <c r="AA111" s="1411">
        <f t="shared" si="41"/>
        <v>0</v>
      </c>
      <c r="AB111" s="1092"/>
      <c r="AC111" s="1093"/>
      <c r="AD111" s="1093"/>
      <c r="AE111" s="1093"/>
      <c r="AF111" s="1093"/>
      <c r="AG111" s="1091">
        <f t="shared" si="42"/>
        <v>0</v>
      </c>
      <c r="AH111" s="1092"/>
      <c r="AI111" s="1093"/>
      <c r="AJ111" s="1093"/>
      <c r="AK111" s="1093"/>
      <c r="AL111" s="1093"/>
      <c r="AM111" s="1094">
        <f t="shared" si="43"/>
        <v>0</v>
      </c>
      <c r="AN111" s="1092"/>
      <c r="AO111" s="1093"/>
      <c r="AP111" s="1093"/>
      <c r="AQ111" s="1093"/>
      <c r="AR111" s="1093"/>
      <c r="AS111" s="1094">
        <f t="shared" si="44"/>
        <v>0</v>
      </c>
      <c r="AT111" s="1092"/>
      <c r="AU111" s="1093"/>
      <c r="AV111" s="1093"/>
      <c r="AW111" s="1093"/>
      <c r="AX111" s="1093"/>
      <c r="AY111" s="1094">
        <f t="shared" si="45"/>
        <v>0</v>
      </c>
    </row>
    <row r="112" spans="1:51" s="831" customFormat="1" x14ac:dyDescent="0.25">
      <c r="A112" s="1108" t="s">
        <v>144</v>
      </c>
      <c r="B112" s="1108" t="s">
        <v>145</v>
      </c>
      <c r="C112" s="1053" t="s">
        <v>267</v>
      </c>
      <c r="D112" s="1379">
        <f t="shared" si="34"/>
        <v>0</v>
      </c>
      <c r="E112" s="1379">
        <f t="shared" si="35"/>
        <v>5747.2</v>
      </c>
      <c r="F112" s="1379">
        <f t="shared" si="36"/>
        <v>1436.8</v>
      </c>
      <c r="G112" s="1381">
        <f t="shared" si="37"/>
        <v>0</v>
      </c>
      <c r="H112" s="1384">
        <f t="shared" si="38"/>
        <v>1436.8</v>
      </c>
      <c r="I112" s="1385">
        <f t="shared" si="26"/>
        <v>7184</v>
      </c>
      <c r="J112" s="1109">
        <v>0</v>
      </c>
      <c r="K112" s="1109">
        <v>5747.2</v>
      </c>
      <c r="L112" s="1109">
        <v>1436.8</v>
      </c>
      <c r="M112" s="1109">
        <v>0</v>
      </c>
      <c r="N112" s="1109">
        <v>0</v>
      </c>
      <c r="O112" s="1110">
        <f t="shared" si="39"/>
        <v>7184</v>
      </c>
      <c r="P112" s="1418"/>
      <c r="Q112" s="1411"/>
      <c r="R112" s="1411"/>
      <c r="S112" s="1411"/>
      <c r="T112" s="1411"/>
      <c r="U112" s="1417">
        <f t="shared" si="40"/>
        <v>0</v>
      </c>
      <c r="V112" s="1411"/>
      <c r="W112" s="1411"/>
      <c r="X112" s="1411"/>
      <c r="Y112" s="1411"/>
      <c r="Z112" s="1411"/>
      <c r="AA112" s="1411">
        <f t="shared" si="41"/>
        <v>0</v>
      </c>
      <c r="AB112" s="1089"/>
      <c r="AC112" s="1090"/>
      <c r="AD112" s="1090"/>
      <c r="AE112" s="1090"/>
      <c r="AF112" s="1090"/>
      <c r="AG112" s="1091">
        <f t="shared" si="42"/>
        <v>0</v>
      </c>
      <c r="AH112" s="1089"/>
      <c r="AI112" s="1090"/>
      <c r="AJ112" s="1090"/>
      <c r="AK112" s="1090"/>
      <c r="AL112" s="1090"/>
      <c r="AM112" s="1094">
        <f t="shared" si="43"/>
        <v>0</v>
      </c>
      <c r="AN112" s="1089"/>
      <c r="AO112" s="1090"/>
      <c r="AP112" s="1090"/>
      <c r="AQ112" s="1090"/>
      <c r="AR112" s="1090"/>
      <c r="AS112" s="1094">
        <f t="shared" si="44"/>
        <v>0</v>
      </c>
      <c r="AT112" s="1089"/>
      <c r="AU112" s="1090"/>
      <c r="AV112" s="1090"/>
      <c r="AW112" s="1090"/>
      <c r="AX112" s="1090"/>
      <c r="AY112" s="1094">
        <f t="shared" si="45"/>
        <v>0</v>
      </c>
    </row>
    <row r="113" spans="1:51" s="831" customFormat="1" x14ac:dyDescent="0.25">
      <c r="A113" s="1108" t="s">
        <v>158</v>
      </c>
      <c r="B113" s="1108" t="s">
        <v>159</v>
      </c>
      <c r="C113" s="1053" t="s">
        <v>264</v>
      </c>
      <c r="D113" s="1379">
        <f t="shared" si="34"/>
        <v>85469.41</v>
      </c>
      <c r="E113" s="1379">
        <f t="shared" si="35"/>
        <v>418155.14999999997</v>
      </c>
      <c r="F113" s="1379">
        <f t="shared" si="36"/>
        <v>108122.83</v>
      </c>
      <c r="G113" s="1381">
        <f t="shared" si="37"/>
        <v>94</v>
      </c>
      <c r="H113" s="1384">
        <f t="shared" si="38"/>
        <v>108216.83</v>
      </c>
      <c r="I113" s="1385">
        <f t="shared" si="26"/>
        <v>611841.3899999999</v>
      </c>
      <c r="J113" s="1109">
        <v>0</v>
      </c>
      <c r="K113" s="1109">
        <v>415016.8</v>
      </c>
      <c r="L113" s="1109">
        <v>103754.2</v>
      </c>
      <c r="M113" s="1109">
        <v>0</v>
      </c>
      <c r="N113" s="1109">
        <v>0</v>
      </c>
      <c r="O113" s="1110">
        <f t="shared" si="39"/>
        <v>518771</v>
      </c>
      <c r="P113" s="1418">
        <v>-5862.59</v>
      </c>
      <c r="Q113" s="1411">
        <v>-5632.7</v>
      </c>
      <c r="R113" s="1411">
        <v>0</v>
      </c>
      <c r="S113" s="1411">
        <v>-150</v>
      </c>
      <c r="T113" s="1411">
        <v>0</v>
      </c>
      <c r="U113" s="1417">
        <f t="shared" si="40"/>
        <v>-11645.29</v>
      </c>
      <c r="V113" s="1411">
        <v>510</v>
      </c>
      <c r="W113" s="1411">
        <v>490</v>
      </c>
      <c r="X113" s="1411">
        <v>0</v>
      </c>
      <c r="Y113" s="1411">
        <v>0</v>
      </c>
      <c r="Z113" s="1411">
        <v>0</v>
      </c>
      <c r="AA113" s="1411">
        <f t="shared" si="41"/>
        <v>1000</v>
      </c>
      <c r="AB113" s="1092">
        <v>0</v>
      </c>
      <c r="AC113" s="1093">
        <v>7281.05</v>
      </c>
      <c r="AD113" s="1093">
        <v>4368.63</v>
      </c>
      <c r="AE113" s="1093">
        <v>0</v>
      </c>
      <c r="AF113" s="1093">
        <v>0</v>
      </c>
      <c r="AG113" s="1091">
        <f t="shared" si="42"/>
        <v>11649.68</v>
      </c>
      <c r="AH113" s="1092">
        <v>90822</v>
      </c>
      <c r="AI113" s="1093">
        <v>0</v>
      </c>
      <c r="AJ113" s="1093">
        <v>0</v>
      </c>
      <c r="AK113" s="1093">
        <v>0</v>
      </c>
      <c r="AL113" s="1093">
        <v>0</v>
      </c>
      <c r="AM113" s="1094">
        <f t="shared" si="43"/>
        <v>90822</v>
      </c>
      <c r="AN113" s="1092">
        <v>0</v>
      </c>
      <c r="AO113" s="1093">
        <v>1000</v>
      </c>
      <c r="AP113" s="1093">
        <v>0</v>
      </c>
      <c r="AQ113" s="1093">
        <v>0</v>
      </c>
      <c r="AR113" s="1093">
        <v>244</v>
      </c>
      <c r="AS113" s="1094">
        <f t="shared" si="44"/>
        <v>1244</v>
      </c>
      <c r="AT113" s="1092"/>
      <c r="AU113" s="1093"/>
      <c r="AV113" s="1093"/>
      <c r="AW113" s="1093"/>
      <c r="AX113" s="1093"/>
      <c r="AY113" s="1094">
        <f t="shared" si="45"/>
        <v>0</v>
      </c>
    </row>
    <row r="114" spans="1:51" s="831" customFormat="1" x14ac:dyDescent="0.25">
      <c r="A114" s="1108" t="s">
        <v>160</v>
      </c>
      <c r="B114" s="1108" t="s">
        <v>161</v>
      </c>
      <c r="C114" s="1053" t="s">
        <v>264</v>
      </c>
      <c r="D114" s="1379">
        <f t="shared" si="34"/>
        <v>263664.56</v>
      </c>
      <c r="E114" s="1379">
        <f t="shared" si="35"/>
        <v>859316.42</v>
      </c>
      <c r="F114" s="1379">
        <f t="shared" si="36"/>
        <v>223031.12</v>
      </c>
      <c r="G114" s="1381">
        <f t="shared" si="37"/>
        <v>1901.81</v>
      </c>
      <c r="H114" s="1384">
        <f t="shared" si="38"/>
        <v>224932.93</v>
      </c>
      <c r="I114" s="1385">
        <f t="shared" si="26"/>
        <v>1347913.9100000001</v>
      </c>
      <c r="J114" s="1109">
        <v>0</v>
      </c>
      <c r="K114" s="1109">
        <v>842033.6</v>
      </c>
      <c r="L114" s="1109">
        <v>210508.4</v>
      </c>
      <c r="M114" s="1109">
        <v>0</v>
      </c>
      <c r="N114" s="1109">
        <v>0</v>
      </c>
      <c r="O114" s="1110">
        <f t="shared" si="39"/>
        <v>1052542</v>
      </c>
      <c r="P114" s="1418">
        <v>-3734.81</v>
      </c>
      <c r="Q114" s="1411">
        <v>-3588.35</v>
      </c>
      <c r="R114" s="1411">
        <v>0</v>
      </c>
      <c r="S114" s="1411">
        <v>1901.81</v>
      </c>
      <c r="T114" s="1411">
        <v>0</v>
      </c>
      <c r="U114" s="1417">
        <f t="shared" si="40"/>
        <v>-5421.35</v>
      </c>
      <c r="V114" s="1411"/>
      <c r="W114" s="1411"/>
      <c r="X114" s="1411"/>
      <c r="Y114" s="1411"/>
      <c r="Z114" s="1411"/>
      <c r="AA114" s="1411">
        <f t="shared" si="41"/>
        <v>0</v>
      </c>
      <c r="AB114" s="1092">
        <v>0</v>
      </c>
      <c r="AC114" s="1093">
        <v>20871.169999999998</v>
      </c>
      <c r="AD114" s="1093">
        <v>12522.72</v>
      </c>
      <c r="AE114" s="1093">
        <v>0</v>
      </c>
      <c r="AF114" s="1093">
        <v>0</v>
      </c>
      <c r="AG114" s="1091">
        <f t="shared" si="42"/>
        <v>33393.89</v>
      </c>
      <c r="AH114" s="1092">
        <v>527</v>
      </c>
      <c r="AI114" s="1093">
        <v>0</v>
      </c>
      <c r="AJ114" s="1093">
        <v>0</v>
      </c>
      <c r="AK114" s="1093">
        <v>0</v>
      </c>
      <c r="AL114" s="1093">
        <v>0</v>
      </c>
      <c r="AM114" s="1094">
        <f t="shared" si="43"/>
        <v>527</v>
      </c>
      <c r="AN114" s="1092"/>
      <c r="AO114" s="1093"/>
      <c r="AP114" s="1093"/>
      <c r="AQ114" s="1093"/>
      <c r="AR114" s="1093"/>
      <c r="AS114" s="1094">
        <f t="shared" si="44"/>
        <v>0</v>
      </c>
      <c r="AT114" s="1092">
        <v>266872.37</v>
      </c>
      <c r="AU114" s="1093">
        <v>0</v>
      </c>
      <c r="AV114" s="1093">
        <v>0</v>
      </c>
      <c r="AW114" s="1093">
        <v>0</v>
      </c>
      <c r="AX114" s="1093">
        <v>0</v>
      </c>
      <c r="AY114" s="1094">
        <f t="shared" si="45"/>
        <v>266872.37</v>
      </c>
    </row>
    <row r="115" spans="1:51" s="831" customFormat="1" x14ac:dyDescent="0.25">
      <c r="A115" s="1108" t="s">
        <v>166</v>
      </c>
      <c r="B115" s="1108" t="s">
        <v>167</v>
      </c>
      <c r="C115" s="1053" t="s">
        <v>268</v>
      </c>
      <c r="D115" s="1379">
        <f t="shared" si="34"/>
        <v>0</v>
      </c>
      <c r="E115" s="1379">
        <f t="shared" si="35"/>
        <v>38266.199999999997</v>
      </c>
      <c r="F115" s="1379">
        <f t="shared" si="36"/>
        <v>9639.7999999999993</v>
      </c>
      <c r="G115" s="1381">
        <f t="shared" si="37"/>
        <v>0</v>
      </c>
      <c r="H115" s="1384">
        <f t="shared" si="38"/>
        <v>9639.7999999999993</v>
      </c>
      <c r="I115" s="1385">
        <f t="shared" si="26"/>
        <v>47906</v>
      </c>
      <c r="J115" s="1109">
        <v>0</v>
      </c>
      <c r="K115" s="1109">
        <v>38559.199999999997</v>
      </c>
      <c r="L115" s="1109">
        <v>9639.7999999999993</v>
      </c>
      <c r="M115" s="1109">
        <v>0</v>
      </c>
      <c r="N115" s="1109">
        <v>0</v>
      </c>
      <c r="O115" s="1110">
        <f t="shared" si="39"/>
        <v>48199</v>
      </c>
      <c r="P115" s="1418"/>
      <c r="Q115" s="1411"/>
      <c r="R115" s="1411"/>
      <c r="S115" s="1411"/>
      <c r="T115" s="1411"/>
      <c r="U115" s="1417">
        <f t="shared" si="40"/>
        <v>0</v>
      </c>
      <c r="V115" s="1411"/>
      <c r="W115" s="1411"/>
      <c r="X115" s="1411"/>
      <c r="Y115" s="1411"/>
      <c r="Z115" s="1411"/>
      <c r="AA115" s="1411">
        <f t="shared" si="41"/>
        <v>0</v>
      </c>
      <c r="AB115" s="1089"/>
      <c r="AC115" s="1090"/>
      <c r="AD115" s="1090"/>
      <c r="AE115" s="1090"/>
      <c r="AF115" s="1090"/>
      <c r="AG115" s="1091">
        <f t="shared" si="42"/>
        <v>0</v>
      </c>
      <c r="AH115" s="1089"/>
      <c r="AI115" s="1090"/>
      <c r="AJ115" s="1090"/>
      <c r="AK115" s="1090"/>
      <c r="AL115" s="1090"/>
      <c r="AM115" s="1094">
        <f t="shared" si="43"/>
        <v>0</v>
      </c>
      <c r="AN115" s="1089">
        <v>0</v>
      </c>
      <c r="AO115" s="1090">
        <v>-293</v>
      </c>
      <c r="AP115" s="1090">
        <v>0</v>
      </c>
      <c r="AQ115" s="1090">
        <v>0</v>
      </c>
      <c r="AR115" s="1090">
        <v>0</v>
      </c>
      <c r="AS115" s="1094">
        <f t="shared" si="44"/>
        <v>-293</v>
      </c>
      <c r="AT115" s="1089"/>
      <c r="AU115" s="1090"/>
      <c r="AV115" s="1090"/>
      <c r="AW115" s="1090"/>
      <c r="AX115" s="1090"/>
      <c r="AY115" s="1094">
        <f t="shared" si="45"/>
        <v>0</v>
      </c>
    </row>
    <row r="116" spans="1:51" s="831" customFormat="1" x14ac:dyDescent="0.25">
      <c r="A116" s="1108" t="s">
        <v>176</v>
      </c>
      <c r="B116" s="1108" t="s">
        <v>177</v>
      </c>
      <c r="C116" s="1053" t="s">
        <v>266</v>
      </c>
      <c r="D116" s="1379">
        <f t="shared" si="34"/>
        <v>-3024.57</v>
      </c>
      <c r="E116" s="1379">
        <f t="shared" si="35"/>
        <v>428557.22000000003</v>
      </c>
      <c r="F116" s="1379">
        <f t="shared" si="36"/>
        <v>107865.8</v>
      </c>
      <c r="G116" s="1381">
        <f t="shared" si="37"/>
        <v>-648.1099999999999</v>
      </c>
      <c r="H116" s="1384">
        <f t="shared" si="38"/>
        <v>107217.69</v>
      </c>
      <c r="I116" s="1385">
        <f t="shared" si="26"/>
        <v>532750.34000000008</v>
      </c>
      <c r="J116" s="1109">
        <v>0</v>
      </c>
      <c r="K116" s="1109">
        <v>431463.2</v>
      </c>
      <c r="L116" s="1109">
        <v>107865.8</v>
      </c>
      <c r="M116" s="1109">
        <v>0</v>
      </c>
      <c r="N116" s="1109">
        <v>416</v>
      </c>
      <c r="O116" s="1110">
        <f t="shared" si="39"/>
        <v>539745</v>
      </c>
      <c r="P116" s="1418">
        <v>-3024.57</v>
      </c>
      <c r="Q116" s="1411">
        <v>-2905.98</v>
      </c>
      <c r="R116" s="1411">
        <v>0</v>
      </c>
      <c r="S116" s="1411">
        <v>-1064.1099999999999</v>
      </c>
      <c r="T116" s="1411">
        <v>0</v>
      </c>
      <c r="U116" s="1417">
        <f t="shared" si="40"/>
        <v>-6994.66</v>
      </c>
      <c r="V116" s="1411"/>
      <c r="W116" s="1411"/>
      <c r="X116" s="1411"/>
      <c r="Y116" s="1411"/>
      <c r="Z116" s="1411"/>
      <c r="AA116" s="1411">
        <f t="shared" si="41"/>
        <v>0</v>
      </c>
      <c r="AB116" s="1089"/>
      <c r="AC116" s="1090"/>
      <c r="AD116" s="1090"/>
      <c r="AE116" s="1090"/>
      <c r="AF116" s="1090"/>
      <c r="AG116" s="1091">
        <f t="shared" si="42"/>
        <v>0</v>
      </c>
      <c r="AH116" s="1089"/>
      <c r="AI116" s="1090"/>
      <c r="AJ116" s="1090"/>
      <c r="AK116" s="1090"/>
      <c r="AL116" s="1090"/>
      <c r="AM116" s="1094">
        <f t="shared" si="43"/>
        <v>0</v>
      </c>
      <c r="AN116" s="1089"/>
      <c r="AO116" s="1090"/>
      <c r="AP116" s="1090"/>
      <c r="AQ116" s="1090"/>
      <c r="AR116" s="1090"/>
      <c r="AS116" s="1094">
        <f t="shared" si="44"/>
        <v>0</v>
      </c>
      <c r="AT116" s="1089"/>
      <c r="AU116" s="1090"/>
      <c r="AV116" s="1090"/>
      <c r="AW116" s="1090"/>
      <c r="AX116" s="1090"/>
      <c r="AY116" s="1094">
        <f t="shared" si="45"/>
        <v>0</v>
      </c>
    </row>
    <row r="117" spans="1:51" s="831" customFormat="1" x14ac:dyDescent="0.25">
      <c r="A117" s="1108" t="s">
        <v>180</v>
      </c>
      <c r="B117" s="1108" t="s">
        <v>181</v>
      </c>
      <c r="C117" s="1053" t="s">
        <v>264</v>
      </c>
      <c r="D117" s="1379">
        <f t="shared" si="34"/>
        <v>59735.049999999996</v>
      </c>
      <c r="E117" s="1379">
        <f t="shared" si="35"/>
        <v>476245.03</v>
      </c>
      <c r="F117" s="1379">
        <f t="shared" si="36"/>
        <v>133467.49</v>
      </c>
      <c r="G117" s="1381">
        <f t="shared" si="37"/>
        <v>507.97</v>
      </c>
      <c r="H117" s="1384">
        <f t="shared" si="38"/>
        <v>133975.46</v>
      </c>
      <c r="I117" s="1385">
        <f t="shared" si="26"/>
        <v>669955.54</v>
      </c>
      <c r="J117" s="1109">
        <v>0</v>
      </c>
      <c r="K117" s="1109">
        <v>442134.4</v>
      </c>
      <c r="L117" s="1109">
        <v>110533.6</v>
      </c>
      <c r="M117" s="1109">
        <v>0</v>
      </c>
      <c r="N117" s="1109">
        <v>0</v>
      </c>
      <c r="O117" s="1110">
        <f t="shared" si="39"/>
        <v>552668</v>
      </c>
      <c r="P117" s="1418">
        <v>-4280.37</v>
      </c>
      <c r="Q117" s="1411">
        <v>-4112.51</v>
      </c>
      <c r="R117" s="1411">
        <v>0</v>
      </c>
      <c r="S117" s="1411">
        <v>508</v>
      </c>
      <c r="T117" s="1411">
        <v>0</v>
      </c>
      <c r="U117" s="1417">
        <f t="shared" si="40"/>
        <v>-7884.880000000001</v>
      </c>
      <c r="V117" s="1411"/>
      <c r="W117" s="1411"/>
      <c r="X117" s="1411"/>
      <c r="Y117" s="1411"/>
      <c r="Z117" s="1411"/>
      <c r="AA117" s="1411">
        <f t="shared" si="41"/>
        <v>0</v>
      </c>
      <c r="AB117" s="1092">
        <v>0</v>
      </c>
      <c r="AC117" s="1093">
        <v>38223.14</v>
      </c>
      <c r="AD117" s="1093">
        <v>22933.89</v>
      </c>
      <c r="AE117" s="1093">
        <v>-0.03</v>
      </c>
      <c r="AF117" s="1093">
        <v>0</v>
      </c>
      <c r="AG117" s="1091">
        <f t="shared" si="42"/>
        <v>61157</v>
      </c>
      <c r="AH117" s="1089"/>
      <c r="AI117" s="1090"/>
      <c r="AJ117" s="1090"/>
      <c r="AK117" s="1090"/>
      <c r="AL117" s="1090"/>
      <c r="AM117" s="1094">
        <f t="shared" si="43"/>
        <v>0</v>
      </c>
      <c r="AN117" s="1089"/>
      <c r="AO117" s="1090"/>
      <c r="AP117" s="1090"/>
      <c r="AQ117" s="1090"/>
      <c r="AR117" s="1090"/>
      <c r="AS117" s="1094">
        <f t="shared" si="44"/>
        <v>0</v>
      </c>
      <c r="AT117" s="1089">
        <v>64015.42</v>
      </c>
      <c r="AU117" s="1090">
        <v>0</v>
      </c>
      <c r="AV117" s="1090">
        <v>0</v>
      </c>
      <c r="AW117" s="1090">
        <v>0</v>
      </c>
      <c r="AX117" s="1090">
        <v>0</v>
      </c>
      <c r="AY117" s="1094">
        <f t="shared" si="45"/>
        <v>64015.42</v>
      </c>
    </row>
    <row r="118" spans="1:51" s="831" customFormat="1" x14ac:dyDescent="0.25">
      <c r="A118" s="1108" t="s">
        <v>192</v>
      </c>
      <c r="B118" s="1108" t="s">
        <v>193</v>
      </c>
      <c r="C118" s="1053" t="s">
        <v>268</v>
      </c>
      <c r="D118" s="1379">
        <f t="shared" si="34"/>
        <v>0</v>
      </c>
      <c r="E118" s="1379">
        <f t="shared" si="35"/>
        <v>93049.600000000006</v>
      </c>
      <c r="F118" s="1379">
        <f t="shared" si="36"/>
        <v>23262.400000000001</v>
      </c>
      <c r="G118" s="1381">
        <f t="shared" si="37"/>
        <v>0</v>
      </c>
      <c r="H118" s="1384">
        <f t="shared" si="38"/>
        <v>23262.400000000001</v>
      </c>
      <c r="I118" s="1385">
        <f t="shared" si="26"/>
        <v>116312</v>
      </c>
      <c r="J118" s="1109">
        <v>0</v>
      </c>
      <c r="K118" s="1109">
        <v>93049.600000000006</v>
      </c>
      <c r="L118" s="1109">
        <v>23262.400000000001</v>
      </c>
      <c r="M118" s="1109">
        <v>0</v>
      </c>
      <c r="N118" s="1109">
        <v>0</v>
      </c>
      <c r="O118" s="1110">
        <f t="shared" si="39"/>
        <v>116312</v>
      </c>
      <c r="P118" s="1418"/>
      <c r="Q118" s="1411"/>
      <c r="R118" s="1411"/>
      <c r="S118" s="1411"/>
      <c r="T118" s="1411"/>
      <c r="U118" s="1417">
        <f t="shared" si="40"/>
        <v>0</v>
      </c>
      <c r="V118" s="1411"/>
      <c r="W118" s="1411"/>
      <c r="X118" s="1411"/>
      <c r="Y118" s="1411"/>
      <c r="Z118" s="1411"/>
      <c r="AA118" s="1411">
        <f t="shared" si="41"/>
        <v>0</v>
      </c>
      <c r="AB118" s="1089"/>
      <c r="AC118" s="1090"/>
      <c r="AD118" s="1090"/>
      <c r="AE118" s="1090"/>
      <c r="AF118" s="1090"/>
      <c r="AG118" s="1091">
        <f t="shared" si="42"/>
        <v>0</v>
      </c>
      <c r="AH118" s="1089"/>
      <c r="AI118" s="1090"/>
      <c r="AJ118" s="1090"/>
      <c r="AK118" s="1090"/>
      <c r="AL118" s="1090"/>
      <c r="AM118" s="1094">
        <f t="shared" si="43"/>
        <v>0</v>
      </c>
      <c r="AN118" s="1089"/>
      <c r="AO118" s="1090"/>
      <c r="AP118" s="1090"/>
      <c r="AQ118" s="1090"/>
      <c r="AR118" s="1090"/>
      <c r="AS118" s="1094">
        <f t="shared" si="44"/>
        <v>0</v>
      </c>
      <c r="AT118" s="1089"/>
      <c r="AU118" s="1090"/>
      <c r="AV118" s="1090"/>
      <c r="AW118" s="1090"/>
      <c r="AX118" s="1090"/>
      <c r="AY118" s="1094">
        <f t="shared" si="45"/>
        <v>0</v>
      </c>
    </row>
    <row r="119" spans="1:51" s="831" customFormat="1" x14ac:dyDescent="0.25">
      <c r="A119" s="1108" t="s">
        <v>196</v>
      </c>
      <c r="B119" s="1108" t="s">
        <v>312</v>
      </c>
      <c r="C119" s="1053" t="s">
        <v>266</v>
      </c>
      <c r="D119" s="1379">
        <f t="shared" si="34"/>
        <v>8265.51</v>
      </c>
      <c r="E119" s="1379">
        <f t="shared" si="35"/>
        <v>2254198.7699999996</v>
      </c>
      <c r="F119" s="1379">
        <f t="shared" si="36"/>
        <v>572899.21</v>
      </c>
      <c r="G119" s="1381">
        <f t="shared" si="37"/>
        <v>335377.93000000005</v>
      </c>
      <c r="H119" s="1384">
        <f t="shared" si="38"/>
        <v>908277.14</v>
      </c>
      <c r="I119" s="1385">
        <f t="shared" si="26"/>
        <v>3170741.4199999995</v>
      </c>
      <c r="J119" s="1109">
        <v>0</v>
      </c>
      <c r="K119" s="1109">
        <v>2228092.7999999998</v>
      </c>
      <c r="L119" s="1109">
        <v>557023.19999999995</v>
      </c>
      <c r="M119" s="1109">
        <v>0</v>
      </c>
      <c r="N119" s="1109">
        <v>0</v>
      </c>
      <c r="O119" s="1110">
        <f t="shared" si="39"/>
        <v>2785116</v>
      </c>
      <c r="P119" s="1418">
        <v>-368.49</v>
      </c>
      <c r="Q119" s="1411">
        <v>-354.04</v>
      </c>
      <c r="R119" s="1411">
        <v>0</v>
      </c>
      <c r="S119" s="1411">
        <v>0.03</v>
      </c>
      <c r="T119" s="1411">
        <v>0</v>
      </c>
      <c r="U119" s="1417">
        <f t="shared" si="40"/>
        <v>-722.5</v>
      </c>
      <c r="V119" s="1411"/>
      <c r="W119" s="1411"/>
      <c r="X119" s="1411"/>
      <c r="Y119" s="1411"/>
      <c r="Z119" s="1411"/>
      <c r="AA119" s="1411">
        <f t="shared" si="41"/>
        <v>0</v>
      </c>
      <c r="AB119" s="1092">
        <v>0</v>
      </c>
      <c r="AC119" s="1093">
        <v>26460.01</v>
      </c>
      <c r="AD119" s="1093">
        <v>15876.01</v>
      </c>
      <c r="AE119" s="1093">
        <v>335377.90000000002</v>
      </c>
      <c r="AF119" s="1093">
        <v>0</v>
      </c>
      <c r="AG119" s="1091">
        <f t="shared" si="42"/>
        <v>377713.92000000004</v>
      </c>
      <c r="AH119" s="1092">
        <v>8634</v>
      </c>
      <c r="AI119" s="1093">
        <v>0</v>
      </c>
      <c r="AJ119" s="1093">
        <v>0</v>
      </c>
      <c r="AK119" s="1093">
        <v>0</v>
      </c>
      <c r="AL119" s="1093">
        <v>0</v>
      </c>
      <c r="AM119" s="1094">
        <f t="shared" si="43"/>
        <v>8634</v>
      </c>
      <c r="AN119" s="1092"/>
      <c r="AO119" s="1093"/>
      <c r="AP119" s="1093"/>
      <c r="AQ119" s="1093"/>
      <c r="AR119" s="1093"/>
      <c r="AS119" s="1094">
        <f t="shared" si="44"/>
        <v>0</v>
      </c>
      <c r="AT119" s="1092"/>
      <c r="AU119" s="1093"/>
      <c r="AV119" s="1093"/>
      <c r="AW119" s="1093"/>
      <c r="AX119" s="1093"/>
      <c r="AY119" s="1094">
        <f t="shared" si="45"/>
        <v>0</v>
      </c>
    </row>
    <row r="120" spans="1:51" s="831" customFormat="1" x14ac:dyDescent="0.25">
      <c r="A120" s="1108" t="s">
        <v>200</v>
      </c>
      <c r="B120" s="1108" t="s">
        <v>313</v>
      </c>
      <c r="C120" s="1053" t="s">
        <v>265</v>
      </c>
      <c r="D120" s="1379">
        <f t="shared" si="34"/>
        <v>271450.15000000002</v>
      </c>
      <c r="E120" s="1379">
        <f t="shared" si="35"/>
        <v>627271.09000000008</v>
      </c>
      <c r="F120" s="1379">
        <f t="shared" si="36"/>
        <v>158630.20000000001</v>
      </c>
      <c r="G120" s="1381">
        <f t="shared" si="37"/>
        <v>1853.27</v>
      </c>
      <c r="H120" s="1384">
        <f t="shared" si="38"/>
        <v>160483.47</v>
      </c>
      <c r="I120" s="1385">
        <f t="shared" si="26"/>
        <v>1059204.7100000002</v>
      </c>
      <c r="J120" s="1109">
        <v>0</v>
      </c>
      <c r="K120" s="1109">
        <v>634520.80000000005</v>
      </c>
      <c r="L120" s="1109">
        <v>158630.20000000001</v>
      </c>
      <c r="M120" s="1109">
        <v>0</v>
      </c>
      <c r="N120" s="1109">
        <v>0</v>
      </c>
      <c r="O120" s="1110">
        <f t="shared" si="39"/>
        <v>793151</v>
      </c>
      <c r="P120" s="1418">
        <v>-7574.66</v>
      </c>
      <c r="Q120" s="1411">
        <v>-7277.63</v>
      </c>
      <c r="R120" s="1411">
        <v>0</v>
      </c>
      <c r="S120" s="1411">
        <v>205.38</v>
      </c>
      <c r="T120" s="1411">
        <v>0</v>
      </c>
      <c r="U120" s="1417">
        <f t="shared" si="40"/>
        <v>-14646.910000000002</v>
      </c>
      <c r="V120" s="1411">
        <v>29.05</v>
      </c>
      <c r="W120" s="1411">
        <v>27.92</v>
      </c>
      <c r="X120" s="1411">
        <v>0</v>
      </c>
      <c r="Y120" s="1411">
        <v>1647.89</v>
      </c>
      <c r="Z120" s="1411">
        <v>0</v>
      </c>
      <c r="AA120" s="1411">
        <f t="shared" si="41"/>
        <v>1704.8600000000001</v>
      </c>
      <c r="AB120" s="1092"/>
      <c r="AC120" s="1093"/>
      <c r="AD120" s="1093"/>
      <c r="AE120" s="1093"/>
      <c r="AF120" s="1093"/>
      <c r="AG120" s="1091">
        <f t="shared" si="42"/>
        <v>0</v>
      </c>
      <c r="AH120" s="1092">
        <v>30456</v>
      </c>
      <c r="AI120" s="1093">
        <v>0</v>
      </c>
      <c r="AJ120" s="1093">
        <v>0</v>
      </c>
      <c r="AK120" s="1093">
        <v>0</v>
      </c>
      <c r="AL120" s="1093">
        <v>0</v>
      </c>
      <c r="AM120" s="1094">
        <f t="shared" si="43"/>
        <v>30456</v>
      </c>
      <c r="AN120" s="1092"/>
      <c r="AO120" s="1093"/>
      <c r="AP120" s="1093"/>
      <c r="AQ120" s="1093"/>
      <c r="AR120" s="1093"/>
      <c r="AS120" s="1094">
        <f t="shared" si="44"/>
        <v>0</v>
      </c>
      <c r="AT120" s="1092">
        <v>248539.76</v>
      </c>
      <c r="AU120" s="1093">
        <v>0</v>
      </c>
      <c r="AV120" s="1093">
        <v>0</v>
      </c>
      <c r="AW120" s="1093">
        <v>0</v>
      </c>
      <c r="AX120" s="1093">
        <v>0</v>
      </c>
      <c r="AY120" s="1094">
        <f t="shared" si="45"/>
        <v>248539.76</v>
      </c>
    </row>
    <row r="121" spans="1:51" s="831" customFormat="1" x14ac:dyDescent="0.25">
      <c r="A121" s="1108" t="s">
        <v>222</v>
      </c>
      <c r="B121" s="1108" t="s">
        <v>223</v>
      </c>
      <c r="C121" s="1053" t="s">
        <v>264</v>
      </c>
      <c r="D121" s="1379">
        <f t="shared" si="34"/>
        <v>57444.23</v>
      </c>
      <c r="E121" s="1379">
        <f t="shared" si="35"/>
        <v>160867.85</v>
      </c>
      <c r="F121" s="1379">
        <f t="shared" si="36"/>
        <v>40655.4</v>
      </c>
      <c r="G121" s="1381">
        <f t="shared" si="37"/>
        <v>12000</v>
      </c>
      <c r="H121" s="1384">
        <f t="shared" si="38"/>
        <v>52655.4</v>
      </c>
      <c r="I121" s="1385">
        <f t="shared" si="26"/>
        <v>270967.48</v>
      </c>
      <c r="J121" s="1109">
        <v>0</v>
      </c>
      <c r="K121" s="1109">
        <v>162621.6</v>
      </c>
      <c r="L121" s="1109">
        <v>40655.4</v>
      </c>
      <c r="M121" s="1109">
        <v>0</v>
      </c>
      <c r="N121" s="1109">
        <v>0</v>
      </c>
      <c r="O121" s="1110">
        <f t="shared" si="39"/>
        <v>203277</v>
      </c>
      <c r="P121" s="1418">
        <v>-1825.34</v>
      </c>
      <c r="Q121" s="1411">
        <v>-1753.75</v>
      </c>
      <c r="R121" s="1411">
        <v>0</v>
      </c>
      <c r="S121" s="1411">
        <v>0</v>
      </c>
      <c r="T121" s="1411">
        <v>0</v>
      </c>
      <c r="U121" s="1417">
        <f t="shared" si="40"/>
        <v>-3579.09</v>
      </c>
      <c r="V121" s="1411"/>
      <c r="W121" s="1411"/>
      <c r="X121" s="1411"/>
      <c r="Y121" s="1411"/>
      <c r="Z121" s="1411"/>
      <c r="AA121" s="1411">
        <f t="shared" si="41"/>
        <v>0</v>
      </c>
      <c r="AB121" s="1092">
        <v>0</v>
      </c>
      <c r="AC121" s="1093">
        <v>0</v>
      </c>
      <c r="AD121" s="1093">
        <v>0</v>
      </c>
      <c r="AE121" s="1093">
        <v>0</v>
      </c>
      <c r="AF121" s="1093">
        <v>12000</v>
      </c>
      <c r="AG121" s="1091">
        <f t="shared" si="42"/>
        <v>12000</v>
      </c>
      <c r="AH121" s="1089">
        <v>288</v>
      </c>
      <c r="AI121" s="1090">
        <v>0</v>
      </c>
      <c r="AJ121" s="1090">
        <v>0</v>
      </c>
      <c r="AK121" s="1090">
        <v>0</v>
      </c>
      <c r="AL121" s="1090">
        <v>0</v>
      </c>
      <c r="AM121" s="1094">
        <f t="shared" si="43"/>
        <v>288</v>
      </c>
      <c r="AN121" s="1089"/>
      <c r="AO121" s="1090"/>
      <c r="AP121" s="1090"/>
      <c r="AQ121" s="1090"/>
      <c r="AR121" s="1090"/>
      <c r="AS121" s="1094">
        <f t="shared" si="44"/>
        <v>0</v>
      </c>
      <c r="AT121" s="1089">
        <v>58981.57</v>
      </c>
      <c r="AU121" s="1090">
        <v>0</v>
      </c>
      <c r="AV121" s="1090">
        <v>0</v>
      </c>
      <c r="AW121" s="1090">
        <v>0</v>
      </c>
      <c r="AX121" s="1090">
        <v>0</v>
      </c>
      <c r="AY121" s="1094">
        <f t="shared" si="45"/>
        <v>58981.57</v>
      </c>
    </row>
    <row r="122" spans="1:51" s="831" customFormat="1" x14ac:dyDescent="0.25">
      <c r="A122" s="1108" t="s">
        <v>230</v>
      </c>
      <c r="B122" s="1108" t="s">
        <v>231</v>
      </c>
      <c r="C122" s="1053" t="s">
        <v>264</v>
      </c>
      <c r="D122" s="1379">
        <f t="shared" si="34"/>
        <v>238720.38</v>
      </c>
      <c r="E122" s="1379">
        <f t="shared" si="35"/>
        <v>693278.17999999993</v>
      </c>
      <c r="F122" s="1379">
        <f t="shared" si="36"/>
        <v>190724.05</v>
      </c>
      <c r="G122" s="1381">
        <f t="shared" si="37"/>
        <v>61217.38</v>
      </c>
      <c r="H122" s="1384">
        <f t="shared" si="38"/>
        <v>251941.43</v>
      </c>
      <c r="I122" s="1385">
        <f t="shared" si="26"/>
        <v>1183939.9899999998</v>
      </c>
      <c r="J122" s="1109">
        <v>0</v>
      </c>
      <c r="K122" s="1109">
        <v>658214.19999999995</v>
      </c>
      <c r="L122" s="1109">
        <v>164553.54999999999</v>
      </c>
      <c r="M122" s="1109">
        <v>0</v>
      </c>
      <c r="N122" s="1109">
        <v>0</v>
      </c>
      <c r="O122" s="1110">
        <f t="shared" si="39"/>
        <v>822767.75</v>
      </c>
      <c r="P122" s="1418">
        <v>-9157.6200000000008</v>
      </c>
      <c r="Q122" s="1411">
        <v>-8798.52</v>
      </c>
      <c r="R122" s="1411">
        <v>0</v>
      </c>
      <c r="S122" s="1411">
        <v>0</v>
      </c>
      <c r="T122" s="1411">
        <v>0</v>
      </c>
      <c r="U122" s="1417">
        <f t="shared" si="40"/>
        <v>-17956.14</v>
      </c>
      <c r="V122" s="1411">
        <v>255</v>
      </c>
      <c r="W122" s="1411">
        <v>245</v>
      </c>
      <c r="X122" s="1411">
        <v>0</v>
      </c>
      <c r="Y122" s="1411">
        <v>0</v>
      </c>
      <c r="Z122" s="1411">
        <v>0</v>
      </c>
      <c r="AA122" s="1411">
        <f t="shared" si="41"/>
        <v>500</v>
      </c>
      <c r="AB122" s="1092">
        <v>0</v>
      </c>
      <c r="AC122" s="1093">
        <v>43617.5</v>
      </c>
      <c r="AD122" s="1093">
        <v>26170.5</v>
      </c>
      <c r="AE122" s="1093">
        <v>56616.5</v>
      </c>
      <c r="AF122" s="1093">
        <v>0</v>
      </c>
      <c r="AG122" s="1091">
        <f t="shared" si="42"/>
        <v>126404.5</v>
      </c>
      <c r="AH122" s="1092">
        <v>5395</v>
      </c>
      <c r="AI122" s="1093">
        <v>0</v>
      </c>
      <c r="AJ122" s="1093">
        <v>0</v>
      </c>
      <c r="AK122" s="1093">
        <v>0</v>
      </c>
      <c r="AL122" s="1093">
        <v>0</v>
      </c>
      <c r="AM122" s="1094">
        <f t="shared" si="43"/>
        <v>5395</v>
      </c>
      <c r="AN122" s="1092"/>
      <c r="AO122" s="1093"/>
      <c r="AP122" s="1093"/>
      <c r="AQ122" s="1093"/>
      <c r="AR122" s="1093"/>
      <c r="AS122" s="1094">
        <f t="shared" si="44"/>
        <v>0</v>
      </c>
      <c r="AT122" s="1092">
        <v>242228</v>
      </c>
      <c r="AU122" s="1093">
        <v>0</v>
      </c>
      <c r="AV122" s="1093">
        <v>0</v>
      </c>
      <c r="AW122" s="1093">
        <v>4600.88</v>
      </c>
      <c r="AX122" s="1093">
        <v>0</v>
      </c>
      <c r="AY122" s="1094">
        <f t="shared" si="45"/>
        <v>246828.88</v>
      </c>
    </row>
    <row r="123" spans="1:51" s="831" customFormat="1" x14ac:dyDescent="0.25">
      <c r="A123" s="1111" t="s">
        <v>238</v>
      </c>
      <c r="B123" s="1111" t="s">
        <v>239</v>
      </c>
      <c r="C123" s="1053" t="s">
        <v>264</v>
      </c>
      <c r="D123" s="1379">
        <f t="shared" si="34"/>
        <v>59524.59</v>
      </c>
      <c r="E123" s="1379">
        <f t="shared" si="35"/>
        <v>97968.8</v>
      </c>
      <c r="F123" s="1379">
        <f t="shared" si="36"/>
        <v>24492.2</v>
      </c>
      <c r="G123" s="1381">
        <f t="shared" si="37"/>
        <v>23369.739999999998</v>
      </c>
      <c r="H123" s="1384">
        <f t="shared" si="38"/>
        <v>47861.94</v>
      </c>
      <c r="I123" s="1385">
        <f t="shared" si="26"/>
        <v>205355.33000000002</v>
      </c>
      <c r="J123" s="1109">
        <v>0</v>
      </c>
      <c r="K123" s="1109">
        <v>97968.8</v>
      </c>
      <c r="L123" s="1109">
        <v>24492.2</v>
      </c>
      <c r="M123" s="1109">
        <v>0</v>
      </c>
      <c r="N123" s="1109">
        <v>0</v>
      </c>
      <c r="O123" s="1110">
        <f t="shared" si="39"/>
        <v>122461</v>
      </c>
      <c r="P123" s="1418"/>
      <c r="Q123" s="1411"/>
      <c r="R123" s="1411"/>
      <c r="S123" s="1411"/>
      <c r="T123" s="1411"/>
      <c r="U123" s="1417">
        <f t="shared" si="40"/>
        <v>0</v>
      </c>
      <c r="V123" s="1411"/>
      <c r="W123" s="1411"/>
      <c r="X123" s="1411"/>
      <c r="Y123" s="1411"/>
      <c r="Z123" s="1411"/>
      <c r="AA123" s="1411">
        <f t="shared" si="41"/>
        <v>0</v>
      </c>
      <c r="AB123" s="1092">
        <v>0</v>
      </c>
      <c r="AC123" s="1093">
        <v>0</v>
      </c>
      <c r="AD123" s="1093">
        <v>0</v>
      </c>
      <c r="AE123" s="1093">
        <v>0</v>
      </c>
      <c r="AF123" s="1093">
        <v>23145.89</v>
      </c>
      <c r="AG123" s="1091">
        <f t="shared" si="42"/>
        <v>23145.89</v>
      </c>
      <c r="AH123" s="1089"/>
      <c r="AI123" s="1090"/>
      <c r="AJ123" s="1090"/>
      <c r="AK123" s="1090"/>
      <c r="AL123" s="1090"/>
      <c r="AM123" s="1094">
        <f t="shared" si="43"/>
        <v>0</v>
      </c>
      <c r="AN123" s="1089"/>
      <c r="AO123" s="1090"/>
      <c r="AP123" s="1090"/>
      <c r="AQ123" s="1090"/>
      <c r="AR123" s="1090"/>
      <c r="AS123" s="1094">
        <f t="shared" si="44"/>
        <v>0</v>
      </c>
      <c r="AT123" s="1089">
        <v>59524.59</v>
      </c>
      <c r="AU123" s="1090">
        <v>0</v>
      </c>
      <c r="AV123" s="1090">
        <v>0</v>
      </c>
      <c r="AW123" s="1090">
        <v>223.85</v>
      </c>
      <c r="AX123" s="1090">
        <v>0</v>
      </c>
      <c r="AY123" s="1094">
        <f t="shared" si="45"/>
        <v>59748.439999999995</v>
      </c>
    </row>
    <row r="124" spans="1:51" s="831" customFormat="1" x14ac:dyDescent="0.25">
      <c r="A124" s="1111" t="s">
        <v>240</v>
      </c>
      <c r="B124" s="1111" t="s">
        <v>241</v>
      </c>
      <c r="C124" s="1112" t="s">
        <v>267</v>
      </c>
      <c r="D124" s="1379">
        <f t="shared" si="34"/>
        <v>-83.59</v>
      </c>
      <c r="E124" s="1379">
        <f t="shared" si="35"/>
        <v>115632.69</v>
      </c>
      <c r="F124" s="1379">
        <f t="shared" si="36"/>
        <v>28915.4</v>
      </c>
      <c r="G124" s="1381">
        <f t="shared" si="37"/>
        <v>13720.88</v>
      </c>
      <c r="H124" s="1384">
        <f t="shared" si="38"/>
        <v>42636.28</v>
      </c>
      <c r="I124" s="1385">
        <f t="shared" si="26"/>
        <v>158185.38</v>
      </c>
      <c r="J124" s="1109">
        <v>0</v>
      </c>
      <c r="K124" s="1109">
        <v>115661.6</v>
      </c>
      <c r="L124" s="1109">
        <v>28915.4</v>
      </c>
      <c r="M124" s="1109">
        <v>0</v>
      </c>
      <c r="N124" s="1109">
        <v>0</v>
      </c>
      <c r="O124" s="1110">
        <f t="shared" si="39"/>
        <v>144577</v>
      </c>
      <c r="P124" s="1419">
        <v>-83.59</v>
      </c>
      <c r="Q124" s="1420">
        <v>-80.31</v>
      </c>
      <c r="R124" s="1420">
        <v>0</v>
      </c>
      <c r="S124" s="1420">
        <v>-60.1</v>
      </c>
      <c r="T124" s="1420">
        <v>0</v>
      </c>
      <c r="U124" s="1421">
        <f t="shared" si="40"/>
        <v>-224</v>
      </c>
      <c r="V124" s="1411"/>
      <c r="W124" s="1411"/>
      <c r="X124" s="1411"/>
      <c r="Y124" s="1411"/>
      <c r="Z124" s="1411"/>
      <c r="AA124" s="1411">
        <f t="shared" si="41"/>
        <v>0</v>
      </c>
      <c r="AB124" s="1092">
        <v>0</v>
      </c>
      <c r="AC124" s="1093">
        <v>0</v>
      </c>
      <c r="AD124" s="1093">
        <v>0</v>
      </c>
      <c r="AE124" s="1093">
        <v>0</v>
      </c>
      <c r="AF124" s="1093">
        <v>13832.38</v>
      </c>
      <c r="AG124" s="1091">
        <f t="shared" si="42"/>
        <v>13832.38</v>
      </c>
      <c r="AH124" s="1092"/>
      <c r="AI124" s="1093"/>
      <c r="AJ124" s="1093"/>
      <c r="AK124" s="1093"/>
      <c r="AL124" s="1093"/>
      <c r="AM124" s="1094">
        <f t="shared" si="43"/>
        <v>0</v>
      </c>
      <c r="AN124" s="1092">
        <v>0</v>
      </c>
      <c r="AO124" s="1093">
        <v>51.4</v>
      </c>
      <c r="AP124" s="1093">
        <v>0</v>
      </c>
      <c r="AQ124" s="1093">
        <v>-51.4</v>
      </c>
      <c r="AR124" s="1093">
        <v>0</v>
      </c>
      <c r="AS124" s="1094">
        <f t="shared" si="44"/>
        <v>0</v>
      </c>
      <c r="AT124" s="1092"/>
      <c r="AU124" s="1093"/>
      <c r="AV124" s="1093"/>
      <c r="AW124" s="1093"/>
      <c r="AX124" s="1093"/>
      <c r="AY124" s="1094">
        <f t="shared" si="45"/>
        <v>0</v>
      </c>
    </row>
    <row r="125" spans="1:51" x14ac:dyDescent="0.25">
      <c r="J125" s="803"/>
      <c r="K125" s="803"/>
      <c r="L125" s="803"/>
      <c r="M125" s="803"/>
      <c r="N125" s="803"/>
      <c r="O125" s="803"/>
      <c r="P125" s="803"/>
      <c r="Q125" s="803"/>
      <c r="R125" s="803"/>
      <c r="S125" s="803"/>
      <c r="T125" s="803"/>
      <c r="U125" s="803"/>
      <c r="V125" s="803"/>
      <c r="W125" s="803"/>
      <c r="X125" s="803"/>
      <c r="Y125" s="803"/>
      <c r="Z125" s="803"/>
      <c r="AA125" s="803"/>
      <c r="AB125" s="803"/>
      <c r="AC125" s="803"/>
      <c r="AD125" s="803"/>
      <c r="AE125" s="803"/>
      <c r="AF125" s="803"/>
      <c r="AG125" s="803"/>
      <c r="AH125" s="803"/>
      <c r="AI125" s="803"/>
      <c r="AJ125" s="803"/>
      <c r="AK125" s="803"/>
      <c r="AL125" s="803"/>
      <c r="AM125" s="803"/>
      <c r="AN125" s="803"/>
      <c r="AO125" s="803"/>
      <c r="AP125" s="803"/>
      <c r="AQ125" s="803"/>
      <c r="AR125" s="803"/>
      <c r="AS125" s="803"/>
      <c r="AT125" s="803"/>
      <c r="AU125" s="803"/>
      <c r="AV125" s="803"/>
      <c r="AW125" s="803"/>
      <c r="AX125" s="803"/>
      <c r="AY125" s="803"/>
    </row>
    <row r="126" spans="1:51" x14ac:dyDescent="0.25">
      <c r="A126" s="270" t="s">
        <v>266</v>
      </c>
      <c r="D126" s="1784">
        <v>795872.23</v>
      </c>
      <c r="E126" s="1784">
        <v>4940387.2299999995</v>
      </c>
      <c r="F126" s="1784">
        <v>1280915.0299999998</v>
      </c>
      <c r="G126" s="1784">
        <v>541763.40000000014</v>
      </c>
      <c r="H126" s="1784">
        <v>1822678.4300000002</v>
      </c>
      <c r="I126" s="1784">
        <v>7558937.8899999987</v>
      </c>
      <c r="J126" s="1784">
        <v>0</v>
      </c>
      <c r="K126" s="1784">
        <v>4821464.6399999997</v>
      </c>
      <c r="L126" s="1784">
        <v>1205366.1599999999</v>
      </c>
      <c r="M126" s="1784">
        <v>0</v>
      </c>
      <c r="N126" s="1784">
        <v>416</v>
      </c>
      <c r="O126" s="1784">
        <v>6027246.7999999998</v>
      </c>
      <c r="P126" s="1784">
        <v>-6393.8600000000006</v>
      </c>
      <c r="Q126" s="1784">
        <v>-6143.12</v>
      </c>
      <c r="R126" s="1784">
        <v>0</v>
      </c>
      <c r="S126" s="1784">
        <v>-2348.3599999999997</v>
      </c>
      <c r="T126" s="1784">
        <v>0</v>
      </c>
      <c r="U126" s="1784">
        <v>-14885.34</v>
      </c>
      <c r="V126" s="1784">
        <v>0</v>
      </c>
      <c r="W126" s="1784">
        <v>0</v>
      </c>
      <c r="X126" s="1784">
        <v>0</v>
      </c>
      <c r="Y126" s="1784">
        <v>0</v>
      </c>
      <c r="Z126" s="1784">
        <v>0</v>
      </c>
      <c r="AA126" s="1784">
        <v>0</v>
      </c>
      <c r="AB126" s="1784">
        <v>0</v>
      </c>
      <c r="AC126" s="1784">
        <v>125914.70999999999</v>
      </c>
      <c r="AD126" s="1784">
        <v>75548.87</v>
      </c>
      <c r="AE126" s="1784">
        <v>543081.76</v>
      </c>
      <c r="AF126" s="1784">
        <v>0</v>
      </c>
      <c r="AG126" s="1784">
        <v>744545.34000000008</v>
      </c>
      <c r="AH126" s="1784">
        <v>47681</v>
      </c>
      <c r="AI126" s="1784">
        <v>0</v>
      </c>
      <c r="AJ126" s="1784">
        <v>0</v>
      </c>
      <c r="AK126" s="1784">
        <v>0</v>
      </c>
      <c r="AL126" s="1784">
        <v>614</v>
      </c>
      <c r="AM126" s="1784">
        <v>48295</v>
      </c>
      <c r="AN126" s="1784">
        <v>0</v>
      </c>
      <c r="AO126" s="1784">
        <v>-849</v>
      </c>
      <c r="AP126" s="1784">
        <v>0</v>
      </c>
      <c r="AQ126" s="1784">
        <v>0</v>
      </c>
      <c r="AR126" s="1784">
        <v>0</v>
      </c>
      <c r="AS126" s="1784">
        <v>-849</v>
      </c>
      <c r="AT126" s="1784">
        <v>754585.09</v>
      </c>
      <c r="AU126" s="1784">
        <v>0</v>
      </c>
      <c r="AV126" s="1784">
        <v>0</v>
      </c>
      <c r="AW126" s="1784">
        <v>0</v>
      </c>
      <c r="AX126" s="1784">
        <v>0</v>
      </c>
      <c r="AY126" s="1784">
        <v>754585.09</v>
      </c>
    </row>
    <row r="127" spans="1:51" x14ac:dyDescent="0.25">
      <c r="A127" s="270" t="s">
        <v>264</v>
      </c>
      <c r="D127" s="1784">
        <v>792660.82</v>
      </c>
      <c r="E127" s="1784">
        <v>4779590.08</v>
      </c>
      <c r="F127" s="1784">
        <v>1255772.6099999999</v>
      </c>
      <c r="G127" s="1784">
        <v>100392.65</v>
      </c>
      <c r="H127" s="1784">
        <v>1356165.2599999998</v>
      </c>
      <c r="I127" s="1784">
        <v>6928416.1600000001</v>
      </c>
      <c r="J127" s="1784">
        <v>0</v>
      </c>
      <c r="K127" s="1784">
        <v>4662952.3599999994</v>
      </c>
      <c r="L127" s="1784">
        <v>1165738.0899999999</v>
      </c>
      <c r="M127" s="1784">
        <v>903</v>
      </c>
      <c r="N127" s="1784">
        <v>0</v>
      </c>
      <c r="O127" s="1784">
        <v>5829593.4500000002</v>
      </c>
      <c r="P127" s="1784">
        <v>-36479.040000000001</v>
      </c>
      <c r="Q127" s="1784">
        <v>-35048.559999999998</v>
      </c>
      <c r="R127" s="1784">
        <v>0</v>
      </c>
      <c r="S127" s="1784">
        <v>-612.49000000000024</v>
      </c>
      <c r="T127" s="1784">
        <v>0</v>
      </c>
      <c r="U127" s="1784">
        <v>-72140.09</v>
      </c>
      <c r="V127" s="1784">
        <v>765</v>
      </c>
      <c r="W127" s="1784">
        <v>735</v>
      </c>
      <c r="X127" s="1784">
        <v>0</v>
      </c>
      <c r="Y127" s="1784">
        <v>2400.96</v>
      </c>
      <c r="Z127" s="1784">
        <v>0</v>
      </c>
      <c r="AA127" s="1784">
        <v>3900.96</v>
      </c>
      <c r="AB127" s="1784">
        <v>0</v>
      </c>
      <c r="AC127" s="1784">
        <v>150057.47999999998</v>
      </c>
      <c r="AD127" s="1784">
        <v>90034.51999999999</v>
      </c>
      <c r="AE127" s="1784">
        <v>57380.36</v>
      </c>
      <c r="AF127" s="1784">
        <v>35145.89</v>
      </c>
      <c r="AG127" s="1784">
        <v>332618.25</v>
      </c>
      <c r="AH127" s="1784">
        <v>115682</v>
      </c>
      <c r="AI127" s="1784">
        <v>0</v>
      </c>
      <c r="AJ127" s="1784">
        <v>0</v>
      </c>
      <c r="AK127" s="1784">
        <v>0</v>
      </c>
      <c r="AL127" s="1784">
        <v>0</v>
      </c>
      <c r="AM127" s="1784">
        <v>115682</v>
      </c>
      <c r="AN127" s="1784">
        <v>0</v>
      </c>
      <c r="AO127" s="1784">
        <v>893.8</v>
      </c>
      <c r="AP127" s="1784">
        <v>0</v>
      </c>
      <c r="AQ127" s="1784">
        <v>106.2</v>
      </c>
      <c r="AR127" s="1784">
        <v>244</v>
      </c>
      <c r="AS127" s="1784">
        <v>1244</v>
      </c>
      <c r="AT127" s="1784">
        <v>712692.86</v>
      </c>
      <c r="AU127" s="1784">
        <v>0</v>
      </c>
      <c r="AV127" s="1784">
        <v>0</v>
      </c>
      <c r="AW127" s="1784">
        <v>4824.7300000000005</v>
      </c>
      <c r="AX127" s="1784">
        <v>0</v>
      </c>
      <c r="AY127" s="1784">
        <v>717517.58999999985</v>
      </c>
    </row>
    <row r="128" spans="1:51" x14ac:dyDescent="0.25">
      <c r="A128" s="270" t="s">
        <v>267</v>
      </c>
      <c r="D128" s="1784">
        <v>1169757.3500000001</v>
      </c>
      <c r="E128" s="1784">
        <v>3420524.5999999987</v>
      </c>
      <c r="F128" s="1784">
        <v>887138.3899999999</v>
      </c>
      <c r="G128" s="1784">
        <v>508274.99</v>
      </c>
      <c r="H128" s="1784">
        <v>1395413.3800000001</v>
      </c>
      <c r="I128" s="1784">
        <v>5985695.330000001</v>
      </c>
      <c r="J128" s="1784">
        <v>0</v>
      </c>
      <c r="K128" s="1784">
        <v>3410578.3099999991</v>
      </c>
      <c r="L128" s="1784">
        <v>852644.57999999984</v>
      </c>
      <c r="M128" s="1784">
        <v>0</v>
      </c>
      <c r="N128" s="1784">
        <v>2516</v>
      </c>
      <c r="O128" s="1784">
        <v>4265738.8900000006</v>
      </c>
      <c r="P128" s="1784">
        <v>-39053.659999999996</v>
      </c>
      <c r="Q128" s="1784">
        <v>-37522.160000000003</v>
      </c>
      <c r="R128" s="1784">
        <v>0</v>
      </c>
      <c r="S128" s="1784">
        <v>3912.9300000000003</v>
      </c>
      <c r="T128" s="1784">
        <v>0</v>
      </c>
      <c r="U128" s="1784">
        <v>-72662.89</v>
      </c>
      <c r="V128" s="1784">
        <v>0</v>
      </c>
      <c r="W128" s="1784">
        <v>0</v>
      </c>
      <c r="X128" s="1784">
        <v>0</v>
      </c>
      <c r="Y128" s="1784">
        <v>0</v>
      </c>
      <c r="Z128" s="1784">
        <v>0</v>
      </c>
      <c r="AA128" s="1784">
        <v>0</v>
      </c>
      <c r="AB128" s="1784">
        <v>0</v>
      </c>
      <c r="AC128" s="1784">
        <v>57489.69</v>
      </c>
      <c r="AD128" s="1784">
        <v>34493.81</v>
      </c>
      <c r="AE128" s="1784">
        <v>472507.79</v>
      </c>
      <c r="AF128" s="1784">
        <v>24644.67</v>
      </c>
      <c r="AG128" s="1784">
        <v>589135.96</v>
      </c>
      <c r="AH128" s="1784">
        <v>463148.82</v>
      </c>
      <c r="AI128" s="1784">
        <v>0</v>
      </c>
      <c r="AJ128" s="1784">
        <v>0</v>
      </c>
      <c r="AK128" s="1784">
        <v>0</v>
      </c>
      <c r="AL128" s="1784">
        <v>0</v>
      </c>
      <c r="AM128" s="1784">
        <v>463148.82</v>
      </c>
      <c r="AN128" s="1784">
        <v>0</v>
      </c>
      <c r="AO128" s="1784">
        <v>-10021.24</v>
      </c>
      <c r="AP128" s="1784">
        <v>0</v>
      </c>
      <c r="AQ128" s="1784">
        <v>4693.6000000000004</v>
      </c>
      <c r="AR128" s="1784">
        <v>0</v>
      </c>
      <c r="AS128" s="1784">
        <v>-5327.6399999999994</v>
      </c>
      <c r="AT128" s="1784">
        <v>745662.19</v>
      </c>
      <c r="AU128" s="1784">
        <v>0</v>
      </c>
      <c r="AV128" s="1784">
        <v>0</v>
      </c>
      <c r="AW128" s="1784">
        <v>0</v>
      </c>
      <c r="AX128" s="1784">
        <v>0</v>
      </c>
      <c r="AY128" s="1784">
        <v>745662.19</v>
      </c>
    </row>
    <row r="129" spans="1:51" x14ac:dyDescent="0.25">
      <c r="A129" s="270" t="s">
        <v>265</v>
      </c>
      <c r="D129" s="1784">
        <v>760157.49</v>
      </c>
      <c r="E129" s="1784">
        <v>3991071.7199999997</v>
      </c>
      <c r="F129" s="1784">
        <v>1011183.0700000001</v>
      </c>
      <c r="G129" s="1784">
        <v>39498.43</v>
      </c>
      <c r="H129" s="1784">
        <v>1050681.5000000002</v>
      </c>
      <c r="I129" s="1784">
        <v>5801910.71</v>
      </c>
      <c r="J129" s="1784">
        <v>0</v>
      </c>
      <c r="K129" s="1784">
        <v>3969975.9299999997</v>
      </c>
      <c r="L129" s="1784">
        <v>992493.98</v>
      </c>
      <c r="M129" s="1784">
        <v>0</v>
      </c>
      <c r="N129" s="1784">
        <v>0</v>
      </c>
      <c r="O129" s="1784">
        <v>4962469.91</v>
      </c>
      <c r="P129" s="1784">
        <v>-12795.189999999999</v>
      </c>
      <c r="Q129" s="1784">
        <v>-12293.43</v>
      </c>
      <c r="R129" s="1784">
        <v>0</v>
      </c>
      <c r="S129" s="1784">
        <v>-2501.7399999999998</v>
      </c>
      <c r="T129" s="1784">
        <v>0</v>
      </c>
      <c r="U129" s="1784">
        <v>-27590.36</v>
      </c>
      <c r="V129" s="1784">
        <v>513.54999999999995</v>
      </c>
      <c r="W129" s="1784">
        <v>493.42</v>
      </c>
      <c r="X129" s="1784">
        <v>0</v>
      </c>
      <c r="Y129" s="1784">
        <v>1647.89</v>
      </c>
      <c r="Z129" s="1784">
        <v>0</v>
      </c>
      <c r="AA129" s="1784">
        <v>2654.86</v>
      </c>
      <c r="AB129" s="1784">
        <v>0</v>
      </c>
      <c r="AC129" s="1784">
        <v>31148.42</v>
      </c>
      <c r="AD129" s="1784">
        <v>18689.09</v>
      </c>
      <c r="AE129" s="1784">
        <v>39314.28</v>
      </c>
      <c r="AF129" s="1784">
        <v>0</v>
      </c>
      <c r="AG129" s="1784">
        <v>89151.790000000008</v>
      </c>
      <c r="AH129" s="1784">
        <v>59434</v>
      </c>
      <c r="AI129" s="1784">
        <v>0</v>
      </c>
      <c r="AJ129" s="1784">
        <v>0</v>
      </c>
      <c r="AK129" s="1784">
        <v>1038</v>
      </c>
      <c r="AL129" s="1784">
        <v>0</v>
      </c>
      <c r="AM129" s="1784">
        <v>60472</v>
      </c>
      <c r="AN129" s="1784">
        <v>0</v>
      </c>
      <c r="AO129" s="1784">
        <v>-342.62</v>
      </c>
      <c r="AP129" s="1784">
        <v>0</v>
      </c>
      <c r="AQ129" s="1784">
        <v>0</v>
      </c>
      <c r="AR129" s="1784">
        <v>0</v>
      </c>
      <c r="AS129" s="1784">
        <v>-342.62</v>
      </c>
      <c r="AT129" s="1784">
        <v>713005.13</v>
      </c>
      <c r="AU129" s="1784">
        <v>2090</v>
      </c>
      <c r="AV129" s="1784">
        <v>0</v>
      </c>
      <c r="AW129" s="1784">
        <v>0</v>
      </c>
      <c r="AX129" s="1784">
        <v>0</v>
      </c>
      <c r="AY129" s="1784">
        <v>715095.13</v>
      </c>
    </row>
    <row r="130" spans="1:51" x14ac:dyDescent="0.25">
      <c r="A130" s="270" t="s">
        <v>268</v>
      </c>
      <c r="D130" s="1784">
        <v>-8628.8700000000008</v>
      </c>
      <c r="E130" s="1784">
        <v>3744893.56</v>
      </c>
      <c r="F130" s="1784">
        <v>938706.66999999993</v>
      </c>
      <c r="G130" s="1784">
        <v>46225.990000000005</v>
      </c>
      <c r="H130" s="1784">
        <v>984932.65999999992</v>
      </c>
      <c r="I130" s="1784">
        <v>4721197.3500000006</v>
      </c>
      <c r="J130" s="1784">
        <v>0</v>
      </c>
      <c r="K130" s="1784">
        <v>3754826.67</v>
      </c>
      <c r="L130" s="1784">
        <v>938706.66999999993</v>
      </c>
      <c r="M130" s="1784">
        <v>0</v>
      </c>
      <c r="N130" s="1784">
        <v>0</v>
      </c>
      <c r="O130" s="1784">
        <v>4693533.34</v>
      </c>
      <c r="P130" s="1784">
        <v>-9373.8300000000017</v>
      </c>
      <c r="Q130" s="1784">
        <v>-9006.23</v>
      </c>
      <c r="R130" s="1784">
        <v>0</v>
      </c>
      <c r="S130" s="1784">
        <v>705.02</v>
      </c>
      <c r="T130" s="1784">
        <v>0</v>
      </c>
      <c r="U130" s="1784">
        <v>-17675.04</v>
      </c>
      <c r="V130" s="1784">
        <v>254.96</v>
      </c>
      <c r="W130" s="1784">
        <v>244.97</v>
      </c>
      <c r="X130" s="1784">
        <v>0</v>
      </c>
      <c r="Y130" s="1784">
        <v>0</v>
      </c>
      <c r="Z130" s="1784">
        <v>0</v>
      </c>
      <c r="AA130" s="1784">
        <v>499.93</v>
      </c>
      <c r="AB130" s="1784">
        <v>0</v>
      </c>
      <c r="AC130" s="1784">
        <v>0</v>
      </c>
      <c r="AD130" s="1784">
        <v>0</v>
      </c>
      <c r="AE130" s="1784">
        <v>41520.97</v>
      </c>
      <c r="AF130" s="1784">
        <v>4000</v>
      </c>
      <c r="AG130" s="1784">
        <v>45520.97</v>
      </c>
      <c r="AH130" s="1784">
        <v>490</v>
      </c>
      <c r="AI130" s="1784">
        <v>0</v>
      </c>
      <c r="AJ130" s="1784">
        <v>0</v>
      </c>
      <c r="AK130" s="1784">
        <v>0</v>
      </c>
      <c r="AL130" s="1784">
        <v>0</v>
      </c>
      <c r="AM130" s="1784">
        <v>490</v>
      </c>
      <c r="AN130" s="1784">
        <v>0</v>
      </c>
      <c r="AO130" s="1784">
        <v>-1171.8499999999999</v>
      </c>
      <c r="AP130" s="1784">
        <v>0</v>
      </c>
      <c r="AQ130" s="1784">
        <v>0</v>
      </c>
      <c r="AR130" s="1784">
        <v>0</v>
      </c>
      <c r="AS130" s="1784">
        <v>-1171.8499999999999</v>
      </c>
      <c r="AT130" s="1784">
        <v>0</v>
      </c>
      <c r="AU130" s="1784">
        <v>0</v>
      </c>
      <c r="AV130" s="1784">
        <v>0</v>
      </c>
      <c r="AW130" s="1784">
        <v>0</v>
      </c>
      <c r="AX130" s="1784">
        <v>0</v>
      </c>
      <c r="AY130" s="1784">
        <v>0</v>
      </c>
    </row>
    <row r="131" spans="1:51" x14ac:dyDescent="0.25">
      <c r="A131" s="270" t="s">
        <v>9</v>
      </c>
      <c r="D131" s="1785">
        <f>SUM(D126:D130)</f>
        <v>3509819.0199999996</v>
      </c>
      <c r="E131" s="1785">
        <f t="shared" ref="E131:AY131" si="46">SUM(E126:E130)</f>
        <v>20876467.189999994</v>
      </c>
      <c r="F131" s="1785">
        <f t="shared" si="46"/>
        <v>5373715.7699999996</v>
      </c>
      <c r="G131" s="1785">
        <f t="shared" si="46"/>
        <v>1236155.46</v>
      </c>
      <c r="H131" s="1785">
        <f t="shared" si="46"/>
        <v>6609871.2300000004</v>
      </c>
      <c r="I131" s="1785">
        <f t="shared" si="46"/>
        <v>30996157.440000001</v>
      </c>
      <c r="J131" s="1785">
        <f t="shared" si="46"/>
        <v>0</v>
      </c>
      <c r="K131" s="1785">
        <f t="shared" si="46"/>
        <v>20619797.909999996</v>
      </c>
      <c r="L131" s="1785">
        <f t="shared" si="46"/>
        <v>5154949.4800000004</v>
      </c>
      <c r="M131" s="1785">
        <f t="shared" si="46"/>
        <v>903</v>
      </c>
      <c r="N131" s="1785">
        <f t="shared" si="46"/>
        <v>2932</v>
      </c>
      <c r="O131" s="1785">
        <f t="shared" si="46"/>
        <v>25778582.390000001</v>
      </c>
      <c r="P131" s="1785">
        <f t="shared" si="46"/>
        <v>-104095.58</v>
      </c>
      <c r="Q131" s="1785">
        <f t="shared" si="46"/>
        <v>-100013.49999999999</v>
      </c>
      <c r="R131" s="1785">
        <f t="shared" si="46"/>
        <v>0</v>
      </c>
      <c r="S131" s="1785">
        <f t="shared" si="46"/>
        <v>-844.63999999999942</v>
      </c>
      <c r="T131" s="1785">
        <f t="shared" si="46"/>
        <v>0</v>
      </c>
      <c r="U131" s="1785">
        <f t="shared" si="46"/>
        <v>-204953.72</v>
      </c>
      <c r="V131" s="1785">
        <f t="shared" si="46"/>
        <v>1533.51</v>
      </c>
      <c r="W131" s="1785">
        <f t="shared" si="46"/>
        <v>1473.39</v>
      </c>
      <c r="X131" s="1785">
        <f t="shared" si="46"/>
        <v>0</v>
      </c>
      <c r="Y131" s="1785">
        <f t="shared" si="46"/>
        <v>4048.8500000000004</v>
      </c>
      <c r="Z131" s="1785">
        <f t="shared" si="46"/>
        <v>0</v>
      </c>
      <c r="AA131" s="1785">
        <f t="shared" si="46"/>
        <v>7055.75</v>
      </c>
      <c r="AB131" s="1785">
        <f t="shared" si="46"/>
        <v>0</v>
      </c>
      <c r="AC131" s="1785">
        <f t="shared" si="46"/>
        <v>364610.29999999993</v>
      </c>
      <c r="AD131" s="1785">
        <f t="shared" si="46"/>
        <v>218766.28999999998</v>
      </c>
      <c r="AE131" s="1785">
        <f t="shared" si="46"/>
        <v>1153805.1599999999</v>
      </c>
      <c r="AF131" s="1785">
        <f t="shared" si="46"/>
        <v>63790.559999999998</v>
      </c>
      <c r="AG131" s="1785">
        <f t="shared" si="46"/>
        <v>1800972.31</v>
      </c>
      <c r="AH131" s="1785">
        <f t="shared" si="46"/>
        <v>686435.82000000007</v>
      </c>
      <c r="AI131" s="1785">
        <f t="shared" si="46"/>
        <v>0</v>
      </c>
      <c r="AJ131" s="1785">
        <f t="shared" si="46"/>
        <v>0</v>
      </c>
      <c r="AK131" s="1785">
        <f t="shared" si="46"/>
        <v>1038</v>
      </c>
      <c r="AL131" s="1785">
        <f t="shared" si="46"/>
        <v>614</v>
      </c>
      <c r="AM131" s="1785">
        <f t="shared" si="46"/>
        <v>688087.82000000007</v>
      </c>
      <c r="AN131" s="1785">
        <f t="shared" si="46"/>
        <v>0</v>
      </c>
      <c r="AO131" s="1785">
        <f t="shared" si="46"/>
        <v>-11490.910000000002</v>
      </c>
      <c r="AP131" s="1785">
        <f t="shared" si="46"/>
        <v>0</v>
      </c>
      <c r="AQ131" s="1785">
        <f t="shared" si="46"/>
        <v>4799.8</v>
      </c>
      <c r="AR131" s="1785">
        <f t="shared" si="46"/>
        <v>244</v>
      </c>
      <c r="AS131" s="1785">
        <f t="shared" si="46"/>
        <v>-6447.1099999999988</v>
      </c>
      <c r="AT131" s="1785">
        <f t="shared" si="46"/>
        <v>2925945.2699999996</v>
      </c>
      <c r="AU131" s="1785">
        <f t="shared" si="46"/>
        <v>2090</v>
      </c>
      <c r="AV131" s="1785">
        <f t="shared" si="46"/>
        <v>0</v>
      </c>
      <c r="AW131" s="1785">
        <f t="shared" si="46"/>
        <v>4824.7300000000005</v>
      </c>
      <c r="AX131" s="1785">
        <f t="shared" si="46"/>
        <v>0</v>
      </c>
      <c r="AY131" s="1785">
        <f t="shared" si="46"/>
        <v>2932859.9999999995</v>
      </c>
    </row>
    <row r="132" spans="1:51" x14ac:dyDescent="0.25">
      <c r="J132" s="1496"/>
      <c r="K132" s="1496"/>
      <c r="L132" s="1496"/>
      <c r="M132" s="1496"/>
      <c r="N132" s="1496"/>
      <c r="O132" s="1496"/>
      <c r="P132" s="1496"/>
      <c r="Q132" s="1496"/>
      <c r="R132" s="1496"/>
      <c r="S132" s="1496"/>
      <c r="T132" s="1496"/>
      <c r="U132" s="1496"/>
      <c r="V132" s="1496"/>
      <c r="W132" s="1496"/>
      <c r="X132" s="1496"/>
      <c r="Y132" s="1496"/>
      <c r="Z132" s="1496"/>
      <c r="AA132" s="1496"/>
      <c r="AB132" s="1496"/>
      <c r="AC132" s="1496"/>
      <c r="AD132" s="1496"/>
      <c r="AE132" s="1496"/>
      <c r="AF132" s="1496"/>
      <c r="AG132" s="1496"/>
      <c r="AH132" s="1496"/>
      <c r="AI132" s="1496"/>
      <c r="AJ132" s="1496"/>
      <c r="AK132" s="1496"/>
      <c r="AL132" s="1496"/>
      <c r="AM132" s="1496"/>
      <c r="AN132" s="1496"/>
      <c r="AO132" s="1496"/>
      <c r="AP132" s="1496"/>
      <c r="AQ132" s="1496"/>
      <c r="AR132" s="1496"/>
      <c r="AS132" s="1496"/>
      <c r="AT132" s="1496"/>
      <c r="AU132" s="1496"/>
      <c r="AV132" s="1496"/>
      <c r="AW132" s="1496"/>
      <c r="AX132" s="1496"/>
      <c r="AY132" s="1496"/>
    </row>
    <row r="133" spans="1:51" s="392" customFormat="1" x14ac:dyDescent="0.25">
      <c r="A133" s="986" t="s">
        <v>1240</v>
      </c>
      <c r="B133" s="712"/>
      <c r="C133" s="712"/>
      <c r="D133" s="662"/>
    </row>
    <row r="134" spans="1:51" s="392" customFormat="1" x14ac:dyDescent="0.25"/>
    <row r="135" spans="1:51" s="412" customFormat="1" x14ac:dyDescent="0.25">
      <c r="A135" s="412" t="s">
        <v>248</v>
      </c>
      <c r="H135" s="1702"/>
    </row>
    <row r="136" spans="1:51" x14ac:dyDescent="0.25">
      <c r="A136" s="413" t="s">
        <v>249</v>
      </c>
      <c r="B136" s="414" t="s">
        <v>250</v>
      </c>
      <c r="C136" s="414"/>
      <c r="L136" s="270"/>
      <c r="M136" s="270"/>
      <c r="N136" s="270"/>
      <c r="O136" s="270"/>
      <c r="P136" s="270"/>
      <c r="Q136" s="270"/>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row>
  </sheetData>
  <autoFilter ref="A3:C124"/>
  <sortState ref="A5:AY124">
    <sortCondition ref="A5:A124"/>
  </sortState>
  <hyperlinks>
    <hyperlink ref="B136" r:id="rId1"/>
  </hyperlinks>
  <pageMargins left="0.7" right="0.7" top="0.75" bottom="0.75" header="0.3" footer="0.3"/>
  <pageSetup orientation="portrait"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0"/>
  <sheetViews>
    <sheetView topLeftCell="A101" workbookViewId="0">
      <selection activeCell="B127" sqref="B127"/>
    </sheetView>
  </sheetViews>
  <sheetFormatPr defaultRowHeight="15.75" x14ac:dyDescent="0.25"/>
  <cols>
    <col min="1" max="1" width="6.125" style="134" bestFit="1" customWidth="1"/>
    <col min="2" max="2" width="29.375" style="157" customWidth="1"/>
    <col min="3" max="3" width="9.25" style="157" customWidth="1"/>
    <col min="4" max="5" width="17.375" bestFit="1" customWidth="1"/>
    <col min="6" max="6" width="13.375" customWidth="1"/>
    <col min="7" max="7" width="11.875" customWidth="1"/>
    <col min="8" max="8" width="15.125" customWidth="1"/>
    <col min="9" max="9" width="13.875" customWidth="1"/>
  </cols>
  <sheetData>
    <row r="1" spans="1:9" x14ac:dyDescent="0.25">
      <c r="A1" s="727" t="s">
        <v>1243</v>
      </c>
      <c r="B1" s="728"/>
      <c r="C1" s="728"/>
    </row>
    <row r="4" spans="1:9" x14ac:dyDescent="0.25">
      <c r="A4" s="729" t="s">
        <v>4</v>
      </c>
      <c r="B4" s="182" t="s">
        <v>5</v>
      </c>
      <c r="C4" s="182" t="s">
        <v>251</v>
      </c>
      <c r="D4" s="64" t="s">
        <v>314</v>
      </c>
      <c r="E4" s="64" t="s">
        <v>315</v>
      </c>
      <c r="F4" s="64" t="s">
        <v>316</v>
      </c>
      <c r="G4" s="64" t="s">
        <v>304</v>
      </c>
      <c r="H4" s="64" t="s">
        <v>281</v>
      </c>
      <c r="I4" s="64" t="s">
        <v>662</v>
      </c>
    </row>
    <row r="5" spans="1:9" x14ac:dyDescent="0.25">
      <c r="A5" s="777" t="s">
        <v>8</v>
      </c>
      <c r="B5" s="778" t="s">
        <v>9</v>
      </c>
      <c r="C5" s="778"/>
      <c r="D5" s="1407">
        <f>SUM(D6:D125)</f>
        <v>5565475538.0281878</v>
      </c>
      <c r="E5" s="1407">
        <f t="shared" ref="E5:I5" si="0">SUM(E6:E125)</f>
        <v>4341891521.7575703</v>
      </c>
      <c r="F5" s="1407">
        <f t="shared" si="0"/>
        <v>151578789.50220677</v>
      </c>
      <c r="G5" s="1407">
        <f t="shared" si="0"/>
        <v>1394424.44</v>
      </c>
      <c r="H5" s="1841">
        <f t="shared" si="0"/>
        <v>10060340273.727964</v>
      </c>
      <c r="I5" s="1407">
        <f t="shared" si="0"/>
        <v>152973213.94220677</v>
      </c>
    </row>
    <row r="6" spans="1:9" x14ac:dyDescent="0.25">
      <c r="A6" s="737" t="s">
        <v>10</v>
      </c>
      <c r="B6" s="589" t="s">
        <v>11</v>
      </c>
      <c r="C6" s="738" t="s">
        <v>264</v>
      </c>
      <c r="D6" s="1408">
        <f>'Medicaid &amp; FAMIS - LASER'!E5+'SNAP LASER'!E5+'TANF LASER'!D5+'Energy Assistance LASER'!E5+'FC &amp; Adoptions LASER'!D5+'CSA LASER'!D5+'ChildCare LASER'!I5+'Other Benefits LASER'!D5</f>
        <v>35278934.291177765</v>
      </c>
      <c r="E6" s="1408">
        <f>'Medicaid &amp; FAMIS - LASER'!F5+'TANF LASER'!F5+'Energy Assistance LASER'!G5+'FC &amp; Adoptions LASER'!E5+'CSA LASER'!E5+'ChildCare LASER'!J5+'Other Benefits LASER'!E5</f>
        <v>26129621.32306876</v>
      </c>
      <c r="F6" s="1408">
        <f>'Medicaid &amp; FAMIS - LASER'!G5+'TANF LASER'!G5+'Energy Assistance LASER'!H5+'FC &amp; Adoptions LASER'!F5+'CSA LASER'!F5+'Other Benefits LASER'!F5</f>
        <v>259944.11251499999</v>
      </c>
      <c r="G6" s="1408">
        <f>'TANF LASER'!H5+'Energy Assistance LASER'!I5+'FC &amp; Adoptions LASER'!G5+'CSA LASER'!G5+'Other Benefits LASER'!G5</f>
        <v>-7.0000000000000007E-2</v>
      </c>
      <c r="H6" s="1408">
        <f>SUM(D6:G6)</f>
        <v>61668499.656761527</v>
      </c>
      <c r="I6" s="1408">
        <f t="shared" ref="I6:I69" si="1">F6+G6</f>
        <v>259944.04251499998</v>
      </c>
    </row>
    <row r="7" spans="1:9" x14ac:dyDescent="0.25">
      <c r="A7" s="737" t="s">
        <v>12</v>
      </c>
      <c r="B7" s="589" t="s">
        <v>13</v>
      </c>
      <c r="C7" s="738" t="s">
        <v>265</v>
      </c>
      <c r="D7" s="1408">
        <f>'Medicaid &amp; FAMIS - LASER'!E6+'SNAP LASER'!E6+'TANF LASER'!D6+'Energy Assistance LASER'!E6+'FC &amp; Adoptions LASER'!D6+'CSA LASER'!D6+'ChildCare LASER'!I6+'Other Benefits LASER'!D6</f>
        <v>42196644.275958449</v>
      </c>
      <c r="E7" s="1408">
        <f>'Medicaid &amp; FAMIS - LASER'!F6+'TANF LASER'!F6+'Energy Assistance LASER'!G6+'FC &amp; Adoptions LASER'!E6+'CSA LASER'!E6+'ChildCare LASER'!J6+'Other Benefits LASER'!E6</f>
        <v>37519808.680003583</v>
      </c>
      <c r="F7" s="1408">
        <f>'Medicaid &amp; FAMIS - LASER'!G6+'TANF LASER'!G6+'Energy Assistance LASER'!H6+'FC &amp; Adoptions LASER'!F6+'CSA LASER'!F6+'Other Benefits LASER'!F6</f>
        <v>4107897.1925192499</v>
      </c>
      <c r="G7" s="1408">
        <f>'TANF LASER'!H6+'Energy Assistance LASER'!I6+'FC &amp; Adoptions LASER'!G6+'CSA LASER'!G6+'Other Benefits LASER'!G6</f>
        <v>1489.3400000000001</v>
      </c>
      <c r="H7" s="1408">
        <f t="shared" ref="H7:H70" si="2">SUM(D7:G7)</f>
        <v>83825839.488481283</v>
      </c>
      <c r="I7" s="1408">
        <f t="shared" si="1"/>
        <v>4109386.5325192497</v>
      </c>
    </row>
    <row r="8" spans="1:9" x14ac:dyDescent="0.25">
      <c r="A8" s="737" t="s">
        <v>16</v>
      </c>
      <c r="B8" s="589" t="s">
        <v>297</v>
      </c>
      <c r="C8" s="738" t="s">
        <v>265</v>
      </c>
      <c r="D8" s="1408">
        <f>'Medicaid &amp; FAMIS - LASER'!E7+'SNAP LASER'!E7+'TANF LASER'!D7+'Energy Assistance LASER'!E7+'FC &amp; Adoptions LASER'!D7+'CSA LASER'!D7+'ChildCare LASER'!I7+'Other Benefits LASER'!D7</f>
        <v>22377941.903273426</v>
      </c>
      <c r="E8" s="1408">
        <f>'Medicaid &amp; FAMIS - LASER'!F7+'TANF LASER'!F7+'Energy Assistance LASER'!G7+'FC &amp; Adoptions LASER'!E7+'CSA LASER'!E7+'ChildCare LASER'!J7+'Other Benefits LASER'!E7</f>
        <v>19367744.329868898</v>
      </c>
      <c r="F8" s="1408">
        <f>'Medicaid &amp; FAMIS - LASER'!G7+'TANF LASER'!G7+'Energy Assistance LASER'!H7+'FC &amp; Adoptions LASER'!F7+'CSA LASER'!F7+'Other Benefits LASER'!F7</f>
        <v>697848.57918749994</v>
      </c>
      <c r="G8" s="1408">
        <f>'TANF LASER'!H7+'Energy Assistance LASER'!I7+'FC &amp; Adoptions LASER'!G7+'CSA LASER'!G7+'Other Benefits LASER'!G7</f>
        <v>199.99</v>
      </c>
      <c r="H8" s="1408">
        <f t="shared" si="2"/>
        <v>42443734.802329823</v>
      </c>
      <c r="I8" s="1408">
        <f t="shared" si="1"/>
        <v>698048.56918749993</v>
      </c>
    </row>
    <row r="9" spans="1:9" x14ac:dyDescent="0.25">
      <c r="A9" s="737" t="s">
        <v>18</v>
      </c>
      <c r="B9" s="589" t="s">
        <v>19</v>
      </c>
      <c r="C9" s="738" t="s">
        <v>266</v>
      </c>
      <c r="D9" s="1408">
        <f>'Medicaid &amp; FAMIS - LASER'!E8+'SNAP LASER'!E8+'TANF LASER'!D8+'Energy Assistance LASER'!E8+'FC &amp; Adoptions LASER'!D8+'CSA LASER'!D8+'ChildCare LASER'!I8+'Other Benefits LASER'!D8</f>
        <v>11144416.203232324</v>
      </c>
      <c r="E9" s="1408">
        <f>'Medicaid &amp; FAMIS - LASER'!F8+'TANF LASER'!F8+'Energy Assistance LASER'!G8+'FC &amp; Adoptions LASER'!E8+'CSA LASER'!E8+'ChildCare LASER'!J8+'Other Benefits LASER'!E8</f>
        <v>8770973.9360173326</v>
      </c>
      <c r="F9" s="1408">
        <f>'Medicaid &amp; FAMIS - LASER'!G8+'TANF LASER'!G8+'Energy Assistance LASER'!H8+'FC &amp; Adoptions LASER'!F8+'CSA LASER'!F8+'Other Benefits LASER'!F8</f>
        <v>184640.07574999999</v>
      </c>
      <c r="G9" s="1408">
        <f>'TANF LASER'!H8+'Energy Assistance LASER'!I8+'FC &amp; Adoptions LASER'!G8+'CSA LASER'!G8+'Other Benefits LASER'!G8</f>
        <v>-0.01</v>
      </c>
      <c r="H9" s="1408">
        <f t="shared" si="2"/>
        <v>20100030.204999655</v>
      </c>
      <c r="I9" s="1408">
        <f t="shared" si="1"/>
        <v>184640.06574999998</v>
      </c>
    </row>
    <row r="10" spans="1:9" x14ac:dyDescent="0.25">
      <c r="A10" s="737" t="s">
        <v>20</v>
      </c>
      <c r="B10" s="589" t="s">
        <v>21</v>
      </c>
      <c r="C10" s="738" t="s">
        <v>265</v>
      </c>
      <c r="D10" s="1408">
        <f>'Medicaid &amp; FAMIS - LASER'!E9+'SNAP LASER'!E9+'TANF LASER'!D9+'Energy Assistance LASER'!E9+'FC &amp; Adoptions LASER'!D9+'CSA LASER'!D9+'ChildCare LASER'!I9+'Other Benefits LASER'!D9</f>
        <v>28466990.051178332</v>
      </c>
      <c r="E10" s="1408">
        <f>'Medicaid &amp; FAMIS - LASER'!F9+'TANF LASER'!F9+'Energy Assistance LASER'!G9+'FC &amp; Adoptions LASER'!E9+'CSA LASER'!E9+'ChildCare LASER'!J9+'Other Benefits LASER'!E9</f>
        <v>23268498.875762954</v>
      </c>
      <c r="F10" s="1408">
        <f>'Medicaid &amp; FAMIS - LASER'!G9+'TANF LASER'!G9+'Energy Assistance LASER'!H9+'FC &amp; Adoptions LASER'!F9+'CSA LASER'!F9+'Other Benefits LASER'!F9</f>
        <v>430538.26225250005</v>
      </c>
      <c r="G10" s="1408">
        <f>'TANF LASER'!H9+'Energy Assistance LASER'!I9+'FC &amp; Adoptions LASER'!G9+'CSA LASER'!G9+'Other Benefits LASER'!G9</f>
        <v>-7.0000000000000007E-2</v>
      </c>
      <c r="H10" s="1408">
        <f t="shared" si="2"/>
        <v>52166027.119193792</v>
      </c>
      <c r="I10" s="1408">
        <f t="shared" si="1"/>
        <v>430538.19225250004</v>
      </c>
    </row>
    <row r="11" spans="1:9" x14ac:dyDescent="0.25">
      <c r="A11" s="737" t="s">
        <v>22</v>
      </c>
      <c r="B11" s="589" t="s">
        <v>23</v>
      </c>
      <c r="C11" s="738" t="s">
        <v>265</v>
      </c>
      <c r="D11" s="1408">
        <f>'Medicaid &amp; FAMIS - LASER'!E10+'SNAP LASER'!E10+'TANF LASER'!D10+'Energy Assistance LASER'!E10+'FC &amp; Adoptions LASER'!D10+'CSA LASER'!D10+'ChildCare LASER'!I10+'Other Benefits LASER'!D10</f>
        <v>16388584.482505951</v>
      </c>
      <c r="E11" s="1408">
        <f>'Medicaid &amp; FAMIS - LASER'!F10+'TANF LASER'!F10+'Energy Assistance LASER'!G10+'FC &amp; Adoptions LASER'!E10+'CSA LASER'!E10+'ChildCare LASER'!J10+'Other Benefits LASER'!E10</f>
        <v>13624607.077058986</v>
      </c>
      <c r="F11" s="1408">
        <f>'Medicaid &amp; FAMIS - LASER'!G10+'TANF LASER'!G10+'Energy Assistance LASER'!H10+'FC &amp; Adoptions LASER'!F10+'CSA LASER'!F10+'Other Benefits LASER'!F10</f>
        <v>550670.9974456249</v>
      </c>
      <c r="G11" s="1408">
        <f>'TANF LASER'!H10+'Energy Assistance LASER'!I10+'FC &amp; Adoptions LASER'!G10+'CSA LASER'!G10+'Other Benefits LASER'!G10</f>
        <v>-0.13</v>
      </c>
      <c r="H11" s="1408">
        <f t="shared" si="2"/>
        <v>30563862.427010562</v>
      </c>
      <c r="I11" s="1408">
        <f t="shared" si="1"/>
        <v>550670.8674456249</v>
      </c>
    </row>
    <row r="12" spans="1:9" x14ac:dyDescent="0.25">
      <c r="A12" s="737" t="s">
        <v>24</v>
      </c>
      <c r="B12" s="589" t="s">
        <v>25</v>
      </c>
      <c r="C12" s="738" t="s">
        <v>267</v>
      </c>
      <c r="D12" s="1408">
        <f>'Medicaid &amp; FAMIS - LASER'!E11+'SNAP LASER'!E11+'TANF LASER'!D11+'Energy Assistance LASER'!E11+'FC &amp; Adoptions LASER'!D11+'CSA LASER'!D11+'ChildCare LASER'!I11+'Other Benefits LASER'!D11</f>
        <v>70017940.641215399</v>
      </c>
      <c r="E12" s="1408">
        <f>'Medicaid &amp; FAMIS - LASER'!F11+'TANF LASER'!F11+'Energy Assistance LASER'!G11+'FC &amp; Adoptions LASER'!E11+'CSA LASER'!E11+'ChildCare LASER'!J11+'Other Benefits LASER'!E11</f>
        <v>57944737.395897947</v>
      </c>
      <c r="F12" s="1408">
        <f>'Medicaid &amp; FAMIS - LASER'!G11+'TANF LASER'!G11+'Energy Assistance LASER'!H11+'FC &amp; Adoptions LASER'!F11+'CSA LASER'!F11+'Other Benefits LASER'!F11</f>
        <v>3498733.3943300005</v>
      </c>
      <c r="G12" s="1408">
        <f>'TANF LASER'!H11+'Energy Assistance LASER'!I11+'FC &amp; Adoptions LASER'!G11+'CSA LASER'!G11+'Other Benefits LASER'!G11</f>
        <v>455806.27</v>
      </c>
      <c r="H12" s="1408">
        <f t="shared" si="2"/>
        <v>131917217.70144333</v>
      </c>
      <c r="I12" s="1408">
        <f t="shared" si="1"/>
        <v>3954539.6643300005</v>
      </c>
    </row>
    <row r="13" spans="1:9" x14ac:dyDescent="0.25">
      <c r="A13" s="737" t="s">
        <v>26</v>
      </c>
      <c r="B13" s="589" t="s">
        <v>298</v>
      </c>
      <c r="C13" s="738" t="s">
        <v>265</v>
      </c>
      <c r="D13" s="1408">
        <f>'Medicaid &amp; FAMIS - LASER'!E12+'SNAP LASER'!E12+'TANF LASER'!D12+'Energy Assistance LASER'!E12+'FC &amp; Adoptions LASER'!D12+'CSA LASER'!D12+'ChildCare LASER'!I12+'Other Benefits LASER'!D12</f>
        <v>85624272.586042508</v>
      </c>
      <c r="E13" s="1408">
        <f>'Medicaid &amp; FAMIS - LASER'!F12+'TANF LASER'!F12+'Energy Assistance LASER'!G12+'FC &amp; Adoptions LASER'!E12+'CSA LASER'!E12+'ChildCare LASER'!J12+'Other Benefits LASER'!E12</f>
        <v>70929959.157734782</v>
      </c>
      <c r="F13" s="1408">
        <f>'Medicaid &amp; FAMIS - LASER'!G12+'TANF LASER'!G12+'Energy Assistance LASER'!H12+'FC &amp; Adoptions LASER'!F12+'CSA LASER'!F12+'Other Benefits LASER'!F12</f>
        <v>3210680.7922284999</v>
      </c>
      <c r="G13" s="1408">
        <f>'TANF LASER'!H12+'Energy Assistance LASER'!I12+'FC &amp; Adoptions LASER'!G12+'CSA LASER'!G12+'Other Benefits LASER'!G12</f>
        <v>27442.149999999998</v>
      </c>
      <c r="H13" s="1408">
        <f t="shared" si="2"/>
        <v>159792354.68600577</v>
      </c>
      <c r="I13" s="1408">
        <f t="shared" si="1"/>
        <v>3238122.9422284998</v>
      </c>
    </row>
    <row r="14" spans="1:9" x14ac:dyDescent="0.25">
      <c r="A14" s="737" t="s">
        <v>27</v>
      </c>
      <c r="B14" s="589" t="s">
        <v>28</v>
      </c>
      <c r="C14" s="738" t="s">
        <v>265</v>
      </c>
      <c r="D14" s="1408">
        <f>'Medicaid &amp; FAMIS - LASER'!E13+'SNAP LASER'!E13+'TANF LASER'!D13+'Energy Assistance LASER'!E13+'FC &amp; Adoptions LASER'!D13+'CSA LASER'!D13+'ChildCare LASER'!I13+'Other Benefits LASER'!D13</f>
        <v>3073226.9310693596</v>
      </c>
      <c r="E14" s="1408">
        <f>'Medicaid &amp; FAMIS - LASER'!F13+'TANF LASER'!F13+'Energy Assistance LASER'!G13+'FC &amp; Adoptions LASER'!E13+'CSA LASER'!E13+'ChildCare LASER'!J13+'Other Benefits LASER'!E13</f>
        <v>2572399.4852002524</v>
      </c>
      <c r="F14" s="1408">
        <f>'Medicaid &amp; FAMIS - LASER'!G13+'TANF LASER'!G13+'Energy Assistance LASER'!H13+'FC &amp; Adoptions LASER'!F13+'CSA LASER'!F13+'Other Benefits LASER'!F13</f>
        <v>74360.705199999997</v>
      </c>
      <c r="G14" s="1408">
        <f>'TANF LASER'!H13+'Energy Assistance LASER'!I13+'FC &amp; Adoptions LASER'!G13+'CSA LASER'!G13+'Other Benefits LASER'!G13</f>
        <v>0.01</v>
      </c>
      <c r="H14" s="1408">
        <f t="shared" si="2"/>
        <v>5719987.1314696111</v>
      </c>
      <c r="I14" s="1408">
        <f t="shared" si="1"/>
        <v>74360.715199999991</v>
      </c>
    </row>
    <row r="15" spans="1:9" x14ac:dyDescent="0.25">
      <c r="A15" s="737" t="s">
        <v>29</v>
      </c>
      <c r="B15" s="589" t="s">
        <v>924</v>
      </c>
      <c r="C15" s="738" t="s">
        <v>265</v>
      </c>
      <c r="D15" s="1408">
        <f>'Medicaid &amp; FAMIS - LASER'!E14+'SNAP LASER'!E14+'TANF LASER'!D14+'Energy Assistance LASER'!E14+'FC &amp; Adoptions LASER'!D14+'CSA LASER'!D14+'ChildCare LASER'!I14+'Other Benefits LASER'!D14</f>
        <v>47235682.70929537</v>
      </c>
      <c r="E15" s="1408">
        <f>'Medicaid &amp; FAMIS - LASER'!F14+'TANF LASER'!F14+'Energy Assistance LASER'!G14+'FC &amp; Adoptions LASER'!E14+'CSA LASER'!E14+'ChildCare LASER'!J14+'Other Benefits LASER'!E14</f>
        <v>39115603.934035063</v>
      </c>
      <c r="F15" s="1408">
        <f>'Medicaid &amp; FAMIS - LASER'!G14+'TANF LASER'!G14+'Energy Assistance LASER'!H14+'FC &amp; Adoptions LASER'!F14+'CSA LASER'!F14+'Other Benefits LASER'!F14</f>
        <v>1057874.7525936</v>
      </c>
      <c r="G15" s="1408">
        <f>'TANF LASER'!H14+'Energy Assistance LASER'!I14+'FC &amp; Adoptions LASER'!G14+'CSA LASER'!G14+'Other Benefits LASER'!G14</f>
        <v>-15.44</v>
      </c>
      <c r="H15" s="1408">
        <f t="shared" si="2"/>
        <v>87409145.955924034</v>
      </c>
      <c r="I15" s="1408">
        <f t="shared" si="1"/>
        <v>1057859.3125936</v>
      </c>
    </row>
    <row r="16" spans="1:9" x14ac:dyDescent="0.25">
      <c r="A16" s="737" t="s">
        <v>30</v>
      </c>
      <c r="B16" s="589" t="s">
        <v>31</v>
      </c>
      <c r="C16" s="738" t="s">
        <v>268</v>
      </c>
      <c r="D16" s="1408">
        <f>'Medicaid &amp; FAMIS - LASER'!E15+'SNAP LASER'!E15+'TANF LASER'!D15+'Energy Assistance LASER'!E15+'FC &amp; Adoptions LASER'!D15+'CSA LASER'!D15+'ChildCare LASER'!I15+'Other Benefits LASER'!D15</f>
        <v>4642228.1538305487</v>
      </c>
      <c r="E16" s="1408">
        <f>'Medicaid &amp; FAMIS - LASER'!F15+'TANF LASER'!F15+'Energy Assistance LASER'!G15+'FC &amp; Adoptions LASER'!E15+'CSA LASER'!E15+'ChildCare LASER'!J15+'Other Benefits LASER'!E15</f>
        <v>4028736.7834957531</v>
      </c>
      <c r="F16" s="1408">
        <f>'Medicaid &amp; FAMIS - LASER'!G15+'TANF LASER'!G15+'Energy Assistance LASER'!H15+'FC &amp; Adoptions LASER'!F15+'CSA LASER'!F15+'Other Benefits LASER'!F15</f>
        <v>102353.17901250001</v>
      </c>
      <c r="G16" s="1408">
        <f>'TANF LASER'!H15+'Energy Assistance LASER'!I15+'FC &amp; Adoptions LASER'!G15+'CSA LASER'!G15+'Other Benefits LASER'!G15</f>
        <v>-0.02</v>
      </c>
      <c r="H16" s="1408">
        <f t="shared" si="2"/>
        <v>8773318.0963388011</v>
      </c>
      <c r="I16" s="1408">
        <f t="shared" si="1"/>
        <v>102353.15901250001</v>
      </c>
    </row>
    <row r="17" spans="1:9" x14ac:dyDescent="0.25">
      <c r="A17" s="737" t="s">
        <v>32</v>
      </c>
      <c r="B17" s="589" t="s">
        <v>33</v>
      </c>
      <c r="C17" s="738" t="s">
        <v>265</v>
      </c>
      <c r="D17" s="1408">
        <f>'Medicaid &amp; FAMIS - LASER'!E16+'SNAP LASER'!E16+'TANF LASER'!D16+'Energy Assistance LASER'!E16+'FC &amp; Adoptions LASER'!D16+'CSA LASER'!D16+'ChildCare LASER'!I16+'Other Benefits LASER'!D16</f>
        <v>16919463.256912727</v>
      </c>
      <c r="E17" s="1408">
        <f>'Medicaid &amp; FAMIS - LASER'!F16+'TANF LASER'!F16+'Energy Assistance LASER'!G16+'FC &amp; Adoptions LASER'!E16+'CSA LASER'!E16+'ChildCare LASER'!J16+'Other Benefits LASER'!E16</f>
        <v>14674034.542561954</v>
      </c>
      <c r="F17" s="1408">
        <f>'Medicaid &amp; FAMIS - LASER'!G16+'TANF LASER'!G16+'Energy Assistance LASER'!H16+'FC &amp; Adoptions LASER'!F16+'CSA LASER'!F16+'Other Benefits LASER'!F16</f>
        <v>559437.27508375002</v>
      </c>
      <c r="G17" s="1408">
        <f>'TANF LASER'!H16+'Energy Assistance LASER'!I16+'FC &amp; Adoptions LASER'!G16+'CSA LASER'!G16+'Other Benefits LASER'!G16</f>
        <v>-0.01</v>
      </c>
      <c r="H17" s="1408">
        <f t="shared" si="2"/>
        <v>32152935.064558428</v>
      </c>
      <c r="I17" s="1408">
        <f t="shared" si="1"/>
        <v>559437.26508375001</v>
      </c>
    </row>
    <row r="18" spans="1:9" x14ac:dyDescent="0.25">
      <c r="A18" s="737" t="s">
        <v>36</v>
      </c>
      <c r="B18" s="589" t="s">
        <v>37</v>
      </c>
      <c r="C18" s="738" t="s">
        <v>264</v>
      </c>
      <c r="D18" s="1408">
        <f>'Medicaid &amp; FAMIS - LASER'!E17+'SNAP LASER'!E17+'TANF LASER'!D17+'Energy Assistance LASER'!E17+'FC &amp; Adoptions LASER'!D17+'CSA LASER'!D17+'ChildCare LASER'!I17+'Other Benefits LASER'!D17</f>
        <v>23022780.821104396</v>
      </c>
      <c r="E18" s="1408">
        <f>'Medicaid &amp; FAMIS - LASER'!F17+'TANF LASER'!F17+'Energy Assistance LASER'!G17+'FC &amp; Adoptions LASER'!E17+'CSA LASER'!E17+'ChildCare LASER'!J17+'Other Benefits LASER'!E17</f>
        <v>17794838.951106958</v>
      </c>
      <c r="F18" s="1408">
        <f>'Medicaid &amp; FAMIS - LASER'!G17+'TANF LASER'!G17+'Energy Assistance LASER'!H17+'FC &amp; Adoptions LASER'!F17+'CSA LASER'!F17+'Other Benefits LASER'!F17</f>
        <v>257845.08867</v>
      </c>
      <c r="G18" s="1408">
        <f>'TANF LASER'!H17+'Energy Assistance LASER'!I17+'FC &amp; Adoptions LASER'!G17+'CSA LASER'!G17+'Other Benefits LASER'!G17</f>
        <v>0</v>
      </c>
      <c r="H18" s="1408">
        <f t="shared" si="2"/>
        <v>41075464.860881358</v>
      </c>
      <c r="I18" s="1408">
        <f t="shared" si="1"/>
        <v>257845.08867</v>
      </c>
    </row>
    <row r="19" spans="1:9" x14ac:dyDescent="0.25">
      <c r="A19" s="737" t="s">
        <v>38</v>
      </c>
      <c r="B19" s="589" t="s">
        <v>39</v>
      </c>
      <c r="C19" s="738" t="s">
        <v>268</v>
      </c>
      <c r="D19" s="1408">
        <f>'Medicaid &amp; FAMIS - LASER'!E18+'SNAP LASER'!E18+'TANF LASER'!D18+'Energy Assistance LASER'!E18+'FC &amp; Adoptions LASER'!D18+'CSA LASER'!D18+'ChildCare LASER'!I18+'Other Benefits LASER'!D18</f>
        <v>29040029.866715927</v>
      </c>
      <c r="E19" s="1408">
        <f>'Medicaid &amp; FAMIS - LASER'!F18+'TANF LASER'!F18+'Energy Assistance LASER'!G18+'FC &amp; Adoptions LASER'!E18+'CSA LASER'!E18+'ChildCare LASER'!J18+'Other Benefits LASER'!E18</f>
        <v>22092809.270089116</v>
      </c>
      <c r="F19" s="1408">
        <f>'Medicaid &amp; FAMIS - LASER'!G18+'TANF LASER'!G18+'Energy Assistance LASER'!H18+'FC &amp; Adoptions LASER'!F18+'CSA LASER'!F18+'Other Benefits LASER'!F18</f>
        <v>702072.71895000001</v>
      </c>
      <c r="G19" s="1408">
        <f>'TANF LASER'!H18+'Energy Assistance LASER'!I18+'FC &amp; Adoptions LASER'!G18+'CSA LASER'!G18+'Other Benefits LASER'!G18</f>
        <v>-0.12</v>
      </c>
      <c r="H19" s="1408">
        <f t="shared" si="2"/>
        <v>51834911.735755049</v>
      </c>
      <c r="I19" s="1408">
        <f t="shared" si="1"/>
        <v>702072.59895000001</v>
      </c>
    </row>
    <row r="20" spans="1:9" x14ac:dyDescent="0.25">
      <c r="A20" s="737" t="s">
        <v>40</v>
      </c>
      <c r="B20" s="589" t="s">
        <v>41</v>
      </c>
      <c r="C20" s="738" t="s">
        <v>266</v>
      </c>
      <c r="D20" s="1408">
        <f>'Medicaid &amp; FAMIS - LASER'!E19+'SNAP LASER'!E19+'TANF LASER'!D19+'Energy Assistance LASER'!E19+'FC &amp; Adoptions LASER'!D19+'CSA LASER'!D19+'ChildCare LASER'!I19+'Other Benefits LASER'!D19</f>
        <v>16830063.170821227</v>
      </c>
      <c r="E20" s="1408">
        <f>'Medicaid &amp; FAMIS - LASER'!F19+'TANF LASER'!F19+'Energy Assistance LASER'!G19+'FC &amp; Adoptions LASER'!E19+'CSA LASER'!E19+'ChildCare LASER'!J19+'Other Benefits LASER'!E19</f>
        <v>13533221.54520295</v>
      </c>
      <c r="F20" s="1408">
        <f>'Medicaid &amp; FAMIS - LASER'!G19+'TANF LASER'!G19+'Energy Assistance LASER'!H19+'FC &amp; Adoptions LASER'!F19+'CSA LASER'!F19+'Other Benefits LASER'!F19</f>
        <v>402777.119270625</v>
      </c>
      <c r="G20" s="1408">
        <f>'TANF LASER'!H19+'Energy Assistance LASER'!I19+'FC &amp; Adoptions LASER'!G19+'CSA LASER'!G19+'Other Benefits LASER'!G19</f>
        <v>-0.02</v>
      </c>
      <c r="H20" s="1408">
        <f t="shared" si="2"/>
        <v>30766061.815294802</v>
      </c>
      <c r="I20" s="1408">
        <f t="shared" si="1"/>
        <v>402777.09927062498</v>
      </c>
    </row>
    <row r="21" spans="1:9" x14ac:dyDescent="0.25">
      <c r="A21" s="737" t="s">
        <v>42</v>
      </c>
      <c r="B21" s="589" t="s">
        <v>43</v>
      </c>
      <c r="C21" s="738" t="s">
        <v>265</v>
      </c>
      <c r="D21" s="1408">
        <f>'Medicaid &amp; FAMIS - LASER'!E20+'SNAP LASER'!E20+'TANF LASER'!D20+'Energy Assistance LASER'!E20+'FC &amp; Adoptions LASER'!D20+'CSA LASER'!D20+'ChildCare LASER'!I20+'Other Benefits LASER'!D20</f>
        <v>47610848.242139235</v>
      </c>
      <c r="E21" s="1408">
        <f>'Medicaid &amp; FAMIS - LASER'!F20+'TANF LASER'!F20+'Energy Assistance LASER'!G20+'FC &amp; Adoptions LASER'!E20+'CSA LASER'!E20+'ChildCare LASER'!J20+'Other Benefits LASER'!E20</f>
        <v>38017950.461908087</v>
      </c>
      <c r="F21" s="1408">
        <f>'Medicaid &amp; FAMIS - LASER'!G20+'TANF LASER'!G20+'Energy Assistance LASER'!H20+'FC &amp; Adoptions LASER'!F20+'CSA LASER'!F20+'Other Benefits LASER'!F20</f>
        <v>955483.07412124996</v>
      </c>
      <c r="G21" s="1408">
        <f>'TANF LASER'!H20+'Energy Assistance LASER'!I20+'FC &amp; Adoptions LASER'!G20+'CSA LASER'!G20+'Other Benefits LASER'!G20</f>
        <v>791.24000000000012</v>
      </c>
      <c r="H21" s="1408">
        <f t="shared" si="2"/>
        <v>86585073.018168569</v>
      </c>
      <c r="I21" s="1408">
        <f t="shared" si="1"/>
        <v>956274.31412124995</v>
      </c>
    </row>
    <row r="22" spans="1:9" x14ac:dyDescent="0.25">
      <c r="A22" s="737" t="s">
        <v>44</v>
      </c>
      <c r="B22" s="589" t="s">
        <v>45</v>
      </c>
      <c r="C22" s="738" t="s">
        <v>266</v>
      </c>
      <c r="D22" s="1408">
        <f>'Medicaid &amp; FAMIS - LASER'!E21+'SNAP LASER'!E21+'TANF LASER'!D21+'Energy Assistance LASER'!E21+'FC &amp; Adoptions LASER'!D21+'CSA LASER'!D21+'ChildCare LASER'!I21+'Other Benefits LASER'!D21</f>
        <v>24293255.154218681</v>
      </c>
      <c r="E22" s="1408">
        <f>'Medicaid &amp; FAMIS - LASER'!F21+'TANF LASER'!F21+'Energy Assistance LASER'!G21+'FC &amp; Adoptions LASER'!E21+'CSA LASER'!E21+'ChildCare LASER'!J21+'Other Benefits LASER'!E21</f>
        <v>17609544.398164902</v>
      </c>
      <c r="F22" s="1408">
        <f>'Medicaid &amp; FAMIS - LASER'!G21+'TANF LASER'!G21+'Energy Assistance LASER'!H21+'FC &amp; Adoptions LASER'!F21+'CSA LASER'!F21+'Other Benefits LASER'!F21</f>
        <v>733170.54952949996</v>
      </c>
      <c r="G22" s="1408">
        <f>'TANF LASER'!H21+'Energy Assistance LASER'!I21+'FC &amp; Adoptions LASER'!G21+'CSA LASER'!G21+'Other Benefits LASER'!G21</f>
        <v>1173.01</v>
      </c>
      <c r="H22" s="1408">
        <f t="shared" si="2"/>
        <v>42637143.111913085</v>
      </c>
      <c r="I22" s="1408">
        <f t="shared" si="1"/>
        <v>734343.55952949997</v>
      </c>
    </row>
    <row r="23" spans="1:9" x14ac:dyDescent="0.25">
      <c r="A23" s="737" t="s">
        <v>46</v>
      </c>
      <c r="B23" s="589" t="s">
        <v>47</v>
      </c>
      <c r="C23" s="738" t="s">
        <v>268</v>
      </c>
      <c r="D23" s="1408">
        <f>'Medicaid &amp; FAMIS - LASER'!E22+'SNAP LASER'!E22+'TANF LASER'!D22+'Energy Assistance LASER'!E22+'FC &amp; Adoptions LASER'!D22+'CSA LASER'!D22+'ChildCare LASER'!I22+'Other Benefits LASER'!D22</f>
        <v>30083068.04548353</v>
      </c>
      <c r="E23" s="1408">
        <f>'Medicaid &amp; FAMIS - LASER'!F22+'TANF LASER'!F22+'Energy Assistance LASER'!G22+'FC &amp; Adoptions LASER'!E22+'CSA LASER'!E22+'ChildCare LASER'!J22+'Other Benefits LASER'!E22</f>
        <v>23704564.463607717</v>
      </c>
      <c r="F23" s="1408">
        <f>'Medicaid &amp; FAMIS - LASER'!G22+'TANF LASER'!G22+'Energy Assistance LASER'!H22+'FC &amp; Adoptions LASER'!F22+'CSA LASER'!F22+'Other Benefits LASER'!F22</f>
        <v>644542.13515125006</v>
      </c>
      <c r="G23" s="1408">
        <f>'TANF LASER'!H22+'Energy Assistance LASER'!I22+'FC &amp; Adoptions LASER'!G22+'CSA LASER'!G22+'Other Benefits LASER'!G22</f>
        <v>0.01</v>
      </c>
      <c r="H23" s="1408">
        <f t="shared" si="2"/>
        <v>54432174.654242493</v>
      </c>
      <c r="I23" s="1408">
        <f t="shared" si="1"/>
        <v>644542.14515125006</v>
      </c>
    </row>
    <row r="24" spans="1:9" x14ac:dyDescent="0.25">
      <c r="A24" s="737" t="s">
        <v>48</v>
      </c>
      <c r="B24" s="589" t="s">
        <v>269</v>
      </c>
      <c r="C24" s="738" t="s">
        <v>266</v>
      </c>
      <c r="D24" s="1408">
        <f>'Medicaid &amp; FAMIS - LASER'!E23+'SNAP LASER'!E23+'TANF LASER'!D23+'Energy Assistance LASER'!E23+'FC &amp; Adoptions LASER'!D23+'CSA LASER'!D23+'ChildCare LASER'!I23+'Other Benefits LASER'!D23</f>
        <v>6077812.2814585399</v>
      </c>
      <c r="E24" s="1408">
        <f>'Medicaid &amp; FAMIS - LASER'!F23+'TANF LASER'!F23+'Energy Assistance LASER'!G23+'FC &amp; Adoptions LASER'!E23+'CSA LASER'!E23+'ChildCare LASER'!J23+'Other Benefits LASER'!E23</f>
        <v>4545692.2809543163</v>
      </c>
      <c r="F24" s="1408">
        <f>'Medicaid &amp; FAMIS - LASER'!G23+'TANF LASER'!G23+'Energy Assistance LASER'!H23+'FC &amp; Adoptions LASER'!F23+'CSA LASER'!F23+'Other Benefits LASER'!F23</f>
        <v>78498.94</v>
      </c>
      <c r="G24" s="1408">
        <f>'TANF LASER'!H23+'Energy Assistance LASER'!I23+'FC &amp; Adoptions LASER'!G23+'CSA LASER'!G23+'Other Benefits LASER'!G23</f>
        <v>0</v>
      </c>
      <c r="H24" s="1408">
        <f t="shared" si="2"/>
        <v>10702003.502412856</v>
      </c>
      <c r="I24" s="1408">
        <f t="shared" si="1"/>
        <v>78498.94</v>
      </c>
    </row>
    <row r="25" spans="1:9" x14ac:dyDescent="0.25">
      <c r="A25" s="737" t="s">
        <v>50</v>
      </c>
      <c r="B25" s="589" t="s">
        <v>51</v>
      </c>
      <c r="C25" s="738" t="s">
        <v>265</v>
      </c>
      <c r="D25" s="1408">
        <f>'Medicaid &amp; FAMIS - LASER'!E24+'SNAP LASER'!E24+'TANF LASER'!D24+'Energy Assistance LASER'!E24+'FC &amp; Adoptions LASER'!D24+'CSA LASER'!D24+'ChildCare LASER'!I24+'Other Benefits LASER'!D24</f>
        <v>12911866.857169928</v>
      </c>
      <c r="E25" s="1408">
        <f>'Medicaid &amp; FAMIS - LASER'!F24+'TANF LASER'!F24+'Energy Assistance LASER'!G24+'FC &amp; Adoptions LASER'!E24+'CSA LASER'!E24+'ChildCare LASER'!J24+'Other Benefits LASER'!E24</f>
        <v>10189153.982138012</v>
      </c>
      <c r="F25" s="1408">
        <f>'Medicaid &amp; FAMIS - LASER'!G24+'TANF LASER'!G24+'Energy Assistance LASER'!H24+'FC &amp; Adoptions LASER'!F24+'CSA LASER'!F24+'Other Benefits LASER'!F24</f>
        <v>282762.42986500001</v>
      </c>
      <c r="G25" s="1408">
        <f>'TANF LASER'!H24+'Energy Assistance LASER'!I24+'FC &amp; Adoptions LASER'!G24+'CSA LASER'!G24+'Other Benefits LASER'!G24</f>
        <v>-0.13999999999999999</v>
      </c>
      <c r="H25" s="1408">
        <f t="shared" si="2"/>
        <v>23383783.12917294</v>
      </c>
      <c r="I25" s="1408">
        <f t="shared" si="1"/>
        <v>282762.289865</v>
      </c>
    </row>
    <row r="26" spans="1:9" x14ac:dyDescent="0.25">
      <c r="A26" s="737" t="s">
        <v>56</v>
      </c>
      <c r="B26" s="589" t="s">
        <v>295</v>
      </c>
      <c r="C26" s="738" t="s">
        <v>266</v>
      </c>
      <c r="D26" s="1408">
        <f>'Medicaid &amp; FAMIS - LASER'!E25+'SNAP LASER'!E25+'TANF LASER'!D25+'Energy Assistance LASER'!E25+'FC &amp; Adoptions LASER'!D25+'CSA LASER'!D25+'ChildCare LASER'!I25+'Other Benefits LASER'!D25</f>
        <v>209041496.91671804</v>
      </c>
      <c r="E26" s="1408">
        <f>'Medicaid &amp; FAMIS - LASER'!F25+'TANF LASER'!F25+'Energy Assistance LASER'!G25+'FC &amp; Adoptions LASER'!E25+'CSA LASER'!E25+'ChildCare LASER'!J25+'Other Benefits LASER'!E25</f>
        <v>162357196.18501574</v>
      </c>
      <c r="F26" s="1408">
        <f>'Medicaid &amp; FAMIS - LASER'!G25+'TANF LASER'!G25+'Energy Assistance LASER'!H25+'FC &amp; Adoptions LASER'!F25+'CSA LASER'!F25+'Other Benefits LASER'!F25</f>
        <v>5136803.6435171254</v>
      </c>
      <c r="G26" s="1408">
        <f>'TANF LASER'!H25+'Energy Assistance LASER'!I25+'FC &amp; Adoptions LASER'!G25+'CSA LASER'!G25+'Other Benefits LASER'!G25</f>
        <v>-382.64999999999992</v>
      </c>
      <c r="H26" s="1408">
        <f t="shared" si="2"/>
        <v>376535114.09525096</v>
      </c>
      <c r="I26" s="1408">
        <f t="shared" si="1"/>
        <v>5136420.993517125</v>
      </c>
    </row>
    <row r="27" spans="1:9" x14ac:dyDescent="0.25">
      <c r="A27" s="737" t="s">
        <v>58</v>
      </c>
      <c r="B27" s="589" t="s">
        <v>59</v>
      </c>
      <c r="C27" s="738" t="s">
        <v>267</v>
      </c>
      <c r="D27" s="1408">
        <f>'Medicaid &amp; FAMIS - LASER'!E26+'SNAP LASER'!E26+'TANF LASER'!D26+'Energy Assistance LASER'!E26+'FC &amp; Adoptions LASER'!D26+'CSA LASER'!D26+'ChildCare LASER'!I26+'Other Benefits LASER'!D26</f>
        <v>6084007.4757751934</v>
      </c>
      <c r="E27" s="1408">
        <f>'Medicaid &amp; FAMIS - LASER'!F26+'TANF LASER'!F26+'Energy Assistance LASER'!G26+'FC &amp; Adoptions LASER'!E26+'CSA LASER'!E26+'ChildCare LASER'!J26+'Other Benefits LASER'!E26</f>
        <v>5333198.8352304585</v>
      </c>
      <c r="F27" s="1408">
        <f>'Medicaid &amp; FAMIS - LASER'!G26+'TANF LASER'!G26+'Energy Assistance LASER'!H26+'FC &amp; Adoptions LASER'!F26+'CSA LASER'!F26+'Other Benefits LASER'!F26</f>
        <v>322846.27698937501</v>
      </c>
      <c r="G27" s="1408">
        <f>'TANF LASER'!H26+'Energy Assistance LASER'!I26+'FC &amp; Adoptions LASER'!G26+'CSA LASER'!G26+'Other Benefits LASER'!G26</f>
        <v>7.86</v>
      </c>
      <c r="H27" s="1408">
        <f t="shared" si="2"/>
        <v>11740060.447995026</v>
      </c>
      <c r="I27" s="1408">
        <f t="shared" si="1"/>
        <v>322854.13698937499</v>
      </c>
    </row>
    <row r="28" spans="1:9" x14ac:dyDescent="0.25">
      <c r="A28" s="737" t="s">
        <v>60</v>
      </c>
      <c r="B28" s="589" t="s">
        <v>61</v>
      </c>
      <c r="C28" s="738" t="s">
        <v>265</v>
      </c>
      <c r="D28" s="1408">
        <f>'Medicaid &amp; FAMIS - LASER'!E27+'SNAP LASER'!E27+'TANF LASER'!D27+'Energy Assistance LASER'!E27+'FC &amp; Adoptions LASER'!D27+'CSA LASER'!D27+'ChildCare LASER'!I27+'Other Benefits LASER'!D27</f>
        <v>3676106.1786501701</v>
      </c>
      <c r="E28" s="1408">
        <f>'Medicaid &amp; FAMIS - LASER'!F27+'TANF LASER'!F27+'Energy Assistance LASER'!G27+'FC &amp; Adoptions LASER'!E27+'CSA LASER'!E27+'ChildCare LASER'!J27+'Other Benefits LASER'!E27</f>
        <v>3018137.8605161621</v>
      </c>
      <c r="F28" s="1408">
        <f>'Medicaid &amp; FAMIS - LASER'!G27+'TANF LASER'!G27+'Energy Assistance LASER'!H27+'FC &amp; Adoptions LASER'!F27+'CSA LASER'!F27+'Other Benefits LASER'!F27</f>
        <v>184124.51061875004</v>
      </c>
      <c r="G28" s="1408">
        <f>'TANF LASER'!H27+'Energy Assistance LASER'!I27+'FC &amp; Adoptions LASER'!G27+'CSA LASER'!G27+'Other Benefits LASER'!G27</f>
        <v>-0.08</v>
      </c>
      <c r="H28" s="1408">
        <f t="shared" si="2"/>
        <v>6878368.4697850822</v>
      </c>
      <c r="I28" s="1408">
        <f t="shared" si="1"/>
        <v>184124.43061875005</v>
      </c>
    </row>
    <row r="29" spans="1:9" x14ac:dyDescent="0.25">
      <c r="A29" s="737" t="s">
        <v>62</v>
      </c>
      <c r="B29" s="589" t="s">
        <v>63</v>
      </c>
      <c r="C29" s="738" t="s">
        <v>267</v>
      </c>
      <c r="D29" s="1408">
        <f>'Medicaid &amp; FAMIS - LASER'!E28+'SNAP LASER'!E28+'TANF LASER'!D28+'Energy Assistance LASER'!E28+'FC &amp; Adoptions LASER'!D28+'CSA LASER'!D28+'ChildCare LASER'!I28+'Other Benefits LASER'!D28</f>
        <v>37537609.965631425</v>
      </c>
      <c r="E29" s="1408">
        <f>'Medicaid &amp; FAMIS - LASER'!F28+'TANF LASER'!F28+'Energy Assistance LASER'!G28+'FC &amp; Adoptions LASER'!E28+'CSA LASER'!E28+'ChildCare LASER'!J28+'Other Benefits LASER'!E28</f>
        <v>30106632.938903458</v>
      </c>
      <c r="F29" s="1408">
        <f>'Medicaid &amp; FAMIS - LASER'!G28+'TANF LASER'!G28+'Energy Assistance LASER'!H28+'FC &amp; Adoptions LASER'!F28+'CSA LASER'!F28+'Other Benefits LASER'!F28</f>
        <v>1763732.7264368751</v>
      </c>
      <c r="G29" s="1408">
        <f>'TANF LASER'!H28+'Energy Assistance LASER'!I28+'FC &amp; Adoptions LASER'!G28+'CSA LASER'!G28+'Other Benefits LASER'!G28</f>
        <v>-8.43</v>
      </c>
      <c r="H29" s="1408">
        <f t="shared" si="2"/>
        <v>69407967.200971738</v>
      </c>
      <c r="I29" s="1408">
        <f t="shared" si="1"/>
        <v>1763724.2964368751</v>
      </c>
    </row>
    <row r="30" spans="1:9" x14ac:dyDescent="0.25">
      <c r="A30" s="737" t="s">
        <v>64</v>
      </c>
      <c r="B30" s="589" t="s">
        <v>65</v>
      </c>
      <c r="C30" s="738" t="s">
        <v>266</v>
      </c>
      <c r="D30" s="1408">
        <f>'Medicaid &amp; FAMIS - LASER'!E29+'SNAP LASER'!E29+'TANF LASER'!D29+'Energy Assistance LASER'!E29+'FC &amp; Adoptions LASER'!D29+'CSA LASER'!D29+'ChildCare LASER'!I29+'Other Benefits LASER'!D29</f>
        <v>11655439.611653198</v>
      </c>
      <c r="E30" s="1408">
        <f>'Medicaid &amp; FAMIS - LASER'!F29+'TANF LASER'!F29+'Energy Assistance LASER'!G29+'FC &amp; Adoptions LASER'!E29+'CSA LASER'!E29+'ChildCare LASER'!J29+'Other Benefits LASER'!E29</f>
        <v>9127061.8724092618</v>
      </c>
      <c r="F30" s="1408">
        <f>'Medicaid &amp; FAMIS - LASER'!G29+'TANF LASER'!G29+'Energy Assistance LASER'!H29+'FC &amp; Adoptions LASER'!F29+'CSA LASER'!F29+'Other Benefits LASER'!F29</f>
        <v>339591.40979999996</v>
      </c>
      <c r="G30" s="1408">
        <f>'TANF LASER'!H29+'Energy Assistance LASER'!I29+'FC &amp; Adoptions LASER'!G29+'CSA LASER'!G29+'Other Benefits LASER'!G29</f>
        <v>-0.02</v>
      </c>
      <c r="H30" s="1408">
        <f t="shared" si="2"/>
        <v>21122092.87386246</v>
      </c>
      <c r="I30" s="1408">
        <f t="shared" si="1"/>
        <v>339591.38979999995</v>
      </c>
    </row>
    <row r="31" spans="1:9" x14ac:dyDescent="0.25">
      <c r="A31" s="737" t="s">
        <v>68</v>
      </c>
      <c r="B31" s="589" t="s">
        <v>69</v>
      </c>
      <c r="C31" s="738" t="s">
        <v>268</v>
      </c>
      <c r="D31" s="1408">
        <f>'Medicaid &amp; FAMIS - LASER'!E30+'SNAP LASER'!E30+'TANF LASER'!D30+'Energy Assistance LASER'!E30+'FC &amp; Adoptions LASER'!D30+'CSA LASER'!D30+'ChildCare LASER'!I30+'Other Benefits LASER'!D30</f>
        <v>20100406.357112933</v>
      </c>
      <c r="E31" s="1408">
        <f>'Medicaid &amp; FAMIS - LASER'!F30+'TANF LASER'!F30+'Energy Assistance LASER'!G30+'FC &amp; Adoptions LASER'!E30+'CSA LASER'!E30+'ChildCare LASER'!J30+'Other Benefits LASER'!E30</f>
        <v>15946538.251981091</v>
      </c>
      <c r="F31" s="1408">
        <f>'Medicaid &amp; FAMIS - LASER'!G30+'TANF LASER'!G30+'Energy Assistance LASER'!H30+'FC &amp; Adoptions LASER'!F30+'CSA LASER'!F30+'Other Benefits LASER'!F30</f>
        <v>431151.51142749999</v>
      </c>
      <c r="G31" s="1408">
        <f>'TANF LASER'!H30+'Energy Assistance LASER'!I30+'FC &amp; Adoptions LASER'!G30+'CSA LASER'!G30+'Other Benefits LASER'!G30</f>
        <v>461.65</v>
      </c>
      <c r="H31" s="1408">
        <f t="shared" si="2"/>
        <v>36478557.770521522</v>
      </c>
      <c r="I31" s="1408">
        <f t="shared" si="1"/>
        <v>431613.16142750002</v>
      </c>
    </row>
    <row r="32" spans="1:9" x14ac:dyDescent="0.25">
      <c r="A32" s="737" t="s">
        <v>70</v>
      </c>
      <c r="B32" s="589" t="s">
        <v>71</v>
      </c>
      <c r="C32" s="738" t="s">
        <v>264</v>
      </c>
      <c r="D32" s="1408">
        <f>'Medicaid &amp; FAMIS - LASER'!E31+'SNAP LASER'!E31+'TANF LASER'!D31+'Energy Assistance LASER'!E31+'FC &amp; Adoptions LASER'!D31+'CSA LASER'!D31+'ChildCare LASER'!I31+'Other Benefits LASER'!D31</f>
        <v>26046851.561532579</v>
      </c>
      <c r="E32" s="1408">
        <f>'Medicaid &amp; FAMIS - LASER'!F31+'TANF LASER'!F31+'Energy Assistance LASER'!G31+'FC &amp; Adoptions LASER'!E31+'CSA LASER'!E31+'ChildCare LASER'!J31+'Other Benefits LASER'!E31</f>
        <v>20059003.428216908</v>
      </c>
      <c r="F32" s="1408">
        <f>'Medicaid &amp; FAMIS - LASER'!G31+'TANF LASER'!G31+'Energy Assistance LASER'!H31+'FC &amp; Adoptions LASER'!F31+'CSA LASER'!F31+'Other Benefits LASER'!F31</f>
        <v>784355.20676999993</v>
      </c>
      <c r="G32" s="1408">
        <f>'TANF LASER'!H31+'Energy Assistance LASER'!I31+'FC &amp; Adoptions LASER'!G31+'CSA LASER'!G31+'Other Benefits LASER'!G31</f>
        <v>7498.6</v>
      </c>
      <c r="H32" s="1408">
        <f t="shared" si="2"/>
        <v>46897708.796519496</v>
      </c>
      <c r="I32" s="1408">
        <f t="shared" si="1"/>
        <v>791853.80676999991</v>
      </c>
    </row>
    <row r="33" spans="1:9" x14ac:dyDescent="0.25">
      <c r="A33" s="737" t="s">
        <v>72</v>
      </c>
      <c r="B33" s="589" t="s">
        <v>73</v>
      </c>
      <c r="C33" s="738" t="s">
        <v>266</v>
      </c>
      <c r="D33" s="1408">
        <f>'Medicaid &amp; FAMIS - LASER'!E32+'SNAP LASER'!E32+'TANF LASER'!D32+'Energy Assistance LASER'!E32+'FC &amp; Adoptions LASER'!D32+'CSA LASER'!D32+'ChildCare LASER'!I32+'Other Benefits LASER'!D32</f>
        <v>11758949.301178964</v>
      </c>
      <c r="E33" s="1408">
        <f>'Medicaid &amp; FAMIS - LASER'!F32+'TANF LASER'!F32+'Energy Assistance LASER'!G32+'FC &amp; Adoptions LASER'!E32+'CSA LASER'!E32+'ChildCare LASER'!J32+'Other Benefits LASER'!E32</f>
        <v>8562940.3368394375</v>
      </c>
      <c r="F33" s="1408">
        <f>'Medicaid &amp; FAMIS - LASER'!G32+'TANF LASER'!G32+'Energy Assistance LASER'!H32+'FC &amp; Adoptions LASER'!F32+'CSA LASER'!F32+'Other Benefits LASER'!F32</f>
        <v>378434.680735</v>
      </c>
      <c r="G33" s="1408">
        <f>'TANF LASER'!H32+'Energy Assistance LASER'!I32+'FC &amp; Adoptions LASER'!G32+'CSA LASER'!G32+'Other Benefits LASER'!G32</f>
        <v>91.179999999999993</v>
      </c>
      <c r="H33" s="1408">
        <f t="shared" si="2"/>
        <v>20700415.498753399</v>
      </c>
      <c r="I33" s="1408">
        <f t="shared" si="1"/>
        <v>378525.86073499999</v>
      </c>
    </row>
    <row r="34" spans="1:9" x14ac:dyDescent="0.25">
      <c r="A34" s="737" t="s">
        <v>74</v>
      </c>
      <c r="B34" s="589" t="s">
        <v>609</v>
      </c>
      <c r="C34" s="738" t="s">
        <v>267</v>
      </c>
      <c r="D34" s="1408">
        <f>'Medicaid &amp; FAMIS - LASER'!E33+'SNAP LASER'!E33+'TANF LASER'!D33+'Energy Assistance LASER'!E33+'FC &amp; Adoptions LASER'!D33+'CSA LASER'!D33+'ChildCare LASER'!I33+'Other Benefits LASER'!D33</f>
        <v>398437419.03651166</v>
      </c>
      <c r="E34" s="1408">
        <f>'Medicaid &amp; FAMIS - LASER'!F33+'TANF LASER'!F33+'Energy Assistance LASER'!G33+'FC &amp; Adoptions LASER'!E33+'CSA LASER'!E33+'ChildCare LASER'!J33+'Other Benefits LASER'!E33</f>
        <v>314957313.19602209</v>
      </c>
      <c r="F34" s="1408">
        <f>'Medicaid &amp; FAMIS - LASER'!G33+'TANF LASER'!G33+'Energy Assistance LASER'!H33+'FC &amp; Adoptions LASER'!F33+'CSA LASER'!F33+'Other Benefits LASER'!F33</f>
        <v>19655177.753200248</v>
      </c>
      <c r="G34" s="1408">
        <f>'TANF LASER'!H33+'Energy Assistance LASER'!I33+'FC &amp; Adoptions LASER'!G33+'CSA LASER'!G33+'Other Benefits LASER'!G33</f>
        <v>21080.99</v>
      </c>
      <c r="H34" s="1408">
        <f t="shared" si="2"/>
        <v>733070990.975734</v>
      </c>
      <c r="I34" s="1408">
        <f t="shared" si="1"/>
        <v>19676258.743200246</v>
      </c>
    </row>
    <row r="35" spans="1:9" x14ac:dyDescent="0.25">
      <c r="A35" s="737" t="s">
        <v>76</v>
      </c>
      <c r="B35" s="589" t="s">
        <v>77</v>
      </c>
      <c r="C35" s="738" t="s">
        <v>267</v>
      </c>
      <c r="D35" s="1408">
        <f>'Medicaid &amp; FAMIS - LASER'!E34+'SNAP LASER'!E34+'TANF LASER'!D34+'Energy Assistance LASER'!E34+'FC &amp; Adoptions LASER'!D34+'CSA LASER'!D34+'ChildCare LASER'!I34+'Other Benefits LASER'!D34</f>
        <v>31318722.221303198</v>
      </c>
      <c r="E35" s="1408">
        <f>'Medicaid &amp; FAMIS - LASER'!F34+'TANF LASER'!F34+'Energy Assistance LASER'!G34+'FC &amp; Adoptions LASER'!E34+'CSA LASER'!E34+'ChildCare LASER'!J34+'Other Benefits LASER'!E34</f>
        <v>27541164.899685007</v>
      </c>
      <c r="F35" s="1408">
        <f>'Medicaid &amp; FAMIS - LASER'!G34+'TANF LASER'!G34+'Energy Assistance LASER'!H34+'FC &amp; Adoptions LASER'!F34+'CSA LASER'!F34+'Other Benefits LASER'!F34</f>
        <v>2575744.8310249997</v>
      </c>
      <c r="G35" s="1408">
        <f>'TANF LASER'!H34+'Energy Assistance LASER'!I34+'FC &amp; Adoptions LASER'!G34+'CSA LASER'!G34+'Other Benefits LASER'!G34</f>
        <v>24831.350000000002</v>
      </c>
      <c r="H35" s="1408">
        <f t="shared" si="2"/>
        <v>61460463.302013204</v>
      </c>
      <c r="I35" s="1408">
        <f t="shared" si="1"/>
        <v>2600576.1810249998</v>
      </c>
    </row>
    <row r="36" spans="1:9" x14ac:dyDescent="0.25">
      <c r="A36" s="737" t="s">
        <v>78</v>
      </c>
      <c r="B36" s="589" t="s">
        <v>79</v>
      </c>
      <c r="C36" s="738" t="s">
        <v>268</v>
      </c>
      <c r="D36" s="1408">
        <f>'Medicaid &amp; FAMIS - LASER'!E35+'SNAP LASER'!E35+'TANF LASER'!D35+'Energy Assistance LASER'!E35+'FC &amp; Adoptions LASER'!D35+'CSA LASER'!D35+'ChildCare LASER'!I35+'Other Benefits LASER'!D35</f>
        <v>13096050.178831685</v>
      </c>
      <c r="E36" s="1408">
        <f>'Medicaid &amp; FAMIS - LASER'!F35+'TANF LASER'!F35+'Energy Assistance LASER'!G35+'FC &amp; Adoptions LASER'!E35+'CSA LASER'!E35+'ChildCare LASER'!J35+'Other Benefits LASER'!E35</f>
        <v>10353219.695769189</v>
      </c>
      <c r="F36" s="1408">
        <f>'Medicaid &amp; FAMIS - LASER'!G35+'TANF LASER'!G35+'Energy Assistance LASER'!H35+'FC &amp; Adoptions LASER'!F35+'CSA LASER'!F35+'Other Benefits LASER'!F35</f>
        <v>116706.78904999999</v>
      </c>
      <c r="G36" s="1408">
        <f>'TANF LASER'!H35+'Energy Assistance LASER'!I35+'FC &amp; Adoptions LASER'!G35+'CSA LASER'!G35+'Other Benefits LASER'!G35</f>
        <v>-0.06</v>
      </c>
      <c r="H36" s="1408">
        <f t="shared" si="2"/>
        <v>23565976.603650875</v>
      </c>
      <c r="I36" s="1408">
        <f t="shared" si="1"/>
        <v>116706.72904999999</v>
      </c>
    </row>
    <row r="37" spans="1:9" x14ac:dyDescent="0.25">
      <c r="A37" s="737" t="s">
        <v>80</v>
      </c>
      <c r="B37" s="589" t="s">
        <v>81</v>
      </c>
      <c r="C37" s="738" t="s">
        <v>266</v>
      </c>
      <c r="D37" s="1408">
        <f>'Medicaid &amp; FAMIS - LASER'!E36+'SNAP LASER'!E36+'TANF LASER'!D36+'Energy Assistance LASER'!E36+'FC &amp; Adoptions LASER'!D36+'CSA LASER'!D36+'ChildCare LASER'!I36+'Other Benefits LASER'!D36</f>
        <v>12229375.53076273</v>
      </c>
      <c r="E37" s="1408">
        <f>'Medicaid &amp; FAMIS - LASER'!F36+'TANF LASER'!F36+'Energy Assistance LASER'!G36+'FC &amp; Adoptions LASER'!E36+'CSA LASER'!E36+'ChildCare LASER'!J36+'Other Benefits LASER'!E36</f>
        <v>10788083.701977663</v>
      </c>
      <c r="F37" s="1408">
        <f>'Medicaid &amp; FAMIS - LASER'!G36+'TANF LASER'!G36+'Energy Assistance LASER'!H36+'FC &amp; Adoptions LASER'!F36+'CSA LASER'!F36+'Other Benefits LASER'!F36</f>
        <v>1069473.293641875</v>
      </c>
      <c r="G37" s="1408">
        <f>'TANF LASER'!H36+'Energy Assistance LASER'!I36+'FC &amp; Adoptions LASER'!G36+'CSA LASER'!G36+'Other Benefits LASER'!G36</f>
        <v>-0.02</v>
      </c>
      <c r="H37" s="1408">
        <f t="shared" si="2"/>
        <v>24086932.506382272</v>
      </c>
      <c r="I37" s="1408">
        <f t="shared" si="1"/>
        <v>1069473.273641875</v>
      </c>
    </row>
    <row r="38" spans="1:9" x14ac:dyDescent="0.25">
      <c r="A38" s="737" t="s">
        <v>84</v>
      </c>
      <c r="B38" s="589" t="s">
        <v>308</v>
      </c>
      <c r="C38" s="738" t="s">
        <v>265</v>
      </c>
      <c r="D38" s="1408">
        <f>'Medicaid &amp; FAMIS - LASER'!E37+'SNAP LASER'!E37+'TANF LASER'!D37+'Energy Assistance LASER'!E37+'FC &amp; Adoptions LASER'!D37+'CSA LASER'!D37+'ChildCare LASER'!I37+'Other Benefits LASER'!D37</f>
        <v>43924946.152647376</v>
      </c>
      <c r="E38" s="1408">
        <f>'Medicaid &amp; FAMIS - LASER'!F37+'TANF LASER'!F37+'Energy Assistance LASER'!G37+'FC &amp; Adoptions LASER'!E37+'CSA LASER'!E37+'ChildCare LASER'!J37+'Other Benefits LASER'!E37</f>
        <v>35732602.469609976</v>
      </c>
      <c r="F38" s="1408">
        <f>'Medicaid &amp; FAMIS - LASER'!G37+'TANF LASER'!G37+'Energy Assistance LASER'!H37+'FC &amp; Adoptions LASER'!F37+'CSA LASER'!F37+'Other Benefits LASER'!F37</f>
        <v>1557438.0304187499</v>
      </c>
      <c r="G38" s="1408">
        <f>'TANF LASER'!H37+'Energy Assistance LASER'!I37+'FC &amp; Adoptions LASER'!G37+'CSA LASER'!G37+'Other Benefits LASER'!G37</f>
        <v>-0.15</v>
      </c>
      <c r="H38" s="1408">
        <f t="shared" si="2"/>
        <v>81214986.5026761</v>
      </c>
      <c r="I38" s="1408">
        <f t="shared" si="1"/>
        <v>1557437.88041875</v>
      </c>
    </row>
    <row r="39" spans="1:9" x14ac:dyDescent="0.25">
      <c r="A39" s="737" t="s">
        <v>86</v>
      </c>
      <c r="B39" s="589" t="s">
        <v>87</v>
      </c>
      <c r="C39" s="738" t="s">
        <v>267</v>
      </c>
      <c r="D39" s="1408">
        <f>'Medicaid &amp; FAMIS - LASER'!E38+'SNAP LASER'!E38+'TANF LASER'!D38+'Energy Assistance LASER'!E38+'FC &amp; Adoptions LASER'!D38+'CSA LASER'!D38+'ChildCare LASER'!I38+'Other Benefits LASER'!D38</f>
        <v>40059551.870992228</v>
      </c>
      <c r="E39" s="1408">
        <f>'Medicaid &amp; FAMIS - LASER'!F38+'TANF LASER'!F38+'Energy Assistance LASER'!G38+'FC &amp; Adoptions LASER'!E38+'CSA LASER'!E38+'ChildCare LASER'!J38+'Other Benefits LASER'!E38</f>
        <v>31304569.122559782</v>
      </c>
      <c r="F39" s="1408">
        <f>'Medicaid &amp; FAMIS - LASER'!G38+'TANF LASER'!G38+'Energy Assistance LASER'!H38+'FC &amp; Adoptions LASER'!F38+'CSA LASER'!F38+'Other Benefits LASER'!F38</f>
        <v>1420073.4729195</v>
      </c>
      <c r="G39" s="1408">
        <f>'TANF LASER'!H38+'Energy Assistance LASER'!I38+'FC &amp; Adoptions LASER'!G38+'CSA LASER'!G38+'Other Benefits LASER'!G38</f>
        <v>4197.4000000000005</v>
      </c>
      <c r="H39" s="1408">
        <f t="shared" si="2"/>
        <v>72788391.866471514</v>
      </c>
      <c r="I39" s="1408">
        <f t="shared" si="1"/>
        <v>1424270.8729194999</v>
      </c>
    </row>
    <row r="40" spans="1:9" x14ac:dyDescent="0.25">
      <c r="A40" s="737" t="s">
        <v>92</v>
      </c>
      <c r="B40" s="589" t="s">
        <v>93</v>
      </c>
      <c r="C40" s="738" t="s">
        <v>268</v>
      </c>
      <c r="D40" s="1408">
        <f>'Medicaid &amp; FAMIS - LASER'!E39+'SNAP LASER'!E39+'TANF LASER'!D39+'Energy Assistance LASER'!E39+'FC &amp; Adoptions LASER'!D39+'CSA LASER'!D39+'ChildCare LASER'!I39+'Other Benefits LASER'!D39</f>
        <v>16681109.499835972</v>
      </c>
      <c r="E40" s="1408">
        <f>'Medicaid &amp; FAMIS - LASER'!F39+'TANF LASER'!F39+'Energy Assistance LASER'!G39+'FC &amp; Adoptions LASER'!E39+'CSA LASER'!E39+'ChildCare LASER'!J39+'Other Benefits LASER'!E39</f>
        <v>14118749.586456914</v>
      </c>
      <c r="F40" s="1408">
        <f>'Medicaid &amp; FAMIS - LASER'!G39+'TANF LASER'!G39+'Energy Assistance LASER'!H39+'FC &amp; Adoptions LASER'!F39+'CSA LASER'!F39+'Other Benefits LASER'!F39</f>
        <v>519878.15111874999</v>
      </c>
      <c r="G40" s="1408">
        <f>'TANF LASER'!H39+'Energy Assistance LASER'!I39+'FC &amp; Adoptions LASER'!G39+'CSA LASER'!G39+'Other Benefits LASER'!G39</f>
        <v>-0.21000000000000002</v>
      </c>
      <c r="H40" s="1408">
        <f t="shared" si="2"/>
        <v>31319737.027411636</v>
      </c>
      <c r="I40" s="1408">
        <f t="shared" si="1"/>
        <v>519877.94111874996</v>
      </c>
    </row>
    <row r="41" spans="1:9" x14ac:dyDescent="0.25">
      <c r="A41" s="737" t="s">
        <v>94</v>
      </c>
      <c r="B41" s="589" t="s">
        <v>95</v>
      </c>
      <c r="C41" s="738" t="s">
        <v>264</v>
      </c>
      <c r="D41" s="1408">
        <f>'Medicaid &amp; FAMIS - LASER'!E40+'SNAP LASER'!E40+'TANF LASER'!D40+'Energy Assistance LASER'!E40+'FC &amp; Adoptions LASER'!D40+'CSA LASER'!D40+'ChildCare LASER'!I40+'Other Benefits LASER'!D40</f>
        <v>24271836.960108411</v>
      </c>
      <c r="E41" s="1408">
        <f>'Medicaid &amp; FAMIS - LASER'!F40+'TANF LASER'!F40+'Energy Assistance LASER'!G40+'FC &amp; Adoptions LASER'!E40+'CSA LASER'!E40+'ChildCare LASER'!J40+'Other Benefits LASER'!E40</f>
        <v>18890534.031916086</v>
      </c>
      <c r="F41" s="1408">
        <f>'Medicaid &amp; FAMIS - LASER'!G40+'TANF LASER'!G40+'Energy Assistance LASER'!H40+'FC &amp; Adoptions LASER'!F40+'CSA LASER'!F40+'Other Benefits LASER'!F40</f>
        <v>415775.93608874996</v>
      </c>
      <c r="G41" s="1408">
        <f>'TANF LASER'!H40+'Energy Assistance LASER'!I40+'FC &amp; Adoptions LASER'!G40+'CSA LASER'!G40+'Other Benefits LASER'!G40</f>
        <v>-0.08</v>
      </c>
      <c r="H41" s="1408">
        <f t="shared" si="2"/>
        <v>43578146.848113246</v>
      </c>
      <c r="I41" s="1408">
        <f t="shared" si="1"/>
        <v>415775.85608874995</v>
      </c>
    </row>
    <row r="42" spans="1:9" x14ac:dyDescent="0.25">
      <c r="A42" s="737" t="s">
        <v>96</v>
      </c>
      <c r="B42" s="589" t="s">
        <v>97</v>
      </c>
      <c r="C42" s="738" t="s">
        <v>266</v>
      </c>
      <c r="D42" s="1408">
        <f>'Medicaid &amp; FAMIS - LASER'!E41+'SNAP LASER'!E41+'TANF LASER'!D41+'Energy Assistance LASER'!E41+'FC &amp; Adoptions LASER'!D41+'CSA LASER'!D41+'ChildCare LASER'!I41+'Other Benefits LASER'!D41</f>
        <v>8673274.2409145292</v>
      </c>
      <c r="E42" s="1408">
        <f>'Medicaid &amp; FAMIS - LASER'!F41+'TANF LASER'!F41+'Energy Assistance LASER'!G41+'FC &amp; Adoptions LASER'!E41+'CSA LASER'!E41+'ChildCare LASER'!J41+'Other Benefits LASER'!E41</f>
        <v>7162430.2143953508</v>
      </c>
      <c r="F42" s="1408">
        <f>'Medicaid &amp; FAMIS - LASER'!G41+'TANF LASER'!G41+'Energy Assistance LASER'!H41+'FC &amp; Adoptions LASER'!F41+'CSA LASER'!F41+'Other Benefits LASER'!F41</f>
        <v>804181.40760875004</v>
      </c>
      <c r="G42" s="1408">
        <f>'TANF LASER'!H41+'Energy Assistance LASER'!I41+'FC &amp; Adoptions LASER'!G41+'CSA LASER'!G41+'Other Benefits LASER'!G41</f>
        <v>205723.18</v>
      </c>
      <c r="H42" s="1408">
        <f t="shared" si="2"/>
        <v>16845609.04291863</v>
      </c>
      <c r="I42" s="1408">
        <f t="shared" si="1"/>
        <v>1009904.58760875</v>
      </c>
    </row>
    <row r="43" spans="1:9" x14ac:dyDescent="0.25">
      <c r="A43" s="737" t="s">
        <v>98</v>
      </c>
      <c r="B43" s="589" t="s">
        <v>99</v>
      </c>
      <c r="C43" s="738" t="s">
        <v>268</v>
      </c>
      <c r="D43" s="1408">
        <f>'Medicaid &amp; FAMIS - LASER'!E42+'SNAP LASER'!E42+'TANF LASER'!D42+'Energy Assistance LASER'!E42+'FC &amp; Adoptions LASER'!D42+'CSA LASER'!D42+'ChildCare LASER'!I42+'Other Benefits LASER'!D42</f>
        <v>16432452.323110417</v>
      </c>
      <c r="E43" s="1408">
        <f>'Medicaid &amp; FAMIS - LASER'!F42+'TANF LASER'!F42+'Energy Assistance LASER'!G42+'FC &amp; Adoptions LASER'!E42+'CSA LASER'!E42+'ChildCare LASER'!J42+'Other Benefits LASER'!E42</f>
        <v>12503355.331145005</v>
      </c>
      <c r="F43" s="1408">
        <f>'Medicaid &amp; FAMIS - LASER'!G42+'TANF LASER'!G42+'Energy Assistance LASER'!H42+'FC &amp; Adoptions LASER'!F42+'CSA LASER'!F42+'Other Benefits LASER'!F42</f>
        <v>158734.26041749999</v>
      </c>
      <c r="G43" s="1408">
        <f>'TANF LASER'!H42+'Energy Assistance LASER'!I42+'FC &amp; Adoptions LASER'!G42+'CSA LASER'!G42+'Other Benefits LASER'!G42</f>
        <v>-0.03</v>
      </c>
      <c r="H43" s="1408">
        <f t="shared" si="2"/>
        <v>29094541.884672917</v>
      </c>
      <c r="I43" s="1408">
        <f t="shared" si="1"/>
        <v>158734.23041749999</v>
      </c>
    </row>
    <row r="44" spans="1:9" x14ac:dyDescent="0.25">
      <c r="A44" s="737" t="s">
        <v>100</v>
      </c>
      <c r="B44" s="589" t="s">
        <v>101</v>
      </c>
      <c r="C44" s="738" t="s">
        <v>267</v>
      </c>
      <c r="D44" s="1408">
        <f>'Medicaid &amp; FAMIS - LASER'!E43+'SNAP LASER'!E43+'TANF LASER'!D43+'Energy Assistance LASER'!E43+'FC &amp; Adoptions LASER'!D43+'CSA LASER'!D43+'ChildCare LASER'!I43+'Other Benefits LASER'!D43</f>
        <v>12700124.402675958</v>
      </c>
      <c r="E44" s="1408">
        <f>'Medicaid &amp; FAMIS - LASER'!F43+'TANF LASER'!F43+'Energy Assistance LASER'!G43+'FC &amp; Adoptions LASER'!E43+'CSA LASER'!E43+'ChildCare LASER'!J43+'Other Benefits LASER'!E43</f>
        <v>10073839.864561697</v>
      </c>
      <c r="F44" s="1408">
        <f>'Medicaid &amp; FAMIS - LASER'!G43+'TANF LASER'!G43+'Energy Assistance LASER'!H43+'FC &amp; Adoptions LASER'!F43+'CSA LASER'!F43+'Other Benefits LASER'!F43</f>
        <v>593727.35347374994</v>
      </c>
      <c r="G44" s="1408">
        <f>'TANF LASER'!H43+'Energy Assistance LASER'!I43+'FC &amp; Adoptions LASER'!G43+'CSA LASER'!G43+'Other Benefits LASER'!G43</f>
        <v>-0.03</v>
      </c>
      <c r="H44" s="1408">
        <f t="shared" si="2"/>
        <v>23367691.590711404</v>
      </c>
      <c r="I44" s="1408">
        <f t="shared" si="1"/>
        <v>593727.32347374992</v>
      </c>
    </row>
    <row r="45" spans="1:9" x14ac:dyDescent="0.25">
      <c r="A45" s="737" t="s">
        <v>102</v>
      </c>
      <c r="B45" s="589" t="s">
        <v>282</v>
      </c>
      <c r="C45" s="738" t="s">
        <v>264</v>
      </c>
      <c r="D45" s="1408">
        <f>'Medicaid &amp; FAMIS - LASER'!E44+'SNAP LASER'!E44+'TANF LASER'!D44+'Energy Assistance LASER'!E44+'FC &amp; Adoptions LASER'!D44+'CSA LASER'!D44+'ChildCare LASER'!I44+'Other Benefits LASER'!D44</f>
        <v>24732621.326800261</v>
      </c>
      <c r="E45" s="1408">
        <f>'Medicaid &amp; FAMIS - LASER'!F44+'TANF LASER'!F44+'Energy Assistance LASER'!G44+'FC &amp; Adoptions LASER'!E44+'CSA LASER'!E44+'ChildCare LASER'!J44+'Other Benefits LASER'!E44</f>
        <v>18451397.217603944</v>
      </c>
      <c r="F45" s="1408">
        <f>'Medicaid &amp; FAMIS - LASER'!G44+'TANF LASER'!G44+'Energy Assistance LASER'!H44+'FC &amp; Adoptions LASER'!F44+'CSA LASER'!F44+'Other Benefits LASER'!F44</f>
        <v>180148.57453499999</v>
      </c>
      <c r="G45" s="1408">
        <f>'TANF LASER'!H44+'Energy Assistance LASER'!I44+'FC &amp; Adoptions LASER'!G44+'CSA LASER'!G44+'Other Benefits LASER'!G44</f>
        <v>-0.03</v>
      </c>
      <c r="H45" s="1408">
        <f t="shared" si="2"/>
        <v>43364167.088939205</v>
      </c>
      <c r="I45" s="1408">
        <f t="shared" si="1"/>
        <v>180148.54453499999</v>
      </c>
    </row>
    <row r="46" spans="1:9" x14ac:dyDescent="0.25">
      <c r="A46" s="737" t="s">
        <v>104</v>
      </c>
      <c r="B46" s="589" t="s">
        <v>602</v>
      </c>
      <c r="C46" s="738" t="s">
        <v>265</v>
      </c>
      <c r="D46" s="1408">
        <f>'Medicaid &amp; FAMIS - LASER'!E45+'SNAP LASER'!E45+'TANF LASER'!D45+'Energy Assistance LASER'!E45+'FC &amp; Adoptions LASER'!D45+'CSA LASER'!D45+'ChildCare LASER'!I45+'Other Benefits LASER'!D45</f>
        <v>43297881.153609559</v>
      </c>
      <c r="E46" s="1408">
        <f>'Medicaid &amp; FAMIS - LASER'!F45+'TANF LASER'!F45+'Energy Assistance LASER'!G45+'FC &amp; Adoptions LASER'!E45+'CSA LASER'!E45+'ChildCare LASER'!J45+'Other Benefits LASER'!E45</f>
        <v>34456940.955321796</v>
      </c>
      <c r="F46" s="1408">
        <f>'Medicaid &amp; FAMIS - LASER'!G45+'TANF LASER'!G45+'Energy Assistance LASER'!H45+'FC &amp; Adoptions LASER'!F45+'CSA LASER'!F45+'Other Benefits LASER'!F45</f>
        <v>802447.571578125</v>
      </c>
      <c r="G46" s="1408">
        <f>'TANF LASER'!H45+'Energy Assistance LASER'!I45+'FC &amp; Adoptions LASER'!G45+'CSA LASER'!G45+'Other Benefits LASER'!G45</f>
        <v>-0.15000000000000002</v>
      </c>
      <c r="H46" s="1408">
        <f t="shared" si="2"/>
        <v>78557269.530509487</v>
      </c>
      <c r="I46" s="1408">
        <f t="shared" si="1"/>
        <v>802447.42157812498</v>
      </c>
    </row>
    <row r="47" spans="1:9" x14ac:dyDescent="0.25">
      <c r="A47" s="737" t="s">
        <v>108</v>
      </c>
      <c r="B47" s="589" t="s">
        <v>109</v>
      </c>
      <c r="C47" s="738" t="s">
        <v>266</v>
      </c>
      <c r="D47" s="1408">
        <f>'Medicaid &amp; FAMIS - LASER'!E46+'SNAP LASER'!E46+'TANF LASER'!D46+'Energy Assistance LASER'!E46+'FC &amp; Adoptions LASER'!D46+'CSA LASER'!D46+'ChildCare LASER'!I46+'Other Benefits LASER'!D46</f>
        <v>41366029.80217237</v>
      </c>
      <c r="E47" s="1408">
        <f>'Medicaid &amp; FAMIS - LASER'!F46+'TANF LASER'!F46+'Energy Assistance LASER'!G46+'FC &amp; Adoptions LASER'!E46+'CSA LASER'!E46+'ChildCare LASER'!J46+'Other Benefits LASER'!E46</f>
        <v>33793988.413532808</v>
      </c>
      <c r="F47" s="1408">
        <f>'Medicaid &amp; FAMIS - LASER'!G46+'TANF LASER'!G46+'Energy Assistance LASER'!H46+'FC &amp; Adoptions LASER'!F46+'CSA LASER'!F46+'Other Benefits LASER'!F46</f>
        <v>1863668.3503287497</v>
      </c>
      <c r="G47" s="1408">
        <f>'TANF LASER'!H46+'Energy Assistance LASER'!I46+'FC &amp; Adoptions LASER'!G46+'CSA LASER'!G46+'Other Benefits LASER'!G46</f>
        <v>-432.26</v>
      </c>
      <c r="H47" s="1408">
        <f t="shared" si="2"/>
        <v>77023254.306033924</v>
      </c>
      <c r="I47" s="1408">
        <f t="shared" si="1"/>
        <v>1863236.0903287497</v>
      </c>
    </row>
    <row r="48" spans="1:9" x14ac:dyDescent="0.25">
      <c r="A48" s="737" t="s">
        <v>110</v>
      </c>
      <c r="B48" s="589" t="s">
        <v>111</v>
      </c>
      <c r="C48" s="738" t="s">
        <v>266</v>
      </c>
      <c r="D48" s="1408">
        <f>'Medicaid &amp; FAMIS - LASER'!E47+'SNAP LASER'!E47+'TANF LASER'!D47+'Energy Assistance LASER'!E47+'FC &amp; Adoptions LASER'!D47+'CSA LASER'!D47+'ChildCare LASER'!I47+'Other Benefits LASER'!D47</f>
        <v>212058003.94710439</v>
      </c>
      <c r="E48" s="1408">
        <f>'Medicaid &amp; FAMIS - LASER'!F47+'TANF LASER'!F47+'Energy Assistance LASER'!G47+'FC &amp; Adoptions LASER'!E47+'CSA LASER'!E47+'ChildCare LASER'!J47+'Other Benefits LASER'!E47</f>
        <v>160474285.16395557</v>
      </c>
      <c r="F48" s="1408">
        <f>'Medicaid &amp; FAMIS - LASER'!G47+'TANF LASER'!G47+'Energy Assistance LASER'!H47+'FC &amp; Adoptions LASER'!F47+'CSA LASER'!F47+'Other Benefits LASER'!F47</f>
        <v>5097938.2815581253</v>
      </c>
      <c r="G48" s="1408">
        <f>'TANF LASER'!H47+'Energy Assistance LASER'!I47+'FC &amp; Adoptions LASER'!G47+'CSA LASER'!G47+'Other Benefits LASER'!G47</f>
        <v>8937.11</v>
      </c>
      <c r="H48" s="1408">
        <f t="shared" si="2"/>
        <v>377639164.50261807</v>
      </c>
      <c r="I48" s="1408">
        <f t="shared" si="1"/>
        <v>5106875.3915581256</v>
      </c>
    </row>
    <row r="49" spans="1:9" x14ac:dyDescent="0.25">
      <c r="A49" s="737" t="s">
        <v>112</v>
      </c>
      <c r="B49" s="589" t="s">
        <v>300</v>
      </c>
      <c r="C49" s="738" t="s">
        <v>265</v>
      </c>
      <c r="D49" s="1408">
        <f>'Medicaid &amp; FAMIS - LASER'!E48+'SNAP LASER'!E48+'TANF LASER'!D48+'Energy Assistance LASER'!E48+'FC &amp; Adoptions LASER'!D48+'CSA LASER'!D48+'ChildCare LASER'!I48+'Other Benefits LASER'!D48</f>
        <v>94273397.920524895</v>
      </c>
      <c r="E49" s="1408">
        <f>'Medicaid &amp; FAMIS - LASER'!F48+'TANF LASER'!F48+'Energy Assistance LASER'!G48+'FC &amp; Adoptions LASER'!E48+'CSA LASER'!E48+'ChildCare LASER'!J48+'Other Benefits LASER'!E48</f>
        <v>69577043.985221311</v>
      </c>
      <c r="F49" s="1408">
        <f>'Medicaid &amp; FAMIS - LASER'!G48+'TANF LASER'!G48+'Energy Assistance LASER'!H48+'FC &amp; Adoptions LASER'!F48+'CSA LASER'!F48+'Other Benefits LASER'!F48</f>
        <v>351853.22133000003</v>
      </c>
      <c r="G49" s="1408">
        <f>'TANF LASER'!H48+'Energy Assistance LASER'!I48+'FC &amp; Adoptions LASER'!G48+'CSA LASER'!G48+'Other Benefits LASER'!G48</f>
        <v>-0.08</v>
      </c>
      <c r="H49" s="1408">
        <f t="shared" si="2"/>
        <v>164202295.0470762</v>
      </c>
      <c r="I49" s="1408">
        <f t="shared" si="1"/>
        <v>351853.14133000001</v>
      </c>
    </row>
    <row r="50" spans="1:9" x14ac:dyDescent="0.25">
      <c r="A50" s="737" t="s">
        <v>114</v>
      </c>
      <c r="B50" s="589" t="s">
        <v>115</v>
      </c>
      <c r="C50" s="738" t="s">
        <v>265</v>
      </c>
      <c r="D50" s="1408">
        <f>'Medicaid &amp; FAMIS - LASER'!E49+'SNAP LASER'!E49+'TANF LASER'!D49+'Energy Assistance LASER'!E49+'FC &amp; Adoptions LASER'!D49+'CSA LASER'!D49+'ChildCare LASER'!I49+'Other Benefits LASER'!D49</f>
        <v>1191768.5224808918</v>
      </c>
      <c r="E50" s="1408">
        <f>'Medicaid &amp; FAMIS - LASER'!F49+'TANF LASER'!F49+'Energy Assistance LASER'!G49+'FC &amp; Adoptions LASER'!E49+'CSA LASER'!E49+'ChildCare LASER'!J49+'Other Benefits LASER'!E49</f>
        <v>993513.87216772954</v>
      </c>
      <c r="F50" s="1408">
        <f>'Medicaid &amp; FAMIS - LASER'!G49+'TANF LASER'!G49+'Energy Assistance LASER'!H49+'FC &amp; Adoptions LASER'!F49+'CSA LASER'!F49+'Other Benefits LASER'!F49</f>
        <v>3656.4604550000004</v>
      </c>
      <c r="G50" s="1408">
        <f>'TANF LASER'!H49+'Energy Assistance LASER'!I49+'FC &amp; Adoptions LASER'!G49+'CSA LASER'!G49+'Other Benefits LASER'!G49</f>
        <v>-0.01</v>
      </c>
      <c r="H50" s="1408">
        <f t="shared" si="2"/>
        <v>2188938.8451036215</v>
      </c>
      <c r="I50" s="1408">
        <f t="shared" si="1"/>
        <v>3656.4504550000001</v>
      </c>
    </row>
    <row r="51" spans="1:9" x14ac:dyDescent="0.25">
      <c r="A51" s="737" t="s">
        <v>118</v>
      </c>
      <c r="B51" s="589" t="s">
        <v>119</v>
      </c>
      <c r="C51" s="738" t="s">
        <v>264</v>
      </c>
      <c r="D51" s="1408">
        <f>'Medicaid &amp; FAMIS - LASER'!E50+'SNAP LASER'!E50+'TANF LASER'!D50+'Energy Assistance LASER'!E50+'FC &amp; Adoptions LASER'!D50+'CSA LASER'!D50+'ChildCare LASER'!I50+'Other Benefits LASER'!D50</f>
        <v>23457272.677077707</v>
      </c>
      <c r="E51" s="1408">
        <f>'Medicaid &amp; FAMIS - LASER'!F50+'TANF LASER'!F50+'Energy Assistance LASER'!G50+'FC &amp; Adoptions LASER'!E50+'CSA LASER'!E50+'ChildCare LASER'!J50+'Other Benefits LASER'!E50</f>
        <v>17617363.441033997</v>
      </c>
      <c r="F51" s="1408">
        <f>'Medicaid &amp; FAMIS - LASER'!G50+'TANF LASER'!G50+'Energy Assistance LASER'!H50+'FC &amp; Adoptions LASER'!F50+'CSA LASER'!F50+'Other Benefits LASER'!F50</f>
        <v>112140.51371875001</v>
      </c>
      <c r="G51" s="1408">
        <f>'TANF LASER'!H50+'Energy Assistance LASER'!I50+'FC &amp; Adoptions LASER'!G50+'CSA LASER'!G50+'Other Benefits LASER'!G50</f>
        <v>792.95</v>
      </c>
      <c r="H51" s="1408">
        <f t="shared" si="2"/>
        <v>41187569.581830449</v>
      </c>
      <c r="I51" s="1408">
        <f t="shared" si="1"/>
        <v>112933.46371875</v>
      </c>
    </row>
    <row r="52" spans="1:9" x14ac:dyDescent="0.25">
      <c r="A52" s="737" t="s">
        <v>120</v>
      </c>
      <c r="B52" s="589" t="s">
        <v>121</v>
      </c>
      <c r="C52" s="738" t="s">
        <v>264</v>
      </c>
      <c r="D52" s="1408">
        <f>'Medicaid &amp; FAMIS - LASER'!E51+'SNAP LASER'!E51+'TANF LASER'!D51+'Energy Assistance LASER'!E51+'FC &amp; Adoptions LASER'!D51+'CSA LASER'!D51+'ChildCare LASER'!I51+'Other Benefits LASER'!D51</f>
        <v>24045684.702010419</v>
      </c>
      <c r="E52" s="1408">
        <f>'Medicaid &amp; FAMIS - LASER'!F51+'TANF LASER'!F51+'Energy Assistance LASER'!G51+'FC &amp; Adoptions LASER'!E51+'CSA LASER'!E51+'ChildCare LASER'!J51+'Other Benefits LASER'!E51</f>
        <v>16622774.503621424</v>
      </c>
      <c r="F52" s="1408">
        <f>'Medicaid &amp; FAMIS - LASER'!G51+'TANF LASER'!G51+'Energy Assistance LASER'!H51+'FC &amp; Adoptions LASER'!F51+'CSA LASER'!F51+'Other Benefits LASER'!F51</f>
        <v>454600.8740675</v>
      </c>
      <c r="G52" s="1408">
        <f>'TANF LASER'!H51+'Energy Assistance LASER'!I51+'FC &amp; Adoptions LASER'!G51+'CSA LASER'!G51+'Other Benefits LASER'!G51</f>
        <v>763.88</v>
      </c>
      <c r="H52" s="1408">
        <f t="shared" si="2"/>
        <v>41123823.959699348</v>
      </c>
      <c r="I52" s="1408">
        <f t="shared" si="1"/>
        <v>455364.75406750001</v>
      </c>
    </row>
    <row r="53" spans="1:9" x14ac:dyDescent="0.25">
      <c r="A53" s="737" t="s">
        <v>122</v>
      </c>
      <c r="B53" s="589" t="s">
        <v>271</v>
      </c>
      <c r="C53" s="738" t="s">
        <v>266</v>
      </c>
      <c r="D53" s="1408">
        <f>'Medicaid &amp; FAMIS - LASER'!E52+'SNAP LASER'!E52+'TANF LASER'!D52+'Energy Assistance LASER'!E52+'FC &amp; Adoptions LASER'!D52+'CSA LASER'!D52+'ChildCare LASER'!I52+'Other Benefits LASER'!D52</f>
        <v>6301067.1347996285</v>
      </c>
      <c r="E53" s="1408">
        <f>'Medicaid &amp; FAMIS - LASER'!F52+'TANF LASER'!F52+'Energy Assistance LASER'!G52+'FC &amp; Adoptions LASER'!E52+'CSA LASER'!E52+'ChildCare LASER'!J52+'Other Benefits LASER'!E52</f>
        <v>4859040.9416619902</v>
      </c>
      <c r="F53" s="1408">
        <f>'Medicaid &amp; FAMIS - LASER'!G52+'TANF LASER'!G52+'Energy Assistance LASER'!H52+'FC &amp; Adoptions LASER'!F52+'CSA LASER'!F52+'Other Benefits LASER'!F52</f>
        <v>243311.56755000001</v>
      </c>
      <c r="G53" s="1408">
        <f>'TANF LASER'!H52+'Energy Assistance LASER'!I52+'FC &amp; Adoptions LASER'!G52+'CSA LASER'!G52+'Other Benefits LASER'!G52</f>
        <v>374.68999999999994</v>
      </c>
      <c r="H53" s="1408">
        <f t="shared" si="2"/>
        <v>11403794.334011618</v>
      </c>
      <c r="I53" s="1408">
        <f t="shared" si="1"/>
        <v>243686.25755000001</v>
      </c>
    </row>
    <row r="54" spans="1:9" x14ac:dyDescent="0.25">
      <c r="A54" s="737" t="s">
        <v>124</v>
      </c>
      <c r="B54" s="589" t="s">
        <v>125</v>
      </c>
      <c r="C54" s="738" t="s">
        <v>267</v>
      </c>
      <c r="D54" s="1408">
        <f>'Medicaid &amp; FAMIS - LASER'!E53+'SNAP LASER'!E53+'TANF LASER'!D53+'Energy Assistance LASER'!E53+'FC &amp; Adoptions LASER'!D53+'CSA LASER'!D53+'ChildCare LASER'!I53+'Other Benefits LASER'!D53</f>
        <v>13823184.585961005</v>
      </c>
      <c r="E54" s="1408">
        <f>'Medicaid &amp; FAMIS - LASER'!F53+'TANF LASER'!F53+'Energy Assistance LASER'!G53+'FC &amp; Adoptions LASER'!E53+'CSA LASER'!E53+'ChildCare LASER'!J53+'Other Benefits LASER'!E53</f>
        <v>10144981.092516294</v>
      </c>
      <c r="F54" s="1408">
        <f>'Medicaid &amp; FAMIS - LASER'!G53+'TANF LASER'!G53+'Energy Assistance LASER'!H53+'FC &amp; Adoptions LASER'!F53+'CSA LASER'!F53+'Other Benefits LASER'!F53</f>
        <v>665618.04659187491</v>
      </c>
      <c r="G54" s="1408">
        <f>'TANF LASER'!H53+'Energy Assistance LASER'!I53+'FC &amp; Adoptions LASER'!G53+'CSA LASER'!G53+'Other Benefits LASER'!G53</f>
        <v>-0.05</v>
      </c>
      <c r="H54" s="1408">
        <f t="shared" si="2"/>
        <v>24633783.675069172</v>
      </c>
      <c r="I54" s="1408">
        <f t="shared" si="1"/>
        <v>665617.99659187486</v>
      </c>
    </row>
    <row r="55" spans="1:9" x14ac:dyDescent="0.25">
      <c r="A55" s="737" t="s">
        <v>126</v>
      </c>
      <c r="B55" s="589" t="s">
        <v>127</v>
      </c>
      <c r="C55" s="738" t="s">
        <v>266</v>
      </c>
      <c r="D55" s="1408">
        <f>'Medicaid &amp; FAMIS - LASER'!E54+'SNAP LASER'!E54+'TANF LASER'!D54+'Energy Assistance LASER'!E54+'FC &amp; Adoptions LASER'!D54+'CSA LASER'!D54+'ChildCare LASER'!I54+'Other Benefits LASER'!D54</f>
        <v>10720173.254896823</v>
      </c>
      <c r="E55" s="1408">
        <f>'Medicaid &amp; FAMIS - LASER'!F54+'TANF LASER'!F54+'Energy Assistance LASER'!G54+'FC &amp; Adoptions LASER'!E54+'CSA LASER'!E54+'ChildCare LASER'!J54+'Other Benefits LASER'!E54</f>
        <v>8317879.8040002342</v>
      </c>
      <c r="F55" s="1408">
        <f>'Medicaid &amp; FAMIS - LASER'!G54+'TANF LASER'!G54+'Energy Assistance LASER'!H54+'FC &amp; Adoptions LASER'!F54+'CSA LASER'!F54+'Other Benefits LASER'!F54</f>
        <v>333928.81624375004</v>
      </c>
      <c r="G55" s="1408">
        <f>'TANF LASER'!H54+'Energy Assistance LASER'!I54+'FC &amp; Adoptions LASER'!G54+'CSA LASER'!G54+'Other Benefits LASER'!G54</f>
        <v>0</v>
      </c>
      <c r="H55" s="1408">
        <f t="shared" si="2"/>
        <v>19371981.875140805</v>
      </c>
      <c r="I55" s="1408">
        <f t="shared" si="1"/>
        <v>333928.81624375004</v>
      </c>
    </row>
    <row r="56" spans="1:9" x14ac:dyDescent="0.25">
      <c r="A56" s="737" t="s">
        <v>128</v>
      </c>
      <c r="B56" s="589" t="s">
        <v>129</v>
      </c>
      <c r="C56" s="738" t="s">
        <v>266</v>
      </c>
      <c r="D56" s="1408">
        <f>'Medicaid &amp; FAMIS - LASER'!E55+'SNAP LASER'!E55+'TANF LASER'!D55+'Energy Assistance LASER'!E55+'FC &amp; Adoptions LASER'!D55+'CSA LASER'!D55+'ChildCare LASER'!I55+'Other Benefits LASER'!D55</f>
        <v>8675576.6699107606</v>
      </c>
      <c r="E56" s="1408">
        <f>'Medicaid &amp; FAMIS - LASER'!F55+'TANF LASER'!F55+'Energy Assistance LASER'!G55+'FC &amp; Adoptions LASER'!E55+'CSA LASER'!E55+'ChildCare LASER'!J55+'Other Benefits LASER'!E55</f>
        <v>6591948.2359512765</v>
      </c>
      <c r="F56" s="1408">
        <f>'Medicaid &amp; FAMIS - LASER'!G55+'TANF LASER'!G55+'Energy Assistance LASER'!H55+'FC &amp; Adoptions LASER'!F55+'CSA LASER'!F55+'Other Benefits LASER'!F55</f>
        <v>425826.57243750006</v>
      </c>
      <c r="G56" s="1408">
        <f>'TANF LASER'!H55+'Energy Assistance LASER'!I55+'FC &amp; Adoptions LASER'!G55+'CSA LASER'!G55+'Other Benefits LASER'!G55</f>
        <v>0</v>
      </c>
      <c r="H56" s="1408">
        <f t="shared" si="2"/>
        <v>15693351.478299538</v>
      </c>
      <c r="I56" s="1408">
        <f t="shared" si="1"/>
        <v>425826.57243750006</v>
      </c>
    </row>
    <row r="57" spans="1:9" x14ac:dyDescent="0.25">
      <c r="A57" s="737" t="s">
        <v>130</v>
      </c>
      <c r="B57" s="589" t="s">
        <v>131</v>
      </c>
      <c r="C57" s="738" t="s">
        <v>268</v>
      </c>
      <c r="D57" s="1408">
        <f>'Medicaid &amp; FAMIS - LASER'!E56+'SNAP LASER'!E56+'TANF LASER'!D56+'Energy Assistance LASER'!E56+'FC &amp; Adoptions LASER'!D56+'CSA LASER'!D56+'ChildCare LASER'!I56+'Other Benefits LASER'!D56</f>
        <v>36292824.479151838</v>
      </c>
      <c r="E57" s="1408">
        <f>'Medicaid &amp; FAMIS - LASER'!F56+'TANF LASER'!F56+'Energy Assistance LASER'!G56+'FC &amp; Adoptions LASER'!E56+'CSA LASER'!E56+'ChildCare LASER'!J56+'Other Benefits LASER'!E56</f>
        <v>28114108.673280053</v>
      </c>
      <c r="F57" s="1408">
        <f>'Medicaid &amp; FAMIS - LASER'!G56+'TANF LASER'!G56+'Energy Assistance LASER'!H56+'FC &amp; Adoptions LASER'!F56+'CSA LASER'!F56+'Other Benefits LASER'!F56</f>
        <v>419008.07882187504</v>
      </c>
      <c r="G57" s="1408">
        <f>'TANF LASER'!H56+'Energy Assistance LASER'!I56+'FC &amp; Adoptions LASER'!G56+'CSA LASER'!G56+'Other Benefits LASER'!G56</f>
        <v>1674.56</v>
      </c>
      <c r="H57" s="1408">
        <f t="shared" si="2"/>
        <v>64827615.791253768</v>
      </c>
      <c r="I57" s="1408">
        <f t="shared" si="1"/>
        <v>420682.63882187504</v>
      </c>
    </row>
    <row r="58" spans="1:9" x14ac:dyDescent="0.25">
      <c r="A58" s="737" t="s">
        <v>132</v>
      </c>
      <c r="B58" s="589" t="s">
        <v>133</v>
      </c>
      <c r="C58" s="738" t="s">
        <v>267</v>
      </c>
      <c r="D58" s="1408">
        <f>'Medicaid &amp; FAMIS - LASER'!E57+'SNAP LASER'!E57+'TANF LASER'!D57+'Energy Assistance LASER'!E57+'FC &amp; Adoptions LASER'!D57+'CSA LASER'!D57+'ChildCare LASER'!I57+'Other Benefits LASER'!D57</f>
        <v>87209653.226751819</v>
      </c>
      <c r="E58" s="1408">
        <f>'Medicaid &amp; FAMIS - LASER'!F57+'TANF LASER'!F57+'Energy Assistance LASER'!G57+'FC &amp; Adoptions LASER'!E57+'CSA LASER'!E57+'ChildCare LASER'!J57+'Other Benefits LASER'!E57</f>
        <v>69600975.12873742</v>
      </c>
      <c r="F58" s="1408">
        <f>'Medicaid &amp; FAMIS - LASER'!G57+'TANF LASER'!G57+'Energy Assistance LASER'!H57+'FC &amp; Adoptions LASER'!F57+'CSA LASER'!F57+'Other Benefits LASER'!F57</f>
        <v>2985292.9451080002</v>
      </c>
      <c r="G58" s="1408">
        <f>'TANF LASER'!H57+'Energy Assistance LASER'!I57+'FC &amp; Adoptions LASER'!G57+'CSA LASER'!G57+'Other Benefits LASER'!G57</f>
        <v>8730.77</v>
      </c>
      <c r="H58" s="1408">
        <f t="shared" si="2"/>
        <v>159804652.07059726</v>
      </c>
      <c r="I58" s="1408">
        <f t="shared" si="1"/>
        <v>2994023.7151080002</v>
      </c>
    </row>
    <row r="59" spans="1:9" x14ac:dyDescent="0.25">
      <c r="A59" s="737" t="s">
        <v>134</v>
      </c>
      <c r="B59" s="589" t="s">
        <v>135</v>
      </c>
      <c r="C59" s="738" t="s">
        <v>267</v>
      </c>
      <c r="D59" s="1408">
        <f>'Medicaid &amp; FAMIS - LASER'!E58+'SNAP LASER'!E58+'TANF LASER'!D58+'Energy Assistance LASER'!E58+'FC &amp; Adoptions LASER'!D58+'CSA LASER'!D58+'ChildCare LASER'!I58+'Other Benefits LASER'!D58</f>
        <v>26801821.517225362</v>
      </c>
      <c r="E59" s="1408">
        <f>'Medicaid &amp; FAMIS - LASER'!F58+'TANF LASER'!F58+'Energy Assistance LASER'!G58+'FC &amp; Adoptions LASER'!E58+'CSA LASER'!E58+'ChildCare LASER'!J58+'Other Benefits LASER'!E58</f>
        <v>21747674.184001841</v>
      </c>
      <c r="F59" s="1408">
        <f>'Medicaid &amp; FAMIS - LASER'!G58+'TANF LASER'!G58+'Energy Assistance LASER'!H58+'FC &amp; Adoptions LASER'!F58+'CSA LASER'!F58+'Other Benefits LASER'!F58</f>
        <v>1473243.8662362501</v>
      </c>
      <c r="G59" s="1408">
        <f>'TANF LASER'!H58+'Energy Assistance LASER'!I58+'FC &amp; Adoptions LASER'!G58+'CSA LASER'!G58+'Other Benefits LASER'!G58</f>
        <v>-9.0000000000000011E-2</v>
      </c>
      <c r="H59" s="1408">
        <f t="shared" si="2"/>
        <v>50022739.477463447</v>
      </c>
      <c r="I59" s="1408">
        <f t="shared" si="1"/>
        <v>1473243.7762362501</v>
      </c>
    </row>
    <row r="60" spans="1:9" x14ac:dyDescent="0.25">
      <c r="A60" s="737" t="s">
        <v>136</v>
      </c>
      <c r="B60" s="589" t="s">
        <v>137</v>
      </c>
      <c r="C60" s="738" t="s">
        <v>266</v>
      </c>
      <c r="D60" s="1408">
        <f>'Medicaid &amp; FAMIS - LASER'!E59+'SNAP LASER'!E59+'TANF LASER'!D59+'Energy Assistance LASER'!E59+'FC &amp; Adoptions LASER'!D59+'CSA LASER'!D59+'ChildCare LASER'!I59+'Other Benefits LASER'!D59</f>
        <v>12822594.432495765</v>
      </c>
      <c r="E60" s="1408">
        <f>'Medicaid &amp; FAMIS - LASER'!F59+'TANF LASER'!F59+'Energy Assistance LASER'!G59+'FC &amp; Adoptions LASER'!E59+'CSA LASER'!E59+'ChildCare LASER'!J59+'Other Benefits LASER'!E59</f>
        <v>10184558.685912013</v>
      </c>
      <c r="F60" s="1408">
        <f>'Medicaid &amp; FAMIS - LASER'!G59+'TANF LASER'!G59+'Energy Assistance LASER'!H59+'FC &amp; Adoptions LASER'!F59+'CSA LASER'!F59+'Other Benefits LASER'!F59</f>
        <v>194735.6541625</v>
      </c>
      <c r="G60" s="1408">
        <f>'TANF LASER'!H59+'Energy Assistance LASER'!I59+'FC &amp; Adoptions LASER'!G59+'CSA LASER'!G59+'Other Benefits LASER'!G59</f>
        <v>-0.03</v>
      </c>
      <c r="H60" s="1408">
        <f t="shared" si="2"/>
        <v>23201888.742570277</v>
      </c>
      <c r="I60" s="1408">
        <f t="shared" si="1"/>
        <v>194735.6241625</v>
      </c>
    </row>
    <row r="61" spans="1:9" x14ac:dyDescent="0.25">
      <c r="A61" s="737" t="s">
        <v>140</v>
      </c>
      <c r="B61" s="589" t="s">
        <v>141</v>
      </c>
      <c r="C61" s="738" t="s">
        <v>267</v>
      </c>
      <c r="D61" s="1408">
        <f>'Medicaid &amp; FAMIS - LASER'!E60+'SNAP LASER'!E60+'TANF LASER'!D60+'Energy Assistance LASER'!E60+'FC &amp; Adoptions LASER'!D60+'CSA LASER'!D60+'ChildCare LASER'!I60+'Other Benefits LASER'!D60</f>
        <v>9763453.0803556629</v>
      </c>
      <c r="E61" s="1408">
        <f>'Medicaid &amp; FAMIS - LASER'!F60+'TANF LASER'!F60+'Energy Assistance LASER'!G60+'FC &amp; Adoptions LASER'!E60+'CSA LASER'!E60+'ChildCare LASER'!J60+'Other Benefits LASER'!E60</f>
        <v>9691018.0056950413</v>
      </c>
      <c r="F61" s="1408">
        <f>'Medicaid &amp; FAMIS - LASER'!G60+'TANF LASER'!G60+'Energy Assistance LASER'!H60+'FC &amp; Adoptions LASER'!F60+'CSA LASER'!F60+'Other Benefits LASER'!F60</f>
        <v>1254550.3293039999</v>
      </c>
      <c r="G61" s="1408">
        <f>'TANF LASER'!H60+'Energy Assistance LASER'!I60+'FC &amp; Adoptions LASER'!G60+'CSA LASER'!G60+'Other Benefits LASER'!G60</f>
        <v>999.89</v>
      </c>
      <c r="H61" s="1408">
        <f t="shared" si="2"/>
        <v>20710021.305354703</v>
      </c>
      <c r="I61" s="1408">
        <f t="shared" si="1"/>
        <v>1255550.2193039998</v>
      </c>
    </row>
    <row r="62" spans="1:9" x14ac:dyDescent="0.25">
      <c r="A62" s="737" t="s">
        <v>146</v>
      </c>
      <c r="B62" s="589" t="s">
        <v>147</v>
      </c>
      <c r="C62" s="738" t="s">
        <v>264</v>
      </c>
      <c r="D62" s="1408">
        <f>'Medicaid &amp; FAMIS - LASER'!E61+'SNAP LASER'!E61+'TANF LASER'!D61+'Energy Assistance LASER'!E61+'FC &amp; Adoptions LASER'!D61+'CSA LASER'!D61+'ChildCare LASER'!I61+'Other Benefits LASER'!D61</f>
        <v>7046790.869699263</v>
      </c>
      <c r="E62" s="1408">
        <f>'Medicaid &amp; FAMIS - LASER'!F61+'TANF LASER'!F61+'Energy Assistance LASER'!G61+'FC &amp; Adoptions LASER'!E61+'CSA LASER'!E61+'ChildCare LASER'!J61+'Other Benefits LASER'!E61</f>
        <v>5808077.319076281</v>
      </c>
      <c r="F62" s="1408">
        <f>'Medicaid &amp; FAMIS - LASER'!G61+'TANF LASER'!G61+'Energy Assistance LASER'!H61+'FC &amp; Adoptions LASER'!F61+'CSA LASER'!F61+'Other Benefits LASER'!F61</f>
        <v>124397.65794375</v>
      </c>
      <c r="G62" s="1408">
        <f>'TANF LASER'!H61+'Energy Assistance LASER'!I61+'FC &amp; Adoptions LASER'!G61+'CSA LASER'!G61+'Other Benefits LASER'!G61</f>
        <v>-0.01</v>
      </c>
      <c r="H62" s="1408">
        <f t="shared" si="2"/>
        <v>12979265.836719293</v>
      </c>
      <c r="I62" s="1408">
        <f t="shared" si="1"/>
        <v>124397.64794375001</v>
      </c>
    </row>
    <row r="63" spans="1:9" x14ac:dyDescent="0.25">
      <c r="A63" s="737" t="s">
        <v>148</v>
      </c>
      <c r="B63" s="589" t="s">
        <v>149</v>
      </c>
      <c r="C63" s="738" t="s">
        <v>265</v>
      </c>
      <c r="D63" s="1408">
        <f>'Medicaid &amp; FAMIS - LASER'!E62+'SNAP LASER'!E62+'TANF LASER'!D62+'Energy Assistance LASER'!E62+'FC &amp; Adoptions LASER'!D62+'CSA LASER'!D62+'ChildCare LASER'!I62+'Other Benefits LASER'!D62</f>
        <v>32586889.367001522</v>
      </c>
      <c r="E63" s="1408">
        <f>'Medicaid &amp; FAMIS - LASER'!F62+'TANF LASER'!F62+'Energy Assistance LASER'!G62+'FC &amp; Adoptions LASER'!E62+'CSA LASER'!E62+'ChildCare LASER'!J62+'Other Benefits LASER'!E62</f>
        <v>26218780.733501464</v>
      </c>
      <c r="F63" s="1408">
        <f>'Medicaid &amp; FAMIS - LASER'!G62+'TANF LASER'!G62+'Energy Assistance LASER'!H62+'FC &amp; Adoptions LASER'!F62+'CSA LASER'!F62+'Other Benefits LASER'!F62</f>
        <v>565771.48220125004</v>
      </c>
      <c r="G63" s="1408">
        <f>'TANF LASER'!H62+'Energy Assistance LASER'!I62+'FC &amp; Adoptions LASER'!G62+'CSA LASER'!G62+'Other Benefits LASER'!G62</f>
        <v>468.17</v>
      </c>
      <c r="H63" s="1408">
        <f t="shared" si="2"/>
        <v>59371909.752704233</v>
      </c>
      <c r="I63" s="1408">
        <f t="shared" si="1"/>
        <v>566239.65220125008</v>
      </c>
    </row>
    <row r="64" spans="1:9" x14ac:dyDescent="0.25">
      <c r="A64" s="737" t="s">
        <v>150</v>
      </c>
      <c r="B64" s="589" t="s">
        <v>151</v>
      </c>
      <c r="C64" s="738" t="s">
        <v>266</v>
      </c>
      <c r="D64" s="1408">
        <f>'Medicaid &amp; FAMIS - LASER'!E63+'SNAP LASER'!E63+'TANF LASER'!D63+'Energy Assistance LASER'!E63+'FC &amp; Adoptions LASER'!D63+'CSA LASER'!D63+'ChildCare LASER'!I63+'Other Benefits LASER'!D63</f>
        <v>9995915.170294933</v>
      </c>
      <c r="E64" s="1408">
        <f>'Medicaid &amp; FAMIS - LASER'!F63+'TANF LASER'!F63+'Energy Assistance LASER'!G63+'FC &amp; Adoptions LASER'!E63+'CSA LASER'!E63+'ChildCare LASER'!J63+'Other Benefits LASER'!E63</f>
        <v>7759201.9030721681</v>
      </c>
      <c r="F64" s="1408">
        <f>'Medicaid &amp; FAMIS - LASER'!G63+'TANF LASER'!G63+'Energy Assistance LASER'!H63+'FC &amp; Adoptions LASER'!F63+'CSA LASER'!F63+'Other Benefits LASER'!F63</f>
        <v>201475.14734700002</v>
      </c>
      <c r="G64" s="1408">
        <f>'TANF LASER'!H63+'Energy Assistance LASER'!I63+'FC &amp; Adoptions LASER'!G63+'CSA LASER'!G63+'Other Benefits LASER'!G63</f>
        <v>0.32</v>
      </c>
      <c r="H64" s="1408">
        <f t="shared" si="2"/>
        <v>17956592.5407141</v>
      </c>
      <c r="I64" s="1408">
        <f t="shared" si="1"/>
        <v>201475.46734700003</v>
      </c>
    </row>
    <row r="65" spans="1:9" x14ac:dyDescent="0.25">
      <c r="A65" s="737" t="s">
        <v>152</v>
      </c>
      <c r="B65" s="589" t="s">
        <v>153</v>
      </c>
      <c r="C65" s="738" t="s">
        <v>268</v>
      </c>
      <c r="D65" s="1408">
        <f>'Medicaid &amp; FAMIS - LASER'!E64+'SNAP LASER'!E64+'TANF LASER'!D64+'Energy Assistance LASER'!E64+'FC &amp; Adoptions LASER'!D64+'CSA LASER'!D64+'ChildCare LASER'!I64+'Other Benefits LASER'!D64</f>
        <v>43766445.173363835</v>
      </c>
      <c r="E65" s="1408">
        <f>'Medicaid &amp; FAMIS - LASER'!F64+'TANF LASER'!F64+'Energy Assistance LASER'!G64+'FC &amp; Adoptions LASER'!E64+'CSA LASER'!E64+'ChildCare LASER'!J64+'Other Benefits LASER'!E64</f>
        <v>33105742.194606874</v>
      </c>
      <c r="F65" s="1408">
        <f>'Medicaid &amp; FAMIS - LASER'!G64+'TANF LASER'!G64+'Energy Assistance LASER'!H64+'FC &amp; Adoptions LASER'!F64+'CSA LASER'!F64+'Other Benefits LASER'!F64</f>
        <v>345114.16503500001</v>
      </c>
      <c r="G65" s="1408">
        <f>'TANF LASER'!H64+'Energy Assistance LASER'!I64+'FC &amp; Adoptions LASER'!G64+'CSA LASER'!G64+'Other Benefits LASER'!G64</f>
        <v>-0.15</v>
      </c>
      <c r="H65" s="1408">
        <f t="shared" si="2"/>
        <v>77217301.383005694</v>
      </c>
      <c r="I65" s="1408">
        <f t="shared" si="1"/>
        <v>345114.01503499999</v>
      </c>
    </row>
    <row r="66" spans="1:9" x14ac:dyDescent="0.25">
      <c r="A66" s="737" t="s">
        <v>154</v>
      </c>
      <c r="B66" s="589" t="s">
        <v>155</v>
      </c>
      <c r="C66" s="738" t="s">
        <v>265</v>
      </c>
      <c r="D66" s="1408">
        <f>'Medicaid &amp; FAMIS - LASER'!E65+'SNAP LASER'!E65+'TANF LASER'!D65+'Energy Assistance LASER'!E65+'FC &amp; Adoptions LASER'!D65+'CSA LASER'!D65+'ChildCare LASER'!I65+'Other Benefits LASER'!D65</f>
        <v>13389098.994829601</v>
      </c>
      <c r="E66" s="1408">
        <f>'Medicaid &amp; FAMIS - LASER'!F65+'TANF LASER'!F65+'Energy Assistance LASER'!G65+'FC &amp; Adoptions LASER'!E65+'CSA LASER'!E65+'ChildCare LASER'!J65+'Other Benefits LASER'!E65</f>
        <v>10509362.071101341</v>
      </c>
      <c r="F66" s="1408">
        <f>'Medicaid &amp; FAMIS - LASER'!G65+'TANF LASER'!G65+'Energy Assistance LASER'!H65+'FC &amp; Adoptions LASER'!F65+'CSA LASER'!F65+'Other Benefits LASER'!F65</f>
        <v>318651.58280499995</v>
      </c>
      <c r="G66" s="1408">
        <f>'TANF LASER'!H65+'Energy Assistance LASER'!I65+'FC &amp; Adoptions LASER'!G65+'CSA LASER'!G65+'Other Benefits LASER'!G65</f>
        <v>-0.03</v>
      </c>
      <c r="H66" s="1408">
        <f t="shared" si="2"/>
        <v>24217112.618735939</v>
      </c>
      <c r="I66" s="1408">
        <f t="shared" si="1"/>
        <v>318651.55280499993</v>
      </c>
    </row>
    <row r="67" spans="1:9" x14ac:dyDescent="0.25">
      <c r="A67" s="737" t="s">
        <v>156</v>
      </c>
      <c r="B67" s="589" t="s">
        <v>157</v>
      </c>
      <c r="C67" s="738" t="s">
        <v>266</v>
      </c>
      <c r="D67" s="1408">
        <f>'Medicaid &amp; FAMIS - LASER'!E66+'SNAP LASER'!E66+'TANF LASER'!D66+'Energy Assistance LASER'!E66+'FC &amp; Adoptions LASER'!D66+'CSA LASER'!D66+'ChildCare LASER'!I66+'Other Benefits LASER'!D66</f>
        <v>8287622.3107825574</v>
      </c>
      <c r="E67" s="1408">
        <f>'Medicaid &amp; FAMIS - LASER'!F66+'TANF LASER'!F66+'Energy Assistance LASER'!G66+'FC &amp; Adoptions LASER'!E66+'CSA LASER'!E66+'ChildCare LASER'!J66+'Other Benefits LASER'!E66</f>
        <v>6830258.2113280762</v>
      </c>
      <c r="F67" s="1408">
        <f>'Medicaid &amp; FAMIS - LASER'!G66+'TANF LASER'!G66+'Energy Assistance LASER'!H66+'FC &amp; Adoptions LASER'!F66+'CSA LASER'!F66+'Other Benefits LASER'!F66</f>
        <v>527746.56628312496</v>
      </c>
      <c r="G67" s="1408">
        <f>'TANF LASER'!H66+'Energy Assistance LASER'!I66+'FC &amp; Adoptions LASER'!G66+'CSA LASER'!G66+'Other Benefits LASER'!G66</f>
        <v>-0.01</v>
      </c>
      <c r="H67" s="1408">
        <f t="shared" si="2"/>
        <v>15645627.078393759</v>
      </c>
      <c r="I67" s="1408">
        <f t="shared" si="1"/>
        <v>527746.55628312496</v>
      </c>
    </row>
    <row r="68" spans="1:9" x14ac:dyDescent="0.25">
      <c r="A68" s="737" t="s">
        <v>162</v>
      </c>
      <c r="B68" s="589" t="s">
        <v>163</v>
      </c>
      <c r="C68" s="738" t="s">
        <v>264</v>
      </c>
      <c r="D68" s="1408">
        <f>'Medicaid &amp; FAMIS - LASER'!E67+'SNAP LASER'!E67+'TANF LASER'!D67+'Energy Assistance LASER'!E67+'FC &amp; Adoptions LASER'!D67+'CSA LASER'!D67+'ChildCare LASER'!I67+'Other Benefits LASER'!D67</f>
        <v>19328130.054065794</v>
      </c>
      <c r="E68" s="1408">
        <f>'Medicaid &amp; FAMIS - LASER'!F67+'TANF LASER'!F67+'Energy Assistance LASER'!G67+'FC &amp; Adoptions LASER'!E67+'CSA LASER'!E67+'ChildCare LASER'!J67+'Other Benefits LASER'!E67</f>
        <v>15393856.841356866</v>
      </c>
      <c r="F68" s="1408">
        <f>'Medicaid &amp; FAMIS - LASER'!G67+'TANF LASER'!G67+'Energy Assistance LASER'!H67+'FC &amp; Adoptions LASER'!F67+'CSA LASER'!F67+'Other Benefits LASER'!F67</f>
        <v>136709.14534374999</v>
      </c>
      <c r="G68" s="1408">
        <f>'TANF LASER'!H67+'Energy Assistance LASER'!I67+'FC &amp; Adoptions LASER'!G67+'CSA LASER'!G67+'Other Benefits LASER'!G67</f>
        <v>0</v>
      </c>
      <c r="H68" s="1408">
        <f t="shared" si="2"/>
        <v>34858696.040766411</v>
      </c>
      <c r="I68" s="1408">
        <f t="shared" si="1"/>
        <v>136709.14534374999</v>
      </c>
    </row>
    <row r="69" spans="1:9" x14ac:dyDescent="0.25">
      <c r="A69" s="737" t="s">
        <v>164</v>
      </c>
      <c r="B69" s="589" t="s">
        <v>165</v>
      </c>
      <c r="C69" s="738" t="s">
        <v>266</v>
      </c>
      <c r="D69" s="1408">
        <f>'Medicaid &amp; FAMIS - LASER'!E68+'SNAP LASER'!E68+'TANF LASER'!D68+'Energy Assistance LASER'!E68+'FC &amp; Adoptions LASER'!D68+'CSA LASER'!D68+'ChildCare LASER'!I68+'Other Benefits LASER'!D68</f>
        <v>9387635.1973136216</v>
      </c>
      <c r="E69" s="1408">
        <f>'Medicaid &amp; FAMIS - LASER'!F68+'TANF LASER'!F68+'Energy Assistance LASER'!G68+'FC &amp; Adoptions LASER'!E68+'CSA LASER'!E68+'ChildCare LASER'!J68+'Other Benefits LASER'!E68</f>
        <v>6943386.0435628006</v>
      </c>
      <c r="F69" s="1408">
        <f>'Medicaid &amp; FAMIS - LASER'!G68+'TANF LASER'!G68+'Energy Assistance LASER'!H68+'FC &amp; Adoptions LASER'!F68+'CSA LASER'!F68+'Other Benefits LASER'!F68</f>
        <v>192477.28794500002</v>
      </c>
      <c r="G69" s="1408">
        <f>'TANF LASER'!H68+'Energy Assistance LASER'!I68+'FC &amp; Adoptions LASER'!G68+'CSA LASER'!G68+'Other Benefits LASER'!G68</f>
        <v>249.9</v>
      </c>
      <c r="H69" s="1408">
        <f t="shared" si="2"/>
        <v>16523748.428821422</v>
      </c>
      <c r="I69" s="1408">
        <f t="shared" si="1"/>
        <v>192727.18794500001</v>
      </c>
    </row>
    <row r="70" spans="1:9" x14ac:dyDescent="0.25">
      <c r="A70" s="737" t="s">
        <v>168</v>
      </c>
      <c r="B70" s="589" t="s">
        <v>169</v>
      </c>
      <c r="C70" s="738" t="s">
        <v>266</v>
      </c>
      <c r="D70" s="1408">
        <f>'Medicaid &amp; FAMIS - LASER'!E69+'SNAP LASER'!E69+'TANF LASER'!D69+'Energy Assistance LASER'!E69+'FC &amp; Adoptions LASER'!D69+'CSA LASER'!D69+'ChildCare LASER'!I69+'Other Benefits LASER'!D69</f>
        <v>17722878.092836976</v>
      </c>
      <c r="E70" s="1408">
        <f>'Medicaid &amp; FAMIS - LASER'!F69+'TANF LASER'!F69+'Energy Assistance LASER'!G69+'FC &amp; Adoptions LASER'!E69+'CSA LASER'!E69+'ChildCare LASER'!J69+'Other Benefits LASER'!E69</f>
        <v>12907216.119662188</v>
      </c>
      <c r="F70" s="1408">
        <f>'Medicaid &amp; FAMIS - LASER'!G69+'TANF LASER'!G69+'Energy Assistance LASER'!H69+'FC &amp; Adoptions LASER'!F69+'CSA LASER'!F69+'Other Benefits LASER'!F69</f>
        <v>225317.70327999999</v>
      </c>
      <c r="G70" s="1408">
        <f>'TANF LASER'!H69+'Energy Assistance LASER'!I69+'FC &amp; Adoptions LASER'!G69+'CSA LASER'!G69+'Other Benefits LASER'!G69</f>
        <v>0</v>
      </c>
      <c r="H70" s="1408">
        <f t="shared" si="2"/>
        <v>30855411.915779162</v>
      </c>
      <c r="I70" s="1408">
        <f t="shared" ref="I70:I125" si="3">F70+G70</f>
        <v>225317.70327999999</v>
      </c>
    </row>
    <row r="71" spans="1:9" x14ac:dyDescent="0.25">
      <c r="A71" s="737" t="s">
        <v>170</v>
      </c>
      <c r="B71" s="589" t="s">
        <v>171</v>
      </c>
      <c r="C71" s="738" t="s">
        <v>267</v>
      </c>
      <c r="D71" s="1408">
        <f>'Medicaid &amp; FAMIS - LASER'!E70+'SNAP LASER'!E70+'TANF LASER'!D70+'Energy Assistance LASER'!E70+'FC &amp; Adoptions LASER'!D70+'CSA LASER'!D70+'ChildCare LASER'!I70+'Other Benefits LASER'!D70</f>
        <v>21814742.686261188</v>
      </c>
      <c r="E71" s="1408">
        <f>'Medicaid &amp; FAMIS - LASER'!F70+'TANF LASER'!F70+'Energy Assistance LASER'!G70+'FC &amp; Adoptions LASER'!E70+'CSA LASER'!E70+'ChildCare LASER'!J70+'Other Benefits LASER'!E70</f>
        <v>17757160.276081707</v>
      </c>
      <c r="F71" s="1408">
        <f>'Medicaid &amp; FAMIS - LASER'!G70+'TANF LASER'!G70+'Energy Assistance LASER'!H70+'FC &amp; Adoptions LASER'!F70+'CSA LASER'!F70+'Other Benefits LASER'!F70</f>
        <v>1000564.244944875</v>
      </c>
      <c r="G71" s="1408">
        <f>'TANF LASER'!H70+'Energy Assistance LASER'!I70+'FC &amp; Adoptions LASER'!G70+'CSA LASER'!G70+'Other Benefits LASER'!G70</f>
        <v>-0.1</v>
      </c>
      <c r="H71" s="1408">
        <f t="shared" ref="H71:H125" si="4">SUM(D71:G71)</f>
        <v>40572467.107287772</v>
      </c>
      <c r="I71" s="1408">
        <f t="shared" si="3"/>
        <v>1000564.144944875</v>
      </c>
    </row>
    <row r="72" spans="1:9" x14ac:dyDescent="0.25">
      <c r="A72" s="737" t="s">
        <v>172</v>
      </c>
      <c r="B72" s="589" t="s">
        <v>173</v>
      </c>
      <c r="C72" s="738" t="s">
        <v>267</v>
      </c>
      <c r="D72" s="1408">
        <f>'Medicaid &amp; FAMIS - LASER'!E71+'SNAP LASER'!E71+'TANF LASER'!D71+'Energy Assistance LASER'!E71+'FC &amp; Adoptions LASER'!D71+'CSA LASER'!D71+'ChildCare LASER'!I71+'Other Benefits LASER'!D71</f>
        <v>19558230.019678939</v>
      </c>
      <c r="E72" s="1408">
        <f>'Medicaid &amp; FAMIS - LASER'!F71+'TANF LASER'!F71+'Energy Assistance LASER'!G71+'FC &amp; Adoptions LASER'!E71+'CSA LASER'!E71+'ChildCare LASER'!J71+'Other Benefits LASER'!E71</f>
        <v>14715578.877840701</v>
      </c>
      <c r="F72" s="1408">
        <f>'Medicaid &amp; FAMIS - LASER'!G71+'TANF LASER'!G71+'Energy Assistance LASER'!H71+'FC &amp; Adoptions LASER'!F71+'CSA LASER'!F71+'Other Benefits LASER'!F71</f>
        <v>406276.80241250002</v>
      </c>
      <c r="G72" s="1408">
        <f>'TANF LASER'!H71+'Energy Assistance LASER'!I71+'FC &amp; Adoptions LASER'!G71+'CSA LASER'!G71+'Other Benefits LASER'!G71</f>
        <v>0</v>
      </c>
      <c r="H72" s="1408">
        <f t="shared" si="4"/>
        <v>34680085.699932143</v>
      </c>
      <c r="I72" s="1408">
        <f t="shared" si="3"/>
        <v>406276.80241250002</v>
      </c>
    </row>
    <row r="73" spans="1:9" x14ac:dyDescent="0.25">
      <c r="A73" s="737" t="s">
        <v>174</v>
      </c>
      <c r="B73" s="589" t="s">
        <v>175</v>
      </c>
      <c r="C73" s="738" t="s">
        <v>268</v>
      </c>
      <c r="D73" s="1408">
        <f>'Medicaid &amp; FAMIS - LASER'!E72+'SNAP LASER'!E72+'TANF LASER'!D72+'Energy Assistance LASER'!E72+'FC &amp; Adoptions LASER'!D72+'CSA LASER'!D72+'ChildCare LASER'!I72+'Other Benefits LASER'!D72</f>
        <v>17950494.379054282</v>
      </c>
      <c r="E73" s="1408">
        <f>'Medicaid &amp; FAMIS - LASER'!F72+'TANF LASER'!F72+'Energy Assistance LASER'!G72+'FC &amp; Adoptions LASER'!E72+'CSA LASER'!E72+'ChildCare LASER'!J72+'Other Benefits LASER'!E72</f>
        <v>13427256.415408181</v>
      </c>
      <c r="F73" s="1408">
        <f>'Medicaid &amp; FAMIS - LASER'!G72+'TANF LASER'!G72+'Energy Assistance LASER'!H72+'FC &amp; Adoptions LASER'!F72+'CSA LASER'!F72+'Other Benefits LASER'!F72</f>
        <v>146054.72872499999</v>
      </c>
      <c r="G73" s="1408">
        <f>'TANF LASER'!H72+'Energy Assistance LASER'!I72+'FC &amp; Adoptions LASER'!G72+'CSA LASER'!G72+'Other Benefits LASER'!G72</f>
        <v>-0.11</v>
      </c>
      <c r="H73" s="1408">
        <f t="shared" si="4"/>
        <v>31523805.413187467</v>
      </c>
      <c r="I73" s="1408">
        <f t="shared" si="3"/>
        <v>146054.61872500001</v>
      </c>
    </row>
    <row r="74" spans="1:9" x14ac:dyDescent="0.25">
      <c r="A74" s="737" t="s">
        <v>178</v>
      </c>
      <c r="B74" s="589" t="s">
        <v>179</v>
      </c>
      <c r="C74" s="738" t="s">
        <v>265</v>
      </c>
      <c r="D74" s="1408">
        <f>'Medicaid &amp; FAMIS - LASER'!E73+'SNAP LASER'!E73+'TANF LASER'!D73+'Energy Assistance LASER'!E73+'FC &amp; Adoptions LASER'!D73+'CSA LASER'!D73+'ChildCare LASER'!I73+'Other Benefits LASER'!D73</f>
        <v>60446572.401595347</v>
      </c>
      <c r="E74" s="1408">
        <f>'Medicaid &amp; FAMIS - LASER'!F73+'TANF LASER'!F73+'Energy Assistance LASER'!G73+'FC &amp; Adoptions LASER'!E73+'CSA LASER'!E73+'ChildCare LASER'!J73+'Other Benefits LASER'!E73</f>
        <v>49313712.054994985</v>
      </c>
      <c r="F74" s="1408">
        <f>'Medicaid &amp; FAMIS - LASER'!G73+'TANF LASER'!G73+'Energy Assistance LASER'!H73+'FC &amp; Adoptions LASER'!F73+'CSA LASER'!F73+'Other Benefits LASER'!F73</f>
        <v>1197450.2496606251</v>
      </c>
      <c r="G74" s="1408">
        <f>'TANF LASER'!H73+'Energy Assistance LASER'!I73+'FC &amp; Adoptions LASER'!G73+'CSA LASER'!G73+'Other Benefits LASER'!G73</f>
        <v>3190.96</v>
      </c>
      <c r="H74" s="1408">
        <f t="shared" si="4"/>
        <v>110960925.66625094</v>
      </c>
      <c r="I74" s="1408">
        <f t="shared" si="3"/>
        <v>1200641.2096606251</v>
      </c>
    </row>
    <row r="75" spans="1:9" x14ac:dyDescent="0.25">
      <c r="A75" s="737" t="s">
        <v>182</v>
      </c>
      <c r="B75" s="589" t="s">
        <v>183</v>
      </c>
      <c r="C75" s="738" t="s">
        <v>266</v>
      </c>
      <c r="D75" s="1408">
        <f>'Medicaid &amp; FAMIS - LASER'!E74+'SNAP LASER'!E74+'TANF LASER'!D74+'Energy Assistance LASER'!E74+'FC &amp; Adoptions LASER'!D74+'CSA LASER'!D74+'ChildCare LASER'!I74+'Other Benefits LASER'!D74</f>
        <v>9610082.6972102765</v>
      </c>
      <c r="E75" s="1408">
        <f>'Medicaid &amp; FAMIS - LASER'!F74+'TANF LASER'!F74+'Energy Assistance LASER'!G74+'FC &amp; Adoptions LASER'!E74+'CSA LASER'!E74+'ChildCare LASER'!J74+'Other Benefits LASER'!E74</f>
        <v>8429393.426654974</v>
      </c>
      <c r="F75" s="1408">
        <f>'Medicaid &amp; FAMIS - LASER'!G74+'TANF LASER'!G74+'Energy Assistance LASER'!H74+'FC &amp; Adoptions LASER'!F74+'CSA LASER'!F74+'Other Benefits LASER'!F74</f>
        <v>1024372.2444705</v>
      </c>
      <c r="G75" s="1408">
        <f>'TANF LASER'!H74+'Energy Assistance LASER'!I74+'FC &amp; Adoptions LASER'!G74+'CSA LASER'!G74+'Other Benefits LASER'!G74</f>
        <v>52116.31</v>
      </c>
      <c r="H75" s="1408">
        <f t="shared" si="4"/>
        <v>19115964.678335749</v>
      </c>
      <c r="I75" s="1408">
        <f t="shared" si="3"/>
        <v>1076488.5544705</v>
      </c>
    </row>
    <row r="76" spans="1:9" x14ac:dyDescent="0.25">
      <c r="A76" s="737" t="s">
        <v>184</v>
      </c>
      <c r="B76" s="589" t="s">
        <v>185</v>
      </c>
      <c r="C76" s="738" t="s">
        <v>266</v>
      </c>
      <c r="D76" s="1408">
        <f>'Medicaid &amp; FAMIS - LASER'!E75+'SNAP LASER'!E75+'TANF LASER'!D75+'Energy Assistance LASER'!E75+'FC &amp; Adoptions LASER'!D75+'CSA LASER'!D75+'ChildCare LASER'!I75+'Other Benefits LASER'!D75</f>
        <v>21420511.325787932</v>
      </c>
      <c r="E76" s="1408">
        <f>'Medicaid &amp; FAMIS - LASER'!F75+'TANF LASER'!F75+'Energy Assistance LASER'!G75+'FC &amp; Adoptions LASER'!E75+'CSA LASER'!E75+'ChildCare LASER'!J75+'Other Benefits LASER'!E75</f>
        <v>17210989.074153401</v>
      </c>
      <c r="F76" s="1408">
        <f>'Medicaid &amp; FAMIS - LASER'!G75+'TANF LASER'!G75+'Energy Assistance LASER'!H75+'FC &amp; Adoptions LASER'!F75+'CSA LASER'!F75+'Other Benefits LASER'!F75</f>
        <v>295474.22221550002</v>
      </c>
      <c r="G76" s="1408">
        <f>'TANF LASER'!H75+'Energy Assistance LASER'!I75+'FC &amp; Adoptions LASER'!G75+'CSA LASER'!G75+'Other Benefits LASER'!G75</f>
        <v>-0.03</v>
      </c>
      <c r="H76" s="1408">
        <f t="shared" si="4"/>
        <v>38926974.592156835</v>
      </c>
      <c r="I76" s="1408">
        <f t="shared" si="3"/>
        <v>295474.19221549999</v>
      </c>
    </row>
    <row r="77" spans="1:9" x14ac:dyDescent="0.25">
      <c r="A77" s="737" t="s">
        <v>186</v>
      </c>
      <c r="B77" s="589" t="s">
        <v>187</v>
      </c>
      <c r="C77" s="738" t="s">
        <v>264</v>
      </c>
      <c r="D77" s="1408">
        <f>'Medicaid &amp; FAMIS - LASER'!E76+'SNAP LASER'!E76+'TANF LASER'!D76+'Energy Assistance LASER'!E76+'FC &amp; Adoptions LASER'!D76+'CSA LASER'!D76+'ChildCare LASER'!I76+'Other Benefits LASER'!D76</f>
        <v>17255097.512871921</v>
      </c>
      <c r="E77" s="1408">
        <f>'Medicaid &amp; FAMIS - LASER'!F76+'TANF LASER'!F76+'Energy Assistance LASER'!G76+'FC &amp; Adoptions LASER'!E76+'CSA LASER'!E76+'ChildCare LASER'!J76+'Other Benefits LASER'!E76</f>
        <v>13032265.248760408</v>
      </c>
      <c r="F77" s="1408">
        <f>'Medicaid &amp; FAMIS - LASER'!G76+'TANF LASER'!G76+'Energy Assistance LASER'!H76+'FC &amp; Adoptions LASER'!F76+'CSA LASER'!F76+'Other Benefits LASER'!F76</f>
        <v>575734.95716500003</v>
      </c>
      <c r="G77" s="1408">
        <f>'TANF LASER'!H76+'Energy Assistance LASER'!I76+'FC &amp; Adoptions LASER'!G76+'CSA LASER'!G76+'Other Benefits LASER'!G76</f>
        <v>-0.04</v>
      </c>
      <c r="H77" s="1408">
        <f t="shared" si="4"/>
        <v>30863097.678797331</v>
      </c>
      <c r="I77" s="1408">
        <f t="shared" si="3"/>
        <v>575734.91716499999</v>
      </c>
    </row>
    <row r="78" spans="1:9" x14ac:dyDescent="0.25">
      <c r="A78" s="737" t="s">
        <v>188</v>
      </c>
      <c r="B78" s="589" t="s">
        <v>189</v>
      </c>
      <c r="C78" s="738" t="s">
        <v>267</v>
      </c>
      <c r="D78" s="1408">
        <f>'Medicaid &amp; FAMIS - LASER'!E77+'SNAP LASER'!E77+'TANF LASER'!D77+'Energy Assistance LASER'!E77+'FC &amp; Adoptions LASER'!D77+'CSA LASER'!D77+'ChildCare LASER'!I77+'Other Benefits LASER'!D77</f>
        <v>203279950.36633623</v>
      </c>
      <c r="E78" s="1408">
        <f>'Medicaid &amp; FAMIS - LASER'!F77+'TANF LASER'!F77+'Energy Assistance LASER'!G77+'FC &amp; Adoptions LASER'!E77+'CSA LASER'!E77+'ChildCare LASER'!J77+'Other Benefits LASER'!E77</f>
        <v>152454516.30144572</v>
      </c>
      <c r="F78" s="1408">
        <f>'Medicaid &amp; FAMIS - LASER'!G77+'TANF LASER'!G77+'Energy Assistance LASER'!H77+'FC &amp; Adoptions LASER'!F77+'CSA LASER'!F77+'Other Benefits LASER'!F77</f>
        <v>3798376.1771867499</v>
      </c>
      <c r="G78" s="1408">
        <f>'TANF LASER'!H77+'Energy Assistance LASER'!I77+'FC &amp; Adoptions LASER'!G77+'CSA LASER'!G77+'Other Benefits LASER'!G77</f>
        <v>-0.16</v>
      </c>
      <c r="H78" s="1408">
        <f t="shared" si="4"/>
        <v>359532842.68496865</v>
      </c>
      <c r="I78" s="1408">
        <f t="shared" si="3"/>
        <v>3798376.0171867497</v>
      </c>
    </row>
    <row r="79" spans="1:9" x14ac:dyDescent="0.25">
      <c r="A79" s="737" t="s">
        <v>190</v>
      </c>
      <c r="B79" s="589" t="s">
        <v>191</v>
      </c>
      <c r="C79" s="738" t="s">
        <v>268</v>
      </c>
      <c r="D79" s="1408">
        <f>'Medicaid &amp; FAMIS - LASER'!E78+'SNAP LASER'!E78+'TANF LASER'!D78+'Energy Assistance LASER'!E78+'FC &amp; Adoptions LASER'!D78+'CSA LASER'!D78+'ChildCare LASER'!I78+'Other Benefits LASER'!D78</f>
        <v>33538794.547485363</v>
      </c>
      <c r="E79" s="1408">
        <f>'Medicaid &amp; FAMIS - LASER'!F78+'TANF LASER'!F78+'Energy Assistance LASER'!G78+'FC &amp; Adoptions LASER'!E78+'CSA LASER'!E78+'ChildCare LASER'!J78+'Other Benefits LASER'!E78</f>
        <v>27752140.669194046</v>
      </c>
      <c r="F79" s="1408">
        <f>'Medicaid &amp; FAMIS - LASER'!G78+'TANF LASER'!G78+'Energy Assistance LASER'!H78+'FC &amp; Adoptions LASER'!F78+'CSA LASER'!F78+'Other Benefits LASER'!F78</f>
        <v>1308497.3052430502</v>
      </c>
      <c r="G79" s="1408">
        <f>'TANF LASER'!H78+'Energy Assistance LASER'!I78+'FC &amp; Adoptions LASER'!G78+'CSA LASER'!G78+'Other Benefits LASER'!G78</f>
        <v>3298.21</v>
      </c>
      <c r="H79" s="1408">
        <f t="shared" si="4"/>
        <v>62602730.731922463</v>
      </c>
      <c r="I79" s="1408">
        <f t="shared" si="3"/>
        <v>1311795.5152430502</v>
      </c>
    </row>
    <row r="80" spans="1:9" x14ac:dyDescent="0.25">
      <c r="A80" s="737" t="s">
        <v>194</v>
      </c>
      <c r="B80" s="589" t="s">
        <v>195</v>
      </c>
      <c r="C80" s="738" t="s">
        <v>267</v>
      </c>
      <c r="D80" s="1408">
        <f>'Medicaid &amp; FAMIS - LASER'!E79+'SNAP LASER'!E79+'TANF LASER'!D79+'Energy Assistance LASER'!E79+'FC &amp; Adoptions LASER'!D79+'CSA LASER'!D79+'ChildCare LASER'!I79+'Other Benefits LASER'!D79</f>
        <v>2922579.0705716247</v>
      </c>
      <c r="E80" s="1408">
        <f>'Medicaid &amp; FAMIS - LASER'!F79+'TANF LASER'!F79+'Energy Assistance LASER'!G79+'FC &amp; Adoptions LASER'!E79+'CSA LASER'!E79+'ChildCare LASER'!J79+'Other Benefits LASER'!E79</f>
        <v>2733227.0958498693</v>
      </c>
      <c r="F80" s="1408">
        <f>'Medicaid &amp; FAMIS - LASER'!G79+'TANF LASER'!G79+'Energy Assistance LASER'!H79+'FC &amp; Adoptions LASER'!F79+'CSA LASER'!F79+'Other Benefits LASER'!F79</f>
        <v>565385.55282949994</v>
      </c>
      <c r="G80" s="1408">
        <f>'TANF LASER'!H79+'Energy Assistance LASER'!I79+'FC &amp; Adoptions LASER'!G79+'CSA LASER'!G79+'Other Benefits LASER'!G79</f>
        <v>4071.51</v>
      </c>
      <c r="H80" s="1408">
        <f t="shared" si="4"/>
        <v>6225263.2292509936</v>
      </c>
      <c r="I80" s="1408">
        <f t="shared" si="3"/>
        <v>569457.06282949995</v>
      </c>
    </row>
    <row r="81" spans="1:9" x14ac:dyDescent="0.25">
      <c r="A81" s="737" t="s">
        <v>198</v>
      </c>
      <c r="B81" s="589" t="s">
        <v>199</v>
      </c>
      <c r="C81" s="738" t="s">
        <v>266</v>
      </c>
      <c r="D81" s="1408">
        <f>'Medicaid &amp; FAMIS - LASER'!E80+'SNAP LASER'!E80+'TANF LASER'!D80+'Energy Assistance LASER'!E80+'FC &amp; Adoptions LASER'!D80+'CSA LASER'!D80+'ChildCare LASER'!I80+'Other Benefits LASER'!D80</f>
        <v>8277256.6391024021</v>
      </c>
      <c r="E81" s="1408">
        <f>'Medicaid &amp; FAMIS - LASER'!F80+'TANF LASER'!F80+'Energy Assistance LASER'!G80+'FC &amp; Adoptions LASER'!E80+'CSA LASER'!E80+'ChildCare LASER'!J80+'Other Benefits LASER'!E80</f>
        <v>6098184.4546951978</v>
      </c>
      <c r="F81" s="1408">
        <f>'Medicaid &amp; FAMIS - LASER'!G80+'TANF LASER'!G80+'Energy Assistance LASER'!H80+'FC &amp; Adoptions LASER'!F80+'CSA LASER'!F80+'Other Benefits LASER'!F80</f>
        <v>76087.498166874982</v>
      </c>
      <c r="G81" s="1408">
        <f>'TANF LASER'!H80+'Energy Assistance LASER'!I80+'FC &amp; Adoptions LASER'!G80+'CSA LASER'!G80+'Other Benefits LASER'!G80</f>
        <v>-0.08</v>
      </c>
      <c r="H81" s="1408">
        <f t="shared" si="4"/>
        <v>14451528.511964476</v>
      </c>
      <c r="I81" s="1408">
        <f t="shared" si="3"/>
        <v>76087.418166874981</v>
      </c>
    </row>
    <row r="82" spans="1:9" x14ac:dyDescent="0.25">
      <c r="A82" s="737" t="s">
        <v>202</v>
      </c>
      <c r="B82" s="589" t="s">
        <v>611</v>
      </c>
      <c r="C82" s="738" t="s">
        <v>265</v>
      </c>
      <c r="D82" s="1408">
        <f>'Medicaid &amp; FAMIS - LASER'!E81+'SNAP LASER'!E81+'TANF LASER'!D81+'Energy Assistance LASER'!E81+'FC &amp; Adoptions LASER'!D81+'CSA LASER'!D81+'ChildCare LASER'!I81+'Other Benefits LASER'!D81</f>
        <v>62110643.150695443</v>
      </c>
      <c r="E82" s="1408">
        <f>'Medicaid &amp; FAMIS - LASER'!F81+'TANF LASER'!F81+'Energy Assistance LASER'!G81+'FC &amp; Adoptions LASER'!E81+'CSA LASER'!E81+'ChildCare LASER'!J81+'Other Benefits LASER'!E81</f>
        <v>54275708.946634963</v>
      </c>
      <c r="F82" s="1408">
        <f>'Medicaid &amp; FAMIS - LASER'!G81+'TANF LASER'!G81+'Energy Assistance LASER'!H81+'FC &amp; Adoptions LASER'!F81+'CSA LASER'!F81+'Other Benefits LASER'!F81</f>
        <v>3711947.8554191873</v>
      </c>
      <c r="G82" s="1408">
        <f>'TANF LASER'!H81+'Energy Assistance LASER'!I81+'FC &amp; Adoptions LASER'!G81+'CSA LASER'!G81+'Other Benefits LASER'!G81</f>
        <v>15103.49</v>
      </c>
      <c r="H82" s="1408">
        <f t="shared" si="4"/>
        <v>120113403.44274959</v>
      </c>
      <c r="I82" s="1408">
        <f t="shared" si="3"/>
        <v>3727051.3454191876</v>
      </c>
    </row>
    <row r="83" spans="1:9" x14ac:dyDescent="0.25">
      <c r="A83" s="737" t="s">
        <v>204</v>
      </c>
      <c r="B83" s="589" t="s">
        <v>293</v>
      </c>
      <c r="C83" s="738" t="s">
        <v>265</v>
      </c>
      <c r="D83" s="1408">
        <f>'Medicaid &amp; FAMIS - LASER'!E82+'SNAP LASER'!E82+'TANF LASER'!D82+'Energy Assistance LASER'!E82+'FC &amp; Adoptions LASER'!D82+'CSA LASER'!D82+'ChildCare LASER'!I82+'Other Benefits LASER'!D82</f>
        <v>24844764.819168001</v>
      </c>
      <c r="E83" s="1408">
        <f>'Medicaid &amp; FAMIS - LASER'!F82+'TANF LASER'!F82+'Energy Assistance LASER'!G82+'FC &amp; Adoptions LASER'!E82+'CSA LASER'!E82+'ChildCare LASER'!J82+'Other Benefits LASER'!E82</f>
        <v>21555754.701721061</v>
      </c>
      <c r="F83" s="1408">
        <f>'Medicaid &amp; FAMIS - LASER'!G82+'TANF LASER'!G82+'Energy Assistance LASER'!H82+'FC &amp; Adoptions LASER'!F82+'CSA LASER'!F82+'Other Benefits LASER'!F82</f>
        <v>972001.28639212507</v>
      </c>
      <c r="G83" s="1408">
        <f>'TANF LASER'!H82+'Energy Assistance LASER'!I82+'FC &amp; Adoptions LASER'!G82+'CSA LASER'!G82+'Other Benefits LASER'!G82</f>
        <v>-0.11</v>
      </c>
      <c r="H83" s="1408">
        <f t="shared" si="4"/>
        <v>47372520.697281182</v>
      </c>
      <c r="I83" s="1408">
        <f t="shared" si="3"/>
        <v>972001.17639212508</v>
      </c>
    </row>
    <row r="84" spans="1:9" x14ac:dyDescent="0.25">
      <c r="A84" s="737" t="s">
        <v>206</v>
      </c>
      <c r="B84" s="589" t="s">
        <v>294</v>
      </c>
      <c r="C84" s="738" t="s">
        <v>267</v>
      </c>
      <c r="D84" s="1408">
        <f>'Medicaid &amp; FAMIS - LASER'!E83+'SNAP LASER'!E83+'TANF LASER'!D83+'Energy Assistance LASER'!E83+'FC &amp; Adoptions LASER'!D83+'CSA LASER'!D83+'ChildCare LASER'!I83+'Other Benefits LASER'!D83</f>
        <v>70336228.471130386</v>
      </c>
      <c r="E84" s="1408">
        <f>'Medicaid &amp; FAMIS - LASER'!F83+'TANF LASER'!F83+'Energy Assistance LASER'!G83+'FC &amp; Adoptions LASER'!E83+'CSA LASER'!E83+'ChildCare LASER'!J83+'Other Benefits LASER'!E83</f>
        <v>59077168.410007536</v>
      </c>
      <c r="F84" s="1408">
        <f>'Medicaid &amp; FAMIS - LASER'!G83+'TANF LASER'!G83+'Energy Assistance LASER'!H83+'FC &amp; Adoptions LASER'!F83+'CSA LASER'!F83+'Other Benefits LASER'!F83</f>
        <v>3731589.5798709993</v>
      </c>
      <c r="G84" s="1408">
        <f>'TANF LASER'!H83+'Energy Assistance LASER'!I83+'FC &amp; Adoptions LASER'!G83+'CSA LASER'!G83+'Other Benefits LASER'!G83</f>
        <v>-0.26</v>
      </c>
      <c r="H84" s="1408">
        <f t="shared" si="4"/>
        <v>133144986.20100892</v>
      </c>
      <c r="I84" s="1408">
        <f t="shared" si="3"/>
        <v>3731589.3198709995</v>
      </c>
    </row>
    <row r="85" spans="1:9" x14ac:dyDescent="0.25">
      <c r="A85" s="737" t="s">
        <v>208</v>
      </c>
      <c r="B85" s="589" t="s">
        <v>209</v>
      </c>
      <c r="C85" s="738" t="s">
        <v>268</v>
      </c>
      <c r="D85" s="1408">
        <f>'Medicaid &amp; FAMIS - LASER'!E84+'SNAP LASER'!E84+'TANF LASER'!D84+'Energy Assistance LASER'!E84+'FC &amp; Adoptions LASER'!D84+'CSA LASER'!D84+'ChildCare LASER'!I84+'Other Benefits LASER'!D84</f>
        <v>31552738.803743813</v>
      </c>
      <c r="E85" s="1408">
        <f>'Medicaid &amp; FAMIS - LASER'!F84+'TANF LASER'!F84+'Energy Assistance LASER'!G84+'FC &amp; Adoptions LASER'!E84+'CSA LASER'!E84+'ChildCare LASER'!J84+'Other Benefits LASER'!E84</f>
        <v>23950611.25720793</v>
      </c>
      <c r="F85" s="1408">
        <f>'Medicaid &amp; FAMIS - LASER'!G84+'TANF LASER'!G84+'Energy Assistance LASER'!H84+'FC &amp; Adoptions LASER'!F84+'CSA LASER'!F84+'Other Benefits LASER'!F84</f>
        <v>498354.86572750006</v>
      </c>
      <c r="G85" s="1408">
        <f>'TANF LASER'!H84+'Energy Assistance LASER'!I84+'FC &amp; Adoptions LASER'!G84+'CSA LASER'!G84+'Other Benefits LASER'!G84</f>
        <v>-0.33</v>
      </c>
      <c r="H85" s="1408">
        <f t="shared" si="4"/>
        <v>56001704.59667924</v>
      </c>
      <c r="I85" s="1408">
        <f t="shared" si="3"/>
        <v>498354.53572750004</v>
      </c>
    </row>
    <row r="86" spans="1:9" x14ac:dyDescent="0.25">
      <c r="A86" s="737" t="s">
        <v>210</v>
      </c>
      <c r="B86" s="589" t="s">
        <v>211</v>
      </c>
      <c r="C86" s="738" t="s">
        <v>268</v>
      </c>
      <c r="D86" s="1408">
        <f>'Medicaid &amp; FAMIS - LASER'!E85+'SNAP LASER'!E85+'TANF LASER'!D85+'Energy Assistance LASER'!E85+'FC &amp; Adoptions LASER'!D85+'CSA LASER'!D85+'ChildCare LASER'!I85+'Other Benefits LASER'!D85</f>
        <v>23526747.494623393</v>
      </c>
      <c r="E86" s="1408">
        <f>'Medicaid &amp; FAMIS - LASER'!F85+'TANF LASER'!F85+'Energy Assistance LASER'!G85+'FC &amp; Adoptions LASER'!E85+'CSA LASER'!E85+'ChildCare LASER'!J85+'Other Benefits LASER'!E85</f>
        <v>18575682.827754732</v>
      </c>
      <c r="F86" s="1408">
        <f>'Medicaid &amp; FAMIS - LASER'!G85+'TANF LASER'!G85+'Energy Assistance LASER'!H85+'FC &amp; Adoptions LASER'!F85+'CSA LASER'!F85+'Other Benefits LASER'!F85</f>
        <v>322223.56331875001</v>
      </c>
      <c r="G86" s="1408">
        <f>'TANF LASER'!H85+'Energy Assistance LASER'!I85+'FC &amp; Adoptions LASER'!G85+'CSA LASER'!G85+'Other Benefits LASER'!G85</f>
        <v>-0.09</v>
      </c>
      <c r="H86" s="1408">
        <f t="shared" si="4"/>
        <v>42424653.795696877</v>
      </c>
      <c r="I86" s="1408">
        <f t="shared" si="3"/>
        <v>322223.47331874998</v>
      </c>
    </row>
    <row r="87" spans="1:9" x14ac:dyDescent="0.25">
      <c r="A87" s="737" t="s">
        <v>212</v>
      </c>
      <c r="B87" s="589" t="s">
        <v>213</v>
      </c>
      <c r="C87" s="738" t="s">
        <v>267</v>
      </c>
      <c r="D87" s="1408">
        <f>'Medicaid &amp; FAMIS - LASER'!E86+'SNAP LASER'!E86+'TANF LASER'!D86+'Energy Assistance LASER'!E86+'FC &amp; Adoptions LASER'!D86+'CSA LASER'!D86+'ChildCare LASER'!I86+'Other Benefits LASER'!D86</f>
        <v>31367007.322834693</v>
      </c>
      <c r="E87" s="1408">
        <f>'Medicaid &amp; FAMIS - LASER'!F86+'TANF LASER'!F86+'Energy Assistance LASER'!G86+'FC &amp; Adoptions LASER'!E86+'CSA LASER'!E86+'ChildCare LASER'!J86+'Other Benefits LASER'!E86</f>
        <v>25239295.150948126</v>
      </c>
      <c r="F87" s="1408">
        <f>'Medicaid &amp; FAMIS - LASER'!G86+'TANF LASER'!G86+'Energy Assistance LASER'!H86+'FC &amp; Adoptions LASER'!F86+'CSA LASER'!F86+'Other Benefits LASER'!F86</f>
        <v>1076664.7786473124</v>
      </c>
      <c r="G87" s="1408">
        <f>'TANF LASER'!H86+'Energy Assistance LASER'!I86+'FC &amp; Adoptions LASER'!G86+'CSA LASER'!G86+'Other Benefits LASER'!G86</f>
        <v>-8232.5200000000023</v>
      </c>
      <c r="H87" s="1408">
        <f t="shared" si="4"/>
        <v>57674734.73243013</v>
      </c>
      <c r="I87" s="1408">
        <f t="shared" si="3"/>
        <v>1068432.2586473124</v>
      </c>
    </row>
    <row r="88" spans="1:9" x14ac:dyDescent="0.25">
      <c r="A88" s="737" t="s">
        <v>214</v>
      </c>
      <c r="B88" s="589" t="s">
        <v>215</v>
      </c>
      <c r="C88" s="738" t="s">
        <v>268</v>
      </c>
      <c r="D88" s="1408">
        <f>'Medicaid &amp; FAMIS - LASER'!E87+'SNAP LASER'!E87+'TANF LASER'!D87+'Energy Assistance LASER'!E87+'FC &amp; Adoptions LASER'!D87+'CSA LASER'!D87+'ChildCare LASER'!I87+'Other Benefits LASER'!D87</f>
        <v>34828669.324991539</v>
      </c>
      <c r="E88" s="1408">
        <f>'Medicaid &amp; FAMIS - LASER'!F87+'TANF LASER'!F87+'Energy Assistance LASER'!G87+'FC &amp; Adoptions LASER'!E87+'CSA LASER'!E87+'ChildCare LASER'!J87+'Other Benefits LASER'!E87</f>
        <v>25912792.672412314</v>
      </c>
      <c r="F88" s="1408">
        <f>'Medicaid &amp; FAMIS - LASER'!G87+'TANF LASER'!G87+'Energy Assistance LASER'!H87+'FC &amp; Adoptions LASER'!F87+'CSA LASER'!F87+'Other Benefits LASER'!F87</f>
        <v>360175.32301374996</v>
      </c>
      <c r="G88" s="1408">
        <f>'TANF LASER'!H87+'Energy Assistance LASER'!I87+'FC &amp; Adoptions LASER'!G87+'CSA LASER'!G87+'Other Benefits LASER'!G87</f>
        <v>999.86</v>
      </c>
      <c r="H88" s="1408">
        <f t="shared" si="4"/>
        <v>61102637.180417605</v>
      </c>
      <c r="I88" s="1408">
        <f t="shared" si="3"/>
        <v>361175.18301374995</v>
      </c>
    </row>
    <row r="89" spans="1:9" x14ac:dyDescent="0.25">
      <c r="A89" s="737" t="s">
        <v>216</v>
      </c>
      <c r="B89" s="589" t="s">
        <v>217</v>
      </c>
      <c r="C89" s="738" t="s">
        <v>264</v>
      </c>
      <c r="D89" s="1408">
        <f>'Medicaid &amp; FAMIS - LASER'!E88+'SNAP LASER'!E88+'TANF LASER'!D88+'Energy Assistance LASER'!E88+'FC &amp; Adoptions LASER'!D88+'CSA LASER'!D88+'ChildCare LASER'!I88+'Other Benefits LASER'!D88</f>
        <v>17850257.826897193</v>
      </c>
      <c r="E89" s="1408">
        <f>'Medicaid &amp; FAMIS - LASER'!F88+'TANF LASER'!F88+'Energy Assistance LASER'!G88+'FC &amp; Adoptions LASER'!E88+'CSA LASER'!E88+'ChildCare LASER'!J88+'Other Benefits LASER'!E88</f>
        <v>13579034.042863721</v>
      </c>
      <c r="F89" s="1408">
        <f>'Medicaid &amp; FAMIS - LASER'!G88+'TANF LASER'!G88+'Energy Assistance LASER'!H88+'FC &amp; Adoptions LASER'!F88+'CSA LASER'!F88+'Other Benefits LASER'!F88</f>
        <v>233171.80237499997</v>
      </c>
      <c r="G89" s="1408">
        <f>'TANF LASER'!H88+'Energy Assistance LASER'!I88+'FC &amp; Adoptions LASER'!G88+'CSA LASER'!G88+'Other Benefits LASER'!G88</f>
        <v>-0.05</v>
      </c>
      <c r="H89" s="1408">
        <f t="shared" si="4"/>
        <v>31662463.622135915</v>
      </c>
      <c r="I89" s="1408">
        <f t="shared" si="3"/>
        <v>233171.75237499998</v>
      </c>
    </row>
    <row r="90" spans="1:9" x14ac:dyDescent="0.25">
      <c r="A90" s="737" t="s">
        <v>218</v>
      </c>
      <c r="B90" s="589" t="s">
        <v>219</v>
      </c>
      <c r="C90" s="738" t="s">
        <v>267</v>
      </c>
      <c r="D90" s="1408">
        <f>'Medicaid &amp; FAMIS - LASER'!E89+'SNAP LASER'!E89+'TANF LASER'!D89+'Energy Assistance LASER'!E89+'FC &amp; Adoptions LASER'!D89+'CSA LASER'!D89+'ChildCare LASER'!I89+'Other Benefits LASER'!D89</f>
        <v>75426019.813412219</v>
      </c>
      <c r="E90" s="1408">
        <f>'Medicaid &amp; FAMIS - LASER'!F89+'TANF LASER'!F89+'Energy Assistance LASER'!G89+'FC &amp; Adoptions LASER'!E89+'CSA LASER'!E89+'ChildCare LASER'!J89+'Other Benefits LASER'!E89</f>
        <v>61015851.649217844</v>
      </c>
      <c r="F90" s="1408">
        <f>'Medicaid &amp; FAMIS - LASER'!G89+'TANF LASER'!G89+'Energy Assistance LASER'!H89+'FC &amp; Adoptions LASER'!F89+'CSA LASER'!F89+'Other Benefits LASER'!F89</f>
        <v>4392007.125182</v>
      </c>
      <c r="G90" s="1408">
        <f>'TANF LASER'!H89+'Energy Assistance LASER'!I89+'FC &amp; Adoptions LASER'!G89+'CSA LASER'!G89+'Other Benefits LASER'!G89</f>
        <v>-0.16</v>
      </c>
      <c r="H90" s="1408">
        <f t="shared" si="4"/>
        <v>140833878.42781207</v>
      </c>
      <c r="I90" s="1408">
        <f t="shared" si="3"/>
        <v>4392006.9651819998</v>
      </c>
    </row>
    <row r="91" spans="1:9" x14ac:dyDescent="0.25">
      <c r="A91" s="737" t="s">
        <v>220</v>
      </c>
      <c r="B91" s="589" t="s">
        <v>221</v>
      </c>
      <c r="C91" s="738" t="s">
        <v>267</v>
      </c>
      <c r="D91" s="1408">
        <f>'Medicaid &amp; FAMIS - LASER'!E90+'SNAP LASER'!E90+'TANF LASER'!D90+'Energy Assistance LASER'!E90+'FC &amp; Adoptions LASER'!D90+'CSA LASER'!D90+'ChildCare LASER'!I90+'Other Benefits LASER'!D90</f>
        <v>61200867.16294948</v>
      </c>
      <c r="E91" s="1408">
        <f>'Medicaid &amp; FAMIS - LASER'!F90+'TANF LASER'!F90+'Energy Assistance LASER'!G90+'FC &amp; Adoptions LASER'!E90+'CSA LASER'!E90+'ChildCare LASER'!J90+'Other Benefits LASER'!E90</f>
        <v>47826016.66572047</v>
      </c>
      <c r="F91" s="1408">
        <f>'Medicaid &amp; FAMIS - LASER'!G90+'TANF LASER'!G90+'Energy Assistance LASER'!H90+'FC &amp; Adoptions LASER'!F90+'CSA LASER'!F90+'Other Benefits LASER'!F90</f>
        <v>2297586.0125383753</v>
      </c>
      <c r="G91" s="1408">
        <f>'TANF LASER'!H90+'Energy Assistance LASER'!I90+'FC &amp; Adoptions LASER'!G90+'CSA LASER'!G90+'Other Benefits LASER'!G90</f>
        <v>-0.08</v>
      </c>
      <c r="H91" s="1408">
        <f t="shared" si="4"/>
        <v>111324469.76120833</v>
      </c>
      <c r="I91" s="1408">
        <f t="shared" si="3"/>
        <v>2297585.9325383753</v>
      </c>
    </row>
    <row r="92" spans="1:9" x14ac:dyDescent="0.25">
      <c r="A92" s="737" t="s">
        <v>224</v>
      </c>
      <c r="B92" s="589" t="s">
        <v>225</v>
      </c>
      <c r="C92" s="738" t="s">
        <v>264</v>
      </c>
      <c r="D92" s="1408">
        <f>'Medicaid &amp; FAMIS - LASER'!E91+'SNAP LASER'!E91+'TANF LASER'!D91+'Energy Assistance LASER'!E91+'FC &amp; Adoptions LASER'!D91+'CSA LASER'!D91+'ChildCare LASER'!I91+'Other Benefits LASER'!D91</f>
        <v>5989942.1305796169</v>
      </c>
      <c r="E92" s="1408">
        <f>'Medicaid &amp; FAMIS - LASER'!F91+'TANF LASER'!F91+'Energy Assistance LASER'!G91+'FC &amp; Adoptions LASER'!E91+'CSA LASER'!E91+'ChildCare LASER'!J91+'Other Benefits LASER'!E91</f>
        <v>4368522.6081970157</v>
      </c>
      <c r="F92" s="1408">
        <f>'Medicaid &amp; FAMIS - LASER'!G91+'TANF LASER'!G91+'Energy Assistance LASER'!H91+'FC &amp; Adoptions LASER'!F91+'CSA LASER'!F91+'Other Benefits LASER'!F91</f>
        <v>48050.320249999997</v>
      </c>
      <c r="G92" s="1408">
        <f>'TANF LASER'!H91+'Energy Assistance LASER'!I91+'FC &amp; Adoptions LASER'!G91+'CSA LASER'!G91+'Other Benefits LASER'!G91</f>
        <v>150</v>
      </c>
      <c r="H92" s="1408">
        <f t="shared" si="4"/>
        <v>10406665.059026632</v>
      </c>
      <c r="I92" s="1408">
        <f t="shared" si="3"/>
        <v>48200.320249999997</v>
      </c>
    </row>
    <row r="93" spans="1:9" x14ac:dyDescent="0.25">
      <c r="A93" s="737" t="s">
        <v>226</v>
      </c>
      <c r="B93" s="589" t="s">
        <v>227</v>
      </c>
      <c r="C93" s="738" t="s">
        <v>264</v>
      </c>
      <c r="D93" s="1408">
        <f>'Medicaid &amp; FAMIS - LASER'!E92+'SNAP LASER'!E92+'TANF LASER'!D92+'Energy Assistance LASER'!E92+'FC &amp; Adoptions LASER'!D92+'CSA LASER'!D92+'ChildCare LASER'!I92+'Other Benefits LASER'!D92</f>
        <v>12083454.665049113</v>
      </c>
      <c r="E93" s="1408">
        <f>'Medicaid &amp; FAMIS - LASER'!F92+'TANF LASER'!F92+'Energy Assistance LASER'!G92+'FC &amp; Adoptions LASER'!E92+'CSA LASER'!E92+'ChildCare LASER'!J92+'Other Benefits LASER'!E92</f>
        <v>9598708.970547365</v>
      </c>
      <c r="F93" s="1408">
        <f>'Medicaid &amp; FAMIS - LASER'!G92+'TANF LASER'!G92+'Energy Assistance LASER'!H92+'FC &amp; Adoptions LASER'!F92+'CSA LASER'!F92+'Other Benefits LASER'!F92</f>
        <v>168622.40223750001</v>
      </c>
      <c r="G93" s="1408">
        <f>'TANF LASER'!H92+'Energy Assistance LASER'!I92+'FC &amp; Adoptions LASER'!G92+'CSA LASER'!G92+'Other Benefits LASER'!G92</f>
        <v>212.36</v>
      </c>
      <c r="H93" s="1408">
        <f t="shared" si="4"/>
        <v>21850998.397833977</v>
      </c>
      <c r="I93" s="1408">
        <f t="shared" si="3"/>
        <v>168834.76223749999</v>
      </c>
    </row>
    <row r="94" spans="1:9" x14ac:dyDescent="0.25">
      <c r="A94" s="737" t="s">
        <v>228</v>
      </c>
      <c r="B94" s="589" t="s">
        <v>229</v>
      </c>
      <c r="C94" s="738" t="s">
        <v>268</v>
      </c>
      <c r="D94" s="1408">
        <f>'Medicaid &amp; FAMIS - LASER'!E93+'SNAP LASER'!E93+'TANF LASER'!D93+'Energy Assistance LASER'!E93+'FC &amp; Adoptions LASER'!D93+'CSA LASER'!D93+'ChildCare LASER'!I93+'Other Benefits LASER'!D93</f>
        <v>43471793.012502253</v>
      </c>
      <c r="E94" s="1408">
        <f>'Medicaid &amp; FAMIS - LASER'!F93+'TANF LASER'!F93+'Energy Assistance LASER'!G93+'FC &amp; Adoptions LASER'!E93+'CSA LASER'!E93+'ChildCare LASER'!J93+'Other Benefits LASER'!E93</f>
        <v>32102480.42050451</v>
      </c>
      <c r="F94" s="1408">
        <f>'Medicaid &amp; FAMIS - LASER'!G93+'TANF LASER'!G93+'Energy Assistance LASER'!H93+'FC &amp; Adoptions LASER'!F93+'CSA LASER'!F93+'Other Benefits LASER'!F93</f>
        <v>591544.36012500012</v>
      </c>
      <c r="G94" s="1408">
        <f>'TANF LASER'!H93+'Energy Assistance LASER'!I93+'FC &amp; Adoptions LASER'!G93+'CSA LASER'!G93+'Other Benefits LASER'!G93</f>
        <v>32120.77</v>
      </c>
      <c r="H94" s="1408">
        <f t="shared" si="4"/>
        <v>76197938.563131765</v>
      </c>
      <c r="I94" s="1408">
        <f t="shared" si="3"/>
        <v>623665.13012500014</v>
      </c>
    </row>
    <row r="95" spans="1:9" x14ac:dyDescent="0.25">
      <c r="A95" s="737" t="s">
        <v>232</v>
      </c>
      <c r="B95" s="589" t="s">
        <v>233</v>
      </c>
      <c r="C95" s="738" t="s">
        <v>267</v>
      </c>
      <c r="D95" s="1408">
        <f>'Medicaid &amp; FAMIS - LASER'!E94+'SNAP LASER'!E94+'TANF LASER'!D94+'Energy Assistance LASER'!E94+'FC &amp; Adoptions LASER'!D94+'CSA LASER'!D94+'ChildCare LASER'!I94+'Other Benefits LASER'!D94</f>
        <v>28634998.51739658</v>
      </c>
      <c r="E95" s="1408">
        <f>'Medicaid &amp; FAMIS - LASER'!F94+'TANF LASER'!F94+'Energy Assistance LASER'!G94+'FC &amp; Adoptions LASER'!E94+'CSA LASER'!E94+'ChildCare LASER'!J94+'Other Benefits LASER'!E94</f>
        <v>21810009.671560906</v>
      </c>
      <c r="F95" s="1408">
        <f>'Medicaid &amp; FAMIS - LASER'!G94+'TANF LASER'!G94+'Energy Assistance LASER'!H94+'FC &amp; Adoptions LASER'!F94+'CSA LASER'!F94+'Other Benefits LASER'!F94</f>
        <v>722059.66981700005</v>
      </c>
      <c r="G95" s="1408">
        <f>'TANF LASER'!H94+'Energy Assistance LASER'!I94+'FC &amp; Adoptions LASER'!G94+'CSA LASER'!G94+'Other Benefits LASER'!G94</f>
        <v>-0.11</v>
      </c>
      <c r="H95" s="1408">
        <f t="shared" si="4"/>
        <v>51167067.748774484</v>
      </c>
      <c r="I95" s="1408">
        <f t="shared" si="3"/>
        <v>722059.55981700006</v>
      </c>
    </row>
    <row r="96" spans="1:9" x14ac:dyDescent="0.25">
      <c r="A96" s="737" t="s">
        <v>234</v>
      </c>
      <c r="B96" s="589" t="s">
        <v>235</v>
      </c>
      <c r="C96" s="738" t="s">
        <v>268</v>
      </c>
      <c r="D96" s="1408">
        <f>'Medicaid &amp; FAMIS - LASER'!E95+'SNAP LASER'!E95+'TANF LASER'!D95+'Energy Assistance LASER'!E95+'FC &amp; Adoptions LASER'!D95+'CSA LASER'!D95+'ChildCare LASER'!I95+'Other Benefits LASER'!D95</f>
        <v>41979681.209929362</v>
      </c>
      <c r="E96" s="1408">
        <f>'Medicaid &amp; FAMIS - LASER'!F95+'TANF LASER'!F95+'Energy Assistance LASER'!G95+'FC &amp; Adoptions LASER'!E95+'CSA LASER'!E95+'ChildCare LASER'!J95+'Other Benefits LASER'!E95</f>
        <v>32046751.093925431</v>
      </c>
      <c r="F96" s="1408">
        <f>'Medicaid &amp; FAMIS - LASER'!G95+'TANF LASER'!G95+'Energy Assistance LASER'!H95+'FC &amp; Adoptions LASER'!F95+'CSA LASER'!F95+'Other Benefits LASER'!F95</f>
        <v>683662.73710000003</v>
      </c>
      <c r="G96" s="1408">
        <f>'TANF LASER'!H95+'Energy Assistance LASER'!I95+'FC &amp; Adoptions LASER'!G95+'CSA LASER'!G95+'Other Benefits LASER'!G95</f>
        <v>9718.7800000000007</v>
      </c>
      <c r="H96" s="1408">
        <f t="shared" si="4"/>
        <v>74719813.8209548</v>
      </c>
      <c r="I96" s="1408">
        <f t="shared" si="3"/>
        <v>693381.51710000006</v>
      </c>
    </row>
    <row r="97" spans="1:9" x14ac:dyDescent="0.25">
      <c r="A97" s="737" t="s">
        <v>236</v>
      </c>
      <c r="B97" s="589" t="s">
        <v>237</v>
      </c>
      <c r="C97" s="738" t="s">
        <v>266</v>
      </c>
      <c r="D97" s="1408">
        <f>'Medicaid &amp; FAMIS - LASER'!E96+'SNAP LASER'!E96+'TANF LASER'!D96+'Energy Assistance LASER'!E96+'FC &amp; Adoptions LASER'!D96+'CSA LASER'!D96+'ChildCare LASER'!I96+'Other Benefits LASER'!D96</f>
        <v>15986195.944431273</v>
      </c>
      <c r="E97" s="1408">
        <f>'Medicaid &amp; FAMIS - LASER'!F96+'TANF LASER'!F96+'Energy Assistance LASER'!G96+'FC &amp; Adoptions LASER'!E96+'CSA LASER'!E96+'ChildCare LASER'!J96+'Other Benefits LASER'!E96</f>
        <v>11574042.008615967</v>
      </c>
      <c r="F97" s="1408">
        <f>'Medicaid &amp; FAMIS - LASER'!G96+'TANF LASER'!G96+'Energy Assistance LASER'!H96+'FC &amp; Adoptions LASER'!F96+'CSA LASER'!F96+'Other Benefits LASER'!F96</f>
        <v>406918.97968749999</v>
      </c>
      <c r="G97" s="1408">
        <f>'TANF LASER'!H96+'Energy Assistance LASER'!I96+'FC &amp; Adoptions LASER'!G96+'CSA LASER'!G96+'Other Benefits LASER'!G96</f>
        <v>1499.99</v>
      </c>
      <c r="H97" s="1408">
        <f t="shared" si="4"/>
        <v>27968656.922734737</v>
      </c>
      <c r="I97" s="1408">
        <f t="shared" si="3"/>
        <v>408418.96968749998</v>
      </c>
    </row>
    <row r="98" spans="1:9" x14ac:dyDescent="0.25">
      <c r="A98" s="737" t="s">
        <v>242</v>
      </c>
      <c r="B98" s="589" t="s">
        <v>243</v>
      </c>
      <c r="C98" s="738" t="s">
        <v>268</v>
      </c>
      <c r="D98" s="1408">
        <f>'Medicaid &amp; FAMIS - LASER'!E97+'SNAP LASER'!E97+'TANF LASER'!D97+'Energy Assistance LASER'!E97+'FC &amp; Adoptions LASER'!D97+'CSA LASER'!D97+'ChildCare LASER'!I97+'Other Benefits LASER'!D97</f>
        <v>48542056.075643942</v>
      </c>
      <c r="E98" s="1408">
        <f>'Medicaid &amp; FAMIS - LASER'!F97+'TANF LASER'!F97+'Energy Assistance LASER'!G97+'FC &amp; Adoptions LASER'!E97+'CSA LASER'!E97+'ChildCare LASER'!J97+'Other Benefits LASER'!E97</f>
        <v>36919148.018872626</v>
      </c>
      <c r="F98" s="1408">
        <f>'Medicaid &amp; FAMIS - LASER'!G97+'TANF LASER'!G97+'Energy Assistance LASER'!H97+'FC &amp; Adoptions LASER'!F97+'CSA LASER'!F97+'Other Benefits LASER'!F97</f>
        <v>517172.10113750002</v>
      </c>
      <c r="G98" s="1408">
        <f>'TANF LASER'!H97+'Energy Assistance LASER'!I97+'FC &amp; Adoptions LASER'!G97+'CSA LASER'!G97+'Other Benefits LASER'!G97</f>
        <v>-0.19</v>
      </c>
      <c r="H98" s="1408">
        <f t="shared" si="4"/>
        <v>85978376.005654082</v>
      </c>
      <c r="I98" s="1408">
        <f t="shared" si="3"/>
        <v>517171.91113750002</v>
      </c>
    </row>
    <row r="99" spans="1:9" x14ac:dyDescent="0.25">
      <c r="A99" s="737" t="s">
        <v>244</v>
      </c>
      <c r="B99" s="589" t="s">
        <v>245</v>
      </c>
      <c r="C99" s="738" t="s">
        <v>268</v>
      </c>
      <c r="D99" s="1408">
        <f>'Medicaid &amp; FAMIS - LASER'!E98+'SNAP LASER'!E98+'TANF LASER'!D98+'Energy Assistance LASER'!E98+'FC &amp; Adoptions LASER'!D98+'CSA LASER'!D98+'ChildCare LASER'!I98+'Other Benefits LASER'!D98</f>
        <v>26003788.018594641</v>
      </c>
      <c r="E99" s="1408">
        <f>'Medicaid &amp; FAMIS - LASER'!F98+'TANF LASER'!F98+'Energy Assistance LASER'!G98+'FC &amp; Adoptions LASER'!E98+'CSA LASER'!E98+'ChildCare LASER'!J98+'Other Benefits LASER'!E98</f>
        <v>21349741.808028355</v>
      </c>
      <c r="F99" s="1408">
        <f>'Medicaid &amp; FAMIS - LASER'!G98+'TANF LASER'!G98+'Energy Assistance LASER'!H98+'FC &amp; Adoptions LASER'!F98+'CSA LASER'!F98+'Other Benefits LASER'!F98</f>
        <v>570643.67815499997</v>
      </c>
      <c r="G99" s="1408">
        <f>'TANF LASER'!H98+'Energy Assistance LASER'!I98+'FC &amp; Adoptions LASER'!G98+'CSA LASER'!G98+'Other Benefits LASER'!G98</f>
        <v>704.92</v>
      </c>
      <c r="H99" s="1408">
        <f t="shared" si="4"/>
        <v>47924878.424777992</v>
      </c>
      <c r="I99" s="1408">
        <f t="shared" si="3"/>
        <v>571348.59815500001</v>
      </c>
    </row>
    <row r="100" spans="1:9" x14ac:dyDescent="0.25">
      <c r="A100" s="737" t="s">
        <v>246</v>
      </c>
      <c r="B100" s="589" t="s">
        <v>247</v>
      </c>
      <c r="C100" s="738" t="s">
        <v>264</v>
      </c>
      <c r="D100" s="1408">
        <f>'Medicaid &amp; FAMIS - LASER'!E99+'SNAP LASER'!E99+'TANF LASER'!D99+'Energy Assistance LASER'!E99+'FC &amp; Adoptions LASER'!D99+'CSA LASER'!D99+'ChildCare LASER'!I99+'Other Benefits LASER'!D99</f>
        <v>22174864.565941527</v>
      </c>
      <c r="E100" s="1408">
        <f>'Medicaid &amp; FAMIS - LASER'!F99+'TANF LASER'!F99+'Energy Assistance LASER'!G99+'FC &amp; Adoptions LASER'!E99+'CSA LASER'!E99+'ChildCare LASER'!J99+'Other Benefits LASER'!E99</f>
        <v>17655268.534286816</v>
      </c>
      <c r="F100" s="1408">
        <f>'Medicaid &amp; FAMIS - LASER'!G99+'TANF LASER'!G99+'Energy Assistance LASER'!H99+'FC &amp; Adoptions LASER'!F99+'CSA LASER'!F99+'Other Benefits LASER'!F99</f>
        <v>583262.04865625</v>
      </c>
      <c r="G100" s="1408">
        <f>'TANF LASER'!H99+'Energy Assistance LASER'!I99+'FC &amp; Adoptions LASER'!G99+'CSA LASER'!G99+'Other Benefits LASER'!G99</f>
        <v>656.97</v>
      </c>
      <c r="H100" s="1408">
        <f t="shared" si="4"/>
        <v>40414052.118884586</v>
      </c>
      <c r="I100" s="1408">
        <f t="shared" si="3"/>
        <v>583919.01865624997</v>
      </c>
    </row>
    <row r="101" spans="1:9" x14ac:dyDescent="0.25">
      <c r="A101" s="737" t="s">
        <v>14</v>
      </c>
      <c r="B101" s="589" t="s">
        <v>15</v>
      </c>
      <c r="C101" s="738" t="s">
        <v>267</v>
      </c>
      <c r="D101" s="1408">
        <f>'Medicaid &amp; FAMIS - LASER'!E100+'SNAP LASER'!E100+'TANF LASER'!D100+'Energy Assistance LASER'!E100+'FC &amp; Adoptions LASER'!D100+'CSA LASER'!D100+'ChildCare LASER'!I100+'Other Benefits LASER'!D100</f>
        <v>71860474.81275554</v>
      </c>
      <c r="E101" s="1408">
        <f>'Medicaid &amp; FAMIS - LASER'!F100+'TANF LASER'!F100+'Energy Assistance LASER'!G100+'FC &amp; Adoptions LASER'!E100+'CSA LASER'!E100+'ChildCare LASER'!J100+'Other Benefits LASER'!E100</f>
        <v>58284006.941007115</v>
      </c>
      <c r="F101" s="1408">
        <f>'Medicaid &amp; FAMIS - LASER'!G100+'TANF LASER'!G100+'Energy Assistance LASER'!H100+'FC &amp; Adoptions LASER'!F100+'CSA LASER'!F100+'Other Benefits LASER'!F100</f>
        <v>4246437.7113287505</v>
      </c>
      <c r="G101" s="1408">
        <f>'TANF LASER'!H100+'Energy Assistance LASER'!I100+'FC &amp; Adoptions LASER'!G100+'CSA LASER'!G100+'Other Benefits LASER'!G100</f>
        <v>1310.29</v>
      </c>
      <c r="H101" s="1408">
        <f t="shared" si="4"/>
        <v>134392229.7550914</v>
      </c>
      <c r="I101" s="1408">
        <f t="shared" si="3"/>
        <v>4247748.0013287505</v>
      </c>
    </row>
    <row r="102" spans="1:9" x14ac:dyDescent="0.25">
      <c r="A102" s="737" t="s">
        <v>34</v>
      </c>
      <c r="B102" s="589" t="s">
        <v>35</v>
      </c>
      <c r="C102" s="738" t="s">
        <v>268</v>
      </c>
      <c r="D102" s="1408">
        <f>'Medicaid &amp; FAMIS - LASER'!E101+'SNAP LASER'!E101+'TANF LASER'!D101+'Energy Assistance LASER'!E101+'FC &amp; Adoptions LASER'!D101+'CSA LASER'!D101+'ChildCare LASER'!I101+'Other Benefits LASER'!D101</f>
        <v>22349185.689538535</v>
      </c>
      <c r="E102" s="1408">
        <f>'Medicaid &amp; FAMIS - LASER'!F101+'TANF LASER'!F101+'Energy Assistance LASER'!G101+'FC &amp; Adoptions LASER'!E101+'CSA LASER'!E101+'ChildCare LASER'!J101+'Other Benefits LASER'!E101</f>
        <v>16955071.828840539</v>
      </c>
      <c r="F102" s="1408">
        <f>'Medicaid &amp; FAMIS - LASER'!G101+'TANF LASER'!G101+'Energy Assistance LASER'!H101+'FC &amp; Adoptions LASER'!F101+'CSA LASER'!F101+'Other Benefits LASER'!F101</f>
        <v>737481.87159312493</v>
      </c>
      <c r="G102" s="1408">
        <f>'TANF LASER'!H101+'Energy Assistance LASER'!I101+'FC &amp; Adoptions LASER'!G101+'CSA LASER'!G101+'Other Benefits LASER'!G101</f>
        <v>-0.25</v>
      </c>
      <c r="H102" s="1408">
        <f t="shared" si="4"/>
        <v>40041739.139972202</v>
      </c>
      <c r="I102" s="1408">
        <f t="shared" si="3"/>
        <v>737481.62159312493</v>
      </c>
    </row>
    <row r="103" spans="1:9" x14ac:dyDescent="0.25">
      <c r="A103" s="737" t="s">
        <v>52</v>
      </c>
      <c r="B103" s="589" t="s">
        <v>53</v>
      </c>
      <c r="C103" s="738" t="s">
        <v>265</v>
      </c>
      <c r="D103" s="1408">
        <f>'Medicaid &amp; FAMIS - LASER'!E102+'SNAP LASER'!E102+'TANF LASER'!D102+'Energy Assistance LASER'!E102+'FC &amp; Adoptions LASER'!D102+'CSA LASER'!D102+'ChildCare LASER'!I102+'Other Benefits LASER'!D102</f>
        <v>37174240.124676563</v>
      </c>
      <c r="E103" s="1408">
        <f>'Medicaid &amp; FAMIS - LASER'!F102+'TANF LASER'!F102+'Energy Assistance LASER'!G102+'FC &amp; Adoptions LASER'!E102+'CSA LASER'!E102+'ChildCare LASER'!J102+'Other Benefits LASER'!E102</f>
        <v>34630137.982515253</v>
      </c>
      <c r="F103" s="1408">
        <f>'Medicaid &amp; FAMIS - LASER'!G102+'TANF LASER'!G102+'Energy Assistance LASER'!H102+'FC &amp; Adoptions LASER'!F102+'CSA LASER'!F102+'Other Benefits LASER'!F102</f>
        <v>2244180.8597550001</v>
      </c>
      <c r="G103" s="1408">
        <f>'TANF LASER'!H102+'Energy Assistance LASER'!I102+'FC &amp; Adoptions LASER'!G102+'CSA LASER'!G102+'Other Benefits LASER'!G102</f>
        <v>-2412.5</v>
      </c>
      <c r="H103" s="1408">
        <f t="shared" si="4"/>
        <v>74046146.46694681</v>
      </c>
      <c r="I103" s="1408">
        <f t="shared" si="3"/>
        <v>2241768.3597550001</v>
      </c>
    </row>
    <row r="104" spans="1:9" x14ac:dyDescent="0.25">
      <c r="A104" s="737" t="s">
        <v>54</v>
      </c>
      <c r="B104" s="589" t="s">
        <v>55</v>
      </c>
      <c r="C104" s="738" t="s">
        <v>264</v>
      </c>
      <c r="D104" s="1408">
        <f>'Medicaid &amp; FAMIS - LASER'!E103+'SNAP LASER'!E103+'TANF LASER'!D103+'Energy Assistance LASER'!E103+'FC &amp; Adoptions LASER'!D103+'CSA LASER'!D103+'ChildCare LASER'!I103+'Other Benefits LASER'!D103</f>
        <v>138589671.46967286</v>
      </c>
      <c r="E104" s="1408">
        <f>'Medicaid &amp; FAMIS - LASER'!F103+'TANF LASER'!F103+'Energy Assistance LASER'!G103+'FC &amp; Adoptions LASER'!E103+'CSA LASER'!E103+'ChildCare LASER'!J103+'Other Benefits LASER'!E103</f>
        <v>102978064.12555097</v>
      </c>
      <c r="F104" s="1408">
        <f>'Medicaid &amp; FAMIS - LASER'!G103+'TANF LASER'!G103+'Energy Assistance LASER'!H103+'FC &amp; Adoptions LASER'!F103+'CSA LASER'!F103+'Other Benefits LASER'!F103</f>
        <v>1621330.2534062499</v>
      </c>
      <c r="G104" s="1408">
        <f>'TANF LASER'!H103+'Energy Assistance LASER'!I103+'FC &amp; Adoptions LASER'!G103+'CSA LASER'!G103+'Other Benefits LASER'!G103</f>
        <v>-2765.6600000000003</v>
      </c>
      <c r="H104" s="1408">
        <f t="shared" si="4"/>
        <v>243186300.1886301</v>
      </c>
      <c r="I104" s="1408">
        <f t="shared" si="3"/>
        <v>1618564.59340625</v>
      </c>
    </row>
    <row r="105" spans="1:9" x14ac:dyDescent="0.25">
      <c r="A105" s="737" t="s">
        <v>66</v>
      </c>
      <c r="B105" s="589" t="s">
        <v>67</v>
      </c>
      <c r="C105" s="738" t="s">
        <v>265</v>
      </c>
      <c r="D105" s="1408">
        <f>'Medicaid &amp; FAMIS - LASER'!E104+'SNAP LASER'!E104+'TANF LASER'!D104+'Energy Assistance LASER'!E104+'FC &amp; Adoptions LASER'!D104+'CSA LASER'!D104+'ChildCare LASER'!I104+'Other Benefits LASER'!D104</f>
        <v>81702238.9310835</v>
      </c>
      <c r="E105" s="1408">
        <f>'Medicaid &amp; FAMIS - LASER'!F104+'TANF LASER'!F104+'Energy Assistance LASER'!G104+'FC &amp; Adoptions LASER'!E104+'CSA LASER'!E104+'ChildCare LASER'!J104+'Other Benefits LASER'!E104</f>
        <v>63558034.720989287</v>
      </c>
      <c r="F105" s="1408">
        <f>'Medicaid &amp; FAMIS - LASER'!G104+'TANF LASER'!G104+'Energy Assistance LASER'!H104+'FC &amp; Adoptions LASER'!F104+'CSA LASER'!F104+'Other Benefits LASER'!F104</f>
        <v>993260.29894625</v>
      </c>
      <c r="G105" s="1408">
        <f>'TANF LASER'!H104+'Energy Assistance LASER'!I104+'FC &amp; Adoptions LASER'!G104+'CSA LASER'!G104+'Other Benefits LASER'!G104</f>
        <v>-0.13</v>
      </c>
      <c r="H105" s="1408">
        <f t="shared" si="4"/>
        <v>146253533.82101905</v>
      </c>
      <c r="I105" s="1408">
        <f t="shared" si="3"/>
        <v>993260.16894624999</v>
      </c>
    </row>
    <row r="106" spans="1:9" x14ac:dyDescent="0.25">
      <c r="A106" s="737" t="s">
        <v>82</v>
      </c>
      <c r="B106" s="589" t="s">
        <v>311</v>
      </c>
      <c r="C106" s="738" t="s">
        <v>264</v>
      </c>
      <c r="D106" s="1408">
        <f>'Medicaid &amp; FAMIS - LASER'!E105+'SNAP LASER'!E105+'TANF LASER'!D105+'Energy Assistance LASER'!E105+'FC &amp; Adoptions LASER'!D105+'CSA LASER'!D105+'ChildCare LASER'!I105+'Other Benefits LASER'!D105</f>
        <v>16174619.14271803</v>
      </c>
      <c r="E106" s="1408">
        <f>'Medicaid &amp; FAMIS - LASER'!F105+'TANF LASER'!F105+'Energy Assistance LASER'!G105+'FC &amp; Adoptions LASER'!E105+'CSA LASER'!E105+'ChildCare LASER'!J105+'Other Benefits LASER'!E105</f>
        <v>12016234.816008849</v>
      </c>
      <c r="F106" s="1408">
        <f>'Medicaid &amp; FAMIS - LASER'!G105+'TANF LASER'!G105+'Energy Assistance LASER'!H105+'FC &amp; Adoptions LASER'!F105+'CSA LASER'!F105+'Other Benefits LASER'!F105</f>
        <v>70813.631724999999</v>
      </c>
      <c r="G106" s="1408">
        <f>'TANF LASER'!H105+'Energy Assistance LASER'!I105+'FC &amp; Adoptions LASER'!G105+'CSA LASER'!G105+'Other Benefits LASER'!G105</f>
        <v>0</v>
      </c>
      <c r="H106" s="1408">
        <f t="shared" si="4"/>
        <v>28261667.590451878</v>
      </c>
      <c r="I106" s="1408">
        <f t="shared" si="3"/>
        <v>70813.631724999999</v>
      </c>
    </row>
    <row r="107" spans="1:9" x14ac:dyDescent="0.25">
      <c r="A107" s="737" t="s">
        <v>88</v>
      </c>
      <c r="B107" s="589" t="s">
        <v>89</v>
      </c>
      <c r="C107" s="738" t="s">
        <v>267</v>
      </c>
      <c r="D107" s="1408">
        <f>'Medicaid &amp; FAMIS - LASER'!E106+'SNAP LASER'!E106+'TANF LASER'!D106+'Energy Assistance LASER'!E106+'FC &amp; Adoptions LASER'!D106+'CSA LASER'!D106+'ChildCare LASER'!I106+'Other Benefits LASER'!D106</f>
        <v>24859157.700829983</v>
      </c>
      <c r="E107" s="1408">
        <f>'Medicaid &amp; FAMIS - LASER'!F106+'TANF LASER'!F106+'Energy Assistance LASER'!G106+'FC &amp; Adoptions LASER'!E106+'CSA LASER'!E106+'ChildCare LASER'!J106+'Other Benefits LASER'!E106</f>
        <v>19245431.791991025</v>
      </c>
      <c r="F107" s="1408">
        <f>'Medicaid &amp; FAMIS - LASER'!G106+'TANF LASER'!G106+'Energy Assistance LASER'!H106+'FC &amp; Adoptions LASER'!F106+'CSA LASER'!F106+'Other Benefits LASER'!F106</f>
        <v>609668.06703875004</v>
      </c>
      <c r="G107" s="1408">
        <f>'TANF LASER'!H106+'Energy Assistance LASER'!I106+'FC &amp; Adoptions LASER'!G106+'CSA LASER'!G106+'Other Benefits LASER'!G106</f>
        <v>-0.16</v>
      </c>
      <c r="H107" s="1408">
        <f t="shared" si="4"/>
        <v>44714257.399859764</v>
      </c>
      <c r="I107" s="1408">
        <f t="shared" si="3"/>
        <v>609667.90703875001</v>
      </c>
    </row>
    <row r="108" spans="1:9" x14ac:dyDescent="0.25">
      <c r="A108" s="737" t="s">
        <v>90</v>
      </c>
      <c r="B108" s="589" t="s">
        <v>91</v>
      </c>
      <c r="C108" s="738" t="s">
        <v>268</v>
      </c>
      <c r="D108" s="1408">
        <f>'Medicaid &amp; FAMIS - LASER'!E107+'SNAP LASER'!E107+'TANF LASER'!D107+'Energy Assistance LASER'!E107+'FC &amp; Adoptions LASER'!D107+'CSA LASER'!D107+'ChildCare LASER'!I107+'Other Benefits LASER'!D107</f>
        <v>11301573.308326054</v>
      </c>
      <c r="E108" s="1408">
        <f>'Medicaid &amp; FAMIS - LASER'!F107+'TANF LASER'!F107+'Energy Assistance LASER'!G107+'FC &amp; Adoptions LASER'!E107+'CSA LASER'!E107+'ChildCare LASER'!J107+'Other Benefits LASER'!E107</f>
        <v>8625819.2029202096</v>
      </c>
      <c r="F108" s="1408">
        <f>'Medicaid &amp; FAMIS - LASER'!G107+'TANF LASER'!G107+'Energy Assistance LASER'!H107+'FC &amp; Adoptions LASER'!F107+'CSA LASER'!F107+'Other Benefits LASER'!F107</f>
        <v>130611.3085675</v>
      </c>
      <c r="G108" s="1408">
        <f>'TANF LASER'!H107+'Energy Assistance LASER'!I107+'FC &amp; Adoptions LASER'!G107+'CSA LASER'!G107+'Other Benefits LASER'!G107</f>
        <v>-0.05</v>
      </c>
      <c r="H108" s="1408">
        <f t="shared" si="4"/>
        <v>20058003.769813765</v>
      </c>
      <c r="I108" s="1408">
        <f t="shared" si="3"/>
        <v>130611.2585675</v>
      </c>
    </row>
    <row r="109" spans="1:9" x14ac:dyDescent="0.25">
      <c r="A109" s="737" t="s">
        <v>106</v>
      </c>
      <c r="B109" s="589" t="s">
        <v>107</v>
      </c>
      <c r="C109" s="738" t="s">
        <v>264</v>
      </c>
      <c r="D109" s="1408">
        <f>'Medicaid &amp; FAMIS - LASER'!E108+'SNAP LASER'!E108+'TANF LASER'!D108+'Energy Assistance LASER'!E108+'FC &amp; Adoptions LASER'!D108+'CSA LASER'!D108+'ChildCare LASER'!I108+'Other Benefits LASER'!D108</f>
        <v>126442552.31126079</v>
      </c>
      <c r="E109" s="1408">
        <f>'Medicaid &amp; FAMIS - LASER'!F108+'TANF LASER'!F108+'Energy Assistance LASER'!G108+'FC &amp; Adoptions LASER'!E108+'CSA LASER'!E108+'ChildCare LASER'!J108+'Other Benefits LASER'!E108</f>
        <v>98834674.54816106</v>
      </c>
      <c r="F109" s="1408">
        <f>'Medicaid &amp; FAMIS - LASER'!G108+'TANF LASER'!G108+'Energy Assistance LASER'!H108+'FC &amp; Adoptions LASER'!F108+'CSA LASER'!F108+'Other Benefits LASER'!F108</f>
        <v>1636858.0362874998</v>
      </c>
      <c r="G109" s="1408">
        <f>'TANF LASER'!H108+'Energy Assistance LASER'!I108+'FC &amp; Adoptions LASER'!G108+'CSA LASER'!G108+'Other Benefits LASER'!G108</f>
        <v>2400.89</v>
      </c>
      <c r="H109" s="1408">
        <f t="shared" si="4"/>
        <v>226916485.78570932</v>
      </c>
      <c r="I109" s="1408">
        <f t="shared" si="3"/>
        <v>1639258.9262874997</v>
      </c>
    </row>
    <row r="110" spans="1:9" x14ac:dyDescent="0.25">
      <c r="A110" s="737" t="s">
        <v>116</v>
      </c>
      <c r="B110" s="589" t="s">
        <v>117</v>
      </c>
      <c r="C110" s="738" t="s">
        <v>266</v>
      </c>
      <c r="D110" s="1408">
        <f>'Medicaid &amp; FAMIS - LASER'!E109+'SNAP LASER'!E109+'TANF LASER'!D109+'Energy Assistance LASER'!E109+'FC &amp; Adoptions LASER'!D109+'CSA LASER'!D109+'ChildCare LASER'!I109+'Other Benefits LASER'!D109</f>
        <v>35307401.656947508</v>
      </c>
      <c r="E110" s="1408">
        <f>'Medicaid &amp; FAMIS - LASER'!F109+'TANF LASER'!F109+'Energy Assistance LASER'!G109+'FC &amp; Adoptions LASER'!E109+'CSA LASER'!E109+'ChildCare LASER'!J109+'Other Benefits LASER'!E109</f>
        <v>25596544.36994547</v>
      </c>
      <c r="F110" s="1408">
        <f>'Medicaid &amp; FAMIS - LASER'!G109+'TANF LASER'!G109+'Energy Assistance LASER'!H109+'FC &amp; Adoptions LASER'!F109+'CSA LASER'!F109+'Other Benefits LASER'!F109</f>
        <v>824617.19899974996</v>
      </c>
      <c r="G110" s="1408">
        <f>'TANF LASER'!H109+'Energy Assistance LASER'!I109+'FC &amp; Adoptions LASER'!G109+'CSA LASER'!G109+'Other Benefits LASER'!G109</f>
        <v>-9.9999999999999992E-2</v>
      </c>
      <c r="H110" s="1408">
        <f t="shared" si="4"/>
        <v>61728563.125892721</v>
      </c>
      <c r="I110" s="1408">
        <f t="shared" si="3"/>
        <v>824617.09899974999</v>
      </c>
    </row>
    <row r="111" spans="1:9" x14ac:dyDescent="0.25">
      <c r="A111" s="737" t="s">
        <v>138</v>
      </c>
      <c r="B111" s="589" t="s">
        <v>139</v>
      </c>
      <c r="C111" s="738" t="s">
        <v>265</v>
      </c>
      <c r="D111" s="1408">
        <f>'Medicaid &amp; FAMIS - LASER'!E110+'SNAP LASER'!E110+'TANF LASER'!D110+'Energy Assistance LASER'!E110+'FC &amp; Adoptions LASER'!D110+'CSA LASER'!D110+'ChildCare LASER'!I110+'Other Benefits LASER'!D110</f>
        <v>82685410.529887035</v>
      </c>
      <c r="E111" s="1408">
        <f>'Medicaid &amp; FAMIS - LASER'!F110+'TANF LASER'!F110+'Energy Assistance LASER'!G110+'FC &amp; Adoptions LASER'!E110+'CSA LASER'!E110+'ChildCare LASER'!J110+'Other Benefits LASER'!E110</f>
        <v>66991711.74960696</v>
      </c>
      <c r="F111" s="1408">
        <f>'Medicaid &amp; FAMIS - LASER'!G110+'TANF LASER'!G110+'Energy Assistance LASER'!H110+'FC &amp; Adoptions LASER'!F110+'CSA LASER'!F110+'Other Benefits LASER'!F110</f>
        <v>2041087.2948950003</v>
      </c>
      <c r="G111" s="1408">
        <f>'TANF LASER'!H110+'Energy Assistance LASER'!I110+'FC &amp; Adoptions LASER'!G110+'CSA LASER'!G110+'Other Benefits LASER'!G110</f>
        <v>-0.47000000000000003</v>
      </c>
      <c r="H111" s="1408">
        <f t="shared" si="4"/>
        <v>151718209.10438898</v>
      </c>
      <c r="I111" s="1408">
        <f t="shared" si="3"/>
        <v>2041086.8248950003</v>
      </c>
    </row>
    <row r="112" spans="1:9" x14ac:dyDescent="0.25">
      <c r="A112" s="737" t="s">
        <v>142</v>
      </c>
      <c r="B112" s="589" t="s">
        <v>143</v>
      </c>
      <c r="C112" s="738" t="s">
        <v>267</v>
      </c>
      <c r="D112" s="1408">
        <f>'Medicaid &amp; FAMIS - LASER'!E111+'SNAP LASER'!E111+'TANF LASER'!D111+'Energy Assistance LASER'!E111+'FC &amp; Adoptions LASER'!D111+'CSA LASER'!D111+'ChildCare LASER'!I111+'Other Benefits LASER'!D111</f>
        <v>26490252.169937771</v>
      </c>
      <c r="E112" s="1408">
        <f>'Medicaid &amp; FAMIS - LASER'!F111+'TANF LASER'!F111+'Energy Assistance LASER'!G111+'FC &amp; Adoptions LASER'!E111+'CSA LASER'!E111+'ChildCare LASER'!J111+'Other Benefits LASER'!E111</f>
        <v>18233585.521776684</v>
      </c>
      <c r="F112" s="1408">
        <f>'Medicaid &amp; FAMIS - LASER'!G111+'TANF LASER'!G111+'Energy Assistance LASER'!H111+'FC &amp; Adoptions LASER'!F111+'CSA LASER'!F111+'Other Benefits LASER'!F111</f>
        <v>622453.34784499998</v>
      </c>
      <c r="G112" s="1408">
        <f>'TANF LASER'!H111+'Energy Assistance LASER'!I111+'FC &amp; Adoptions LASER'!G111+'CSA LASER'!G111+'Other Benefits LASER'!G111</f>
        <v>1842.94</v>
      </c>
      <c r="H112" s="1408">
        <f t="shared" si="4"/>
        <v>45348133.979559451</v>
      </c>
      <c r="I112" s="1408">
        <f t="shared" si="3"/>
        <v>624296.28784499993</v>
      </c>
    </row>
    <row r="113" spans="1:9" x14ac:dyDescent="0.25">
      <c r="A113" s="737" t="s">
        <v>144</v>
      </c>
      <c r="B113" s="589" t="s">
        <v>145</v>
      </c>
      <c r="C113" s="738" t="s">
        <v>267</v>
      </c>
      <c r="D113" s="1408">
        <f>'Medicaid &amp; FAMIS - LASER'!E112+'SNAP LASER'!E112+'TANF LASER'!D112+'Energy Assistance LASER'!E112+'FC &amp; Adoptions LASER'!D112+'CSA LASER'!D112+'ChildCare LASER'!I112+'Other Benefits LASER'!D112</f>
        <v>8417479.5645267572</v>
      </c>
      <c r="E113" s="1408">
        <f>'Medicaid &amp; FAMIS - LASER'!F112+'TANF LASER'!F112+'Energy Assistance LASER'!G112+'FC &amp; Adoptions LASER'!E112+'CSA LASER'!E112+'ChildCare LASER'!J112+'Other Benefits LASER'!E112</f>
        <v>6191170.6104405895</v>
      </c>
      <c r="F113" s="1408">
        <f>'Medicaid &amp; FAMIS - LASER'!G112+'TANF LASER'!G112+'Energy Assistance LASER'!H112+'FC &amp; Adoptions LASER'!F112+'CSA LASER'!F112+'Other Benefits LASER'!F112</f>
        <v>418941.26968937495</v>
      </c>
      <c r="G113" s="1408">
        <f>'TANF LASER'!H112+'Energy Assistance LASER'!I112+'FC &amp; Adoptions LASER'!G112+'CSA LASER'!G112+'Other Benefits LASER'!G112</f>
        <v>0</v>
      </c>
      <c r="H113" s="1408">
        <f t="shared" si="4"/>
        <v>15027591.444656722</v>
      </c>
      <c r="I113" s="1408">
        <f t="shared" si="3"/>
        <v>418941.26968937495</v>
      </c>
    </row>
    <row r="114" spans="1:9" x14ac:dyDescent="0.25">
      <c r="A114" s="737" t="s">
        <v>158</v>
      </c>
      <c r="B114" s="589" t="s">
        <v>159</v>
      </c>
      <c r="C114" s="738" t="s">
        <v>264</v>
      </c>
      <c r="D114" s="1408">
        <f>'Medicaid &amp; FAMIS - LASER'!E113+'SNAP LASER'!E113+'TANF LASER'!D113+'Energy Assistance LASER'!E113+'FC &amp; Adoptions LASER'!D113+'CSA LASER'!D113+'ChildCare LASER'!I113+'Other Benefits LASER'!D113</f>
        <v>176011008.23273286</v>
      </c>
      <c r="E114" s="1408">
        <f>'Medicaid &amp; FAMIS - LASER'!F113+'TANF LASER'!F113+'Energy Assistance LASER'!G113+'FC &amp; Adoptions LASER'!E113+'CSA LASER'!E113+'ChildCare LASER'!J113+'Other Benefits LASER'!E113</f>
        <v>124138516.27523038</v>
      </c>
      <c r="F114" s="1408">
        <f>'Medicaid &amp; FAMIS - LASER'!G113+'TANF LASER'!G113+'Energy Assistance LASER'!H113+'FC &amp; Adoptions LASER'!F113+'CSA LASER'!F113+'Other Benefits LASER'!F113</f>
        <v>1884110.4198524999</v>
      </c>
      <c r="G114" s="1408">
        <f>'TANF LASER'!H113+'Energy Assistance LASER'!I113+'FC &amp; Adoptions LASER'!G113+'CSA LASER'!G113+'Other Benefits LASER'!G113</f>
        <v>93.59</v>
      </c>
      <c r="H114" s="1408">
        <f t="shared" si="4"/>
        <v>302033728.51781571</v>
      </c>
      <c r="I114" s="1408">
        <f t="shared" si="3"/>
        <v>1884204.0098524999</v>
      </c>
    </row>
    <row r="115" spans="1:9" x14ac:dyDescent="0.25">
      <c r="A115" s="737" t="s">
        <v>160</v>
      </c>
      <c r="B115" s="589" t="s">
        <v>161</v>
      </c>
      <c r="C115" s="738" t="s">
        <v>264</v>
      </c>
      <c r="D115" s="1408">
        <f>'Medicaid &amp; FAMIS - LASER'!E114+'SNAP LASER'!E114+'TANF LASER'!D114+'Energy Assistance LASER'!E114+'FC &amp; Adoptions LASER'!D114+'CSA LASER'!D114+'ChildCare LASER'!I114+'Other Benefits LASER'!D114</f>
        <v>255687319.71728173</v>
      </c>
      <c r="E115" s="1408">
        <f>'Medicaid &amp; FAMIS - LASER'!F114+'TANF LASER'!F114+'Energy Assistance LASER'!G114+'FC &amp; Adoptions LASER'!E114+'CSA LASER'!E114+'ChildCare LASER'!J114+'Other Benefits LASER'!E114</f>
        <v>188236830.46717301</v>
      </c>
      <c r="F115" s="1408">
        <f>'Medicaid &amp; FAMIS - LASER'!G114+'TANF LASER'!G114+'Energy Assistance LASER'!H114+'FC &amp; Adoptions LASER'!F114+'CSA LASER'!F114+'Other Benefits LASER'!F114</f>
        <v>2714171.2050325</v>
      </c>
      <c r="G115" s="1408">
        <f>'TANF LASER'!H114+'Energy Assistance LASER'!I114+'FC &amp; Adoptions LASER'!G114+'CSA LASER'!G114+'Other Benefits LASER'!G114</f>
        <v>1901.31</v>
      </c>
      <c r="H115" s="1408">
        <f t="shared" si="4"/>
        <v>446640222.69948727</v>
      </c>
      <c r="I115" s="1408">
        <f t="shared" si="3"/>
        <v>2716072.5150325</v>
      </c>
    </row>
    <row r="116" spans="1:9" x14ac:dyDescent="0.25">
      <c r="A116" s="737" t="s">
        <v>166</v>
      </c>
      <c r="B116" s="589" t="s">
        <v>167</v>
      </c>
      <c r="C116" s="738" t="s">
        <v>268</v>
      </c>
      <c r="D116" s="1408">
        <f>'Medicaid &amp; FAMIS - LASER'!E115+'SNAP LASER'!E115+'TANF LASER'!D115+'Energy Assistance LASER'!E115+'FC &amp; Adoptions LASER'!D115+'CSA LASER'!D115+'ChildCare LASER'!I115+'Other Benefits LASER'!D115</f>
        <v>5017099.2153887376</v>
      </c>
      <c r="E116" s="1408">
        <f>'Medicaid &amp; FAMIS - LASER'!F115+'TANF LASER'!F115+'Energy Assistance LASER'!G115+'FC &amp; Adoptions LASER'!E115+'CSA LASER'!E115+'ChildCare LASER'!J115+'Other Benefits LASER'!E115</f>
        <v>3659178.5672932556</v>
      </c>
      <c r="F116" s="1408">
        <f>'Medicaid &amp; FAMIS - LASER'!G115+'TANF LASER'!G115+'Energy Assistance LASER'!H115+'FC &amp; Adoptions LASER'!F115+'CSA LASER'!F115+'Other Benefits LASER'!F115</f>
        <v>77883.412080000009</v>
      </c>
      <c r="G116" s="1408">
        <f>'TANF LASER'!H115+'Energy Assistance LASER'!I115+'FC &amp; Adoptions LASER'!G115+'CSA LASER'!G115+'Other Benefits LASER'!G115</f>
        <v>-0.03</v>
      </c>
      <c r="H116" s="1408">
        <f t="shared" si="4"/>
        <v>8754161.164761994</v>
      </c>
      <c r="I116" s="1408">
        <f t="shared" si="3"/>
        <v>77883.38208000001</v>
      </c>
    </row>
    <row r="117" spans="1:9" x14ac:dyDescent="0.25">
      <c r="A117" s="737" t="s">
        <v>176</v>
      </c>
      <c r="B117" s="589" t="s">
        <v>177</v>
      </c>
      <c r="C117" s="738" t="s">
        <v>266</v>
      </c>
      <c r="D117" s="1408">
        <f>'Medicaid &amp; FAMIS - LASER'!E116+'SNAP LASER'!E116+'TANF LASER'!D116+'Energy Assistance LASER'!E116+'FC &amp; Adoptions LASER'!D116+'CSA LASER'!D116+'ChildCare LASER'!I116+'Other Benefits LASER'!D116</f>
        <v>66941751.019332543</v>
      </c>
      <c r="E117" s="1408">
        <f>'Medicaid &amp; FAMIS - LASER'!F116+'TANF LASER'!F116+'Energy Assistance LASER'!G116+'FC &amp; Adoptions LASER'!E116+'CSA LASER'!E116+'ChildCare LASER'!J116+'Other Benefits LASER'!E116</f>
        <v>52890021.871685401</v>
      </c>
      <c r="F117" s="1408">
        <f>'Medicaid &amp; FAMIS - LASER'!G116+'TANF LASER'!G116+'Energy Assistance LASER'!H116+'FC &amp; Adoptions LASER'!F116+'CSA LASER'!F116+'Other Benefits LASER'!F116</f>
        <v>2132922.7570281248</v>
      </c>
      <c r="G117" s="1408">
        <f>'TANF LASER'!H116+'Energy Assistance LASER'!I116+'FC &amp; Adoptions LASER'!G116+'CSA LASER'!G116+'Other Benefits LASER'!G116</f>
        <v>46198.03</v>
      </c>
      <c r="H117" s="1408">
        <f t="shared" si="4"/>
        <v>122010893.67804606</v>
      </c>
      <c r="I117" s="1408">
        <f t="shared" si="3"/>
        <v>2179120.7870281246</v>
      </c>
    </row>
    <row r="118" spans="1:9" x14ac:dyDescent="0.25">
      <c r="A118" s="737" t="s">
        <v>180</v>
      </c>
      <c r="B118" s="589" t="s">
        <v>181</v>
      </c>
      <c r="C118" s="738" t="s">
        <v>264</v>
      </c>
      <c r="D118" s="1408">
        <f>'Medicaid &amp; FAMIS - LASER'!E117+'SNAP LASER'!E117+'TANF LASER'!D117+'Energy Assistance LASER'!E117+'FC &amp; Adoptions LASER'!D117+'CSA LASER'!D117+'ChildCare LASER'!I117+'Other Benefits LASER'!D117</f>
        <v>130331063.56758562</v>
      </c>
      <c r="E118" s="1408">
        <f>'Medicaid &amp; FAMIS - LASER'!F117+'TANF LASER'!F117+'Energy Assistance LASER'!G117+'FC &amp; Adoptions LASER'!E117+'CSA LASER'!E117+'ChildCare LASER'!J117+'Other Benefits LASER'!E117</f>
        <v>95536566.358721778</v>
      </c>
      <c r="F118" s="1408">
        <f>'Medicaid &amp; FAMIS - LASER'!G117+'TANF LASER'!G117+'Energy Assistance LASER'!H117+'FC &amp; Adoptions LASER'!F117+'CSA LASER'!F117+'Other Benefits LASER'!F117</f>
        <v>1059973.2269337499</v>
      </c>
      <c r="G118" s="1408">
        <f>'TANF LASER'!H117+'Energy Assistance LASER'!I117+'FC &amp; Adoptions LASER'!G117+'CSA LASER'!G117+'Other Benefits LASER'!G117</f>
        <v>8115.06</v>
      </c>
      <c r="H118" s="1408">
        <f t="shared" si="4"/>
        <v>226935718.21324113</v>
      </c>
      <c r="I118" s="1408">
        <f t="shared" si="3"/>
        <v>1068088.2869337499</v>
      </c>
    </row>
    <row r="119" spans="1:9" x14ac:dyDescent="0.25">
      <c r="A119" s="737" t="s">
        <v>192</v>
      </c>
      <c r="B119" s="589" t="s">
        <v>193</v>
      </c>
      <c r="C119" s="738" t="s">
        <v>268</v>
      </c>
      <c r="D119" s="1408">
        <f>'Medicaid &amp; FAMIS - LASER'!E118+'SNAP LASER'!E118+'TANF LASER'!D118+'Energy Assistance LASER'!E118+'FC &amp; Adoptions LASER'!D118+'CSA LASER'!D118+'ChildCare LASER'!I118+'Other Benefits LASER'!D118</f>
        <v>9879319.2700479664</v>
      </c>
      <c r="E119" s="1408">
        <f>'Medicaid &amp; FAMIS - LASER'!F118+'TANF LASER'!F118+'Energy Assistance LASER'!G118+'FC &amp; Adoptions LASER'!E118+'CSA LASER'!E118+'ChildCare LASER'!J118+'Other Benefits LASER'!E118</f>
        <v>8510012.4048555773</v>
      </c>
      <c r="F119" s="1408">
        <f>'Medicaid &amp; FAMIS - LASER'!G118+'TANF LASER'!G118+'Energy Assistance LASER'!H118+'FC &amp; Adoptions LASER'!F118+'CSA LASER'!F118+'Other Benefits LASER'!F118</f>
        <v>329845.36402812507</v>
      </c>
      <c r="G119" s="1408">
        <f>'TANF LASER'!H118+'Energy Assistance LASER'!I118+'FC &amp; Adoptions LASER'!G118+'CSA LASER'!G118+'Other Benefits LASER'!G118</f>
        <v>-0.09</v>
      </c>
      <c r="H119" s="1408">
        <f t="shared" si="4"/>
        <v>18719176.948931668</v>
      </c>
      <c r="I119" s="1408">
        <f t="shared" si="3"/>
        <v>329845.27402812504</v>
      </c>
    </row>
    <row r="120" spans="1:9" x14ac:dyDescent="0.25">
      <c r="A120" s="737" t="s">
        <v>196</v>
      </c>
      <c r="B120" s="589" t="s">
        <v>312</v>
      </c>
      <c r="C120" s="738" t="s">
        <v>266</v>
      </c>
      <c r="D120" s="1408">
        <f>'Medicaid &amp; FAMIS - LASER'!E119+'SNAP LASER'!E119+'TANF LASER'!D119+'Energy Assistance LASER'!E119+'FC &amp; Adoptions LASER'!D119+'CSA LASER'!D119+'ChildCare LASER'!I119+'Other Benefits LASER'!D119</f>
        <v>309460453.06656265</v>
      </c>
      <c r="E120" s="1408">
        <f>'Medicaid &amp; FAMIS - LASER'!F119+'TANF LASER'!F119+'Energy Assistance LASER'!G119+'FC &amp; Adoptions LASER'!E119+'CSA LASER'!E119+'ChildCare LASER'!J119+'Other Benefits LASER'!E119</f>
        <v>244382598.719338</v>
      </c>
      <c r="F120" s="1408">
        <f>'Medicaid &amp; FAMIS - LASER'!G119+'TANF LASER'!G119+'Energy Assistance LASER'!H119+'FC &amp; Adoptions LASER'!F119+'CSA LASER'!F119+'Other Benefits LASER'!F119</f>
        <v>8475203.2838658746</v>
      </c>
      <c r="G120" s="1408">
        <f>'TANF LASER'!H119+'Energy Assistance LASER'!I119+'FC &amp; Adoptions LASER'!G119+'CSA LASER'!G119+'Other Benefits LASER'!G119</f>
        <v>335954.89000000007</v>
      </c>
      <c r="H120" s="1408">
        <f t="shared" si="4"/>
        <v>562654209.95976651</v>
      </c>
      <c r="I120" s="1408">
        <f t="shared" si="3"/>
        <v>8811158.1738658752</v>
      </c>
    </row>
    <row r="121" spans="1:9" x14ac:dyDescent="0.25">
      <c r="A121" s="737" t="s">
        <v>200</v>
      </c>
      <c r="B121" s="589" t="s">
        <v>313</v>
      </c>
      <c r="C121" s="738" t="s">
        <v>265</v>
      </c>
      <c r="D121" s="1408">
        <f>'Medicaid &amp; FAMIS - LASER'!E120+'SNAP LASER'!E120+'TANF LASER'!D120+'Energy Assistance LASER'!E120+'FC &amp; Adoptions LASER'!D120+'CSA LASER'!D120+'ChildCare LASER'!I120+'Other Benefits LASER'!D120</f>
        <v>137204096.45729646</v>
      </c>
      <c r="E121" s="1408">
        <f>'Medicaid &amp; FAMIS - LASER'!F120+'TANF LASER'!F120+'Energy Assistance LASER'!G120+'FC &amp; Adoptions LASER'!E120+'CSA LASER'!E120+'ChildCare LASER'!J120+'Other Benefits LASER'!E120</f>
        <v>108428857.13510922</v>
      </c>
      <c r="F121" s="1408">
        <f>'Medicaid &amp; FAMIS - LASER'!G120+'TANF LASER'!G120+'Energy Assistance LASER'!H120+'FC &amp; Adoptions LASER'!F120+'CSA LASER'!F120+'Other Benefits LASER'!F120</f>
        <v>3576901.1694720006</v>
      </c>
      <c r="G121" s="1408">
        <f>'TANF LASER'!H120+'Energy Assistance LASER'!I120+'FC &amp; Adoptions LASER'!G120+'CSA LASER'!G120+'Other Benefits LASER'!G120</f>
        <v>1643.76</v>
      </c>
      <c r="H121" s="1408">
        <f t="shared" si="4"/>
        <v>249211498.52187768</v>
      </c>
      <c r="I121" s="1408">
        <f t="shared" si="3"/>
        <v>3578544.9294720003</v>
      </c>
    </row>
    <row r="122" spans="1:9" x14ac:dyDescent="0.25">
      <c r="A122" s="737" t="s">
        <v>222</v>
      </c>
      <c r="B122" s="589" t="s">
        <v>223</v>
      </c>
      <c r="C122" s="738" t="s">
        <v>264</v>
      </c>
      <c r="D122" s="1408">
        <f>'Medicaid &amp; FAMIS - LASER'!E121+'SNAP LASER'!E121+'TANF LASER'!D121+'Energy Assistance LASER'!E121+'FC &amp; Adoptions LASER'!D121+'CSA LASER'!D121+'ChildCare LASER'!I121+'Other Benefits LASER'!D121</f>
        <v>81445544.089446038</v>
      </c>
      <c r="E122" s="1408">
        <f>'Medicaid &amp; FAMIS - LASER'!F121+'TANF LASER'!F121+'Energy Assistance LASER'!G121+'FC &amp; Adoptions LASER'!E121+'CSA LASER'!E121+'ChildCare LASER'!J121+'Other Benefits LASER'!E121</f>
        <v>62869945.448745273</v>
      </c>
      <c r="F122" s="1408">
        <f>'Medicaid &amp; FAMIS - LASER'!G121+'TANF LASER'!G121+'Energy Assistance LASER'!H121+'FC &amp; Adoptions LASER'!F121+'CSA LASER'!F121+'Other Benefits LASER'!F121</f>
        <v>348761.27256000007</v>
      </c>
      <c r="G122" s="1408">
        <f>'TANF LASER'!H121+'Energy Assistance LASER'!I121+'FC &amp; Adoptions LASER'!G121+'CSA LASER'!G121+'Other Benefits LASER'!G121</f>
        <v>13140.92</v>
      </c>
      <c r="H122" s="1408">
        <f t="shared" si="4"/>
        <v>144677391.73075131</v>
      </c>
      <c r="I122" s="1408">
        <f t="shared" si="3"/>
        <v>361902.19256000005</v>
      </c>
    </row>
    <row r="123" spans="1:9" x14ac:dyDescent="0.25">
      <c r="A123" s="737" t="s">
        <v>230</v>
      </c>
      <c r="B123" s="589" t="s">
        <v>231</v>
      </c>
      <c r="C123" s="738" t="s">
        <v>264</v>
      </c>
      <c r="D123" s="1408">
        <f>'Medicaid &amp; FAMIS - LASER'!E122+'SNAP LASER'!E122+'TANF LASER'!D122+'Energy Assistance LASER'!E122+'FC &amp; Adoptions LASER'!D122+'CSA LASER'!D122+'ChildCare LASER'!I122+'Other Benefits LASER'!D122</f>
        <v>227183322.04079047</v>
      </c>
      <c r="E123" s="1408">
        <f>'Medicaid &amp; FAMIS - LASER'!F122+'TANF LASER'!F122+'Energy Assistance LASER'!G122+'FC &amp; Adoptions LASER'!E122+'CSA LASER'!E122+'ChildCare LASER'!J122+'Other Benefits LASER'!E122</f>
        <v>173800725.72335526</v>
      </c>
      <c r="F123" s="1408">
        <f>'Medicaid &amp; FAMIS - LASER'!G122+'TANF LASER'!G122+'Energy Assistance LASER'!H122+'FC &amp; Adoptions LASER'!F122+'CSA LASER'!F122+'Other Benefits LASER'!F122</f>
        <v>4883143.9283229997</v>
      </c>
      <c r="G123" s="1408">
        <f>'TANF LASER'!H122+'Energy Assistance LASER'!I122+'FC &amp; Adoptions LASER'!G122+'CSA LASER'!G122+'Other Benefits LASER'!G122</f>
        <v>61216.85</v>
      </c>
      <c r="H123" s="1408">
        <f t="shared" si="4"/>
        <v>405928408.54246873</v>
      </c>
      <c r="I123" s="1408">
        <f t="shared" si="3"/>
        <v>4944360.7783229994</v>
      </c>
    </row>
    <row r="124" spans="1:9" x14ac:dyDescent="0.25">
      <c r="A124" s="737" t="s">
        <v>238</v>
      </c>
      <c r="B124" s="589" t="s">
        <v>239</v>
      </c>
      <c r="C124" s="738" t="s">
        <v>264</v>
      </c>
      <c r="D124" s="1408">
        <f>'Medicaid &amp; FAMIS - LASER'!E123+'SNAP LASER'!E123+'TANF LASER'!D123+'Energy Assistance LASER'!E123+'FC &amp; Adoptions LASER'!D123+'CSA LASER'!D123+'ChildCare LASER'!I123+'Other Benefits LASER'!D123</f>
        <v>5924815.0340446085</v>
      </c>
      <c r="E124" s="1408">
        <f>'Medicaid &amp; FAMIS - LASER'!F123+'TANF LASER'!F123+'Energy Assistance LASER'!G123+'FC &amp; Adoptions LASER'!E123+'CSA LASER'!E123+'ChildCare LASER'!J123+'Other Benefits LASER'!E123</f>
        <v>3898167.4548408436</v>
      </c>
      <c r="F124" s="1408">
        <f>'Medicaid &amp; FAMIS - LASER'!G123+'TANF LASER'!G123+'Energy Assistance LASER'!H123+'FC &amp; Adoptions LASER'!F123+'CSA LASER'!F123+'Other Benefits LASER'!F123</f>
        <v>130071.45963124999</v>
      </c>
      <c r="G124" s="1408">
        <f>'TANF LASER'!H123+'Energy Assistance LASER'!I123+'FC &amp; Adoptions LASER'!G123+'CSA LASER'!G123+'Other Benefits LASER'!G123</f>
        <v>23369.67</v>
      </c>
      <c r="H124" s="1408">
        <f t="shared" si="4"/>
        <v>9976423.6185167003</v>
      </c>
      <c r="I124" s="1408">
        <f t="shared" si="3"/>
        <v>153441.12963124999</v>
      </c>
    </row>
    <row r="125" spans="1:9" x14ac:dyDescent="0.25">
      <c r="A125" s="739" t="s">
        <v>240</v>
      </c>
      <c r="B125" s="740" t="s">
        <v>241</v>
      </c>
      <c r="C125" s="741" t="s">
        <v>267</v>
      </c>
      <c r="D125" s="1408">
        <f>'Medicaid &amp; FAMIS - LASER'!E124+'SNAP LASER'!E124+'TANF LASER'!D124+'Energy Assistance LASER'!E124+'FC &amp; Adoptions LASER'!D124+'CSA LASER'!D124+'ChildCare LASER'!I124+'Other Benefits LASER'!D124</f>
        <v>27744265.55478121</v>
      </c>
      <c r="E125" s="1408">
        <f>'Medicaid &amp; FAMIS - LASER'!F124+'TANF LASER'!F124+'Energy Assistance LASER'!G124+'FC &amp; Adoptions LASER'!E124+'CSA LASER'!E124+'ChildCare LASER'!J124+'Other Benefits LASER'!E124</f>
        <v>21956153.328787558</v>
      </c>
      <c r="F125" s="1408">
        <f>'Medicaid &amp; FAMIS - LASER'!G124+'TANF LASER'!G124+'Energy Assistance LASER'!H124+'FC &amp; Adoptions LASER'!F124+'CSA LASER'!F124+'Other Benefits LASER'!F124</f>
        <v>966415.29950724996</v>
      </c>
      <c r="G125" s="1408">
        <f>'TANF LASER'!H124+'Energy Assistance LASER'!I124+'FC &amp; Adoptions LASER'!G124+'CSA LASER'!G124+'Other Benefits LASER'!G124</f>
        <v>13860.189999999999</v>
      </c>
      <c r="H125" s="1408">
        <f t="shared" si="4"/>
        <v>50680694.373076014</v>
      </c>
      <c r="I125" s="1408">
        <f t="shared" si="3"/>
        <v>980275.48950724991</v>
      </c>
    </row>
    <row r="126" spans="1:9" x14ac:dyDescent="0.25">
      <c r="A126" s="742"/>
      <c r="B126" s="742"/>
      <c r="C126" s="742"/>
    </row>
    <row r="127" spans="1:9" x14ac:dyDescent="0.25">
      <c r="A127" s="1847" t="s">
        <v>1284</v>
      </c>
      <c r="B127" s="742"/>
      <c r="C127" s="742"/>
    </row>
    <row r="128" spans="1:9" x14ac:dyDescent="0.25">
      <c r="A128" s="728"/>
      <c r="B128" s="728"/>
      <c r="C128" s="728"/>
    </row>
    <row r="129" spans="1:3" x14ac:dyDescent="0.25">
      <c r="A129" s="134" t="s">
        <v>248</v>
      </c>
      <c r="B129" s="743"/>
      <c r="C129" s="743"/>
    </row>
    <row r="130" spans="1:3" x14ac:dyDescent="0.25">
      <c r="A130" s="134" t="s">
        <v>249</v>
      </c>
      <c r="B130" s="414" t="s">
        <v>250</v>
      </c>
      <c r="C130" s="744"/>
    </row>
  </sheetData>
  <hyperlinks>
    <hyperlink ref="B130"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F130"/>
  <sheetViews>
    <sheetView workbookViewId="0">
      <pane xSplit="3" ySplit="5" topLeftCell="D103" activePane="bottomRight" state="frozen"/>
      <selection pane="topRight" activeCell="D1" sqref="D1"/>
      <selection pane="bottomLeft" activeCell="A6" sqref="A6"/>
      <selection pane="bottomRight" activeCell="C131" sqref="C131"/>
    </sheetView>
  </sheetViews>
  <sheetFormatPr defaultRowHeight="15.75" x14ac:dyDescent="0.25"/>
  <cols>
    <col min="1" max="1" width="6.125" style="134" bestFit="1" customWidth="1"/>
    <col min="2" max="2" width="29.375" style="157" customWidth="1"/>
    <col min="3" max="3" width="9.25" style="157" customWidth="1"/>
    <col min="4" max="7" width="15.25" style="774" customWidth="1"/>
    <col min="8" max="8" width="13.625" style="774" bestFit="1" customWidth="1"/>
    <col min="9" max="9" width="14.875" style="774" customWidth="1"/>
    <col min="10" max="10" width="12.625" style="774" bestFit="1" customWidth="1"/>
    <col min="11" max="11" width="13.625" style="774" bestFit="1" customWidth="1"/>
    <col min="12" max="12" width="14.875" style="774" bestFit="1" customWidth="1"/>
    <col min="13" max="19" width="16" style="774" customWidth="1"/>
    <col min="20" max="20" width="3.25" style="774" customWidth="1"/>
    <col min="21" max="21" width="9" style="272" customWidth="1"/>
    <col min="22" max="23" width="9" style="272"/>
    <col min="24" max="24" width="11" style="272" customWidth="1"/>
    <col min="25" max="25" width="3.875" style="728" customWidth="1"/>
    <col min="26" max="28" width="12.5" style="270" customWidth="1"/>
    <col min="29" max="29" width="9" style="728"/>
    <col min="30" max="32" width="12.5" style="270" customWidth="1"/>
    <col min="33" max="16384" width="9" style="728"/>
  </cols>
  <sheetData>
    <row r="1" spans="1:32" x14ac:dyDescent="0.25">
      <c r="A1" s="727" t="s">
        <v>1244</v>
      </c>
      <c r="B1" s="728"/>
      <c r="C1" s="728"/>
    </row>
    <row r="3" spans="1:32" x14ac:dyDescent="0.25">
      <c r="D3" s="2304" t="s">
        <v>700</v>
      </c>
      <c r="E3" s="2305"/>
      <c r="F3" s="2305"/>
      <c r="G3" s="2306"/>
      <c r="H3" s="2307" t="s">
        <v>701</v>
      </c>
      <c r="I3" s="2308"/>
      <c r="J3" s="2308"/>
      <c r="K3" s="2309"/>
      <c r="L3" s="2304" t="s">
        <v>695</v>
      </c>
      <c r="M3" s="2305"/>
      <c r="N3" s="2305"/>
      <c r="O3" s="2306"/>
      <c r="P3" s="2310" t="s">
        <v>1074</v>
      </c>
      <c r="Q3" s="2311"/>
      <c r="R3" s="2311"/>
      <c r="S3" s="2312"/>
      <c r="T3" s="775"/>
      <c r="U3" s="2301" t="s">
        <v>696</v>
      </c>
      <c r="V3" s="2302"/>
      <c r="W3" s="2302"/>
      <c r="X3" s="2303"/>
      <c r="Z3" s="2301" t="s">
        <v>1075</v>
      </c>
      <c r="AA3" s="2302"/>
      <c r="AB3" s="2303"/>
      <c r="AD3" s="2301" t="s">
        <v>1076</v>
      </c>
      <c r="AE3" s="2302"/>
      <c r="AF3" s="2303"/>
    </row>
    <row r="4" spans="1:32" ht="31.5" x14ac:dyDescent="0.25">
      <c r="A4" s="729" t="s">
        <v>4</v>
      </c>
      <c r="B4" s="182" t="s">
        <v>5</v>
      </c>
      <c r="C4" s="182" t="s">
        <v>251</v>
      </c>
      <c r="D4" s="781" t="s">
        <v>314</v>
      </c>
      <c r="E4" s="782" t="s">
        <v>315</v>
      </c>
      <c r="F4" s="783" t="s">
        <v>662</v>
      </c>
      <c r="G4" s="784" t="s">
        <v>281</v>
      </c>
      <c r="H4" s="781" t="s">
        <v>314</v>
      </c>
      <c r="I4" s="782" t="s">
        <v>315</v>
      </c>
      <c r="J4" s="783" t="s">
        <v>662</v>
      </c>
      <c r="K4" s="784" t="s">
        <v>281</v>
      </c>
      <c r="L4" s="781" t="s">
        <v>314</v>
      </c>
      <c r="M4" s="782" t="s">
        <v>315</v>
      </c>
      <c r="N4" s="783" t="s">
        <v>662</v>
      </c>
      <c r="O4" s="784" t="s">
        <v>281</v>
      </c>
      <c r="P4" s="1429" t="s">
        <v>314</v>
      </c>
      <c r="Q4" s="1430" t="s">
        <v>315</v>
      </c>
      <c r="R4" s="1431" t="s">
        <v>662</v>
      </c>
      <c r="S4" s="1432" t="s">
        <v>281</v>
      </c>
      <c r="T4" s="776"/>
      <c r="U4" s="1441" t="s">
        <v>697</v>
      </c>
      <c r="V4" s="799" t="s">
        <v>698</v>
      </c>
      <c r="W4" s="799" t="s">
        <v>699</v>
      </c>
      <c r="X4" s="792" t="s">
        <v>707</v>
      </c>
      <c r="Z4" s="791" t="s">
        <v>704</v>
      </c>
      <c r="AA4" s="799" t="s">
        <v>705</v>
      </c>
      <c r="AB4" s="800" t="s">
        <v>706</v>
      </c>
      <c r="AD4" s="791" t="s">
        <v>704</v>
      </c>
      <c r="AE4" s="799" t="s">
        <v>705</v>
      </c>
      <c r="AF4" s="800" t="s">
        <v>706</v>
      </c>
    </row>
    <row r="5" spans="1:32" x14ac:dyDescent="0.25">
      <c r="A5" s="777" t="s">
        <v>8</v>
      </c>
      <c r="B5" s="778" t="s">
        <v>9</v>
      </c>
      <c r="C5" s="778"/>
      <c r="D5" s="785">
        <f>'Administration LASER'!D4+'Other Oper Exp. LASER'!D4</f>
        <v>300480897.98999989</v>
      </c>
      <c r="E5" s="786">
        <f>'Administration LASER'!E4+'Other Oper Exp. LASER'!E4</f>
        <v>115711134.30000003</v>
      </c>
      <c r="F5" s="786">
        <f>'Administration LASER'!K4+'Other Oper Exp. LASER'!K4</f>
        <v>248028456.29999995</v>
      </c>
      <c r="G5" s="1838">
        <f>'Administration LASER'!I4+'Other Oper Exp. LASER'!I4</f>
        <v>664220488.58999991</v>
      </c>
      <c r="H5" s="785">
        <f>'Client Services LASER'!D4</f>
        <v>12522953.470000001</v>
      </c>
      <c r="I5" s="786">
        <f>'Client Services LASER'!E4</f>
        <v>9301829.1700000018</v>
      </c>
      <c r="J5" s="786">
        <f>'Client Services LASER'!K4</f>
        <v>8183339.580000001</v>
      </c>
      <c r="K5" s="1838">
        <f>'Client Services LASER'!I4</f>
        <v>30008122.220000006</v>
      </c>
      <c r="L5" s="785">
        <f>SUM(L6:L125)</f>
        <v>5565475538.0281878</v>
      </c>
      <c r="M5" s="786">
        <f>SUM(M6:M125)</f>
        <v>4341891521.7575703</v>
      </c>
      <c r="N5" s="786">
        <f>SUM(N6:N125)</f>
        <v>152973213.94220677</v>
      </c>
      <c r="O5" s="1838">
        <f t="shared" ref="O5:O36" si="0">SUM(L5:N5)</f>
        <v>10060340273.727966</v>
      </c>
      <c r="P5" s="1427">
        <f t="shared" ref="P5:S5" si="1">SUM(P6:P125)</f>
        <v>5878479389.4881868</v>
      </c>
      <c r="Q5" s="1407">
        <f t="shared" si="1"/>
        <v>4466904485.2275696</v>
      </c>
      <c r="R5" s="1407">
        <f t="shared" si="1"/>
        <v>409185009.82220662</v>
      </c>
      <c r="S5" s="1848">
        <f t="shared" si="1"/>
        <v>10754568884.537962</v>
      </c>
      <c r="T5" s="779"/>
      <c r="U5" s="793">
        <f t="shared" ref="U5:U36" si="2">D5/G5</f>
        <v>0.45238125464611534</v>
      </c>
      <c r="V5" s="794">
        <f t="shared" ref="V5:V36" si="3">E5/G5</f>
        <v>0.17420590946483805</v>
      </c>
      <c r="W5" s="794">
        <f t="shared" ref="W5:W36" si="4">F5/G5</f>
        <v>0.37341283588904656</v>
      </c>
      <c r="X5" s="795">
        <f>(D5+E5)/G5</f>
        <v>0.62658716411095339</v>
      </c>
      <c r="Z5" s="1433">
        <f>G5/S5</f>
        <v>6.1761702930273825E-2</v>
      </c>
      <c r="AA5" s="1434">
        <f>K5/S5</f>
        <v>2.7902673312310291E-3</v>
      </c>
      <c r="AB5" s="1435">
        <f>O5/S5</f>
        <v>0.9354480297384955</v>
      </c>
      <c r="AD5" s="1433">
        <f>F5/R5</f>
        <v>0.60615235247197796</v>
      </c>
      <c r="AE5" s="1434">
        <f>J5/R5</f>
        <v>1.999911869585768E-2</v>
      </c>
      <c r="AF5" s="1435">
        <f>N5/R5</f>
        <v>0.37384852883216463</v>
      </c>
    </row>
    <row r="6" spans="1:32" x14ac:dyDescent="0.25">
      <c r="A6" s="737" t="s">
        <v>10</v>
      </c>
      <c r="B6" s="589" t="s">
        <v>11</v>
      </c>
      <c r="C6" s="738" t="s">
        <v>264</v>
      </c>
      <c r="D6" s="787">
        <f>'Administration LASER'!D5+'Other Oper Exp. LASER'!D5</f>
        <v>1850806.6023633333</v>
      </c>
      <c r="E6" s="788">
        <f>'Administration LASER'!E5+'Other Oper Exp. LASER'!E5</f>
        <v>949891.17763666669</v>
      </c>
      <c r="F6" s="788">
        <f>'Administration LASER'!K5+'Other Oper Exp. LASER'!K5</f>
        <v>774159.79</v>
      </c>
      <c r="G6" s="789">
        <f>'Administration LASER'!I5+'Other Oper Exp. LASER'!I5</f>
        <v>3574857.57</v>
      </c>
      <c r="H6" s="787">
        <f>'Client Services LASER'!D5</f>
        <v>63400.393606312617</v>
      </c>
      <c r="I6" s="788">
        <f>'Client Services LASER'!E5</f>
        <v>8449.1963936873817</v>
      </c>
      <c r="J6" s="788">
        <f>'Client Services LASER'!K5</f>
        <v>28846.470000000005</v>
      </c>
      <c r="K6" s="789">
        <f>'Client Services LASER'!I5</f>
        <v>100696.06</v>
      </c>
      <c r="L6" s="787">
        <f>'Benefits Spending LASER'!D6</f>
        <v>35278934.291177765</v>
      </c>
      <c r="M6" s="788">
        <f>'Benefits Spending LASER'!E6</f>
        <v>26129621.32306876</v>
      </c>
      <c r="N6" s="788">
        <f>'Benefits Spending LASER'!I6</f>
        <v>259944.04251499998</v>
      </c>
      <c r="O6" s="789">
        <f t="shared" si="0"/>
        <v>61668499.656761527</v>
      </c>
      <c r="P6" s="1428">
        <f>D6+H6+L6</f>
        <v>37193141.28714741</v>
      </c>
      <c r="Q6" s="788">
        <f>E6+I6+M6</f>
        <v>27087961.697099116</v>
      </c>
      <c r="R6" s="788">
        <f>F6+J6+N6</f>
        <v>1062950.3025150001</v>
      </c>
      <c r="S6" s="789">
        <f>G6+K6+O6</f>
        <v>65344053.28676153</v>
      </c>
      <c r="U6" s="624">
        <f t="shared" si="2"/>
        <v>0.51772876712493288</v>
      </c>
      <c r="V6" s="625">
        <f t="shared" si="3"/>
        <v>0.26571441212318475</v>
      </c>
      <c r="W6" s="625">
        <f t="shared" si="4"/>
        <v>0.21655682075188246</v>
      </c>
      <c r="X6" s="626">
        <f t="shared" ref="X6:X69" si="5">(D6+E6)/G6</f>
        <v>0.78344317924811768</v>
      </c>
      <c r="Z6" s="1437">
        <f t="shared" ref="Z6:Z69" si="6">G6/S6</f>
        <v>5.470823112719659E-2</v>
      </c>
      <c r="AA6" s="1354">
        <f t="shared" ref="AA6:AA69" si="7">K6/S6</f>
        <v>1.5410133735980021E-3</v>
      </c>
      <c r="AB6" s="1439">
        <f t="shared" ref="AB6:AB69" si="8">O6/S6</f>
        <v>0.9437507554992054</v>
      </c>
      <c r="AD6" s="1437">
        <f t="shared" ref="AD6:AD69" si="9">F6/R6</f>
        <v>0.72831230977430883</v>
      </c>
      <c r="AE6" s="1354">
        <f t="shared" ref="AE6:AE69" si="10">J6/R6</f>
        <v>2.7138117305905683E-2</v>
      </c>
      <c r="AF6" s="1439">
        <f t="shared" ref="AF6:AF69" si="11">N6/R6</f>
        <v>0.24454957291978541</v>
      </c>
    </row>
    <row r="7" spans="1:32" x14ac:dyDescent="0.25">
      <c r="A7" s="737" t="s">
        <v>12</v>
      </c>
      <c r="B7" s="589" t="s">
        <v>13</v>
      </c>
      <c r="C7" s="738" t="s">
        <v>265</v>
      </c>
      <c r="D7" s="787">
        <f>'Administration LASER'!D6+'Other Oper Exp. LASER'!D6</f>
        <v>4376942.9756519403</v>
      </c>
      <c r="E7" s="788">
        <f>'Administration LASER'!E6+'Other Oper Exp. LASER'!E6</f>
        <v>853223.57434805925</v>
      </c>
      <c r="F7" s="788">
        <f>'Administration LASER'!K6+'Other Oper Exp. LASER'!K6</f>
        <v>6591187.0099999998</v>
      </c>
      <c r="G7" s="789">
        <f>'Administration LASER'!I6+'Other Oper Exp. LASER'!I6</f>
        <v>11821353.559999999</v>
      </c>
      <c r="H7" s="787">
        <f>'Client Services LASER'!D6</f>
        <v>195242.2883551339</v>
      </c>
      <c r="I7" s="788">
        <f>'Client Services LASER'!E6</f>
        <v>88193.651644866099</v>
      </c>
      <c r="J7" s="788">
        <f>'Client Services LASER'!K6</f>
        <v>46176.66</v>
      </c>
      <c r="K7" s="789">
        <f>'Client Services LASER'!I6</f>
        <v>329612.59999999998</v>
      </c>
      <c r="L7" s="787">
        <f>'Benefits Spending LASER'!D7</f>
        <v>42196644.275958449</v>
      </c>
      <c r="M7" s="788">
        <f>'Benefits Spending LASER'!E7</f>
        <v>37519808.680003583</v>
      </c>
      <c r="N7" s="788">
        <f>'Benefits Spending LASER'!I7</f>
        <v>4109386.5325192497</v>
      </c>
      <c r="O7" s="789">
        <f t="shared" si="0"/>
        <v>83825839.488481283</v>
      </c>
      <c r="P7" s="1428">
        <f t="shared" ref="P7:P70" si="12">D7+H7+L7</f>
        <v>46768829.539965525</v>
      </c>
      <c r="Q7" s="788">
        <f t="shared" ref="Q7:Q70" si="13">E7+I7+M7</f>
        <v>38461225.905996509</v>
      </c>
      <c r="R7" s="788">
        <f t="shared" ref="R7:R70" si="14">F7+J7+N7</f>
        <v>10746750.202519249</v>
      </c>
      <c r="S7" s="789">
        <f t="shared" ref="S7:S70" si="15">G7+K7+O7</f>
        <v>95976805.64848128</v>
      </c>
      <c r="U7" s="624">
        <f t="shared" si="2"/>
        <v>0.37025734434187252</v>
      </c>
      <c r="V7" s="625">
        <f t="shared" si="3"/>
        <v>7.2176470318519037E-2</v>
      </c>
      <c r="W7" s="625">
        <f t="shared" si="4"/>
        <v>0.55756618533960844</v>
      </c>
      <c r="X7" s="626">
        <f t="shared" si="5"/>
        <v>0.44243381466039161</v>
      </c>
      <c r="Z7" s="1437">
        <f t="shared" si="6"/>
        <v>0.12316885814366607</v>
      </c>
      <c r="AA7" s="1354">
        <f t="shared" si="7"/>
        <v>3.4342943357296004E-3</v>
      </c>
      <c r="AB7" s="1439">
        <f t="shared" si="8"/>
        <v>0.87339684752060431</v>
      </c>
      <c r="AD7" s="1437">
        <f t="shared" si="9"/>
        <v>0.61331908584372752</v>
      </c>
      <c r="AE7" s="1354">
        <f t="shared" si="10"/>
        <v>4.2968022080921995E-3</v>
      </c>
      <c r="AF7" s="1439">
        <f t="shared" si="11"/>
        <v>0.38238411194818028</v>
      </c>
    </row>
    <row r="8" spans="1:32" x14ac:dyDescent="0.25">
      <c r="A8" s="737" t="s">
        <v>16</v>
      </c>
      <c r="B8" s="589" t="s">
        <v>297</v>
      </c>
      <c r="C8" s="738" t="s">
        <v>265</v>
      </c>
      <c r="D8" s="787">
        <f>'Administration LASER'!D7+'Other Oper Exp. LASER'!D7</f>
        <v>1052220.6956061847</v>
      </c>
      <c r="E8" s="788">
        <f>'Administration LASER'!E7+'Other Oper Exp. LASER'!E7</f>
        <v>495853.20439381531</v>
      </c>
      <c r="F8" s="788">
        <f>'Administration LASER'!K7+'Other Oper Exp. LASER'!K7</f>
        <v>567460.31000000006</v>
      </c>
      <c r="G8" s="789">
        <f>'Administration LASER'!I7+'Other Oper Exp. LASER'!I7</f>
        <v>2115534.21</v>
      </c>
      <c r="H8" s="787">
        <f>'Client Services LASER'!D7</f>
        <v>107735.13697053472</v>
      </c>
      <c r="I8" s="788">
        <f>'Client Services LASER'!E7</f>
        <v>41465.863029465261</v>
      </c>
      <c r="J8" s="788">
        <f>'Client Services LASER'!K7</f>
        <v>30484.929999999997</v>
      </c>
      <c r="K8" s="789">
        <f>'Client Services LASER'!I7</f>
        <v>179685.92999999996</v>
      </c>
      <c r="L8" s="787">
        <f>'Benefits Spending LASER'!D8</f>
        <v>22377941.903273426</v>
      </c>
      <c r="M8" s="788">
        <f>'Benefits Spending LASER'!E8</f>
        <v>19367744.329868898</v>
      </c>
      <c r="N8" s="788">
        <f>'Benefits Spending LASER'!I8</f>
        <v>698048.56918749993</v>
      </c>
      <c r="O8" s="789">
        <f t="shared" si="0"/>
        <v>42443734.802329823</v>
      </c>
      <c r="P8" s="1428">
        <f t="shared" si="12"/>
        <v>23537897.735850144</v>
      </c>
      <c r="Q8" s="788">
        <f t="shared" si="13"/>
        <v>19905063.397292178</v>
      </c>
      <c r="R8" s="788">
        <f t="shared" si="14"/>
        <v>1295993.8091875</v>
      </c>
      <c r="S8" s="789">
        <f t="shared" si="15"/>
        <v>44738954.942329824</v>
      </c>
      <c r="U8" s="624">
        <f t="shared" si="2"/>
        <v>0.49737824641757256</v>
      </c>
      <c r="V8" s="625">
        <f t="shared" si="3"/>
        <v>0.2343867577512799</v>
      </c>
      <c r="W8" s="625">
        <f t="shared" si="4"/>
        <v>0.26823499583114757</v>
      </c>
      <c r="X8" s="626">
        <f t="shared" si="5"/>
        <v>0.73176500416885248</v>
      </c>
      <c r="Z8" s="1437">
        <f t="shared" si="6"/>
        <v>4.7286178515501806E-2</v>
      </c>
      <c r="AA8" s="1354">
        <f t="shared" si="7"/>
        <v>4.0163193403069388E-3</v>
      </c>
      <c r="AB8" s="1439">
        <f t="shared" si="8"/>
        <v>0.94869750214419124</v>
      </c>
      <c r="AD8" s="1437">
        <f t="shared" si="9"/>
        <v>0.43785726905266553</v>
      </c>
      <c r="AE8" s="1354">
        <f t="shared" si="10"/>
        <v>2.3522434894277754E-2</v>
      </c>
      <c r="AF8" s="1439">
        <f t="shared" si="11"/>
        <v>0.53862029605305672</v>
      </c>
    </row>
    <row r="9" spans="1:32" x14ac:dyDescent="0.25">
      <c r="A9" s="737" t="s">
        <v>18</v>
      </c>
      <c r="B9" s="589" t="s">
        <v>19</v>
      </c>
      <c r="C9" s="738" t="s">
        <v>266</v>
      </c>
      <c r="D9" s="787">
        <f>'Administration LASER'!D8+'Other Oper Exp. LASER'!D8</f>
        <v>576203.40564100898</v>
      </c>
      <c r="E9" s="788">
        <f>'Administration LASER'!E8+'Other Oper Exp. LASER'!E8</f>
        <v>237752.634358991</v>
      </c>
      <c r="F9" s="788">
        <f>'Administration LASER'!K8+'Other Oper Exp. LASER'!K8</f>
        <v>419062.70999999996</v>
      </c>
      <c r="G9" s="789">
        <f>'Administration LASER'!I8+'Other Oper Exp. LASER'!I8</f>
        <v>1233018.75</v>
      </c>
      <c r="H9" s="787">
        <f>'Client Services LASER'!D8</f>
        <v>18161.178088650329</v>
      </c>
      <c r="I9" s="788">
        <f>'Client Services LASER'!E8</f>
        <v>17200.021911349671</v>
      </c>
      <c r="J9" s="788">
        <f>'Client Services LASER'!K8</f>
        <v>6697.23</v>
      </c>
      <c r="K9" s="789">
        <f>'Client Services LASER'!I8</f>
        <v>42058.429999999993</v>
      </c>
      <c r="L9" s="787">
        <f>'Benefits Spending LASER'!D9</f>
        <v>11144416.203232324</v>
      </c>
      <c r="M9" s="788">
        <f>'Benefits Spending LASER'!E9</f>
        <v>8770973.9360173326</v>
      </c>
      <c r="N9" s="788">
        <f>'Benefits Spending LASER'!I9</f>
        <v>184640.06574999998</v>
      </c>
      <c r="O9" s="789">
        <f t="shared" si="0"/>
        <v>20100030.204999655</v>
      </c>
      <c r="P9" s="1428">
        <f t="shared" si="12"/>
        <v>11738780.786961984</v>
      </c>
      <c r="Q9" s="788">
        <f t="shared" si="13"/>
        <v>9025926.5922876727</v>
      </c>
      <c r="R9" s="788">
        <f t="shared" si="14"/>
        <v>610400.00574999989</v>
      </c>
      <c r="S9" s="789">
        <f t="shared" si="15"/>
        <v>21375107.384999655</v>
      </c>
      <c r="U9" s="624">
        <f t="shared" si="2"/>
        <v>0.46731114643715593</v>
      </c>
      <c r="V9" s="625">
        <f t="shared" si="3"/>
        <v>0.19282158877064196</v>
      </c>
      <c r="W9" s="625">
        <f t="shared" si="4"/>
        <v>0.33986726479220203</v>
      </c>
      <c r="X9" s="626">
        <f t="shared" si="5"/>
        <v>0.66013273520779792</v>
      </c>
      <c r="Z9" s="1437">
        <f t="shared" si="6"/>
        <v>5.7684797918970541E-2</v>
      </c>
      <c r="AA9" s="1354">
        <f t="shared" si="7"/>
        <v>1.9676359628263301E-3</v>
      </c>
      <c r="AB9" s="1439">
        <f t="shared" si="8"/>
        <v>0.94034756611820314</v>
      </c>
      <c r="AD9" s="1437">
        <f t="shared" si="9"/>
        <v>0.68653785395217459</v>
      </c>
      <c r="AE9" s="1354">
        <f t="shared" si="10"/>
        <v>1.0971870800969436E-2</v>
      </c>
      <c r="AF9" s="1439">
        <f t="shared" si="11"/>
        <v>0.30249027524685607</v>
      </c>
    </row>
    <row r="10" spans="1:32" x14ac:dyDescent="0.25">
      <c r="A10" s="737" t="s">
        <v>20</v>
      </c>
      <c r="B10" s="589" t="s">
        <v>21</v>
      </c>
      <c r="C10" s="738" t="s">
        <v>265</v>
      </c>
      <c r="D10" s="787">
        <f>'Administration LASER'!D9+'Other Oper Exp. LASER'!D9</f>
        <v>961205.4343380155</v>
      </c>
      <c r="E10" s="788">
        <f>'Administration LASER'!E9+'Other Oper Exp. LASER'!E9</f>
        <v>445572.25566198456</v>
      </c>
      <c r="F10" s="788">
        <f>'Administration LASER'!K9+'Other Oper Exp. LASER'!K9</f>
        <v>571537.51</v>
      </c>
      <c r="G10" s="789">
        <f>'Administration LASER'!I9+'Other Oper Exp. LASER'!I9</f>
        <v>1978315.2000000002</v>
      </c>
      <c r="H10" s="787">
        <f>'Client Services LASER'!D9</f>
        <v>46341.555297758423</v>
      </c>
      <c r="I10" s="788">
        <f>'Client Services LASER'!E9</f>
        <v>15407.244702241587</v>
      </c>
      <c r="J10" s="788">
        <f>'Client Services LASER'!K9</f>
        <v>12989.880000000001</v>
      </c>
      <c r="K10" s="789">
        <f>'Client Services LASER'!I9</f>
        <v>74738.680000000008</v>
      </c>
      <c r="L10" s="787">
        <f>'Benefits Spending LASER'!D10</f>
        <v>28466990.051178332</v>
      </c>
      <c r="M10" s="788">
        <f>'Benefits Spending LASER'!E10</f>
        <v>23268498.875762954</v>
      </c>
      <c r="N10" s="788">
        <f>'Benefits Spending LASER'!I10</f>
        <v>430538.19225250004</v>
      </c>
      <c r="O10" s="789">
        <f t="shared" si="0"/>
        <v>52166027.119193792</v>
      </c>
      <c r="P10" s="1428">
        <f t="shared" si="12"/>
        <v>29474537.040814105</v>
      </c>
      <c r="Q10" s="788">
        <f t="shared" si="13"/>
        <v>23729478.37612718</v>
      </c>
      <c r="R10" s="788">
        <f t="shared" si="14"/>
        <v>1015065.5822525001</v>
      </c>
      <c r="S10" s="789">
        <f t="shared" si="15"/>
        <v>54219080.999193795</v>
      </c>
      <c r="U10" s="624">
        <f t="shared" si="2"/>
        <v>0.48587072188396235</v>
      </c>
      <c r="V10" s="625">
        <f t="shared" si="3"/>
        <v>0.22522814143165079</v>
      </c>
      <c r="W10" s="625">
        <f t="shared" si="4"/>
        <v>0.28890113668438677</v>
      </c>
      <c r="X10" s="626">
        <f t="shared" si="5"/>
        <v>0.71109886331561312</v>
      </c>
      <c r="Z10" s="1437">
        <f t="shared" si="6"/>
        <v>3.648743511586662E-2</v>
      </c>
      <c r="AA10" s="1354">
        <f t="shared" si="7"/>
        <v>1.3784571524019622E-3</v>
      </c>
      <c r="AB10" s="1439">
        <f t="shared" si="8"/>
        <v>0.96213410773173136</v>
      </c>
      <c r="AD10" s="1437">
        <f t="shared" si="9"/>
        <v>0.56305476216789763</v>
      </c>
      <c r="AE10" s="1354">
        <f t="shared" si="10"/>
        <v>1.2797084471305358E-2</v>
      </c>
      <c r="AF10" s="1439">
        <f t="shared" si="11"/>
        <v>0.42414815336079692</v>
      </c>
    </row>
    <row r="11" spans="1:32" x14ac:dyDescent="0.25">
      <c r="A11" s="737" t="s">
        <v>22</v>
      </c>
      <c r="B11" s="589" t="s">
        <v>23</v>
      </c>
      <c r="C11" s="738" t="s">
        <v>265</v>
      </c>
      <c r="D11" s="787">
        <f>'Administration LASER'!D10+'Other Oper Exp. LASER'!D10</f>
        <v>635112.28013466753</v>
      </c>
      <c r="E11" s="788">
        <f>'Administration LASER'!E10+'Other Oper Exp. LASER'!E10</f>
        <v>305902.03986533248</v>
      </c>
      <c r="F11" s="788">
        <f>'Administration LASER'!K10+'Other Oper Exp. LASER'!K10</f>
        <v>322801.36</v>
      </c>
      <c r="G11" s="789">
        <f>'Administration LASER'!I10+'Other Oper Exp. LASER'!I10</f>
        <v>1263815.6799999999</v>
      </c>
      <c r="H11" s="787">
        <f>'Client Services LASER'!D10</f>
        <v>28984.771738088963</v>
      </c>
      <c r="I11" s="788">
        <f>'Client Services LASER'!E10</f>
        <v>33658.028261911044</v>
      </c>
      <c r="J11" s="788">
        <f>'Client Services LASER'!K10</f>
        <v>10455.77</v>
      </c>
      <c r="K11" s="789">
        <f>'Client Services LASER'!I10</f>
        <v>73098.570000000007</v>
      </c>
      <c r="L11" s="787">
        <f>'Benefits Spending LASER'!D11</f>
        <v>16388584.482505951</v>
      </c>
      <c r="M11" s="788">
        <f>'Benefits Spending LASER'!E11</f>
        <v>13624607.077058986</v>
      </c>
      <c r="N11" s="788">
        <f>'Benefits Spending LASER'!I11</f>
        <v>550670.8674456249</v>
      </c>
      <c r="O11" s="789">
        <f t="shared" si="0"/>
        <v>30563862.427010562</v>
      </c>
      <c r="P11" s="1428">
        <f t="shared" si="12"/>
        <v>17052681.534378707</v>
      </c>
      <c r="Q11" s="788">
        <f t="shared" si="13"/>
        <v>13964167.145186229</v>
      </c>
      <c r="R11" s="788">
        <f t="shared" si="14"/>
        <v>883927.9974456249</v>
      </c>
      <c r="S11" s="789">
        <f t="shared" si="15"/>
        <v>31900776.677010562</v>
      </c>
      <c r="U11" s="624">
        <f t="shared" si="2"/>
        <v>0.50253552807215329</v>
      </c>
      <c r="V11" s="625">
        <f t="shared" si="3"/>
        <v>0.2420464033689885</v>
      </c>
      <c r="W11" s="625">
        <f t="shared" si="4"/>
        <v>0.25541806855885818</v>
      </c>
      <c r="X11" s="626">
        <f t="shared" si="5"/>
        <v>0.74458193144114193</v>
      </c>
      <c r="Z11" s="1437">
        <f t="shared" si="6"/>
        <v>3.9617081828317191E-2</v>
      </c>
      <c r="AA11" s="1354">
        <f t="shared" si="7"/>
        <v>2.2914354324381956E-3</v>
      </c>
      <c r="AB11" s="1439">
        <f t="shared" si="8"/>
        <v>0.9580914827392446</v>
      </c>
      <c r="AD11" s="1437">
        <f t="shared" si="9"/>
        <v>0.36518965451126262</v>
      </c>
      <c r="AE11" s="1354">
        <f t="shared" si="10"/>
        <v>1.1828757580046208E-2</v>
      </c>
      <c r="AF11" s="1439">
        <f t="shared" si="11"/>
        <v>0.62298158790869118</v>
      </c>
    </row>
    <row r="12" spans="1:32" x14ac:dyDescent="0.25">
      <c r="A12" s="737" t="s">
        <v>24</v>
      </c>
      <c r="B12" s="589" t="s">
        <v>25</v>
      </c>
      <c r="C12" s="738" t="s">
        <v>267</v>
      </c>
      <c r="D12" s="787">
        <f>'Administration LASER'!D11+'Other Oper Exp. LASER'!D11</f>
        <v>8205927.2063233219</v>
      </c>
      <c r="E12" s="788">
        <f>'Administration LASER'!E11+'Other Oper Exp. LASER'!E11</f>
        <v>2325034.6536766794</v>
      </c>
      <c r="F12" s="788">
        <f>'Administration LASER'!K11+'Other Oper Exp. LASER'!K11</f>
        <v>9498010.8000000007</v>
      </c>
      <c r="G12" s="789">
        <f>'Administration LASER'!I11+'Other Oper Exp. LASER'!I11</f>
        <v>20028972.66</v>
      </c>
      <c r="H12" s="787">
        <f>'Client Services LASER'!D11</f>
        <v>340643.33837619046</v>
      </c>
      <c r="I12" s="788">
        <f>'Client Services LASER'!E11</f>
        <v>61357.001623809556</v>
      </c>
      <c r="J12" s="788">
        <f>'Client Services LASER'!K11</f>
        <v>1261466.0899999999</v>
      </c>
      <c r="K12" s="789">
        <f>'Client Services LASER'!I11</f>
        <v>1663466.43</v>
      </c>
      <c r="L12" s="787">
        <f>'Benefits Spending LASER'!D12</f>
        <v>70017940.641215399</v>
      </c>
      <c r="M12" s="788">
        <f>'Benefits Spending LASER'!E12</f>
        <v>57944737.395897947</v>
      </c>
      <c r="N12" s="788">
        <f>'Benefits Spending LASER'!I12</f>
        <v>3954539.6643300005</v>
      </c>
      <c r="O12" s="789">
        <f t="shared" si="0"/>
        <v>131917217.70144334</v>
      </c>
      <c r="P12" s="1428">
        <f t="shared" si="12"/>
        <v>78564511.185914904</v>
      </c>
      <c r="Q12" s="788">
        <f t="shared" si="13"/>
        <v>60331129.051198438</v>
      </c>
      <c r="R12" s="788">
        <f t="shared" si="14"/>
        <v>14714016.554330001</v>
      </c>
      <c r="S12" s="789">
        <f t="shared" si="15"/>
        <v>153609656.79144335</v>
      </c>
      <c r="U12" s="624">
        <f t="shared" si="2"/>
        <v>0.40970285124565753</v>
      </c>
      <c r="V12" s="625">
        <f t="shared" si="3"/>
        <v>0.11608357019329414</v>
      </c>
      <c r="W12" s="625">
        <f t="shared" si="4"/>
        <v>0.4742135785610484</v>
      </c>
      <c r="X12" s="626">
        <f t="shared" si="5"/>
        <v>0.52578642143895171</v>
      </c>
      <c r="Z12" s="1437">
        <f t="shared" si="6"/>
        <v>0.1303887599149671</v>
      </c>
      <c r="AA12" s="1354">
        <f t="shared" si="7"/>
        <v>1.082917874270429E-2</v>
      </c>
      <c r="AB12" s="1439">
        <f t="shared" si="8"/>
        <v>0.8587820613423286</v>
      </c>
      <c r="AD12" s="1437">
        <f t="shared" si="9"/>
        <v>0.64550768751207854</v>
      </c>
      <c r="AE12" s="1354">
        <f t="shared" si="10"/>
        <v>8.5732273396741498E-2</v>
      </c>
      <c r="AF12" s="1439">
        <f t="shared" si="11"/>
        <v>0.26876003909118001</v>
      </c>
    </row>
    <row r="13" spans="1:32" x14ac:dyDescent="0.25">
      <c r="A13" s="737" t="s">
        <v>26</v>
      </c>
      <c r="B13" s="589" t="s">
        <v>298</v>
      </c>
      <c r="C13" s="738" t="s">
        <v>265</v>
      </c>
      <c r="D13" s="787">
        <f>'Administration LASER'!D12+'Other Oper Exp. LASER'!D12</f>
        <v>4185553.4696372976</v>
      </c>
      <c r="E13" s="788">
        <f>'Administration LASER'!E12+'Other Oper Exp. LASER'!E12</f>
        <v>1747062.5103627029</v>
      </c>
      <c r="F13" s="788">
        <f>'Administration LASER'!K12+'Other Oper Exp. LASER'!K12</f>
        <v>2762277.99</v>
      </c>
      <c r="G13" s="789">
        <f>'Administration LASER'!I12+'Other Oper Exp. LASER'!I12</f>
        <v>8694893.9700000007</v>
      </c>
      <c r="H13" s="787">
        <f>'Client Services LASER'!D12</f>
        <v>175086.80358770897</v>
      </c>
      <c r="I13" s="788">
        <f>'Client Services LASER'!E12</f>
        <v>236348.46641229105</v>
      </c>
      <c r="J13" s="788">
        <f>'Client Services LASER'!K12</f>
        <v>79535.39</v>
      </c>
      <c r="K13" s="789">
        <f>'Client Services LASER'!I12</f>
        <v>490970.66000000003</v>
      </c>
      <c r="L13" s="787">
        <f>'Benefits Spending LASER'!D13</f>
        <v>85624272.586042508</v>
      </c>
      <c r="M13" s="788">
        <f>'Benefits Spending LASER'!E13</f>
        <v>70929959.157734782</v>
      </c>
      <c r="N13" s="788">
        <f>'Benefits Spending LASER'!I13</f>
        <v>3238122.9422284998</v>
      </c>
      <c r="O13" s="789">
        <f t="shared" si="0"/>
        <v>159792354.68600577</v>
      </c>
      <c r="P13" s="1428">
        <f t="shared" si="12"/>
        <v>89984912.859267518</v>
      </c>
      <c r="Q13" s="788">
        <f t="shared" si="13"/>
        <v>72913370.134509772</v>
      </c>
      <c r="R13" s="788">
        <f t="shared" si="14"/>
        <v>6079936.3222285006</v>
      </c>
      <c r="S13" s="789">
        <f t="shared" si="15"/>
        <v>168978219.31600577</v>
      </c>
      <c r="U13" s="624">
        <f t="shared" si="2"/>
        <v>0.48138062224550593</v>
      </c>
      <c r="V13" s="625">
        <f t="shared" si="3"/>
        <v>0.20092970844619773</v>
      </c>
      <c r="W13" s="625">
        <f t="shared" si="4"/>
        <v>0.31768966930829634</v>
      </c>
      <c r="X13" s="626">
        <f t="shared" si="5"/>
        <v>0.68231033069170366</v>
      </c>
      <c r="Z13" s="1437">
        <f t="shared" si="6"/>
        <v>5.1455708346291068E-2</v>
      </c>
      <c r="AA13" s="1354">
        <f t="shared" si="7"/>
        <v>2.9055262979297762E-3</v>
      </c>
      <c r="AB13" s="1439">
        <f t="shared" si="8"/>
        <v>0.94563876535577918</v>
      </c>
      <c r="AD13" s="1437">
        <f t="shared" si="9"/>
        <v>0.45432679613781429</v>
      </c>
      <c r="AE13" s="1354">
        <f t="shared" si="10"/>
        <v>1.3081615626337285E-2</v>
      </c>
      <c r="AF13" s="1439">
        <f t="shared" si="11"/>
        <v>0.5325915882358484</v>
      </c>
    </row>
    <row r="14" spans="1:32" x14ac:dyDescent="0.25">
      <c r="A14" s="737" t="s">
        <v>27</v>
      </c>
      <c r="B14" s="589" t="s">
        <v>28</v>
      </c>
      <c r="C14" s="738" t="s">
        <v>265</v>
      </c>
      <c r="D14" s="787">
        <f>'Administration LASER'!D13+'Other Oper Exp. LASER'!D13</f>
        <v>255946.61823315587</v>
      </c>
      <c r="E14" s="788">
        <f>'Administration LASER'!E13+'Other Oper Exp. LASER'!E13</f>
        <v>111429.57176684414</v>
      </c>
      <c r="F14" s="788">
        <f>'Administration LASER'!K13+'Other Oper Exp. LASER'!K13</f>
        <v>190619.25000000003</v>
      </c>
      <c r="G14" s="789">
        <f>'Administration LASER'!I13+'Other Oper Exp. LASER'!I13</f>
        <v>557995.43999999994</v>
      </c>
      <c r="H14" s="787">
        <f>'Client Services LASER'!D13</f>
        <v>5090.22</v>
      </c>
      <c r="I14" s="788">
        <f>'Client Services LASER'!E13</f>
        <v>467.31</v>
      </c>
      <c r="J14" s="788">
        <f>'Client Services LASER'!K13</f>
        <v>1091.57</v>
      </c>
      <c r="K14" s="789">
        <f>'Client Services LASER'!I13</f>
        <v>6649.1000000000013</v>
      </c>
      <c r="L14" s="787">
        <f>'Benefits Spending LASER'!D14</f>
        <v>3073226.9310693596</v>
      </c>
      <c r="M14" s="788">
        <f>'Benefits Spending LASER'!E14</f>
        <v>2572399.4852002524</v>
      </c>
      <c r="N14" s="788">
        <f>'Benefits Spending LASER'!I14</f>
        <v>74360.715199999991</v>
      </c>
      <c r="O14" s="789">
        <f t="shared" si="0"/>
        <v>5719987.131469612</v>
      </c>
      <c r="P14" s="1428">
        <f t="shared" si="12"/>
        <v>3334263.7693025153</v>
      </c>
      <c r="Q14" s="788">
        <f t="shared" si="13"/>
        <v>2684296.3669670965</v>
      </c>
      <c r="R14" s="788">
        <f t="shared" si="14"/>
        <v>266071.53520000004</v>
      </c>
      <c r="S14" s="789">
        <f t="shared" si="15"/>
        <v>6284631.671469612</v>
      </c>
      <c r="U14" s="624">
        <f t="shared" si="2"/>
        <v>0.45868944418821039</v>
      </c>
      <c r="V14" s="625">
        <f t="shared" si="3"/>
        <v>0.1996962049848367</v>
      </c>
      <c r="W14" s="625">
        <f t="shared" si="4"/>
        <v>0.34161435082695307</v>
      </c>
      <c r="X14" s="626">
        <f t="shared" si="5"/>
        <v>0.65838564917304709</v>
      </c>
      <c r="Z14" s="1437">
        <f t="shared" si="6"/>
        <v>8.8787294016471299E-2</v>
      </c>
      <c r="AA14" s="1354">
        <f t="shared" si="7"/>
        <v>1.0579935861929615E-3</v>
      </c>
      <c r="AB14" s="1439">
        <f t="shared" si="8"/>
        <v>0.9101547123973357</v>
      </c>
      <c r="AD14" s="1437">
        <f t="shared" si="9"/>
        <v>0.71642105517493926</v>
      </c>
      <c r="AE14" s="1354">
        <f t="shared" si="10"/>
        <v>4.1025433223418322E-3</v>
      </c>
      <c r="AF14" s="1439">
        <f t="shared" si="11"/>
        <v>0.2794764015027188</v>
      </c>
    </row>
    <row r="15" spans="1:32" x14ac:dyDescent="0.25">
      <c r="A15" s="737" t="s">
        <v>29</v>
      </c>
      <c r="B15" s="589" t="s">
        <v>924</v>
      </c>
      <c r="C15" s="738" t="s">
        <v>265</v>
      </c>
      <c r="D15" s="787">
        <f>'Administration LASER'!D14+'Other Oper Exp. LASER'!D14</f>
        <v>2174595.4961330001</v>
      </c>
      <c r="E15" s="788">
        <f>'Administration LASER'!E14+'Other Oper Exp. LASER'!E14</f>
        <v>667583.62386699964</v>
      </c>
      <c r="F15" s="788">
        <f>'Administration LASER'!K14+'Other Oper Exp. LASER'!K14</f>
        <v>2284323.67</v>
      </c>
      <c r="G15" s="789">
        <f>'Administration LASER'!I14+'Other Oper Exp. LASER'!I14</f>
        <v>5126502.79</v>
      </c>
      <c r="H15" s="787">
        <f>'Client Services LASER'!D14</f>
        <v>103975.16615571444</v>
      </c>
      <c r="I15" s="788">
        <f>'Client Services LASER'!E14</f>
        <v>97523.273844285563</v>
      </c>
      <c r="J15" s="788">
        <f>'Client Services LASER'!K14</f>
        <v>36591.420000000013</v>
      </c>
      <c r="K15" s="789">
        <f>'Client Services LASER'!I14</f>
        <v>238089.86000000002</v>
      </c>
      <c r="L15" s="787">
        <f>'Benefits Spending LASER'!D15</f>
        <v>47235682.70929537</v>
      </c>
      <c r="M15" s="788">
        <f>'Benefits Spending LASER'!E15</f>
        <v>39115603.934035063</v>
      </c>
      <c r="N15" s="788">
        <f>'Benefits Spending LASER'!I15</f>
        <v>1057859.3125936</v>
      </c>
      <c r="O15" s="789">
        <f t="shared" si="0"/>
        <v>87409145.955924019</v>
      </c>
      <c r="P15" s="1428">
        <f t="shared" si="12"/>
        <v>49514253.371584088</v>
      </c>
      <c r="Q15" s="788">
        <f t="shared" si="13"/>
        <v>39880710.831746347</v>
      </c>
      <c r="R15" s="788">
        <f t="shared" si="14"/>
        <v>3378774.4025935996</v>
      </c>
      <c r="S15" s="789">
        <f t="shared" si="15"/>
        <v>92773738.605924025</v>
      </c>
      <c r="U15" s="624">
        <f t="shared" si="2"/>
        <v>0.42418693312229722</v>
      </c>
      <c r="V15" s="625">
        <f t="shared" si="3"/>
        <v>0.13022203463328255</v>
      </c>
      <c r="W15" s="625">
        <f t="shared" si="4"/>
        <v>0.44559103224442015</v>
      </c>
      <c r="X15" s="626">
        <f t="shared" si="5"/>
        <v>0.5544089677555798</v>
      </c>
      <c r="Z15" s="1437">
        <f t="shared" si="6"/>
        <v>5.525812441143392E-2</v>
      </c>
      <c r="AA15" s="1354">
        <f t="shared" si="7"/>
        <v>2.5663497405374251E-3</v>
      </c>
      <c r="AB15" s="1439">
        <f t="shared" si="8"/>
        <v>0.94217552584802855</v>
      </c>
      <c r="AD15" s="1437">
        <f t="shared" si="9"/>
        <v>0.67608055401583411</v>
      </c>
      <c r="AE15" s="1354">
        <f t="shared" si="10"/>
        <v>1.0829790817614775E-2</v>
      </c>
      <c r="AF15" s="1439">
        <f t="shared" si="11"/>
        <v>0.31308965516655118</v>
      </c>
    </row>
    <row r="16" spans="1:32" x14ac:dyDescent="0.25">
      <c r="A16" s="737" t="s">
        <v>30</v>
      </c>
      <c r="B16" s="589" t="s">
        <v>31</v>
      </c>
      <c r="C16" s="738" t="s">
        <v>268</v>
      </c>
      <c r="D16" s="787">
        <f>'Administration LASER'!D15+'Other Oper Exp. LASER'!D15</f>
        <v>373162.74821764464</v>
      </c>
      <c r="E16" s="788">
        <f>'Administration LASER'!E15+'Other Oper Exp. LASER'!E15</f>
        <v>156555.89178235529</v>
      </c>
      <c r="F16" s="788">
        <f>'Administration LASER'!K15+'Other Oper Exp. LASER'!K15</f>
        <v>274764.72000000003</v>
      </c>
      <c r="G16" s="789">
        <f>'Administration LASER'!I15+'Other Oper Exp. LASER'!I15</f>
        <v>804483.36</v>
      </c>
      <c r="H16" s="787">
        <f>'Client Services LASER'!D15</f>
        <v>39317.492476178661</v>
      </c>
      <c r="I16" s="788">
        <f>'Client Services LASER'!E15</f>
        <v>6849.4875238213335</v>
      </c>
      <c r="J16" s="788">
        <f>'Client Services LASER'!K15</f>
        <v>10410.000000000002</v>
      </c>
      <c r="K16" s="789">
        <f>'Client Services LASER'!I15</f>
        <v>56576.979999999996</v>
      </c>
      <c r="L16" s="787">
        <f>'Benefits Spending LASER'!D16</f>
        <v>4642228.1538305487</v>
      </c>
      <c r="M16" s="788">
        <f>'Benefits Spending LASER'!E16</f>
        <v>4028736.7834957531</v>
      </c>
      <c r="N16" s="788">
        <f>'Benefits Spending LASER'!I16</f>
        <v>102353.15901250001</v>
      </c>
      <c r="O16" s="789">
        <f t="shared" si="0"/>
        <v>8773318.0963388011</v>
      </c>
      <c r="P16" s="1428">
        <f t="shared" si="12"/>
        <v>5054708.3945243722</v>
      </c>
      <c r="Q16" s="788">
        <f t="shared" si="13"/>
        <v>4192142.1628019297</v>
      </c>
      <c r="R16" s="788">
        <f t="shared" si="14"/>
        <v>387527.87901250005</v>
      </c>
      <c r="S16" s="789">
        <f t="shared" si="15"/>
        <v>9634378.4363388009</v>
      </c>
      <c r="U16" s="624">
        <f t="shared" si="2"/>
        <v>0.46385390521644182</v>
      </c>
      <c r="V16" s="625">
        <f t="shared" si="3"/>
        <v>0.19460426351435695</v>
      </c>
      <c r="W16" s="625">
        <f t="shared" si="4"/>
        <v>0.34154183126920118</v>
      </c>
      <c r="X16" s="626">
        <f t="shared" si="5"/>
        <v>0.65845816873079877</v>
      </c>
      <c r="Z16" s="1437">
        <f t="shared" si="6"/>
        <v>8.350132448250755E-2</v>
      </c>
      <c r="AA16" s="1354">
        <f t="shared" si="7"/>
        <v>5.8724058198299338E-3</v>
      </c>
      <c r="AB16" s="1439">
        <f t="shared" si="8"/>
        <v>0.91062626969766247</v>
      </c>
      <c r="AD16" s="1437">
        <f t="shared" si="9"/>
        <v>0.70901923417782609</v>
      </c>
      <c r="AE16" s="1354">
        <f t="shared" si="10"/>
        <v>2.6862583477934032E-2</v>
      </c>
      <c r="AF16" s="1439">
        <f t="shared" si="11"/>
        <v>0.26411818234423984</v>
      </c>
    </row>
    <row r="17" spans="1:32" x14ac:dyDescent="0.25">
      <c r="A17" s="737" t="s">
        <v>32</v>
      </c>
      <c r="B17" s="589" t="s">
        <v>33</v>
      </c>
      <c r="C17" s="738" t="s">
        <v>265</v>
      </c>
      <c r="D17" s="787">
        <f>'Administration LASER'!D16+'Other Oper Exp. LASER'!D16</f>
        <v>562079.00788784015</v>
      </c>
      <c r="E17" s="788">
        <f>'Administration LASER'!E16+'Other Oper Exp. LASER'!E16</f>
        <v>263208.64211215981</v>
      </c>
      <c r="F17" s="788">
        <f>'Administration LASER'!K16+'Other Oper Exp. LASER'!K16</f>
        <v>298151.45</v>
      </c>
      <c r="G17" s="789">
        <f>'Administration LASER'!I16+'Other Oper Exp. LASER'!I16</f>
        <v>1123439.1000000001</v>
      </c>
      <c r="H17" s="787">
        <f>'Client Services LASER'!D16</f>
        <v>36287.17182954961</v>
      </c>
      <c r="I17" s="788">
        <f>'Client Services LASER'!E16</f>
        <v>4496.8781704503945</v>
      </c>
      <c r="J17" s="788">
        <f>'Client Services LASER'!K16</f>
        <v>7874.5100000000011</v>
      </c>
      <c r="K17" s="789">
        <f>'Client Services LASER'!I16</f>
        <v>48658.560000000005</v>
      </c>
      <c r="L17" s="787">
        <f>'Benefits Spending LASER'!D17</f>
        <v>16919463.256912727</v>
      </c>
      <c r="M17" s="788">
        <f>'Benefits Spending LASER'!E17</f>
        <v>14674034.542561954</v>
      </c>
      <c r="N17" s="788">
        <f>'Benefits Spending LASER'!I17</f>
        <v>559437.26508375001</v>
      </c>
      <c r="O17" s="789">
        <f t="shared" si="0"/>
        <v>32152935.064558428</v>
      </c>
      <c r="P17" s="1428">
        <f t="shared" si="12"/>
        <v>17517829.436630115</v>
      </c>
      <c r="Q17" s="788">
        <f t="shared" si="13"/>
        <v>14941740.062844563</v>
      </c>
      <c r="R17" s="788">
        <f t="shared" si="14"/>
        <v>865463.22508374997</v>
      </c>
      <c r="S17" s="789">
        <f t="shared" si="15"/>
        <v>33325032.724558428</v>
      </c>
      <c r="U17" s="624">
        <f t="shared" si="2"/>
        <v>0.50031996205921625</v>
      </c>
      <c r="V17" s="625">
        <f t="shared" si="3"/>
        <v>0.23428830464611725</v>
      </c>
      <c r="W17" s="625">
        <f t="shared" si="4"/>
        <v>0.26539173329466637</v>
      </c>
      <c r="X17" s="626">
        <f t="shared" si="5"/>
        <v>0.73460826670533352</v>
      </c>
      <c r="Z17" s="1437">
        <f t="shared" si="6"/>
        <v>3.3711567796063921E-2</v>
      </c>
      <c r="AA17" s="1354">
        <f t="shared" si="7"/>
        <v>1.4601203966453046E-3</v>
      </c>
      <c r="AB17" s="1439">
        <f t="shared" si="8"/>
        <v>0.96482831180729078</v>
      </c>
      <c r="AD17" s="1437">
        <f t="shared" si="9"/>
        <v>0.34449927086289334</v>
      </c>
      <c r="AE17" s="1354">
        <f t="shared" si="10"/>
        <v>9.0986072796310821E-3</v>
      </c>
      <c r="AF17" s="1439">
        <f t="shared" si="11"/>
        <v>0.64640212185747559</v>
      </c>
    </row>
    <row r="18" spans="1:32" x14ac:dyDescent="0.25">
      <c r="A18" s="737" t="s">
        <v>36</v>
      </c>
      <c r="B18" s="589" t="s">
        <v>37</v>
      </c>
      <c r="C18" s="738" t="s">
        <v>264</v>
      </c>
      <c r="D18" s="787">
        <f>'Administration LASER'!D17+'Other Oper Exp. LASER'!D17</f>
        <v>903618.8294453409</v>
      </c>
      <c r="E18" s="788">
        <f>'Administration LASER'!E17+'Other Oper Exp. LASER'!E17</f>
        <v>442845.23055465915</v>
      </c>
      <c r="F18" s="788">
        <f>'Administration LASER'!K17+'Other Oper Exp. LASER'!K17</f>
        <v>446648.82000000007</v>
      </c>
      <c r="G18" s="789">
        <f>'Administration LASER'!I17+'Other Oper Exp. LASER'!I17</f>
        <v>1793112.8800000001</v>
      </c>
      <c r="H18" s="787">
        <f>'Client Services LASER'!D17</f>
        <v>50718.743807976585</v>
      </c>
      <c r="I18" s="788">
        <f>'Client Services LASER'!E17</f>
        <v>26679.266192023417</v>
      </c>
      <c r="J18" s="788">
        <f>'Client Services LASER'!K17</f>
        <v>15408.189999999999</v>
      </c>
      <c r="K18" s="789">
        <f>'Client Services LASER'!I17</f>
        <v>92806.200000000012</v>
      </c>
      <c r="L18" s="787">
        <f>'Benefits Spending LASER'!D18</f>
        <v>23022780.821104396</v>
      </c>
      <c r="M18" s="788">
        <f>'Benefits Spending LASER'!E18</f>
        <v>17794838.951106958</v>
      </c>
      <c r="N18" s="788">
        <f>'Benefits Spending LASER'!I18</f>
        <v>257845.08867</v>
      </c>
      <c r="O18" s="789">
        <f t="shared" si="0"/>
        <v>41075464.860881358</v>
      </c>
      <c r="P18" s="1428">
        <f t="shared" si="12"/>
        <v>23977118.394357715</v>
      </c>
      <c r="Q18" s="788">
        <f t="shared" si="13"/>
        <v>18264363.44785364</v>
      </c>
      <c r="R18" s="788">
        <f t="shared" si="14"/>
        <v>719902.09867000009</v>
      </c>
      <c r="S18" s="789">
        <f t="shared" si="15"/>
        <v>42961383.940881357</v>
      </c>
      <c r="U18" s="624">
        <f t="shared" si="2"/>
        <v>0.50393861955045505</v>
      </c>
      <c r="V18" s="625">
        <f t="shared" si="3"/>
        <v>0.24697007951594163</v>
      </c>
      <c r="W18" s="625">
        <f t="shared" si="4"/>
        <v>0.24909130093360327</v>
      </c>
      <c r="X18" s="626">
        <f t="shared" si="5"/>
        <v>0.75090869906639679</v>
      </c>
      <c r="Z18" s="1437">
        <f t="shared" si="6"/>
        <v>4.1737782061850734E-2</v>
      </c>
      <c r="AA18" s="1354">
        <f t="shared" si="7"/>
        <v>2.1602237052630686E-3</v>
      </c>
      <c r="AB18" s="1439">
        <f t="shared" si="8"/>
        <v>0.95610199423288622</v>
      </c>
      <c r="AD18" s="1437">
        <f t="shared" si="9"/>
        <v>0.62042994571785781</v>
      </c>
      <c r="AE18" s="1354">
        <f t="shared" si="10"/>
        <v>2.1403174165579207E-2</v>
      </c>
      <c r="AF18" s="1439">
        <f t="shared" si="11"/>
        <v>0.35816688011656295</v>
      </c>
    </row>
    <row r="19" spans="1:32" x14ac:dyDescent="0.25">
      <c r="A19" s="737" t="s">
        <v>38</v>
      </c>
      <c r="B19" s="589" t="s">
        <v>39</v>
      </c>
      <c r="C19" s="738" t="s">
        <v>268</v>
      </c>
      <c r="D19" s="787">
        <f>'Administration LASER'!D18+'Other Oper Exp. LASER'!D18</f>
        <v>1978559.804878755</v>
      </c>
      <c r="E19" s="788">
        <f>'Administration LASER'!E18+'Other Oper Exp. LASER'!E18</f>
        <v>906946.44512124499</v>
      </c>
      <c r="F19" s="788">
        <f>'Administration LASER'!K18+'Other Oper Exp. LASER'!K18</f>
        <v>1095461.92</v>
      </c>
      <c r="G19" s="789">
        <f>'Administration LASER'!I18+'Other Oper Exp. LASER'!I18</f>
        <v>3980968.17</v>
      </c>
      <c r="H19" s="787">
        <f>'Client Services LASER'!D18</f>
        <v>116386.44057201463</v>
      </c>
      <c r="I19" s="788">
        <f>'Client Services LASER'!E18</f>
        <v>19508.289427985368</v>
      </c>
      <c r="J19" s="788">
        <f>'Client Services LASER'!K18</f>
        <v>29372.760000000002</v>
      </c>
      <c r="K19" s="789">
        <f>'Client Services LASER'!I18</f>
        <v>165267.49000000002</v>
      </c>
      <c r="L19" s="787">
        <f>'Benefits Spending LASER'!D19</f>
        <v>29040029.866715927</v>
      </c>
      <c r="M19" s="788">
        <f>'Benefits Spending LASER'!E19</f>
        <v>22092809.270089116</v>
      </c>
      <c r="N19" s="788">
        <f>'Benefits Spending LASER'!I19</f>
        <v>702072.59895000001</v>
      </c>
      <c r="O19" s="789">
        <f t="shared" si="0"/>
        <v>51834911.735755041</v>
      </c>
      <c r="P19" s="1428">
        <f t="shared" si="12"/>
        <v>31134976.112166695</v>
      </c>
      <c r="Q19" s="788">
        <f t="shared" si="13"/>
        <v>23019264.004638348</v>
      </c>
      <c r="R19" s="788">
        <f t="shared" si="14"/>
        <v>1826907.2789499999</v>
      </c>
      <c r="S19" s="789">
        <f t="shared" si="15"/>
        <v>55981147.395755038</v>
      </c>
      <c r="U19" s="624">
        <f t="shared" si="2"/>
        <v>0.49700467835661066</v>
      </c>
      <c r="V19" s="625">
        <f t="shared" si="3"/>
        <v>0.22782057187893692</v>
      </c>
      <c r="W19" s="625">
        <f t="shared" si="4"/>
        <v>0.27517474976445239</v>
      </c>
      <c r="X19" s="626">
        <f t="shared" si="5"/>
        <v>0.72482525023554767</v>
      </c>
      <c r="Z19" s="1437">
        <f t="shared" si="6"/>
        <v>7.1112657656993122E-2</v>
      </c>
      <c r="AA19" s="1354">
        <f t="shared" si="7"/>
        <v>2.9521990471480047E-3</v>
      </c>
      <c r="AB19" s="1439">
        <f t="shared" si="8"/>
        <v>0.92593514329585891</v>
      </c>
      <c r="AD19" s="1437">
        <f t="shared" si="9"/>
        <v>0.59962644663039921</v>
      </c>
      <c r="AE19" s="1354">
        <f t="shared" si="10"/>
        <v>1.6077860293425377E-2</v>
      </c>
      <c r="AF19" s="1439">
        <f t="shared" si="11"/>
        <v>0.38429569307617545</v>
      </c>
    </row>
    <row r="20" spans="1:32" x14ac:dyDescent="0.25">
      <c r="A20" s="737" t="s">
        <v>40</v>
      </c>
      <c r="B20" s="589" t="s">
        <v>41</v>
      </c>
      <c r="C20" s="738" t="s">
        <v>266</v>
      </c>
      <c r="D20" s="787">
        <f>'Administration LASER'!D19+'Other Oper Exp. LASER'!D19</f>
        <v>716327.2253997036</v>
      </c>
      <c r="E20" s="788">
        <f>'Administration LASER'!E19+'Other Oper Exp. LASER'!E19</f>
        <v>318670.96460029652</v>
      </c>
      <c r="F20" s="788">
        <f>'Administration LASER'!K19+'Other Oper Exp. LASER'!K19</f>
        <v>461194.44</v>
      </c>
      <c r="G20" s="789">
        <f>'Administration LASER'!I19+'Other Oper Exp. LASER'!I19</f>
        <v>1496192.63</v>
      </c>
      <c r="H20" s="787">
        <f>'Client Services LASER'!D19</f>
        <v>32470.148148185657</v>
      </c>
      <c r="I20" s="788">
        <f>'Client Services LASER'!E19</f>
        <v>28754.061851814346</v>
      </c>
      <c r="J20" s="788">
        <f>'Client Services LASER'!K19</f>
        <v>12002.87</v>
      </c>
      <c r="K20" s="789">
        <f>'Client Services LASER'!I19</f>
        <v>73227.08</v>
      </c>
      <c r="L20" s="787">
        <f>'Benefits Spending LASER'!D20</f>
        <v>16830063.170821227</v>
      </c>
      <c r="M20" s="788">
        <f>'Benefits Spending LASER'!E20</f>
        <v>13533221.54520295</v>
      </c>
      <c r="N20" s="788">
        <f>'Benefits Spending LASER'!I20</f>
        <v>402777.09927062498</v>
      </c>
      <c r="O20" s="789">
        <f t="shared" si="0"/>
        <v>30766061.815294798</v>
      </c>
      <c r="P20" s="1428">
        <f t="shared" si="12"/>
        <v>17578860.544369116</v>
      </c>
      <c r="Q20" s="788">
        <f t="shared" si="13"/>
        <v>13880646.571655061</v>
      </c>
      <c r="R20" s="788">
        <f t="shared" si="14"/>
        <v>875974.40927062498</v>
      </c>
      <c r="S20" s="789">
        <f t="shared" si="15"/>
        <v>32335481.525294799</v>
      </c>
      <c r="U20" s="624">
        <f t="shared" si="2"/>
        <v>0.47876671160965661</v>
      </c>
      <c r="V20" s="625">
        <f t="shared" si="3"/>
        <v>0.21298792562579094</v>
      </c>
      <c r="W20" s="625">
        <f t="shared" si="4"/>
        <v>0.30824536276455261</v>
      </c>
      <c r="X20" s="626">
        <f t="shared" si="5"/>
        <v>0.69175463723544761</v>
      </c>
      <c r="Z20" s="1437">
        <f t="shared" si="6"/>
        <v>4.627092467540915E-2</v>
      </c>
      <c r="AA20" s="1354">
        <f t="shared" si="7"/>
        <v>2.2646045936479185E-3</v>
      </c>
      <c r="AB20" s="1439">
        <f t="shared" si="8"/>
        <v>0.95146447073094287</v>
      </c>
      <c r="AD20" s="1437">
        <f t="shared" si="9"/>
        <v>0.52649305175936689</v>
      </c>
      <c r="AE20" s="1354">
        <f t="shared" si="10"/>
        <v>1.3702306680390493E-2</v>
      </c>
      <c r="AF20" s="1439">
        <f t="shared" si="11"/>
        <v>0.45980464156024259</v>
      </c>
    </row>
    <row r="21" spans="1:32" x14ac:dyDescent="0.25">
      <c r="A21" s="737" t="s">
        <v>42</v>
      </c>
      <c r="B21" s="589" t="s">
        <v>43</v>
      </c>
      <c r="C21" s="738" t="s">
        <v>265</v>
      </c>
      <c r="D21" s="787">
        <f>'Administration LASER'!D20+'Other Oper Exp. LASER'!D20</f>
        <v>2141629.0099782581</v>
      </c>
      <c r="E21" s="788">
        <f>'Administration LASER'!E20+'Other Oper Exp. LASER'!E20</f>
        <v>991384.12002174172</v>
      </c>
      <c r="F21" s="788">
        <f>'Administration LASER'!K20+'Other Oper Exp. LASER'!K20</f>
        <v>1324107.3800000001</v>
      </c>
      <c r="G21" s="789">
        <f>'Administration LASER'!I20+'Other Oper Exp. LASER'!I20</f>
        <v>4457120.51</v>
      </c>
      <c r="H21" s="787">
        <f>'Client Services LASER'!D20</f>
        <v>150860.65863127561</v>
      </c>
      <c r="I21" s="788">
        <f>'Client Services LASER'!E20</f>
        <v>122206.8713687244</v>
      </c>
      <c r="J21" s="788">
        <f>'Client Services LASER'!K20</f>
        <v>103736.32999999999</v>
      </c>
      <c r="K21" s="789">
        <f>'Client Services LASER'!I20</f>
        <v>376803.86000000004</v>
      </c>
      <c r="L21" s="787">
        <f>'Benefits Spending LASER'!D21</f>
        <v>47610848.242139235</v>
      </c>
      <c r="M21" s="788">
        <f>'Benefits Spending LASER'!E21</f>
        <v>38017950.461908087</v>
      </c>
      <c r="N21" s="788">
        <f>'Benefits Spending LASER'!I21</f>
        <v>956274.31412124995</v>
      </c>
      <c r="O21" s="789">
        <f t="shared" si="0"/>
        <v>86585073.018168569</v>
      </c>
      <c r="P21" s="1428">
        <f t="shared" si="12"/>
        <v>49903337.910748765</v>
      </c>
      <c r="Q21" s="788">
        <f t="shared" si="13"/>
        <v>39131541.453298554</v>
      </c>
      <c r="R21" s="788">
        <f t="shared" si="14"/>
        <v>2384118.02412125</v>
      </c>
      <c r="S21" s="789">
        <f t="shared" si="15"/>
        <v>91418997.388168573</v>
      </c>
      <c r="U21" s="624">
        <f t="shared" si="2"/>
        <v>0.48049609723885572</v>
      </c>
      <c r="V21" s="625">
        <f t="shared" si="3"/>
        <v>0.22242703956455101</v>
      </c>
      <c r="W21" s="625">
        <f t="shared" si="4"/>
        <v>0.29707686319659332</v>
      </c>
      <c r="X21" s="626">
        <f t="shared" si="5"/>
        <v>0.70292313680340679</v>
      </c>
      <c r="Z21" s="1437">
        <f t="shared" si="6"/>
        <v>4.8754860995410994E-2</v>
      </c>
      <c r="AA21" s="1354">
        <f t="shared" si="7"/>
        <v>4.1217238294582953E-3</v>
      </c>
      <c r="AB21" s="1439">
        <f t="shared" si="8"/>
        <v>0.94712341517513066</v>
      </c>
      <c r="AD21" s="1437">
        <f t="shared" si="9"/>
        <v>0.55538667406704667</v>
      </c>
      <c r="AE21" s="1354">
        <f t="shared" si="10"/>
        <v>4.3511407132721808E-2</v>
      </c>
      <c r="AF21" s="1439">
        <f t="shared" si="11"/>
        <v>0.40110191880023149</v>
      </c>
    </row>
    <row r="22" spans="1:32" x14ac:dyDescent="0.25">
      <c r="A22" s="737" t="s">
        <v>44</v>
      </c>
      <c r="B22" s="589" t="s">
        <v>45</v>
      </c>
      <c r="C22" s="738" t="s">
        <v>266</v>
      </c>
      <c r="D22" s="787">
        <f>'Administration LASER'!D21+'Other Oper Exp. LASER'!D21</f>
        <v>1078506.6462116977</v>
      </c>
      <c r="E22" s="788">
        <f>'Administration LASER'!E21+'Other Oper Exp. LASER'!E21</f>
        <v>439473.34378830215</v>
      </c>
      <c r="F22" s="788">
        <f>'Administration LASER'!K21+'Other Oper Exp. LASER'!K21</f>
        <v>797929.5</v>
      </c>
      <c r="G22" s="789">
        <f>'Administration LASER'!I21+'Other Oper Exp. LASER'!I21</f>
        <v>2315909.4899999998</v>
      </c>
      <c r="H22" s="787">
        <f>'Client Services LASER'!D21</f>
        <v>49103.861122106238</v>
      </c>
      <c r="I22" s="788">
        <f>'Client Services LASER'!E21</f>
        <v>68371.988877893775</v>
      </c>
      <c r="J22" s="788">
        <f>'Client Services LASER'!K21</f>
        <v>21668.149999999998</v>
      </c>
      <c r="K22" s="789">
        <f>'Client Services LASER'!I21</f>
        <v>139144.00000000003</v>
      </c>
      <c r="L22" s="787">
        <f>'Benefits Spending LASER'!D22</f>
        <v>24293255.154218681</v>
      </c>
      <c r="M22" s="788">
        <f>'Benefits Spending LASER'!E22</f>
        <v>17609544.398164902</v>
      </c>
      <c r="N22" s="788">
        <f>'Benefits Spending LASER'!I22</f>
        <v>734343.55952949997</v>
      </c>
      <c r="O22" s="789">
        <f t="shared" si="0"/>
        <v>42637143.111913085</v>
      </c>
      <c r="P22" s="1428">
        <f t="shared" si="12"/>
        <v>25420865.661552485</v>
      </c>
      <c r="Q22" s="788">
        <f t="shared" si="13"/>
        <v>18117389.730831098</v>
      </c>
      <c r="R22" s="788">
        <f t="shared" si="14"/>
        <v>1553941.2095295</v>
      </c>
      <c r="S22" s="789">
        <f t="shared" si="15"/>
        <v>45092196.601913087</v>
      </c>
      <c r="U22" s="624">
        <f t="shared" si="2"/>
        <v>0.4656946443151791</v>
      </c>
      <c r="V22" s="625">
        <f t="shared" si="3"/>
        <v>0.18976274577479374</v>
      </c>
      <c r="W22" s="625">
        <f t="shared" si="4"/>
        <v>0.34454260991002722</v>
      </c>
      <c r="X22" s="626">
        <f t="shared" si="5"/>
        <v>0.65545739008997284</v>
      </c>
      <c r="Z22" s="1437">
        <f t="shared" si="6"/>
        <v>5.135942944730585E-2</v>
      </c>
      <c r="AA22" s="1354">
        <f t="shared" si="7"/>
        <v>3.0857667287403048E-3</v>
      </c>
      <c r="AB22" s="1439">
        <f t="shared" si="8"/>
        <v>0.94555480382395385</v>
      </c>
      <c r="AD22" s="1437">
        <f t="shared" si="9"/>
        <v>0.5134875728288304</v>
      </c>
      <c r="AE22" s="1354">
        <f t="shared" si="10"/>
        <v>1.3943995993619764E-2</v>
      </c>
      <c r="AF22" s="1439">
        <f t="shared" si="11"/>
        <v>0.47256843117754976</v>
      </c>
    </row>
    <row r="23" spans="1:32" x14ac:dyDescent="0.25">
      <c r="A23" s="737" t="s">
        <v>46</v>
      </c>
      <c r="B23" s="589" t="s">
        <v>47</v>
      </c>
      <c r="C23" s="738" t="s">
        <v>268</v>
      </c>
      <c r="D23" s="787">
        <f>'Administration LASER'!D22+'Other Oper Exp. LASER'!D22</f>
        <v>1140451.8752973466</v>
      </c>
      <c r="E23" s="788">
        <f>'Administration LASER'!E22+'Other Oper Exp. LASER'!E22</f>
        <v>517020.66470265336</v>
      </c>
      <c r="F23" s="788">
        <f>'Administration LASER'!K22+'Other Oper Exp. LASER'!K22</f>
        <v>738257.36</v>
      </c>
      <c r="G23" s="789">
        <f>'Administration LASER'!I22+'Other Oper Exp. LASER'!I22</f>
        <v>2395729.9</v>
      </c>
      <c r="H23" s="787">
        <f>'Client Services LASER'!D22</f>
        <v>60146.762352126381</v>
      </c>
      <c r="I23" s="788">
        <f>'Client Services LASER'!E22</f>
        <v>66415.167647873634</v>
      </c>
      <c r="J23" s="788">
        <f>'Client Services LASER'!K22</f>
        <v>24565.97</v>
      </c>
      <c r="K23" s="789">
        <f>'Client Services LASER'!I22</f>
        <v>151127.90000000002</v>
      </c>
      <c r="L23" s="787">
        <f>'Benefits Spending LASER'!D23</f>
        <v>30083068.04548353</v>
      </c>
      <c r="M23" s="788">
        <f>'Benefits Spending LASER'!E23</f>
        <v>23704564.463607717</v>
      </c>
      <c r="N23" s="788">
        <f>'Benefits Spending LASER'!I23</f>
        <v>644542.14515125006</v>
      </c>
      <c r="O23" s="789">
        <f t="shared" si="0"/>
        <v>54432174.654242493</v>
      </c>
      <c r="P23" s="1428">
        <f t="shared" si="12"/>
        <v>31283666.683133002</v>
      </c>
      <c r="Q23" s="788">
        <f t="shared" si="13"/>
        <v>24288000.295958243</v>
      </c>
      <c r="R23" s="788">
        <f t="shared" si="14"/>
        <v>1407365.4751512501</v>
      </c>
      <c r="S23" s="789">
        <f t="shared" si="15"/>
        <v>56979032.45424249</v>
      </c>
      <c r="U23" s="624">
        <f t="shared" si="2"/>
        <v>0.47603524725276697</v>
      </c>
      <c r="V23" s="625">
        <f t="shared" si="3"/>
        <v>0.21580924656934547</v>
      </c>
      <c r="W23" s="625">
        <f t="shared" si="4"/>
        <v>0.30815550617788756</v>
      </c>
      <c r="X23" s="626">
        <f t="shared" si="5"/>
        <v>0.69184449382211244</v>
      </c>
      <c r="Z23" s="1437">
        <f t="shared" si="6"/>
        <v>4.2045815746764595E-2</v>
      </c>
      <c r="AA23" s="1354">
        <f t="shared" si="7"/>
        <v>2.6523423352505082E-3</v>
      </c>
      <c r="AB23" s="1439">
        <f t="shared" si="8"/>
        <v>0.95530184191798495</v>
      </c>
      <c r="AD23" s="1437">
        <f t="shared" si="9"/>
        <v>0.52456691103685005</v>
      </c>
      <c r="AE23" s="1354">
        <f t="shared" si="10"/>
        <v>1.7455288220254151E-2</v>
      </c>
      <c r="AF23" s="1439">
        <f t="shared" si="11"/>
        <v>0.45797780074289579</v>
      </c>
    </row>
    <row r="24" spans="1:32" x14ac:dyDescent="0.25">
      <c r="A24" s="737" t="s">
        <v>48</v>
      </c>
      <c r="B24" s="589" t="s">
        <v>269</v>
      </c>
      <c r="C24" s="738" t="s">
        <v>266</v>
      </c>
      <c r="D24" s="787">
        <f>'Administration LASER'!D23+'Other Oper Exp. LASER'!D23</f>
        <v>441723.96562075813</v>
      </c>
      <c r="E24" s="788">
        <f>'Administration LASER'!E23+'Other Oper Exp. LASER'!E23</f>
        <v>206355.30437924192</v>
      </c>
      <c r="F24" s="788">
        <f>'Administration LASER'!K23+'Other Oper Exp. LASER'!K23</f>
        <v>259492.73000000004</v>
      </c>
      <c r="G24" s="789">
        <f>'Administration LASER'!I23+'Other Oper Exp. LASER'!I23</f>
        <v>907572</v>
      </c>
      <c r="H24" s="787">
        <f>'Client Services LASER'!D23</f>
        <v>25940.01474845273</v>
      </c>
      <c r="I24" s="788">
        <f>'Client Services LASER'!E23</f>
        <v>5664.885251547269</v>
      </c>
      <c r="J24" s="788">
        <f>'Client Services LASER'!K23</f>
        <v>7048.53</v>
      </c>
      <c r="K24" s="789">
        <f>'Client Services LASER'!I23</f>
        <v>38653.43</v>
      </c>
      <c r="L24" s="787">
        <f>'Benefits Spending LASER'!D24</f>
        <v>6077812.2814585399</v>
      </c>
      <c r="M24" s="788">
        <f>'Benefits Spending LASER'!E24</f>
        <v>4545692.2809543163</v>
      </c>
      <c r="N24" s="788">
        <f>'Benefits Spending LASER'!I24</f>
        <v>78498.94</v>
      </c>
      <c r="O24" s="789">
        <f t="shared" si="0"/>
        <v>10702003.502412856</v>
      </c>
      <c r="P24" s="1428">
        <f t="shared" si="12"/>
        <v>6545476.2618277511</v>
      </c>
      <c r="Q24" s="788">
        <f t="shared" si="13"/>
        <v>4757712.470585105</v>
      </c>
      <c r="R24" s="788">
        <f t="shared" si="14"/>
        <v>345040.20000000007</v>
      </c>
      <c r="S24" s="789">
        <f t="shared" si="15"/>
        <v>11648228.932412855</v>
      </c>
      <c r="U24" s="624">
        <f t="shared" si="2"/>
        <v>0.48670955650985059</v>
      </c>
      <c r="V24" s="625">
        <f t="shared" si="3"/>
        <v>0.22737072582587597</v>
      </c>
      <c r="W24" s="625">
        <f t="shared" si="4"/>
        <v>0.28591971766427349</v>
      </c>
      <c r="X24" s="626">
        <f t="shared" si="5"/>
        <v>0.71408028233572651</v>
      </c>
      <c r="Z24" s="1437">
        <f t="shared" si="6"/>
        <v>7.7915020838451393E-2</v>
      </c>
      <c r="AA24" s="1354">
        <f t="shared" si="7"/>
        <v>3.3183954594540399E-3</v>
      </c>
      <c r="AB24" s="1439">
        <f t="shared" si="8"/>
        <v>0.91876658370209463</v>
      </c>
      <c r="AD24" s="1437">
        <f t="shared" si="9"/>
        <v>0.75206520863366066</v>
      </c>
      <c r="AE24" s="1354">
        <f t="shared" si="10"/>
        <v>2.0428141416565369E-2</v>
      </c>
      <c r="AF24" s="1439">
        <f t="shared" si="11"/>
        <v>0.22750664994977393</v>
      </c>
    </row>
    <row r="25" spans="1:32" x14ac:dyDescent="0.25">
      <c r="A25" s="737" t="s">
        <v>50</v>
      </c>
      <c r="B25" s="589" t="s">
        <v>51</v>
      </c>
      <c r="C25" s="738" t="s">
        <v>265</v>
      </c>
      <c r="D25" s="787">
        <f>'Administration LASER'!D24+'Other Oper Exp. LASER'!D24</f>
        <v>730948.18981758598</v>
      </c>
      <c r="E25" s="788">
        <f>'Administration LASER'!E24+'Other Oper Exp. LASER'!E24</f>
        <v>311684.2101824141</v>
      </c>
      <c r="F25" s="788">
        <f>'Administration LASER'!K24+'Other Oper Exp. LASER'!K24</f>
        <v>709363.95</v>
      </c>
      <c r="G25" s="789">
        <f>'Administration LASER'!I24+'Other Oper Exp. LASER'!I24</f>
        <v>1751996.3499999999</v>
      </c>
      <c r="H25" s="787">
        <f>'Client Services LASER'!D24</f>
        <v>55923.022561783895</v>
      </c>
      <c r="I25" s="788">
        <f>'Client Services LASER'!E24</f>
        <v>9929.757438216111</v>
      </c>
      <c r="J25" s="788">
        <f>'Client Services LASER'!K24</f>
        <v>14918.54</v>
      </c>
      <c r="K25" s="789">
        <f>'Client Services LASER'!I24</f>
        <v>80771.319999999992</v>
      </c>
      <c r="L25" s="787">
        <f>'Benefits Spending LASER'!D25</f>
        <v>12911866.857169928</v>
      </c>
      <c r="M25" s="788">
        <f>'Benefits Spending LASER'!E25</f>
        <v>10189153.982138012</v>
      </c>
      <c r="N25" s="788">
        <f>'Benefits Spending LASER'!I25</f>
        <v>282762.289865</v>
      </c>
      <c r="O25" s="789">
        <f t="shared" si="0"/>
        <v>23383783.12917294</v>
      </c>
      <c r="P25" s="1428">
        <f t="shared" si="12"/>
        <v>13698738.069549298</v>
      </c>
      <c r="Q25" s="788">
        <f t="shared" si="13"/>
        <v>10510767.949758641</v>
      </c>
      <c r="R25" s="788">
        <f t="shared" si="14"/>
        <v>1007044.7798649999</v>
      </c>
      <c r="S25" s="789">
        <f t="shared" si="15"/>
        <v>25216550.799172938</v>
      </c>
      <c r="U25" s="624">
        <f t="shared" si="2"/>
        <v>0.41720874008532383</v>
      </c>
      <c r="V25" s="625">
        <f t="shared" si="3"/>
        <v>0.17790231708097687</v>
      </c>
      <c r="W25" s="625">
        <f t="shared" si="4"/>
        <v>0.40488894283369942</v>
      </c>
      <c r="X25" s="626">
        <f t="shared" si="5"/>
        <v>0.59511105716630075</v>
      </c>
      <c r="Z25" s="1437">
        <f t="shared" si="6"/>
        <v>6.9478033056664612E-2</v>
      </c>
      <c r="AA25" s="1354">
        <f t="shared" si="7"/>
        <v>3.2031073814682521E-3</v>
      </c>
      <c r="AB25" s="1439">
        <f t="shared" si="8"/>
        <v>0.92731885956186721</v>
      </c>
      <c r="AD25" s="1437">
        <f t="shared" si="9"/>
        <v>0.70440159582088713</v>
      </c>
      <c r="AE25" s="1354">
        <f t="shared" si="10"/>
        <v>1.4814177381466509E-2</v>
      </c>
      <c r="AF25" s="1439">
        <f t="shared" si="11"/>
        <v>0.28078422679764636</v>
      </c>
    </row>
    <row r="26" spans="1:32" x14ac:dyDescent="0.25">
      <c r="A26" s="737" t="s">
        <v>56</v>
      </c>
      <c r="B26" s="589" t="s">
        <v>295</v>
      </c>
      <c r="C26" s="738" t="s">
        <v>266</v>
      </c>
      <c r="D26" s="787">
        <f>'Administration LASER'!D25+'Other Oper Exp. LASER'!D25</f>
        <v>6114989.7141494779</v>
      </c>
      <c r="E26" s="788">
        <f>'Administration LASER'!E25+'Other Oper Exp. LASER'!E25</f>
        <v>2228193.2858505235</v>
      </c>
      <c r="F26" s="788">
        <f>'Administration LASER'!K25+'Other Oper Exp. LASER'!K25</f>
        <v>5228916.01</v>
      </c>
      <c r="G26" s="789">
        <f>'Administration LASER'!I25+'Other Oper Exp. LASER'!I25</f>
        <v>13572099.010000002</v>
      </c>
      <c r="H26" s="787">
        <f>'Client Services LASER'!D25</f>
        <v>265447.56041003269</v>
      </c>
      <c r="I26" s="788">
        <f>'Client Services LASER'!E25</f>
        <v>277788.08958996728</v>
      </c>
      <c r="J26" s="788">
        <f>'Client Services LASER'!K25</f>
        <v>97808.98000000001</v>
      </c>
      <c r="K26" s="789">
        <f>'Client Services LASER'!I25</f>
        <v>641044.62999999989</v>
      </c>
      <c r="L26" s="787">
        <f>'Benefits Spending LASER'!D26</f>
        <v>209041496.91671804</v>
      </c>
      <c r="M26" s="788">
        <f>'Benefits Spending LASER'!E26</f>
        <v>162357196.18501574</v>
      </c>
      <c r="N26" s="788">
        <f>'Benefits Spending LASER'!I26</f>
        <v>5136420.993517125</v>
      </c>
      <c r="O26" s="789">
        <f t="shared" si="0"/>
        <v>376535114.0952509</v>
      </c>
      <c r="P26" s="1428">
        <f t="shared" si="12"/>
        <v>215421934.19127753</v>
      </c>
      <c r="Q26" s="788">
        <f t="shared" si="13"/>
        <v>164863177.56045622</v>
      </c>
      <c r="R26" s="788">
        <f t="shared" si="14"/>
        <v>10463145.983517125</v>
      </c>
      <c r="S26" s="789">
        <f t="shared" si="15"/>
        <v>390748257.73525089</v>
      </c>
      <c r="U26" s="624">
        <f t="shared" si="2"/>
        <v>0.45055593166863267</v>
      </c>
      <c r="V26" s="625">
        <f t="shared" si="3"/>
        <v>0.16417455282405305</v>
      </c>
      <c r="W26" s="625">
        <f t="shared" si="4"/>
        <v>0.38526951550731425</v>
      </c>
      <c r="X26" s="626">
        <f t="shared" si="5"/>
        <v>0.61473048449268575</v>
      </c>
      <c r="Z26" s="1437">
        <f t="shared" si="6"/>
        <v>3.4733613628024657E-2</v>
      </c>
      <c r="AA26" s="1354">
        <f t="shared" si="7"/>
        <v>1.6405565918974252E-3</v>
      </c>
      <c r="AB26" s="1439">
        <f t="shared" si="8"/>
        <v>0.96362582978007794</v>
      </c>
      <c r="AD26" s="1437">
        <f t="shared" si="9"/>
        <v>0.49974606282252504</v>
      </c>
      <c r="AE26" s="1354">
        <f t="shared" si="10"/>
        <v>9.34795138613961E-3</v>
      </c>
      <c r="AF26" s="1439">
        <f t="shared" si="11"/>
        <v>0.49090598579133532</v>
      </c>
    </row>
    <row r="27" spans="1:32" x14ac:dyDescent="0.25">
      <c r="A27" s="737" t="s">
        <v>58</v>
      </c>
      <c r="B27" s="589" t="s">
        <v>59</v>
      </c>
      <c r="C27" s="738" t="s">
        <v>267</v>
      </c>
      <c r="D27" s="787">
        <f>'Administration LASER'!D26+'Other Oper Exp. LASER'!D26</f>
        <v>565176.67242378229</v>
      </c>
      <c r="E27" s="788">
        <f>'Administration LASER'!E26+'Other Oper Exp. LASER'!E26</f>
        <v>149198.82757621771</v>
      </c>
      <c r="F27" s="788">
        <f>'Administration LASER'!K26+'Other Oper Exp. LASER'!K26</f>
        <v>691046.2300000001</v>
      </c>
      <c r="G27" s="789">
        <f>'Administration LASER'!I26+'Other Oper Exp. LASER'!I26</f>
        <v>1405421.73</v>
      </c>
      <c r="H27" s="787">
        <f>'Client Services LASER'!D26</f>
        <v>32176.249390414549</v>
      </c>
      <c r="I27" s="788">
        <f>'Client Services LASER'!E26</f>
        <v>5403.6806095854517</v>
      </c>
      <c r="J27" s="788">
        <f>'Client Services LASER'!K26</f>
        <v>16393.919999999998</v>
      </c>
      <c r="K27" s="789">
        <f>'Client Services LASER'!I26</f>
        <v>53973.85</v>
      </c>
      <c r="L27" s="787">
        <f>'Benefits Spending LASER'!D27</f>
        <v>6084007.4757751934</v>
      </c>
      <c r="M27" s="788">
        <f>'Benefits Spending LASER'!E27</f>
        <v>5333198.8352304585</v>
      </c>
      <c r="N27" s="788">
        <f>'Benefits Spending LASER'!I27</f>
        <v>322854.13698937499</v>
      </c>
      <c r="O27" s="789">
        <f t="shared" si="0"/>
        <v>11740060.447995028</v>
      </c>
      <c r="P27" s="1428">
        <f t="shared" si="12"/>
        <v>6681360.3975893902</v>
      </c>
      <c r="Q27" s="788">
        <f t="shared" si="13"/>
        <v>5487801.3434162615</v>
      </c>
      <c r="R27" s="788">
        <f t="shared" si="14"/>
        <v>1030294.2869893751</v>
      </c>
      <c r="S27" s="789">
        <f t="shared" si="15"/>
        <v>13199456.027995028</v>
      </c>
      <c r="U27" s="624">
        <f t="shared" si="2"/>
        <v>0.40214026890261778</v>
      </c>
      <c r="V27" s="625">
        <f t="shared" si="3"/>
        <v>0.10615947113342107</v>
      </c>
      <c r="W27" s="625">
        <f t="shared" si="4"/>
        <v>0.49170025996396122</v>
      </c>
      <c r="X27" s="626">
        <f t="shared" si="5"/>
        <v>0.50829974003603884</v>
      </c>
      <c r="Z27" s="1437">
        <f t="shared" si="6"/>
        <v>0.10647573104673473</v>
      </c>
      <c r="AA27" s="1354">
        <f t="shared" si="7"/>
        <v>4.0890965419730649E-3</v>
      </c>
      <c r="AB27" s="1439">
        <f t="shared" si="8"/>
        <v>0.88943517241129222</v>
      </c>
      <c r="AD27" s="1437">
        <f t="shared" si="9"/>
        <v>0.67072703277750634</v>
      </c>
      <c r="AE27" s="1354">
        <f t="shared" si="10"/>
        <v>1.5911880913078439E-2</v>
      </c>
      <c r="AF27" s="1439">
        <f t="shared" si="11"/>
        <v>0.31336108630941523</v>
      </c>
    </row>
    <row r="28" spans="1:32" x14ac:dyDescent="0.25">
      <c r="A28" s="737" t="s">
        <v>60</v>
      </c>
      <c r="B28" s="589" t="s">
        <v>61</v>
      </c>
      <c r="C28" s="738" t="s">
        <v>265</v>
      </c>
      <c r="D28" s="787">
        <f>'Administration LASER'!D27+'Other Oper Exp. LASER'!D27</f>
        <v>237312.6217208422</v>
      </c>
      <c r="E28" s="788">
        <f>'Administration LASER'!E27+'Other Oper Exp. LASER'!E27</f>
        <v>98136.208279157785</v>
      </c>
      <c r="F28" s="788">
        <f>'Administration LASER'!K27+'Other Oper Exp. LASER'!K27</f>
        <v>174858.26</v>
      </c>
      <c r="G28" s="789">
        <f>'Administration LASER'!I27+'Other Oper Exp. LASER'!I27</f>
        <v>510307.09</v>
      </c>
      <c r="H28" s="787">
        <f>'Client Services LASER'!D27</f>
        <v>12919.971631710327</v>
      </c>
      <c r="I28" s="788">
        <f>'Client Services LASER'!E27</f>
        <v>4811.0583682896759</v>
      </c>
      <c r="J28" s="788">
        <f>'Client Services LASER'!K27</f>
        <v>295.01999999999953</v>
      </c>
      <c r="K28" s="789">
        <f>'Client Services LASER'!I27</f>
        <v>18026.050000000003</v>
      </c>
      <c r="L28" s="787">
        <f>'Benefits Spending LASER'!D28</f>
        <v>3676106.1786501701</v>
      </c>
      <c r="M28" s="788">
        <f>'Benefits Spending LASER'!E28</f>
        <v>3018137.8605161621</v>
      </c>
      <c r="N28" s="788">
        <f>'Benefits Spending LASER'!I28</f>
        <v>184124.43061875005</v>
      </c>
      <c r="O28" s="789">
        <f t="shared" si="0"/>
        <v>6878368.4697850822</v>
      </c>
      <c r="P28" s="1428">
        <f t="shared" si="12"/>
        <v>3926338.7720027226</v>
      </c>
      <c r="Q28" s="788">
        <f t="shared" si="13"/>
        <v>3121085.1271636095</v>
      </c>
      <c r="R28" s="788">
        <f t="shared" si="14"/>
        <v>359277.71061875008</v>
      </c>
      <c r="S28" s="789">
        <f t="shared" si="15"/>
        <v>7406701.6097850818</v>
      </c>
      <c r="U28" s="624">
        <f t="shared" si="2"/>
        <v>0.46503884890339697</v>
      </c>
      <c r="V28" s="625">
        <f t="shared" si="3"/>
        <v>0.19230814190560783</v>
      </c>
      <c r="W28" s="625">
        <f t="shared" si="4"/>
        <v>0.34265300919099517</v>
      </c>
      <c r="X28" s="626">
        <f t="shared" si="5"/>
        <v>0.65734699080900472</v>
      </c>
      <c r="Z28" s="1437">
        <f t="shared" si="6"/>
        <v>6.8898021938109025E-2</v>
      </c>
      <c r="AA28" s="1354">
        <f t="shared" si="7"/>
        <v>2.4337486440908561E-3</v>
      </c>
      <c r="AB28" s="1439">
        <f t="shared" si="8"/>
        <v>0.92866822941780014</v>
      </c>
      <c r="AD28" s="1437">
        <f t="shared" si="9"/>
        <v>0.48669387170959794</v>
      </c>
      <c r="AE28" s="1354">
        <f t="shared" si="10"/>
        <v>8.2114751703331226E-4</v>
      </c>
      <c r="AF28" s="1439">
        <f t="shared" si="11"/>
        <v>0.51248498077336868</v>
      </c>
    </row>
    <row r="29" spans="1:32" x14ac:dyDescent="0.25">
      <c r="A29" s="737" t="s">
        <v>62</v>
      </c>
      <c r="B29" s="589" t="s">
        <v>63</v>
      </c>
      <c r="C29" s="738" t="s">
        <v>267</v>
      </c>
      <c r="D29" s="787">
        <f>'Administration LASER'!D28+'Other Oper Exp. LASER'!D28</f>
        <v>1682491.3473186733</v>
      </c>
      <c r="E29" s="788">
        <f>'Administration LASER'!E28+'Other Oper Exp. LASER'!E28</f>
        <v>608592.3526813268</v>
      </c>
      <c r="F29" s="788">
        <f>'Administration LASER'!K28+'Other Oper Exp. LASER'!K28</f>
        <v>1526666.46</v>
      </c>
      <c r="G29" s="789">
        <f>'Administration LASER'!I28+'Other Oper Exp. LASER'!I28</f>
        <v>3817750.1599999997</v>
      </c>
      <c r="H29" s="787">
        <f>'Client Services LASER'!D28</f>
        <v>58732.892367986497</v>
      </c>
      <c r="I29" s="788">
        <f>'Client Services LASER'!E28</f>
        <v>107903.9676320135</v>
      </c>
      <c r="J29" s="788">
        <f>'Client Services LASER'!K28</f>
        <v>31772.879999999997</v>
      </c>
      <c r="K29" s="789">
        <f>'Client Services LASER'!I28</f>
        <v>198409.74</v>
      </c>
      <c r="L29" s="787">
        <f>'Benefits Spending LASER'!D29</f>
        <v>37537609.965631425</v>
      </c>
      <c r="M29" s="788">
        <f>'Benefits Spending LASER'!E29</f>
        <v>30106632.938903458</v>
      </c>
      <c r="N29" s="788">
        <f>'Benefits Spending LASER'!I29</f>
        <v>1763724.2964368751</v>
      </c>
      <c r="O29" s="789">
        <f t="shared" si="0"/>
        <v>69407967.200971752</v>
      </c>
      <c r="P29" s="1428">
        <f t="shared" si="12"/>
        <v>39278834.205318086</v>
      </c>
      <c r="Q29" s="788">
        <f t="shared" si="13"/>
        <v>30823129.2592168</v>
      </c>
      <c r="R29" s="788">
        <f t="shared" si="14"/>
        <v>3322163.636436875</v>
      </c>
      <c r="S29" s="789">
        <f t="shared" si="15"/>
        <v>73424127.100971758</v>
      </c>
      <c r="U29" s="624">
        <f t="shared" si="2"/>
        <v>0.44070231859244385</v>
      </c>
      <c r="V29" s="625">
        <f t="shared" si="3"/>
        <v>0.15941125720005911</v>
      </c>
      <c r="W29" s="625">
        <f t="shared" si="4"/>
        <v>0.39988642420749715</v>
      </c>
      <c r="X29" s="626">
        <f t="shared" si="5"/>
        <v>0.60011357579250302</v>
      </c>
      <c r="Z29" s="1437">
        <f t="shared" si="6"/>
        <v>5.1995853553013803E-2</v>
      </c>
      <c r="AA29" s="1354">
        <f t="shared" si="7"/>
        <v>2.7022417267167495E-3</v>
      </c>
      <c r="AB29" s="1439">
        <f t="shared" si="8"/>
        <v>0.94530190472026931</v>
      </c>
      <c r="AD29" s="1437">
        <f t="shared" si="9"/>
        <v>0.45953981413070843</v>
      </c>
      <c r="AE29" s="1354">
        <f t="shared" si="10"/>
        <v>9.563911798781053E-3</v>
      </c>
      <c r="AF29" s="1439">
        <f t="shared" si="11"/>
        <v>0.53089627407051054</v>
      </c>
    </row>
    <row r="30" spans="1:32" x14ac:dyDescent="0.25">
      <c r="A30" s="737" t="s">
        <v>64</v>
      </c>
      <c r="B30" s="589" t="s">
        <v>65</v>
      </c>
      <c r="C30" s="738" t="s">
        <v>266</v>
      </c>
      <c r="D30" s="787">
        <f>'Administration LASER'!D29+'Other Oper Exp. LASER'!D29</f>
        <v>498938.4484922695</v>
      </c>
      <c r="E30" s="788">
        <f>'Administration LASER'!E29+'Other Oper Exp. LASER'!E29</f>
        <v>214680.72150773049</v>
      </c>
      <c r="F30" s="788">
        <f>'Administration LASER'!K29+'Other Oper Exp. LASER'!K29</f>
        <v>327283.15000000002</v>
      </c>
      <c r="G30" s="789">
        <f>'Administration LASER'!I29+'Other Oper Exp. LASER'!I29</f>
        <v>1040902.3200000001</v>
      </c>
      <c r="H30" s="787">
        <f>'Client Services LASER'!D29</f>
        <v>19625.879869089134</v>
      </c>
      <c r="I30" s="788">
        <f>'Client Services LASER'!E29</f>
        <v>54211.080130910865</v>
      </c>
      <c r="J30" s="788">
        <f>'Client Services LASER'!K29</f>
        <v>13940.49</v>
      </c>
      <c r="K30" s="789">
        <f>'Client Services LASER'!I29</f>
        <v>87777.449999999983</v>
      </c>
      <c r="L30" s="787">
        <f>'Benefits Spending LASER'!D30</f>
        <v>11655439.611653198</v>
      </c>
      <c r="M30" s="788">
        <f>'Benefits Spending LASER'!E30</f>
        <v>9127061.8724092618</v>
      </c>
      <c r="N30" s="788">
        <f>'Benefits Spending LASER'!I30</f>
        <v>339591.38979999995</v>
      </c>
      <c r="O30" s="789">
        <f t="shared" si="0"/>
        <v>21122092.87386246</v>
      </c>
      <c r="P30" s="1428">
        <f t="shared" si="12"/>
        <v>12174003.940014556</v>
      </c>
      <c r="Q30" s="788">
        <f t="shared" si="13"/>
        <v>9395953.6740479022</v>
      </c>
      <c r="R30" s="788">
        <f t="shared" si="14"/>
        <v>680815.0297999999</v>
      </c>
      <c r="S30" s="789">
        <f t="shared" si="15"/>
        <v>22250772.64386246</v>
      </c>
      <c r="U30" s="624">
        <f t="shared" si="2"/>
        <v>0.4793326317999459</v>
      </c>
      <c r="V30" s="625">
        <f t="shared" si="3"/>
        <v>0.20624482949344419</v>
      </c>
      <c r="W30" s="625">
        <f t="shared" si="4"/>
        <v>0.31442253870660986</v>
      </c>
      <c r="X30" s="626">
        <f t="shared" si="5"/>
        <v>0.68557746129339003</v>
      </c>
      <c r="Z30" s="1437">
        <f t="shared" si="6"/>
        <v>4.678050226211436E-2</v>
      </c>
      <c r="AA30" s="1354">
        <f t="shared" si="7"/>
        <v>3.9449169431072352E-3</v>
      </c>
      <c r="AB30" s="1439">
        <f t="shared" si="8"/>
        <v>0.94927458079477844</v>
      </c>
      <c r="AD30" s="1437">
        <f t="shared" si="9"/>
        <v>0.48072256879544006</v>
      </c>
      <c r="AE30" s="1354">
        <f t="shared" si="10"/>
        <v>2.0476178388857305E-2</v>
      </c>
      <c r="AF30" s="1439">
        <f t="shared" si="11"/>
        <v>0.49880125281570276</v>
      </c>
    </row>
    <row r="31" spans="1:32" x14ac:dyDescent="0.25">
      <c r="A31" s="737" t="s">
        <v>68</v>
      </c>
      <c r="B31" s="589" t="s">
        <v>69</v>
      </c>
      <c r="C31" s="738" t="s">
        <v>268</v>
      </c>
      <c r="D31" s="787">
        <f>'Administration LASER'!D30+'Other Oper Exp. LASER'!D30</f>
        <v>1426569.1403758493</v>
      </c>
      <c r="E31" s="788">
        <f>'Administration LASER'!E30+'Other Oper Exp. LASER'!E30</f>
        <v>607607.92962415051</v>
      </c>
      <c r="F31" s="788">
        <f>'Administration LASER'!K30+'Other Oper Exp. LASER'!K30</f>
        <v>997740.08</v>
      </c>
      <c r="G31" s="789">
        <f>'Administration LASER'!I30+'Other Oper Exp. LASER'!I30</f>
        <v>3031917.15</v>
      </c>
      <c r="H31" s="787">
        <f>'Client Services LASER'!D30</f>
        <v>84613.829984959943</v>
      </c>
      <c r="I31" s="788">
        <f>'Client Services LASER'!E30</f>
        <v>20115.510015040043</v>
      </c>
      <c r="J31" s="788">
        <f>'Client Services LASER'!K30</f>
        <v>21684.690000000002</v>
      </c>
      <c r="K31" s="789">
        <f>'Client Services LASER'!I30</f>
        <v>126414.02999999998</v>
      </c>
      <c r="L31" s="787">
        <f>'Benefits Spending LASER'!D31</f>
        <v>20100406.357112933</v>
      </c>
      <c r="M31" s="788">
        <f>'Benefits Spending LASER'!E31</f>
        <v>15946538.251981091</v>
      </c>
      <c r="N31" s="788">
        <f>'Benefits Spending LASER'!I31</f>
        <v>431613.16142750002</v>
      </c>
      <c r="O31" s="789">
        <f t="shared" si="0"/>
        <v>36478557.770521522</v>
      </c>
      <c r="P31" s="1428">
        <f t="shared" si="12"/>
        <v>21611589.327473741</v>
      </c>
      <c r="Q31" s="788">
        <f t="shared" si="13"/>
        <v>16574261.691620281</v>
      </c>
      <c r="R31" s="788">
        <f t="shared" si="14"/>
        <v>1451037.9314275</v>
      </c>
      <c r="S31" s="789">
        <f t="shared" si="15"/>
        <v>39636888.950521521</v>
      </c>
      <c r="U31" s="624">
        <f t="shared" si="2"/>
        <v>0.47051719087239879</v>
      </c>
      <c r="V31" s="625">
        <f t="shared" si="3"/>
        <v>0.2004038697509101</v>
      </c>
      <c r="W31" s="625">
        <f t="shared" si="4"/>
        <v>0.32907893937669108</v>
      </c>
      <c r="X31" s="626">
        <f t="shared" si="5"/>
        <v>0.67092106062330892</v>
      </c>
      <c r="Z31" s="1437">
        <f t="shared" si="6"/>
        <v>7.6492308813255319E-2</v>
      </c>
      <c r="AA31" s="1354">
        <f t="shared" si="7"/>
        <v>3.1893025246709401E-3</v>
      </c>
      <c r="AB31" s="1439">
        <f t="shared" si="8"/>
        <v>0.92031838866207372</v>
      </c>
      <c r="AD31" s="1437">
        <f t="shared" si="9"/>
        <v>0.68760440949909885</v>
      </c>
      <c r="AE31" s="1354">
        <f t="shared" si="10"/>
        <v>1.4944261297612716E-2</v>
      </c>
      <c r="AF31" s="1439">
        <f t="shared" si="11"/>
        <v>0.29745132920328848</v>
      </c>
    </row>
    <row r="32" spans="1:32" x14ac:dyDescent="0.25">
      <c r="A32" s="737" t="s">
        <v>70</v>
      </c>
      <c r="B32" s="589" t="s">
        <v>71</v>
      </c>
      <c r="C32" s="738" t="s">
        <v>264</v>
      </c>
      <c r="D32" s="787">
        <f>'Administration LASER'!D31+'Other Oper Exp. LASER'!D31</f>
        <v>993096.56030497712</v>
      </c>
      <c r="E32" s="788">
        <f>'Administration LASER'!E31+'Other Oper Exp. LASER'!E31</f>
        <v>474650.879695023</v>
      </c>
      <c r="F32" s="788">
        <f>'Administration LASER'!K31+'Other Oper Exp. LASER'!K31</f>
        <v>501893.58</v>
      </c>
      <c r="G32" s="789">
        <f>'Administration LASER'!I31+'Other Oper Exp. LASER'!I31</f>
        <v>1969641.02</v>
      </c>
      <c r="H32" s="787">
        <f>'Client Services LASER'!D31</f>
        <v>74953.307955584285</v>
      </c>
      <c r="I32" s="788">
        <f>'Client Services LASER'!E31</f>
        <v>16865.552044415723</v>
      </c>
      <c r="J32" s="788">
        <f>'Client Services LASER'!K31</f>
        <v>121678.37</v>
      </c>
      <c r="K32" s="789">
        <f>'Client Services LASER'!I31</f>
        <v>213497.23</v>
      </c>
      <c r="L32" s="787">
        <f>'Benefits Spending LASER'!D32</f>
        <v>26046851.561532579</v>
      </c>
      <c r="M32" s="788">
        <f>'Benefits Spending LASER'!E32</f>
        <v>20059003.428216908</v>
      </c>
      <c r="N32" s="788">
        <f>'Benefits Spending LASER'!I32</f>
        <v>791853.80676999991</v>
      </c>
      <c r="O32" s="789">
        <f t="shared" si="0"/>
        <v>46897708.796519488</v>
      </c>
      <c r="P32" s="1428">
        <f t="shared" si="12"/>
        <v>27114901.429793142</v>
      </c>
      <c r="Q32" s="788">
        <f t="shared" si="13"/>
        <v>20550519.859956346</v>
      </c>
      <c r="R32" s="788">
        <f t="shared" si="14"/>
        <v>1415425.7567699999</v>
      </c>
      <c r="S32" s="789">
        <f t="shared" si="15"/>
        <v>49080847.046519488</v>
      </c>
      <c r="U32" s="624">
        <f t="shared" si="2"/>
        <v>0.50420180643119283</v>
      </c>
      <c r="V32" s="625">
        <f t="shared" si="3"/>
        <v>0.24098344565093541</v>
      </c>
      <c r="W32" s="625">
        <f t="shared" si="4"/>
        <v>0.25481474791787184</v>
      </c>
      <c r="X32" s="626">
        <f t="shared" si="5"/>
        <v>0.74518525208212827</v>
      </c>
      <c r="Z32" s="1437">
        <f t="shared" si="6"/>
        <v>4.013054253389612E-2</v>
      </c>
      <c r="AA32" s="1354">
        <f t="shared" si="7"/>
        <v>4.3499092384783914E-3</v>
      </c>
      <c r="AB32" s="1439">
        <f t="shared" si="8"/>
        <v>0.95551954822762553</v>
      </c>
      <c r="AD32" s="1437">
        <f t="shared" si="9"/>
        <v>0.35458841807804931</v>
      </c>
      <c r="AE32" s="1354">
        <f t="shared" si="10"/>
        <v>8.5965914791369849E-2</v>
      </c>
      <c r="AF32" s="1439">
        <f t="shared" si="11"/>
        <v>0.55944566713058086</v>
      </c>
    </row>
    <row r="33" spans="1:32" x14ac:dyDescent="0.25">
      <c r="A33" s="737" t="s">
        <v>72</v>
      </c>
      <c r="B33" s="589" t="s">
        <v>73</v>
      </c>
      <c r="C33" s="738" t="s">
        <v>266</v>
      </c>
      <c r="D33" s="787">
        <f>'Administration LASER'!D32+'Other Oper Exp. LASER'!D32</f>
        <v>560879.06016491225</v>
      </c>
      <c r="E33" s="788">
        <f>'Administration LASER'!E32+'Other Oper Exp. LASER'!E32</f>
        <v>214240.64983508782</v>
      </c>
      <c r="F33" s="788">
        <f>'Administration LASER'!K32+'Other Oper Exp. LASER'!K32</f>
        <v>469369.58999999997</v>
      </c>
      <c r="G33" s="789">
        <f>'Administration LASER'!I32+'Other Oper Exp. LASER'!I32</f>
        <v>1244489.3</v>
      </c>
      <c r="H33" s="787">
        <f>'Client Services LASER'!D32</f>
        <v>28019.476405417732</v>
      </c>
      <c r="I33" s="788">
        <f>'Client Services LASER'!E32</f>
        <v>13554.763594582269</v>
      </c>
      <c r="J33" s="788">
        <f>'Client Services LASER'!K32</f>
        <v>8076.8899999999994</v>
      </c>
      <c r="K33" s="789">
        <f>'Client Services LASER'!I32</f>
        <v>49651.130000000005</v>
      </c>
      <c r="L33" s="787">
        <f>'Benefits Spending LASER'!D33</f>
        <v>11758949.301178964</v>
      </c>
      <c r="M33" s="788">
        <f>'Benefits Spending LASER'!E33</f>
        <v>8562940.3368394375</v>
      </c>
      <c r="N33" s="788">
        <f>'Benefits Spending LASER'!I33</f>
        <v>378525.86073499999</v>
      </c>
      <c r="O33" s="789">
        <f t="shared" si="0"/>
        <v>20700415.498753399</v>
      </c>
      <c r="P33" s="1428">
        <f t="shared" si="12"/>
        <v>12347847.837749293</v>
      </c>
      <c r="Q33" s="788">
        <f t="shared" si="13"/>
        <v>8790735.7502691075</v>
      </c>
      <c r="R33" s="788">
        <f t="shared" si="14"/>
        <v>855972.34073499998</v>
      </c>
      <c r="S33" s="789">
        <f t="shared" si="15"/>
        <v>21994555.928753398</v>
      </c>
      <c r="U33" s="624">
        <f t="shared" si="2"/>
        <v>0.45069014266728707</v>
      </c>
      <c r="V33" s="625">
        <f t="shared" si="3"/>
        <v>0.172151459908163</v>
      </c>
      <c r="W33" s="625">
        <f t="shared" si="4"/>
        <v>0.37715839742454993</v>
      </c>
      <c r="X33" s="626">
        <f t="shared" si="5"/>
        <v>0.62284160257545007</v>
      </c>
      <c r="Z33" s="1437">
        <f t="shared" si="6"/>
        <v>5.6581697035905328E-2</v>
      </c>
      <c r="AA33" s="1354">
        <f t="shared" si="7"/>
        <v>2.2574281636253122E-3</v>
      </c>
      <c r="AB33" s="1439">
        <f t="shared" si="8"/>
        <v>0.94116087480046939</v>
      </c>
      <c r="AD33" s="1437">
        <f t="shared" si="9"/>
        <v>0.54834667858188635</v>
      </c>
      <c r="AE33" s="1354">
        <f t="shared" si="10"/>
        <v>9.4359240545840474E-3</v>
      </c>
      <c r="AF33" s="1439">
        <f t="shared" si="11"/>
        <v>0.44221739736352955</v>
      </c>
    </row>
    <row r="34" spans="1:32" x14ac:dyDescent="0.25">
      <c r="A34" s="737" t="s">
        <v>74</v>
      </c>
      <c r="B34" s="589" t="s">
        <v>609</v>
      </c>
      <c r="C34" s="738" t="s">
        <v>267</v>
      </c>
      <c r="D34" s="787">
        <f>'Administration LASER'!D33+'Other Oper Exp. LASER'!D33</f>
        <v>28642955.373092949</v>
      </c>
      <c r="E34" s="788">
        <f>'Administration LASER'!E33+'Other Oper Exp. LASER'!E33</f>
        <v>6797309.1469070502</v>
      </c>
      <c r="F34" s="788">
        <f>'Administration LASER'!K33+'Other Oper Exp. LASER'!K33</f>
        <v>38184473.680000007</v>
      </c>
      <c r="G34" s="789">
        <f>'Administration LASER'!I33+'Other Oper Exp. LASER'!I33</f>
        <v>73624738.200000018</v>
      </c>
      <c r="H34" s="787">
        <f>'Client Services LASER'!D33</f>
        <v>1225190.8208141366</v>
      </c>
      <c r="I34" s="788">
        <f>'Client Services LASER'!E33</f>
        <v>781035.05918586336</v>
      </c>
      <c r="J34" s="788">
        <f>'Client Services LASER'!K33</f>
        <v>1393973.1099999999</v>
      </c>
      <c r="K34" s="789">
        <f>'Client Services LASER'!I33</f>
        <v>3400198.9899999998</v>
      </c>
      <c r="L34" s="787">
        <f>'Benefits Spending LASER'!D34</f>
        <v>398437419.03651166</v>
      </c>
      <c r="M34" s="788">
        <f>'Benefits Spending LASER'!E34</f>
        <v>314957313.19602209</v>
      </c>
      <c r="N34" s="788">
        <f>'Benefits Spending LASER'!I34</f>
        <v>19676258.743200246</v>
      </c>
      <c r="O34" s="789">
        <f t="shared" si="0"/>
        <v>733070990.975734</v>
      </c>
      <c r="P34" s="1428">
        <f t="shared" si="12"/>
        <v>428305565.23041874</v>
      </c>
      <c r="Q34" s="788">
        <f t="shared" si="13"/>
        <v>322535657.40211499</v>
      </c>
      <c r="R34" s="788">
        <f t="shared" si="14"/>
        <v>59254705.533200249</v>
      </c>
      <c r="S34" s="789">
        <f t="shared" si="15"/>
        <v>810095928.16573405</v>
      </c>
      <c r="U34" s="624">
        <f t="shared" si="2"/>
        <v>0.38903982646817675</v>
      </c>
      <c r="V34" s="625">
        <f t="shared" si="3"/>
        <v>9.2323712288691684E-2</v>
      </c>
      <c r="W34" s="625">
        <f t="shared" si="4"/>
        <v>0.51863646124313145</v>
      </c>
      <c r="X34" s="626">
        <f t="shared" si="5"/>
        <v>0.48136353875686838</v>
      </c>
      <c r="Z34" s="1437">
        <f t="shared" si="6"/>
        <v>9.0883975144407159E-2</v>
      </c>
      <c r="AA34" s="1354">
        <f t="shared" si="7"/>
        <v>4.1972794477549424E-3</v>
      </c>
      <c r="AB34" s="1439">
        <f t="shared" si="8"/>
        <v>0.9049187454078379</v>
      </c>
      <c r="AD34" s="1437">
        <f t="shared" si="9"/>
        <v>0.64441251266712229</v>
      </c>
      <c r="AE34" s="1354">
        <f t="shared" si="10"/>
        <v>2.352510399733504E-2</v>
      </c>
      <c r="AF34" s="1439">
        <f t="shared" si="11"/>
        <v>0.33206238333554272</v>
      </c>
    </row>
    <row r="35" spans="1:32" x14ac:dyDescent="0.25">
      <c r="A35" s="737" t="s">
        <v>76</v>
      </c>
      <c r="B35" s="589" t="s">
        <v>77</v>
      </c>
      <c r="C35" s="738" t="s">
        <v>267</v>
      </c>
      <c r="D35" s="787">
        <f>'Administration LASER'!D34+'Other Oper Exp. LASER'!D34</f>
        <v>1660654.6185384593</v>
      </c>
      <c r="E35" s="788">
        <f>'Administration LASER'!E34+'Other Oper Exp. LASER'!E34</f>
        <v>522240.41146154073</v>
      </c>
      <c r="F35" s="788">
        <f>'Administration LASER'!K34+'Other Oper Exp. LASER'!K34</f>
        <v>2132479.27</v>
      </c>
      <c r="G35" s="789">
        <f>'Administration LASER'!I34+'Other Oper Exp. LASER'!I34</f>
        <v>4315374.3</v>
      </c>
      <c r="H35" s="787">
        <f>'Client Services LASER'!D34</f>
        <v>85002.181664975607</v>
      </c>
      <c r="I35" s="788">
        <f>'Client Services LASER'!E34</f>
        <v>30440.728335024389</v>
      </c>
      <c r="J35" s="788">
        <f>'Client Services LASER'!K34</f>
        <v>33982.659999999996</v>
      </c>
      <c r="K35" s="789">
        <f>'Client Services LASER'!I34</f>
        <v>149425.57</v>
      </c>
      <c r="L35" s="787">
        <f>'Benefits Spending LASER'!D35</f>
        <v>31318722.221303198</v>
      </c>
      <c r="M35" s="788">
        <f>'Benefits Spending LASER'!E35</f>
        <v>27541164.899685007</v>
      </c>
      <c r="N35" s="788">
        <f>'Benefits Spending LASER'!I35</f>
        <v>2600576.1810249998</v>
      </c>
      <c r="O35" s="789">
        <f t="shared" si="0"/>
        <v>61460463.302013204</v>
      </c>
      <c r="P35" s="1428">
        <f t="shared" si="12"/>
        <v>33064379.021506634</v>
      </c>
      <c r="Q35" s="788">
        <f t="shared" si="13"/>
        <v>28093846.039481573</v>
      </c>
      <c r="R35" s="788">
        <f t="shared" si="14"/>
        <v>4767038.111025</v>
      </c>
      <c r="S35" s="789">
        <f t="shared" si="15"/>
        <v>65925263.172013201</v>
      </c>
      <c r="U35" s="624">
        <f t="shared" si="2"/>
        <v>0.38482284573517977</v>
      </c>
      <c r="V35" s="625">
        <f t="shared" si="3"/>
        <v>0.12101856644545081</v>
      </c>
      <c r="W35" s="625">
        <f t="shared" si="4"/>
        <v>0.4941585878193695</v>
      </c>
      <c r="X35" s="626">
        <f t="shared" si="5"/>
        <v>0.50584141218063061</v>
      </c>
      <c r="Z35" s="1437">
        <f t="shared" si="6"/>
        <v>6.5458582830989376E-2</v>
      </c>
      <c r="AA35" s="1354">
        <f t="shared" si="7"/>
        <v>2.2665904208848818E-3</v>
      </c>
      <c r="AB35" s="1439">
        <f t="shared" si="8"/>
        <v>0.93227482674812578</v>
      </c>
      <c r="AD35" s="1437">
        <f t="shared" si="9"/>
        <v>0.4473384144062314</v>
      </c>
      <c r="AE35" s="1354">
        <f t="shared" si="10"/>
        <v>7.1286738659391809E-3</v>
      </c>
      <c r="AF35" s="1439">
        <f t="shared" si="11"/>
        <v>0.54553291172782936</v>
      </c>
    </row>
    <row r="36" spans="1:32" x14ac:dyDescent="0.25">
      <c r="A36" s="737" t="s">
        <v>78</v>
      </c>
      <c r="B36" s="589" t="s">
        <v>79</v>
      </c>
      <c r="C36" s="738" t="s">
        <v>268</v>
      </c>
      <c r="D36" s="787">
        <f>'Administration LASER'!D35+'Other Oper Exp. LASER'!D35</f>
        <v>466780.82251639018</v>
      </c>
      <c r="E36" s="788">
        <f>'Administration LASER'!E35+'Other Oper Exp. LASER'!E35</f>
        <v>204301.0274836098</v>
      </c>
      <c r="F36" s="788">
        <f>'Administration LASER'!K35+'Other Oper Exp. LASER'!K35</f>
        <v>299227.01</v>
      </c>
      <c r="G36" s="789">
        <f>'Administration LASER'!I35+'Other Oper Exp. LASER'!I35</f>
        <v>970308.8600000001</v>
      </c>
      <c r="H36" s="787">
        <f>'Client Services LASER'!D35</f>
        <v>12831.313091106971</v>
      </c>
      <c r="I36" s="788">
        <f>'Client Services LASER'!E35</f>
        <v>8937.5369088930311</v>
      </c>
      <c r="J36" s="788">
        <f>'Client Services LASER'!K35</f>
        <v>4282.92</v>
      </c>
      <c r="K36" s="789">
        <f>'Client Services LASER'!I35</f>
        <v>26051.77</v>
      </c>
      <c r="L36" s="787">
        <f>'Benefits Spending LASER'!D36</f>
        <v>13096050.178831685</v>
      </c>
      <c r="M36" s="788">
        <f>'Benefits Spending LASER'!E36</f>
        <v>10353219.695769189</v>
      </c>
      <c r="N36" s="788">
        <f>'Benefits Spending LASER'!I36</f>
        <v>116706.72904999999</v>
      </c>
      <c r="O36" s="789">
        <f t="shared" si="0"/>
        <v>23565976.603650872</v>
      </c>
      <c r="P36" s="1428">
        <f t="shared" si="12"/>
        <v>13575662.314439183</v>
      </c>
      <c r="Q36" s="788">
        <f t="shared" si="13"/>
        <v>10566458.260161692</v>
      </c>
      <c r="R36" s="788">
        <f t="shared" si="14"/>
        <v>420216.65905000002</v>
      </c>
      <c r="S36" s="789">
        <f t="shared" si="15"/>
        <v>24562337.233650871</v>
      </c>
      <c r="U36" s="624">
        <f t="shared" si="2"/>
        <v>0.48106416601863261</v>
      </c>
      <c r="V36" s="625">
        <f t="shared" si="3"/>
        <v>0.2105525734183338</v>
      </c>
      <c r="W36" s="625">
        <f t="shared" si="4"/>
        <v>0.3083832605630335</v>
      </c>
      <c r="X36" s="626">
        <f t="shared" si="5"/>
        <v>0.69161673943696644</v>
      </c>
      <c r="Z36" s="1437">
        <f t="shared" si="6"/>
        <v>3.9503930378036602E-2</v>
      </c>
      <c r="AA36" s="1354">
        <f t="shared" si="7"/>
        <v>1.0606388859570163E-3</v>
      </c>
      <c r="AB36" s="1439">
        <f t="shared" si="8"/>
        <v>0.95943543073600646</v>
      </c>
      <c r="AD36" s="1437">
        <f t="shared" si="9"/>
        <v>0.7120779330273912</v>
      </c>
      <c r="AE36" s="1354">
        <f t="shared" si="10"/>
        <v>1.0192170890327295E-2</v>
      </c>
      <c r="AF36" s="1439">
        <f t="shared" si="11"/>
        <v>0.27772989608228144</v>
      </c>
    </row>
    <row r="37" spans="1:32" x14ac:dyDescent="0.25">
      <c r="A37" s="737" t="s">
        <v>80</v>
      </c>
      <c r="B37" s="589" t="s">
        <v>81</v>
      </c>
      <c r="C37" s="738" t="s">
        <v>266</v>
      </c>
      <c r="D37" s="787">
        <f>'Administration LASER'!D36+'Other Oper Exp. LASER'!D36</f>
        <v>817512.2807356132</v>
      </c>
      <c r="E37" s="788">
        <f>'Administration LASER'!E36+'Other Oper Exp. LASER'!E36</f>
        <v>263326.47926438681</v>
      </c>
      <c r="F37" s="788">
        <f>'Administration LASER'!K36+'Other Oper Exp. LASER'!K36</f>
        <v>869399.79</v>
      </c>
      <c r="G37" s="789">
        <f>'Administration LASER'!I36+'Other Oper Exp. LASER'!I36</f>
        <v>1950238.55</v>
      </c>
      <c r="H37" s="787">
        <f>'Client Services LASER'!D36</f>
        <v>37684.568086358442</v>
      </c>
      <c r="I37" s="788">
        <f>'Client Services LASER'!E36</f>
        <v>14777.471913641553</v>
      </c>
      <c r="J37" s="788">
        <f>'Client Services LASER'!K36</f>
        <v>9180.5299999999988</v>
      </c>
      <c r="K37" s="789">
        <f>'Client Services LASER'!I36</f>
        <v>61642.57</v>
      </c>
      <c r="L37" s="787">
        <f>'Benefits Spending LASER'!D37</f>
        <v>12229375.53076273</v>
      </c>
      <c r="M37" s="788">
        <f>'Benefits Spending LASER'!E37</f>
        <v>10788083.701977663</v>
      </c>
      <c r="N37" s="788">
        <f>'Benefits Spending LASER'!I37</f>
        <v>1069473.273641875</v>
      </c>
      <c r="O37" s="789">
        <f t="shared" ref="O37:O68" si="16">SUM(L37:N37)</f>
        <v>24086932.506382272</v>
      </c>
      <c r="P37" s="1428">
        <f t="shared" si="12"/>
        <v>13084572.379584702</v>
      </c>
      <c r="Q37" s="788">
        <f t="shared" si="13"/>
        <v>11066187.653155692</v>
      </c>
      <c r="R37" s="788">
        <f t="shared" si="14"/>
        <v>1948053.5936418751</v>
      </c>
      <c r="S37" s="789">
        <f t="shared" si="15"/>
        <v>26098813.626382273</v>
      </c>
      <c r="U37" s="624">
        <f t="shared" ref="U37:U68" si="17">D37/G37</f>
        <v>0.41918578664933742</v>
      </c>
      <c r="V37" s="625">
        <f t="shared" ref="V37:V68" si="18">E37/G37</f>
        <v>0.13502270235832781</v>
      </c>
      <c r="W37" s="625">
        <f t="shared" ref="W37:W68" si="19">F37/G37</f>
        <v>0.44579151099233477</v>
      </c>
      <c r="X37" s="626">
        <f t="shared" si="5"/>
        <v>0.55420848900766528</v>
      </c>
      <c r="Z37" s="1437">
        <f t="shared" si="6"/>
        <v>7.4725180152579035E-2</v>
      </c>
      <c r="AA37" s="1354">
        <f t="shared" si="7"/>
        <v>2.3618916508023925E-3</v>
      </c>
      <c r="AB37" s="1439">
        <f t="shared" si="8"/>
        <v>0.92291292819661852</v>
      </c>
      <c r="AD37" s="1437">
        <f t="shared" si="9"/>
        <v>0.44629151520141808</v>
      </c>
      <c r="AE37" s="1354">
        <f t="shared" si="10"/>
        <v>4.7126680857055119E-3</v>
      </c>
      <c r="AF37" s="1439">
        <f t="shared" si="11"/>
        <v>0.54899581671287634</v>
      </c>
    </row>
    <row r="38" spans="1:32" x14ac:dyDescent="0.25">
      <c r="A38" s="737" t="s">
        <v>84</v>
      </c>
      <c r="B38" s="589" t="s">
        <v>308</v>
      </c>
      <c r="C38" s="738" t="s">
        <v>265</v>
      </c>
      <c r="D38" s="787">
        <f>'Administration LASER'!D37+'Other Oper Exp. LASER'!D37</f>
        <v>1725142.5118568696</v>
      </c>
      <c r="E38" s="788">
        <f>'Administration LASER'!E37+'Other Oper Exp. LASER'!E37</f>
        <v>655492.5881431303</v>
      </c>
      <c r="F38" s="788">
        <f>'Administration LASER'!K37+'Other Oper Exp. LASER'!K37</f>
        <v>1401829.16</v>
      </c>
      <c r="G38" s="789">
        <f>'Administration LASER'!I37+'Other Oper Exp. LASER'!I37</f>
        <v>3782464.26</v>
      </c>
      <c r="H38" s="787">
        <f>'Client Services LASER'!D37</f>
        <v>110745.64440454781</v>
      </c>
      <c r="I38" s="788">
        <f>'Client Services LASER'!E37</f>
        <v>108938.29559545219</v>
      </c>
      <c r="J38" s="788">
        <f>'Client Services LASER'!K37</f>
        <v>40193.760000000002</v>
      </c>
      <c r="K38" s="789">
        <f>'Client Services LASER'!I37</f>
        <v>259877.7</v>
      </c>
      <c r="L38" s="787">
        <f>'Benefits Spending LASER'!D38</f>
        <v>43924946.152647376</v>
      </c>
      <c r="M38" s="788">
        <f>'Benefits Spending LASER'!E38</f>
        <v>35732602.469609976</v>
      </c>
      <c r="N38" s="788">
        <f>'Benefits Spending LASER'!I38</f>
        <v>1557437.88041875</v>
      </c>
      <c r="O38" s="789">
        <f t="shared" si="16"/>
        <v>81214986.5026761</v>
      </c>
      <c r="P38" s="1428">
        <f t="shared" si="12"/>
        <v>45760834.30890879</v>
      </c>
      <c r="Q38" s="788">
        <f t="shared" si="13"/>
        <v>36497033.353348561</v>
      </c>
      <c r="R38" s="788">
        <f t="shared" si="14"/>
        <v>2999460.8004187499</v>
      </c>
      <c r="S38" s="789">
        <f t="shared" si="15"/>
        <v>85257328.462676093</v>
      </c>
      <c r="U38" s="624">
        <f t="shared" si="17"/>
        <v>0.45608957369417935</v>
      </c>
      <c r="V38" s="625">
        <f t="shared" si="18"/>
        <v>0.1732977612174795</v>
      </c>
      <c r="W38" s="625">
        <f t="shared" si="19"/>
        <v>0.37061266508834112</v>
      </c>
      <c r="X38" s="626">
        <f t="shared" si="5"/>
        <v>0.62938733491165888</v>
      </c>
      <c r="Z38" s="1437">
        <f t="shared" si="6"/>
        <v>4.4365268396321905E-2</v>
      </c>
      <c r="AA38" s="1354">
        <f t="shared" si="7"/>
        <v>3.0481567354502448E-3</v>
      </c>
      <c r="AB38" s="1439">
        <f t="shared" si="8"/>
        <v>0.95258657486822795</v>
      </c>
      <c r="AD38" s="1437">
        <f t="shared" si="9"/>
        <v>0.46736038684162595</v>
      </c>
      <c r="AE38" s="1354">
        <f t="shared" si="10"/>
        <v>1.34003284838357E-2</v>
      </c>
      <c r="AF38" s="1439">
        <f t="shared" si="11"/>
        <v>0.51923928467453839</v>
      </c>
    </row>
    <row r="39" spans="1:32" x14ac:dyDescent="0.25">
      <c r="A39" s="737" t="s">
        <v>86</v>
      </c>
      <c r="B39" s="589" t="s">
        <v>87</v>
      </c>
      <c r="C39" s="738" t="s">
        <v>267</v>
      </c>
      <c r="D39" s="787">
        <f>'Administration LASER'!D38+'Other Oper Exp. LASER'!D38</f>
        <v>2127995.1807079101</v>
      </c>
      <c r="E39" s="788">
        <f>'Administration LASER'!E38+'Other Oper Exp. LASER'!E38</f>
        <v>585903.37929208996</v>
      </c>
      <c r="F39" s="788">
        <f>'Administration LASER'!K38+'Other Oper Exp. LASER'!K38</f>
        <v>2424554.9899999998</v>
      </c>
      <c r="G39" s="789">
        <f>'Administration LASER'!I38+'Other Oper Exp. LASER'!I38</f>
        <v>5138453.55</v>
      </c>
      <c r="H39" s="787">
        <f>'Client Services LASER'!D38</f>
        <v>135000.7388391782</v>
      </c>
      <c r="I39" s="788">
        <f>'Client Services LASER'!E38</f>
        <v>82417.641160821804</v>
      </c>
      <c r="J39" s="788">
        <f>'Client Services LASER'!K38</f>
        <v>65360.319999999992</v>
      </c>
      <c r="K39" s="789">
        <f>'Client Services LASER'!I38</f>
        <v>282778.7</v>
      </c>
      <c r="L39" s="787">
        <f>'Benefits Spending LASER'!D39</f>
        <v>40059551.870992228</v>
      </c>
      <c r="M39" s="788">
        <f>'Benefits Spending LASER'!E39</f>
        <v>31304569.122559782</v>
      </c>
      <c r="N39" s="788">
        <f>'Benefits Spending LASER'!I39</f>
        <v>1424270.8729194999</v>
      </c>
      <c r="O39" s="789">
        <f t="shared" si="16"/>
        <v>72788391.866471514</v>
      </c>
      <c r="P39" s="1428">
        <f t="shared" si="12"/>
        <v>42322547.790539317</v>
      </c>
      <c r="Q39" s="788">
        <f t="shared" si="13"/>
        <v>31972890.143012695</v>
      </c>
      <c r="R39" s="788">
        <f t="shared" si="14"/>
        <v>3914186.1829194995</v>
      </c>
      <c r="S39" s="789">
        <f t="shared" si="15"/>
        <v>78209624.116471514</v>
      </c>
      <c r="U39" s="624">
        <f t="shared" si="17"/>
        <v>0.41413144246636424</v>
      </c>
      <c r="V39" s="625">
        <f t="shared" si="18"/>
        <v>0.11402329000173408</v>
      </c>
      <c r="W39" s="625">
        <f t="shared" si="19"/>
        <v>0.47184526753190165</v>
      </c>
      <c r="X39" s="626">
        <f t="shared" si="5"/>
        <v>0.5281547324680983</v>
      </c>
      <c r="Z39" s="1437">
        <f t="shared" si="6"/>
        <v>6.5701038817776447E-2</v>
      </c>
      <c r="AA39" s="1354">
        <f t="shared" si="7"/>
        <v>3.6156509278049932E-3</v>
      </c>
      <c r="AB39" s="1439">
        <f t="shared" si="8"/>
        <v>0.93068331025441853</v>
      </c>
      <c r="AD39" s="1437">
        <f t="shared" si="9"/>
        <v>0.61942760939173858</v>
      </c>
      <c r="AE39" s="1354">
        <f t="shared" si="10"/>
        <v>1.6698316570942791E-2</v>
      </c>
      <c r="AF39" s="1439">
        <f t="shared" si="11"/>
        <v>0.3638740740373187</v>
      </c>
    </row>
    <row r="40" spans="1:32" x14ac:dyDescent="0.25">
      <c r="A40" s="737" t="s">
        <v>92</v>
      </c>
      <c r="B40" s="589" t="s">
        <v>93</v>
      </c>
      <c r="C40" s="738" t="s">
        <v>268</v>
      </c>
      <c r="D40" s="787">
        <f>'Administration LASER'!D39+'Other Oper Exp. LASER'!D39</f>
        <v>707310.94460670243</v>
      </c>
      <c r="E40" s="788">
        <f>'Administration LASER'!E39+'Other Oper Exp. LASER'!E39</f>
        <v>352728.22539329762</v>
      </c>
      <c r="F40" s="788">
        <f>'Administration LASER'!K39+'Other Oper Exp. LASER'!K39</f>
        <v>365728.93</v>
      </c>
      <c r="G40" s="789">
        <f>'Administration LASER'!I39+'Other Oper Exp. LASER'!I39</f>
        <v>1425768.0999999999</v>
      </c>
      <c r="H40" s="787">
        <f>'Client Services LASER'!D39</f>
        <v>40606.418623174693</v>
      </c>
      <c r="I40" s="788">
        <f>'Client Services LASER'!E39</f>
        <v>8146.7613768253022</v>
      </c>
      <c r="J40" s="788">
        <f>'Client Services LASER'!K39</f>
        <v>10198.980000000001</v>
      </c>
      <c r="K40" s="789">
        <f>'Client Services LASER'!I39</f>
        <v>58952.159999999989</v>
      </c>
      <c r="L40" s="787">
        <f>'Benefits Spending LASER'!D40</f>
        <v>16681109.499835972</v>
      </c>
      <c r="M40" s="788">
        <f>'Benefits Spending LASER'!E40</f>
        <v>14118749.586456914</v>
      </c>
      <c r="N40" s="788">
        <f>'Benefits Spending LASER'!I40</f>
        <v>519877.94111874996</v>
      </c>
      <c r="O40" s="789">
        <f t="shared" si="16"/>
        <v>31319737.027411636</v>
      </c>
      <c r="P40" s="1428">
        <f t="shared" si="12"/>
        <v>17429026.86306585</v>
      </c>
      <c r="Q40" s="788">
        <f t="shared" si="13"/>
        <v>14479624.573227037</v>
      </c>
      <c r="R40" s="788">
        <f t="shared" si="14"/>
        <v>895805.85111874994</v>
      </c>
      <c r="S40" s="789">
        <f t="shared" si="15"/>
        <v>32804457.287411638</v>
      </c>
      <c r="U40" s="624">
        <f t="shared" si="17"/>
        <v>0.49609115578241825</v>
      </c>
      <c r="V40" s="625">
        <f t="shared" si="18"/>
        <v>0.24739522885474688</v>
      </c>
      <c r="W40" s="625">
        <f t="shared" si="19"/>
        <v>0.25651361536283496</v>
      </c>
      <c r="X40" s="626">
        <f t="shared" si="5"/>
        <v>0.7434863846371651</v>
      </c>
      <c r="Z40" s="1437">
        <f t="shared" si="6"/>
        <v>4.3462633370469544E-2</v>
      </c>
      <c r="AA40" s="1354">
        <f t="shared" si="7"/>
        <v>1.7970777410977702E-3</v>
      </c>
      <c r="AB40" s="1439">
        <f t="shared" si="8"/>
        <v>0.95474028888843265</v>
      </c>
      <c r="AD40" s="1437">
        <f t="shared" si="9"/>
        <v>0.40826807454232422</v>
      </c>
      <c r="AE40" s="1354">
        <f t="shared" si="10"/>
        <v>1.1385257181857816E-2</v>
      </c>
      <c r="AF40" s="1439">
        <f t="shared" si="11"/>
        <v>0.58034666827581793</v>
      </c>
    </row>
    <row r="41" spans="1:32" x14ac:dyDescent="0.25">
      <c r="A41" s="737" t="s">
        <v>94</v>
      </c>
      <c r="B41" s="589" t="s">
        <v>95</v>
      </c>
      <c r="C41" s="738" t="s">
        <v>264</v>
      </c>
      <c r="D41" s="787">
        <f>'Administration LASER'!D40+'Other Oper Exp. LASER'!D40</f>
        <v>1215766.6877041371</v>
      </c>
      <c r="E41" s="788">
        <f>'Administration LASER'!E40+'Other Oper Exp. LASER'!E40</f>
        <v>443435.97229586297</v>
      </c>
      <c r="F41" s="788">
        <f>'Administration LASER'!K40+'Other Oper Exp. LASER'!K40</f>
        <v>1073739.4099999999</v>
      </c>
      <c r="G41" s="789">
        <f>'Administration LASER'!I40+'Other Oper Exp. LASER'!I40</f>
        <v>2732942.0700000003</v>
      </c>
      <c r="H41" s="787">
        <f>'Client Services LASER'!D40</f>
        <v>47337.7561050367</v>
      </c>
      <c r="I41" s="788">
        <f>'Client Services LASER'!E40</f>
        <v>26100.183894963302</v>
      </c>
      <c r="J41" s="788">
        <f>'Client Services LASER'!K40</f>
        <v>13698.369999999999</v>
      </c>
      <c r="K41" s="789">
        <f>'Client Services LASER'!I40</f>
        <v>87136.31</v>
      </c>
      <c r="L41" s="787">
        <f>'Benefits Spending LASER'!D41</f>
        <v>24271836.960108411</v>
      </c>
      <c r="M41" s="788">
        <f>'Benefits Spending LASER'!E41</f>
        <v>18890534.031916086</v>
      </c>
      <c r="N41" s="788">
        <f>'Benefits Spending LASER'!I41</f>
        <v>415775.85608874995</v>
      </c>
      <c r="O41" s="789">
        <f t="shared" si="16"/>
        <v>43578146.848113246</v>
      </c>
      <c r="P41" s="1428">
        <f t="shared" si="12"/>
        <v>25534941.403917585</v>
      </c>
      <c r="Q41" s="788">
        <f t="shared" si="13"/>
        <v>19360070.188106913</v>
      </c>
      <c r="R41" s="788">
        <f t="shared" si="14"/>
        <v>1503213.6360887499</v>
      </c>
      <c r="S41" s="789">
        <f t="shared" si="15"/>
        <v>46398225.228113249</v>
      </c>
      <c r="U41" s="624">
        <f t="shared" si="17"/>
        <v>0.444856369642748</v>
      </c>
      <c r="V41" s="625">
        <f t="shared" si="18"/>
        <v>0.16225589893160924</v>
      </c>
      <c r="W41" s="625">
        <f t="shared" si="19"/>
        <v>0.39288773142564259</v>
      </c>
      <c r="X41" s="626">
        <f t="shared" si="5"/>
        <v>0.60711226857435729</v>
      </c>
      <c r="Z41" s="1437">
        <f t="shared" si="6"/>
        <v>5.890186653829331E-2</v>
      </c>
      <c r="AA41" s="1354">
        <f t="shared" si="7"/>
        <v>1.8780095482445964E-3</v>
      </c>
      <c r="AB41" s="1439">
        <f t="shared" si="8"/>
        <v>0.93922012391346199</v>
      </c>
      <c r="AD41" s="1437">
        <f t="shared" si="9"/>
        <v>0.7142959485078848</v>
      </c>
      <c r="AE41" s="1354">
        <f t="shared" si="10"/>
        <v>9.1127233489194121E-3</v>
      </c>
      <c r="AF41" s="1439">
        <f t="shared" si="11"/>
        <v>0.27659132814319581</v>
      </c>
    </row>
    <row r="42" spans="1:32" x14ac:dyDescent="0.25">
      <c r="A42" s="737" t="s">
        <v>96</v>
      </c>
      <c r="B42" s="589" t="s">
        <v>97</v>
      </c>
      <c r="C42" s="738" t="s">
        <v>266</v>
      </c>
      <c r="D42" s="787">
        <f>'Administration LASER'!D41+'Other Oper Exp. LASER'!D41</f>
        <v>714227.08454927779</v>
      </c>
      <c r="E42" s="788">
        <f>'Administration LASER'!E41+'Other Oper Exp. LASER'!E41</f>
        <v>255264.1854507222</v>
      </c>
      <c r="F42" s="788">
        <f>'Administration LASER'!K41+'Other Oper Exp. LASER'!K41</f>
        <v>716873.61999999988</v>
      </c>
      <c r="G42" s="789">
        <f>'Administration LASER'!I41+'Other Oper Exp. LASER'!I41</f>
        <v>1686364.8900000001</v>
      </c>
      <c r="H42" s="787">
        <f>'Client Services LASER'!D41</f>
        <v>40680.670614420618</v>
      </c>
      <c r="I42" s="788">
        <f>'Client Services LASER'!E41</f>
        <v>17565.949385579381</v>
      </c>
      <c r="J42" s="788">
        <f>'Client Services LASER'!K41</f>
        <v>87781.7</v>
      </c>
      <c r="K42" s="789">
        <f>'Client Services LASER'!I41</f>
        <v>146028.32</v>
      </c>
      <c r="L42" s="787">
        <f>'Benefits Spending LASER'!D42</f>
        <v>8673274.2409145292</v>
      </c>
      <c r="M42" s="788">
        <f>'Benefits Spending LASER'!E42</f>
        <v>7162430.2143953508</v>
      </c>
      <c r="N42" s="788">
        <f>'Benefits Spending LASER'!I42</f>
        <v>1009904.58760875</v>
      </c>
      <c r="O42" s="789">
        <f t="shared" si="16"/>
        <v>16845609.04291863</v>
      </c>
      <c r="P42" s="1428">
        <f t="shared" si="12"/>
        <v>9428181.9960782267</v>
      </c>
      <c r="Q42" s="788">
        <f t="shared" si="13"/>
        <v>7435260.349231652</v>
      </c>
      <c r="R42" s="788">
        <f t="shared" si="14"/>
        <v>1814559.9076087498</v>
      </c>
      <c r="S42" s="789">
        <f t="shared" si="15"/>
        <v>18678002.252918631</v>
      </c>
      <c r="U42" s="624">
        <f t="shared" si="17"/>
        <v>0.4235305708655247</v>
      </c>
      <c r="V42" s="625">
        <f t="shared" si="18"/>
        <v>0.15136948531389441</v>
      </c>
      <c r="W42" s="625">
        <f t="shared" si="19"/>
        <v>0.42509994382058075</v>
      </c>
      <c r="X42" s="626">
        <f t="shared" si="5"/>
        <v>0.57490005617941908</v>
      </c>
      <c r="Z42" s="1437">
        <f t="shared" si="6"/>
        <v>9.0286148762857552E-2</v>
      </c>
      <c r="AA42" s="1354">
        <f t="shared" si="7"/>
        <v>7.8181980076151656E-3</v>
      </c>
      <c r="AB42" s="1439">
        <f t="shared" si="8"/>
        <v>0.90189565322952725</v>
      </c>
      <c r="AD42" s="1437">
        <f t="shared" si="9"/>
        <v>0.3950674855065574</v>
      </c>
      <c r="AE42" s="1354">
        <f t="shared" si="10"/>
        <v>4.8376303053934352E-2</v>
      </c>
      <c r="AF42" s="1439">
        <f t="shared" si="11"/>
        <v>0.55655621143950829</v>
      </c>
    </row>
    <row r="43" spans="1:32" x14ac:dyDescent="0.25">
      <c r="A43" s="737" t="s">
        <v>98</v>
      </c>
      <c r="B43" s="589" t="s">
        <v>99</v>
      </c>
      <c r="C43" s="738" t="s">
        <v>268</v>
      </c>
      <c r="D43" s="787">
        <f>'Administration LASER'!D42+'Other Oper Exp. LASER'!D42</f>
        <v>715094.61107113457</v>
      </c>
      <c r="E43" s="788">
        <f>'Administration LASER'!E42+'Other Oper Exp. LASER'!E42</f>
        <v>335010.09892886551</v>
      </c>
      <c r="F43" s="788">
        <f>'Administration LASER'!K42+'Other Oper Exp. LASER'!K42</f>
        <v>413595.41000000003</v>
      </c>
      <c r="G43" s="789">
        <f>'Administration LASER'!I42+'Other Oper Exp. LASER'!I42</f>
        <v>1463700.12</v>
      </c>
      <c r="H43" s="787">
        <f>'Client Services LASER'!D42</f>
        <v>21601.004059796003</v>
      </c>
      <c r="I43" s="788">
        <f>'Client Services LASER'!E42</f>
        <v>12357.495940203997</v>
      </c>
      <c r="J43" s="788">
        <f>'Client Services LASER'!K42</f>
        <v>5729.5500000000011</v>
      </c>
      <c r="K43" s="789">
        <f>'Client Services LASER'!I42</f>
        <v>39688.049999999996</v>
      </c>
      <c r="L43" s="787">
        <f>'Benefits Spending LASER'!D43</f>
        <v>16432452.323110417</v>
      </c>
      <c r="M43" s="788">
        <f>'Benefits Spending LASER'!E43</f>
        <v>12503355.331145005</v>
      </c>
      <c r="N43" s="788">
        <f>'Benefits Spending LASER'!I43</f>
        <v>158734.23041749999</v>
      </c>
      <c r="O43" s="789">
        <f t="shared" si="16"/>
        <v>29094541.884672921</v>
      </c>
      <c r="P43" s="1428">
        <f t="shared" si="12"/>
        <v>17169147.938241348</v>
      </c>
      <c r="Q43" s="788">
        <f t="shared" si="13"/>
        <v>12850722.926014075</v>
      </c>
      <c r="R43" s="788">
        <f t="shared" si="14"/>
        <v>578059.19041749998</v>
      </c>
      <c r="S43" s="789">
        <f t="shared" si="15"/>
        <v>30597930.054672923</v>
      </c>
      <c r="U43" s="624">
        <f t="shared" si="17"/>
        <v>0.48855267639872468</v>
      </c>
      <c r="V43" s="625">
        <f t="shared" si="18"/>
        <v>0.22887891744441852</v>
      </c>
      <c r="W43" s="625">
        <f t="shared" si="19"/>
        <v>0.2825684061568568</v>
      </c>
      <c r="X43" s="626">
        <f t="shared" si="5"/>
        <v>0.71743159384314314</v>
      </c>
      <c r="Z43" s="1437">
        <f t="shared" si="6"/>
        <v>4.7836573172911852E-2</v>
      </c>
      <c r="AA43" s="1354">
        <f t="shared" si="7"/>
        <v>1.2970828395608685E-3</v>
      </c>
      <c r="AB43" s="1439">
        <f t="shared" si="8"/>
        <v>0.95086634398752723</v>
      </c>
      <c r="AD43" s="1437">
        <f t="shared" si="9"/>
        <v>0.71548972294910329</v>
      </c>
      <c r="AE43" s="1354">
        <f t="shared" si="10"/>
        <v>9.9117012495932577E-3</v>
      </c>
      <c r="AF43" s="1439">
        <f t="shared" si="11"/>
        <v>0.27459857580130348</v>
      </c>
    </row>
    <row r="44" spans="1:32" x14ac:dyDescent="0.25">
      <c r="A44" s="737" t="s">
        <v>100</v>
      </c>
      <c r="B44" s="589" t="s">
        <v>101</v>
      </c>
      <c r="C44" s="738" t="s">
        <v>267</v>
      </c>
      <c r="D44" s="787">
        <f>'Administration LASER'!D43+'Other Oper Exp. LASER'!D43</f>
        <v>580486.16224405612</v>
      </c>
      <c r="E44" s="788">
        <f>'Administration LASER'!E43+'Other Oper Exp. LASER'!E43</f>
        <v>206651.84775594386</v>
      </c>
      <c r="F44" s="788">
        <f>'Administration LASER'!K43+'Other Oper Exp. LASER'!K43</f>
        <v>523359.69</v>
      </c>
      <c r="G44" s="789">
        <f>'Administration LASER'!I43+'Other Oper Exp. LASER'!I43</f>
        <v>1310497.7</v>
      </c>
      <c r="H44" s="787">
        <f>'Client Services LASER'!D43</f>
        <v>16271.908868252685</v>
      </c>
      <c r="I44" s="788">
        <f>'Client Services LASER'!E43</f>
        <v>29482.321131747314</v>
      </c>
      <c r="J44" s="788">
        <f>'Client Services LASER'!K43</f>
        <v>8011.15</v>
      </c>
      <c r="K44" s="789">
        <f>'Client Services LASER'!I43</f>
        <v>53765.38</v>
      </c>
      <c r="L44" s="787">
        <f>'Benefits Spending LASER'!D44</f>
        <v>12700124.402675958</v>
      </c>
      <c r="M44" s="788">
        <f>'Benefits Spending LASER'!E44</f>
        <v>10073839.864561697</v>
      </c>
      <c r="N44" s="788">
        <f>'Benefits Spending LASER'!I44</f>
        <v>593727.32347374992</v>
      </c>
      <c r="O44" s="789">
        <f t="shared" si="16"/>
        <v>23367691.590711407</v>
      </c>
      <c r="P44" s="1428">
        <f t="shared" si="12"/>
        <v>13296882.473788267</v>
      </c>
      <c r="Q44" s="788">
        <f t="shared" si="13"/>
        <v>10309974.033449389</v>
      </c>
      <c r="R44" s="788">
        <f t="shared" si="14"/>
        <v>1125098.16347375</v>
      </c>
      <c r="S44" s="789">
        <f t="shared" si="15"/>
        <v>24731954.670711406</v>
      </c>
      <c r="U44" s="624">
        <f t="shared" si="17"/>
        <v>0.44295092028322991</v>
      </c>
      <c r="V44" s="625">
        <f t="shared" si="18"/>
        <v>0.15768959209615085</v>
      </c>
      <c r="W44" s="625">
        <f t="shared" si="19"/>
        <v>0.39935948762061929</v>
      </c>
      <c r="X44" s="626">
        <f t="shared" si="5"/>
        <v>0.60064051237938076</v>
      </c>
      <c r="Z44" s="1437">
        <f t="shared" si="6"/>
        <v>5.2988035820393325E-2</v>
      </c>
      <c r="AA44" s="1354">
        <f t="shared" si="7"/>
        <v>2.1739236027175468E-3</v>
      </c>
      <c r="AB44" s="1439">
        <f t="shared" si="8"/>
        <v>0.94483804057688925</v>
      </c>
      <c r="AD44" s="1437">
        <f t="shared" si="9"/>
        <v>0.46516802443630567</v>
      </c>
      <c r="AE44" s="1354">
        <f t="shared" si="10"/>
        <v>7.120400921520934E-3</v>
      </c>
      <c r="AF44" s="1439">
        <f t="shared" si="11"/>
        <v>0.52771157464217333</v>
      </c>
    </row>
    <row r="45" spans="1:32" x14ac:dyDescent="0.25">
      <c r="A45" s="737" t="s">
        <v>102</v>
      </c>
      <c r="B45" s="589" t="s">
        <v>282</v>
      </c>
      <c r="C45" s="738" t="s">
        <v>264</v>
      </c>
      <c r="D45" s="787">
        <f>'Administration LASER'!D44+'Other Oper Exp. LASER'!D44</f>
        <v>1071227.6301719893</v>
      </c>
      <c r="E45" s="788">
        <f>'Administration LASER'!E44+'Other Oper Exp. LASER'!E44</f>
        <v>537393.6598280106</v>
      </c>
      <c r="F45" s="788">
        <f>'Administration LASER'!K44+'Other Oper Exp. LASER'!K44</f>
        <v>545252.07000000007</v>
      </c>
      <c r="G45" s="789">
        <f>'Administration LASER'!I44+'Other Oper Exp. LASER'!I44</f>
        <v>2153873.3600000003</v>
      </c>
      <c r="H45" s="787">
        <f>'Client Services LASER'!D44</f>
        <v>78288.624125006114</v>
      </c>
      <c r="I45" s="788">
        <f>'Client Services LASER'!E44</f>
        <v>80431.575874993883</v>
      </c>
      <c r="J45" s="788">
        <f>'Client Services LASER'!K44</f>
        <v>30970.61</v>
      </c>
      <c r="K45" s="789">
        <f>'Client Services LASER'!I44</f>
        <v>189690.81000000003</v>
      </c>
      <c r="L45" s="787">
        <f>'Benefits Spending LASER'!D45</f>
        <v>24732621.326800261</v>
      </c>
      <c r="M45" s="788">
        <f>'Benefits Spending LASER'!E45</f>
        <v>18451397.217603944</v>
      </c>
      <c r="N45" s="788">
        <f>'Benefits Spending LASER'!I45</f>
        <v>180148.54453499999</v>
      </c>
      <c r="O45" s="789">
        <f t="shared" si="16"/>
        <v>43364167.088939212</v>
      </c>
      <c r="P45" s="1428">
        <f t="shared" si="12"/>
        <v>25882137.581097256</v>
      </c>
      <c r="Q45" s="788">
        <f t="shared" si="13"/>
        <v>19069222.453306951</v>
      </c>
      <c r="R45" s="788">
        <f t="shared" si="14"/>
        <v>756371.22453500004</v>
      </c>
      <c r="S45" s="789">
        <f t="shared" si="15"/>
        <v>45707731.258939214</v>
      </c>
      <c r="U45" s="624">
        <f t="shared" si="17"/>
        <v>0.49734940320353338</v>
      </c>
      <c r="V45" s="625">
        <f t="shared" si="18"/>
        <v>0.24950104765120013</v>
      </c>
      <c r="W45" s="625">
        <f t="shared" si="19"/>
        <v>0.25314954914526638</v>
      </c>
      <c r="X45" s="626">
        <f t="shared" si="5"/>
        <v>0.74685045085473356</v>
      </c>
      <c r="Z45" s="1437">
        <f t="shared" si="6"/>
        <v>4.7122736147153663E-2</v>
      </c>
      <c r="AA45" s="1354">
        <f t="shared" si="7"/>
        <v>4.1500815020850887E-3</v>
      </c>
      <c r="AB45" s="1439">
        <f t="shared" si="8"/>
        <v>0.94872718235076126</v>
      </c>
      <c r="AD45" s="1437">
        <f t="shared" si="9"/>
        <v>0.7208789180672609</v>
      </c>
      <c r="AE45" s="1354">
        <f t="shared" si="10"/>
        <v>4.0946309160610955E-2</v>
      </c>
      <c r="AF45" s="1439">
        <f t="shared" si="11"/>
        <v>0.2381747727721282</v>
      </c>
    </row>
    <row r="46" spans="1:32" x14ac:dyDescent="0.25">
      <c r="A46" s="737" t="s">
        <v>104</v>
      </c>
      <c r="B46" s="589" t="s">
        <v>602</v>
      </c>
      <c r="C46" s="738" t="s">
        <v>265</v>
      </c>
      <c r="D46" s="787">
        <f>'Administration LASER'!D45+'Other Oper Exp. LASER'!D45</f>
        <v>1792622.5022319653</v>
      </c>
      <c r="E46" s="788">
        <f>'Administration LASER'!E45+'Other Oper Exp. LASER'!E45</f>
        <v>825746.33776803454</v>
      </c>
      <c r="F46" s="788">
        <f>'Administration LASER'!K45+'Other Oper Exp. LASER'!K45</f>
        <v>1064221.57</v>
      </c>
      <c r="G46" s="789">
        <f>'Administration LASER'!I45+'Other Oper Exp. LASER'!I45</f>
        <v>3682590.41</v>
      </c>
      <c r="H46" s="787">
        <f>'Client Services LASER'!D45</f>
        <v>39151.450877821488</v>
      </c>
      <c r="I46" s="788">
        <f>'Client Services LASER'!E45</f>
        <v>42474.349122178508</v>
      </c>
      <c r="J46" s="788">
        <f>'Client Services LASER'!K45</f>
        <v>15888.780000000002</v>
      </c>
      <c r="K46" s="789">
        <f>'Client Services LASER'!I45</f>
        <v>97514.579999999987</v>
      </c>
      <c r="L46" s="787">
        <f>'Benefits Spending LASER'!D46</f>
        <v>43297881.153609559</v>
      </c>
      <c r="M46" s="788">
        <f>'Benefits Spending LASER'!E46</f>
        <v>34456940.955321796</v>
      </c>
      <c r="N46" s="788">
        <f>'Benefits Spending LASER'!I46</f>
        <v>802447.42157812498</v>
      </c>
      <c r="O46" s="789">
        <f t="shared" si="16"/>
        <v>78557269.530509487</v>
      </c>
      <c r="P46" s="1428">
        <f t="shared" si="12"/>
        <v>45129655.106719345</v>
      </c>
      <c r="Q46" s="788">
        <f t="shared" si="13"/>
        <v>35325161.642212011</v>
      </c>
      <c r="R46" s="788">
        <f t="shared" si="14"/>
        <v>1882557.7715781252</v>
      </c>
      <c r="S46" s="789">
        <f t="shared" si="15"/>
        <v>82337374.520509481</v>
      </c>
      <c r="U46" s="624">
        <f t="shared" si="17"/>
        <v>0.48678302571041704</v>
      </c>
      <c r="V46" s="625">
        <f t="shared" si="18"/>
        <v>0.22422975292765032</v>
      </c>
      <c r="W46" s="625">
        <f t="shared" si="19"/>
        <v>0.28898722136193256</v>
      </c>
      <c r="X46" s="626">
        <f t="shared" si="5"/>
        <v>0.71101277863806733</v>
      </c>
      <c r="Z46" s="1437">
        <f t="shared" si="6"/>
        <v>4.4725623466202472E-2</v>
      </c>
      <c r="AA46" s="1354">
        <f t="shared" si="7"/>
        <v>1.1843294806019107E-3</v>
      </c>
      <c r="AB46" s="1439">
        <f t="shared" si="8"/>
        <v>0.95409004705319567</v>
      </c>
      <c r="AD46" s="1437">
        <f t="shared" si="9"/>
        <v>0.56530619461833365</v>
      </c>
      <c r="AE46" s="1354">
        <f t="shared" si="10"/>
        <v>8.4399959671254236E-3</v>
      </c>
      <c r="AF46" s="1439">
        <f t="shared" si="11"/>
        <v>0.42625380941454089</v>
      </c>
    </row>
    <row r="47" spans="1:32" x14ac:dyDescent="0.25">
      <c r="A47" s="737" t="s">
        <v>108</v>
      </c>
      <c r="B47" s="589" t="s">
        <v>109</v>
      </c>
      <c r="C47" s="738" t="s">
        <v>266</v>
      </c>
      <c r="D47" s="787">
        <f>'Administration LASER'!D46+'Other Oper Exp. LASER'!D46</f>
        <v>1843870.2802977115</v>
      </c>
      <c r="E47" s="788">
        <f>'Administration LASER'!E46+'Other Oper Exp. LASER'!E46</f>
        <v>592255.0697022886</v>
      </c>
      <c r="F47" s="788">
        <f>'Administration LASER'!K46+'Other Oper Exp. LASER'!K46</f>
        <v>1911743.6900000004</v>
      </c>
      <c r="G47" s="789">
        <f>'Administration LASER'!I46+'Other Oper Exp. LASER'!I46</f>
        <v>4347869.04</v>
      </c>
      <c r="H47" s="787">
        <f>'Client Services LASER'!D46</f>
        <v>50509.565995233643</v>
      </c>
      <c r="I47" s="788">
        <f>'Client Services LASER'!E46</f>
        <v>63235.394004766356</v>
      </c>
      <c r="J47" s="788">
        <f>'Client Services LASER'!K46</f>
        <v>19275.630000000005</v>
      </c>
      <c r="K47" s="789">
        <f>'Client Services LASER'!I46</f>
        <v>133020.59</v>
      </c>
      <c r="L47" s="787">
        <f>'Benefits Spending LASER'!D47</f>
        <v>41366029.80217237</v>
      </c>
      <c r="M47" s="788">
        <f>'Benefits Spending LASER'!E47</f>
        <v>33793988.413532808</v>
      </c>
      <c r="N47" s="788">
        <f>'Benefits Spending LASER'!I47</f>
        <v>1863236.0903287497</v>
      </c>
      <c r="O47" s="789">
        <f t="shared" si="16"/>
        <v>77023254.306033939</v>
      </c>
      <c r="P47" s="1428">
        <f t="shared" si="12"/>
        <v>43260409.648465313</v>
      </c>
      <c r="Q47" s="788">
        <f t="shared" si="13"/>
        <v>34449478.877239861</v>
      </c>
      <c r="R47" s="788">
        <f t="shared" si="14"/>
        <v>3794255.41032875</v>
      </c>
      <c r="S47" s="789">
        <f t="shared" si="15"/>
        <v>81504143.936033934</v>
      </c>
      <c r="U47" s="624">
        <f t="shared" si="17"/>
        <v>0.42408597483831101</v>
      </c>
      <c r="V47" s="625">
        <f t="shared" si="18"/>
        <v>0.13621732031337555</v>
      </c>
      <c r="W47" s="625">
        <f t="shared" si="19"/>
        <v>0.43969670484831358</v>
      </c>
      <c r="X47" s="626">
        <f t="shared" si="5"/>
        <v>0.56030329515168653</v>
      </c>
      <c r="Z47" s="1437">
        <f t="shared" si="6"/>
        <v>5.3345373989969073E-2</v>
      </c>
      <c r="AA47" s="1354">
        <f t="shared" si="7"/>
        <v>1.6320714944800499E-3</v>
      </c>
      <c r="AB47" s="1439">
        <f t="shared" si="8"/>
        <v>0.94502255451555095</v>
      </c>
      <c r="AD47" s="1437">
        <f t="shared" si="9"/>
        <v>0.50385213520308558</v>
      </c>
      <c r="AE47" s="1354">
        <f t="shared" si="10"/>
        <v>5.0802141436044985E-3</v>
      </c>
      <c r="AF47" s="1439">
        <f t="shared" si="11"/>
        <v>0.49106765065330993</v>
      </c>
    </row>
    <row r="48" spans="1:32" x14ac:dyDescent="0.25">
      <c r="A48" s="737" t="s">
        <v>110</v>
      </c>
      <c r="B48" s="589" t="s">
        <v>111</v>
      </c>
      <c r="C48" s="738" t="s">
        <v>266</v>
      </c>
      <c r="D48" s="787">
        <f>'Administration LASER'!D47+'Other Oper Exp. LASER'!D47</f>
        <v>6599717.3719123146</v>
      </c>
      <c r="E48" s="788">
        <f>'Administration LASER'!E47+'Other Oper Exp. LASER'!E47</f>
        <v>2505769.9480876853</v>
      </c>
      <c r="F48" s="788">
        <f>'Administration LASER'!K47+'Other Oper Exp. LASER'!K47</f>
        <v>5307687.5199999996</v>
      </c>
      <c r="G48" s="789">
        <f>'Administration LASER'!I47+'Other Oper Exp. LASER'!I47</f>
        <v>14413174.839999998</v>
      </c>
      <c r="H48" s="787">
        <f>'Client Services LASER'!D47</f>
        <v>445041.16925405315</v>
      </c>
      <c r="I48" s="788">
        <f>'Client Services LASER'!E47</f>
        <v>940077.38074594678</v>
      </c>
      <c r="J48" s="788">
        <f>'Client Services LASER'!K47</f>
        <v>268786.54000000004</v>
      </c>
      <c r="K48" s="789">
        <f>'Client Services LASER'!I47</f>
        <v>1653905.0899999999</v>
      </c>
      <c r="L48" s="787">
        <f>'Benefits Spending LASER'!D48</f>
        <v>212058003.94710439</v>
      </c>
      <c r="M48" s="788">
        <f>'Benefits Spending LASER'!E48</f>
        <v>160474285.16395557</v>
      </c>
      <c r="N48" s="788">
        <f>'Benefits Spending LASER'!I48</f>
        <v>5106875.3915581256</v>
      </c>
      <c r="O48" s="789">
        <f t="shared" si="16"/>
        <v>377639164.50261807</v>
      </c>
      <c r="P48" s="1428">
        <f t="shared" si="12"/>
        <v>219102762.48827076</v>
      </c>
      <c r="Q48" s="788">
        <f t="shared" si="13"/>
        <v>163920132.49278921</v>
      </c>
      <c r="R48" s="788">
        <f t="shared" si="14"/>
        <v>10683349.451558124</v>
      </c>
      <c r="S48" s="789">
        <f t="shared" si="15"/>
        <v>393706244.43261808</v>
      </c>
      <c r="U48" s="624">
        <f t="shared" si="17"/>
        <v>0.45789476955462477</v>
      </c>
      <c r="V48" s="625">
        <f t="shared" si="18"/>
        <v>0.17385274069759954</v>
      </c>
      <c r="W48" s="625">
        <f t="shared" si="19"/>
        <v>0.3682524897477758</v>
      </c>
      <c r="X48" s="626">
        <f t="shared" si="5"/>
        <v>0.63174751025222431</v>
      </c>
      <c r="Z48" s="1437">
        <f t="shared" si="6"/>
        <v>3.6608956662019063E-2</v>
      </c>
      <c r="AA48" s="1354">
        <f t="shared" si="7"/>
        <v>4.2008607010627736E-3</v>
      </c>
      <c r="AB48" s="1439">
        <f t="shared" si="8"/>
        <v>0.95919018263691813</v>
      </c>
      <c r="AD48" s="1437">
        <f t="shared" si="9"/>
        <v>0.49681867508563937</v>
      </c>
      <c r="AE48" s="1354">
        <f t="shared" si="10"/>
        <v>2.5159388562432411E-2</v>
      </c>
      <c r="AF48" s="1439">
        <f t="shared" si="11"/>
        <v>0.4780219363519283</v>
      </c>
    </row>
    <row r="49" spans="1:32" x14ac:dyDescent="0.25">
      <c r="A49" s="737" t="s">
        <v>112</v>
      </c>
      <c r="B49" s="589" t="s">
        <v>300</v>
      </c>
      <c r="C49" s="738" t="s">
        <v>265</v>
      </c>
      <c r="D49" s="787">
        <f>'Administration LASER'!D48+'Other Oper Exp. LASER'!D48</f>
        <v>2534766.3573762211</v>
      </c>
      <c r="E49" s="788">
        <f>'Administration LASER'!E48+'Other Oper Exp. LASER'!E48</f>
        <v>1292393.4026237789</v>
      </c>
      <c r="F49" s="788">
        <f>'Administration LASER'!K48+'Other Oper Exp. LASER'!K48</f>
        <v>818983.62</v>
      </c>
      <c r="G49" s="789">
        <f>'Administration LASER'!I48+'Other Oper Exp. LASER'!I48</f>
        <v>4646143.379999999</v>
      </c>
      <c r="H49" s="787">
        <f>'Client Services LASER'!D48</f>
        <v>116788.90716415877</v>
      </c>
      <c r="I49" s="788">
        <f>'Client Services LASER'!E48</f>
        <v>180890.16283584124</v>
      </c>
      <c r="J49" s="788">
        <f>'Client Services LASER'!K48</f>
        <v>57014.020000000004</v>
      </c>
      <c r="K49" s="789">
        <f>'Client Services LASER'!I48</f>
        <v>354693.08999999997</v>
      </c>
      <c r="L49" s="787">
        <f>'Benefits Spending LASER'!D49</f>
        <v>94273397.920524895</v>
      </c>
      <c r="M49" s="788">
        <f>'Benefits Spending LASER'!E49</f>
        <v>69577043.985221311</v>
      </c>
      <c r="N49" s="788">
        <f>'Benefits Spending LASER'!I49</f>
        <v>351853.14133000001</v>
      </c>
      <c r="O49" s="789">
        <f t="shared" si="16"/>
        <v>164202295.04707623</v>
      </c>
      <c r="P49" s="1428">
        <f t="shared" si="12"/>
        <v>96924953.185065269</v>
      </c>
      <c r="Q49" s="788">
        <f t="shared" si="13"/>
        <v>71050327.550680935</v>
      </c>
      <c r="R49" s="788">
        <f t="shared" si="14"/>
        <v>1227850.7813300001</v>
      </c>
      <c r="S49" s="789">
        <f t="shared" si="15"/>
        <v>169203131.51707622</v>
      </c>
      <c r="U49" s="624">
        <f t="shared" si="17"/>
        <v>0.54556352442490086</v>
      </c>
      <c r="V49" s="625">
        <f t="shared" si="18"/>
        <v>0.27816476955641845</v>
      </c>
      <c r="W49" s="625">
        <f t="shared" si="19"/>
        <v>0.17627170601868083</v>
      </c>
      <c r="X49" s="626">
        <f t="shared" si="5"/>
        <v>0.8237282939813193</v>
      </c>
      <c r="Z49" s="1437">
        <f t="shared" si="6"/>
        <v>2.7458968036481662E-2</v>
      </c>
      <c r="AA49" s="1354">
        <f t="shared" si="7"/>
        <v>2.0962560611013504E-3</v>
      </c>
      <c r="AB49" s="1439">
        <f t="shared" si="8"/>
        <v>0.97044477590241696</v>
      </c>
      <c r="AD49" s="1437">
        <f t="shared" si="9"/>
        <v>0.66700582224892357</v>
      </c>
      <c r="AE49" s="1354">
        <f t="shared" si="10"/>
        <v>4.6433997409882966E-2</v>
      </c>
      <c r="AF49" s="1439">
        <f t="shared" si="11"/>
        <v>0.28656018034119335</v>
      </c>
    </row>
    <row r="50" spans="1:32" x14ac:dyDescent="0.25">
      <c r="A50" s="737" t="s">
        <v>114</v>
      </c>
      <c r="B50" s="589" t="s">
        <v>115</v>
      </c>
      <c r="C50" s="738" t="s">
        <v>265</v>
      </c>
      <c r="D50" s="787">
        <f>'Administration LASER'!D49+'Other Oper Exp. LASER'!D49</f>
        <v>147395.34735391807</v>
      </c>
      <c r="E50" s="788">
        <f>'Administration LASER'!E49+'Other Oper Exp. LASER'!E49</f>
        <v>62071.682646081936</v>
      </c>
      <c r="F50" s="788">
        <f>'Administration LASER'!K49+'Other Oper Exp. LASER'!K49</f>
        <v>111439.78</v>
      </c>
      <c r="G50" s="789">
        <f>'Administration LASER'!I49+'Other Oper Exp. LASER'!I49</f>
        <v>320906.81</v>
      </c>
      <c r="H50" s="787">
        <f>'Client Services LASER'!D49</f>
        <v>18738.653844573539</v>
      </c>
      <c r="I50" s="788">
        <f>'Client Services LASER'!E49</f>
        <v>1562.3661554264604</v>
      </c>
      <c r="J50" s="788">
        <f>'Client Services LASER'!K49</f>
        <v>4010.95</v>
      </c>
      <c r="K50" s="789">
        <f>'Client Services LASER'!I49</f>
        <v>24311.969999999998</v>
      </c>
      <c r="L50" s="787">
        <f>'Benefits Spending LASER'!D50</f>
        <v>1191768.5224808918</v>
      </c>
      <c r="M50" s="788">
        <f>'Benefits Spending LASER'!E50</f>
        <v>993513.87216772954</v>
      </c>
      <c r="N50" s="788">
        <f>'Benefits Spending LASER'!I50</f>
        <v>3656.4504550000001</v>
      </c>
      <c r="O50" s="789">
        <f t="shared" si="16"/>
        <v>2188938.8451036215</v>
      </c>
      <c r="P50" s="1428">
        <f t="shared" si="12"/>
        <v>1357902.5236793833</v>
      </c>
      <c r="Q50" s="788">
        <f t="shared" si="13"/>
        <v>1057147.920969238</v>
      </c>
      <c r="R50" s="788">
        <f t="shared" si="14"/>
        <v>119107.18045499999</v>
      </c>
      <c r="S50" s="789">
        <f t="shared" si="15"/>
        <v>2534157.6251036213</v>
      </c>
      <c r="U50" s="624">
        <f t="shared" si="17"/>
        <v>0.45930887959005318</v>
      </c>
      <c r="V50" s="625">
        <f t="shared" si="18"/>
        <v>0.19342588163237151</v>
      </c>
      <c r="W50" s="625">
        <f t="shared" si="19"/>
        <v>0.34726523877757531</v>
      </c>
      <c r="X50" s="626">
        <f t="shared" si="5"/>
        <v>0.65273476122242469</v>
      </c>
      <c r="Z50" s="1437">
        <f t="shared" si="6"/>
        <v>0.1266325373059137</v>
      </c>
      <c r="AA50" s="1354">
        <f t="shared" si="7"/>
        <v>9.5937086782460438E-3</v>
      </c>
      <c r="AB50" s="1439">
        <f t="shared" si="8"/>
        <v>0.86377375401584033</v>
      </c>
      <c r="AD50" s="1437">
        <f t="shared" si="9"/>
        <v>0.93562604348696821</v>
      </c>
      <c r="AE50" s="1354">
        <f t="shared" si="10"/>
        <v>3.3675131798753151E-2</v>
      </c>
      <c r="AF50" s="1439">
        <f t="shared" si="11"/>
        <v>3.0698824714278646E-2</v>
      </c>
    </row>
    <row r="51" spans="1:32" x14ac:dyDescent="0.25">
      <c r="A51" s="737" t="s">
        <v>118</v>
      </c>
      <c r="B51" s="589" t="s">
        <v>119</v>
      </c>
      <c r="C51" s="738" t="s">
        <v>264</v>
      </c>
      <c r="D51" s="787">
        <f>'Administration LASER'!D50+'Other Oper Exp. LASER'!D50</f>
        <v>1274450.1422179169</v>
      </c>
      <c r="E51" s="788">
        <f>'Administration LASER'!E50+'Other Oper Exp. LASER'!E50</f>
        <v>525421.94778208307</v>
      </c>
      <c r="F51" s="788">
        <f>'Administration LASER'!K50+'Other Oper Exp. LASER'!K50</f>
        <v>949562.60000000009</v>
      </c>
      <c r="G51" s="789">
        <f>'Administration LASER'!I50+'Other Oper Exp. LASER'!I50</f>
        <v>2749434.6899999995</v>
      </c>
      <c r="H51" s="787">
        <f>'Client Services LASER'!D50</f>
        <v>43008.078886363226</v>
      </c>
      <c r="I51" s="788">
        <f>'Client Services LASER'!E50</f>
        <v>14812.871113636773</v>
      </c>
      <c r="J51" s="788">
        <f>'Client Services LASER'!K50</f>
        <v>16751.75</v>
      </c>
      <c r="K51" s="789">
        <f>'Client Services LASER'!I50</f>
        <v>74572.7</v>
      </c>
      <c r="L51" s="787">
        <f>'Benefits Spending LASER'!D51</f>
        <v>23457272.677077707</v>
      </c>
      <c r="M51" s="788">
        <f>'Benefits Spending LASER'!E51</f>
        <v>17617363.441033997</v>
      </c>
      <c r="N51" s="788">
        <f>'Benefits Spending LASER'!I51</f>
        <v>112933.46371875</v>
      </c>
      <c r="O51" s="789">
        <f t="shared" si="16"/>
        <v>41187569.581830449</v>
      </c>
      <c r="P51" s="1428">
        <f t="shared" si="12"/>
        <v>24774730.898181986</v>
      </c>
      <c r="Q51" s="788">
        <f t="shared" si="13"/>
        <v>18157598.259929717</v>
      </c>
      <c r="R51" s="788">
        <f t="shared" si="14"/>
        <v>1079247.8137187501</v>
      </c>
      <c r="S51" s="789">
        <f t="shared" si="15"/>
        <v>44011576.97183045</v>
      </c>
      <c r="U51" s="624">
        <f t="shared" si="17"/>
        <v>0.46353170229983426</v>
      </c>
      <c r="V51" s="625">
        <f t="shared" si="18"/>
        <v>0.19110181074426</v>
      </c>
      <c r="W51" s="625">
        <f t="shared" si="19"/>
        <v>0.34536648695590594</v>
      </c>
      <c r="X51" s="626">
        <f t="shared" si="5"/>
        <v>0.65463351304409423</v>
      </c>
      <c r="Z51" s="1437">
        <f t="shared" si="6"/>
        <v>6.2470715188409888E-2</v>
      </c>
      <c r="AA51" s="1354">
        <f t="shared" si="7"/>
        <v>1.6943882753333323E-3</v>
      </c>
      <c r="AB51" s="1439">
        <f t="shared" si="8"/>
        <v>0.93583489653625673</v>
      </c>
      <c r="AD51" s="1437">
        <f t="shared" si="9"/>
        <v>0.87983740891547846</v>
      </c>
      <c r="AE51" s="1354">
        <f t="shared" si="10"/>
        <v>1.5521690002112409E-2</v>
      </c>
      <c r="AF51" s="1439">
        <f t="shared" si="11"/>
        <v>0.10464090108240909</v>
      </c>
    </row>
    <row r="52" spans="1:32" x14ac:dyDescent="0.25">
      <c r="A52" s="737" t="s">
        <v>120</v>
      </c>
      <c r="B52" s="589" t="s">
        <v>121</v>
      </c>
      <c r="C52" s="738" t="s">
        <v>264</v>
      </c>
      <c r="D52" s="787">
        <f>'Administration LASER'!D51+'Other Oper Exp. LASER'!D51</f>
        <v>1739991.276799161</v>
      </c>
      <c r="E52" s="788">
        <f>'Administration LASER'!E51+'Other Oper Exp. LASER'!E51</f>
        <v>612259.13320083939</v>
      </c>
      <c r="F52" s="788">
        <f>'Administration LASER'!K51+'Other Oper Exp. LASER'!K51</f>
        <v>1924621.65</v>
      </c>
      <c r="G52" s="789">
        <f>'Administration LASER'!I51+'Other Oper Exp. LASER'!I51</f>
        <v>4276872.0599999996</v>
      </c>
      <c r="H52" s="787">
        <f>'Client Services LASER'!D51</f>
        <v>43079.002333405639</v>
      </c>
      <c r="I52" s="788">
        <f>'Client Services LASER'!E51</f>
        <v>66010.807666594366</v>
      </c>
      <c r="J52" s="788">
        <f>'Client Services LASER'!K51</f>
        <v>21101.600000000002</v>
      </c>
      <c r="K52" s="789">
        <f>'Client Services LASER'!I51</f>
        <v>130191.41</v>
      </c>
      <c r="L52" s="787">
        <f>'Benefits Spending LASER'!D52</f>
        <v>24045684.702010419</v>
      </c>
      <c r="M52" s="788">
        <f>'Benefits Spending LASER'!E52</f>
        <v>16622774.503621424</v>
      </c>
      <c r="N52" s="788">
        <f>'Benefits Spending LASER'!I52</f>
        <v>455364.75406750001</v>
      </c>
      <c r="O52" s="789">
        <f t="shared" si="16"/>
        <v>41123823.959699348</v>
      </c>
      <c r="P52" s="1428">
        <f t="shared" si="12"/>
        <v>25828754.981142987</v>
      </c>
      <c r="Q52" s="788">
        <f t="shared" si="13"/>
        <v>17301044.444488857</v>
      </c>
      <c r="R52" s="788">
        <f t="shared" si="14"/>
        <v>2401088.0040675001</v>
      </c>
      <c r="S52" s="789">
        <f t="shared" si="15"/>
        <v>45530887.429699346</v>
      </c>
      <c r="U52" s="624">
        <f t="shared" si="17"/>
        <v>0.40683734570240127</v>
      </c>
      <c r="V52" s="625">
        <f t="shared" si="18"/>
        <v>0.14315582150026707</v>
      </c>
      <c r="W52" s="625">
        <f t="shared" si="19"/>
        <v>0.45000683279733183</v>
      </c>
      <c r="X52" s="626">
        <f t="shared" si="5"/>
        <v>0.54999316720266833</v>
      </c>
      <c r="Z52" s="1437">
        <f t="shared" si="6"/>
        <v>9.3933421934803724E-2</v>
      </c>
      <c r="AA52" s="1354">
        <f t="shared" si="7"/>
        <v>2.8594085762334042E-3</v>
      </c>
      <c r="AB52" s="1439">
        <f t="shared" si="8"/>
        <v>0.90320716948896285</v>
      </c>
      <c r="AD52" s="1437">
        <f t="shared" si="9"/>
        <v>0.80156231122709587</v>
      </c>
      <c r="AE52" s="1354">
        <f t="shared" si="10"/>
        <v>8.788349266771309E-3</v>
      </c>
      <c r="AF52" s="1439">
        <f t="shared" si="11"/>
        <v>0.18964933950613275</v>
      </c>
    </row>
    <row r="53" spans="1:32" x14ac:dyDescent="0.25">
      <c r="A53" s="737" t="s">
        <v>122</v>
      </c>
      <c r="B53" s="589" t="s">
        <v>271</v>
      </c>
      <c r="C53" s="738" t="s">
        <v>266</v>
      </c>
      <c r="D53" s="787">
        <f>'Administration LASER'!D52+'Other Oper Exp. LASER'!D52</f>
        <v>460170.04168992233</v>
      </c>
      <c r="E53" s="788">
        <f>'Administration LASER'!E52+'Other Oper Exp. LASER'!E52</f>
        <v>195323.07831007766</v>
      </c>
      <c r="F53" s="788">
        <f>'Administration LASER'!K52+'Other Oper Exp. LASER'!K52</f>
        <v>319925.93</v>
      </c>
      <c r="G53" s="789">
        <f>'Administration LASER'!I52+'Other Oper Exp. LASER'!I52</f>
        <v>975419.05</v>
      </c>
      <c r="H53" s="787">
        <f>'Client Services LASER'!D52</f>
        <v>17139.577169120905</v>
      </c>
      <c r="I53" s="788">
        <f>'Client Services LASER'!E52</f>
        <v>3710.372830879096</v>
      </c>
      <c r="J53" s="788">
        <f>'Client Services LASER'!K52</f>
        <v>3419.15</v>
      </c>
      <c r="K53" s="789">
        <f>'Client Services LASER'!I52</f>
        <v>24269.100000000002</v>
      </c>
      <c r="L53" s="787">
        <f>'Benefits Spending LASER'!D53</f>
        <v>6301067.1347996285</v>
      </c>
      <c r="M53" s="788">
        <f>'Benefits Spending LASER'!E53</f>
        <v>4859040.9416619902</v>
      </c>
      <c r="N53" s="788">
        <f>'Benefits Spending LASER'!I53</f>
        <v>243686.25755000001</v>
      </c>
      <c r="O53" s="789">
        <f t="shared" si="16"/>
        <v>11403794.334011618</v>
      </c>
      <c r="P53" s="1428">
        <f t="shared" si="12"/>
        <v>6778376.7536586719</v>
      </c>
      <c r="Q53" s="788">
        <f t="shared" si="13"/>
        <v>5058074.3928029472</v>
      </c>
      <c r="R53" s="788">
        <f t="shared" si="14"/>
        <v>567031.33755000005</v>
      </c>
      <c r="S53" s="789">
        <f t="shared" si="15"/>
        <v>12403482.484011618</v>
      </c>
      <c r="U53" s="624">
        <f t="shared" si="17"/>
        <v>0.47176651070114156</v>
      </c>
      <c r="V53" s="625">
        <f t="shared" si="18"/>
        <v>0.2002452979671431</v>
      </c>
      <c r="W53" s="625">
        <f t="shared" si="19"/>
        <v>0.32798819133171531</v>
      </c>
      <c r="X53" s="626">
        <f t="shared" si="5"/>
        <v>0.67201180866828458</v>
      </c>
      <c r="Z53" s="1437">
        <f t="shared" si="6"/>
        <v>7.8640740715951202E-2</v>
      </c>
      <c r="AA53" s="1354">
        <f t="shared" si="7"/>
        <v>1.9566359714929611E-3</v>
      </c>
      <c r="AB53" s="1439">
        <f t="shared" si="8"/>
        <v>0.91940262331255584</v>
      </c>
      <c r="AD53" s="1437">
        <f t="shared" si="9"/>
        <v>0.56421207932231676</v>
      </c>
      <c r="AE53" s="1354">
        <f t="shared" si="10"/>
        <v>6.0299136459958068E-3</v>
      </c>
      <c r="AF53" s="1439">
        <f t="shared" si="11"/>
        <v>0.42975800703168737</v>
      </c>
    </row>
    <row r="54" spans="1:32" x14ac:dyDescent="0.25">
      <c r="A54" s="737" t="s">
        <v>124</v>
      </c>
      <c r="B54" s="589" t="s">
        <v>125</v>
      </c>
      <c r="C54" s="738" t="s">
        <v>267</v>
      </c>
      <c r="D54" s="787">
        <f>'Administration LASER'!D53+'Other Oper Exp. LASER'!D53</f>
        <v>717580.75595645607</v>
      </c>
      <c r="E54" s="788">
        <f>'Administration LASER'!E53+'Other Oper Exp. LASER'!E53</f>
        <v>251193.55404354393</v>
      </c>
      <c r="F54" s="788">
        <f>'Administration LASER'!K53+'Other Oper Exp. LASER'!K53</f>
        <v>775257.4</v>
      </c>
      <c r="G54" s="789">
        <f>'Administration LASER'!I53+'Other Oper Exp. LASER'!I53</f>
        <v>1744031.7100000002</v>
      </c>
      <c r="H54" s="787">
        <f>'Client Services LASER'!D53</f>
        <v>24077.599455907799</v>
      </c>
      <c r="I54" s="788">
        <f>'Client Services LASER'!E53</f>
        <v>12435.800544092199</v>
      </c>
      <c r="J54" s="788">
        <f>'Client Services LASER'!K53</f>
        <v>6376.329999999999</v>
      </c>
      <c r="K54" s="789">
        <f>'Client Services LASER'!I53</f>
        <v>42889.729999999989</v>
      </c>
      <c r="L54" s="787">
        <f>'Benefits Spending LASER'!D54</f>
        <v>13823184.585961005</v>
      </c>
      <c r="M54" s="788">
        <f>'Benefits Spending LASER'!E54</f>
        <v>10144981.092516294</v>
      </c>
      <c r="N54" s="788">
        <f>'Benefits Spending LASER'!I54</f>
        <v>665617.99659187486</v>
      </c>
      <c r="O54" s="789">
        <f t="shared" si="16"/>
        <v>24633783.675069172</v>
      </c>
      <c r="P54" s="1428">
        <f t="shared" si="12"/>
        <v>14564842.941373369</v>
      </c>
      <c r="Q54" s="788">
        <f t="shared" si="13"/>
        <v>10408610.447103931</v>
      </c>
      <c r="R54" s="788">
        <f t="shared" si="14"/>
        <v>1447251.7265918748</v>
      </c>
      <c r="S54" s="789">
        <f t="shared" si="15"/>
        <v>26420705.115069173</v>
      </c>
      <c r="U54" s="624">
        <f t="shared" si="17"/>
        <v>0.41144937436742823</v>
      </c>
      <c r="V54" s="625">
        <f t="shared" si="18"/>
        <v>0.14403038236245366</v>
      </c>
      <c r="W54" s="625">
        <f t="shared" si="19"/>
        <v>0.44452024327011802</v>
      </c>
      <c r="X54" s="626">
        <f t="shared" si="5"/>
        <v>0.55547975672988192</v>
      </c>
      <c r="Z54" s="1437">
        <f t="shared" si="6"/>
        <v>6.6010036537794123E-2</v>
      </c>
      <c r="AA54" s="1354">
        <f t="shared" si="7"/>
        <v>1.6233378258908627E-3</v>
      </c>
      <c r="AB54" s="1439">
        <f t="shared" si="8"/>
        <v>0.93236662563631501</v>
      </c>
      <c r="AD54" s="1437">
        <f t="shared" si="9"/>
        <v>0.53567557443904346</v>
      </c>
      <c r="AE54" s="1354">
        <f t="shared" si="10"/>
        <v>4.405819584002559E-3</v>
      </c>
      <c r="AF54" s="1439">
        <f t="shared" si="11"/>
        <v>0.459918605976954</v>
      </c>
    </row>
    <row r="55" spans="1:32" x14ac:dyDescent="0.25">
      <c r="A55" s="737" t="s">
        <v>126</v>
      </c>
      <c r="B55" s="589" t="s">
        <v>127</v>
      </c>
      <c r="C55" s="738" t="s">
        <v>266</v>
      </c>
      <c r="D55" s="787">
        <f>'Administration LASER'!D54+'Other Oper Exp. LASER'!D54</f>
        <v>415373.09342974372</v>
      </c>
      <c r="E55" s="788">
        <f>'Administration LASER'!E54+'Other Oper Exp. LASER'!E54</f>
        <v>180275.0565702563</v>
      </c>
      <c r="F55" s="788">
        <f>'Administration LASER'!K54+'Other Oper Exp. LASER'!K54</f>
        <v>283928.25</v>
      </c>
      <c r="G55" s="789">
        <f>'Administration LASER'!I54+'Other Oper Exp. LASER'!I54</f>
        <v>879576.39999999991</v>
      </c>
      <c r="H55" s="787">
        <f>'Client Services LASER'!D54</f>
        <v>25387.484927119738</v>
      </c>
      <c r="I55" s="788">
        <f>'Client Services LASER'!E54</f>
        <v>11855.645072880259</v>
      </c>
      <c r="J55" s="788">
        <f>'Client Services LASER'!K54</f>
        <v>6503.3399999999992</v>
      </c>
      <c r="K55" s="789">
        <f>'Client Services LASER'!I54</f>
        <v>43746.47</v>
      </c>
      <c r="L55" s="787">
        <f>'Benefits Spending LASER'!D55</f>
        <v>10720173.254896823</v>
      </c>
      <c r="M55" s="788">
        <f>'Benefits Spending LASER'!E55</f>
        <v>8317879.8040002342</v>
      </c>
      <c r="N55" s="788">
        <f>'Benefits Spending LASER'!I55</f>
        <v>333928.81624375004</v>
      </c>
      <c r="O55" s="789">
        <f t="shared" si="16"/>
        <v>19371981.875140805</v>
      </c>
      <c r="P55" s="1428">
        <f t="shared" si="12"/>
        <v>11160933.833253687</v>
      </c>
      <c r="Q55" s="788">
        <f t="shared" si="13"/>
        <v>8510010.5056433715</v>
      </c>
      <c r="R55" s="788">
        <f t="shared" si="14"/>
        <v>624360.40624375013</v>
      </c>
      <c r="S55" s="789">
        <f t="shared" si="15"/>
        <v>20295304.745140806</v>
      </c>
      <c r="U55" s="624">
        <f t="shared" si="17"/>
        <v>0.47224219911964871</v>
      </c>
      <c r="V55" s="625">
        <f t="shared" si="18"/>
        <v>0.20495667752142546</v>
      </c>
      <c r="W55" s="625">
        <f t="shared" si="19"/>
        <v>0.32280112335892597</v>
      </c>
      <c r="X55" s="626">
        <f t="shared" si="5"/>
        <v>0.67719887664107414</v>
      </c>
      <c r="Z55" s="1437">
        <f t="shared" si="6"/>
        <v>4.3338910701037493E-2</v>
      </c>
      <c r="AA55" s="1354">
        <f t="shared" si="7"/>
        <v>2.1554970742912339E-3</v>
      </c>
      <c r="AB55" s="1439">
        <f t="shared" si="8"/>
        <v>0.95450559222467124</v>
      </c>
      <c r="AD55" s="1437">
        <f t="shared" si="9"/>
        <v>0.45475056899933286</v>
      </c>
      <c r="AE55" s="1354">
        <f t="shared" si="10"/>
        <v>1.041600321699627E-2</v>
      </c>
      <c r="AF55" s="1439">
        <f t="shared" si="11"/>
        <v>0.53483342778367071</v>
      </c>
    </row>
    <row r="56" spans="1:32" x14ac:dyDescent="0.25">
      <c r="A56" s="737" t="s">
        <v>128</v>
      </c>
      <c r="B56" s="589" t="s">
        <v>129</v>
      </c>
      <c r="C56" s="738" t="s">
        <v>266</v>
      </c>
      <c r="D56" s="787">
        <f>'Administration LASER'!D55+'Other Oper Exp. LASER'!D55</f>
        <v>660522.11135341239</v>
      </c>
      <c r="E56" s="788">
        <f>'Administration LASER'!E55+'Other Oper Exp. LASER'!E55</f>
        <v>300339.90864658775</v>
      </c>
      <c r="F56" s="788">
        <f>'Administration LASER'!K55+'Other Oper Exp. LASER'!K55</f>
        <v>392875.88</v>
      </c>
      <c r="G56" s="789">
        <f>'Administration LASER'!I55+'Other Oper Exp. LASER'!I55</f>
        <v>1353737.9000000001</v>
      </c>
      <c r="H56" s="787">
        <f>'Client Services LASER'!D55</f>
        <v>22610.085270392472</v>
      </c>
      <c r="I56" s="788">
        <f>'Client Services LASER'!E55</f>
        <v>5187.994729607527</v>
      </c>
      <c r="J56" s="788">
        <f>'Client Services LASER'!K55</f>
        <v>5318.6100000000006</v>
      </c>
      <c r="K56" s="789">
        <f>'Client Services LASER'!I55</f>
        <v>33116.69</v>
      </c>
      <c r="L56" s="787">
        <f>'Benefits Spending LASER'!D56</f>
        <v>8675576.6699107606</v>
      </c>
      <c r="M56" s="788">
        <f>'Benefits Spending LASER'!E56</f>
        <v>6591948.2359512765</v>
      </c>
      <c r="N56" s="788">
        <f>'Benefits Spending LASER'!I56</f>
        <v>425826.57243750006</v>
      </c>
      <c r="O56" s="789">
        <f t="shared" si="16"/>
        <v>15693351.478299538</v>
      </c>
      <c r="P56" s="1428">
        <f t="shared" si="12"/>
        <v>9358708.8665345646</v>
      </c>
      <c r="Q56" s="788">
        <f t="shared" si="13"/>
        <v>6897476.1393274721</v>
      </c>
      <c r="R56" s="788">
        <f t="shared" si="14"/>
        <v>824021.06243750011</v>
      </c>
      <c r="S56" s="789">
        <f t="shared" si="15"/>
        <v>17080206.068299539</v>
      </c>
      <c r="U56" s="624">
        <f t="shared" si="17"/>
        <v>0.48792466499860299</v>
      </c>
      <c r="V56" s="625">
        <f t="shared" si="18"/>
        <v>0.22185971793106163</v>
      </c>
      <c r="W56" s="625">
        <f t="shared" si="19"/>
        <v>0.29021561707033539</v>
      </c>
      <c r="X56" s="626">
        <f t="shared" si="5"/>
        <v>0.70978438292966461</v>
      </c>
      <c r="Z56" s="1437">
        <f t="shared" si="6"/>
        <v>7.9257703015217465E-2</v>
      </c>
      <c r="AA56" s="1354">
        <f t="shared" si="7"/>
        <v>1.9388928838196982E-3</v>
      </c>
      <c r="AB56" s="1439">
        <f t="shared" si="8"/>
        <v>0.91880340410096273</v>
      </c>
      <c r="AD56" s="1437">
        <f t="shared" si="9"/>
        <v>0.47677892945824868</v>
      </c>
      <c r="AE56" s="1354">
        <f t="shared" si="10"/>
        <v>6.4544588026272734E-3</v>
      </c>
      <c r="AF56" s="1439">
        <f t="shared" si="11"/>
        <v>0.51676661173912397</v>
      </c>
    </row>
    <row r="57" spans="1:32" x14ac:dyDescent="0.25">
      <c r="A57" s="737" t="s">
        <v>130</v>
      </c>
      <c r="B57" s="589" t="s">
        <v>131</v>
      </c>
      <c r="C57" s="738" t="s">
        <v>268</v>
      </c>
      <c r="D57" s="787">
        <f>'Administration LASER'!D56+'Other Oper Exp. LASER'!D56</f>
        <v>1739047.9918981332</v>
      </c>
      <c r="E57" s="788">
        <f>'Administration LASER'!E56+'Other Oper Exp. LASER'!E56</f>
        <v>881163.93810186675</v>
      </c>
      <c r="F57" s="788">
        <f>'Administration LASER'!K56+'Other Oper Exp. LASER'!K56</f>
        <v>700419.58000000007</v>
      </c>
      <c r="G57" s="789">
        <f>'Administration LASER'!I56+'Other Oper Exp. LASER'!I56</f>
        <v>3320631.51</v>
      </c>
      <c r="H57" s="787">
        <f>'Client Services LASER'!D56</f>
        <v>136280.78963451134</v>
      </c>
      <c r="I57" s="788">
        <f>'Client Services LASER'!E56</f>
        <v>148426.2203654887</v>
      </c>
      <c r="J57" s="788">
        <f>'Client Services LASER'!K56</f>
        <v>57033.24</v>
      </c>
      <c r="K57" s="789">
        <f>'Client Services LASER'!I56</f>
        <v>341740.25</v>
      </c>
      <c r="L57" s="787">
        <f>'Benefits Spending LASER'!D57</f>
        <v>36292824.479151838</v>
      </c>
      <c r="M57" s="788">
        <f>'Benefits Spending LASER'!E57</f>
        <v>28114108.673280053</v>
      </c>
      <c r="N57" s="788">
        <f>'Benefits Spending LASER'!I57</f>
        <v>420682.63882187504</v>
      </c>
      <c r="O57" s="789">
        <f t="shared" si="16"/>
        <v>64827615.791253768</v>
      </c>
      <c r="P57" s="1428">
        <f t="shared" si="12"/>
        <v>38168153.260684483</v>
      </c>
      <c r="Q57" s="788">
        <f t="shared" si="13"/>
        <v>29143698.831747409</v>
      </c>
      <c r="R57" s="788">
        <f t="shared" si="14"/>
        <v>1178135.458821875</v>
      </c>
      <c r="S57" s="789">
        <f t="shared" si="15"/>
        <v>68489987.551253766</v>
      </c>
      <c r="U57" s="624">
        <f t="shared" si="17"/>
        <v>0.52371001921201832</v>
      </c>
      <c r="V57" s="625">
        <f t="shared" si="18"/>
        <v>0.2653603495143208</v>
      </c>
      <c r="W57" s="625">
        <f t="shared" si="19"/>
        <v>0.21092963127366099</v>
      </c>
      <c r="X57" s="626">
        <f t="shared" si="5"/>
        <v>0.78907036872633896</v>
      </c>
      <c r="Z57" s="1437">
        <f t="shared" si="6"/>
        <v>4.8483459097069331E-2</v>
      </c>
      <c r="AA57" s="1354">
        <f t="shared" si="7"/>
        <v>4.9896380802268688E-3</v>
      </c>
      <c r="AB57" s="1439">
        <f t="shared" si="8"/>
        <v>0.9465269028227038</v>
      </c>
      <c r="AD57" s="1437">
        <f t="shared" si="9"/>
        <v>0.5945153205900563</v>
      </c>
      <c r="AE57" s="1354">
        <f t="shared" si="10"/>
        <v>4.8409747430089856E-2</v>
      </c>
      <c r="AF57" s="1439">
        <f t="shared" si="11"/>
        <v>0.35707493197985396</v>
      </c>
    </row>
    <row r="58" spans="1:32" x14ac:dyDescent="0.25">
      <c r="A58" s="737" t="s">
        <v>132</v>
      </c>
      <c r="B58" s="589" t="s">
        <v>133</v>
      </c>
      <c r="C58" s="738" t="s">
        <v>267</v>
      </c>
      <c r="D58" s="787">
        <f>'Administration LASER'!D57+'Other Oper Exp. LASER'!D57</f>
        <v>4809123.8851857344</v>
      </c>
      <c r="E58" s="788">
        <f>'Administration LASER'!E57+'Other Oper Exp. LASER'!E57</f>
        <v>987230.78481426544</v>
      </c>
      <c r="F58" s="788">
        <f>'Administration LASER'!K57+'Other Oper Exp. LASER'!K57</f>
        <v>6882599.6400000006</v>
      </c>
      <c r="G58" s="789">
        <f>'Administration LASER'!I57+'Other Oper Exp. LASER'!I57</f>
        <v>12678954.310000001</v>
      </c>
      <c r="H58" s="787">
        <f>'Client Services LASER'!D57</f>
        <v>345373.8611068562</v>
      </c>
      <c r="I58" s="788">
        <f>'Client Services LASER'!E57</f>
        <v>232965.54889314377</v>
      </c>
      <c r="J58" s="788">
        <f>'Client Services LASER'!K57</f>
        <v>983446.62</v>
      </c>
      <c r="K58" s="789">
        <f>'Client Services LASER'!I57</f>
        <v>1561786.0299999998</v>
      </c>
      <c r="L58" s="787">
        <f>'Benefits Spending LASER'!D58</f>
        <v>87209653.226751819</v>
      </c>
      <c r="M58" s="788">
        <f>'Benefits Spending LASER'!E58</f>
        <v>69600975.12873742</v>
      </c>
      <c r="N58" s="788">
        <f>'Benefits Spending LASER'!I58</f>
        <v>2994023.7151080002</v>
      </c>
      <c r="O58" s="789">
        <f t="shared" si="16"/>
        <v>159804652.07059726</v>
      </c>
      <c r="P58" s="1428">
        <f t="shared" si="12"/>
        <v>92364150.97304441</v>
      </c>
      <c r="Q58" s="788">
        <f t="shared" si="13"/>
        <v>70821171.462444827</v>
      </c>
      <c r="R58" s="788">
        <f t="shared" si="14"/>
        <v>10860069.975108001</v>
      </c>
      <c r="S58" s="789">
        <f t="shared" si="15"/>
        <v>174045392.41059726</v>
      </c>
      <c r="U58" s="624">
        <f t="shared" si="17"/>
        <v>0.37929972516682525</v>
      </c>
      <c r="V58" s="625">
        <f t="shared" si="18"/>
        <v>7.7863738655137196E-2</v>
      </c>
      <c r="W58" s="625">
        <f t="shared" si="19"/>
        <v>0.54283653617803751</v>
      </c>
      <c r="X58" s="626">
        <f t="shared" si="5"/>
        <v>0.45716346382196243</v>
      </c>
      <c r="Z58" s="1437">
        <f t="shared" si="6"/>
        <v>7.2848549073270416E-2</v>
      </c>
      <c r="AA58" s="1354">
        <f t="shared" si="7"/>
        <v>8.973440826951222E-3</v>
      </c>
      <c r="AB58" s="1439">
        <f t="shared" si="8"/>
        <v>0.9181780100997784</v>
      </c>
      <c r="AD58" s="1437">
        <f t="shared" si="9"/>
        <v>0.63375278941805846</v>
      </c>
      <c r="AE58" s="1354">
        <f t="shared" si="10"/>
        <v>9.055619551753577E-2</v>
      </c>
      <c r="AF58" s="1439">
        <f t="shared" si="11"/>
        <v>0.27569101506440574</v>
      </c>
    </row>
    <row r="59" spans="1:32" x14ac:dyDescent="0.25">
      <c r="A59" s="737" t="s">
        <v>134</v>
      </c>
      <c r="B59" s="589" t="s">
        <v>135</v>
      </c>
      <c r="C59" s="738" t="s">
        <v>267</v>
      </c>
      <c r="D59" s="787">
        <f>'Administration LASER'!D58+'Other Oper Exp. LASER'!D58</f>
        <v>1172913.7045620915</v>
      </c>
      <c r="E59" s="788">
        <f>'Administration LASER'!E58+'Other Oper Exp. LASER'!E58</f>
        <v>444371.4454379087</v>
      </c>
      <c r="F59" s="788">
        <f>'Administration LASER'!K58+'Other Oper Exp. LASER'!K58</f>
        <v>959744.08000000007</v>
      </c>
      <c r="G59" s="789">
        <f>'Administration LASER'!I58+'Other Oper Exp. LASER'!I58</f>
        <v>2577029.2300000004</v>
      </c>
      <c r="H59" s="787">
        <f>'Client Services LASER'!D58</f>
        <v>34513.455295466527</v>
      </c>
      <c r="I59" s="788">
        <f>'Client Services LASER'!E58</f>
        <v>12291.054704533472</v>
      </c>
      <c r="J59" s="788">
        <f>'Client Services LASER'!K58</f>
        <v>8023.05</v>
      </c>
      <c r="K59" s="789">
        <f>'Client Services LASER'!I58</f>
        <v>54827.56</v>
      </c>
      <c r="L59" s="787">
        <f>'Benefits Spending LASER'!D59</f>
        <v>26801821.517225362</v>
      </c>
      <c r="M59" s="788">
        <f>'Benefits Spending LASER'!E59</f>
        <v>21747674.184001841</v>
      </c>
      <c r="N59" s="788">
        <f>'Benefits Spending LASER'!I59</f>
        <v>1473243.7762362501</v>
      </c>
      <c r="O59" s="789">
        <f t="shared" si="16"/>
        <v>50022739.477463454</v>
      </c>
      <c r="P59" s="1428">
        <f t="shared" si="12"/>
        <v>28009248.677082919</v>
      </c>
      <c r="Q59" s="788">
        <f t="shared" si="13"/>
        <v>22204336.684144285</v>
      </c>
      <c r="R59" s="788">
        <f t="shared" si="14"/>
        <v>2441010.90623625</v>
      </c>
      <c r="S59" s="789">
        <f t="shared" si="15"/>
        <v>52654596.267463453</v>
      </c>
      <c r="U59" s="624">
        <f t="shared" si="17"/>
        <v>0.45514179308012398</v>
      </c>
      <c r="V59" s="625">
        <f t="shared" si="18"/>
        <v>0.17243554720483656</v>
      </c>
      <c r="W59" s="625">
        <f t="shared" si="19"/>
        <v>0.37242265971503935</v>
      </c>
      <c r="X59" s="626">
        <f t="shared" si="5"/>
        <v>0.62757734028496059</v>
      </c>
      <c r="Z59" s="1437">
        <f t="shared" si="6"/>
        <v>4.8942151543803769E-2</v>
      </c>
      <c r="AA59" s="1354">
        <f t="shared" si="7"/>
        <v>1.0412682631065822E-3</v>
      </c>
      <c r="AB59" s="1439">
        <f t="shared" si="8"/>
        <v>0.95001658019308965</v>
      </c>
      <c r="AD59" s="1437">
        <f t="shared" si="9"/>
        <v>0.39317484307344286</v>
      </c>
      <c r="AE59" s="1354">
        <f t="shared" si="10"/>
        <v>3.2867735164569972E-3</v>
      </c>
      <c r="AF59" s="1439">
        <f t="shared" si="11"/>
        <v>0.60353838341010024</v>
      </c>
    </row>
    <row r="60" spans="1:32" x14ac:dyDescent="0.25">
      <c r="A60" s="737" t="s">
        <v>136</v>
      </c>
      <c r="B60" s="589" t="s">
        <v>137</v>
      </c>
      <c r="C60" s="738" t="s">
        <v>266</v>
      </c>
      <c r="D60" s="787">
        <f>'Administration LASER'!D59+'Other Oper Exp. LASER'!D59</f>
        <v>422041.77027080441</v>
      </c>
      <c r="E60" s="788">
        <f>'Administration LASER'!E59+'Other Oper Exp. LASER'!E59</f>
        <v>208917.49972919564</v>
      </c>
      <c r="F60" s="788">
        <f>'Administration LASER'!K59+'Other Oper Exp. LASER'!K59</f>
        <v>195319.96</v>
      </c>
      <c r="G60" s="789">
        <f>'Administration LASER'!I59+'Other Oper Exp. LASER'!I59</f>
        <v>826279.2300000001</v>
      </c>
      <c r="H60" s="787">
        <f>'Client Services LASER'!D59</f>
        <v>8813.080483070431</v>
      </c>
      <c r="I60" s="788">
        <f>'Client Services LASER'!E59</f>
        <v>9132.8895169295683</v>
      </c>
      <c r="J60" s="788">
        <f>'Client Services LASER'!K59</f>
        <v>3407.23</v>
      </c>
      <c r="K60" s="789">
        <f>'Client Services LASER'!I59</f>
        <v>21353.200000000001</v>
      </c>
      <c r="L60" s="787">
        <f>'Benefits Spending LASER'!D60</f>
        <v>12822594.432495765</v>
      </c>
      <c r="M60" s="788">
        <f>'Benefits Spending LASER'!E60</f>
        <v>10184558.685912013</v>
      </c>
      <c r="N60" s="788">
        <f>'Benefits Spending LASER'!I60</f>
        <v>194735.6241625</v>
      </c>
      <c r="O60" s="789">
        <f t="shared" si="16"/>
        <v>23201888.742570277</v>
      </c>
      <c r="P60" s="1428">
        <f t="shared" si="12"/>
        <v>13253449.283249641</v>
      </c>
      <c r="Q60" s="788">
        <f t="shared" si="13"/>
        <v>10402609.075158138</v>
      </c>
      <c r="R60" s="788">
        <f t="shared" si="14"/>
        <v>393462.81416249997</v>
      </c>
      <c r="S60" s="789">
        <f t="shared" si="15"/>
        <v>24049521.172570277</v>
      </c>
      <c r="U60" s="624">
        <f t="shared" si="17"/>
        <v>0.51077378560127229</v>
      </c>
      <c r="V60" s="625">
        <f t="shared" si="18"/>
        <v>0.25284128191046945</v>
      </c>
      <c r="W60" s="625">
        <f t="shared" si="19"/>
        <v>0.2363849324882582</v>
      </c>
      <c r="X60" s="626">
        <f t="shared" si="5"/>
        <v>0.76361506751174169</v>
      </c>
      <c r="Z60" s="1437">
        <f t="shared" si="6"/>
        <v>3.4357408784604589E-2</v>
      </c>
      <c r="AA60" s="1354">
        <f t="shared" si="7"/>
        <v>8.8788462135181432E-4</v>
      </c>
      <c r="AB60" s="1439">
        <f t="shared" si="8"/>
        <v>0.96475470659404361</v>
      </c>
      <c r="AD60" s="1437">
        <f t="shared" si="9"/>
        <v>0.49641275609677549</v>
      </c>
      <c r="AE60" s="1354">
        <f t="shared" si="10"/>
        <v>8.6595985118756748E-3</v>
      </c>
      <c r="AF60" s="1439">
        <f t="shared" si="11"/>
        <v>0.49492764539134892</v>
      </c>
    </row>
    <row r="61" spans="1:32" x14ac:dyDescent="0.25">
      <c r="A61" s="737" t="s">
        <v>140</v>
      </c>
      <c r="B61" s="589" t="s">
        <v>141</v>
      </c>
      <c r="C61" s="738" t="s">
        <v>267</v>
      </c>
      <c r="D61" s="787">
        <f>'Administration LASER'!D60+'Other Oper Exp. LASER'!D60</f>
        <v>505634.18854797905</v>
      </c>
      <c r="E61" s="788">
        <f>'Administration LASER'!E60+'Other Oper Exp. LASER'!E60</f>
        <v>197425.80145202097</v>
      </c>
      <c r="F61" s="788">
        <f>'Administration LASER'!K60+'Other Oper Exp. LASER'!K60</f>
        <v>468333.26999999996</v>
      </c>
      <c r="G61" s="789">
        <f>'Administration LASER'!I60+'Other Oper Exp. LASER'!I60</f>
        <v>1171393.26</v>
      </c>
      <c r="H61" s="787">
        <f>'Client Services LASER'!D60</f>
        <v>34769.422176178392</v>
      </c>
      <c r="I61" s="788">
        <f>'Client Services LASER'!E60</f>
        <v>13412.287823821602</v>
      </c>
      <c r="J61" s="788">
        <f>'Client Services LASER'!K60</f>
        <v>7205.380000000001</v>
      </c>
      <c r="K61" s="789">
        <f>'Client Services LASER'!I60</f>
        <v>55387.09</v>
      </c>
      <c r="L61" s="787">
        <f>'Benefits Spending LASER'!D61</f>
        <v>9763453.0803556629</v>
      </c>
      <c r="M61" s="788">
        <f>'Benefits Spending LASER'!E61</f>
        <v>9691018.0056950413</v>
      </c>
      <c r="N61" s="788">
        <f>'Benefits Spending LASER'!I61</f>
        <v>1255550.2193039998</v>
      </c>
      <c r="O61" s="789">
        <f t="shared" si="16"/>
        <v>20710021.305354703</v>
      </c>
      <c r="P61" s="1428">
        <f t="shared" si="12"/>
        <v>10303856.69107982</v>
      </c>
      <c r="Q61" s="788">
        <f t="shared" si="13"/>
        <v>9901856.0949708838</v>
      </c>
      <c r="R61" s="788">
        <f t="shared" si="14"/>
        <v>1731088.8693039997</v>
      </c>
      <c r="S61" s="789">
        <f t="shared" si="15"/>
        <v>21936801.655354705</v>
      </c>
      <c r="U61" s="624">
        <f t="shared" si="17"/>
        <v>0.43165195311775917</v>
      </c>
      <c r="V61" s="625">
        <f t="shared" si="18"/>
        <v>0.16853930118397725</v>
      </c>
      <c r="W61" s="625">
        <f t="shared" si="19"/>
        <v>0.39980874569826358</v>
      </c>
      <c r="X61" s="626">
        <f t="shared" si="5"/>
        <v>0.60019125430173637</v>
      </c>
      <c r="Z61" s="1437">
        <f t="shared" si="6"/>
        <v>5.3398543616501475E-2</v>
      </c>
      <c r="AA61" s="1354">
        <f t="shared" si="7"/>
        <v>2.524848009758988E-3</v>
      </c>
      <c r="AB61" s="1439">
        <f t="shared" si="8"/>
        <v>0.94407660837373941</v>
      </c>
      <c r="AD61" s="1437">
        <f t="shared" si="9"/>
        <v>0.27054259218262877</v>
      </c>
      <c r="AE61" s="1354">
        <f t="shared" si="10"/>
        <v>4.1623397433645281E-3</v>
      </c>
      <c r="AF61" s="1439">
        <f t="shared" si="11"/>
        <v>0.72529506807400668</v>
      </c>
    </row>
    <row r="62" spans="1:32" x14ac:dyDescent="0.25">
      <c r="A62" s="737" t="s">
        <v>146</v>
      </c>
      <c r="B62" s="589" t="s">
        <v>147</v>
      </c>
      <c r="C62" s="738" t="s">
        <v>264</v>
      </c>
      <c r="D62" s="787">
        <f>'Administration LASER'!D61+'Other Oper Exp. LASER'!D61</f>
        <v>464336.99627087312</v>
      </c>
      <c r="E62" s="788">
        <f>'Administration LASER'!E61+'Other Oper Exp. LASER'!E61</f>
        <v>167846.62372912694</v>
      </c>
      <c r="F62" s="788">
        <f>'Administration LASER'!K61+'Other Oper Exp. LASER'!K61</f>
        <v>414204.58</v>
      </c>
      <c r="G62" s="789">
        <f>'Administration LASER'!I61+'Other Oper Exp. LASER'!I61</f>
        <v>1046388.2000000001</v>
      </c>
      <c r="H62" s="787">
        <f>'Client Services LASER'!D61</f>
        <v>51187.599325604708</v>
      </c>
      <c r="I62" s="788">
        <f>'Client Services LASER'!E61</f>
        <v>8670.1306743952937</v>
      </c>
      <c r="J62" s="788">
        <f>'Client Services LASER'!K61</f>
        <v>16823.849999999999</v>
      </c>
      <c r="K62" s="789">
        <f>'Client Services LASER'!I61</f>
        <v>76681.58</v>
      </c>
      <c r="L62" s="787">
        <f>'Benefits Spending LASER'!D62</f>
        <v>7046790.869699263</v>
      </c>
      <c r="M62" s="788">
        <f>'Benefits Spending LASER'!E62</f>
        <v>5808077.319076281</v>
      </c>
      <c r="N62" s="788">
        <f>'Benefits Spending LASER'!I62</f>
        <v>124397.64794375001</v>
      </c>
      <c r="O62" s="789">
        <f t="shared" si="16"/>
        <v>12979265.836719293</v>
      </c>
      <c r="P62" s="1428">
        <f t="shared" si="12"/>
        <v>7562315.4652957413</v>
      </c>
      <c r="Q62" s="788">
        <f t="shared" si="13"/>
        <v>5984594.0734798033</v>
      </c>
      <c r="R62" s="788">
        <f t="shared" si="14"/>
        <v>555426.07794374996</v>
      </c>
      <c r="S62" s="789">
        <f t="shared" si="15"/>
        <v>14102335.616719292</v>
      </c>
      <c r="U62" s="624">
        <f t="shared" si="17"/>
        <v>0.44375213354935872</v>
      </c>
      <c r="V62" s="625">
        <f t="shared" si="18"/>
        <v>0.16040569238942767</v>
      </c>
      <c r="W62" s="625">
        <f t="shared" si="19"/>
        <v>0.39584217406121358</v>
      </c>
      <c r="X62" s="626">
        <f t="shared" si="5"/>
        <v>0.60415782593878642</v>
      </c>
      <c r="Z62" s="1437">
        <f t="shared" si="6"/>
        <v>7.4199638162024351E-2</v>
      </c>
      <c r="AA62" s="1354">
        <f t="shared" si="7"/>
        <v>5.4375092242939316E-3</v>
      </c>
      <c r="AB62" s="1439">
        <f t="shared" si="8"/>
        <v>0.92036285261368178</v>
      </c>
      <c r="AD62" s="1437">
        <f t="shared" si="9"/>
        <v>0.74574204641854791</v>
      </c>
      <c r="AE62" s="1354">
        <f t="shared" si="10"/>
        <v>3.0289989375874807E-2</v>
      </c>
      <c r="AF62" s="1439">
        <f t="shared" si="11"/>
        <v>0.22396796420557735</v>
      </c>
    </row>
    <row r="63" spans="1:32" x14ac:dyDescent="0.25">
      <c r="A63" s="737" t="s">
        <v>148</v>
      </c>
      <c r="B63" s="589" t="s">
        <v>149</v>
      </c>
      <c r="C63" s="738" t="s">
        <v>265</v>
      </c>
      <c r="D63" s="787">
        <f>'Administration LASER'!D62+'Other Oper Exp. LASER'!D62</f>
        <v>1167206.8845295531</v>
      </c>
      <c r="E63" s="788">
        <f>'Administration LASER'!E62+'Other Oper Exp. LASER'!E62</f>
        <v>516534.89547044685</v>
      </c>
      <c r="F63" s="788">
        <f>'Administration LASER'!K62+'Other Oper Exp. LASER'!K62</f>
        <v>1063926.6000000001</v>
      </c>
      <c r="G63" s="789">
        <f>'Administration LASER'!I62+'Other Oper Exp. LASER'!I62</f>
        <v>2747668.3800000004</v>
      </c>
      <c r="H63" s="787">
        <f>'Client Services LASER'!D62</f>
        <v>31452.836520356159</v>
      </c>
      <c r="I63" s="788">
        <f>'Client Services LASER'!E62</f>
        <v>28812.85347964384</v>
      </c>
      <c r="J63" s="788">
        <f>'Client Services LASER'!K62</f>
        <v>11481.86</v>
      </c>
      <c r="K63" s="789">
        <f>'Client Services LASER'!I62</f>
        <v>71747.55</v>
      </c>
      <c r="L63" s="787">
        <f>'Benefits Spending LASER'!D63</f>
        <v>32586889.367001522</v>
      </c>
      <c r="M63" s="788">
        <f>'Benefits Spending LASER'!E63</f>
        <v>26218780.733501464</v>
      </c>
      <c r="N63" s="788">
        <f>'Benefits Spending LASER'!I63</f>
        <v>566239.65220125008</v>
      </c>
      <c r="O63" s="789">
        <f t="shared" si="16"/>
        <v>59371909.752704233</v>
      </c>
      <c r="P63" s="1428">
        <f t="shared" si="12"/>
        <v>33785549.088051431</v>
      </c>
      <c r="Q63" s="788">
        <f t="shared" si="13"/>
        <v>26764128.482451554</v>
      </c>
      <c r="R63" s="788">
        <f t="shared" si="14"/>
        <v>1641648.1122012502</v>
      </c>
      <c r="S63" s="789">
        <f t="shared" si="15"/>
        <v>62191325.682704233</v>
      </c>
      <c r="U63" s="624">
        <f t="shared" si="17"/>
        <v>0.42479903798636465</v>
      </c>
      <c r="V63" s="625">
        <f t="shared" si="18"/>
        <v>0.18799026084452258</v>
      </c>
      <c r="W63" s="625">
        <f t="shared" si="19"/>
        <v>0.38721070116911266</v>
      </c>
      <c r="X63" s="626">
        <f t="shared" si="5"/>
        <v>0.61278929883088729</v>
      </c>
      <c r="Z63" s="1437">
        <f t="shared" si="6"/>
        <v>4.4180894197663689E-2</v>
      </c>
      <c r="AA63" s="1354">
        <f t="shared" si="7"/>
        <v>1.1536584758789505E-3</v>
      </c>
      <c r="AB63" s="1439">
        <f t="shared" si="8"/>
        <v>0.95466544732645742</v>
      </c>
      <c r="AD63" s="1437">
        <f t="shared" si="9"/>
        <v>0.64808444153930411</v>
      </c>
      <c r="AE63" s="1354">
        <f t="shared" si="10"/>
        <v>6.9941054448046268E-3</v>
      </c>
      <c r="AF63" s="1439">
        <f t="shared" si="11"/>
        <v>0.34492145301589128</v>
      </c>
    </row>
    <row r="64" spans="1:32" x14ac:dyDescent="0.25">
      <c r="A64" s="737" t="s">
        <v>150</v>
      </c>
      <c r="B64" s="589" t="s">
        <v>151</v>
      </c>
      <c r="C64" s="738" t="s">
        <v>266</v>
      </c>
      <c r="D64" s="787">
        <f>'Administration LASER'!D63+'Other Oper Exp. LASER'!D63</f>
        <v>416384.17087728385</v>
      </c>
      <c r="E64" s="788">
        <f>'Administration LASER'!E63+'Other Oper Exp. LASER'!E63</f>
        <v>203531.55912271619</v>
      </c>
      <c r="F64" s="788">
        <f>'Administration LASER'!K63+'Other Oper Exp. LASER'!K63</f>
        <v>210457.53999999998</v>
      </c>
      <c r="G64" s="789">
        <f>'Administration LASER'!I63+'Other Oper Exp. LASER'!I63</f>
        <v>830373.27</v>
      </c>
      <c r="H64" s="787">
        <f>'Client Services LASER'!D63</f>
        <v>49441.451715467869</v>
      </c>
      <c r="I64" s="788">
        <f>'Client Services LASER'!E63</f>
        <v>40967.728284532124</v>
      </c>
      <c r="J64" s="788">
        <f>'Client Services LASER'!K63</f>
        <v>18380.760000000002</v>
      </c>
      <c r="K64" s="789">
        <f>'Client Services LASER'!I63</f>
        <v>108789.94</v>
      </c>
      <c r="L64" s="787">
        <f>'Benefits Spending LASER'!D64</f>
        <v>9995915.170294933</v>
      </c>
      <c r="M64" s="788">
        <f>'Benefits Spending LASER'!E64</f>
        <v>7759201.9030721681</v>
      </c>
      <c r="N64" s="788">
        <f>'Benefits Spending LASER'!I64</f>
        <v>201475.46734700003</v>
      </c>
      <c r="O64" s="789">
        <f t="shared" si="16"/>
        <v>17956592.5407141</v>
      </c>
      <c r="P64" s="1428">
        <f t="shared" si="12"/>
        <v>10461740.792887684</v>
      </c>
      <c r="Q64" s="788">
        <f t="shared" si="13"/>
        <v>8003701.1904794164</v>
      </c>
      <c r="R64" s="788">
        <f t="shared" si="14"/>
        <v>430313.76734700002</v>
      </c>
      <c r="S64" s="789">
        <f t="shared" si="15"/>
        <v>18895755.750714101</v>
      </c>
      <c r="U64" s="624">
        <f t="shared" si="17"/>
        <v>0.50144216573503608</v>
      </c>
      <c r="V64" s="625">
        <f t="shared" si="18"/>
        <v>0.24510851502086067</v>
      </c>
      <c r="W64" s="625">
        <f t="shared" si="19"/>
        <v>0.2534493192441033</v>
      </c>
      <c r="X64" s="626">
        <f t="shared" si="5"/>
        <v>0.74655068075589659</v>
      </c>
      <c r="Z64" s="1437">
        <f t="shared" si="6"/>
        <v>4.3944962083277292E-2</v>
      </c>
      <c r="AA64" s="1354">
        <f t="shared" si="7"/>
        <v>5.7573743773592471E-3</v>
      </c>
      <c r="AB64" s="1439">
        <f t="shared" si="8"/>
        <v>0.9502976635393634</v>
      </c>
      <c r="AD64" s="1437">
        <f t="shared" si="9"/>
        <v>0.48907926255189849</v>
      </c>
      <c r="AE64" s="1354">
        <f t="shared" si="10"/>
        <v>4.2714784872727465E-2</v>
      </c>
      <c r="AF64" s="1439">
        <f t="shared" si="11"/>
        <v>0.46820595257537406</v>
      </c>
    </row>
    <row r="65" spans="1:32" x14ac:dyDescent="0.25">
      <c r="A65" s="737" t="s">
        <v>152</v>
      </c>
      <c r="B65" s="589" t="s">
        <v>153</v>
      </c>
      <c r="C65" s="738" t="s">
        <v>268</v>
      </c>
      <c r="D65" s="787">
        <f>'Administration LASER'!D64+'Other Oper Exp. LASER'!D64</f>
        <v>2174193.9511996028</v>
      </c>
      <c r="E65" s="788">
        <f>'Administration LASER'!E64+'Other Oper Exp. LASER'!E64</f>
        <v>990169.59880039736</v>
      </c>
      <c r="F65" s="788">
        <f>'Administration LASER'!K64+'Other Oper Exp. LASER'!K64</f>
        <v>1276958.4300000002</v>
      </c>
      <c r="G65" s="789">
        <f>'Administration LASER'!I64+'Other Oper Exp. LASER'!I64</f>
        <v>4441321.9800000004</v>
      </c>
      <c r="H65" s="787">
        <f>'Client Services LASER'!D64</f>
        <v>76842.746830734599</v>
      </c>
      <c r="I65" s="788">
        <f>'Client Services LASER'!E64</f>
        <v>43149.523169265412</v>
      </c>
      <c r="J65" s="788">
        <f>'Client Services LASER'!K64</f>
        <v>23337.62</v>
      </c>
      <c r="K65" s="789">
        <f>'Client Services LASER'!I64</f>
        <v>143329.89000000001</v>
      </c>
      <c r="L65" s="787">
        <f>'Benefits Spending LASER'!D65</f>
        <v>43766445.173363835</v>
      </c>
      <c r="M65" s="788">
        <f>'Benefits Spending LASER'!E65</f>
        <v>33105742.194606874</v>
      </c>
      <c r="N65" s="788">
        <f>'Benefits Spending LASER'!I65</f>
        <v>345114.01503499999</v>
      </c>
      <c r="O65" s="789">
        <f t="shared" si="16"/>
        <v>77217301.383005708</v>
      </c>
      <c r="P65" s="1428">
        <f t="shared" si="12"/>
        <v>46017481.871394172</v>
      </c>
      <c r="Q65" s="788">
        <f t="shared" si="13"/>
        <v>34139061.31657654</v>
      </c>
      <c r="R65" s="788">
        <f t="shared" si="14"/>
        <v>1645410.0650350002</v>
      </c>
      <c r="S65" s="789">
        <f t="shared" si="15"/>
        <v>81801953.253005713</v>
      </c>
      <c r="U65" s="624">
        <f t="shared" si="17"/>
        <v>0.48953756583971031</v>
      </c>
      <c r="V65" s="625">
        <f t="shared" si="18"/>
        <v>0.22294479059597413</v>
      </c>
      <c r="W65" s="625">
        <f t="shared" si="19"/>
        <v>0.28751764356431553</v>
      </c>
      <c r="X65" s="626">
        <f t="shared" si="5"/>
        <v>0.71248235643568447</v>
      </c>
      <c r="Z65" s="1437">
        <f t="shared" si="6"/>
        <v>5.429359328698926E-2</v>
      </c>
      <c r="AA65" s="1354">
        <f t="shared" si="7"/>
        <v>1.7521573055437223E-3</v>
      </c>
      <c r="AB65" s="1439">
        <f t="shared" si="8"/>
        <v>0.94395424940746697</v>
      </c>
      <c r="AD65" s="1437">
        <f t="shared" si="9"/>
        <v>0.77607306356961991</v>
      </c>
      <c r="AE65" s="1354">
        <f t="shared" si="10"/>
        <v>1.4183467389634313E-2</v>
      </c>
      <c r="AF65" s="1439">
        <f t="shared" si="11"/>
        <v>0.20974346904074573</v>
      </c>
    </row>
    <row r="66" spans="1:32" x14ac:dyDescent="0.25">
      <c r="A66" s="737" t="s">
        <v>154</v>
      </c>
      <c r="B66" s="589" t="s">
        <v>155</v>
      </c>
      <c r="C66" s="738" t="s">
        <v>265</v>
      </c>
      <c r="D66" s="787">
        <f>'Administration LASER'!D65+'Other Oper Exp. LASER'!D65</f>
        <v>477698.81680146186</v>
      </c>
      <c r="E66" s="788">
        <f>'Administration LASER'!E65+'Other Oper Exp. LASER'!E65</f>
        <v>232909.30319853817</v>
      </c>
      <c r="F66" s="788">
        <f>'Administration LASER'!K65+'Other Oper Exp. LASER'!K65</f>
        <v>242305.58000000002</v>
      </c>
      <c r="G66" s="789">
        <f>'Administration LASER'!I65+'Other Oper Exp. LASER'!I65</f>
        <v>952913.70000000019</v>
      </c>
      <c r="H66" s="787">
        <f>'Client Services LASER'!D65</f>
        <v>10320.051482630361</v>
      </c>
      <c r="I66" s="788">
        <f>'Client Services LASER'!E65</f>
        <v>7238.888517369639</v>
      </c>
      <c r="J66" s="788">
        <f>'Client Services LASER'!K65</f>
        <v>3653.13</v>
      </c>
      <c r="K66" s="789">
        <f>'Client Services LASER'!I65</f>
        <v>21212.07</v>
      </c>
      <c r="L66" s="787">
        <f>'Benefits Spending LASER'!D66</f>
        <v>13389098.994829601</v>
      </c>
      <c r="M66" s="788">
        <f>'Benefits Spending LASER'!E66</f>
        <v>10509362.071101341</v>
      </c>
      <c r="N66" s="788">
        <f>'Benefits Spending LASER'!I66</f>
        <v>318651.55280499993</v>
      </c>
      <c r="O66" s="789">
        <f t="shared" si="16"/>
        <v>24217112.618735939</v>
      </c>
      <c r="P66" s="1428">
        <f t="shared" si="12"/>
        <v>13877117.863113692</v>
      </c>
      <c r="Q66" s="788">
        <f t="shared" si="13"/>
        <v>10749510.262817249</v>
      </c>
      <c r="R66" s="788">
        <f t="shared" si="14"/>
        <v>564610.26280499995</v>
      </c>
      <c r="S66" s="789">
        <f t="shared" si="15"/>
        <v>25191238.388735939</v>
      </c>
      <c r="U66" s="624">
        <f t="shared" si="17"/>
        <v>0.50130333607488464</v>
      </c>
      <c r="V66" s="625">
        <f t="shared" si="18"/>
        <v>0.2444180445706029</v>
      </c>
      <c r="W66" s="625">
        <f t="shared" si="19"/>
        <v>0.25427861935451235</v>
      </c>
      <c r="X66" s="626">
        <f t="shared" si="5"/>
        <v>0.74572138064548743</v>
      </c>
      <c r="Z66" s="1437">
        <f t="shared" si="6"/>
        <v>3.7827187583842167E-2</v>
      </c>
      <c r="AA66" s="1354">
        <f t="shared" si="7"/>
        <v>8.4204157305282803E-4</v>
      </c>
      <c r="AB66" s="1439">
        <f t="shared" si="8"/>
        <v>0.96133077084310503</v>
      </c>
      <c r="AD66" s="1437">
        <f t="shared" si="9"/>
        <v>0.42915546521634051</v>
      </c>
      <c r="AE66" s="1354">
        <f t="shared" si="10"/>
        <v>6.4701799465194726E-3</v>
      </c>
      <c r="AF66" s="1439">
        <f t="shared" si="11"/>
        <v>0.56437435483714005</v>
      </c>
    </row>
    <row r="67" spans="1:32" x14ac:dyDescent="0.25">
      <c r="A67" s="737" t="s">
        <v>156</v>
      </c>
      <c r="B67" s="589" t="s">
        <v>157</v>
      </c>
      <c r="C67" s="738" t="s">
        <v>266</v>
      </c>
      <c r="D67" s="787">
        <f>'Administration LASER'!D66+'Other Oper Exp. LASER'!D66</f>
        <v>509875.44015319849</v>
      </c>
      <c r="E67" s="788">
        <f>'Administration LASER'!E66+'Other Oper Exp. LASER'!E66</f>
        <v>209919.81984680149</v>
      </c>
      <c r="F67" s="788">
        <f>'Administration LASER'!K66+'Other Oper Exp. LASER'!K66</f>
        <v>421559.69</v>
      </c>
      <c r="G67" s="789">
        <f>'Administration LASER'!I66+'Other Oper Exp. LASER'!I66</f>
        <v>1141354.9499999997</v>
      </c>
      <c r="H67" s="787">
        <f>'Client Services LASER'!D66</f>
        <v>11332.493215632756</v>
      </c>
      <c r="I67" s="788">
        <f>'Client Services LASER'!E66</f>
        <v>16809.996784367242</v>
      </c>
      <c r="J67" s="788">
        <f>'Client Services LASER'!K66</f>
        <v>5324.88</v>
      </c>
      <c r="K67" s="789">
        <f>'Client Services LASER'!I66</f>
        <v>33467.370000000003</v>
      </c>
      <c r="L67" s="787">
        <f>'Benefits Spending LASER'!D67</f>
        <v>8287622.3107825574</v>
      </c>
      <c r="M67" s="788">
        <f>'Benefits Spending LASER'!E67</f>
        <v>6830258.2113280762</v>
      </c>
      <c r="N67" s="788">
        <f>'Benefits Spending LASER'!I67</f>
        <v>527746.55628312496</v>
      </c>
      <c r="O67" s="789">
        <f t="shared" si="16"/>
        <v>15645627.078393759</v>
      </c>
      <c r="P67" s="1428">
        <f t="shared" si="12"/>
        <v>8808830.2441513892</v>
      </c>
      <c r="Q67" s="788">
        <f t="shared" si="13"/>
        <v>7056988.0279592453</v>
      </c>
      <c r="R67" s="788">
        <f t="shared" si="14"/>
        <v>954631.12628312502</v>
      </c>
      <c r="S67" s="789">
        <f t="shared" si="15"/>
        <v>16820449.398393758</v>
      </c>
      <c r="U67" s="624">
        <f t="shared" si="17"/>
        <v>0.44672819805372432</v>
      </c>
      <c r="V67" s="625">
        <f t="shared" si="18"/>
        <v>0.18392159235547323</v>
      </c>
      <c r="W67" s="625">
        <f t="shared" si="19"/>
        <v>0.36935020959080267</v>
      </c>
      <c r="X67" s="626">
        <f t="shared" si="5"/>
        <v>0.63064979040919755</v>
      </c>
      <c r="Z67" s="1437">
        <f t="shared" si="6"/>
        <v>6.7855199523324958E-2</v>
      </c>
      <c r="AA67" s="1354">
        <f t="shared" si="7"/>
        <v>1.9896834625117636E-3</v>
      </c>
      <c r="AB67" s="1439">
        <f t="shared" si="8"/>
        <v>0.93015511701416331</v>
      </c>
      <c r="AD67" s="1437">
        <f t="shared" si="9"/>
        <v>0.44159432726790598</v>
      </c>
      <c r="AE67" s="1354">
        <f t="shared" si="10"/>
        <v>5.5779450862162069E-3</v>
      </c>
      <c r="AF67" s="1439">
        <f t="shared" si="11"/>
        <v>0.55282772764587773</v>
      </c>
    </row>
    <row r="68" spans="1:32" x14ac:dyDescent="0.25">
      <c r="A68" s="737" t="s">
        <v>162</v>
      </c>
      <c r="B68" s="589" t="s">
        <v>163</v>
      </c>
      <c r="C68" s="738" t="s">
        <v>264</v>
      </c>
      <c r="D68" s="787">
        <f>'Administration LASER'!D67+'Other Oper Exp. LASER'!D67</f>
        <v>1178922.6852069106</v>
      </c>
      <c r="E68" s="788">
        <f>'Administration LASER'!E67+'Other Oper Exp. LASER'!E67</f>
        <v>556469.04479308927</v>
      </c>
      <c r="F68" s="788">
        <f>'Administration LASER'!K67+'Other Oper Exp. LASER'!K67</f>
        <v>615825.6399999999</v>
      </c>
      <c r="G68" s="789">
        <f>'Administration LASER'!I67+'Other Oper Exp. LASER'!I67</f>
        <v>2351217.37</v>
      </c>
      <c r="H68" s="787">
        <f>'Client Services LASER'!D67</f>
        <v>51850.470532496074</v>
      </c>
      <c r="I68" s="788">
        <f>'Client Services LASER'!E67</f>
        <v>20602.389467503923</v>
      </c>
      <c r="J68" s="788">
        <f>'Client Services LASER'!K67</f>
        <v>14564.99</v>
      </c>
      <c r="K68" s="789">
        <f>'Client Services LASER'!I67</f>
        <v>87017.85</v>
      </c>
      <c r="L68" s="787">
        <f>'Benefits Spending LASER'!D68</f>
        <v>19328130.054065794</v>
      </c>
      <c r="M68" s="788">
        <f>'Benefits Spending LASER'!E68</f>
        <v>15393856.841356866</v>
      </c>
      <c r="N68" s="788">
        <f>'Benefits Spending LASER'!I68</f>
        <v>136709.14534374999</v>
      </c>
      <c r="O68" s="789">
        <f t="shared" si="16"/>
        <v>34858696.040766411</v>
      </c>
      <c r="P68" s="1428">
        <f t="shared" si="12"/>
        <v>20558903.209805202</v>
      </c>
      <c r="Q68" s="788">
        <f t="shared" si="13"/>
        <v>15970928.27561746</v>
      </c>
      <c r="R68" s="788">
        <f t="shared" si="14"/>
        <v>767099.77534374991</v>
      </c>
      <c r="S68" s="789">
        <f t="shared" si="15"/>
        <v>37296931.260766409</v>
      </c>
      <c r="U68" s="624">
        <f t="shared" si="17"/>
        <v>0.50140948269998131</v>
      </c>
      <c r="V68" s="625">
        <f t="shared" si="18"/>
        <v>0.23667273468343306</v>
      </c>
      <c r="W68" s="625">
        <f t="shared" si="19"/>
        <v>0.26191778261658549</v>
      </c>
      <c r="X68" s="626">
        <f t="shared" si="5"/>
        <v>0.7380822173834144</v>
      </c>
      <c r="Z68" s="1437">
        <f t="shared" si="6"/>
        <v>6.3040504688204879E-2</v>
      </c>
      <c r="AA68" s="1354">
        <f t="shared" si="7"/>
        <v>2.3331101798054975E-3</v>
      </c>
      <c r="AB68" s="1439">
        <f t="shared" si="8"/>
        <v>0.9346263851319897</v>
      </c>
      <c r="AD68" s="1437">
        <f t="shared" si="9"/>
        <v>0.80279731502207574</v>
      </c>
      <c r="AE68" s="1354">
        <f t="shared" si="10"/>
        <v>1.8987086775606458E-2</v>
      </c>
      <c r="AF68" s="1439">
        <f t="shared" si="11"/>
        <v>0.1782155982023178</v>
      </c>
    </row>
    <row r="69" spans="1:32" x14ac:dyDescent="0.25">
      <c r="A69" s="737" t="s">
        <v>164</v>
      </c>
      <c r="B69" s="589" t="s">
        <v>165</v>
      </c>
      <c r="C69" s="738" t="s">
        <v>266</v>
      </c>
      <c r="D69" s="787">
        <f>'Administration LASER'!D68+'Other Oper Exp. LASER'!D68</f>
        <v>539041.68642849568</v>
      </c>
      <c r="E69" s="788">
        <f>'Administration LASER'!E68+'Other Oper Exp. LASER'!E68</f>
        <v>210683.54357150424</v>
      </c>
      <c r="F69" s="788">
        <f>'Administration LASER'!K68+'Other Oper Exp. LASER'!K68</f>
        <v>401314.51</v>
      </c>
      <c r="G69" s="789">
        <f>'Administration LASER'!I68+'Other Oper Exp. LASER'!I68</f>
        <v>1151039.7399999998</v>
      </c>
      <c r="H69" s="787">
        <f>'Client Services LASER'!D68</f>
        <v>26775.463692894151</v>
      </c>
      <c r="I69" s="788">
        <f>'Client Services LASER'!E68</f>
        <v>7638.2463071058473</v>
      </c>
      <c r="J69" s="788">
        <f>'Client Services LASER'!K68</f>
        <v>6770.51</v>
      </c>
      <c r="K69" s="789">
        <f>'Client Services LASER'!I68</f>
        <v>41184.22</v>
      </c>
      <c r="L69" s="787">
        <f>'Benefits Spending LASER'!D69</f>
        <v>9387635.1973136216</v>
      </c>
      <c r="M69" s="788">
        <f>'Benefits Spending LASER'!E69</f>
        <v>6943386.0435628006</v>
      </c>
      <c r="N69" s="788">
        <f>'Benefits Spending LASER'!I69</f>
        <v>192727.18794500001</v>
      </c>
      <c r="O69" s="789">
        <f t="shared" ref="O69:O100" si="20">SUM(L69:N69)</f>
        <v>16523748.428821422</v>
      </c>
      <c r="P69" s="1428">
        <f t="shared" si="12"/>
        <v>9953452.3474350125</v>
      </c>
      <c r="Q69" s="788">
        <f t="shared" si="13"/>
        <v>7161707.8334414111</v>
      </c>
      <c r="R69" s="788">
        <f t="shared" si="14"/>
        <v>600812.20794500003</v>
      </c>
      <c r="S69" s="789">
        <f t="shared" si="15"/>
        <v>17715972.388821423</v>
      </c>
      <c r="U69" s="624">
        <f t="shared" ref="U69:U100" si="21">D69/G69</f>
        <v>0.46830849335271063</v>
      </c>
      <c r="V69" s="625">
        <f t="shared" ref="V69:V100" si="22">E69/G69</f>
        <v>0.18303759309952608</v>
      </c>
      <c r="W69" s="625">
        <f t="shared" ref="W69:W100" si="23">F69/G69</f>
        <v>0.34865391354776343</v>
      </c>
      <c r="X69" s="626">
        <f t="shared" si="5"/>
        <v>0.65134608645223679</v>
      </c>
      <c r="Z69" s="1437">
        <f t="shared" si="6"/>
        <v>6.4971863510370598E-2</v>
      </c>
      <c r="AA69" s="1354">
        <f t="shared" si="7"/>
        <v>2.3246942982360244E-3</v>
      </c>
      <c r="AB69" s="1439">
        <f t="shared" si="8"/>
        <v>0.93270344219139334</v>
      </c>
      <c r="AD69" s="1437">
        <f t="shared" si="9"/>
        <v>0.66795332167541011</v>
      </c>
      <c r="AE69" s="1354">
        <f t="shared" si="10"/>
        <v>1.1268928810813697E-2</v>
      </c>
      <c r="AF69" s="1439">
        <f t="shared" si="11"/>
        <v>0.32077774951377613</v>
      </c>
    </row>
    <row r="70" spans="1:32" x14ac:dyDescent="0.25">
      <c r="A70" s="737" t="s">
        <v>168</v>
      </c>
      <c r="B70" s="589" t="s">
        <v>169</v>
      </c>
      <c r="C70" s="738" t="s">
        <v>266</v>
      </c>
      <c r="D70" s="787">
        <f>'Administration LASER'!D69+'Other Oper Exp. LASER'!D69</f>
        <v>662040.03116664628</v>
      </c>
      <c r="E70" s="788">
        <f>'Administration LASER'!E69+'Other Oper Exp. LASER'!E69</f>
        <v>327781.11883335374</v>
      </c>
      <c r="F70" s="788">
        <f>'Administration LASER'!K69+'Other Oper Exp. LASER'!K69</f>
        <v>293498.48</v>
      </c>
      <c r="G70" s="789">
        <f>'Administration LASER'!I69+'Other Oper Exp. LASER'!I69</f>
        <v>1283319.6299999997</v>
      </c>
      <c r="H70" s="787">
        <f>'Client Services LASER'!D69</f>
        <v>41077.092134428967</v>
      </c>
      <c r="I70" s="788">
        <f>'Client Services LASER'!E69</f>
        <v>63891.617865571039</v>
      </c>
      <c r="J70" s="788">
        <f>'Client Services LASER'!K69</f>
        <v>20529.21</v>
      </c>
      <c r="K70" s="789">
        <f>'Client Services LASER'!I69</f>
        <v>125497.92</v>
      </c>
      <c r="L70" s="787">
        <f>'Benefits Spending LASER'!D70</f>
        <v>17722878.092836976</v>
      </c>
      <c r="M70" s="788">
        <f>'Benefits Spending LASER'!E70</f>
        <v>12907216.119662188</v>
      </c>
      <c r="N70" s="788">
        <f>'Benefits Spending LASER'!I70</f>
        <v>225317.70327999999</v>
      </c>
      <c r="O70" s="789">
        <f t="shared" si="20"/>
        <v>30855411.915779162</v>
      </c>
      <c r="P70" s="1428">
        <f t="shared" si="12"/>
        <v>18425995.21613805</v>
      </c>
      <c r="Q70" s="788">
        <f t="shared" si="13"/>
        <v>13298888.856361113</v>
      </c>
      <c r="R70" s="788">
        <f t="shared" si="14"/>
        <v>539345.39327999996</v>
      </c>
      <c r="S70" s="789">
        <f t="shared" si="15"/>
        <v>32264229.465779163</v>
      </c>
      <c r="U70" s="624">
        <f t="shared" si="21"/>
        <v>0.51588085749662105</v>
      </c>
      <c r="V70" s="625">
        <f t="shared" si="22"/>
        <v>0.25541658614958912</v>
      </c>
      <c r="W70" s="625">
        <f t="shared" si="23"/>
        <v>0.22870255635379011</v>
      </c>
      <c r="X70" s="626">
        <f t="shared" ref="X70:X125" si="24">(D70+E70)/G70</f>
        <v>0.77129744364621022</v>
      </c>
      <c r="Z70" s="1437">
        <f t="shared" ref="Z70:Z125" si="25">G70/S70</f>
        <v>3.9775306934298364E-2</v>
      </c>
      <c r="AA70" s="1354">
        <f t="shared" ref="AA70:AA125" si="26">K70/S70</f>
        <v>3.8896921475564299E-3</v>
      </c>
      <c r="AB70" s="1439">
        <f t="shared" ref="AB70:AB125" si="27">O70/S70</f>
        <v>0.95633500091814516</v>
      </c>
      <c r="AD70" s="1437">
        <f t="shared" ref="AD70:AD125" si="28">F70/R70</f>
        <v>0.54417537195433296</v>
      </c>
      <c r="AE70" s="1354">
        <f t="shared" ref="AE70:AE125" si="29">J70/R70</f>
        <v>3.8063197082583232E-2</v>
      </c>
      <c r="AF70" s="1439">
        <f t="shared" ref="AF70:AF125" si="30">N70/R70</f>
        <v>0.41776143096308382</v>
      </c>
    </row>
    <row r="71" spans="1:32" x14ac:dyDescent="0.25">
      <c r="A71" s="737" t="s">
        <v>170</v>
      </c>
      <c r="B71" s="589" t="s">
        <v>171</v>
      </c>
      <c r="C71" s="738" t="s">
        <v>267</v>
      </c>
      <c r="D71" s="787">
        <f>'Administration LASER'!D70+'Other Oper Exp. LASER'!D70</f>
        <v>989468.60459762416</v>
      </c>
      <c r="E71" s="788">
        <f>'Administration LASER'!E70+'Other Oper Exp. LASER'!E70</f>
        <v>362698.67540237581</v>
      </c>
      <c r="F71" s="788">
        <f>'Administration LASER'!K70+'Other Oper Exp. LASER'!K70</f>
        <v>795445.35000000009</v>
      </c>
      <c r="G71" s="789">
        <f>'Administration LASER'!I70+'Other Oper Exp. LASER'!I70</f>
        <v>2147612.63</v>
      </c>
      <c r="H71" s="787">
        <f>'Client Services LASER'!D70</f>
        <v>42087.855720063366</v>
      </c>
      <c r="I71" s="788">
        <f>'Client Services LASER'!E70</f>
        <v>24752.104279936633</v>
      </c>
      <c r="J71" s="788">
        <f>'Client Services LASER'!K70</f>
        <v>15715.349999999999</v>
      </c>
      <c r="K71" s="789">
        <f>'Client Services LASER'!I70</f>
        <v>82555.309999999983</v>
      </c>
      <c r="L71" s="787">
        <f>'Benefits Spending LASER'!D71</f>
        <v>21814742.686261188</v>
      </c>
      <c r="M71" s="788">
        <f>'Benefits Spending LASER'!E71</f>
        <v>17757160.276081707</v>
      </c>
      <c r="N71" s="788">
        <f>'Benefits Spending LASER'!I71</f>
        <v>1000564.144944875</v>
      </c>
      <c r="O71" s="789">
        <f t="shared" si="20"/>
        <v>40572467.107287772</v>
      </c>
      <c r="P71" s="1428">
        <f t="shared" ref="P71:P125" si="31">D71+H71+L71</f>
        <v>22846299.146578874</v>
      </c>
      <c r="Q71" s="788">
        <f t="shared" ref="Q71:Q125" si="32">E71+I71+M71</f>
        <v>18144611.055764019</v>
      </c>
      <c r="R71" s="788">
        <f t="shared" ref="R71:R125" si="33">F71+J71+N71</f>
        <v>1811724.8449448752</v>
      </c>
      <c r="S71" s="789">
        <f t="shared" ref="S71:S125" si="34">G71+K71+O71</f>
        <v>42802635.04728777</v>
      </c>
      <c r="U71" s="624">
        <f t="shared" si="21"/>
        <v>0.46072955186412001</v>
      </c>
      <c r="V71" s="625">
        <f t="shared" si="22"/>
        <v>0.16888458855933242</v>
      </c>
      <c r="W71" s="625">
        <f t="shared" si="23"/>
        <v>0.37038585957654763</v>
      </c>
      <c r="X71" s="626">
        <f t="shared" si="24"/>
        <v>0.62961414042345243</v>
      </c>
      <c r="Z71" s="1437">
        <f t="shared" si="25"/>
        <v>5.0174776100287907E-2</v>
      </c>
      <c r="AA71" s="1354">
        <f t="shared" si="26"/>
        <v>1.9287436371334147E-3</v>
      </c>
      <c r="AB71" s="1439">
        <f t="shared" si="27"/>
        <v>0.94789648026257878</v>
      </c>
      <c r="AD71" s="1437">
        <f t="shared" si="28"/>
        <v>0.43905417106768374</v>
      </c>
      <c r="AE71" s="1354">
        <f t="shared" si="29"/>
        <v>8.674247661751398E-3</v>
      </c>
      <c r="AF71" s="1439">
        <f t="shared" si="30"/>
        <v>0.55227158127056475</v>
      </c>
    </row>
    <row r="72" spans="1:32" x14ac:dyDescent="0.25">
      <c r="A72" s="737" t="s">
        <v>172</v>
      </c>
      <c r="B72" s="589" t="s">
        <v>173</v>
      </c>
      <c r="C72" s="738" t="s">
        <v>267</v>
      </c>
      <c r="D72" s="787">
        <f>'Administration LASER'!D71+'Other Oper Exp. LASER'!D71</f>
        <v>800563.73456094239</v>
      </c>
      <c r="E72" s="788">
        <f>'Administration LASER'!E71+'Other Oper Exp. LASER'!E71</f>
        <v>376762.85543905752</v>
      </c>
      <c r="F72" s="788">
        <f>'Administration LASER'!K71+'Other Oper Exp. LASER'!K71</f>
        <v>434913.62</v>
      </c>
      <c r="G72" s="789">
        <f>'Administration LASER'!I71+'Other Oper Exp. LASER'!I71</f>
        <v>1612240.21</v>
      </c>
      <c r="H72" s="787">
        <f>'Client Services LASER'!D71</f>
        <v>29815.097702251584</v>
      </c>
      <c r="I72" s="788">
        <f>'Client Services LASER'!E71</f>
        <v>8562.9222977484169</v>
      </c>
      <c r="J72" s="788">
        <f>'Client Services LASER'!K71</f>
        <v>10572.29</v>
      </c>
      <c r="K72" s="789">
        <f>'Client Services LASER'!I71</f>
        <v>48950.310000000005</v>
      </c>
      <c r="L72" s="787">
        <f>'Benefits Spending LASER'!D72</f>
        <v>19558230.019678939</v>
      </c>
      <c r="M72" s="788">
        <f>'Benefits Spending LASER'!E72</f>
        <v>14715578.877840701</v>
      </c>
      <c r="N72" s="788">
        <f>'Benefits Spending LASER'!I72</f>
        <v>406276.80241250002</v>
      </c>
      <c r="O72" s="789">
        <f t="shared" si="20"/>
        <v>34680085.699932143</v>
      </c>
      <c r="P72" s="1428">
        <f t="shared" si="31"/>
        <v>20388608.851942133</v>
      </c>
      <c r="Q72" s="788">
        <f t="shared" si="32"/>
        <v>15100904.655577507</v>
      </c>
      <c r="R72" s="788">
        <f t="shared" si="33"/>
        <v>851762.71241250006</v>
      </c>
      <c r="S72" s="789">
        <f t="shared" si="34"/>
        <v>36341276.219932146</v>
      </c>
      <c r="U72" s="624">
        <f t="shared" si="21"/>
        <v>0.49655363363065014</v>
      </c>
      <c r="V72" s="625">
        <f t="shared" si="22"/>
        <v>0.23368903287622228</v>
      </c>
      <c r="W72" s="625">
        <f t="shared" si="23"/>
        <v>0.26975733349312758</v>
      </c>
      <c r="X72" s="626">
        <f t="shared" si="24"/>
        <v>0.73024266650687242</v>
      </c>
      <c r="Z72" s="1437">
        <f t="shared" si="25"/>
        <v>4.4363885303393184E-2</v>
      </c>
      <c r="AA72" s="1354">
        <f t="shared" si="26"/>
        <v>1.3469617771197635E-3</v>
      </c>
      <c r="AB72" s="1439">
        <f t="shared" si="27"/>
        <v>0.95428915291948702</v>
      </c>
      <c r="AD72" s="1437">
        <f t="shared" si="28"/>
        <v>0.51060420192399281</v>
      </c>
      <c r="AE72" s="1354">
        <f t="shared" si="29"/>
        <v>1.241224797227323E-2</v>
      </c>
      <c r="AF72" s="1439">
        <f t="shared" si="30"/>
        <v>0.47698355010373389</v>
      </c>
    </row>
    <row r="73" spans="1:32" x14ac:dyDescent="0.25">
      <c r="A73" s="737" t="s">
        <v>174</v>
      </c>
      <c r="B73" s="589" t="s">
        <v>175</v>
      </c>
      <c r="C73" s="738" t="s">
        <v>268</v>
      </c>
      <c r="D73" s="787">
        <f>'Administration LASER'!D72+'Other Oper Exp. LASER'!D72</f>
        <v>666693.38382920763</v>
      </c>
      <c r="E73" s="788">
        <f>'Administration LASER'!E72+'Other Oper Exp. LASER'!E72</f>
        <v>329356.77617079235</v>
      </c>
      <c r="F73" s="788">
        <f>'Administration LASER'!K72+'Other Oper Exp. LASER'!K72</f>
        <v>317782.01</v>
      </c>
      <c r="G73" s="789">
        <f>'Administration LASER'!I72+'Other Oper Exp. LASER'!I72</f>
        <v>1313832.1700000002</v>
      </c>
      <c r="H73" s="787">
        <f>'Client Services LASER'!D72</f>
        <v>36834.56026174115</v>
      </c>
      <c r="I73" s="788">
        <f>'Client Services LASER'!E72</f>
        <v>24272.219738258853</v>
      </c>
      <c r="J73" s="788">
        <f>'Client Services LASER'!K72</f>
        <v>12088.86</v>
      </c>
      <c r="K73" s="789">
        <f>'Client Services LASER'!I72</f>
        <v>73195.64</v>
      </c>
      <c r="L73" s="787">
        <f>'Benefits Spending LASER'!D73</f>
        <v>17950494.379054282</v>
      </c>
      <c r="M73" s="788">
        <f>'Benefits Spending LASER'!E73</f>
        <v>13427256.415408181</v>
      </c>
      <c r="N73" s="788">
        <f>'Benefits Spending LASER'!I73</f>
        <v>146054.61872500001</v>
      </c>
      <c r="O73" s="789">
        <f t="shared" si="20"/>
        <v>31523805.413187467</v>
      </c>
      <c r="P73" s="1428">
        <f t="shared" si="31"/>
        <v>18654022.323145229</v>
      </c>
      <c r="Q73" s="788">
        <f t="shared" si="32"/>
        <v>13780885.411317233</v>
      </c>
      <c r="R73" s="788">
        <f t="shared" si="33"/>
        <v>475925.488725</v>
      </c>
      <c r="S73" s="789">
        <f t="shared" si="34"/>
        <v>32910833.223187465</v>
      </c>
      <c r="U73" s="624">
        <f t="shared" si="21"/>
        <v>0.50744181719131409</v>
      </c>
      <c r="V73" s="625">
        <f t="shared" si="22"/>
        <v>0.25068405515659758</v>
      </c>
      <c r="W73" s="625">
        <f t="shared" si="23"/>
        <v>0.24187412765208816</v>
      </c>
      <c r="X73" s="626">
        <f t="shared" si="24"/>
        <v>0.75812587234791173</v>
      </c>
      <c r="Z73" s="1437">
        <f t="shared" si="25"/>
        <v>3.9920963443561018E-2</v>
      </c>
      <c r="AA73" s="1354">
        <f t="shared" si="26"/>
        <v>2.2240591571662093E-3</v>
      </c>
      <c r="AB73" s="1439">
        <f t="shared" si="27"/>
        <v>0.95785497739927283</v>
      </c>
      <c r="AD73" s="1437">
        <f t="shared" si="28"/>
        <v>0.66771378614609422</v>
      </c>
      <c r="AE73" s="1354">
        <f t="shared" si="29"/>
        <v>2.5400740843668501E-2</v>
      </c>
      <c r="AF73" s="1439">
        <f t="shared" si="30"/>
        <v>0.30688547301023733</v>
      </c>
    </row>
    <row r="74" spans="1:32" x14ac:dyDescent="0.25">
      <c r="A74" s="737" t="s">
        <v>178</v>
      </c>
      <c r="B74" s="589" t="s">
        <v>179</v>
      </c>
      <c r="C74" s="738" t="s">
        <v>265</v>
      </c>
      <c r="D74" s="787">
        <f>'Administration LASER'!D73+'Other Oper Exp. LASER'!D73</f>
        <v>2045228.0875759171</v>
      </c>
      <c r="E74" s="788">
        <f>'Administration LASER'!E73+'Other Oper Exp. LASER'!E73</f>
        <v>986464.74242408283</v>
      </c>
      <c r="F74" s="788">
        <f>'Administration LASER'!K73+'Other Oper Exp. LASER'!K73</f>
        <v>1072297.75</v>
      </c>
      <c r="G74" s="789">
        <f>'Administration LASER'!I73+'Other Oper Exp. LASER'!I73</f>
        <v>4103990.58</v>
      </c>
      <c r="H74" s="787">
        <f>'Client Services LASER'!D73</f>
        <v>85544.190401397267</v>
      </c>
      <c r="I74" s="788">
        <f>'Client Services LASER'!E73</f>
        <v>29501.869598602712</v>
      </c>
      <c r="J74" s="788">
        <f>'Client Services LASER'!K73</f>
        <v>23110.210000000003</v>
      </c>
      <c r="K74" s="789">
        <f>'Client Services LASER'!I73</f>
        <v>138156.26999999999</v>
      </c>
      <c r="L74" s="787">
        <f>'Benefits Spending LASER'!D74</f>
        <v>60446572.401595347</v>
      </c>
      <c r="M74" s="788">
        <f>'Benefits Spending LASER'!E74</f>
        <v>49313712.054994985</v>
      </c>
      <c r="N74" s="788">
        <f>'Benefits Spending LASER'!I74</f>
        <v>1200641.2096606251</v>
      </c>
      <c r="O74" s="789">
        <f t="shared" si="20"/>
        <v>110960925.66625094</v>
      </c>
      <c r="P74" s="1428">
        <f t="shared" si="31"/>
        <v>62577344.679572664</v>
      </c>
      <c r="Q74" s="788">
        <f t="shared" si="32"/>
        <v>50329678.667017668</v>
      </c>
      <c r="R74" s="788">
        <f t="shared" si="33"/>
        <v>2296049.169660625</v>
      </c>
      <c r="S74" s="789">
        <f t="shared" si="34"/>
        <v>115203072.51625094</v>
      </c>
      <c r="U74" s="624">
        <f t="shared" si="21"/>
        <v>0.49835106774926297</v>
      </c>
      <c r="V74" s="625">
        <f t="shared" si="22"/>
        <v>0.24036720435749218</v>
      </c>
      <c r="W74" s="625">
        <f t="shared" si="23"/>
        <v>0.26128172789324483</v>
      </c>
      <c r="X74" s="626">
        <f t="shared" si="24"/>
        <v>0.73871827210675522</v>
      </c>
      <c r="Z74" s="1437">
        <f t="shared" si="25"/>
        <v>3.5623968097040791E-2</v>
      </c>
      <c r="AA74" s="1354">
        <f t="shared" si="26"/>
        <v>1.1992411919440013E-3</v>
      </c>
      <c r="AB74" s="1439">
        <f t="shared" si="27"/>
        <v>0.96317679071101525</v>
      </c>
      <c r="AD74" s="1437">
        <f t="shared" si="28"/>
        <v>0.46701863538858551</v>
      </c>
      <c r="AE74" s="1354">
        <f t="shared" si="29"/>
        <v>1.0065206923863866E-2</v>
      </c>
      <c r="AF74" s="1439">
        <f t="shared" si="30"/>
        <v>0.52291615768755062</v>
      </c>
    </row>
    <row r="75" spans="1:32" x14ac:dyDescent="0.25">
      <c r="A75" s="737" t="s">
        <v>182</v>
      </c>
      <c r="B75" s="589" t="s">
        <v>183</v>
      </c>
      <c r="C75" s="738" t="s">
        <v>266</v>
      </c>
      <c r="D75" s="787">
        <f>'Administration LASER'!D74+'Other Oper Exp. LASER'!D74</f>
        <v>583748.43559014029</v>
      </c>
      <c r="E75" s="788">
        <f>'Administration LASER'!E74+'Other Oper Exp. LASER'!E74</f>
        <v>179055.75440985974</v>
      </c>
      <c r="F75" s="788">
        <f>'Administration LASER'!K74+'Other Oper Exp. LASER'!K74</f>
        <v>630857.06999999995</v>
      </c>
      <c r="G75" s="789">
        <f>'Administration LASER'!I74+'Other Oper Exp. LASER'!I74</f>
        <v>1393661.2599999998</v>
      </c>
      <c r="H75" s="787">
        <f>'Client Services LASER'!D74</f>
        <v>24520.831893671148</v>
      </c>
      <c r="I75" s="788">
        <f>'Client Services LASER'!E74</f>
        <v>14710.438106328853</v>
      </c>
      <c r="J75" s="788">
        <f>'Client Services LASER'!K74</f>
        <v>7382.59</v>
      </c>
      <c r="K75" s="789">
        <f>'Client Services LASER'!I74</f>
        <v>46613.860000000008</v>
      </c>
      <c r="L75" s="787">
        <f>'Benefits Spending LASER'!D75</f>
        <v>9610082.6972102765</v>
      </c>
      <c r="M75" s="788">
        <f>'Benefits Spending LASER'!E75</f>
        <v>8429393.426654974</v>
      </c>
      <c r="N75" s="788">
        <f>'Benefits Spending LASER'!I75</f>
        <v>1076488.5544705</v>
      </c>
      <c r="O75" s="789">
        <f t="shared" si="20"/>
        <v>19115964.678335749</v>
      </c>
      <c r="P75" s="1428">
        <f t="shared" si="31"/>
        <v>10218351.964694088</v>
      </c>
      <c r="Q75" s="788">
        <f t="shared" si="32"/>
        <v>8623159.6191711631</v>
      </c>
      <c r="R75" s="788">
        <f t="shared" si="33"/>
        <v>1714728.2144704999</v>
      </c>
      <c r="S75" s="789">
        <f t="shared" si="34"/>
        <v>20556239.79833575</v>
      </c>
      <c r="U75" s="624">
        <f t="shared" si="21"/>
        <v>0.41885962704462371</v>
      </c>
      <c r="V75" s="625">
        <f t="shared" si="22"/>
        <v>0.12847867666914969</v>
      </c>
      <c r="W75" s="625">
        <f t="shared" si="23"/>
        <v>0.45266169628622671</v>
      </c>
      <c r="X75" s="626">
        <f t="shared" si="24"/>
        <v>0.54733830371377346</v>
      </c>
      <c r="Z75" s="1437">
        <f t="shared" si="25"/>
        <v>6.7797480165260174E-2</v>
      </c>
      <c r="AA75" s="1354">
        <f t="shared" si="26"/>
        <v>2.2676258137334002E-3</v>
      </c>
      <c r="AB75" s="1439">
        <f t="shared" si="27"/>
        <v>0.92993489402100638</v>
      </c>
      <c r="AD75" s="1437">
        <f t="shared" si="28"/>
        <v>0.36790499198428694</v>
      </c>
      <c r="AE75" s="1354">
        <f t="shared" si="29"/>
        <v>4.3053995016228913E-3</v>
      </c>
      <c r="AF75" s="1439">
        <f t="shared" si="30"/>
        <v>0.62778960851409016</v>
      </c>
    </row>
    <row r="76" spans="1:32" x14ac:dyDescent="0.25">
      <c r="A76" s="737" t="s">
        <v>184</v>
      </c>
      <c r="B76" s="589" t="s">
        <v>185</v>
      </c>
      <c r="C76" s="738" t="s">
        <v>266</v>
      </c>
      <c r="D76" s="787">
        <f>'Administration LASER'!D75+'Other Oper Exp. LASER'!D75</f>
        <v>1057998.7926127778</v>
      </c>
      <c r="E76" s="788">
        <f>'Administration LASER'!E75+'Other Oper Exp. LASER'!E75</f>
        <v>452126.34738722211</v>
      </c>
      <c r="F76" s="788">
        <f>'Administration LASER'!K75+'Other Oper Exp. LASER'!K75</f>
        <v>687367.92999999993</v>
      </c>
      <c r="G76" s="789">
        <f>'Administration LASER'!I75+'Other Oper Exp. LASER'!I75</f>
        <v>2197493.0699999998</v>
      </c>
      <c r="H76" s="787">
        <f>'Client Services LASER'!D75</f>
        <v>34871.133825040022</v>
      </c>
      <c r="I76" s="788">
        <f>'Client Services LASER'!E75</f>
        <v>91756.556174959987</v>
      </c>
      <c r="J76" s="788">
        <f>'Client Services LASER'!K75</f>
        <v>23489.969999999998</v>
      </c>
      <c r="K76" s="789">
        <f>'Client Services LASER'!I75</f>
        <v>150117.66</v>
      </c>
      <c r="L76" s="787">
        <f>'Benefits Spending LASER'!D76</f>
        <v>21420511.325787932</v>
      </c>
      <c r="M76" s="788">
        <f>'Benefits Spending LASER'!E76</f>
        <v>17210989.074153401</v>
      </c>
      <c r="N76" s="788">
        <f>'Benefits Spending LASER'!I76</f>
        <v>295474.19221549999</v>
      </c>
      <c r="O76" s="789">
        <f t="shared" si="20"/>
        <v>38926974.592156835</v>
      </c>
      <c r="P76" s="1428">
        <f t="shared" si="31"/>
        <v>22513381.252225749</v>
      </c>
      <c r="Q76" s="788">
        <f t="shared" si="32"/>
        <v>17754871.977715582</v>
      </c>
      <c r="R76" s="788">
        <f t="shared" si="33"/>
        <v>1006332.0922154998</v>
      </c>
      <c r="S76" s="789">
        <f t="shared" si="34"/>
        <v>41274585.322156832</v>
      </c>
      <c r="U76" s="624">
        <f t="shared" si="21"/>
        <v>0.48145716910623881</v>
      </c>
      <c r="V76" s="625">
        <f t="shared" si="22"/>
        <v>0.20574642694423703</v>
      </c>
      <c r="W76" s="625">
        <f t="shared" si="23"/>
        <v>0.31279640394952418</v>
      </c>
      <c r="X76" s="626">
        <f t="shared" si="24"/>
        <v>0.68720359605047587</v>
      </c>
      <c r="Z76" s="1437">
        <f t="shared" si="25"/>
        <v>5.3240827323838717E-2</v>
      </c>
      <c r="AA76" s="1354">
        <f t="shared" si="26"/>
        <v>3.6370482908138278E-3</v>
      </c>
      <c r="AB76" s="1439">
        <f t="shared" si="27"/>
        <v>0.94312212438534748</v>
      </c>
      <c r="AD76" s="1437">
        <f t="shared" si="28"/>
        <v>0.68304283975155622</v>
      </c>
      <c r="AE76" s="1354">
        <f t="shared" si="29"/>
        <v>2.3342165257082714E-2</v>
      </c>
      <c r="AF76" s="1439">
        <f t="shared" si="30"/>
        <v>0.29361499499136118</v>
      </c>
    </row>
    <row r="77" spans="1:32" x14ac:dyDescent="0.25">
      <c r="A77" s="737" t="s">
        <v>186</v>
      </c>
      <c r="B77" s="589" t="s">
        <v>187</v>
      </c>
      <c r="C77" s="738" t="s">
        <v>264</v>
      </c>
      <c r="D77" s="787">
        <f>'Administration LASER'!D76+'Other Oper Exp. LASER'!D76</f>
        <v>903712.71748829959</v>
      </c>
      <c r="E77" s="788">
        <f>'Administration LASER'!E76+'Other Oper Exp. LASER'!E76</f>
        <v>324336.57251170045</v>
      </c>
      <c r="F77" s="788">
        <f>'Administration LASER'!K76+'Other Oper Exp. LASER'!K76</f>
        <v>810273.54</v>
      </c>
      <c r="G77" s="789">
        <f>'Administration LASER'!I76+'Other Oper Exp. LASER'!I76</f>
        <v>2038322.83</v>
      </c>
      <c r="H77" s="787">
        <f>'Client Services LASER'!D76</f>
        <v>28592.954590996036</v>
      </c>
      <c r="I77" s="788">
        <f>'Client Services LASER'!E76</f>
        <v>14454.565409003964</v>
      </c>
      <c r="J77" s="788">
        <f>'Client Services LASER'!K76</f>
        <v>8427.0500000000011</v>
      </c>
      <c r="K77" s="789">
        <f>'Client Services LASER'!I76</f>
        <v>51474.570000000007</v>
      </c>
      <c r="L77" s="787">
        <f>'Benefits Spending LASER'!D77</f>
        <v>17255097.512871921</v>
      </c>
      <c r="M77" s="788">
        <f>'Benefits Spending LASER'!E77</f>
        <v>13032265.248760408</v>
      </c>
      <c r="N77" s="788">
        <f>'Benefits Spending LASER'!I77</f>
        <v>575734.91716499999</v>
      </c>
      <c r="O77" s="789">
        <f t="shared" si="20"/>
        <v>30863097.678797331</v>
      </c>
      <c r="P77" s="1428">
        <f t="shared" si="31"/>
        <v>18187403.184951216</v>
      </c>
      <c r="Q77" s="788">
        <f t="shared" si="32"/>
        <v>13371056.386681112</v>
      </c>
      <c r="R77" s="788">
        <f t="shared" si="33"/>
        <v>1394435.5071650001</v>
      </c>
      <c r="S77" s="789">
        <f t="shared" si="34"/>
        <v>32952895.078797329</v>
      </c>
      <c r="U77" s="624">
        <f t="shared" si="21"/>
        <v>0.44336093585739778</v>
      </c>
      <c r="V77" s="625">
        <f t="shared" si="22"/>
        <v>0.15911933465009584</v>
      </c>
      <c r="W77" s="625">
        <f t="shared" si="23"/>
        <v>0.39751972949250636</v>
      </c>
      <c r="X77" s="626">
        <f t="shared" si="24"/>
        <v>0.60248027050749364</v>
      </c>
      <c r="Z77" s="1437">
        <f t="shared" si="25"/>
        <v>6.1855652595195043E-2</v>
      </c>
      <c r="AA77" s="1354">
        <f t="shared" si="26"/>
        <v>1.5620651805224835E-3</v>
      </c>
      <c r="AB77" s="1439">
        <f t="shared" si="27"/>
        <v>0.93658228222428253</v>
      </c>
      <c r="AD77" s="1437">
        <f t="shared" si="28"/>
        <v>0.58107638240462733</v>
      </c>
      <c r="AE77" s="1354">
        <f t="shared" si="29"/>
        <v>6.0433415218555889E-3</v>
      </c>
      <c r="AF77" s="1439">
        <f t="shared" si="30"/>
        <v>0.41288027607351707</v>
      </c>
    </row>
    <row r="78" spans="1:32" x14ac:dyDescent="0.25">
      <c r="A78" s="737" t="s">
        <v>188</v>
      </c>
      <c r="B78" s="589" t="s">
        <v>189</v>
      </c>
      <c r="C78" s="738" t="s">
        <v>267</v>
      </c>
      <c r="D78" s="787">
        <f>'Administration LASER'!D77+'Other Oper Exp. LASER'!D77</f>
        <v>10419728.587995628</v>
      </c>
      <c r="E78" s="788">
        <f>'Administration LASER'!E77+'Other Oper Exp. LASER'!E77</f>
        <v>2904080.2620043708</v>
      </c>
      <c r="F78" s="788">
        <f>'Administration LASER'!K77+'Other Oper Exp. LASER'!K77</f>
        <v>12121082.210000001</v>
      </c>
      <c r="G78" s="789">
        <f>'Administration LASER'!I77+'Other Oper Exp. LASER'!I77</f>
        <v>25444891.060000002</v>
      </c>
      <c r="H78" s="787">
        <f>'Client Services LASER'!D77</f>
        <v>331928.20398247475</v>
      </c>
      <c r="I78" s="788">
        <f>'Client Services LASER'!E77</f>
        <v>140897.56601752524</v>
      </c>
      <c r="J78" s="788">
        <f>'Client Services LASER'!K77</f>
        <v>102315.69</v>
      </c>
      <c r="K78" s="789">
        <f>'Client Services LASER'!I77</f>
        <v>575141.46000000008</v>
      </c>
      <c r="L78" s="787">
        <f>'Benefits Spending LASER'!D78</f>
        <v>203279950.36633623</v>
      </c>
      <c r="M78" s="788">
        <f>'Benefits Spending LASER'!E78</f>
        <v>152454516.30144572</v>
      </c>
      <c r="N78" s="788">
        <f>'Benefits Spending LASER'!I78</f>
        <v>3798376.0171867497</v>
      </c>
      <c r="O78" s="789">
        <f t="shared" si="20"/>
        <v>359532842.68496871</v>
      </c>
      <c r="P78" s="1428">
        <f t="shared" si="31"/>
        <v>214031607.15831432</v>
      </c>
      <c r="Q78" s="788">
        <f t="shared" si="32"/>
        <v>155499494.12946761</v>
      </c>
      <c r="R78" s="788">
        <f t="shared" si="33"/>
        <v>16021773.91718675</v>
      </c>
      <c r="S78" s="789">
        <f t="shared" si="34"/>
        <v>385552875.20496869</v>
      </c>
      <c r="U78" s="624">
        <f t="shared" si="21"/>
        <v>0.40950179599612035</v>
      </c>
      <c r="V78" s="625">
        <f t="shared" si="22"/>
        <v>0.1141321554553502</v>
      </c>
      <c r="W78" s="625">
        <f t="shared" si="23"/>
        <v>0.47636604854852932</v>
      </c>
      <c r="X78" s="626">
        <f t="shared" si="24"/>
        <v>0.52363395145147051</v>
      </c>
      <c r="Z78" s="1437">
        <f t="shared" si="25"/>
        <v>6.5995853477873609E-2</v>
      </c>
      <c r="AA78" s="1354">
        <f t="shared" si="26"/>
        <v>1.4917317363908693E-3</v>
      </c>
      <c r="AB78" s="1439">
        <f t="shared" si="27"/>
        <v>0.93251241478573554</v>
      </c>
      <c r="AD78" s="1437">
        <f t="shared" si="28"/>
        <v>0.75653808826983693</v>
      </c>
      <c r="AE78" s="1354">
        <f t="shared" si="29"/>
        <v>6.38604005579212E-3</v>
      </c>
      <c r="AF78" s="1439">
        <f t="shared" si="30"/>
        <v>0.23707587167437097</v>
      </c>
    </row>
    <row r="79" spans="1:32" x14ac:dyDescent="0.25">
      <c r="A79" s="737" t="s">
        <v>190</v>
      </c>
      <c r="B79" s="589" t="s">
        <v>191</v>
      </c>
      <c r="C79" s="738" t="s">
        <v>268</v>
      </c>
      <c r="D79" s="787">
        <f>'Administration LASER'!D78+'Other Oper Exp. LASER'!D78</f>
        <v>1904991.6390399635</v>
      </c>
      <c r="E79" s="788">
        <f>'Administration LASER'!E78+'Other Oper Exp. LASER'!E78</f>
        <v>920401.17096003657</v>
      </c>
      <c r="F79" s="788">
        <f>'Administration LASER'!K78+'Other Oper Exp. LASER'!K78</f>
        <v>899849.54999999993</v>
      </c>
      <c r="G79" s="789">
        <f>'Administration LASER'!I78+'Other Oper Exp. LASER'!I78</f>
        <v>3725242.3600000003</v>
      </c>
      <c r="H79" s="787">
        <f>'Client Services LASER'!D78</f>
        <v>78958.019879694315</v>
      </c>
      <c r="I79" s="788">
        <f>'Client Services LASER'!E78</f>
        <v>25271.950120305693</v>
      </c>
      <c r="J79" s="788">
        <f>'Client Services LASER'!K78</f>
        <v>19643.629999999997</v>
      </c>
      <c r="K79" s="789">
        <f>'Client Services LASER'!I78</f>
        <v>123873.60000000001</v>
      </c>
      <c r="L79" s="787">
        <f>'Benefits Spending LASER'!D79</f>
        <v>33538794.547485363</v>
      </c>
      <c r="M79" s="788">
        <f>'Benefits Spending LASER'!E79</f>
        <v>27752140.669194046</v>
      </c>
      <c r="N79" s="788">
        <f>'Benefits Spending LASER'!I79</f>
        <v>1311795.5152430502</v>
      </c>
      <c r="O79" s="789">
        <f t="shared" si="20"/>
        <v>62602730.731922463</v>
      </c>
      <c r="P79" s="1428">
        <f t="shared" si="31"/>
        <v>35522744.206405021</v>
      </c>
      <c r="Q79" s="788">
        <f t="shared" si="32"/>
        <v>28697813.790274389</v>
      </c>
      <c r="R79" s="788">
        <f t="shared" si="33"/>
        <v>2231288.6952430503</v>
      </c>
      <c r="S79" s="789">
        <f t="shared" si="34"/>
        <v>66451846.691922463</v>
      </c>
      <c r="U79" s="624">
        <f t="shared" si="21"/>
        <v>0.51137387985676275</v>
      </c>
      <c r="V79" s="625">
        <f t="shared" si="22"/>
        <v>0.24707148744009141</v>
      </c>
      <c r="W79" s="625">
        <f t="shared" si="23"/>
        <v>0.24155463270314576</v>
      </c>
      <c r="X79" s="626">
        <f t="shared" si="24"/>
        <v>0.75844536729685419</v>
      </c>
      <c r="Z79" s="1437">
        <f t="shared" si="25"/>
        <v>5.6059275181178994E-2</v>
      </c>
      <c r="AA79" s="1354">
        <f t="shared" si="26"/>
        <v>1.864110723277423E-3</v>
      </c>
      <c r="AB79" s="1439">
        <f t="shared" si="27"/>
        <v>0.94207661409554355</v>
      </c>
      <c r="AD79" s="1437">
        <f t="shared" si="28"/>
        <v>0.40328692200091165</v>
      </c>
      <c r="AE79" s="1354">
        <f t="shared" si="29"/>
        <v>8.8037151095144376E-3</v>
      </c>
      <c r="AF79" s="1439">
        <f t="shared" si="30"/>
        <v>0.58790936288957385</v>
      </c>
    </row>
    <row r="80" spans="1:32" x14ac:dyDescent="0.25">
      <c r="A80" s="737" t="s">
        <v>194</v>
      </c>
      <c r="B80" s="589" t="s">
        <v>195</v>
      </c>
      <c r="C80" s="738" t="s">
        <v>267</v>
      </c>
      <c r="D80" s="787">
        <f>'Administration LASER'!D79+'Other Oper Exp. LASER'!D79</f>
        <v>410358.4785634274</v>
      </c>
      <c r="E80" s="788">
        <f>'Administration LASER'!E79+'Other Oper Exp. LASER'!E79</f>
        <v>135172.79143657265</v>
      </c>
      <c r="F80" s="788">
        <f>'Administration LASER'!K79+'Other Oper Exp. LASER'!K79</f>
        <v>414101.01</v>
      </c>
      <c r="G80" s="789">
        <f>'Administration LASER'!I79+'Other Oper Exp. LASER'!I79</f>
        <v>959632.28000000014</v>
      </c>
      <c r="H80" s="787">
        <f>'Client Services LASER'!D79</f>
        <v>22513.073330920219</v>
      </c>
      <c r="I80" s="788">
        <f>'Client Services LASER'!E79</f>
        <v>2325.5666690797775</v>
      </c>
      <c r="J80" s="788">
        <f>'Client Services LASER'!K79</f>
        <v>4340.25</v>
      </c>
      <c r="K80" s="789">
        <f>'Client Services LASER'!I79</f>
        <v>29178.889999999996</v>
      </c>
      <c r="L80" s="787">
        <f>'Benefits Spending LASER'!D80</f>
        <v>2922579.0705716247</v>
      </c>
      <c r="M80" s="788">
        <f>'Benefits Spending LASER'!E80</f>
        <v>2733227.0958498693</v>
      </c>
      <c r="N80" s="788">
        <f>'Benefits Spending LASER'!I80</f>
        <v>569457.06282949995</v>
      </c>
      <c r="O80" s="789">
        <f t="shared" si="20"/>
        <v>6225263.2292509936</v>
      </c>
      <c r="P80" s="1428">
        <f t="shared" si="31"/>
        <v>3355450.6224659723</v>
      </c>
      <c r="Q80" s="788">
        <f t="shared" si="32"/>
        <v>2870725.4539555218</v>
      </c>
      <c r="R80" s="788">
        <f t="shared" si="33"/>
        <v>987898.32282949996</v>
      </c>
      <c r="S80" s="789">
        <f t="shared" si="34"/>
        <v>7214074.3992509935</v>
      </c>
      <c r="U80" s="624">
        <f t="shared" si="21"/>
        <v>0.42762054498982394</v>
      </c>
      <c r="V80" s="625">
        <f t="shared" si="22"/>
        <v>0.14085894592517523</v>
      </c>
      <c r="W80" s="625">
        <f t="shared" si="23"/>
        <v>0.43152050908500073</v>
      </c>
      <c r="X80" s="626">
        <f t="shared" si="24"/>
        <v>0.56847949091499916</v>
      </c>
      <c r="Z80" s="1437">
        <f t="shared" si="25"/>
        <v>0.13302223222145237</v>
      </c>
      <c r="AA80" s="1354">
        <f t="shared" si="26"/>
        <v>4.0447170884499771E-3</v>
      </c>
      <c r="AB80" s="1439">
        <f t="shared" si="27"/>
        <v>0.86293305069009774</v>
      </c>
      <c r="AD80" s="1437">
        <f t="shared" si="28"/>
        <v>0.419173714977011</v>
      </c>
      <c r="AE80" s="1354">
        <f t="shared" si="29"/>
        <v>4.3934177229583956E-3</v>
      </c>
      <c r="AF80" s="1439">
        <f t="shared" si="30"/>
        <v>0.57643286730003063</v>
      </c>
    </row>
    <row r="81" spans="1:32" x14ac:dyDescent="0.25">
      <c r="A81" s="737" t="s">
        <v>198</v>
      </c>
      <c r="B81" s="589" t="s">
        <v>199</v>
      </c>
      <c r="C81" s="738" t="s">
        <v>266</v>
      </c>
      <c r="D81" s="787">
        <f>'Administration LASER'!D80+'Other Oper Exp. LASER'!D80</f>
        <v>359268.14761748438</v>
      </c>
      <c r="E81" s="788">
        <f>'Administration LASER'!E80+'Other Oper Exp. LASER'!E80</f>
        <v>167755.94238251564</v>
      </c>
      <c r="F81" s="788">
        <f>'Administration LASER'!K80+'Other Oper Exp. LASER'!K80</f>
        <v>189700.84999999998</v>
      </c>
      <c r="G81" s="789">
        <f>'Administration LASER'!I80+'Other Oper Exp. LASER'!I80</f>
        <v>716724.94000000006</v>
      </c>
      <c r="H81" s="787">
        <f>'Client Services LASER'!D80</f>
        <v>11928.264477319484</v>
      </c>
      <c r="I81" s="788">
        <f>'Client Services LASER'!E80</f>
        <v>7517.3955226805174</v>
      </c>
      <c r="J81" s="788">
        <f>'Client Services LASER'!K80</f>
        <v>3616.5400000000004</v>
      </c>
      <c r="K81" s="789">
        <f>'Client Services LASER'!I80</f>
        <v>23062.200000000004</v>
      </c>
      <c r="L81" s="787">
        <f>'Benefits Spending LASER'!D81</f>
        <v>8277256.6391024021</v>
      </c>
      <c r="M81" s="788">
        <f>'Benefits Spending LASER'!E81</f>
        <v>6098184.4546951978</v>
      </c>
      <c r="N81" s="788">
        <f>'Benefits Spending LASER'!I81</f>
        <v>76087.418166874981</v>
      </c>
      <c r="O81" s="789">
        <f t="shared" si="20"/>
        <v>14451528.511964476</v>
      </c>
      <c r="P81" s="1428">
        <f t="shared" si="31"/>
        <v>8648453.0511972066</v>
      </c>
      <c r="Q81" s="788">
        <f t="shared" si="32"/>
        <v>6273457.7926003942</v>
      </c>
      <c r="R81" s="788">
        <f t="shared" si="33"/>
        <v>269404.80816687498</v>
      </c>
      <c r="S81" s="789">
        <f t="shared" si="34"/>
        <v>15191315.651964476</v>
      </c>
      <c r="U81" s="624">
        <f t="shared" si="21"/>
        <v>0.50126363346234937</v>
      </c>
      <c r="V81" s="625">
        <f t="shared" si="22"/>
        <v>0.23405902741784823</v>
      </c>
      <c r="W81" s="625">
        <f t="shared" si="23"/>
        <v>0.26467733911980229</v>
      </c>
      <c r="X81" s="626">
        <f t="shared" si="24"/>
        <v>0.73532266088019771</v>
      </c>
      <c r="Z81" s="1437">
        <f t="shared" si="25"/>
        <v>4.7179912288065465E-2</v>
      </c>
      <c r="AA81" s="1354">
        <f t="shared" si="26"/>
        <v>1.5181173591780181E-3</v>
      </c>
      <c r="AB81" s="1439">
        <f t="shared" si="27"/>
        <v>0.95130197035275643</v>
      </c>
      <c r="AD81" s="1437">
        <f t="shared" si="28"/>
        <v>0.70414797453241929</v>
      </c>
      <c r="AE81" s="1354">
        <f t="shared" si="29"/>
        <v>1.3424185056711533E-2</v>
      </c>
      <c r="AF81" s="1439">
        <f t="shared" si="30"/>
        <v>0.28242784041086916</v>
      </c>
    </row>
    <row r="82" spans="1:32" x14ac:dyDescent="0.25">
      <c r="A82" s="737" t="s">
        <v>202</v>
      </c>
      <c r="B82" s="589" t="s">
        <v>611</v>
      </c>
      <c r="C82" s="738" t="s">
        <v>265</v>
      </c>
      <c r="D82" s="787">
        <f>'Administration LASER'!D81+'Other Oper Exp. LASER'!D81</f>
        <v>2866028.9138398012</v>
      </c>
      <c r="E82" s="788">
        <f>'Administration LASER'!E81+'Other Oper Exp. LASER'!E81</f>
        <v>1030494.9461601994</v>
      </c>
      <c r="F82" s="788">
        <f>'Administration LASER'!K81+'Other Oper Exp. LASER'!K81</f>
        <v>2970674.17</v>
      </c>
      <c r="G82" s="789">
        <f>'Administration LASER'!I81+'Other Oper Exp. LASER'!I81</f>
        <v>6867198.0300000012</v>
      </c>
      <c r="H82" s="787">
        <f>'Client Services LASER'!D81</f>
        <v>186687.39190225283</v>
      </c>
      <c r="I82" s="788">
        <f>'Client Services LASER'!E81</f>
        <v>167343.27809774716</v>
      </c>
      <c r="J82" s="788">
        <f>'Client Services LASER'!K81</f>
        <v>71985.090000000011</v>
      </c>
      <c r="K82" s="789">
        <f>'Client Services LASER'!I81</f>
        <v>426015.76</v>
      </c>
      <c r="L82" s="787">
        <f>'Benefits Spending LASER'!D82</f>
        <v>62110643.150695443</v>
      </c>
      <c r="M82" s="788">
        <f>'Benefits Spending LASER'!E82</f>
        <v>54275708.946634963</v>
      </c>
      <c r="N82" s="788">
        <f>'Benefits Spending LASER'!I82</f>
        <v>3727051.3454191876</v>
      </c>
      <c r="O82" s="789">
        <f t="shared" si="20"/>
        <v>120113403.44274959</v>
      </c>
      <c r="P82" s="1428">
        <f t="shared" si="31"/>
        <v>65163359.456437498</v>
      </c>
      <c r="Q82" s="788">
        <f t="shared" si="32"/>
        <v>55473547.170892909</v>
      </c>
      <c r="R82" s="788">
        <f t="shared" si="33"/>
        <v>6769710.6054191869</v>
      </c>
      <c r="S82" s="789">
        <f t="shared" si="34"/>
        <v>127406617.2327496</v>
      </c>
      <c r="U82" s="624">
        <f t="shared" si="21"/>
        <v>0.41735055568796531</v>
      </c>
      <c r="V82" s="625">
        <f t="shared" si="22"/>
        <v>0.15006046740728682</v>
      </c>
      <c r="W82" s="625">
        <f t="shared" si="23"/>
        <v>0.43258897690474779</v>
      </c>
      <c r="X82" s="626">
        <f t="shared" si="24"/>
        <v>0.56741102309525204</v>
      </c>
      <c r="Z82" s="1437">
        <f t="shared" si="25"/>
        <v>5.3899853705830933E-2</v>
      </c>
      <c r="AA82" s="1354">
        <f t="shared" si="26"/>
        <v>3.3437490866094007E-3</v>
      </c>
      <c r="AB82" s="1439">
        <f t="shared" si="27"/>
        <v>0.94275639720755966</v>
      </c>
      <c r="AD82" s="1437">
        <f t="shared" si="28"/>
        <v>0.43881848769457893</v>
      </c>
      <c r="AE82" s="1354">
        <f t="shared" si="29"/>
        <v>1.0633407274806635E-2</v>
      </c>
      <c r="AF82" s="1439">
        <f t="shared" si="30"/>
        <v>0.55054810503061458</v>
      </c>
    </row>
    <row r="83" spans="1:32" x14ac:dyDescent="0.25">
      <c r="A83" s="737" t="s">
        <v>204</v>
      </c>
      <c r="B83" s="589" t="s">
        <v>293</v>
      </c>
      <c r="C83" s="738" t="s">
        <v>265</v>
      </c>
      <c r="D83" s="787">
        <f>'Administration LASER'!D82+'Other Oper Exp. LASER'!D82</f>
        <v>889582.69560905755</v>
      </c>
      <c r="E83" s="788">
        <f>'Administration LASER'!E82+'Other Oper Exp. LASER'!E82</f>
        <v>444539.86439094238</v>
      </c>
      <c r="F83" s="788">
        <f>'Administration LASER'!K82+'Other Oper Exp. LASER'!K82</f>
        <v>369299.79</v>
      </c>
      <c r="G83" s="789">
        <f>'Administration LASER'!I82+'Other Oper Exp. LASER'!I82</f>
        <v>1703422.3499999999</v>
      </c>
      <c r="H83" s="787">
        <f>'Client Services LASER'!D82</f>
        <v>16473.817225768795</v>
      </c>
      <c r="I83" s="788">
        <f>'Client Services LASER'!E82</f>
        <v>9753.0627742312008</v>
      </c>
      <c r="J83" s="788">
        <f>'Client Services LASER'!K82</f>
        <v>5117.5700000000006</v>
      </c>
      <c r="K83" s="789">
        <f>'Client Services LASER'!I82</f>
        <v>31344.449999999997</v>
      </c>
      <c r="L83" s="787">
        <f>'Benefits Spending LASER'!D83</f>
        <v>24844764.819168001</v>
      </c>
      <c r="M83" s="788">
        <f>'Benefits Spending LASER'!E83</f>
        <v>21555754.701721061</v>
      </c>
      <c r="N83" s="788">
        <f>'Benefits Spending LASER'!I83</f>
        <v>972001.17639212508</v>
      </c>
      <c r="O83" s="789">
        <f t="shared" si="20"/>
        <v>47372520.697281182</v>
      </c>
      <c r="P83" s="1428">
        <f t="shared" si="31"/>
        <v>25750821.332002826</v>
      </c>
      <c r="Q83" s="788">
        <f t="shared" si="32"/>
        <v>22010047.628886234</v>
      </c>
      <c r="R83" s="788">
        <f t="shared" si="33"/>
        <v>1346418.5363921251</v>
      </c>
      <c r="S83" s="789">
        <f t="shared" si="34"/>
        <v>49107287.497281179</v>
      </c>
      <c r="U83" s="624">
        <f t="shared" si="21"/>
        <v>0.52223260755564094</v>
      </c>
      <c r="V83" s="625">
        <f t="shared" si="22"/>
        <v>0.26096866956744019</v>
      </c>
      <c r="W83" s="625">
        <f t="shared" si="23"/>
        <v>0.21679872287691893</v>
      </c>
      <c r="X83" s="626">
        <f t="shared" si="24"/>
        <v>0.78320127712308119</v>
      </c>
      <c r="Z83" s="1437">
        <f t="shared" si="25"/>
        <v>3.4687771139758225E-2</v>
      </c>
      <c r="AA83" s="1354">
        <f t="shared" si="26"/>
        <v>6.3828510181376601E-4</v>
      </c>
      <c r="AB83" s="1439">
        <f t="shared" si="27"/>
        <v>0.96467394375842808</v>
      </c>
      <c r="AD83" s="1437">
        <f t="shared" si="28"/>
        <v>0.27428305539344322</v>
      </c>
      <c r="AE83" s="1354">
        <f t="shared" si="29"/>
        <v>3.8008760735819087E-3</v>
      </c>
      <c r="AF83" s="1439">
        <f t="shared" si="30"/>
        <v>0.72191606853297485</v>
      </c>
    </row>
    <row r="84" spans="1:32" x14ac:dyDescent="0.25">
      <c r="A84" s="737" t="s">
        <v>206</v>
      </c>
      <c r="B84" s="589" t="s">
        <v>294</v>
      </c>
      <c r="C84" s="738" t="s">
        <v>267</v>
      </c>
      <c r="D84" s="787">
        <f>'Administration LASER'!D83+'Other Oper Exp. LASER'!D83</f>
        <v>3526918.2422504956</v>
      </c>
      <c r="E84" s="788">
        <f>'Administration LASER'!E83+'Other Oper Exp. LASER'!E83</f>
        <v>1190314.0577495042</v>
      </c>
      <c r="F84" s="788">
        <f>'Administration LASER'!K83+'Other Oper Exp. LASER'!K83</f>
        <v>3386405.81</v>
      </c>
      <c r="G84" s="789">
        <f>'Administration LASER'!I83+'Other Oper Exp. LASER'!I83</f>
        <v>8103638.1099999994</v>
      </c>
      <c r="H84" s="787">
        <f>'Client Services LASER'!D83</f>
        <v>165901.43131489554</v>
      </c>
      <c r="I84" s="788">
        <f>'Client Services LASER'!E83</f>
        <v>146492.94868510446</v>
      </c>
      <c r="J84" s="788">
        <f>'Client Services LASER'!K83</f>
        <v>57570.380000000005</v>
      </c>
      <c r="K84" s="789">
        <f>'Client Services LASER'!I83</f>
        <v>369964.76</v>
      </c>
      <c r="L84" s="787">
        <f>'Benefits Spending LASER'!D84</f>
        <v>70336228.471130386</v>
      </c>
      <c r="M84" s="788">
        <f>'Benefits Spending LASER'!E84</f>
        <v>59077168.410007536</v>
      </c>
      <c r="N84" s="788">
        <f>'Benefits Spending LASER'!I84</f>
        <v>3731589.3198709995</v>
      </c>
      <c r="O84" s="789">
        <f t="shared" si="20"/>
        <v>133144986.20100892</v>
      </c>
      <c r="P84" s="1428">
        <f t="shared" si="31"/>
        <v>74029048.144695774</v>
      </c>
      <c r="Q84" s="788">
        <f t="shared" si="32"/>
        <v>60413975.416442148</v>
      </c>
      <c r="R84" s="788">
        <f t="shared" si="33"/>
        <v>7175565.5098709995</v>
      </c>
      <c r="S84" s="789">
        <f t="shared" si="34"/>
        <v>141618589.07100892</v>
      </c>
      <c r="U84" s="624">
        <f t="shared" si="21"/>
        <v>0.43522652349174262</v>
      </c>
      <c r="V84" s="625">
        <f t="shared" si="22"/>
        <v>0.14688637888217645</v>
      </c>
      <c r="W84" s="625">
        <f t="shared" si="23"/>
        <v>0.41788709762608095</v>
      </c>
      <c r="X84" s="626">
        <f t="shared" si="24"/>
        <v>0.58211290237391911</v>
      </c>
      <c r="Z84" s="1437">
        <f t="shared" si="25"/>
        <v>5.7221570721459156E-2</v>
      </c>
      <c r="AA84" s="1354">
        <f t="shared" si="26"/>
        <v>2.612402527287545E-3</v>
      </c>
      <c r="AB84" s="1439">
        <f t="shared" si="27"/>
        <v>0.94016602675125327</v>
      </c>
      <c r="AD84" s="1437">
        <f t="shared" si="28"/>
        <v>0.47193573877090561</v>
      </c>
      <c r="AE84" s="1354">
        <f t="shared" si="29"/>
        <v>8.0231139860410788E-3</v>
      </c>
      <c r="AF84" s="1439">
        <f t="shared" si="30"/>
        <v>0.52004114724305339</v>
      </c>
    </row>
    <row r="85" spans="1:32" x14ac:dyDescent="0.25">
      <c r="A85" s="737" t="s">
        <v>208</v>
      </c>
      <c r="B85" s="589" t="s">
        <v>209</v>
      </c>
      <c r="C85" s="738" t="s">
        <v>268</v>
      </c>
      <c r="D85" s="787">
        <f>'Administration LASER'!D84+'Other Oper Exp. LASER'!D84</f>
        <v>1336407.7344607536</v>
      </c>
      <c r="E85" s="788">
        <f>'Administration LASER'!E84+'Other Oper Exp. LASER'!E84</f>
        <v>684804.17553924629</v>
      </c>
      <c r="F85" s="788">
        <f>'Administration LASER'!K84+'Other Oper Exp. LASER'!K84</f>
        <v>524602.03999999992</v>
      </c>
      <c r="G85" s="789">
        <f>'Administration LASER'!I84+'Other Oper Exp. LASER'!I84</f>
        <v>2545813.9499999997</v>
      </c>
      <c r="H85" s="787">
        <f>'Client Services LASER'!D84</f>
        <v>82587.948018873503</v>
      </c>
      <c r="I85" s="788">
        <f>'Client Services LASER'!E84</f>
        <v>35509.011981126489</v>
      </c>
      <c r="J85" s="788">
        <f>'Client Services LASER'!K84</f>
        <v>22489.089999999997</v>
      </c>
      <c r="K85" s="789">
        <f>'Client Services LASER'!I84</f>
        <v>140586.04999999999</v>
      </c>
      <c r="L85" s="787">
        <f>'Benefits Spending LASER'!D85</f>
        <v>31552738.803743813</v>
      </c>
      <c r="M85" s="788">
        <f>'Benefits Spending LASER'!E85</f>
        <v>23950611.25720793</v>
      </c>
      <c r="N85" s="788">
        <f>'Benefits Spending LASER'!I85</f>
        <v>498354.53572750004</v>
      </c>
      <c r="O85" s="789">
        <f t="shared" si="20"/>
        <v>56001704.59667924</v>
      </c>
      <c r="P85" s="1428">
        <f t="shared" si="31"/>
        <v>32971734.486223441</v>
      </c>
      <c r="Q85" s="788">
        <f t="shared" si="32"/>
        <v>24670924.444728304</v>
      </c>
      <c r="R85" s="788">
        <f t="shared" si="33"/>
        <v>1045445.6657274999</v>
      </c>
      <c r="S85" s="789">
        <f t="shared" si="34"/>
        <v>58688104.59667924</v>
      </c>
      <c r="U85" s="624">
        <f t="shared" si="21"/>
        <v>0.52494320508407688</v>
      </c>
      <c r="V85" s="625">
        <f t="shared" si="22"/>
        <v>0.26899223155692364</v>
      </c>
      <c r="W85" s="625">
        <f t="shared" si="23"/>
        <v>0.20606456335899959</v>
      </c>
      <c r="X85" s="626">
        <f t="shared" si="24"/>
        <v>0.79393543664100052</v>
      </c>
      <c r="Z85" s="1437">
        <f t="shared" si="25"/>
        <v>4.3378704551723588E-2</v>
      </c>
      <c r="AA85" s="1354">
        <f t="shared" si="26"/>
        <v>2.3954777712816917E-3</v>
      </c>
      <c r="AB85" s="1439">
        <f t="shared" si="27"/>
        <v>0.95422581767699477</v>
      </c>
      <c r="AD85" s="1437">
        <f t="shared" si="28"/>
        <v>0.5017975177456423</v>
      </c>
      <c r="AE85" s="1354">
        <f t="shared" si="29"/>
        <v>2.1511486189337629E-2</v>
      </c>
      <c r="AF85" s="1439">
        <f t="shared" si="30"/>
        <v>0.47669099606502019</v>
      </c>
    </row>
    <row r="86" spans="1:32" x14ac:dyDescent="0.25">
      <c r="A86" s="737" t="s">
        <v>210</v>
      </c>
      <c r="B86" s="589" t="s">
        <v>211</v>
      </c>
      <c r="C86" s="738" t="s">
        <v>268</v>
      </c>
      <c r="D86" s="787">
        <f>'Administration LASER'!D85+'Other Oper Exp. LASER'!D85</f>
        <v>1138088.6107258932</v>
      </c>
      <c r="E86" s="788">
        <f>'Administration LASER'!E85+'Other Oper Exp. LASER'!E85</f>
        <v>583148.42927410651</v>
      </c>
      <c r="F86" s="788">
        <f>'Administration LASER'!K85+'Other Oper Exp. LASER'!K85</f>
        <v>443553.78999999992</v>
      </c>
      <c r="G86" s="789">
        <f>'Administration LASER'!I85+'Other Oper Exp. LASER'!I85</f>
        <v>2164790.83</v>
      </c>
      <c r="H86" s="787">
        <f>'Client Services LASER'!D85</f>
        <v>23306.71712376401</v>
      </c>
      <c r="I86" s="788">
        <f>'Client Services LASER'!E85</f>
        <v>43761.492876235992</v>
      </c>
      <c r="J86" s="788">
        <f>'Client Services LASER'!K85</f>
        <v>11200.289999999999</v>
      </c>
      <c r="K86" s="789">
        <f>'Client Services LASER'!I85</f>
        <v>78268.500000000015</v>
      </c>
      <c r="L86" s="787">
        <f>'Benefits Spending LASER'!D86</f>
        <v>23526747.494623393</v>
      </c>
      <c r="M86" s="788">
        <f>'Benefits Spending LASER'!E86</f>
        <v>18575682.827754732</v>
      </c>
      <c r="N86" s="788">
        <f>'Benefits Spending LASER'!I86</f>
        <v>322223.47331874998</v>
      </c>
      <c r="O86" s="789">
        <f t="shared" si="20"/>
        <v>42424653.795696877</v>
      </c>
      <c r="P86" s="1428">
        <f t="shared" si="31"/>
        <v>24688142.822473049</v>
      </c>
      <c r="Q86" s="788">
        <f t="shared" si="32"/>
        <v>19202592.749905076</v>
      </c>
      <c r="R86" s="788">
        <f t="shared" si="33"/>
        <v>776977.55331874988</v>
      </c>
      <c r="S86" s="789">
        <f t="shared" si="34"/>
        <v>44667713.125696875</v>
      </c>
      <c r="U86" s="624">
        <f t="shared" si="21"/>
        <v>0.52572682540691151</v>
      </c>
      <c r="V86" s="625">
        <f t="shared" si="22"/>
        <v>0.26937864905594899</v>
      </c>
      <c r="W86" s="625">
        <f t="shared" si="23"/>
        <v>0.20489452553713927</v>
      </c>
      <c r="X86" s="626">
        <f t="shared" si="24"/>
        <v>0.79510547446286051</v>
      </c>
      <c r="Z86" s="1437">
        <f t="shared" si="25"/>
        <v>4.8464330911864348E-2</v>
      </c>
      <c r="AA86" s="1354">
        <f t="shared" si="26"/>
        <v>1.7522387989675915E-3</v>
      </c>
      <c r="AB86" s="1439">
        <f t="shared" si="27"/>
        <v>0.94978343028916812</v>
      </c>
      <c r="AD86" s="1437">
        <f t="shared" si="28"/>
        <v>0.57087079041784738</v>
      </c>
      <c r="AE86" s="1354">
        <f t="shared" si="29"/>
        <v>1.4415204084287304E-2</v>
      </c>
      <c r="AF86" s="1439">
        <f t="shared" si="30"/>
        <v>0.4147140054978653</v>
      </c>
    </row>
    <row r="87" spans="1:32" x14ac:dyDescent="0.25">
      <c r="A87" s="737" t="s">
        <v>212</v>
      </c>
      <c r="B87" s="589" t="s">
        <v>213</v>
      </c>
      <c r="C87" s="738" t="s">
        <v>267</v>
      </c>
      <c r="D87" s="787">
        <f>'Administration LASER'!D86+'Other Oper Exp. LASER'!D86</f>
        <v>1226411.608216038</v>
      </c>
      <c r="E87" s="788">
        <f>'Administration LASER'!E86+'Other Oper Exp. LASER'!E86</f>
        <v>446541.17178396205</v>
      </c>
      <c r="F87" s="788">
        <f>'Administration LASER'!K86+'Other Oper Exp. LASER'!K86</f>
        <v>1568663.6099999999</v>
      </c>
      <c r="G87" s="789">
        <f>'Administration LASER'!I86+'Other Oper Exp. LASER'!I86</f>
        <v>3241616.3899999997</v>
      </c>
      <c r="H87" s="787">
        <f>'Client Services LASER'!D86</f>
        <v>45724.345457250711</v>
      </c>
      <c r="I87" s="788">
        <f>'Client Services LASER'!E86</f>
        <v>39372.594542749299</v>
      </c>
      <c r="J87" s="788">
        <f>'Client Services LASER'!K86</f>
        <v>15778.24</v>
      </c>
      <c r="K87" s="789">
        <f>'Client Services LASER'!I86</f>
        <v>100875.18000000001</v>
      </c>
      <c r="L87" s="787">
        <f>'Benefits Spending LASER'!D87</f>
        <v>31367007.322834693</v>
      </c>
      <c r="M87" s="788">
        <f>'Benefits Spending LASER'!E87</f>
        <v>25239295.150948126</v>
      </c>
      <c r="N87" s="788">
        <f>'Benefits Spending LASER'!I87</f>
        <v>1068432.2586473124</v>
      </c>
      <c r="O87" s="789">
        <f t="shared" si="20"/>
        <v>57674734.732430138</v>
      </c>
      <c r="P87" s="1428">
        <f t="shared" si="31"/>
        <v>32639143.276507981</v>
      </c>
      <c r="Q87" s="788">
        <f t="shared" si="32"/>
        <v>25725208.917274836</v>
      </c>
      <c r="R87" s="788">
        <f t="shared" si="33"/>
        <v>2652874.108647312</v>
      </c>
      <c r="S87" s="789">
        <f t="shared" si="34"/>
        <v>61017226.302430138</v>
      </c>
      <c r="U87" s="624">
        <f t="shared" si="21"/>
        <v>0.37833335616125696</v>
      </c>
      <c r="V87" s="625">
        <f t="shared" si="22"/>
        <v>0.13775262648643077</v>
      </c>
      <c r="W87" s="625">
        <f t="shared" si="23"/>
        <v>0.48391401735231232</v>
      </c>
      <c r="X87" s="626">
        <f t="shared" si="24"/>
        <v>0.51608598264768779</v>
      </c>
      <c r="Z87" s="1437">
        <f t="shared" si="25"/>
        <v>5.3126249527191235E-2</v>
      </c>
      <c r="AA87" s="1354">
        <f t="shared" si="26"/>
        <v>1.6532246074250419E-3</v>
      </c>
      <c r="AB87" s="1439">
        <f t="shared" si="27"/>
        <v>0.94522052586538374</v>
      </c>
      <c r="AD87" s="1437">
        <f t="shared" si="28"/>
        <v>0.59130721841899014</v>
      </c>
      <c r="AE87" s="1354">
        <f t="shared" si="29"/>
        <v>5.9476022433817069E-3</v>
      </c>
      <c r="AF87" s="1439">
        <f t="shared" si="30"/>
        <v>0.40274517933762827</v>
      </c>
    </row>
    <row r="88" spans="1:32" x14ac:dyDescent="0.25">
      <c r="A88" s="737" t="s">
        <v>214</v>
      </c>
      <c r="B88" s="589" t="s">
        <v>215</v>
      </c>
      <c r="C88" s="738" t="s">
        <v>268</v>
      </c>
      <c r="D88" s="787">
        <f>'Administration LASER'!D87+'Other Oper Exp. LASER'!D87</f>
        <v>1790951.9875520116</v>
      </c>
      <c r="E88" s="788">
        <f>'Administration LASER'!E87+'Other Oper Exp. LASER'!E87</f>
        <v>894047.44244798832</v>
      </c>
      <c r="F88" s="788">
        <f>'Administration LASER'!K87+'Other Oper Exp. LASER'!K87</f>
        <v>713454.26</v>
      </c>
      <c r="G88" s="789">
        <f>'Administration LASER'!I87+'Other Oper Exp. LASER'!I87</f>
        <v>3398453.69</v>
      </c>
      <c r="H88" s="787">
        <f>'Client Services LASER'!D87</f>
        <v>90338.655895711127</v>
      </c>
      <c r="I88" s="788">
        <f>'Client Services LASER'!E87</f>
        <v>48929.524104288874</v>
      </c>
      <c r="J88" s="788">
        <f>'Client Services LASER'!K87</f>
        <v>28278.959999999999</v>
      </c>
      <c r="K88" s="789">
        <f>'Client Services LASER'!I87</f>
        <v>167547.13999999998</v>
      </c>
      <c r="L88" s="787">
        <f>'Benefits Spending LASER'!D88</f>
        <v>34828669.324991539</v>
      </c>
      <c r="M88" s="788">
        <f>'Benefits Spending LASER'!E88</f>
        <v>25912792.672412314</v>
      </c>
      <c r="N88" s="788">
        <f>'Benefits Spending LASER'!I88</f>
        <v>361175.18301374995</v>
      </c>
      <c r="O88" s="789">
        <f t="shared" si="20"/>
        <v>61102637.180417605</v>
      </c>
      <c r="P88" s="1428">
        <f t="shared" si="31"/>
        <v>36709959.968439259</v>
      </c>
      <c r="Q88" s="788">
        <f t="shared" si="32"/>
        <v>26855769.63896459</v>
      </c>
      <c r="R88" s="788">
        <f t="shared" si="33"/>
        <v>1102908.40301375</v>
      </c>
      <c r="S88" s="789">
        <f t="shared" si="34"/>
        <v>64668638.010417603</v>
      </c>
      <c r="U88" s="624">
        <f t="shared" si="21"/>
        <v>0.52699025819357614</v>
      </c>
      <c r="V88" s="625">
        <f t="shared" si="22"/>
        <v>0.26307477576603033</v>
      </c>
      <c r="W88" s="625">
        <f t="shared" si="23"/>
        <v>0.20993496604039352</v>
      </c>
      <c r="X88" s="626">
        <f t="shared" si="24"/>
        <v>0.79006503395960637</v>
      </c>
      <c r="Z88" s="1437">
        <f t="shared" si="25"/>
        <v>5.2551805551441122E-2</v>
      </c>
      <c r="AA88" s="1354">
        <f t="shared" si="26"/>
        <v>2.5908561731733002E-3</v>
      </c>
      <c r="AB88" s="1439">
        <f t="shared" si="27"/>
        <v>0.94485733827538565</v>
      </c>
      <c r="AD88" s="1437">
        <f t="shared" si="28"/>
        <v>0.64688441764561055</v>
      </c>
      <c r="AE88" s="1354">
        <f t="shared" si="29"/>
        <v>2.5640352292834463E-2</v>
      </c>
      <c r="AF88" s="1439">
        <f t="shared" si="30"/>
        <v>0.32747523006155493</v>
      </c>
    </row>
    <row r="89" spans="1:32" x14ac:dyDescent="0.25">
      <c r="A89" s="737" t="s">
        <v>216</v>
      </c>
      <c r="B89" s="589" t="s">
        <v>217</v>
      </c>
      <c r="C89" s="738" t="s">
        <v>264</v>
      </c>
      <c r="D89" s="787">
        <f>'Administration LASER'!D88+'Other Oper Exp. LASER'!D88</f>
        <v>1020189.8506250248</v>
      </c>
      <c r="E89" s="788">
        <f>'Administration LASER'!E88+'Other Oper Exp. LASER'!E88</f>
        <v>523877.62937497534</v>
      </c>
      <c r="F89" s="788">
        <f>'Administration LASER'!K88+'Other Oper Exp. LASER'!K88</f>
        <v>394322.94999999995</v>
      </c>
      <c r="G89" s="789">
        <f>'Administration LASER'!I88+'Other Oper Exp. LASER'!I88</f>
        <v>1938390.43</v>
      </c>
      <c r="H89" s="787">
        <f>'Client Services LASER'!D88</f>
        <v>69318.073633258755</v>
      </c>
      <c r="I89" s="788">
        <f>'Client Services LASER'!E88</f>
        <v>41909.816366741266</v>
      </c>
      <c r="J89" s="788">
        <f>'Client Services LASER'!K88</f>
        <v>22965.8</v>
      </c>
      <c r="K89" s="789">
        <f>'Client Services LASER'!I88</f>
        <v>134193.69000000003</v>
      </c>
      <c r="L89" s="787">
        <f>'Benefits Spending LASER'!D89</f>
        <v>17850257.826897193</v>
      </c>
      <c r="M89" s="788">
        <f>'Benefits Spending LASER'!E89</f>
        <v>13579034.042863721</v>
      </c>
      <c r="N89" s="788">
        <f>'Benefits Spending LASER'!I89</f>
        <v>233171.75237499998</v>
      </c>
      <c r="O89" s="789">
        <f t="shared" si="20"/>
        <v>31662463.622135915</v>
      </c>
      <c r="P89" s="1428">
        <f t="shared" si="31"/>
        <v>18939765.751155477</v>
      </c>
      <c r="Q89" s="788">
        <f t="shared" si="32"/>
        <v>14144821.488605438</v>
      </c>
      <c r="R89" s="788">
        <f t="shared" si="33"/>
        <v>650460.50237499992</v>
      </c>
      <c r="S89" s="789">
        <f t="shared" si="34"/>
        <v>33735047.742135912</v>
      </c>
      <c r="U89" s="624">
        <f t="shared" si="21"/>
        <v>0.52630772151770522</v>
      </c>
      <c r="V89" s="625">
        <f t="shared" si="22"/>
        <v>0.27026424670027666</v>
      </c>
      <c r="W89" s="625">
        <f t="shared" si="23"/>
        <v>0.20342803178201821</v>
      </c>
      <c r="X89" s="626">
        <f t="shared" si="24"/>
        <v>0.79657196821798182</v>
      </c>
      <c r="Z89" s="1437">
        <f t="shared" si="25"/>
        <v>5.7459246680682835E-2</v>
      </c>
      <c r="AA89" s="1354">
        <f t="shared" si="26"/>
        <v>3.9778716492637053E-3</v>
      </c>
      <c r="AB89" s="1439">
        <f t="shared" si="27"/>
        <v>0.93856288167005353</v>
      </c>
      <c r="AD89" s="1437">
        <f t="shared" si="28"/>
        <v>0.6062212056846259</v>
      </c>
      <c r="AE89" s="1354">
        <f t="shared" si="29"/>
        <v>3.5306986229211322E-2</v>
      </c>
      <c r="AF89" s="1439">
        <f t="shared" si="30"/>
        <v>0.35847180808616275</v>
      </c>
    </row>
    <row r="90" spans="1:32" x14ac:dyDescent="0.25">
      <c r="A90" s="737" t="s">
        <v>218</v>
      </c>
      <c r="B90" s="589" t="s">
        <v>219</v>
      </c>
      <c r="C90" s="738" t="s">
        <v>267</v>
      </c>
      <c r="D90" s="787">
        <f>'Administration LASER'!D89+'Other Oper Exp. LASER'!D89</f>
        <v>2786934.0169946104</v>
      </c>
      <c r="E90" s="788">
        <f>'Administration LASER'!E89+'Other Oper Exp. LASER'!E89</f>
        <v>861264.70300538943</v>
      </c>
      <c r="F90" s="788">
        <f>'Administration LASER'!K89+'Other Oper Exp. LASER'!K89</f>
        <v>3014860.98</v>
      </c>
      <c r="G90" s="789">
        <f>'Administration LASER'!I89+'Other Oper Exp. LASER'!I89</f>
        <v>6663059.7000000002</v>
      </c>
      <c r="H90" s="787">
        <f>'Client Services LASER'!D89</f>
        <v>142178.24722562969</v>
      </c>
      <c r="I90" s="788">
        <f>'Client Services LASER'!E89</f>
        <v>84659.98277437035</v>
      </c>
      <c r="J90" s="788">
        <f>'Client Services LASER'!K89</f>
        <v>53900.12</v>
      </c>
      <c r="K90" s="789">
        <f>'Client Services LASER'!I89</f>
        <v>280738.35000000003</v>
      </c>
      <c r="L90" s="787">
        <f>'Benefits Spending LASER'!D90</f>
        <v>75426019.813412219</v>
      </c>
      <c r="M90" s="788">
        <f>'Benefits Spending LASER'!E90</f>
        <v>61015851.649217844</v>
      </c>
      <c r="N90" s="788">
        <f>'Benefits Spending LASER'!I90</f>
        <v>4392006.9651819998</v>
      </c>
      <c r="O90" s="789">
        <f t="shared" si="20"/>
        <v>140833878.42781207</v>
      </c>
      <c r="P90" s="1428">
        <f t="shared" si="31"/>
        <v>78355132.077632457</v>
      </c>
      <c r="Q90" s="788">
        <f t="shared" si="32"/>
        <v>61961776.334997602</v>
      </c>
      <c r="R90" s="788">
        <f t="shared" si="33"/>
        <v>7460768.0651820004</v>
      </c>
      <c r="S90" s="789">
        <f t="shared" si="34"/>
        <v>147777676.47781208</v>
      </c>
      <c r="U90" s="624">
        <f t="shared" si="21"/>
        <v>0.41826640349547078</v>
      </c>
      <c r="V90" s="625">
        <f t="shared" si="22"/>
        <v>0.12925964073312887</v>
      </c>
      <c r="W90" s="625">
        <f t="shared" si="23"/>
        <v>0.45247395577140032</v>
      </c>
      <c r="X90" s="626">
        <f t="shared" si="24"/>
        <v>0.54752604422859963</v>
      </c>
      <c r="Z90" s="1437">
        <f t="shared" si="25"/>
        <v>4.5088404817356958E-2</v>
      </c>
      <c r="AA90" s="1354">
        <f t="shared" si="26"/>
        <v>1.8997344977348537E-3</v>
      </c>
      <c r="AB90" s="1439">
        <f t="shared" si="27"/>
        <v>0.95301186068490806</v>
      </c>
      <c r="AD90" s="1437">
        <f t="shared" si="28"/>
        <v>0.40409525583160644</v>
      </c>
      <c r="AE90" s="1354">
        <f t="shared" si="29"/>
        <v>7.2244733423012719E-3</v>
      </c>
      <c r="AF90" s="1439">
        <f t="shared" si="30"/>
        <v>0.5886802708260922</v>
      </c>
    </row>
    <row r="91" spans="1:32" x14ac:dyDescent="0.25">
      <c r="A91" s="737" t="s">
        <v>220</v>
      </c>
      <c r="B91" s="589" t="s">
        <v>221</v>
      </c>
      <c r="C91" s="738" t="s">
        <v>267</v>
      </c>
      <c r="D91" s="787">
        <f>'Administration LASER'!D90+'Other Oper Exp. LASER'!D90</f>
        <v>2201519.0392440711</v>
      </c>
      <c r="E91" s="788">
        <f>'Administration LASER'!E90+'Other Oper Exp. LASER'!E90</f>
        <v>854464.89075592882</v>
      </c>
      <c r="F91" s="788">
        <f>'Administration LASER'!K90+'Other Oper Exp. LASER'!K90</f>
        <v>1731135.2200000002</v>
      </c>
      <c r="G91" s="789">
        <f>'Administration LASER'!I90+'Other Oper Exp. LASER'!I90</f>
        <v>4787119.1500000004</v>
      </c>
      <c r="H91" s="787">
        <f>'Client Services LASER'!D90</f>
        <v>33530.509179805129</v>
      </c>
      <c r="I91" s="788">
        <f>'Client Services LASER'!E90</f>
        <v>40698.120820194861</v>
      </c>
      <c r="J91" s="788">
        <f>'Client Services LASER'!K90</f>
        <v>42888.420000000006</v>
      </c>
      <c r="K91" s="789">
        <f>'Client Services LASER'!I90</f>
        <v>117117.04999999999</v>
      </c>
      <c r="L91" s="787">
        <f>'Benefits Spending LASER'!D91</f>
        <v>61200867.16294948</v>
      </c>
      <c r="M91" s="788">
        <f>'Benefits Spending LASER'!E91</f>
        <v>47826016.66572047</v>
      </c>
      <c r="N91" s="788">
        <f>'Benefits Spending LASER'!I91</f>
        <v>2297585.9325383753</v>
      </c>
      <c r="O91" s="789">
        <f t="shared" si="20"/>
        <v>111324469.76120833</v>
      </c>
      <c r="P91" s="1428">
        <f t="shared" si="31"/>
        <v>63435916.711373359</v>
      </c>
      <c r="Q91" s="788">
        <f t="shared" si="32"/>
        <v>48721179.677296594</v>
      </c>
      <c r="R91" s="788">
        <f t="shared" si="33"/>
        <v>4071609.5725383754</v>
      </c>
      <c r="S91" s="789">
        <f t="shared" si="34"/>
        <v>116228705.96120833</v>
      </c>
      <c r="U91" s="624">
        <f t="shared" si="21"/>
        <v>0.4598839030869058</v>
      </c>
      <c r="V91" s="625">
        <f t="shared" si="22"/>
        <v>0.1784925054050365</v>
      </c>
      <c r="W91" s="625">
        <f t="shared" si="23"/>
        <v>0.36162359150805762</v>
      </c>
      <c r="X91" s="626">
        <f t="shared" si="24"/>
        <v>0.63837640849194222</v>
      </c>
      <c r="Z91" s="1437">
        <f t="shared" si="25"/>
        <v>4.1187063990867412E-2</v>
      </c>
      <c r="AA91" s="1354">
        <f t="shared" si="26"/>
        <v>1.0076430691664771E-3</v>
      </c>
      <c r="AB91" s="1439">
        <f t="shared" si="27"/>
        <v>0.95780529293996608</v>
      </c>
      <c r="AD91" s="1437">
        <f t="shared" si="28"/>
        <v>0.42517220503555148</v>
      </c>
      <c r="AE91" s="1354">
        <f t="shared" si="29"/>
        <v>1.0533529611794766E-2</v>
      </c>
      <c r="AF91" s="1439">
        <f t="shared" si="30"/>
        <v>0.56429426535265381</v>
      </c>
    </row>
    <row r="92" spans="1:32" x14ac:dyDescent="0.25">
      <c r="A92" s="737" t="s">
        <v>224</v>
      </c>
      <c r="B92" s="589" t="s">
        <v>225</v>
      </c>
      <c r="C92" s="738" t="s">
        <v>264</v>
      </c>
      <c r="D92" s="787">
        <f>'Administration LASER'!D91+'Other Oper Exp. LASER'!D91</f>
        <v>716172.38239169552</v>
      </c>
      <c r="E92" s="788">
        <f>'Administration LASER'!E91+'Other Oper Exp. LASER'!E91</f>
        <v>293849.36760830448</v>
      </c>
      <c r="F92" s="788">
        <f>'Administration LASER'!K91+'Other Oper Exp. LASER'!K91</f>
        <v>692385.53</v>
      </c>
      <c r="G92" s="789">
        <f>'Administration LASER'!I91+'Other Oper Exp. LASER'!I91</f>
        <v>1702407.28</v>
      </c>
      <c r="H92" s="787">
        <f>'Client Services LASER'!D91</f>
        <v>114330.81478432231</v>
      </c>
      <c r="I92" s="788">
        <f>'Client Services LASER'!E91</f>
        <v>14313.505215677671</v>
      </c>
      <c r="J92" s="788">
        <f>'Client Services LASER'!K91</f>
        <v>31573.269999999993</v>
      </c>
      <c r="K92" s="789">
        <f>'Client Services LASER'!I91</f>
        <v>160217.59</v>
      </c>
      <c r="L92" s="787">
        <f>'Benefits Spending LASER'!D92</f>
        <v>5989942.1305796169</v>
      </c>
      <c r="M92" s="788">
        <f>'Benefits Spending LASER'!E92</f>
        <v>4368522.6081970157</v>
      </c>
      <c r="N92" s="788">
        <f>'Benefits Spending LASER'!I92</f>
        <v>48200.320249999997</v>
      </c>
      <c r="O92" s="789">
        <f t="shared" si="20"/>
        <v>10406665.059026632</v>
      </c>
      <c r="P92" s="1428">
        <f t="shared" si="31"/>
        <v>6820445.3277556347</v>
      </c>
      <c r="Q92" s="788">
        <f t="shared" si="32"/>
        <v>4676685.4810209982</v>
      </c>
      <c r="R92" s="788">
        <f t="shared" si="33"/>
        <v>772159.12025000004</v>
      </c>
      <c r="S92" s="789">
        <f t="shared" si="34"/>
        <v>12269289.929026634</v>
      </c>
      <c r="U92" s="624">
        <f t="shared" si="21"/>
        <v>0.42068216625089588</v>
      </c>
      <c r="V92" s="625">
        <f t="shared" si="22"/>
        <v>0.17260814792116283</v>
      </c>
      <c r="W92" s="625">
        <f t="shared" si="23"/>
        <v>0.40670968582794126</v>
      </c>
      <c r="X92" s="626">
        <f t="shared" si="24"/>
        <v>0.5932903141720588</v>
      </c>
      <c r="Z92" s="1437">
        <f t="shared" si="25"/>
        <v>0.13875352932792404</v>
      </c>
      <c r="AA92" s="1354">
        <f t="shared" si="26"/>
        <v>1.3058423994118674E-2</v>
      </c>
      <c r="AB92" s="1439">
        <f t="shared" si="27"/>
        <v>0.84818804667795722</v>
      </c>
      <c r="AD92" s="1437">
        <f t="shared" si="28"/>
        <v>0.89668762803167834</v>
      </c>
      <c r="AE92" s="1354">
        <f t="shared" si="29"/>
        <v>4.08895902049018E-2</v>
      </c>
      <c r="AF92" s="1439">
        <f t="shared" si="30"/>
        <v>6.2422781763419824E-2</v>
      </c>
    </row>
    <row r="93" spans="1:32" x14ac:dyDescent="0.25">
      <c r="A93" s="737" t="s">
        <v>226</v>
      </c>
      <c r="B93" s="589" t="s">
        <v>227</v>
      </c>
      <c r="C93" s="738" t="s">
        <v>264</v>
      </c>
      <c r="D93" s="787">
        <f>'Administration LASER'!D92+'Other Oper Exp. LASER'!D92</f>
        <v>868219.64512187184</v>
      </c>
      <c r="E93" s="788">
        <f>'Administration LASER'!E92+'Other Oper Exp. LASER'!E92</f>
        <v>417905.77487812832</v>
      </c>
      <c r="F93" s="788">
        <f>'Administration LASER'!K92+'Other Oper Exp. LASER'!K92</f>
        <v>470757.07999999996</v>
      </c>
      <c r="G93" s="789">
        <f>'Administration LASER'!I92+'Other Oper Exp. LASER'!I92</f>
        <v>1756882.5</v>
      </c>
      <c r="H93" s="787">
        <f>'Client Services LASER'!D92</f>
        <v>43427.156812975532</v>
      </c>
      <c r="I93" s="788">
        <f>'Client Services LASER'!E92</f>
        <v>11922.223187024465</v>
      </c>
      <c r="J93" s="788">
        <f>'Client Services LASER'!K92</f>
        <v>12398.98</v>
      </c>
      <c r="K93" s="789">
        <f>'Client Services LASER'!I92</f>
        <v>67748.36</v>
      </c>
      <c r="L93" s="787">
        <f>'Benefits Spending LASER'!D93</f>
        <v>12083454.665049113</v>
      </c>
      <c r="M93" s="788">
        <f>'Benefits Spending LASER'!E93</f>
        <v>9598708.970547365</v>
      </c>
      <c r="N93" s="788">
        <f>'Benefits Spending LASER'!I93</f>
        <v>168834.76223749999</v>
      </c>
      <c r="O93" s="789">
        <f t="shared" si="20"/>
        <v>21850998.397833977</v>
      </c>
      <c r="P93" s="1428">
        <f t="shared" si="31"/>
        <v>12995101.466983961</v>
      </c>
      <c r="Q93" s="788">
        <f t="shared" si="32"/>
        <v>10028536.968612518</v>
      </c>
      <c r="R93" s="788">
        <f t="shared" si="33"/>
        <v>651990.82223749999</v>
      </c>
      <c r="S93" s="789">
        <f t="shared" si="34"/>
        <v>23675629.257833976</v>
      </c>
      <c r="U93" s="624">
        <f t="shared" si="21"/>
        <v>0.4941819644295346</v>
      </c>
      <c r="V93" s="625">
        <f t="shared" si="22"/>
        <v>0.23786779985464498</v>
      </c>
      <c r="W93" s="625">
        <f t="shared" si="23"/>
        <v>0.2679502357158205</v>
      </c>
      <c r="X93" s="626">
        <f t="shared" si="24"/>
        <v>0.73204976428417956</v>
      </c>
      <c r="Z93" s="1437">
        <f t="shared" si="25"/>
        <v>7.4206369801920635E-2</v>
      </c>
      <c r="AA93" s="1354">
        <f t="shared" si="26"/>
        <v>2.8615230988035048E-3</v>
      </c>
      <c r="AB93" s="1439">
        <f t="shared" si="27"/>
        <v>0.92293210709927587</v>
      </c>
      <c r="AD93" s="1437">
        <f t="shared" si="28"/>
        <v>0.72203022488024804</v>
      </c>
      <c r="AE93" s="1354">
        <f t="shared" si="29"/>
        <v>1.9017108181752038E-2</v>
      </c>
      <c r="AF93" s="1439">
        <f t="shared" si="30"/>
        <v>0.25895266693799984</v>
      </c>
    </row>
    <row r="94" spans="1:32" x14ac:dyDescent="0.25">
      <c r="A94" s="737" t="s">
        <v>228</v>
      </c>
      <c r="B94" s="589" t="s">
        <v>229</v>
      </c>
      <c r="C94" s="738" t="s">
        <v>268</v>
      </c>
      <c r="D94" s="787">
        <f>'Administration LASER'!D93+'Other Oper Exp. LASER'!D93</f>
        <v>2301587.7832914321</v>
      </c>
      <c r="E94" s="788">
        <f>'Administration LASER'!E93+'Other Oper Exp. LASER'!E93</f>
        <v>1078784.3667085676</v>
      </c>
      <c r="F94" s="788">
        <f>'Administration LASER'!K93+'Other Oper Exp. LASER'!K93</f>
        <v>1350419.2</v>
      </c>
      <c r="G94" s="789">
        <f>'Administration LASER'!I93+'Other Oper Exp. LASER'!I93</f>
        <v>4730791.3499999996</v>
      </c>
      <c r="H94" s="787">
        <f>'Client Services LASER'!D93</f>
        <v>115703.69909469782</v>
      </c>
      <c r="I94" s="788">
        <f>'Client Services LASER'!E93</f>
        <v>81223.58090530218</v>
      </c>
      <c r="J94" s="788">
        <f>'Client Services LASER'!K93</f>
        <v>36230.660000000003</v>
      </c>
      <c r="K94" s="789">
        <f>'Client Services LASER'!I93</f>
        <v>233157.94</v>
      </c>
      <c r="L94" s="787">
        <f>'Benefits Spending LASER'!D94</f>
        <v>43471793.012502253</v>
      </c>
      <c r="M94" s="788">
        <f>'Benefits Spending LASER'!E94</f>
        <v>32102480.42050451</v>
      </c>
      <c r="N94" s="788">
        <f>'Benefits Spending LASER'!I94</f>
        <v>623665.13012500014</v>
      </c>
      <c r="O94" s="789">
        <f t="shared" si="20"/>
        <v>76197938.563131765</v>
      </c>
      <c r="P94" s="1428">
        <f t="shared" si="31"/>
        <v>45889084.49488838</v>
      </c>
      <c r="Q94" s="788">
        <f t="shared" si="32"/>
        <v>33262488.368118379</v>
      </c>
      <c r="R94" s="788">
        <f t="shared" si="33"/>
        <v>2010314.990125</v>
      </c>
      <c r="S94" s="789">
        <f t="shared" si="34"/>
        <v>81161887.853131771</v>
      </c>
      <c r="U94" s="624">
        <f t="shared" si="21"/>
        <v>0.48651221603578698</v>
      </c>
      <c r="V94" s="625">
        <f t="shared" si="22"/>
        <v>0.22803465359100389</v>
      </c>
      <c r="W94" s="625">
        <f t="shared" si="23"/>
        <v>0.28545313037320913</v>
      </c>
      <c r="X94" s="626">
        <f t="shared" si="24"/>
        <v>0.71454686962679081</v>
      </c>
      <c r="Z94" s="1437">
        <f t="shared" si="25"/>
        <v>5.8288335512361469E-2</v>
      </c>
      <c r="AA94" s="1354">
        <f t="shared" si="26"/>
        <v>2.872751560706867E-3</v>
      </c>
      <c r="AB94" s="1439">
        <f t="shared" si="27"/>
        <v>0.93883891292693156</v>
      </c>
      <c r="AD94" s="1437">
        <f t="shared" si="28"/>
        <v>0.67174507807656147</v>
      </c>
      <c r="AE94" s="1354">
        <f t="shared" si="29"/>
        <v>1.8022379665858835E-2</v>
      </c>
      <c r="AF94" s="1439">
        <f t="shared" si="30"/>
        <v>0.31023254225757979</v>
      </c>
    </row>
    <row r="95" spans="1:32" x14ac:dyDescent="0.25">
      <c r="A95" s="737" t="s">
        <v>232</v>
      </c>
      <c r="B95" s="589" t="s">
        <v>233</v>
      </c>
      <c r="C95" s="738" t="s">
        <v>267</v>
      </c>
      <c r="D95" s="787">
        <f>'Administration LASER'!D94+'Other Oper Exp. LASER'!D94</f>
        <v>1276087.8049108891</v>
      </c>
      <c r="E95" s="788">
        <f>'Administration LASER'!E94+'Other Oper Exp. LASER'!E94</f>
        <v>486550.27508911071</v>
      </c>
      <c r="F95" s="788">
        <f>'Administration LASER'!K94+'Other Oper Exp. LASER'!K94</f>
        <v>1025458.1</v>
      </c>
      <c r="G95" s="789">
        <f>'Administration LASER'!I94+'Other Oper Exp. LASER'!I94</f>
        <v>2788096.1799999997</v>
      </c>
      <c r="H95" s="787">
        <f>'Client Services LASER'!D94</f>
        <v>17736.436145760988</v>
      </c>
      <c r="I95" s="788">
        <f>'Client Services LASER'!E94</f>
        <v>38328.343854239014</v>
      </c>
      <c r="J95" s="788">
        <f>'Client Services LASER'!K94</f>
        <v>12520.830000000002</v>
      </c>
      <c r="K95" s="789">
        <f>'Client Services LASER'!I94</f>
        <v>68585.610000000015</v>
      </c>
      <c r="L95" s="787">
        <f>'Benefits Spending LASER'!D95</f>
        <v>28634998.51739658</v>
      </c>
      <c r="M95" s="788">
        <f>'Benefits Spending LASER'!E95</f>
        <v>21810009.671560906</v>
      </c>
      <c r="N95" s="788">
        <f>'Benefits Spending LASER'!I95</f>
        <v>722059.55981700006</v>
      </c>
      <c r="O95" s="789">
        <f t="shared" si="20"/>
        <v>51167067.748774484</v>
      </c>
      <c r="P95" s="1428">
        <f t="shared" si="31"/>
        <v>29928822.758453231</v>
      </c>
      <c r="Q95" s="788">
        <f t="shared" si="32"/>
        <v>22334888.290504254</v>
      </c>
      <c r="R95" s="788">
        <f t="shared" si="33"/>
        <v>1760038.489817</v>
      </c>
      <c r="S95" s="789">
        <f t="shared" si="34"/>
        <v>54023749.538774483</v>
      </c>
      <c r="U95" s="624">
        <f t="shared" si="21"/>
        <v>0.45769145772829445</v>
      </c>
      <c r="V95" s="625">
        <f t="shared" si="22"/>
        <v>0.17450986037687938</v>
      </c>
      <c r="W95" s="625">
        <f t="shared" si="23"/>
        <v>0.36779868189482617</v>
      </c>
      <c r="X95" s="626">
        <f t="shared" si="24"/>
        <v>0.63220131810517388</v>
      </c>
      <c r="Z95" s="1437">
        <f t="shared" si="25"/>
        <v>5.1608712905032599E-2</v>
      </c>
      <c r="AA95" s="1354">
        <f t="shared" si="26"/>
        <v>1.2695455347980621E-3</v>
      </c>
      <c r="AB95" s="1439">
        <f t="shared" si="27"/>
        <v>0.94712174156016937</v>
      </c>
      <c r="AD95" s="1437">
        <f t="shared" si="28"/>
        <v>0.58263390598157994</v>
      </c>
      <c r="AE95" s="1354">
        <f t="shared" si="29"/>
        <v>7.1139523779970605E-3</v>
      </c>
      <c r="AF95" s="1439">
        <f t="shared" si="30"/>
        <v>0.41025214164042301</v>
      </c>
    </row>
    <row r="96" spans="1:32" x14ac:dyDescent="0.25">
      <c r="A96" s="737" t="s">
        <v>234</v>
      </c>
      <c r="B96" s="589" t="s">
        <v>235</v>
      </c>
      <c r="C96" s="738" t="s">
        <v>268</v>
      </c>
      <c r="D96" s="787">
        <f>'Administration LASER'!D95+'Other Oper Exp. LASER'!D95</f>
        <v>1764108.2749682071</v>
      </c>
      <c r="E96" s="788">
        <f>'Administration LASER'!E95+'Other Oper Exp. LASER'!E95</f>
        <v>826763.54503179272</v>
      </c>
      <c r="F96" s="788">
        <f>'Administration LASER'!K95+'Other Oper Exp. LASER'!K95</f>
        <v>943805.5199999999</v>
      </c>
      <c r="G96" s="789">
        <f>'Administration LASER'!I95+'Other Oper Exp. LASER'!I95</f>
        <v>3534677.3400000003</v>
      </c>
      <c r="H96" s="787">
        <f>'Client Services LASER'!D95</f>
        <v>93238.598630711786</v>
      </c>
      <c r="I96" s="788">
        <f>'Client Services LASER'!E95</f>
        <v>51198.711369288205</v>
      </c>
      <c r="J96" s="788">
        <f>'Client Services LASER'!K95</f>
        <v>31374.529999999995</v>
      </c>
      <c r="K96" s="789">
        <f>'Client Services LASER'!I95</f>
        <v>175811.84</v>
      </c>
      <c r="L96" s="787">
        <f>'Benefits Spending LASER'!D96</f>
        <v>41979681.209929362</v>
      </c>
      <c r="M96" s="788">
        <f>'Benefits Spending LASER'!E96</f>
        <v>32046751.093925431</v>
      </c>
      <c r="N96" s="788">
        <f>'Benefits Spending LASER'!I96</f>
        <v>693381.51710000006</v>
      </c>
      <c r="O96" s="789">
        <f t="shared" si="20"/>
        <v>74719813.8209548</v>
      </c>
      <c r="P96" s="1428">
        <f t="shared" si="31"/>
        <v>43837028.08352828</v>
      </c>
      <c r="Q96" s="788">
        <f t="shared" si="32"/>
        <v>32924713.350326512</v>
      </c>
      <c r="R96" s="788">
        <f t="shared" si="33"/>
        <v>1668561.5671000001</v>
      </c>
      <c r="S96" s="789">
        <f t="shared" si="34"/>
        <v>78430303.000954807</v>
      </c>
      <c r="U96" s="624">
        <f t="shared" si="21"/>
        <v>0.49908608488949291</v>
      </c>
      <c r="V96" s="625">
        <f t="shared" si="22"/>
        <v>0.23390071158002576</v>
      </c>
      <c r="W96" s="625">
        <f t="shared" si="23"/>
        <v>0.26701320353048119</v>
      </c>
      <c r="X96" s="626">
        <f t="shared" si="24"/>
        <v>0.7329867964695187</v>
      </c>
      <c r="Z96" s="1437">
        <f t="shared" si="25"/>
        <v>4.5067750662100198E-2</v>
      </c>
      <c r="AA96" s="1354">
        <f t="shared" si="26"/>
        <v>2.2416315285414576E-3</v>
      </c>
      <c r="AB96" s="1439">
        <f t="shared" si="27"/>
        <v>0.95269061780935826</v>
      </c>
      <c r="AD96" s="1437">
        <f t="shared" si="28"/>
        <v>0.56564021286931376</v>
      </c>
      <c r="AE96" s="1354">
        <f t="shared" si="29"/>
        <v>1.8803339726042999E-2</v>
      </c>
      <c r="AF96" s="1439">
        <f t="shared" si="30"/>
        <v>0.41555644740464309</v>
      </c>
    </row>
    <row r="97" spans="1:32" x14ac:dyDescent="0.25">
      <c r="A97" s="737" t="s">
        <v>236</v>
      </c>
      <c r="B97" s="589" t="s">
        <v>237</v>
      </c>
      <c r="C97" s="738" t="s">
        <v>266</v>
      </c>
      <c r="D97" s="787">
        <f>'Administration LASER'!D96+'Other Oper Exp. LASER'!D96</f>
        <v>848889.24763979437</v>
      </c>
      <c r="E97" s="788">
        <f>'Administration LASER'!E96+'Other Oper Exp. LASER'!E96</f>
        <v>365882.61236020556</v>
      </c>
      <c r="F97" s="788">
        <f>'Administration LASER'!K96+'Other Oper Exp. LASER'!K96</f>
        <v>672940.02</v>
      </c>
      <c r="G97" s="789">
        <f>'Administration LASER'!I96+'Other Oper Exp. LASER'!I96</f>
        <v>1887711.8800000001</v>
      </c>
      <c r="H97" s="787">
        <f>'Client Services LASER'!D96</f>
        <v>27901.039147838335</v>
      </c>
      <c r="I97" s="788">
        <f>'Client Services LASER'!E96</f>
        <v>15658.630852161663</v>
      </c>
      <c r="J97" s="788">
        <f>'Client Services LASER'!K96</f>
        <v>8218.8300000000017</v>
      </c>
      <c r="K97" s="789">
        <f>'Client Services LASER'!I96</f>
        <v>51778.5</v>
      </c>
      <c r="L97" s="787">
        <f>'Benefits Spending LASER'!D97</f>
        <v>15986195.944431273</v>
      </c>
      <c r="M97" s="788">
        <f>'Benefits Spending LASER'!E97</f>
        <v>11574042.008615967</v>
      </c>
      <c r="N97" s="788">
        <f>'Benefits Spending LASER'!I97</f>
        <v>408418.96968749998</v>
      </c>
      <c r="O97" s="789">
        <f t="shared" si="20"/>
        <v>27968656.922734737</v>
      </c>
      <c r="P97" s="1428">
        <f t="shared" si="31"/>
        <v>16862986.231218904</v>
      </c>
      <c r="Q97" s="788">
        <f t="shared" si="32"/>
        <v>11955583.251828333</v>
      </c>
      <c r="R97" s="788">
        <f t="shared" si="33"/>
        <v>1089577.8196874999</v>
      </c>
      <c r="S97" s="789">
        <f t="shared" si="34"/>
        <v>29908147.302734736</v>
      </c>
      <c r="U97" s="624">
        <f t="shared" si="21"/>
        <v>0.4496921678745775</v>
      </c>
      <c r="V97" s="625">
        <f t="shared" si="22"/>
        <v>0.19382333513746045</v>
      </c>
      <c r="W97" s="625">
        <f t="shared" si="23"/>
        <v>0.35648449698796192</v>
      </c>
      <c r="X97" s="626">
        <f t="shared" si="24"/>
        <v>0.64351550301203797</v>
      </c>
      <c r="Z97" s="1437">
        <f t="shared" si="25"/>
        <v>6.3116978156229422E-2</v>
      </c>
      <c r="AA97" s="1354">
        <f t="shared" si="26"/>
        <v>1.731250668116961E-3</v>
      </c>
      <c r="AB97" s="1439">
        <f t="shared" si="27"/>
        <v>0.93515177117565362</v>
      </c>
      <c r="AD97" s="1437">
        <f t="shared" si="28"/>
        <v>0.61761538078391209</v>
      </c>
      <c r="AE97" s="1354">
        <f t="shared" si="29"/>
        <v>7.5431326257698892E-3</v>
      </c>
      <c r="AF97" s="1439">
        <f t="shared" si="30"/>
        <v>0.37484148659031807</v>
      </c>
    </row>
    <row r="98" spans="1:32" x14ac:dyDescent="0.25">
      <c r="A98" s="737" t="s">
        <v>242</v>
      </c>
      <c r="B98" s="589" t="s">
        <v>243</v>
      </c>
      <c r="C98" s="738" t="s">
        <v>268</v>
      </c>
      <c r="D98" s="787">
        <f>'Administration LASER'!D97+'Other Oper Exp. LASER'!D97</f>
        <v>2517815.0350372256</v>
      </c>
      <c r="E98" s="788">
        <f>'Administration LASER'!E97+'Other Oper Exp. LASER'!E97</f>
        <v>1295463.1049627743</v>
      </c>
      <c r="F98" s="788">
        <f>'Administration LASER'!K97+'Other Oper Exp. LASER'!K97</f>
        <v>935926.97000000009</v>
      </c>
      <c r="G98" s="789">
        <f>'Administration LASER'!I97+'Other Oper Exp. LASER'!I97</f>
        <v>4749205.1099999994</v>
      </c>
      <c r="H98" s="787">
        <f>'Client Services LASER'!D97</f>
        <v>212366.25352247446</v>
      </c>
      <c r="I98" s="788">
        <f>'Client Services LASER'!E97</f>
        <v>199822.94647752558</v>
      </c>
      <c r="J98" s="788">
        <f>'Client Services LASER'!K97</f>
        <v>76338.689999999988</v>
      </c>
      <c r="K98" s="789">
        <f>'Client Services LASER'!I97</f>
        <v>488527.89000000007</v>
      </c>
      <c r="L98" s="787">
        <f>'Benefits Spending LASER'!D98</f>
        <v>48542056.075643942</v>
      </c>
      <c r="M98" s="788">
        <f>'Benefits Spending LASER'!E98</f>
        <v>36919148.018872626</v>
      </c>
      <c r="N98" s="788">
        <f>'Benefits Spending LASER'!I98</f>
        <v>517171.91113750002</v>
      </c>
      <c r="O98" s="789">
        <f t="shared" si="20"/>
        <v>85978376.005654082</v>
      </c>
      <c r="P98" s="1428">
        <f t="shared" si="31"/>
        <v>51272237.364203639</v>
      </c>
      <c r="Q98" s="788">
        <f t="shared" si="32"/>
        <v>38414434.070312925</v>
      </c>
      <c r="R98" s="788">
        <f t="shared" si="33"/>
        <v>1529437.5711375</v>
      </c>
      <c r="S98" s="789">
        <f t="shared" si="34"/>
        <v>91216109.005654082</v>
      </c>
      <c r="U98" s="624">
        <f t="shared" si="21"/>
        <v>0.53015504210076658</v>
      </c>
      <c r="V98" s="625">
        <f t="shared" si="22"/>
        <v>0.27277472228668903</v>
      </c>
      <c r="W98" s="625">
        <f t="shared" si="23"/>
        <v>0.19707023561254447</v>
      </c>
      <c r="X98" s="626">
        <f t="shared" si="24"/>
        <v>0.80292976438745556</v>
      </c>
      <c r="Z98" s="1437">
        <f t="shared" si="25"/>
        <v>5.2065420919298555E-2</v>
      </c>
      <c r="AA98" s="1354">
        <f t="shared" si="26"/>
        <v>5.355719459264793E-3</v>
      </c>
      <c r="AB98" s="1439">
        <f t="shared" si="27"/>
        <v>0.94257885962143662</v>
      </c>
      <c r="AD98" s="1437">
        <f t="shared" si="28"/>
        <v>0.61194192405245817</v>
      </c>
      <c r="AE98" s="1354">
        <f t="shared" si="29"/>
        <v>4.9912916643746398E-2</v>
      </c>
      <c r="AF98" s="1439">
        <f t="shared" si="30"/>
        <v>0.33814515930379552</v>
      </c>
    </row>
    <row r="99" spans="1:32" x14ac:dyDescent="0.25">
      <c r="A99" s="737" t="s">
        <v>244</v>
      </c>
      <c r="B99" s="589" t="s">
        <v>245</v>
      </c>
      <c r="C99" s="738" t="s">
        <v>268</v>
      </c>
      <c r="D99" s="787">
        <f>'Administration LASER'!D98+'Other Oper Exp. LASER'!D98</f>
        <v>1471401.9811999225</v>
      </c>
      <c r="E99" s="788">
        <f>'Administration LASER'!E98+'Other Oper Exp. LASER'!E98</f>
        <v>625115.21880007756</v>
      </c>
      <c r="F99" s="788">
        <f>'Administration LASER'!K98+'Other Oper Exp. LASER'!K98</f>
        <v>1016488.45</v>
      </c>
      <c r="G99" s="789">
        <f>'Administration LASER'!I98+'Other Oper Exp. LASER'!I98</f>
        <v>3113005.6500000004</v>
      </c>
      <c r="H99" s="787">
        <f>'Client Services LASER'!D98</f>
        <v>93407.417938252343</v>
      </c>
      <c r="I99" s="788">
        <f>'Client Services LASER'!E98</f>
        <v>28418.532061747654</v>
      </c>
      <c r="J99" s="788">
        <f>'Client Services LASER'!K98</f>
        <v>21036.469999999998</v>
      </c>
      <c r="K99" s="789">
        <f>'Client Services LASER'!I98</f>
        <v>142862.42000000001</v>
      </c>
      <c r="L99" s="787">
        <f>'Benefits Spending LASER'!D99</f>
        <v>26003788.018594641</v>
      </c>
      <c r="M99" s="788">
        <f>'Benefits Spending LASER'!E99</f>
        <v>21349741.808028355</v>
      </c>
      <c r="N99" s="788">
        <f>'Benefits Spending LASER'!I99</f>
        <v>571348.59815500001</v>
      </c>
      <c r="O99" s="789">
        <f t="shared" si="20"/>
        <v>47924878.424777992</v>
      </c>
      <c r="P99" s="1428">
        <f t="shared" si="31"/>
        <v>27568597.417732816</v>
      </c>
      <c r="Q99" s="788">
        <f t="shared" si="32"/>
        <v>22003275.558890179</v>
      </c>
      <c r="R99" s="788">
        <f t="shared" si="33"/>
        <v>1608873.5181549999</v>
      </c>
      <c r="S99" s="789">
        <f t="shared" si="34"/>
        <v>51180746.494777992</v>
      </c>
      <c r="U99" s="624">
        <f t="shared" si="21"/>
        <v>0.47266280457920862</v>
      </c>
      <c r="V99" s="625">
        <f t="shared" si="22"/>
        <v>0.20080760817124682</v>
      </c>
      <c r="W99" s="625">
        <f t="shared" si="23"/>
        <v>0.32652958724954445</v>
      </c>
      <c r="X99" s="626">
        <f t="shared" si="24"/>
        <v>0.67347041275045549</v>
      </c>
      <c r="Z99" s="1437">
        <f t="shared" si="25"/>
        <v>6.082376407537593E-2</v>
      </c>
      <c r="AA99" s="1354">
        <f t="shared" si="26"/>
        <v>2.7913313068729149E-3</v>
      </c>
      <c r="AB99" s="1439">
        <f t="shared" si="27"/>
        <v>0.93638490461775115</v>
      </c>
      <c r="AD99" s="1437">
        <f t="shared" si="28"/>
        <v>0.6318013433185683</v>
      </c>
      <c r="AE99" s="1354">
        <f t="shared" si="29"/>
        <v>1.3075278921940296E-2</v>
      </c>
      <c r="AF99" s="1439">
        <f t="shared" si="30"/>
        <v>0.35512337775949143</v>
      </c>
    </row>
    <row r="100" spans="1:32" x14ac:dyDescent="0.25">
      <c r="A100" s="737" t="s">
        <v>246</v>
      </c>
      <c r="B100" s="589" t="s">
        <v>247</v>
      </c>
      <c r="C100" s="738" t="s">
        <v>264</v>
      </c>
      <c r="D100" s="787">
        <f>'Administration LASER'!D99+'Other Oper Exp. LASER'!D99</f>
        <v>2180574.6495132851</v>
      </c>
      <c r="E100" s="788">
        <f>'Administration LASER'!E99+'Other Oper Exp. LASER'!E99</f>
        <v>712371.37048671453</v>
      </c>
      <c r="F100" s="788">
        <f>'Administration LASER'!K99+'Other Oper Exp. LASER'!K99</f>
        <v>2252133.25</v>
      </c>
      <c r="G100" s="789">
        <f>'Administration LASER'!I99+'Other Oper Exp. LASER'!I99</f>
        <v>5145079.2700000005</v>
      </c>
      <c r="H100" s="787">
        <f>'Client Services LASER'!D99</f>
        <v>111866.43407144579</v>
      </c>
      <c r="I100" s="788">
        <f>'Client Services LASER'!E99</f>
        <v>76512.45592855422</v>
      </c>
      <c r="J100" s="788">
        <f>'Client Services LASER'!K99</f>
        <v>42254.450000000004</v>
      </c>
      <c r="K100" s="789">
        <f>'Client Services LASER'!I99</f>
        <v>230633.34000000003</v>
      </c>
      <c r="L100" s="787">
        <f>'Benefits Spending LASER'!D100</f>
        <v>22174864.565941527</v>
      </c>
      <c r="M100" s="788">
        <f>'Benefits Spending LASER'!E100</f>
        <v>17655268.534286816</v>
      </c>
      <c r="N100" s="788">
        <f>'Benefits Spending LASER'!I100</f>
        <v>583919.01865624997</v>
      </c>
      <c r="O100" s="789">
        <f t="shared" si="20"/>
        <v>40414052.118884586</v>
      </c>
      <c r="P100" s="1428">
        <f t="shared" si="31"/>
        <v>24467305.649526257</v>
      </c>
      <c r="Q100" s="788">
        <f t="shared" si="32"/>
        <v>18444152.360702083</v>
      </c>
      <c r="R100" s="788">
        <f t="shared" si="33"/>
        <v>2878306.7186562503</v>
      </c>
      <c r="S100" s="789">
        <f t="shared" si="34"/>
        <v>45789764.728884585</v>
      </c>
      <c r="U100" s="624">
        <f t="shared" si="21"/>
        <v>0.42381750310977911</v>
      </c>
      <c r="V100" s="625">
        <f t="shared" si="22"/>
        <v>0.13845683090645841</v>
      </c>
      <c r="W100" s="625">
        <f t="shared" si="23"/>
        <v>0.43772566598376234</v>
      </c>
      <c r="X100" s="626">
        <f t="shared" si="24"/>
        <v>0.5622743340162375</v>
      </c>
      <c r="Z100" s="1437">
        <f t="shared" si="25"/>
        <v>0.11236308595301515</v>
      </c>
      <c r="AA100" s="1354">
        <f t="shared" si="26"/>
        <v>5.0367880543949264E-3</v>
      </c>
      <c r="AB100" s="1439">
        <f t="shared" si="27"/>
        <v>0.88260012599258997</v>
      </c>
      <c r="AD100" s="1437">
        <f t="shared" si="28"/>
        <v>0.78245074974199347</v>
      </c>
      <c r="AE100" s="1354">
        <f t="shared" si="29"/>
        <v>1.4680315244417966E-2</v>
      </c>
      <c r="AF100" s="1439">
        <f t="shared" si="30"/>
        <v>0.20286893501358849</v>
      </c>
    </row>
    <row r="101" spans="1:32" x14ac:dyDescent="0.25">
      <c r="A101" s="737" t="s">
        <v>14</v>
      </c>
      <c r="B101" s="589" t="s">
        <v>15</v>
      </c>
      <c r="C101" s="738" t="s">
        <v>267</v>
      </c>
      <c r="D101" s="787">
        <f>'Administration LASER'!D100+'Other Oper Exp. LASER'!D100</f>
        <v>8845879.4022151716</v>
      </c>
      <c r="E101" s="788">
        <f>'Administration LASER'!E100+'Other Oper Exp. LASER'!E100</f>
        <v>2321465.2577848295</v>
      </c>
      <c r="F101" s="788">
        <f>'Administration LASER'!K100+'Other Oper Exp. LASER'!K100</f>
        <v>11107743.060000001</v>
      </c>
      <c r="G101" s="789">
        <f>'Administration LASER'!I100+'Other Oper Exp. LASER'!I100</f>
        <v>22275087.719999999</v>
      </c>
      <c r="H101" s="787">
        <f>'Client Services LASER'!D100</f>
        <v>201771.5148482559</v>
      </c>
      <c r="I101" s="788">
        <f>'Client Services LASER'!E100</f>
        <v>77759.71515174408</v>
      </c>
      <c r="J101" s="788">
        <f>'Client Services LASER'!K100</f>
        <v>123360.94</v>
      </c>
      <c r="K101" s="789">
        <f>'Client Services LASER'!I100</f>
        <v>402892.16999999993</v>
      </c>
      <c r="L101" s="787">
        <f>'Benefits Spending LASER'!D101</f>
        <v>71860474.81275554</v>
      </c>
      <c r="M101" s="788">
        <f>'Benefits Spending LASER'!E101</f>
        <v>58284006.941007115</v>
      </c>
      <c r="N101" s="788">
        <f>'Benefits Spending LASER'!I101</f>
        <v>4247748.0013287505</v>
      </c>
      <c r="O101" s="789">
        <f t="shared" ref="O101:O125" si="35">SUM(L101:N101)</f>
        <v>134392229.7550914</v>
      </c>
      <c r="P101" s="1428">
        <f t="shared" si="31"/>
        <v>80908125.72981897</v>
      </c>
      <c r="Q101" s="788">
        <f t="shared" si="32"/>
        <v>60683231.913943686</v>
      </c>
      <c r="R101" s="788">
        <f t="shared" si="33"/>
        <v>15478852.001328751</v>
      </c>
      <c r="S101" s="789">
        <f t="shared" si="34"/>
        <v>157070209.64509141</v>
      </c>
      <c r="U101" s="624">
        <f t="shared" ref="U101:U125" si="36">D101/G101</f>
        <v>0.39711984587485039</v>
      </c>
      <c r="V101" s="625">
        <f t="shared" ref="V101:V125" si="37">E101/G101</f>
        <v>0.10421800744247886</v>
      </c>
      <c r="W101" s="625">
        <f t="shared" ref="W101:W125" si="38">F101/G101</f>
        <v>0.49866214668267089</v>
      </c>
      <c r="X101" s="626">
        <f t="shared" si="24"/>
        <v>0.50133785331732916</v>
      </c>
      <c r="Z101" s="1437">
        <f t="shared" si="25"/>
        <v>0.1418161201308113</v>
      </c>
      <c r="AA101" s="1354">
        <f t="shared" si="26"/>
        <v>2.5650450897745439E-3</v>
      </c>
      <c r="AB101" s="1439">
        <f t="shared" si="27"/>
        <v>0.85561883477941403</v>
      </c>
      <c r="AD101" s="1437">
        <f t="shared" si="28"/>
        <v>0.71760767911253875</v>
      </c>
      <c r="AE101" s="1354">
        <f t="shared" si="29"/>
        <v>7.9696440013387517E-3</v>
      </c>
      <c r="AF101" s="1439">
        <f t="shared" si="30"/>
        <v>0.27442267688612249</v>
      </c>
    </row>
    <row r="102" spans="1:32" x14ac:dyDescent="0.25">
      <c r="A102" s="737" t="s">
        <v>34</v>
      </c>
      <c r="B102" s="589" t="s">
        <v>35</v>
      </c>
      <c r="C102" s="738" t="s">
        <v>268</v>
      </c>
      <c r="D102" s="787">
        <f>'Administration LASER'!D101+'Other Oper Exp. LASER'!D101</f>
        <v>1379616.5486696949</v>
      </c>
      <c r="E102" s="788">
        <f>'Administration LASER'!E101+'Other Oper Exp. LASER'!E101</f>
        <v>666118.5813303052</v>
      </c>
      <c r="F102" s="788">
        <f>'Administration LASER'!K101+'Other Oper Exp. LASER'!K101</f>
        <v>640736.47</v>
      </c>
      <c r="G102" s="789">
        <f>'Administration LASER'!I101+'Other Oper Exp. LASER'!I101</f>
        <v>2686471.5999999996</v>
      </c>
      <c r="H102" s="787">
        <f>'Client Services LASER'!D101</f>
        <v>85299.997358634675</v>
      </c>
      <c r="I102" s="788">
        <f>'Client Services LASER'!E101</f>
        <v>111210.66264136533</v>
      </c>
      <c r="J102" s="788">
        <f>'Client Services LASER'!K101</f>
        <v>39283.360000000001</v>
      </c>
      <c r="K102" s="789">
        <f>'Client Services LASER'!I101</f>
        <v>235794.02000000002</v>
      </c>
      <c r="L102" s="787">
        <f>'Benefits Spending LASER'!D102</f>
        <v>22349185.689538535</v>
      </c>
      <c r="M102" s="788">
        <f>'Benefits Spending LASER'!E102</f>
        <v>16955071.828840539</v>
      </c>
      <c r="N102" s="788">
        <f>'Benefits Spending LASER'!I102</f>
        <v>737481.62159312493</v>
      </c>
      <c r="O102" s="789">
        <f t="shared" si="35"/>
        <v>40041739.139972202</v>
      </c>
      <c r="P102" s="1428">
        <f t="shared" si="31"/>
        <v>23814102.235566866</v>
      </c>
      <c r="Q102" s="788">
        <f t="shared" si="32"/>
        <v>17732401.072812211</v>
      </c>
      <c r="R102" s="788">
        <f t="shared" si="33"/>
        <v>1417501.4515931248</v>
      </c>
      <c r="S102" s="789">
        <f t="shared" si="34"/>
        <v>42964004.7599722</v>
      </c>
      <c r="U102" s="624">
        <f t="shared" si="36"/>
        <v>0.51354220482721469</v>
      </c>
      <c r="V102" s="625">
        <f t="shared" si="37"/>
        <v>0.24795295856851987</v>
      </c>
      <c r="W102" s="625">
        <f t="shared" si="38"/>
        <v>0.23850483660426564</v>
      </c>
      <c r="X102" s="626">
        <f t="shared" si="24"/>
        <v>0.76149516339573453</v>
      </c>
      <c r="Z102" s="1437">
        <f t="shared" si="25"/>
        <v>6.2528426179276356E-2</v>
      </c>
      <c r="AA102" s="1354">
        <f t="shared" si="26"/>
        <v>5.4881760049444841E-3</v>
      </c>
      <c r="AB102" s="1439">
        <f t="shared" si="27"/>
        <v>0.93198339781577921</v>
      </c>
      <c r="AD102" s="1437">
        <f t="shared" si="28"/>
        <v>0.45201821083137417</v>
      </c>
      <c r="AE102" s="1354">
        <f t="shared" si="29"/>
        <v>2.7713100368150997E-2</v>
      </c>
      <c r="AF102" s="1439">
        <f t="shared" si="30"/>
        <v>0.52026868880047494</v>
      </c>
    </row>
    <row r="103" spans="1:32" x14ac:dyDescent="0.25">
      <c r="A103" s="737" t="s">
        <v>52</v>
      </c>
      <c r="B103" s="589" t="s">
        <v>53</v>
      </c>
      <c r="C103" s="738" t="s">
        <v>265</v>
      </c>
      <c r="D103" s="787">
        <f>'Administration LASER'!D102+'Other Oper Exp. LASER'!D102</f>
        <v>3763545.0575890257</v>
      </c>
      <c r="E103" s="788">
        <f>'Administration LASER'!E102+'Other Oper Exp. LASER'!E102</f>
        <v>1341782.382410974</v>
      </c>
      <c r="F103" s="788">
        <f>'Administration LASER'!K102+'Other Oper Exp. LASER'!K102</f>
        <v>3261557.18</v>
      </c>
      <c r="G103" s="789">
        <f>'Administration LASER'!I102+'Other Oper Exp. LASER'!I102</f>
        <v>8366884.620000001</v>
      </c>
      <c r="H103" s="787">
        <f>'Client Services LASER'!D102</f>
        <v>158797.01645469206</v>
      </c>
      <c r="I103" s="788">
        <f>'Client Services LASER'!E102</f>
        <v>84398.473545307963</v>
      </c>
      <c r="J103" s="788">
        <f>'Client Services LASER'!K102</f>
        <v>62813.04</v>
      </c>
      <c r="K103" s="789">
        <f>'Client Services LASER'!I102</f>
        <v>306008.53000000003</v>
      </c>
      <c r="L103" s="787">
        <f>'Benefits Spending LASER'!D103</f>
        <v>37174240.124676563</v>
      </c>
      <c r="M103" s="788">
        <f>'Benefits Spending LASER'!E103</f>
        <v>34630137.982515253</v>
      </c>
      <c r="N103" s="788">
        <f>'Benefits Spending LASER'!I103</f>
        <v>2241768.3597550001</v>
      </c>
      <c r="O103" s="789">
        <f t="shared" si="35"/>
        <v>74046146.46694681</v>
      </c>
      <c r="P103" s="1428">
        <f t="shared" si="31"/>
        <v>41096582.198720284</v>
      </c>
      <c r="Q103" s="788">
        <f t="shared" si="32"/>
        <v>36056318.838471532</v>
      </c>
      <c r="R103" s="788">
        <f t="shared" si="33"/>
        <v>5566138.5797550008</v>
      </c>
      <c r="S103" s="789">
        <f t="shared" si="34"/>
        <v>82719039.616946816</v>
      </c>
      <c r="U103" s="624">
        <f t="shared" si="36"/>
        <v>0.44981438474635321</v>
      </c>
      <c r="V103" s="625">
        <f t="shared" si="37"/>
        <v>0.16036821868005799</v>
      </c>
      <c r="W103" s="625">
        <f t="shared" si="38"/>
        <v>0.38981739657358866</v>
      </c>
      <c r="X103" s="626">
        <f t="shared" si="24"/>
        <v>0.61018260342641117</v>
      </c>
      <c r="Z103" s="1437">
        <f t="shared" si="25"/>
        <v>0.10114823212098634</v>
      </c>
      <c r="AA103" s="1354">
        <f t="shared" si="26"/>
        <v>3.699372374450385E-3</v>
      </c>
      <c r="AB103" s="1439">
        <f t="shared" si="27"/>
        <v>0.89515239550456327</v>
      </c>
      <c r="AD103" s="1437">
        <f t="shared" si="28"/>
        <v>0.58596406346454288</v>
      </c>
      <c r="AE103" s="1354">
        <f t="shared" si="29"/>
        <v>1.1284850188326569E-2</v>
      </c>
      <c r="AF103" s="1439">
        <f t="shared" si="30"/>
        <v>0.40275108634713042</v>
      </c>
    </row>
    <row r="104" spans="1:32" x14ac:dyDescent="0.25">
      <c r="A104" s="737" t="s">
        <v>54</v>
      </c>
      <c r="B104" s="589" t="s">
        <v>55</v>
      </c>
      <c r="C104" s="738" t="s">
        <v>264</v>
      </c>
      <c r="D104" s="787">
        <f>'Administration LASER'!D103+'Other Oper Exp. LASER'!D103</f>
        <v>7491964.3871209482</v>
      </c>
      <c r="E104" s="788">
        <f>'Administration LASER'!E103+'Other Oper Exp. LASER'!E103</f>
        <v>2906775.0928790518</v>
      </c>
      <c r="F104" s="788">
        <f>'Administration LASER'!K103+'Other Oper Exp. LASER'!K103</f>
        <v>6287870.1999999993</v>
      </c>
      <c r="G104" s="789">
        <f>'Administration LASER'!I103+'Other Oper Exp. LASER'!I103</f>
        <v>16686609.68</v>
      </c>
      <c r="H104" s="787">
        <f>'Client Services LASER'!D103</f>
        <v>252298.55256239156</v>
      </c>
      <c r="I104" s="788">
        <f>'Client Services LASER'!E103</f>
        <v>224227.96743760843</v>
      </c>
      <c r="J104" s="788">
        <f>'Client Services LASER'!K103</f>
        <v>89032.05</v>
      </c>
      <c r="K104" s="789">
        <f>'Client Services LASER'!I103</f>
        <v>565558.57000000007</v>
      </c>
      <c r="L104" s="787">
        <f>'Benefits Spending LASER'!D104</f>
        <v>138589671.46967286</v>
      </c>
      <c r="M104" s="788">
        <f>'Benefits Spending LASER'!E104</f>
        <v>102978064.12555097</v>
      </c>
      <c r="N104" s="788">
        <f>'Benefits Spending LASER'!I104</f>
        <v>1618564.59340625</v>
      </c>
      <c r="O104" s="789">
        <f t="shared" si="35"/>
        <v>243186300.1886301</v>
      </c>
      <c r="P104" s="1428">
        <f t="shared" si="31"/>
        <v>146333934.40935621</v>
      </c>
      <c r="Q104" s="788">
        <f t="shared" si="32"/>
        <v>106109067.18586764</v>
      </c>
      <c r="R104" s="788">
        <f t="shared" si="33"/>
        <v>7995466.8434062488</v>
      </c>
      <c r="S104" s="789">
        <f t="shared" si="34"/>
        <v>260438468.4386301</v>
      </c>
      <c r="U104" s="624">
        <f t="shared" si="36"/>
        <v>0.44898062163583541</v>
      </c>
      <c r="V104" s="625">
        <f t="shared" si="37"/>
        <v>0.17419806351454442</v>
      </c>
      <c r="W104" s="625">
        <f t="shared" si="38"/>
        <v>0.37682131484962017</v>
      </c>
      <c r="X104" s="626">
        <f t="shared" si="24"/>
        <v>0.62317868515037989</v>
      </c>
      <c r="Z104" s="1437">
        <f t="shared" si="25"/>
        <v>6.4071217205502976E-2</v>
      </c>
      <c r="AA104" s="1354">
        <f t="shared" si="26"/>
        <v>2.1715631081330395E-3</v>
      </c>
      <c r="AB104" s="1439">
        <f t="shared" si="27"/>
        <v>0.93375721968636394</v>
      </c>
      <c r="AD104" s="1437">
        <f t="shared" si="28"/>
        <v>0.78642940095305613</v>
      </c>
      <c r="AE104" s="1354">
        <f t="shared" si="29"/>
        <v>1.1135316016402908E-2</v>
      </c>
      <c r="AF104" s="1439">
        <f t="shared" si="30"/>
        <v>0.20243528303054098</v>
      </c>
    </row>
    <row r="105" spans="1:32" x14ac:dyDescent="0.25">
      <c r="A105" s="737" t="s">
        <v>66</v>
      </c>
      <c r="B105" s="589" t="s">
        <v>67</v>
      </c>
      <c r="C105" s="738" t="s">
        <v>265</v>
      </c>
      <c r="D105" s="787">
        <f>'Administration LASER'!D104+'Other Oper Exp. LASER'!D104</f>
        <v>2957784.8794163852</v>
      </c>
      <c r="E105" s="788">
        <f>'Administration LASER'!E104+'Other Oper Exp. LASER'!E104</f>
        <v>1391965.5505836147</v>
      </c>
      <c r="F105" s="788">
        <f>'Administration LASER'!K104+'Other Oper Exp. LASER'!K104</f>
        <v>1555344.65</v>
      </c>
      <c r="G105" s="789">
        <f>'Administration LASER'!I104+'Other Oper Exp. LASER'!I104</f>
        <v>5905095.0800000001</v>
      </c>
      <c r="H105" s="787">
        <f>'Client Services LASER'!D104</f>
        <v>111043.35533792133</v>
      </c>
      <c r="I105" s="788">
        <f>'Client Services LASER'!E104</f>
        <v>44463.414662078671</v>
      </c>
      <c r="J105" s="788">
        <f>'Client Services LASER'!K104</f>
        <v>32895.550000000003</v>
      </c>
      <c r="K105" s="789">
        <f>'Client Services LASER'!I104</f>
        <v>188402.32</v>
      </c>
      <c r="L105" s="787">
        <f>'Benefits Spending LASER'!D105</f>
        <v>81702238.9310835</v>
      </c>
      <c r="M105" s="788">
        <f>'Benefits Spending LASER'!E105</f>
        <v>63558034.720989287</v>
      </c>
      <c r="N105" s="788">
        <f>'Benefits Spending LASER'!I105</f>
        <v>993260.16894624999</v>
      </c>
      <c r="O105" s="789">
        <f t="shared" si="35"/>
        <v>146253533.82101902</v>
      </c>
      <c r="P105" s="1428">
        <f t="shared" si="31"/>
        <v>84771067.165837809</v>
      </c>
      <c r="Q105" s="788">
        <f t="shared" si="32"/>
        <v>64994463.686234981</v>
      </c>
      <c r="R105" s="788">
        <f t="shared" si="33"/>
        <v>2581500.3689462501</v>
      </c>
      <c r="S105" s="789">
        <f t="shared" si="34"/>
        <v>152347031.22101903</v>
      </c>
      <c r="U105" s="624">
        <f t="shared" si="36"/>
        <v>0.5008869187278836</v>
      </c>
      <c r="V105" s="625">
        <f t="shared" si="37"/>
        <v>0.23572280068750642</v>
      </c>
      <c r="W105" s="625">
        <f t="shared" si="38"/>
        <v>0.26339028058460995</v>
      </c>
      <c r="X105" s="626">
        <f t="shared" si="24"/>
        <v>0.73660971941539</v>
      </c>
      <c r="Z105" s="1437">
        <f t="shared" si="25"/>
        <v>3.8760814914949822E-2</v>
      </c>
      <c r="AA105" s="1354">
        <f t="shared" si="26"/>
        <v>1.2366655161574721E-3</v>
      </c>
      <c r="AB105" s="1439">
        <f t="shared" si="27"/>
        <v>0.96000251956889271</v>
      </c>
      <c r="AD105" s="1437">
        <f t="shared" si="28"/>
        <v>0.60249638880930334</v>
      </c>
      <c r="AE105" s="1354">
        <f t="shared" si="29"/>
        <v>1.2742802749793032E-2</v>
      </c>
      <c r="AF105" s="1439">
        <f t="shared" si="30"/>
        <v>0.38476080844090355</v>
      </c>
    </row>
    <row r="106" spans="1:32" x14ac:dyDescent="0.25">
      <c r="A106" s="737" t="s">
        <v>82</v>
      </c>
      <c r="B106" s="589" t="s">
        <v>311</v>
      </c>
      <c r="C106" s="738" t="s">
        <v>264</v>
      </c>
      <c r="D106" s="787">
        <f>'Administration LASER'!D105+'Other Oper Exp. LASER'!D105</f>
        <v>733677.73152353405</v>
      </c>
      <c r="E106" s="788">
        <f>'Administration LASER'!E105+'Other Oper Exp. LASER'!E105</f>
        <v>315767.92847646604</v>
      </c>
      <c r="F106" s="788">
        <f>'Administration LASER'!K105+'Other Oper Exp. LASER'!K105</f>
        <v>482946.48000000004</v>
      </c>
      <c r="G106" s="789">
        <f>'Administration LASER'!I105+'Other Oper Exp. LASER'!I105</f>
        <v>1532392.14</v>
      </c>
      <c r="H106" s="787">
        <f>'Client Services LASER'!D105</f>
        <v>17708.255741383517</v>
      </c>
      <c r="I106" s="788">
        <f>'Client Services LASER'!E105</f>
        <v>22585.944258616484</v>
      </c>
      <c r="J106" s="788">
        <f>'Client Services LASER'!K105</f>
        <v>7424.41</v>
      </c>
      <c r="K106" s="789">
        <f>'Client Services LASER'!I105</f>
        <v>47718.61</v>
      </c>
      <c r="L106" s="787">
        <f>'Benefits Spending LASER'!D106</f>
        <v>16174619.14271803</v>
      </c>
      <c r="M106" s="788">
        <f>'Benefits Spending LASER'!E106</f>
        <v>12016234.816008849</v>
      </c>
      <c r="N106" s="788">
        <f>'Benefits Spending LASER'!I106</f>
        <v>70813.631724999999</v>
      </c>
      <c r="O106" s="789">
        <f t="shared" si="35"/>
        <v>28261667.590451878</v>
      </c>
      <c r="P106" s="1428">
        <f t="shared" si="31"/>
        <v>16926005.129982948</v>
      </c>
      <c r="Q106" s="788">
        <f t="shared" si="32"/>
        <v>12354588.688743932</v>
      </c>
      <c r="R106" s="788">
        <f t="shared" si="33"/>
        <v>561184.521725</v>
      </c>
      <c r="S106" s="789">
        <f t="shared" si="34"/>
        <v>29841778.340451878</v>
      </c>
      <c r="U106" s="624">
        <f t="shared" si="36"/>
        <v>0.47877936226136875</v>
      </c>
      <c r="V106" s="625">
        <f t="shared" si="37"/>
        <v>0.20606209091914687</v>
      </c>
      <c r="W106" s="625">
        <f t="shared" si="38"/>
        <v>0.31515854681948452</v>
      </c>
      <c r="X106" s="626">
        <f t="shared" si="24"/>
        <v>0.6848414531805157</v>
      </c>
      <c r="Z106" s="1437">
        <f t="shared" si="25"/>
        <v>5.1350563713650176E-2</v>
      </c>
      <c r="AA106" s="1354">
        <f t="shared" si="26"/>
        <v>1.5990538316986045E-3</v>
      </c>
      <c r="AB106" s="1439">
        <f t="shared" si="27"/>
        <v>0.94705038245465123</v>
      </c>
      <c r="AD106" s="1437">
        <f t="shared" si="28"/>
        <v>0.86058410612518754</v>
      </c>
      <c r="AE106" s="1354">
        <f t="shared" si="29"/>
        <v>1.32298909050065E-2</v>
      </c>
      <c r="AF106" s="1439">
        <f t="shared" si="30"/>
        <v>0.12618600296980598</v>
      </c>
    </row>
    <row r="107" spans="1:32" x14ac:dyDescent="0.25">
      <c r="A107" s="737" t="s">
        <v>88</v>
      </c>
      <c r="B107" s="589" t="s">
        <v>89</v>
      </c>
      <c r="C107" s="738" t="s">
        <v>267</v>
      </c>
      <c r="D107" s="787">
        <f>'Administration LASER'!D106+'Other Oper Exp. LASER'!D106</f>
        <v>1465502.6435893774</v>
      </c>
      <c r="E107" s="788">
        <f>'Administration LASER'!E106+'Other Oper Exp. LASER'!E106</f>
        <v>537034.98641062237</v>
      </c>
      <c r="F107" s="788">
        <f>'Administration LASER'!K106+'Other Oper Exp. LASER'!K106</f>
        <v>1162335.3800000001</v>
      </c>
      <c r="G107" s="789">
        <f>'Administration LASER'!I106+'Other Oper Exp. LASER'!I106</f>
        <v>3164873.01</v>
      </c>
      <c r="H107" s="787">
        <f>'Client Services LASER'!D106</f>
        <v>53648.992825006579</v>
      </c>
      <c r="I107" s="788">
        <f>'Client Services LASER'!E106</f>
        <v>29920.477174993415</v>
      </c>
      <c r="J107" s="788">
        <f>'Client Services LASER'!K106</f>
        <v>26533.09</v>
      </c>
      <c r="K107" s="789">
        <f>'Client Services LASER'!I106</f>
        <v>110102.56</v>
      </c>
      <c r="L107" s="787">
        <f>'Benefits Spending LASER'!D107</f>
        <v>24859157.700829983</v>
      </c>
      <c r="M107" s="788">
        <f>'Benefits Spending LASER'!E107</f>
        <v>19245431.791991025</v>
      </c>
      <c r="N107" s="788">
        <f>'Benefits Spending LASER'!I107</f>
        <v>609667.90703875001</v>
      </c>
      <c r="O107" s="789">
        <f t="shared" si="35"/>
        <v>44714257.399859756</v>
      </c>
      <c r="P107" s="1428">
        <f t="shared" si="31"/>
        <v>26378309.337244365</v>
      </c>
      <c r="Q107" s="788">
        <f t="shared" si="32"/>
        <v>19812387.25557664</v>
      </c>
      <c r="R107" s="788">
        <f t="shared" si="33"/>
        <v>1798536.3770387503</v>
      </c>
      <c r="S107" s="789">
        <f t="shared" si="34"/>
        <v>47989232.969859757</v>
      </c>
      <c r="U107" s="624">
        <f t="shared" si="36"/>
        <v>0.46305258977496144</v>
      </c>
      <c r="V107" s="625">
        <f t="shared" si="37"/>
        <v>0.16968610895721922</v>
      </c>
      <c r="W107" s="625">
        <f t="shared" si="38"/>
        <v>0.36726130126781936</v>
      </c>
      <c r="X107" s="626">
        <f t="shared" si="24"/>
        <v>0.63273869873218069</v>
      </c>
      <c r="Z107" s="1437">
        <f t="shared" si="25"/>
        <v>6.5949647746771409E-2</v>
      </c>
      <c r="AA107" s="1354">
        <f t="shared" si="26"/>
        <v>2.2943179789756442E-3</v>
      </c>
      <c r="AB107" s="1439">
        <f t="shared" si="27"/>
        <v>0.93175603427425291</v>
      </c>
      <c r="AD107" s="1437">
        <f t="shared" si="28"/>
        <v>0.64626737320362637</v>
      </c>
      <c r="AE107" s="1354">
        <f t="shared" si="29"/>
        <v>1.4752601247735747E-2</v>
      </c>
      <c r="AF107" s="1439">
        <f t="shared" si="30"/>
        <v>0.33898002554863776</v>
      </c>
    </row>
    <row r="108" spans="1:32" x14ac:dyDescent="0.25">
      <c r="A108" s="737" t="s">
        <v>90</v>
      </c>
      <c r="B108" s="589" t="s">
        <v>91</v>
      </c>
      <c r="C108" s="738" t="s">
        <v>268</v>
      </c>
      <c r="D108" s="787">
        <f>'Administration LASER'!D107+'Other Oper Exp. LASER'!D107</f>
        <v>471342.92659764457</v>
      </c>
      <c r="E108" s="788">
        <f>'Administration LASER'!E107+'Other Oper Exp. LASER'!E107</f>
        <v>235457.2934023554</v>
      </c>
      <c r="F108" s="788">
        <f>'Administration LASER'!K107+'Other Oper Exp. LASER'!K107</f>
        <v>224078.88</v>
      </c>
      <c r="G108" s="789">
        <f>'Administration LASER'!I107+'Other Oper Exp. LASER'!I107</f>
        <v>930879.1</v>
      </c>
      <c r="H108" s="787">
        <f>'Client Services LASER'!D107</f>
        <v>26455.963831520283</v>
      </c>
      <c r="I108" s="788">
        <f>'Client Services LASER'!E107</f>
        <v>9687.1261684797137</v>
      </c>
      <c r="J108" s="788">
        <f>'Client Services LASER'!K107</f>
        <v>7309.52</v>
      </c>
      <c r="K108" s="789">
        <f>'Client Services LASER'!I107</f>
        <v>43452.609999999993</v>
      </c>
      <c r="L108" s="787">
        <f>'Benefits Spending LASER'!D108</f>
        <v>11301573.308326054</v>
      </c>
      <c r="M108" s="788">
        <f>'Benefits Spending LASER'!E108</f>
        <v>8625819.2029202096</v>
      </c>
      <c r="N108" s="788">
        <f>'Benefits Spending LASER'!I108</f>
        <v>130611.2585675</v>
      </c>
      <c r="O108" s="789">
        <f t="shared" si="35"/>
        <v>20058003.769813765</v>
      </c>
      <c r="P108" s="1428">
        <f t="shared" si="31"/>
        <v>11799372.19875522</v>
      </c>
      <c r="Q108" s="788">
        <f t="shared" si="32"/>
        <v>8870963.6224910449</v>
      </c>
      <c r="R108" s="788">
        <f t="shared" si="33"/>
        <v>361999.65856750001</v>
      </c>
      <c r="S108" s="789">
        <f t="shared" si="34"/>
        <v>21032335.479813766</v>
      </c>
      <c r="U108" s="624">
        <f t="shared" si="36"/>
        <v>0.50634172213947504</v>
      </c>
      <c r="V108" s="625">
        <f t="shared" si="37"/>
        <v>0.25294078833906081</v>
      </c>
      <c r="W108" s="625">
        <f t="shared" si="38"/>
        <v>0.24071748952146418</v>
      </c>
      <c r="X108" s="626">
        <f t="shared" si="24"/>
        <v>0.75928251047853579</v>
      </c>
      <c r="Z108" s="1437">
        <f t="shared" si="25"/>
        <v>4.4259426200834E-2</v>
      </c>
      <c r="AA108" s="1354">
        <f t="shared" si="26"/>
        <v>2.0659907237455663E-3</v>
      </c>
      <c r="AB108" s="1439">
        <f t="shared" si="27"/>
        <v>0.95367458307542041</v>
      </c>
      <c r="AD108" s="1437">
        <f t="shared" si="28"/>
        <v>0.6190030147727813</v>
      </c>
      <c r="AE108" s="1354">
        <f t="shared" si="29"/>
        <v>2.0192063243719981E-2</v>
      </c>
      <c r="AF108" s="1439">
        <f t="shared" si="30"/>
        <v>0.36080492198349867</v>
      </c>
    </row>
    <row r="109" spans="1:32" x14ac:dyDescent="0.25">
      <c r="A109" s="737" t="s">
        <v>106</v>
      </c>
      <c r="B109" s="589" t="s">
        <v>107</v>
      </c>
      <c r="C109" s="738" t="s">
        <v>264</v>
      </c>
      <c r="D109" s="787">
        <f>'Administration LASER'!D108+'Other Oper Exp. LASER'!D108</f>
        <v>6410614.1319846977</v>
      </c>
      <c r="E109" s="788">
        <f>'Administration LASER'!E108+'Other Oper Exp. LASER'!E108</f>
        <v>3092250.4880153029</v>
      </c>
      <c r="F109" s="788">
        <f>'Administration LASER'!K108+'Other Oper Exp. LASER'!K108</f>
        <v>3118977.9000000004</v>
      </c>
      <c r="G109" s="789">
        <f>'Administration LASER'!I108+'Other Oper Exp. LASER'!I108</f>
        <v>12621842.52</v>
      </c>
      <c r="H109" s="787">
        <f>'Client Services LASER'!D108</f>
        <v>370386.4553963705</v>
      </c>
      <c r="I109" s="788">
        <f>'Client Services LASER'!E108</f>
        <v>338544.59460362955</v>
      </c>
      <c r="J109" s="788">
        <f>'Client Services LASER'!K108</f>
        <v>155077.03999999998</v>
      </c>
      <c r="K109" s="789">
        <f>'Client Services LASER'!I108</f>
        <v>864008.09</v>
      </c>
      <c r="L109" s="787">
        <f>'Benefits Spending LASER'!D109</f>
        <v>126442552.31126079</v>
      </c>
      <c r="M109" s="788">
        <f>'Benefits Spending LASER'!E109</f>
        <v>98834674.54816106</v>
      </c>
      <c r="N109" s="788">
        <f>'Benefits Spending LASER'!I109</f>
        <v>1639258.9262874997</v>
      </c>
      <c r="O109" s="789">
        <f t="shared" si="35"/>
        <v>226916485.78570935</v>
      </c>
      <c r="P109" s="1428">
        <f t="shared" si="31"/>
        <v>133223552.89864185</v>
      </c>
      <c r="Q109" s="788">
        <f t="shared" si="32"/>
        <v>102265469.63078</v>
      </c>
      <c r="R109" s="788">
        <f t="shared" si="33"/>
        <v>4913313.8662874997</v>
      </c>
      <c r="S109" s="789">
        <f t="shared" si="34"/>
        <v>240402336.39570934</v>
      </c>
      <c r="U109" s="624">
        <f t="shared" si="36"/>
        <v>0.50789844048733213</v>
      </c>
      <c r="V109" s="625">
        <f t="shared" si="37"/>
        <v>0.24499200359341064</v>
      </c>
      <c r="W109" s="625">
        <f t="shared" si="38"/>
        <v>0.24710955591925737</v>
      </c>
      <c r="X109" s="626">
        <f t="shared" si="24"/>
        <v>0.75289044408074279</v>
      </c>
      <c r="Z109" s="1437">
        <f t="shared" si="25"/>
        <v>5.2502994393632159E-2</v>
      </c>
      <c r="AA109" s="1354">
        <f t="shared" si="26"/>
        <v>3.5940087062124771E-3</v>
      </c>
      <c r="AB109" s="1439">
        <f t="shared" si="27"/>
        <v>0.94390299690015544</v>
      </c>
      <c r="AD109" s="1437">
        <f t="shared" si="28"/>
        <v>0.63480127361712801</v>
      </c>
      <c r="AE109" s="1354">
        <f t="shared" si="29"/>
        <v>3.1562616234239518E-2</v>
      </c>
      <c r="AF109" s="1439">
        <f t="shared" si="30"/>
        <v>0.33363611014863254</v>
      </c>
    </row>
    <row r="110" spans="1:32" x14ac:dyDescent="0.25">
      <c r="A110" s="737" t="s">
        <v>116</v>
      </c>
      <c r="B110" s="589" t="s">
        <v>117</v>
      </c>
      <c r="C110" s="738" t="s">
        <v>266</v>
      </c>
      <c r="D110" s="787">
        <f>'Administration LASER'!D109+'Other Oper Exp. LASER'!D109</f>
        <v>1748861.4571052331</v>
      </c>
      <c r="E110" s="788">
        <f>'Administration LASER'!E109+'Other Oper Exp. LASER'!E109</f>
        <v>800725.46289476648</v>
      </c>
      <c r="F110" s="788">
        <f>'Administration LASER'!K109+'Other Oper Exp. LASER'!K109</f>
        <v>985869.36</v>
      </c>
      <c r="G110" s="789">
        <f>'Administration LASER'!I109+'Other Oper Exp. LASER'!I109</f>
        <v>3535456.28</v>
      </c>
      <c r="H110" s="787">
        <f>'Client Services LASER'!D109</f>
        <v>95339.440713088814</v>
      </c>
      <c r="I110" s="788">
        <f>'Client Services LASER'!E109</f>
        <v>228101.8892869112</v>
      </c>
      <c r="J110" s="788">
        <f>'Client Services LASER'!K109</f>
        <v>59717.219999999994</v>
      </c>
      <c r="K110" s="789">
        <f>'Client Services LASER'!I109</f>
        <v>383158.55000000005</v>
      </c>
      <c r="L110" s="787">
        <f>'Benefits Spending LASER'!D110</f>
        <v>35307401.656947508</v>
      </c>
      <c r="M110" s="788">
        <f>'Benefits Spending LASER'!E110</f>
        <v>25596544.36994547</v>
      </c>
      <c r="N110" s="788">
        <f>'Benefits Spending LASER'!I110</f>
        <v>824617.09899974999</v>
      </c>
      <c r="O110" s="789">
        <f t="shared" si="35"/>
        <v>61728563.125892729</v>
      </c>
      <c r="P110" s="1428">
        <f t="shared" si="31"/>
        <v>37151602.554765828</v>
      </c>
      <c r="Q110" s="788">
        <f t="shared" si="32"/>
        <v>26625371.722127147</v>
      </c>
      <c r="R110" s="788">
        <f t="shared" si="33"/>
        <v>1870203.6789997499</v>
      </c>
      <c r="S110" s="789">
        <f t="shared" si="34"/>
        <v>65647177.955892727</v>
      </c>
      <c r="U110" s="624">
        <f t="shared" si="36"/>
        <v>0.49466357906856456</v>
      </c>
      <c r="V110" s="625">
        <f t="shared" si="37"/>
        <v>0.22648433454670425</v>
      </c>
      <c r="W110" s="625">
        <f t="shared" si="38"/>
        <v>0.27885208638473108</v>
      </c>
      <c r="X110" s="626">
        <f t="shared" si="24"/>
        <v>0.72114791361526875</v>
      </c>
      <c r="Z110" s="1437">
        <f t="shared" si="25"/>
        <v>5.3855419076436394E-2</v>
      </c>
      <c r="AA110" s="1354">
        <f t="shared" si="26"/>
        <v>5.8366339868781269E-3</v>
      </c>
      <c r="AB110" s="1439">
        <f t="shared" si="27"/>
        <v>0.94030794693668551</v>
      </c>
      <c r="AD110" s="1437">
        <f t="shared" si="28"/>
        <v>0.52714545002246882</v>
      </c>
      <c r="AE110" s="1354">
        <f t="shared" si="29"/>
        <v>3.1930864360152925E-2</v>
      </c>
      <c r="AF110" s="1439">
        <f t="shared" si="30"/>
        <v>0.44092368561737827</v>
      </c>
    </row>
    <row r="111" spans="1:32" x14ac:dyDescent="0.25">
      <c r="A111" s="737" t="s">
        <v>138</v>
      </c>
      <c r="B111" s="589" t="s">
        <v>139</v>
      </c>
      <c r="C111" s="738" t="s">
        <v>265</v>
      </c>
      <c r="D111" s="787">
        <f>'Administration LASER'!D110+'Other Oper Exp. LASER'!D110</f>
        <v>4535726.5202378994</v>
      </c>
      <c r="E111" s="788">
        <f>'Administration LASER'!E110+'Other Oper Exp. LASER'!E110</f>
        <v>1922827.0197621007</v>
      </c>
      <c r="F111" s="788">
        <f>'Administration LASER'!K110+'Other Oper Exp. LASER'!K110</f>
        <v>3205995.6399999997</v>
      </c>
      <c r="G111" s="789">
        <f>'Administration LASER'!I110+'Other Oper Exp. LASER'!I110</f>
        <v>9664549.1799999997</v>
      </c>
      <c r="H111" s="787">
        <f>'Client Services LASER'!D110</f>
        <v>202199.10930220989</v>
      </c>
      <c r="I111" s="788">
        <f>'Client Services LASER'!E110</f>
        <v>111087.74069779013</v>
      </c>
      <c r="J111" s="788">
        <f>'Client Services LASER'!K110</f>
        <v>60815.41</v>
      </c>
      <c r="K111" s="789">
        <f>'Client Services LASER'!I110</f>
        <v>374102.26</v>
      </c>
      <c r="L111" s="787">
        <f>'Benefits Spending LASER'!D111</f>
        <v>82685410.529887035</v>
      </c>
      <c r="M111" s="788">
        <f>'Benefits Spending LASER'!E111</f>
        <v>66991711.74960696</v>
      </c>
      <c r="N111" s="788">
        <f>'Benefits Spending LASER'!I111</f>
        <v>2041086.8248950003</v>
      </c>
      <c r="O111" s="789">
        <f t="shared" si="35"/>
        <v>151718209.10438898</v>
      </c>
      <c r="P111" s="1428">
        <f t="shared" si="31"/>
        <v>87423336.159427151</v>
      </c>
      <c r="Q111" s="788">
        <f t="shared" si="32"/>
        <v>69025626.510066852</v>
      </c>
      <c r="R111" s="788">
        <f t="shared" si="33"/>
        <v>5307897.8748949999</v>
      </c>
      <c r="S111" s="789">
        <f t="shared" si="34"/>
        <v>161756860.54438898</v>
      </c>
      <c r="U111" s="624">
        <f t="shared" si="36"/>
        <v>0.4693158921084718</v>
      </c>
      <c r="V111" s="625">
        <f t="shared" si="37"/>
        <v>0.19895672151384311</v>
      </c>
      <c r="W111" s="625">
        <f t="shared" si="38"/>
        <v>0.33172738637768512</v>
      </c>
      <c r="X111" s="626">
        <f t="shared" si="24"/>
        <v>0.66827261362231494</v>
      </c>
      <c r="Z111" s="1437">
        <f t="shared" si="25"/>
        <v>5.9747383495662457E-2</v>
      </c>
      <c r="AA111" s="1354">
        <f t="shared" si="26"/>
        <v>2.3127443172485389E-3</v>
      </c>
      <c r="AB111" s="1439">
        <f t="shared" si="27"/>
        <v>0.93793987218708896</v>
      </c>
      <c r="AD111" s="1437">
        <f t="shared" si="28"/>
        <v>0.6040047709213735</v>
      </c>
      <c r="AE111" s="1354">
        <f t="shared" si="29"/>
        <v>1.1457532046281702E-2</v>
      </c>
      <c r="AF111" s="1439">
        <f t="shared" si="30"/>
        <v>0.38453769703234481</v>
      </c>
    </row>
    <row r="112" spans="1:32" x14ac:dyDescent="0.25">
      <c r="A112" s="737" t="s">
        <v>142</v>
      </c>
      <c r="B112" s="589" t="s">
        <v>143</v>
      </c>
      <c r="C112" s="738" t="s">
        <v>267</v>
      </c>
      <c r="D112" s="787">
        <f>'Administration LASER'!D111+'Other Oper Exp. LASER'!D111</f>
        <v>1425833.4867592508</v>
      </c>
      <c r="E112" s="788">
        <f>'Administration LASER'!E111+'Other Oper Exp. LASER'!E111</f>
        <v>454974.72324074915</v>
      </c>
      <c r="F112" s="788">
        <f>'Administration LASER'!K111+'Other Oper Exp. LASER'!K111</f>
        <v>1430576.1199999999</v>
      </c>
      <c r="G112" s="789">
        <f>'Administration LASER'!I111+'Other Oper Exp. LASER'!I111</f>
        <v>3311384.33</v>
      </c>
      <c r="H112" s="787">
        <f>'Client Services LASER'!D111</f>
        <v>31474.939812533987</v>
      </c>
      <c r="I112" s="788">
        <f>'Client Services LASER'!E111</f>
        <v>38402.040187466009</v>
      </c>
      <c r="J112" s="788">
        <f>'Client Services LASER'!K111</f>
        <v>12571.990000000002</v>
      </c>
      <c r="K112" s="789">
        <f>'Client Services LASER'!I111</f>
        <v>82448.969999999987</v>
      </c>
      <c r="L112" s="787">
        <f>'Benefits Spending LASER'!D112</f>
        <v>26490252.169937771</v>
      </c>
      <c r="M112" s="788">
        <f>'Benefits Spending LASER'!E112</f>
        <v>18233585.521776684</v>
      </c>
      <c r="N112" s="788">
        <f>'Benefits Spending LASER'!I112</f>
        <v>624296.28784499993</v>
      </c>
      <c r="O112" s="789">
        <f t="shared" si="35"/>
        <v>45348133.979559451</v>
      </c>
      <c r="P112" s="1428">
        <f t="shared" si="31"/>
        <v>27947560.596509557</v>
      </c>
      <c r="Q112" s="788">
        <f t="shared" si="32"/>
        <v>18726962.285204899</v>
      </c>
      <c r="R112" s="788">
        <f t="shared" si="33"/>
        <v>2067444.3978449998</v>
      </c>
      <c r="S112" s="789">
        <f t="shared" si="34"/>
        <v>48741967.279559448</v>
      </c>
      <c r="U112" s="624">
        <f t="shared" si="36"/>
        <v>0.43058532162566909</v>
      </c>
      <c r="V112" s="625">
        <f t="shared" si="37"/>
        <v>0.13739713603124684</v>
      </c>
      <c r="W112" s="625">
        <f t="shared" si="38"/>
        <v>0.43201754234308398</v>
      </c>
      <c r="X112" s="626">
        <f t="shared" si="24"/>
        <v>0.56798245765691591</v>
      </c>
      <c r="Z112" s="1437">
        <f t="shared" si="25"/>
        <v>6.7937026649079676E-2</v>
      </c>
      <c r="AA112" s="1354">
        <f t="shared" si="26"/>
        <v>1.6915396444118493E-3</v>
      </c>
      <c r="AB112" s="1439">
        <f t="shared" si="27"/>
        <v>0.93037143370650854</v>
      </c>
      <c r="AD112" s="1437">
        <f t="shared" si="28"/>
        <v>0.69195385447422941</v>
      </c>
      <c r="AE112" s="1354">
        <f t="shared" si="29"/>
        <v>6.0809325818408531E-3</v>
      </c>
      <c r="AF112" s="1439">
        <f t="shared" si="30"/>
        <v>0.30196521294392975</v>
      </c>
    </row>
    <row r="113" spans="1:32" x14ac:dyDescent="0.25">
      <c r="A113" s="737" t="s">
        <v>144</v>
      </c>
      <c r="B113" s="589" t="s">
        <v>145</v>
      </c>
      <c r="C113" s="738" t="s">
        <v>267</v>
      </c>
      <c r="D113" s="787">
        <f>'Administration LASER'!D112+'Other Oper Exp. LASER'!D112</f>
        <v>599242.51501431328</v>
      </c>
      <c r="E113" s="788">
        <f>'Administration LASER'!E112+'Other Oper Exp. LASER'!E112</f>
        <v>192026.94498568666</v>
      </c>
      <c r="F113" s="788">
        <f>'Administration LASER'!K112+'Other Oper Exp. LASER'!K112</f>
        <v>629010.30000000005</v>
      </c>
      <c r="G113" s="789">
        <f>'Administration LASER'!I112+'Other Oper Exp. LASER'!I112</f>
        <v>1420279.76</v>
      </c>
      <c r="H113" s="787">
        <f>'Client Services LASER'!D112</f>
        <v>33917.760660492648</v>
      </c>
      <c r="I113" s="788">
        <f>'Client Services LASER'!E112</f>
        <v>13946.779339507353</v>
      </c>
      <c r="J113" s="788">
        <f>'Client Services LASER'!K112</f>
        <v>9066.9599999999991</v>
      </c>
      <c r="K113" s="789">
        <f>'Client Services LASER'!I112</f>
        <v>56931.5</v>
      </c>
      <c r="L113" s="787">
        <f>'Benefits Spending LASER'!D113</f>
        <v>8417479.5645267572</v>
      </c>
      <c r="M113" s="788">
        <f>'Benefits Spending LASER'!E113</f>
        <v>6191170.6104405895</v>
      </c>
      <c r="N113" s="788">
        <f>'Benefits Spending LASER'!I113</f>
        <v>418941.26968937495</v>
      </c>
      <c r="O113" s="789">
        <f t="shared" si="35"/>
        <v>15027591.444656722</v>
      </c>
      <c r="P113" s="1428">
        <f t="shared" si="31"/>
        <v>9050639.8402015641</v>
      </c>
      <c r="Q113" s="788">
        <f t="shared" si="32"/>
        <v>6397144.3347657835</v>
      </c>
      <c r="R113" s="788">
        <f t="shared" si="33"/>
        <v>1057018.5296893748</v>
      </c>
      <c r="S113" s="789">
        <f t="shared" si="34"/>
        <v>16504802.704656722</v>
      </c>
      <c r="U113" s="624">
        <f t="shared" si="36"/>
        <v>0.42191864722082167</v>
      </c>
      <c r="V113" s="625">
        <f t="shared" si="37"/>
        <v>0.13520360593302172</v>
      </c>
      <c r="W113" s="625">
        <f t="shared" si="38"/>
        <v>0.44287774684615661</v>
      </c>
      <c r="X113" s="626">
        <f t="shared" si="24"/>
        <v>0.55712225315384345</v>
      </c>
      <c r="Z113" s="1437">
        <f t="shared" si="25"/>
        <v>8.6052513647998791E-2</v>
      </c>
      <c r="AA113" s="1354">
        <f t="shared" si="26"/>
        <v>3.4493899150904207E-3</v>
      </c>
      <c r="AB113" s="1439">
        <f t="shared" si="27"/>
        <v>0.91049809643691082</v>
      </c>
      <c r="AD113" s="1437">
        <f t="shared" si="28"/>
        <v>0.59507972881501592</v>
      </c>
      <c r="AE113" s="1354">
        <f t="shared" si="29"/>
        <v>8.577862871206713E-3</v>
      </c>
      <c r="AF113" s="1439">
        <f t="shared" si="30"/>
        <v>0.39634240831377748</v>
      </c>
    </row>
    <row r="114" spans="1:32" x14ac:dyDescent="0.25">
      <c r="A114" s="737" t="s">
        <v>158</v>
      </c>
      <c r="B114" s="589" t="s">
        <v>159</v>
      </c>
      <c r="C114" s="738" t="s">
        <v>264</v>
      </c>
      <c r="D114" s="787">
        <f>'Administration LASER'!D113+'Other Oper Exp. LASER'!D113</f>
        <v>12322408.936691808</v>
      </c>
      <c r="E114" s="788">
        <f>'Administration LASER'!E113+'Other Oper Exp. LASER'!E113</f>
        <v>4859104.3633081932</v>
      </c>
      <c r="F114" s="788">
        <f>'Administration LASER'!K113+'Other Oper Exp. LASER'!K113</f>
        <v>9058431.3699999992</v>
      </c>
      <c r="G114" s="789">
        <f>'Administration LASER'!I113+'Other Oper Exp. LASER'!I113</f>
        <v>26239944.669999998</v>
      </c>
      <c r="H114" s="787">
        <f>'Client Services LASER'!D113</f>
        <v>426546.18078183063</v>
      </c>
      <c r="I114" s="788">
        <f>'Client Services LASER'!E113</f>
        <v>512249.01921816933</v>
      </c>
      <c r="J114" s="788">
        <f>'Client Services LASER'!K113</f>
        <v>179903.65999999997</v>
      </c>
      <c r="K114" s="789">
        <f>'Client Services LASER'!I113</f>
        <v>1118698.8599999999</v>
      </c>
      <c r="L114" s="787">
        <f>'Benefits Spending LASER'!D114</f>
        <v>176011008.23273286</v>
      </c>
      <c r="M114" s="788">
        <f>'Benefits Spending LASER'!E114</f>
        <v>124138516.27523038</v>
      </c>
      <c r="N114" s="788">
        <f>'Benefits Spending LASER'!I114</f>
        <v>1884204.0098524999</v>
      </c>
      <c r="O114" s="789">
        <f t="shared" si="35"/>
        <v>302033728.51781577</v>
      </c>
      <c r="P114" s="1428">
        <f t="shared" si="31"/>
        <v>188759963.35020649</v>
      </c>
      <c r="Q114" s="788">
        <f t="shared" si="32"/>
        <v>129509869.65775675</v>
      </c>
      <c r="R114" s="788">
        <f t="shared" si="33"/>
        <v>11122539.0398525</v>
      </c>
      <c r="S114" s="789">
        <f t="shared" si="34"/>
        <v>329392372.04781574</v>
      </c>
      <c r="U114" s="624">
        <f t="shared" si="36"/>
        <v>0.46960498932682426</v>
      </c>
      <c r="V114" s="625">
        <f t="shared" si="37"/>
        <v>0.18517967261049845</v>
      </c>
      <c r="W114" s="625">
        <f t="shared" si="38"/>
        <v>0.3452153380626774</v>
      </c>
      <c r="X114" s="626">
        <f t="shared" si="24"/>
        <v>0.65478466193732265</v>
      </c>
      <c r="Z114" s="1437">
        <f t="shared" si="25"/>
        <v>7.9661664618605424E-2</v>
      </c>
      <c r="AA114" s="1354">
        <f t="shared" si="26"/>
        <v>3.3962500498876326E-3</v>
      </c>
      <c r="AB114" s="1439">
        <f t="shared" si="27"/>
        <v>0.91694208533150701</v>
      </c>
      <c r="AD114" s="1437">
        <f t="shared" si="28"/>
        <v>0.81442118005100084</v>
      </c>
      <c r="AE114" s="1354">
        <f t="shared" si="29"/>
        <v>1.6174693507965941E-2</v>
      </c>
      <c r="AF114" s="1439">
        <f t="shared" si="30"/>
        <v>0.16940412644103311</v>
      </c>
    </row>
    <row r="115" spans="1:32" x14ac:dyDescent="0.25">
      <c r="A115" s="737" t="s">
        <v>160</v>
      </c>
      <c r="B115" s="589" t="s">
        <v>161</v>
      </c>
      <c r="C115" s="738" t="s">
        <v>264</v>
      </c>
      <c r="D115" s="787">
        <f>'Administration LASER'!D114+'Other Oper Exp. LASER'!D114</f>
        <v>15398278.478270579</v>
      </c>
      <c r="E115" s="788">
        <f>'Administration LASER'!E114+'Other Oper Exp. LASER'!E114</f>
        <v>7690237.60172942</v>
      </c>
      <c r="F115" s="788">
        <f>'Administration LASER'!K114+'Other Oper Exp. LASER'!K114</f>
        <v>6448659.2599999998</v>
      </c>
      <c r="G115" s="789">
        <f>'Administration LASER'!I114+'Other Oper Exp. LASER'!I114</f>
        <v>29537175.340000004</v>
      </c>
      <c r="H115" s="787">
        <f>'Client Services LASER'!D114</f>
        <v>397217.56103970564</v>
      </c>
      <c r="I115" s="788">
        <f>'Client Services LASER'!E114</f>
        <v>321408.48896029434</v>
      </c>
      <c r="J115" s="788">
        <f>'Client Services LASER'!K114</f>
        <v>134371.87</v>
      </c>
      <c r="K115" s="789">
        <f>'Client Services LASER'!I114</f>
        <v>852997.92</v>
      </c>
      <c r="L115" s="787">
        <f>'Benefits Spending LASER'!D115</f>
        <v>255687319.71728173</v>
      </c>
      <c r="M115" s="788">
        <f>'Benefits Spending LASER'!E115</f>
        <v>188236830.46717301</v>
      </c>
      <c r="N115" s="788">
        <f>'Benefits Spending LASER'!I115</f>
        <v>2716072.5150325</v>
      </c>
      <c r="O115" s="789">
        <f t="shared" si="35"/>
        <v>446640222.69948721</v>
      </c>
      <c r="P115" s="1428">
        <f t="shared" si="31"/>
        <v>271482815.75659204</v>
      </c>
      <c r="Q115" s="788">
        <f t="shared" si="32"/>
        <v>196248476.55786273</v>
      </c>
      <c r="R115" s="788">
        <f t="shared" si="33"/>
        <v>9299103.645032499</v>
      </c>
      <c r="S115" s="789">
        <f t="shared" si="34"/>
        <v>477030395.9594872</v>
      </c>
      <c r="U115" s="624">
        <f t="shared" si="36"/>
        <v>0.52131858585061908</v>
      </c>
      <c r="V115" s="625">
        <f t="shared" si="37"/>
        <v>0.26035792228632987</v>
      </c>
      <c r="W115" s="625">
        <f t="shared" si="38"/>
        <v>0.21832349186305094</v>
      </c>
      <c r="X115" s="626">
        <f t="shared" si="24"/>
        <v>0.78167650813694889</v>
      </c>
      <c r="Z115" s="1437">
        <f t="shared" si="25"/>
        <v>6.1918853788320252E-2</v>
      </c>
      <c r="AA115" s="1354">
        <f t="shared" si="26"/>
        <v>1.7881416514021105E-3</v>
      </c>
      <c r="AB115" s="1439">
        <f t="shared" si="27"/>
        <v>0.93629300456027764</v>
      </c>
      <c r="AD115" s="1437">
        <f t="shared" si="28"/>
        <v>0.69347105980959978</v>
      </c>
      <c r="AE115" s="1354">
        <f t="shared" si="29"/>
        <v>1.4449980893780046E-2</v>
      </c>
      <c r="AF115" s="1439">
        <f t="shared" si="30"/>
        <v>0.2920789592966202</v>
      </c>
    </row>
    <row r="116" spans="1:32" x14ac:dyDescent="0.25">
      <c r="A116" s="737" t="s">
        <v>166</v>
      </c>
      <c r="B116" s="589" t="s">
        <v>167</v>
      </c>
      <c r="C116" s="738" t="s">
        <v>268</v>
      </c>
      <c r="D116" s="787">
        <f>'Administration LASER'!D115+'Other Oper Exp. LASER'!D115</f>
        <v>435920.96344776294</v>
      </c>
      <c r="E116" s="788">
        <f>'Administration LASER'!E115+'Other Oper Exp. LASER'!E115</f>
        <v>184752.85655223706</v>
      </c>
      <c r="F116" s="788">
        <f>'Administration LASER'!K115+'Other Oper Exp. LASER'!K115</f>
        <v>292213</v>
      </c>
      <c r="G116" s="789">
        <f>'Administration LASER'!I115+'Other Oper Exp. LASER'!I115</f>
        <v>912886.82000000007</v>
      </c>
      <c r="H116" s="787">
        <f>'Client Services LASER'!D115</f>
        <v>25574.676363697596</v>
      </c>
      <c r="I116" s="788">
        <f>'Client Services LASER'!E115</f>
        <v>15306.7136363024</v>
      </c>
      <c r="J116" s="788">
        <f>'Client Services LASER'!K115</f>
        <v>7838.75</v>
      </c>
      <c r="K116" s="789">
        <f>'Client Services LASER'!I115</f>
        <v>48720.14</v>
      </c>
      <c r="L116" s="787">
        <f>'Benefits Spending LASER'!D116</f>
        <v>5017099.2153887376</v>
      </c>
      <c r="M116" s="788">
        <f>'Benefits Spending LASER'!E116</f>
        <v>3659178.5672932556</v>
      </c>
      <c r="N116" s="788">
        <f>'Benefits Spending LASER'!I116</f>
        <v>77883.38208000001</v>
      </c>
      <c r="O116" s="789">
        <f t="shared" si="35"/>
        <v>8754161.164761994</v>
      </c>
      <c r="P116" s="1428">
        <f t="shared" si="31"/>
        <v>5478594.8552001985</v>
      </c>
      <c r="Q116" s="788">
        <f t="shared" si="32"/>
        <v>3859238.1374817952</v>
      </c>
      <c r="R116" s="788">
        <f t="shared" si="33"/>
        <v>377935.13208000001</v>
      </c>
      <c r="S116" s="789">
        <f t="shared" si="34"/>
        <v>9715768.1247619949</v>
      </c>
      <c r="U116" s="624">
        <f t="shared" si="36"/>
        <v>0.47751917751180034</v>
      </c>
      <c r="V116" s="625">
        <f t="shared" si="37"/>
        <v>0.20238309120536657</v>
      </c>
      <c r="W116" s="625">
        <f t="shared" si="38"/>
        <v>0.32009773128283303</v>
      </c>
      <c r="X116" s="626">
        <f t="shared" si="24"/>
        <v>0.67990226871716697</v>
      </c>
      <c r="Z116" s="1437">
        <f t="shared" si="25"/>
        <v>9.3959304944030125E-2</v>
      </c>
      <c r="AA116" s="1354">
        <f t="shared" si="26"/>
        <v>5.014543304695581E-3</v>
      </c>
      <c r="AB116" s="1439">
        <f t="shared" si="27"/>
        <v>0.90102615175127421</v>
      </c>
      <c r="AD116" s="1437">
        <f t="shared" si="28"/>
        <v>0.77318294912616214</v>
      </c>
      <c r="AE116" s="1354">
        <f t="shared" si="29"/>
        <v>2.0740993188060431E-2</v>
      </c>
      <c r="AF116" s="1439">
        <f t="shared" si="30"/>
        <v>0.20607605768577747</v>
      </c>
    </row>
    <row r="117" spans="1:32" x14ac:dyDescent="0.25">
      <c r="A117" s="737" t="s">
        <v>176</v>
      </c>
      <c r="B117" s="589" t="s">
        <v>177</v>
      </c>
      <c r="C117" s="738" t="s">
        <v>266</v>
      </c>
      <c r="D117" s="787">
        <f>'Administration LASER'!D116+'Other Oper Exp. LASER'!D116</f>
        <v>2914455.081796648</v>
      </c>
      <c r="E117" s="788">
        <f>'Administration LASER'!E116+'Other Oper Exp. LASER'!E116</f>
        <v>1454261.2882033524</v>
      </c>
      <c r="F117" s="788">
        <f>'Administration LASER'!K116+'Other Oper Exp. LASER'!K116</f>
        <v>1287303.28</v>
      </c>
      <c r="G117" s="789">
        <f>'Administration LASER'!I116+'Other Oper Exp. LASER'!I116</f>
        <v>5656019.6500000004</v>
      </c>
      <c r="H117" s="787">
        <f>'Client Services LASER'!D116</f>
        <v>87130.60223569657</v>
      </c>
      <c r="I117" s="788">
        <f>'Client Services LASER'!E116</f>
        <v>190504.86776430343</v>
      </c>
      <c r="J117" s="788">
        <f>'Client Services LASER'!K116</f>
        <v>53175.07</v>
      </c>
      <c r="K117" s="789">
        <f>'Client Services LASER'!I116</f>
        <v>330810.53999999998</v>
      </c>
      <c r="L117" s="787">
        <f>'Benefits Spending LASER'!D117</f>
        <v>66941751.019332543</v>
      </c>
      <c r="M117" s="788">
        <f>'Benefits Spending LASER'!E117</f>
        <v>52890021.871685401</v>
      </c>
      <c r="N117" s="788">
        <f>'Benefits Spending LASER'!I117</f>
        <v>2179120.7870281246</v>
      </c>
      <c r="O117" s="789">
        <f t="shared" si="35"/>
        <v>122010893.67804606</v>
      </c>
      <c r="P117" s="1428">
        <f t="shared" si="31"/>
        <v>69943336.703364894</v>
      </c>
      <c r="Q117" s="788">
        <f t="shared" si="32"/>
        <v>54534788.027653053</v>
      </c>
      <c r="R117" s="788">
        <f t="shared" si="33"/>
        <v>3519599.1370281246</v>
      </c>
      <c r="S117" s="789">
        <f t="shared" si="34"/>
        <v>127997723.86804606</v>
      </c>
      <c r="U117" s="624">
        <f t="shared" si="36"/>
        <v>0.51528376175225055</v>
      </c>
      <c r="V117" s="625">
        <f t="shared" si="37"/>
        <v>0.25711743915234669</v>
      </c>
      <c r="W117" s="625">
        <f t="shared" si="38"/>
        <v>0.2275987990954027</v>
      </c>
      <c r="X117" s="626">
        <f t="shared" si="24"/>
        <v>0.7724012009045973</v>
      </c>
      <c r="Z117" s="1437">
        <f t="shared" si="25"/>
        <v>4.41884392868645E-2</v>
      </c>
      <c r="AA117" s="1354">
        <f t="shared" si="26"/>
        <v>2.5845033021136797E-3</v>
      </c>
      <c r="AB117" s="1439">
        <f t="shared" si="27"/>
        <v>0.95322705741102187</v>
      </c>
      <c r="AD117" s="1437">
        <f t="shared" si="28"/>
        <v>0.36575281157926748</v>
      </c>
      <c r="AE117" s="1354">
        <f t="shared" si="29"/>
        <v>1.5108274530633028E-2</v>
      </c>
      <c r="AF117" s="1439">
        <f t="shared" si="30"/>
        <v>0.61913891389009945</v>
      </c>
    </row>
    <row r="118" spans="1:32" x14ac:dyDescent="0.25">
      <c r="A118" s="737" t="s">
        <v>180</v>
      </c>
      <c r="B118" s="589" t="s">
        <v>181</v>
      </c>
      <c r="C118" s="738" t="s">
        <v>264</v>
      </c>
      <c r="D118" s="787">
        <f>'Administration LASER'!D117+'Other Oper Exp. LASER'!D117</f>
        <v>7930662.3126088055</v>
      </c>
      <c r="E118" s="788">
        <f>'Administration LASER'!E117+'Other Oper Exp. LASER'!E117</f>
        <v>3477124.1973911943</v>
      </c>
      <c r="F118" s="788">
        <f>'Administration LASER'!K117+'Other Oper Exp. LASER'!K117</f>
        <v>5575065.1499999994</v>
      </c>
      <c r="G118" s="789">
        <f>'Administration LASER'!I117+'Other Oper Exp. LASER'!I117</f>
        <v>16982851.66</v>
      </c>
      <c r="H118" s="787">
        <f>'Client Services LASER'!D117</f>
        <v>173286.96080107626</v>
      </c>
      <c r="I118" s="788">
        <f>'Client Services LASER'!E117</f>
        <v>74915.019198923736</v>
      </c>
      <c r="J118" s="788">
        <f>'Client Services LASER'!K117</f>
        <v>63555.56</v>
      </c>
      <c r="K118" s="789">
        <f>'Client Services LASER'!I117</f>
        <v>311757.53999999998</v>
      </c>
      <c r="L118" s="787">
        <f>'Benefits Spending LASER'!D118</f>
        <v>130331063.56758562</v>
      </c>
      <c r="M118" s="788">
        <f>'Benefits Spending LASER'!E118</f>
        <v>95536566.358721778</v>
      </c>
      <c r="N118" s="788">
        <f>'Benefits Spending LASER'!I118</f>
        <v>1068088.2869337499</v>
      </c>
      <c r="O118" s="789">
        <f t="shared" si="35"/>
        <v>226935718.21324113</v>
      </c>
      <c r="P118" s="1428">
        <f t="shared" si="31"/>
        <v>138435012.84099549</v>
      </c>
      <c r="Q118" s="788">
        <f t="shared" si="32"/>
        <v>99088605.575311899</v>
      </c>
      <c r="R118" s="788">
        <f t="shared" si="33"/>
        <v>6706708.9969337489</v>
      </c>
      <c r="S118" s="789">
        <f t="shared" si="34"/>
        <v>244230327.41324112</v>
      </c>
      <c r="U118" s="624">
        <f t="shared" si="36"/>
        <v>0.46698060322154433</v>
      </c>
      <c r="V118" s="625">
        <f t="shared" si="37"/>
        <v>0.20474324730639462</v>
      </c>
      <c r="W118" s="625">
        <f t="shared" si="38"/>
        <v>0.32827614947206102</v>
      </c>
      <c r="X118" s="626">
        <f t="shared" si="24"/>
        <v>0.67172385052793893</v>
      </c>
      <c r="Z118" s="1437">
        <f t="shared" si="25"/>
        <v>6.9536211329171982E-2</v>
      </c>
      <c r="AA118" s="1354">
        <f t="shared" si="26"/>
        <v>1.2764898745457678E-3</v>
      </c>
      <c r="AB118" s="1439">
        <f t="shared" si="27"/>
        <v>0.92918729879628226</v>
      </c>
      <c r="AD118" s="1437">
        <f t="shared" si="28"/>
        <v>0.83126689297968237</v>
      </c>
      <c r="AE118" s="1354">
        <f t="shared" si="29"/>
        <v>9.4764153370985784E-3</v>
      </c>
      <c r="AF118" s="1439">
        <f t="shared" si="30"/>
        <v>0.15925669168321913</v>
      </c>
    </row>
    <row r="119" spans="1:32" x14ac:dyDescent="0.25">
      <c r="A119" s="737" t="s">
        <v>192</v>
      </c>
      <c r="B119" s="589" t="s">
        <v>193</v>
      </c>
      <c r="C119" s="738" t="s">
        <v>268</v>
      </c>
      <c r="D119" s="787">
        <f>'Administration LASER'!D118+'Other Oper Exp. LASER'!D118</f>
        <v>550533.76643648616</v>
      </c>
      <c r="E119" s="788">
        <f>'Administration LASER'!E118+'Other Oper Exp. LASER'!E118</f>
        <v>231863.9335635138</v>
      </c>
      <c r="F119" s="788">
        <f>'Administration LASER'!K118+'Other Oper Exp. LASER'!K118</f>
        <v>380404.32999999996</v>
      </c>
      <c r="G119" s="789">
        <f>'Administration LASER'!I118+'Other Oper Exp. LASER'!I118</f>
        <v>1162802.03</v>
      </c>
      <c r="H119" s="787">
        <f>'Client Services LASER'!D118</f>
        <v>19600.437849850001</v>
      </c>
      <c r="I119" s="788">
        <f>'Client Services LASER'!E118</f>
        <v>14583.032150150002</v>
      </c>
      <c r="J119" s="788">
        <f>'Client Services LASER'!K118</f>
        <v>8830.91</v>
      </c>
      <c r="K119" s="789">
        <f>'Client Services LASER'!I118</f>
        <v>43014.380000000005</v>
      </c>
      <c r="L119" s="787">
        <f>'Benefits Spending LASER'!D119</f>
        <v>9879319.2700479664</v>
      </c>
      <c r="M119" s="788">
        <f>'Benefits Spending LASER'!E119</f>
        <v>8510012.4048555773</v>
      </c>
      <c r="N119" s="788">
        <f>'Benefits Spending LASER'!I119</f>
        <v>329845.27402812504</v>
      </c>
      <c r="O119" s="789">
        <f t="shared" si="35"/>
        <v>18719176.948931668</v>
      </c>
      <c r="P119" s="1428">
        <f t="shared" si="31"/>
        <v>10449453.474334303</v>
      </c>
      <c r="Q119" s="788">
        <f t="shared" si="32"/>
        <v>8756459.3705692403</v>
      </c>
      <c r="R119" s="788">
        <f t="shared" si="33"/>
        <v>719080.51402812498</v>
      </c>
      <c r="S119" s="789">
        <f t="shared" si="34"/>
        <v>19924993.358931668</v>
      </c>
      <c r="U119" s="624">
        <f t="shared" si="36"/>
        <v>0.47345442494324347</v>
      </c>
      <c r="V119" s="625">
        <f t="shared" si="37"/>
        <v>0.19940103954197069</v>
      </c>
      <c r="W119" s="625">
        <f t="shared" si="38"/>
        <v>0.32714453551478573</v>
      </c>
      <c r="X119" s="626">
        <f t="shared" si="24"/>
        <v>0.67285546448521416</v>
      </c>
      <c r="Z119" s="1437">
        <f t="shared" si="25"/>
        <v>5.8358967004561488E-2</v>
      </c>
      <c r="AA119" s="1354">
        <f t="shared" si="26"/>
        <v>2.1588152741199374E-3</v>
      </c>
      <c r="AB119" s="1439">
        <f t="shared" si="27"/>
        <v>0.93948221772131857</v>
      </c>
      <c r="AD119" s="1437">
        <f t="shared" si="28"/>
        <v>0.52901493306926328</v>
      </c>
      <c r="AE119" s="1354">
        <f t="shared" si="29"/>
        <v>1.2280836189721311E-2</v>
      </c>
      <c r="AF119" s="1439">
        <f t="shared" si="30"/>
        <v>0.45870423074101546</v>
      </c>
    </row>
    <row r="120" spans="1:32" x14ac:dyDescent="0.25">
      <c r="A120" s="737" t="s">
        <v>196</v>
      </c>
      <c r="B120" s="589" t="s">
        <v>312</v>
      </c>
      <c r="C120" s="738" t="s">
        <v>266</v>
      </c>
      <c r="D120" s="787">
        <f>'Administration LASER'!D119+'Other Oper Exp. LASER'!D119</f>
        <v>18614992.072334778</v>
      </c>
      <c r="E120" s="788">
        <f>'Administration LASER'!E119+'Other Oper Exp. LASER'!E119</f>
        <v>8781523.1876652204</v>
      </c>
      <c r="F120" s="788">
        <f>'Administration LASER'!K119+'Other Oper Exp. LASER'!K119</f>
        <v>8894654.7000000011</v>
      </c>
      <c r="G120" s="789">
        <f>'Administration LASER'!I119+'Other Oper Exp. LASER'!I119</f>
        <v>36291169.960000001</v>
      </c>
      <c r="H120" s="787">
        <f>'Client Services LASER'!D119</f>
        <v>498752.38440775743</v>
      </c>
      <c r="I120" s="788">
        <f>'Client Services LASER'!E119</f>
        <v>166409.19559224258</v>
      </c>
      <c r="J120" s="788">
        <f>'Client Services LASER'!K119</f>
        <v>168325.48</v>
      </c>
      <c r="K120" s="789">
        <f>'Client Services LASER'!I119</f>
        <v>833487.06</v>
      </c>
      <c r="L120" s="787">
        <f>'Benefits Spending LASER'!D120</f>
        <v>309460453.06656265</v>
      </c>
      <c r="M120" s="788">
        <f>'Benefits Spending LASER'!E120</f>
        <v>244382598.719338</v>
      </c>
      <c r="N120" s="788">
        <f>'Benefits Spending LASER'!I120</f>
        <v>8811158.1738658752</v>
      </c>
      <c r="O120" s="789">
        <f t="shared" si="35"/>
        <v>562654209.95976651</v>
      </c>
      <c r="P120" s="1428">
        <f t="shared" si="31"/>
        <v>328574197.52330518</v>
      </c>
      <c r="Q120" s="788">
        <f t="shared" si="32"/>
        <v>253330531.10259545</v>
      </c>
      <c r="R120" s="788">
        <f t="shared" si="33"/>
        <v>17874138.353865877</v>
      </c>
      <c r="S120" s="789">
        <f t="shared" si="34"/>
        <v>599778866.97976649</v>
      </c>
      <c r="U120" s="624">
        <f t="shared" si="36"/>
        <v>0.51293447119098545</v>
      </c>
      <c r="V120" s="625">
        <f t="shared" si="37"/>
        <v>0.24197409996272329</v>
      </c>
      <c r="W120" s="625">
        <f t="shared" si="38"/>
        <v>0.2450914288462912</v>
      </c>
      <c r="X120" s="626">
        <f t="shared" si="24"/>
        <v>0.7549085711537088</v>
      </c>
      <c r="Z120" s="1437">
        <f t="shared" si="25"/>
        <v>6.0507583641196017E-2</v>
      </c>
      <c r="AA120" s="1354">
        <f t="shared" si="26"/>
        <v>1.3896572651802314E-3</v>
      </c>
      <c r="AB120" s="1439">
        <f t="shared" si="27"/>
        <v>0.93810275909362384</v>
      </c>
      <c r="AD120" s="1437">
        <f t="shared" si="28"/>
        <v>0.49762704774388389</v>
      </c>
      <c r="AE120" s="1354">
        <f t="shared" si="29"/>
        <v>9.4172640195321101E-3</v>
      </c>
      <c r="AF120" s="1439">
        <f t="shared" si="30"/>
        <v>0.49295568823658398</v>
      </c>
    </row>
    <row r="121" spans="1:32" x14ac:dyDescent="0.25">
      <c r="A121" s="737" t="s">
        <v>200</v>
      </c>
      <c r="B121" s="589" t="s">
        <v>313</v>
      </c>
      <c r="C121" s="738" t="s">
        <v>265</v>
      </c>
      <c r="D121" s="787">
        <f>'Administration LASER'!D120+'Other Oper Exp. LASER'!D120</f>
        <v>7227801.8238238068</v>
      </c>
      <c r="E121" s="788">
        <f>'Administration LASER'!E120+'Other Oper Exp. LASER'!E120</f>
        <v>3190065.976176193</v>
      </c>
      <c r="F121" s="788">
        <f>'Administration LASER'!K120+'Other Oper Exp. LASER'!K120</f>
        <v>4378673.0599999996</v>
      </c>
      <c r="G121" s="789">
        <f>'Administration LASER'!I120+'Other Oper Exp. LASER'!I120</f>
        <v>14796540.859999999</v>
      </c>
      <c r="H121" s="787">
        <f>'Client Services LASER'!D120</f>
        <v>301435.80284046882</v>
      </c>
      <c r="I121" s="788">
        <f>'Client Services LASER'!E120</f>
        <v>275295.79715953121</v>
      </c>
      <c r="J121" s="788">
        <f>'Client Services LASER'!K120</f>
        <v>110214.62000000001</v>
      </c>
      <c r="K121" s="789">
        <f>'Client Services LASER'!I120</f>
        <v>686946.2200000002</v>
      </c>
      <c r="L121" s="787">
        <f>'Benefits Spending LASER'!D121</f>
        <v>137204096.45729646</v>
      </c>
      <c r="M121" s="788">
        <f>'Benefits Spending LASER'!E121</f>
        <v>108428857.13510922</v>
      </c>
      <c r="N121" s="788">
        <f>'Benefits Spending LASER'!I121</f>
        <v>3578544.9294720003</v>
      </c>
      <c r="O121" s="789">
        <f t="shared" si="35"/>
        <v>249211498.52187768</v>
      </c>
      <c r="P121" s="1428">
        <f t="shared" si="31"/>
        <v>144733334.08396074</v>
      </c>
      <c r="Q121" s="788">
        <f t="shared" si="32"/>
        <v>111894218.90844494</v>
      </c>
      <c r="R121" s="788">
        <f t="shared" si="33"/>
        <v>8067432.609472</v>
      </c>
      <c r="S121" s="789">
        <f t="shared" si="34"/>
        <v>264694985.60187769</v>
      </c>
      <c r="U121" s="624">
        <f t="shared" si="36"/>
        <v>0.48847915821751103</v>
      </c>
      <c r="V121" s="625">
        <f t="shared" si="37"/>
        <v>0.21559538856814897</v>
      </c>
      <c r="W121" s="625">
        <f t="shared" si="38"/>
        <v>0.29592545321434</v>
      </c>
      <c r="X121" s="626">
        <f t="shared" si="24"/>
        <v>0.70407454678566006</v>
      </c>
      <c r="Z121" s="1437">
        <f t="shared" si="25"/>
        <v>5.5900344414741475E-2</v>
      </c>
      <c r="AA121" s="1354">
        <f t="shared" si="26"/>
        <v>2.5952369986835411E-3</v>
      </c>
      <c r="AB121" s="1439">
        <f t="shared" si="27"/>
        <v>0.94150441858657496</v>
      </c>
      <c r="AD121" s="1437">
        <f t="shared" si="28"/>
        <v>0.54275917407218066</v>
      </c>
      <c r="AE121" s="1354">
        <f t="shared" si="29"/>
        <v>1.3661672224022876E-2</v>
      </c>
      <c r="AF121" s="1439">
        <f t="shared" si="30"/>
        <v>0.44357915370379647</v>
      </c>
    </row>
    <row r="122" spans="1:32" x14ac:dyDescent="0.25">
      <c r="A122" s="737" t="s">
        <v>222</v>
      </c>
      <c r="B122" s="589" t="s">
        <v>223</v>
      </c>
      <c r="C122" s="738" t="s">
        <v>264</v>
      </c>
      <c r="D122" s="787">
        <f>'Administration LASER'!D121+'Other Oper Exp. LASER'!D121</f>
        <v>4262084.5222349903</v>
      </c>
      <c r="E122" s="788">
        <f>'Administration LASER'!E121+'Other Oper Exp. LASER'!E121</f>
        <v>1733564.4577650104</v>
      </c>
      <c r="F122" s="788">
        <f>'Administration LASER'!K121+'Other Oper Exp. LASER'!K121</f>
        <v>3478592.36</v>
      </c>
      <c r="G122" s="789">
        <f>'Administration LASER'!I121+'Other Oper Exp. LASER'!I121</f>
        <v>9474241.3399999999</v>
      </c>
      <c r="H122" s="787">
        <f>'Client Services LASER'!D121</f>
        <v>176665.98862750217</v>
      </c>
      <c r="I122" s="788">
        <f>'Client Services LASER'!E121</f>
        <v>38961.36137249782</v>
      </c>
      <c r="J122" s="788">
        <f>'Client Services LASER'!K121</f>
        <v>103029.13</v>
      </c>
      <c r="K122" s="789">
        <f>'Client Services LASER'!I121</f>
        <v>318656.48</v>
      </c>
      <c r="L122" s="787">
        <f>'Benefits Spending LASER'!D122</f>
        <v>81445544.089446038</v>
      </c>
      <c r="M122" s="788">
        <f>'Benefits Spending LASER'!E122</f>
        <v>62869945.448745273</v>
      </c>
      <c r="N122" s="788">
        <f>'Benefits Spending LASER'!I122</f>
        <v>361902.19256000005</v>
      </c>
      <c r="O122" s="789">
        <f t="shared" si="35"/>
        <v>144677391.73075131</v>
      </c>
      <c r="P122" s="1428">
        <f t="shared" si="31"/>
        <v>85884294.600308537</v>
      </c>
      <c r="Q122" s="788">
        <f t="shared" si="32"/>
        <v>64642471.267882779</v>
      </c>
      <c r="R122" s="788">
        <f t="shared" si="33"/>
        <v>3943523.6825599996</v>
      </c>
      <c r="S122" s="789">
        <f t="shared" si="34"/>
        <v>154470289.5507513</v>
      </c>
      <c r="U122" s="624">
        <f t="shared" si="36"/>
        <v>0.44986024413802722</v>
      </c>
      <c r="V122" s="625">
        <f t="shared" si="37"/>
        <v>0.18297659892259094</v>
      </c>
      <c r="W122" s="625">
        <f t="shared" si="38"/>
        <v>0.3671631569393819</v>
      </c>
      <c r="X122" s="626">
        <f t="shared" si="24"/>
        <v>0.63283684306061816</v>
      </c>
      <c r="Z122" s="1437">
        <f t="shared" si="25"/>
        <v>6.133374493926376E-2</v>
      </c>
      <c r="AA122" s="1354">
        <f t="shared" si="26"/>
        <v>2.0628981853193537E-3</v>
      </c>
      <c r="AB122" s="1439">
        <f t="shared" si="27"/>
        <v>0.93660335687541696</v>
      </c>
      <c r="AD122" s="1437">
        <f t="shared" si="28"/>
        <v>0.88210256613491866</v>
      </c>
      <c r="AE122" s="1354">
        <f t="shared" si="29"/>
        <v>2.6126159823926059E-2</v>
      </c>
      <c r="AF122" s="1439">
        <f t="shared" si="30"/>
        <v>9.1771274041155398E-2</v>
      </c>
    </row>
    <row r="123" spans="1:32" x14ac:dyDescent="0.25">
      <c r="A123" s="737" t="s">
        <v>230</v>
      </c>
      <c r="B123" s="589" t="s">
        <v>231</v>
      </c>
      <c r="C123" s="738" t="s">
        <v>264</v>
      </c>
      <c r="D123" s="787">
        <f>'Administration LASER'!D122+'Other Oper Exp. LASER'!D122</f>
        <v>12790132.217541382</v>
      </c>
      <c r="E123" s="788">
        <f>'Administration LASER'!E122+'Other Oper Exp. LASER'!E122</f>
        <v>4541626.8324586162</v>
      </c>
      <c r="F123" s="788">
        <f>'Administration LASER'!K122+'Other Oper Exp. LASER'!K122</f>
        <v>11857460.16</v>
      </c>
      <c r="G123" s="789">
        <f>'Administration LASER'!I122+'Other Oper Exp. LASER'!I122</f>
        <v>29189219.209999997</v>
      </c>
      <c r="H123" s="787">
        <f>'Client Services LASER'!D122</f>
        <v>415513.16886385938</v>
      </c>
      <c r="I123" s="788">
        <f>'Client Services LASER'!E122</f>
        <v>87816.771136140713</v>
      </c>
      <c r="J123" s="788">
        <f>'Client Services LASER'!K122</f>
        <v>411947.97000000003</v>
      </c>
      <c r="K123" s="789">
        <f>'Client Services LASER'!I122</f>
        <v>915277.91000000015</v>
      </c>
      <c r="L123" s="787">
        <f>'Benefits Spending LASER'!D123</f>
        <v>227183322.04079047</v>
      </c>
      <c r="M123" s="788">
        <f>'Benefits Spending LASER'!E123</f>
        <v>173800725.72335526</v>
      </c>
      <c r="N123" s="788">
        <f>'Benefits Spending LASER'!I123</f>
        <v>4944360.7783229994</v>
      </c>
      <c r="O123" s="789">
        <f t="shared" si="35"/>
        <v>405928408.54246873</v>
      </c>
      <c r="P123" s="1428">
        <f t="shared" si="31"/>
        <v>240388967.4271957</v>
      </c>
      <c r="Q123" s="788">
        <f t="shared" si="32"/>
        <v>178430169.32695001</v>
      </c>
      <c r="R123" s="788">
        <f t="shared" si="33"/>
        <v>17213768.908323001</v>
      </c>
      <c r="S123" s="789">
        <f t="shared" si="34"/>
        <v>436032905.66246873</v>
      </c>
      <c r="U123" s="624">
        <f t="shared" si="36"/>
        <v>0.43818000493687692</v>
      </c>
      <c r="V123" s="625">
        <f t="shared" si="37"/>
        <v>0.15559261108644834</v>
      </c>
      <c r="W123" s="625">
        <f t="shared" si="38"/>
        <v>0.40622738397667479</v>
      </c>
      <c r="X123" s="626">
        <f t="shared" si="24"/>
        <v>0.59377261602332521</v>
      </c>
      <c r="Z123" s="1437">
        <f t="shared" si="25"/>
        <v>6.6942698202220666E-2</v>
      </c>
      <c r="AA123" s="1354">
        <f t="shared" si="26"/>
        <v>2.0991028386020778E-3</v>
      </c>
      <c r="AB123" s="1439">
        <f t="shared" si="27"/>
        <v>0.9309581989591772</v>
      </c>
      <c r="AD123" s="1437">
        <f t="shared" si="28"/>
        <v>0.68883579320428889</v>
      </c>
      <c r="AE123" s="1354">
        <f t="shared" si="29"/>
        <v>2.3931305932707144E-2</v>
      </c>
      <c r="AF123" s="1439">
        <f t="shared" si="30"/>
        <v>0.2872329008630039</v>
      </c>
    </row>
    <row r="124" spans="1:32" x14ac:dyDescent="0.25">
      <c r="A124" s="737" t="s">
        <v>238</v>
      </c>
      <c r="B124" s="589" t="s">
        <v>239</v>
      </c>
      <c r="C124" s="738" t="s">
        <v>264</v>
      </c>
      <c r="D124" s="787">
        <f>'Administration LASER'!D123+'Other Oper Exp. LASER'!D123</f>
        <v>501261.21746644838</v>
      </c>
      <c r="E124" s="788">
        <f>'Administration LASER'!E123+'Other Oper Exp. LASER'!E123</f>
        <v>158895.02253355156</v>
      </c>
      <c r="F124" s="788">
        <f>'Administration LASER'!K123+'Other Oper Exp. LASER'!K123</f>
        <v>785086</v>
      </c>
      <c r="G124" s="789">
        <f>'Administration LASER'!I123+'Other Oper Exp. LASER'!I123</f>
        <v>1445242.24</v>
      </c>
      <c r="H124" s="787">
        <f>'Client Services LASER'!D123</f>
        <v>17273.110885573395</v>
      </c>
      <c r="I124" s="788">
        <f>'Client Services LASER'!E123</f>
        <v>6903.3591144266056</v>
      </c>
      <c r="J124" s="788">
        <f>'Client Services LASER'!K123</f>
        <v>5201.079999999999</v>
      </c>
      <c r="K124" s="789">
        <f>'Client Services LASER'!I123</f>
        <v>29377.55</v>
      </c>
      <c r="L124" s="787">
        <f>'Benefits Spending LASER'!D124</f>
        <v>5924815.0340446085</v>
      </c>
      <c r="M124" s="788">
        <f>'Benefits Spending LASER'!E124</f>
        <v>3898167.4548408436</v>
      </c>
      <c r="N124" s="788">
        <f>'Benefits Spending LASER'!I124</f>
        <v>153441.12963124999</v>
      </c>
      <c r="O124" s="789">
        <f t="shared" si="35"/>
        <v>9976423.6185167003</v>
      </c>
      <c r="P124" s="1428">
        <f t="shared" si="31"/>
        <v>6443349.3623966305</v>
      </c>
      <c r="Q124" s="788">
        <f t="shared" si="32"/>
        <v>4063965.8364888215</v>
      </c>
      <c r="R124" s="788">
        <f t="shared" si="33"/>
        <v>943728.20963125001</v>
      </c>
      <c r="S124" s="789">
        <f t="shared" si="34"/>
        <v>11451043.408516701</v>
      </c>
      <c r="U124" s="624">
        <f t="shared" si="36"/>
        <v>0.34683543256142885</v>
      </c>
      <c r="V124" s="625">
        <f t="shared" si="37"/>
        <v>0.10994352236311025</v>
      </c>
      <c r="W124" s="625">
        <f t="shared" si="38"/>
        <v>0.54322104507546087</v>
      </c>
      <c r="X124" s="626">
        <f t="shared" si="24"/>
        <v>0.45677895492453913</v>
      </c>
      <c r="Z124" s="1437">
        <f t="shared" si="25"/>
        <v>0.12621052845936315</v>
      </c>
      <c r="AA124" s="1354">
        <f t="shared" si="26"/>
        <v>2.5654911043434241E-3</v>
      </c>
      <c r="AB124" s="1439">
        <f t="shared" si="27"/>
        <v>0.87122398043629334</v>
      </c>
      <c r="AD124" s="1437">
        <f t="shared" si="28"/>
        <v>0.83189841311065882</v>
      </c>
      <c r="AE124" s="1354">
        <f t="shared" si="29"/>
        <v>5.5112053946466807E-3</v>
      </c>
      <c r="AF124" s="1439">
        <f t="shared" si="30"/>
        <v>0.16259038149469454</v>
      </c>
    </row>
    <row r="125" spans="1:32" x14ac:dyDescent="0.25">
      <c r="A125" s="739" t="s">
        <v>240</v>
      </c>
      <c r="B125" s="740" t="s">
        <v>241</v>
      </c>
      <c r="C125" s="741" t="s">
        <v>267</v>
      </c>
      <c r="D125" s="787">
        <f>'Administration LASER'!D124+'Other Oper Exp. LASER'!D124</f>
        <v>1542074.3531791705</v>
      </c>
      <c r="E125" s="788">
        <f>'Administration LASER'!E124+'Other Oper Exp. LASER'!E124</f>
        <v>548735.99682082958</v>
      </c>
      <c r="F125" s="788">
        <f>'Administration LASER'!K124+'Other Oper Exp. LASER'!K124</f>
        <v>1386099.85</v>
      </c>
      <c r="G125" s="789">
        <f>'Administration LASER'!I124+'Other Oper Exp. LASER'!I124</f>
        <v>3476910.2</v>
      </c>
      <c r="H125" s="787">
        <f>'Client Services LASER'!D124</f>
        <v>44887.692205814245</v>
      </c>
      <c r="I125" s="788">
        <f>'Client Services LASER'!E124</f>
        <v>46792.847794185756</v>
      </c>
      <c r="J125" s="788">
        <f>'Client Services LASER'!K124</f>
        <v>35436.61</v>
      </c>
      <c r="K125" s="789">
        <f>'Client Services LASER'!I124</f>
        <v>127117.15000000002</v>
      </c>
      <c r="L125" s="787">
        <f>'Benefits Spending LASER'!D125</f>
        <v>27744265.55478121</v>
      </c>
      <c r="M125" s="788">
        <f>'Benefits Spending LASER'!E125</f>
        <v>21956153.328787558</v>
      </c>
      <c r="N125" s="788">
        <f>'Benefits Spending LASER'!I125</f>
        <v>980275.48950724991</v>
      </c>
      <c r="O125" s="790">
        <f t="shared" si="35"/>
        <v>50680694.373076014</v>
      </c>
      <c r="P125" s="1428">
        <f t="shared" si="31"/>
        <v>29331227.600166194</v>
      </c>
      <c r="Q125" s="788">
        <f t="shared" si="32"/>
        <v>22551682.173402574</v>
      </c>
      <c r="R125" s="788">
        <f t="shared" si="33"/>
        <v>2401811.94950725</v>
      </c>
      <c r="S125" s="789">
        <f t="shared" si="34"/>
        <v>54284721.723076016</v>
      </c>
      <c r="U125" s="796">
        <f t="shared" si="36"/>
        <v>0.44351860257396652</v>
      </c>
      <c r="V125" s="797">
        <f t="shared" si="37"/>
        <v>0.1578228844739302</v>
      </c>
      <c r="W125" s="797">
        <f t="shared" si="38"/>
        <v>0.39865851295210331</v>
      </c>
      <c r="X125" s="798">
        <f t="shared" si="24"/>
        <v>0.60134148704789669</v>
      </c>
      <c r="Z125" s="1438">
        <f t="shared" si="25"/>
        <v>6.4049516873952994E-2</v>
      </c>
      <c r="AA125" s="1436">
        <f t="shared" si="26"/>
        <v>2.3416745258171509E-3</v>
      </c>
      <c r="AB125" s="1440">
        <f t="shared" si="27"/>
        <v>0.93360880860022988</v>
      </c>
      <c r="AD125" s="1438">
        <f t="shared" si="28"/>
        <v>0.57710590135267215</v>
      </c>
      <c r="AE125" s="1436">
        <f t="shared" si="29"/>
        <v>1.4754115120157551E-2</v>
      </c>
      <c r="AF125" s="1440">
        <f t="shared" si="30"/>
        <v>0.40813998352717035</v>
      </c>
    </row>
    <row r="126" spans="1:32" x14ac:dyDescent="0.25">
      <c r="A126" s="742"/>
      <c r="B126" s="742"/>
      <c r="C126" s="742"/>
    </row>
    <row r="127" spans="1:32" x14ac:dyDescent="0.25">
      <c r="A127" s="1847" t="s">
        <v>1283</v>
      </c>
      <c r="B127" s="742"/>
      <c r="C127" s="742"/>
      <c r="O127" s="776" t="s">
        <v>702</v>
      </c>
      <c r="P127" s="776"/>
      <c r="Q127" s="776"/>
      <c r="R127" s="776"/>
      <c r="S127" s="776"/>
      <c r="T127" s="776"/>
      <c r="U127" s="780">
        <f>MIN(U6:U125)</f>
        <v>0.34683543256142885</v>
      </c>
      <c r="V127" s="780">
        <f>MIN(V6:V125)</f>
        <v>7.2176470318519037E-2</v>
      </c>
      <c r="W127" s="780">
        <f>MIN(W6:W125)</f>
        <v>0.17627170601868083</v>
      </c>
      <c r="X127" s="780">
        <f>MIN(X6:X125)</f>
        <v>0.44243381466039161</v>
      </c>
      <c r="Z127" s="780">
        <f>MIN(Z6:Z125)</f>
        <v>2.7458968036481662E-2</v>
      </c>
      <c r="AA127" s="780">
        <f>MIN(AA6:AA125)</f>
        <v>6.3828510181376601E-4</v>
      </c>
      <c r="AB127" s="780">
        <f>MIN(AB6:AB125)</f>
        <v>0.84818804667795722</v>
      </c>
      <c r="AD127" s="780">
        <f>MIN(AD6:AD125)</f>
        <v>0.27054259218262877</v>
      </c>
      <c r="AE127" s="780">
        <f>MIN(AE6:AE125)</f>
        <v>8.2114751703331226E-4</v>
      </c>
      <c r="AF127" s="780">
        <f>MIN(AF6:AF125)</f>
        <v>3.0698824714278646E-2</v>
      </c>
    </row>
    <row r="128" spans="1:32" x14ac:dyDescent="0.25">
      <c r="A128" s="728"/>
      <c r="B128" s="728"/>
      <c r="C128" s="728"/>
      <c r="O128" s="776" t="s">
        <v>703</v>
      </c>
      <c r="P128" s="776"/>
      <c r="Q128" s="776"/>
      <c r="R128" s="776"/>
      <c r="S128" s="776"/>
      <c r="T128" s="776"/>
      <c r="U128" s="780">
        <f>MAX(U6:U125)</f>
        <v>0.54556352442490086</v>
      </c>
      <c r="V128" s="780">
        <f>MAX(V6:V125)</f>
        <v>0.27816476955641845</v>
      </c>
      <c r="W128" s="780">
        <f>MAX(W6:W125)</f>
        <v>0.55756618533960844</v>
      </c>
      <c r="X128" s="780">
        <f>MAX(X6:X125)</f>
        <v>0.8237282939813193</v>
      </c>
      <c r="Z128" s="780">
        <f>MAX(Z6:Z125)</f>
        <v>0.1418161201308113</v>
      </c>
      <c r="AA128" s="780">
        <f>MAX(AA6:AA125)</f>
        <v>1.3058423994118674E-2</v>
      </c>
      <c r="AB128" s="780">
        <f>MAX(AB6:AB125)</f>
        <v>0.97044477590241696</v>
      </c>
      <c r="AD128" s="780">
        <f>MAX(AD6:AD125)</f>
        <v>0.93562604348696821</v>
      </c>
      <c r="AE128" s="780">
        <f>MAX(AE6:AE125)</f>
        <v>9.055619551753577E-2</v>
      </c>
      <c r="AF128" s="780">
        <f>MAX(AF6:AF125)</f>
        <v>0.72529506807400668</v>
      </c>
    </row>
    <row r="129" spans="1:3" x14ac:dyDescent="0.25">
      <c r="A129" s="134" t="s">
        <v>248</v>
      </c>
      <c r="B129" s="743"/>
      <c r="C129" s="743"/>
    </row>
    <row r="130" spans="1:3" x14ac:dyDescent="0.25">
      <c r="A130" s="134" t="s">
        <v>249</v>
      </c>
      <c r="B130" s="414" t="s">
        <v>250</v>
      </c>
      <c r="C130" s="744"/>
    </row>
  </sheetData>
  <autoFilter ref="A4:C4"/>
  <mergeCells count="7">
    <mergeCell ref="AD3:AF3"/>
    <mergeCell ref="D3:G3"/>
    <mergeCell ref="H3:K3"/>
    <mergeCell ref="L3:O3"/>
    <mergeCell ref="Z3:AB3"/>
    <mergeCell ref="U3:X3"/>
    <mergeCell ref="P3:S3"/>
  </mergeCells>
  <hyperlinks>
    <hyperlink ref="B130"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O137"/>
  <sheetViews>
    <sheetView workbookViewId="0">
      <pane xSplit="3" ySplit="5" topLeftCell="D98" activePane="bottomRight" state="frozen"/>
      <selection pane="topRight" activeCell="D1" sqref="D1"/>
      <selection pane="bottomLeft" activeCell="A5" sqref="A5"/>
      <selection pane="bottomRight" activeCell="A103" sqref="A103:XFD103"/>
    </sheetView>
  </sheetViews>
  <sheetFormatPr defaultRowHeight="15.75" x14ac:dyDescent="0.25"/>
  <cols>
    <col min="1" max="1" width="9" style="270"/>
    <col min="2" max="2" width="22.375" style="270" customWidth="1"/>
    <col min="3" max="3" width="14.125" style="270" customWidth="1"/>
    <col min="4" max="4" width="12.5" style="270" customWidth="1"/>
    <col min="5" max="5" width="9" style="270"/>
    <col min="6" max="6" width="9.75" style="270" customWidth="1"/>
    <col min="7" max="10" width="9" style="270"/>
    <col min="11" max="11" width="11.875" style="270" customWidth="1"/>
    <col min="12" max="28" width="9" style="270"/>
    <col min="29" max="33" width="10.25" style="270" customWidth="1"/>
    <col min="34" max="36" width="14.875" style="270" customWidth="1"/>
    <col min="37" max="39" width="9" style="270"/>
    <col min="40" max="40" width="11.125" style="270" bestFit="1" customWidth="1"/>
    <col min="41" max="16384" width="9" style="270"/>
  </cols>
  <sheetData>
    <row r="1" spans="1:41" x14ac:dyDescent="0.25">
      <c r="A1" s="183" t="s">
        <v>1304</v>
      </c>
    </row>
    <row r="2" spans="1:41" x14ac:dyDescent="0.25">
      <c r="A2" s="183"/>
    </row>
    <row r="3" spans="1:41" x14ac:dyDescent="0.25">
      <c r="E3" s="2240" t="s">
        <v>729</v>
      </c>
      <c r="F3" s="2238"/>
      <c r="G3" s="2238"/>
      <c r="H3" s="2238"/>
      <c r="I3" s="2238"/>
      <c r="J3" s="2239"/>
      <c r="K3" s="2240" t="s">
        <v>618</v>
      </c>
      <c r="L3" s="2238"/>
      <c r="M3" s="2238"/>
      <c r="N3" s="2238"/>
      <c r="O3" s="2238"/>
      <c r="P3" s="2238"/>
      <c r="Q3" s="2240" t="s">
        <v>719</v>
      </c>
      <c r="R3" s="2238"/>
      <c r="S3" s="2238"/>
      <c r="T3" s="2238"/>
      <c r="U3" s="2238"/>
      <c r="V3" s="2239"/>
      <c r="W3" s="2240" t="s">
        <v>721</v>
      </c>
      <c r="X3" s="2238"/>
      <c r="Y3" s="2238"/>
      <c r="Z3" s="2238"/>
      <c r="AA3" s="2238"/>
      <c r="AB3" s="2239"/>
      <c r="AC3" s="2240" t="s">
        <v>730</v>
      </c>
      <c r="AD3" s="2238"/>
      <c r="AE3" s="2238"/>
      <c r="AF3" s="2238"/>
      <c r="AG3" s="2239"/>
      <c r="AH3" s="2241" t="s">
        <v>728</v>
      </c>
      <c r="AI3" s="2242"/>
      <c r="AJ3" s="2243"/>
      <c r="AK3" s="2238" t="s">
        <v>551</v>
      </c>
      <c r="AL3" s="2238"/>
      <c r="AM3" s="2238"/>
      <c r="AN3" s="2239"/>
      <c r="AO3" s="64" t="s">
        <v>731</v>
      </c>
    </row>
    <row r="4" spans="1:41" x14ac:dyDescent="0.25">
      <c r="A4" s="64" t="s">
        <v>4</v>
      </c>
      <c r="B4" s="64" t="s">
        <v>5</v>
      </c>
      <c r="C4" s="64" t="s">
        <v>251</v>
      </c>
      <c r="D4" s="64" t="s">
        <v>722</v>
      </c>
      <c r="E4" s="610" t="s">
        <v>726</v>
      </c>
      <c r="F4" s="611" t="s">
        <v>2</v>
      </c>
      <c r="G4" s="611" t="s">
        <v>445</v>
      </c>
      <c r="H4" s="611" t="s">
        <v>723</v>
      </c>
      <c r="I4" s="611" t="s">
        <v>724</v>
      </c>
      <c r="J4" s="612" t="s">
        <v>446</v>
      </c>
      <c r="K4" s="64" t="s">
        <v>726</v>
      </c>
      <c r="L4" s="611" t="s">
        <v>2</v>
      </c>
      <c r="M4" s="611" t="s">
        <v>445</v>
      </c>
      <c r="N4" s="611" t="s">
        <v>723</v>
      </c>
      <c r="O4" s="611" t="s">
        <v>724</v>
      </c>
      <c r="P4" s="611" t="s">
        <v>446</v>
      </c>
      <c r="Q4" s="610" t="s">
        <v>726</v>
      </c>
      <c r="R4" s="611" t="s">
        <v>2</v>
      </c>
      <c r="S4" s="611" t="s">
        <v>445</v>
      </c>
      <c r="T4" s="611" t="s">
        <v>723</v>
      </c>
      <c r="U4" s="611" t="s">
        <v>724</v>
      </c>
      <c r="V4" s="612" t="s">
        <v>446</v>
      </c>
      <c r="W4" s="610" t="s">
        <v>726</v>
      </c>
      <c r="X4" s="611" t="s">
        <v>2</v>
      </c>
      <c r="Y4" s="611" t="s">
        <v>445</v>
      </c>
      <c r="Z4" s="611" t="s">
        <v>723</v>
      </c>
      <c r="AA4" s="611" t="s">
        <v>724</v>
      </c>
      <c r="AB4" s="612" t="s">
        <v>446</v>
      </c>
      <c r="AC4" s="619" t="s">
        <v>2</v>
      </c>
      <c r="AD4" s="316" t="s">
        <v>445</v>
      </c>
      <c r="AE4" s="611" t="s">
        <v>723</v>
      </c>
      <c r="AF4" s="611" t="s">
        <v>724</v>
      </c>
      <c r="AG4" s="620" t="s">
        <v>446</v>
      </c>
      <c r="AH4" s="619" t="s">
        <v>7</v>
      </c>
      <c r="AI4" s="316" t="s">
        <v>6</v>
      </c>
      <c r="AJ4" s="620" t="s">
        <v>727</v>
      </c>
      <c r="AK4" s="610" t="s">
        <v>281</v>
      </c>
      <c r="AL4" s="611" t="s">
        <v>7</v>
      </c>
      <c r="AM4" s="611" t="s">
        <v>6</v>
      </c>
      <c r="AN4" s="612" t="s">
        <v>727</v>
      </c>
      <c r="AO4" s="64" t="s">
        <v>551</v>
      </c>
    </row>
    <row r="5" spans="1:41" x14ac:dyDescent="0.25">
      <c r="A5" s="606">
        <v>999</v>
      </c>
      <c r="B5" s="607" t="s">
        <v>9</v>
      </c>
      <c r="C5" s="607"/>
      <c r="D5" s="607"/>
      <c r="E5" s="613">
        <f t="shared" ref="E5" si="0">SUM(E6:E125)</f>
        <v>8382993</v>
      </c>
      <c r="F5" s="614">
        <f t="shared" ref="F5" si="1">SUM(F6:F125)</f>
        <v>6003584</v>
      </c>
      <c r="G5" s="614">
        <f t="shared" ref="G5" si="2">SUM(G6:G125)</f>
        <v>1729691</v>
      </c>
      <c r="H5" s="614">
        <f t="shared" ref="H5" si="3">SUM(H6:H125)</f>
        <v>598807</v>
      </c>
      <c r="I5" s="614">
        <f t="shared" ref="I5" si="4">SUM(I6:I125)</f>
        <v>50911</v>
      </c>
      <c r="J5" s="615">
        <f t="shared" ref="J5" si="5">SUM(J6:J125)</f>
        <v>649718</v>
      </c>
      <c r="K5" s="608">
        <f t="shared" ref="K5" si="6">SUM(K6:K125)</f>
        <v>1870422</v>
      </c>
      <c r="L5" s="614">
        <f t="shared" ref="L5" si="7">SUM(L6:L125)</f>
        <v>1273341</v>
      </c>
      <c r="M5" s="614">
        <f t="shared" ref="M5" si="8">SUM(M6:M125)</f>
        <v>440451</v>
      </c>
      <c r="N5" s="614">
        <f t="shared" ref="N5" si="9">SUM(N6:N125)</f>
        <v>144001</v>
      </c>
      <c r="O5" s="614">
        <f t="shared" ref="O5:P5" si="10">SUM(O6:O125)</f>
        <v>12629</v>
      </c>
      <c r="P5" s="614">
        <f t="shared" si="10"/>
        <v>156630</v>
      </c>
      <c r="Q5" s="613">
        <f>SUM(Q6:Q125)</f>
        <v>5324178</v>
      </c>
      <c r="R5" s="614">
        <f t="shared" ref="R5:S5" si="11">SUM(R6:R125)</f>
        <v>3784235</v>
      </c>
      <c r="S5" s="614">
        <f t="shared" si="11"/>
        <v>1105311</v>
      </c>
      <c r="T5" s="614">
        <f t="shared" ref="T5" si="12">SUM(T6:T125)</f>
        <v>400324</v>
      </c>
      <c r="U5" s="614">
        <f t="shared" ref="U5" si="13">SUM(U6:U125)</f>
        <v>34308</v>
      </c>
      <c r="V5" s="615">
        <f t="shared" ref="V5" si="14">SUM(V6:V125)</f>
        <v>434632</v>
      </c>
      <c r="W5" s="613">
        <f t="shared" ref="W5" si="15">SUM(W6:W125)</f>
        <v>1188393</v>
      </c>
      <c r="X5" s="614">
        <f t="shared" ref="X5" si="16">SUM(X6:X125)</f>
        <v>946008</v>
      </c>
      <c r="Y5" s="614">
        <f t="shared" ref="Y5" si="17">SUM(Y6:Y125)</f>
        <v>183929</v>
      </c>
      <c r="Z5" s="614">
        <f t="shared" ref="Z5" si="18">SUM(Z6:Z125)</f>
        <v>54482</v>
      </c>
      <c r="AA5" s="614">
        <f t="shared" ref="AA5" si="19">SUM(AA6:AA125)</f>
        <v>3974</v>
      </c>
      <c r="AB5" s="615">
        <f t="shared" ref="AB5" si="20">SUM(AB6:AB125)</f>
        <v>58456</v>
      </c>
      <c r="AC5" s="621">
        <f t="shared" ref="AC5" si="21">F5/E5</f>
        <v>0.71616235394685401</v>
      </c>
      <c r="AD5" s="622">
        <f t="shared" ref="AD5" si="22">G5/E5</f>
        <v>0.20633334657442753</v>
      </c>
      <c r="AE5" s="622">
        <f t="shared" ref="AE5" si="23">H5/E5</f>
        <v>7.1431170227626337E-2</v>
      </c>
      <c r="AF5" s="622">
        <f t="shared" ref="AF5" si="24">I5/E5</f>
        <v>6.0731292510920621E-3</v>
      </c>
      <c r="AG5" s="623">
        <f t="shared" ref="AG5" si="25">J5/E5</f>
        <v>7.7504299478718397E-2</v>
      </c>
      <c r="AH5" s="621">
        <f t="shared" ref="AH5" si="26">K5/E5</f>
        <v>0.22312102610606976</v>
      </c>
      <c r="AI5" s="622">
        <f t="shared" ref="AI5" si="27">Q5/E5</f>
        <v>0.63511659857046288</v>
      </c>
      <c r="AJ5" s="623">
        <f t="shared" ref="AJ5" si="28">W5/E5</f>
        <v>0.14176237532346742</v>
      </c>
      <c r="AK5" s="613">
        <f t="shared" ref="AK5:AL5" si="29">SUM(AK6:AK125)</f>
        <v>754737</v>
      </c>
      <c r="AL5" s="614">
        <f t="shared" si="29"/>
        <v>242486</v>
      </c>
      <c r="AM5" s="614">
        <f t="shared" ref="AM5" si="30">SUM(AM6:AM125)</f>
        <v>480621</v>
      </c>
      <c r="AN5" s="615">
        <f t="shared" ref="AN5" si="31">SUM(AN6:AN125)</f>
        <v>31630</v>
      </c>
      <c r="AO5" s="609">
        <f t="shared" ref="AO5" si="32">AK5/E5</f>
        <v>9.003192535172104E-2</v>
      </c>
    </row>
    <row r="6" spans="1:41" x14ac:dyDescent="0.25">
      <c r="A6" s="270" t="s">
        <v>10</v>
      </c>
      <c r="B6" s="270" t="s">
        <v>11</v>
      </c>
      <c r="C6" s="270" t="s">
        <v>264</v>
      </c>
      <c r="D6" s="270">
        <v>2</v>
      </c>
      <c r="E6" s="616">
        <f t="shared" ref="E6:E37" si="33">SUM(F6:I6)</f>
        <v>32973</v>
      </c>
      <c r="F6" s="617">
        <f t="shared" ref="F6:F37" si="34">L6+R6+X6</f>
        <v>22896</v>
      </c>
      <c r="G6" s="617">
        <f t="shared" ref="G6:G37" si="35">M6+S6+Y6</f>
        <v>9544</v>
      </c>
      <c r="H6" s="617">
        <f t="shared" ref="H6:H37" si="36">N6+T6+Z6</f>
        <v>303</v>
      </c>
      <c r="I6" s="617">
        <f t="shared" ref="I6:I37" si="37">O6+U6+AA6</f>
        <v>230</v>
      </c>
      <c r="J6" s="618">
        <f t="shared" ref="J6:J37" si="38">H6+I6</f>
        <v>533</v>
      </c>
      <c r="K6" s="271">
        <f t="shared" ref="K6:K37" si="39">SUM(L6:O6)</f>
        <v>6844</v>
      </c>
      <c r="L6" s="617">
        <v>4311</v>
      </c>
      <c r="M6" s="617">
        <v>2403</v>
      </c>
      <c r="N6" s="617">
        <v>70</v>
      </c>
      <c r="O6" s="617">
        <v>60</v>
      </c>
      <c r="P6" s="617">
        <f t="shared" ref="P6:P37" si="40">N6+O6</f>
        <v>130</v>
      </c>
      <c r="Q6" s="616">
        <f t="shared" ref="Q6:Q37" si="41">SUM(R6:U6)</f>
        <v>18963</v>
      </c>
      <c r="R6" s="617">
        <v>12798</v>
      </c>
      <c r="S6" s="617">
        <v>5822</v>
      </c>
      <c r="T6" s="617">
        <v>208</v>
      </c>
      <c r="U6" s="617">
        <v>135</v>
      </c>
      <c r="V6" s="618">
        <f t="shared" ref="V6:V37" si="42">T6+U6</f>
        <v>343</v>
      </c>
      <c r="W6" s="616">
        <f t="shared" ref="W6:W37" si="43">SUM(X6:AA6)</f>
        <v>7166</v>
      </c>
      <c r="X6" s="617">
        <v>5787</v>
      </c>
      <c r="Y6" s="617">
        <v>1319</v>
      </c>
      <c r="Z6" s="617">
        <v>25</v>
      </c>
      <c r="AA6" s="617">
        <v>35</v>
      </c>
      <c r="AB6" s="618">
        <f t="shared" ref="AB6:AB37" si="44">Z6+AA6</f>
        <v>60</v>
      </c>
      <c r="AC6" s="624">
        <f t="shared" ref="AC6:AC37" si="45">F6/E6</f>
        <v>0.69438631607679013</v>
      </c>
      <c r="AD6" s="625">
        <f t="shared" ref="AD6:AD37" si="46">G6/E6</f>
        <v>0.28944894307463681</v>
      </c>
      <c r="AE6" s="625">
        <f t="shared" ref="AE6:AE37" si="47">H6/E6</f>
        <v>9.1893367300518603E-3</v>
      </c>
      <c r="AF6" s="625">
        <f t="shared" ref="AF6:AF37" si="48">I6/E6</f>
        <v>6.9754041185212147E-3</v>
      </c>
      <c r="AG6" s="626">
        <f t="shared" ref="AG6:AG37" si="49">J6/E6</f>
        <v>1.6164740848573073E-2</v>
      </c>
      <c r="AH6" s="624">
        <f t="shared" ref="AH6:AH37" si="50">K6/E6</f>
        <v>0.20756376429199649</v>
      </c>
      <c r="AI6" s="625">
        <f t="shared" ref="AI6:AI37" si="51">Q6/E6</f>
        <v>0.57510690565007738</v>
      </c>
      <c r="AJ6" s="626">
        <f t="shared" ref="AJ6:AJ37" si="52">W6/E6</f>
        <v>0.21732933005792618</v>
      </c>
      <c r="AK6" s="616">
        <f t="shared" ref="AK6:AK37" si="53">SUM(AL6:AN6)</f>
        <v>2926</v>
      </c>
      <c r="AL6" s="617">
        <v>1264</v>
      </c>
      <c r="AM6" s="617">
        <v>1580</v>
      </c>
      <c r="AN6" s="618">
        <v>82</v>
      </c>
      <c r="AO6" s="272">
        <f t="shared" ref="AO6:AO37" si="54">AK6/E6</f>
        <v>8.8739271525187277E-2</v>
      </c>
    </row>
    <row r="7" spans="1:41" x14ac:dyDescent="0.25">
      <c r="A7" s="270" t="s">
        <v>12</v>
      </c>
      <c r="B7" s="270" t="s">
        <v>13</v>
      </c>
      <c r="C7" s="270" t="s">
        <v>265</v>
      </c>
      <c r="D7" s="270">
        <v>3</v>
      </c>
      <c r="E7" s="616">
        <f t="shared" si="33"/>
        <v>105703</v>
      </c>
      <c r="F7" s="617">
        <f t="shared" si="34"/>
        <v>88458</v>
      </c>
      <c r="G7" s="617">
        <f t="shared" si="35"/>
        <v>11118</v>
      </c>
      <c r="H7" s="617">
        <f t="shared" si="36"/>
        <v>5671</v>
      </c>
      <c r="I7" s="617">
        <f t="shared" si="37"/>
        <v>456</v>
      </c>
      <c r="J7" s="618">
        <f t="shared" si="38"/>
        <v>6127</v>
      </c>
      <c r="K7" s="271">
        <f t="shared" si="39"/>
        <v>21846</v>
      </c>
      <c r="L7" s="617">
        <v>17787</v>
      </c>
      <c r="M7" s="617">
        <v>2808</v>
      </c>
      <c r="N7" s="617">
        <v>1123</v>
      </c>
      <c r="O7" s="617">
        <v>128</v>
      </c>
      <c r="P7" s="617">
        <f t="shared" si="40"/>
        <v>1251</v>
      </c>
      <c r="Q7" s="616">
        <f t="shared" si="41"/>
        <v>65794</v>
      </c>
      <c r="R7" s="617">
        <v>54199</v>
      </c>
      <c r="S7" s="617">
        <v>7062</v>
      </c>
      <c r="T7" s="617">
        <v>4236</v>
      </c>
      <c r="U7" s="617">
        <v>297</v>
      </c>
      <c r="V7" s="618">
        <f t="shared" si="42"/>
        <v>4533</v>
      </c>
      <c r="W7" s="616">
        <f t="shared" si="43"/>
        <v>18063</v>
      </c>
      <c r="X7" s="617">
        <v>16472</v>
      </c>
      <c r="Y7" s="617">
        <v>1248</v>
      </c>
      <c r="Z7" s="617">
        <v>312</v>
      </c>
      <c r="AA7" s="617">
        <v>31</v>
      </c>
      <c r="AB7" s="618">
        <f t="shared" si="44"/>
        <v>343</v>
      </c>
      <c r="AC7" s="624">
        <f t="shared" si="45"/>
        <v>0.83685420470563754</v>
      </c>
      <c r="AD7" s="625">
        <f t="shared" si="46"/>
        <v>0.10518149910598563</v>
      </c>
      <c r="AE7" s="625">
        <f t="shared" si="47"/>
        <v>5.3650322128984039E-2</v>
      </c>
      <c r="AF7" s="625">
        <f t="shared" si="48"/>
        <v>4.3139740593928274E-3</v>
      </c>
      <c r="AG7" s="626">
        <f t="shared" si="49"/>
        <v>5.7964296188376868E-2</v>
      </c>
      <c r="AH7" s="624">
        <f t="shared" si="50"/>
        <v>0.20667341513485898</v>
      </c>
      <c r="AI7" s="625">
        <f t="shared" si="51"/>
        <v>0.62244212557827117</v>
      </c>
      <c r="AJ7" s="626">
        <f t="shared" si="52"/>
        <v>0.17088445928686982</v>
      </c>
      <c r="AK7" s="616">
        <f t="shared" si="53"/>
        <v>6112</v>
      </c>
      <c r="AL7" s="617">
        <v>2106</v>
      </c>
      <c r="AM7" s="617">
        <v>3765</v>
      </c>
      <c r="AN7" s="618">
        <v>241</v>
      </c>
      <c r="AO7" s="272">
        <f t="shared" si="54"/>
        <v>5.7822389146949468E-2</v>
      </c>
    </row>
    <row r="8" spans="1:41" x14ac:dyDescent="0.25">
      <c r="A8" s="270" t="s">
        <v>16</v>
      </c>
      <c r="B8" s="270" t="s">
        <v>297</v>
      </c>
      <c r="C8" s="270" t="s">
        <v>265</v>
      </c>
      <c r="D8" s="270">
        <v>2</v>
      </c>
      <c r="E8" s="616">
        <f t="shared" si="33"/>
        <v>21335</v>
      </c>
      <c r="F8" s="617">
        <f t="shared" si="34"/>
        <v>19485</v>
      </c>
      <c r="G8" s="617">
        <f t="shared" si="35"/>
        <v>1675</v>
      </c>
      <c r="H8" s="617">
        <f t="shared" si="36"/>
        <v>116</v>
      </c>
      <c r="I8" s="617">
        <f t="shared" si="37"/>
        <v>59</v>
      </c>
      <c r="J8" s="618">
        <f t="shared" si="38"/>
        <v>175</v>
      </c>
      <c r="K8" s="271">
        <f t="shared" si="39"/>
        <v>4173</v>
      </c>
      <c r="L8" s="617">
        <v>3709</v>
      </c>
      <c r="M8" s="617">
        <v>428</v>
      </c>
      <c r="N8" s="617">
        <v>27</v>
      </c>
      <c r="O8" s="617">
        <v>9</v>
      </c>
      <c r="P8" s="617">
        <f t="shared" si="40"/>
        <v>36</v>
      </c>
      <c r="Q8" s="616">
        <f t="shared" si="41"/>
        <v>12175</v>
      </c>
      <c r="R8" s="617">
        <v>11137</v>
      </c>
      <c r="S8" s="617">
        <v>928</v>
      </c>
      <c r="T8" s="617">
        <v>71</v>
      </c>
      <c r="U8" s="617">
        <v>39</v>
      </c>
      <c r="V8" s="618">
        <f t="shared" si="42"/>
        <v>110</v>
      </c>
      <c r="W8" s="616">
        <f t="shared" si="43"/>
        <v>4987</v>
      </c>
      <c r="X8" s="617">
        <v>4639</v>
      </c>
      <c r="Y8" s="617">
        <v>319</v>
      </c>
      <c r="Z8" s="617">
        <v>18</v>
      </c>
      <c r="AA8" s="617">
        <v>11</v>
      </c>
      <c r="AB8" s="618">
        <f t="shared" si="44"/>
        <v>29</v>
      </c>
      <c r="AC8" s="624">
        <f t="shared" si="45"/>
        <v>0.91328802437309586</v>
      </c>
      <c r="AD8" s="625">
        <f t="shared" si="46"/>
        <v>7.8509491445980781E-2</v>
      </c>
      <c r="AE8" s="625">
        <f t="shared" si="47"/>
        <v>5.4370752284977732E-3</v>
      </c>
      <c r="AF8" s="625">
        <f t="shared" si="48"/>
        <v>2.7654089524255915E-3</v>
      </c>
      <c r="AG8" s="626">
        <f t="shared" si="49"/>
        <v>8.202484180923366E-3</v>
      </c>
      <c r="AH8" s="624">
        <f t="shared" si="50"/>
        <v>0.19559409421138974</v>
      </c>
      <c r="AI8" s="625">
        <f t="shared" si="51"/>
        <v>0.57065854230138269</v>
      </c>
      <c r="AJ8" s="626">
        <f t="shared" si="52"/>
        <v>0.23374736348722755</v>
      </c>
      <c r="AK8" s="616">
        <f t="shared" si="53"/>
        <v>358</v>
      </c>
      <c r="AL8" s="617">
        <v>121</v>
      </c>
      <c r="AM8" s="617">
        <v>194</v>
      </c>
      <c r="AN8" s="618">
        <v>43</v>
      </c>
      <c r="AO8" s="272">
        <f t="shared" si="54"/>
        <v>1.6779939067260372E-2</v>
      </c>
    </row>
    <row r="9" spans="1:41" x14ac:dyDescent="0.25">
      <c r="A9" s="270" t="s">
        <v>18</v>
      </c>
      <c r="B9" s="270" t="s">
        <v>19</v>
      </c>
      <c r="C9" s="270" t="s">
        <v>266</v>
      </c>
      <c r="D9" s="270">
        <v>1</v>
      </c>
      <c r="E9" s="616">
        <f t="shared" si="33"/>
        <v>12903</v>
      </c>
      <c r="F9" s="617">
        <f t="shared" si="34"/>
        <v>9808</v>
      </c>
      <c r="G9" s="617">
        <f t="shared" si="35"/>
        <v>2909</v>
      </c>
      <c r="H9" s="617">
        <f t="shared" si="36"/>
        <v>116</v>
      </c>
      <c r="I9" s="617">
        <f t="shared" si="37"/>
        <v>70</v>
      </c>
      <c r="J9" s="618">
        <f t="shared" si="38"/>
        <v>186</v>
      </c>
      <c r="K9" s="271">
        <f t="shared" si="39"/>
        <v>2715</v>
      </c>
      <c r="L9" s="617">
        <v>2081</v>
      </c>
      <c r="M9" s="617">
        <v>577</v>
      </c>
      <c r="N9" s="617">
        <v>47</v>
      </c>
      <c r="O9" s="617">
        <v>10</v>
      </c>
      <c r="P9" s="617">
        <f t="shared" si="40"/>
        <v>57</v>
      </c>
      <c r="Q9" s="616">
        <f t="shared" si="41"/>
        <v>7741</v>
      </c>
      <c r="R9" s="617">
        <v>5929</v>
      </c>
      <c r="S9" s="617">
        <v>1695</v>
      </c>
      <c r="T9" s="617">
        <v>65</v>
      </c>
      <c r="U9" s="617">
        <v>52</v>
      </c>
      <c r="V9" s="618">
        <f t="shared" si="42"/>
        <v>117</v>
      </c>
      <c r="W9" s="616">
        <f t="shared" si="43"/>
        <v>2447</v>
      </c>
      <c r="X9" s="617">
        <v>1798</v>
      </c>
      <c r="Y9" s="617">
        <v>637</v>
      </c>
      <c r="Z9" s="617">
        <v>4</v>
      </c>
      <c r="AA9" s="617">
        <v>8</v>
      </c>
      <c r="AB9" s="618">
        <f t="shared" si="44"/>
        <v>12</v>
      </c>
      <c r="AC9" s="624">
        <f t="shared" si="45"/>
        <v>0.76013330233279086</v>
      </c>
      <c r="AD9" s="625">
        <f t="shared" si="46"/>
        <v>0.22545144540029449</v>
      </c>
      <c r="AE9" s="625">
        <f t="shared" si="47"/>
        <v>8.9901573277532364E-3</v>
      </c>
      <c r="AF9" s="625">
        <f t="shared" si="48"/>
        <v>5.4250949391614353E-3</v>
      </c>
      <c r="AG9" s="626">
        <f t="shared" si="49"/>
        <v>1.4415252266914671E-2</v>
      </c>
      <c r="AH9" s="624">
        <f t="shared" si="50"/>
        <v>0.21041618228318995</v>
      </c>
      <c r="AI9" s="625">
        <f t="shared" si="51"/>
        <v>0.59993799891498101</v>
      </c>
      <c r="AJ9" s="626">
        <f t="shared" si="52"/>
        <v>0.18964581880182904</v>
      </c>
      <c r="AK9" s="616">
        <f t="shared" si="53"/>
        <v>374</v>
      </c>
      <c r="AL9" s="617">
        <v>127</v>
      </c>
      <c r="AM9" s="617">
        <v>227</v>
      </c>
      <c r="AN9" s="618">
        <v>20</v>
      </c>
      <c r="AO9" s="272">
        <f t="shared" si="54"/>
        <v>2.8985507246376812E-2</v>
      </c>
    </row>
    <row r="10" spans="1:41" x14ac:dyDescent="0.25">
      <c r="A10" s="270" t="s">
        <v>20</v>
      </c>
      <c r="B10" s="270" t="s">
        <v>21</v>
      </c>
      <c r="C10" s="270" t="s">
        <v>265</v>
      </c>
      <c r="D10" s="270">
        <v>2</v>
      </c>
      <c r="E10" s="616">
        <f t="shared" si="33"/>
        <v>31914</v>
      </c>
      <c r="F10" s="617">
        <f t="shared" si="34"/>
        <v>25040</v>
      </c>
      <c r="G10" s="617">
        <f t="shared" si="35"/>
        <v>6358</v>
      </c>
      <c r="H10" s="617">
        <f t="shared" si="36"/>
        <v>236</v>
      </c>
      <c r="I10" s="617">
        <f t="shared" si="37"/>
        <v>280</v>
      </c>
      <c r="J10" s="618">
        <f t="shared" si="38"/>
        <v>516</v>
      </c>
      <c r="K10" s="271">
        <f t="shared" si="39"/>
        <v>6326</v>
      </c>
      <c r="L10" s="617">
        <v>4849</v>
      </c>
      <c r="M10" s="617">
        <v>1359</v>
      </c>
      <c r="N10" s="617">
        <v>73</v>
      </c>
      <c r="O10" s="617">
        <v>45</v>
      </c>
      <c r="P10" s="617">
        <f t="shared" si="40"/>
        <v>118</v>
      </c>
      <c r="Q10" s="616">
        <f t="shared" si="41"/>
        <v>19408</v>
      </c>
      <c r="R10" s="617">
        <v>15150</v>
      </c>
      <c r="S10" s="617">
        <v>3936</v>
      </c>
      <c r="T10" s="617">
        <v>143</v>
      </c>
      <c r="U10" s="617">
        <v>179</v>
      </c>
      <c r="V10" s="618">
        <f t="shared" si="42"/>
        <v>322</v>
      </c>
      <c r="W10" s="616">
        <f t="shared" si="43"/>
        <v>6180</v>
      </c>
      <c r="X10" s="617">
        <v>5041</v>
      </c>
      <c r="Y10" s="617">
        <v>1063</v>
      </c>
      <c r="Z10" s="617">
        <v>20</v>
      </c>
      <c r="AA10" s="617">
        <v>56</v>
      </c>
      <c r="AB10" s="618">
        <f t="shared" si="44"/>
        <v>76</v>
      </c>
      <c r="AC10" s="624">
        <f t="shared" si="45"/>
        <v>0.78460863570846651</v>
      </c>
      <c r="AD10" s="625">
        <f t="shared" si="46"/>
        <v>0.19922291157485744</v>
      </c>
      <c r="AE10" s="625">
        <f t="shared" si="47"/>
        <v>7.3948737231309142E-3</v>
      </c>
      <c r="AF10" s="625">
        <f t="shared" si="48"/>
        <v>8.773578993545153E-3</v>
      </c>
      <c r="AG10" s="626">
        <f t="shared" si="49"/>
        <v>1.6168452716676066E-2</v>
      </c>
      <c r="AH10" s="624">
        <f t="shared" si="50"/>
        <v>0.19822021683273799</v>
      </c>
      <c r="AI10" s="625">
        <f t="shared" si="51"/>
        <v>0.60813436109544405</v>
      </c>
      <c r="AJ10" s="626">
        <f t="shared" si="52"/>
        <v>0.19364542207181801</v>
      </c>
      <c r="AK10" s="616">
        <f t="shared" si="53"/>
        <v>724</v>
      </c>
      <c r="AL10" s="617">
        <v>236</v>
      </c>
      <c r="AM10" s="617">
        <v>439</v>
      </c>
      <c r="AN10" s="618">
        <v>49</v>
      </c>
      <c r="AO10" s="272">
        <f t="shared" si="54"/>
        <v>2.2685968540452465E-2</v>
      </c>
    </row>
    <row r="11" spans="1:41" x14ac:dyDescent="0.25">
      <c r="A11" s="270" t="s">
        <v>22</v>
      </c>
      <c r="B11" s="270" t="s">
        <v>23</v>
      </c>
      <c r="C11" s="270" t="s">
        <v>265</v>
      </c>
      <c r="D11" s="270">
        <v>1</v>
      </c>
      <c r="E11" s="616">
        <f t="shared" si="33"/>
        <v>15414</v>
      </c>
      <c r="F11" s="617">
        <f t="shared" si="34"/>
        <v>12124</v>
      </c>
      <c r="G11" s="617">
        <f t="shared" si="35"/>
        <v>3167</v>
      </c>
      <c r="H11" s="617">
        <f t="shared" si="36"/>
        <v>75</v>
      </c>
      <c r="I11" s="617">
        <f t="shared" si="37"/>
        <v>48</v>
      </c>
      <c r="J11" s="618">
        <f t="shared" si="38"/>
        <v>123</v>
      </c>
      <c r="K11" s="271">
        <f t="shared" si="39"/>
        <v>3356</v>
      </c>
      <c r="L11" s="617">
        <v>2533</v>
      </c>
      <c r="M11" s="617">
        <v>798</v>
      </c>
      <c r="N11" s="617">
        <v>17</v>
      </c>
      <c r="O11" s="617">
        <v>8</v>
      </c>
      <c r="P11" s="617">
        <f t="shared" si="40"/>
        <v>25</v>
      </c>
      <c r="Q11" s="616">
        <f t="shared" si="41"/>
        <v>9056</v>
      </c>
      <c r="R11" s="617">
        <v>7124</v>
      </c>
      <c r="S11" s="617">
        <v>1849</v>
      </c>
      <c r="T11" s="617">
        <v>51</v>
      </c>
      <c r="U11" s="617">
        <v>32</v>
      </c>
      <c r="V11" s="618">
        <f t="shared" si="42"/>
        <v>83</v>
      </c>
      <c r="W11" s="616">
        <f t="shared" si="43"/>
        <v>3002</v>
      </c>
      <c r="X11" s="617">
        <v>2467</v>
      </c>
      <c r="Y11" s="617">
        <v>520</v>
      </c>
      <c r="Z11" s="617">
        <v>7</v>
      </c>
      <c r="AA11" s="617">
        <v>8</v>
      </c>
      <c r="AB11" s="618">
        <f t="shared" si="44"/>
        <v>15</v>
      </c>
      <c r="AC11" s="624">
        <f t="shared" si="45"/>
        <v>0.78655767484105354</v>
      </c>
      <c r="AD11" s="625">
        <f t="shared" si="46"/>
        <v>0.20546256649798883</v>
      </c>
      <c r="AE11" s="625">
        <f t="shared" si="47"/>
        <v>4.8657065005838851E-3</v>
      </c>
      <c r="AF11" s="625">
        <f t="shared" si="48"/>
        <v>3.1140521603736861E-3</v>
      </c>
      <c r="AG11" s="626">
        <f t="shared" si="49"/>
        <v>7.9797586609575717E-3</v>
      </c>
      <c r="AH11" s="624">
        <f t="shared" si="50"/>
        <v>0.21772414687946023</v>
      </c>
      <c r="AI11" s="625">
        <f t="shared" si="51"/>
        <v>0.58751784092383552</v>
      </c>
      <c r="AJ11" s="626">
        <f t="shared" si="52"/>
        <v>0.1947580121967043</v>
      </c>
      <c r="AK11" s="616">
        <f t="shared" si="53"/>
        <v>219</v>
      </c>
      <c r="AL11" s="617">
        <v>76</v>
      </c>
      <c r="AM11" s="617">
        <v>124</v>
      </c>
      <c r="AN11" s="618">
        <v>19</v>
      </c>
      <c r="AO11" s="272">
        <f t="shared" si="54"/>
        <v>1.4207862981704943E-2</v>
      </c>
    </row>
    <row r="12" spans="1:41" x14ac:dyDescent="0.25">
      <c r="A12" s="270" t="s">
        <v>24</v>
      </c>
      <c r="B12" s="270" t="s">
        <v>25</v>
      </c>
      <c r="C12" s="270" t="s">
        <v>267</v>
      </c>
      <c r="D12" s="270">
        <v>3</v>
      </c>
      <c r="E12" s="616">
        <f t="shared" si="33"/>
        <v>229164</v>
      </c>
      <c r="F12" s="617">
        <f t="shared" si="34"/>
        <v>178482</v>
      </c>
      <c r="G12" s="617">
        <f t="shared" si="35"/>
        <v>22233</v>
      </c>
      <c r="H12" s="617">
        <f t="shared" si="36"/>
        <v>26608</v>
      </c>
      <c r="I12" s="617">
        <f t="shared" si="37"/>
        <v>1841</v>
      </c>
      <c r="J12" s="618">
        <f t="shared" si="38"/>
        <v>28449</v>
      </c>
      <c r="K12" s="271">
        <f t="shared" si="39"/>
        <v>40006</v>
      </c>
      <c r="L12" s="617">
        <v>30567</v>
      </c>
      <c r="M12" s="617">
        <v>4567</v>
      </c>
      <c r="N12" s="617">
        <v>4490</v>
      </c>
      <c r="O12" s="617">
        <v>382</v>
      </c>
      <c r="P12" s="617">
        <f t="shared" si="40"/>
        <v>4872</v>
      </c>
      <c r="Q12" s="616">
        <f t="shared" si="41"/>
        <v>167460</v>
      </c>
      <c r="R12" s="617">
        <v>130268</v>
      </c>
      <c r="S12" s="617">
        <v>15648</v>
      </c>
      <c r="T12" s="617">
        <v>20205</v>
      </c>
      <c r="U12" s="617">
        <v>1339</v>
      </c>
      <c r="V12" s="618">
        <f t="shared" si="42"/>
        <v>21544</v>
      </c>
      <c r="W12" s="616">
        <f t="shared" si="43"/>
        <v>21698</v>
      </c>
      <c r="X12" s="617">
        <v>17647</v>
      </c>
      <c r="Y12" s="617">
        <v>2018</v>
      </c>
      <c r="Z12" s="617">
        <v>1913</v>
      </c>
      <c r="AA12" s="617">
        <v>120</v>
      </c>
      <c r="AB12" s="618">
        <f t="shared" si="44"/>
        <v>2033</v>
      </c>
      <c r="AC12" s="624">
        <f t="shared" si="45"/>
        <v>0.77883960831544219</v>
      </c>
      <c r="AD12" s="625">
        <f t="shared" si="46"/>
        <v>9.7017856207781333E-2</v>
      </c>
      <c r="AE12" s="625">
        <f t="shared" si="47"/>
        <v>0.11610898745003578</v>
      </c>
      <c r="AF12" s="625">
        <f t="shared" si="48"/>
        <v>8.0335480267406754E-3</v>
      </c>
      <c r="AG12" s="626">
        <f t="shared" si="49"/>
        <v>0.12414253547677646</v>
      </c>
      <c r="AH12" s="624">
        <f t="shared" si="50"/>
        <v>0.17457366776631583</v>
      </c>
      <c r="AI12" s="625">
        <f t="shared" si="51"/>
        <v>0.73074304864638429</v>
      </c>
      <c r="AJ12" s="626">
        <f t="shared" si="52"/>
        <v>9.4683283587299924E-2</v>
      </c>
      <c r="AK12" s="616">
        <f t="shared" si="53"/>
        <v>35912</v>
      </c>
      <c r="AL12" s="617">
        <v>8670</v>
      </c>
      <c r="AM12" s="617">
        <v>25289</v>
      </c>
      <c r="AN12" s="618">
        <v>1953</v>
      </c>
      <c r="AO12" s="272">
        <f t="shared" si="54"/>
        <v>0.15670873261070675</v>
      </c>
    </row>
    <row r="13" spans="1:41" x14ac:dyDescent="0.25">
      <c r="A13" s="270" t="s">
        <v>26</v>
      </c>
      <c r="B13" s="270" t="s">
        <v>686</v>
      </c>
      <c r="C13" s="270" t="s">
        <v>265</v>
      </c>
      <c r="D13" s="270">
        <v>3</v>
      </c>
      <c r="E13" s="616">
        <f t="shared" si="33"/>
        <v>120221</v>
      </c>
      <c r="F13" s="617">
        <f t="shared" si="34"/>
        <v>109019</v>
      </c>
      <c r="G13" s="617">
        <f t="shared" si="35"/>
        <v>9653</v>
      </c>
      <c r="H13" s="617">
        <f t="shared" si="36"/>
        <v>1171</v>
      </c>
      <c r="I13" s="617">
        <f t="shared" si="37"/>
        <v>378</v>
      </c>
      <c r="J13" s="618">
        <f t="shared" si="38"/>
        <v>1549</v>
      </c>
      <c r="K13" s="271">
        <f t="shared" si="39"/>
        <v>24135</v>
      </c>
      <c r="L13" s="617">
        <v>21383</v>
      </c>
      <c r="M13" s="617">
        <v>2407</v>
      </c>
      <c r="N13" s="617">
        <v>271</v>
      </c>
      <c r="O13" s="617">
        <v>74</v>
      </c>
      <c r="P13" s="617">
        <f t="shared" si="40"/>
        <v>345</v>
      </c>
      <c r="Q13" s="616">
        <f t="shared" si="41"/>
        <v>72506</v>
      </c>
      <c r="R13" s="617">
        <v>65286</v>
      </c>
      <c r="S13" s="617">
        <v>6151</v>
      </c>
      <c r="T13" s="617">
        <v>796</v>
      </c>
      <c r="U13" s="617">
        <v>273</v>
      </c>
      <c r="V13" s="618">
        <f t="shared" si="42"/>
        <v>1069</v>
      </c>
      <c r="W13" s="616">
        <f t="shared" si="43"/>
        <v>23580</v>
      </c>
      <c r="X13" s="617">
        <v>22350</v>
      </c>
      <c r="Y13" s="617">
        <v>1095</v>
      </c>
      <c r="Z13" s="617">
        <v>104</v>
      </c>
      <c r="AA13" s="617">
        <v>31</v>
      </c>
      <c r="AB13" s="618">
        <f t="shared" si="44"/>
        <v>135</v>
      </c>
      <c r="AC13" s="624">
        <f t="shared" si="45"/>
        <v>0.9068216035468013</v>
      </c>
      <c r="AD13" s="625">
        <f t="shared" si="46"/>
        <v>8.0293792265910283E-2</v>
      </c>
      <c r="AE13" s="625">
        <f t="shared" si="47"/>
        <v>9.7403947729597998E-3</v>
      </c>
      <c r="AF13" s="625">
        <f t="shared" si="48"/>
        <v>3.1442094143286116E-3</v>
      </c>
      <c r="AG13" s="626">
        <f t="shared" si="49"/>
        <v>1.2884604187288411E-2</v>
      </c>
      <c r="AH13" s="624">
        <f t="shared" si="50"/>
        <v>0.20075527570058477</v>
      </c>
      <c r="AI13" s="625">
        <f t="shared" si="51"/>
        <v>0.60310594654843996</v>
      </c>
      <c r="AJ13" s="626">
        <f t="shared" si="52"/>
        <v>0.1961387777509753</v>
      </c>
      <c r="AK13" s="616">
        <f t="shared" si="53"/>
        <v>4125</v>
      </c>
      <c r="AL13" s="617">
        <v>1498</v>
      </c>
      <c r="AM13" s="617">
        <v>2432</v>
      </c>
      <c r="AN13" s="618">
        <v>195</v>
      </c>
      <c r="AO13" s="272">
        <f t="shared" si="54"/>
        <v>3.4311809084935245E-2</v>
      </c>
    </row>
    <row r="14" spans="1:41" x14ac:dyDescent="0.25">
      <c r="A14" s="270" t="s">
        <v>27</v>
      </c>
      <c r="B14" s="270" t="s">
        <v>28</v>
      </c>
      <c r="C14" s="270" t="s">
        <v>265</v>
      </c>
      <c r="D14" s="270">
        <v>1</v>
      </c>
      <c r="E14" s="616">
        <f t="shared" si="33"/>
        <v>4470</v>
      </c>
      <c r="F14" s="617">
        <f t="shared" si="34"/>
        <v>4195</v>
      </c>
      <c r="G14" s="617">
        <f t="shared" si="35"/>
        <v>244</v>
      </c>
      <c r="H14" s="617">
        <f t="shared" si="36"/>
        <v>23</v>
      </c>
      <c r="I14" s="617">
        <f t="shared" si="37"/>
        <v>8</v>
      </c>
      <c r="J14" s="618">
        <f t="shared" si="38"/>
        <v>31</v>
      </c>
      <c r="K14" s="271">
        <f t="shared" si="39"/>
        <v>708</v>
      </c>
      <c r="L14" s="617">
        <v>667</v>
      </c>
      <c r="M14" s="617">
        <v>36</v>
      </c>
      <c r="N14" s="617">
        <v>5</v>
      </c>
      <c r="O14" s="617">
        <v>0</v>
      </c>
      <c r="P14" s="617">
        <f t="shared" si="40"/>
        <v>5</v>
      </c>
      <c r="Q14" s="616">
        <f t="shared" si="41"/>
        <v>2612</v>
      </c>
      <c r="R14" s="617">
        <v>2437</v>
      </c>
      <c r="S14" s="617">
        <v>155</v>
      </c>
      <c r="T14" s="617">
        <v>13</v>
      </c>
      <c r="U14" s="617">
        <v>7</v>
      </c>
      <c r="V14" s="618">
        <f t="shared" si="42"/>
        <v>20</v>
      </c>
      <c r="W14" s="616">
        <f t="shared" si="43"/>
        <v>1150</v>
      </c>
      <c r="X14" s="617">
        <v>1091</v>
      </c>
      <c r="Y14" s="617">
        <v>53</v>
      </c>
      <c r="Z14" s="617">
        <v>5</v>
      </c>
      <c r="AA14" s="617">
        <v>1</v>
      </c>
      <c r="AB14" s="618">
        <f t="shared" si="44"/>
        <v>6</v>
      </c>
      <c r="AC14" s="624">
        <f t="shared" si="45"/>
        <v>0.93847874720357938</v>
      </c>
      <c r="AD14" s="625">
        <f t="shared" si="46"/>
        <v>5.458612975391499E-2</v>
      </c>
      <c r="AE14" s="625">
        <f t="shared" si="47"/>
        <v>5.145413870246085E-3</v>
      </c>
      <c r="AF14" s="625">
        <f t="shared" si="48"/>
        <v>1.7897091722595079E-3</v>
      </c>
      <c r="AG14" s="626">
        <f t="shared" si="49"/>
        <v>6.9351230425055924E-3</v>
      </c>
      <c r="AH14" s="624">
        <f t="shared" si="50"/>
        <v>0.15838926174496645</v>
      </c>
      <c r="AI14" s="625">
        <f t="shared" si="51"/>
        <v>0.58434004474272927</v>
      </c>
      <c r="AJ14" s="626">
        <f t="shared" si="52"/>
        <v>0.25727069351230425</v>
      </c>
      <c r="AK14" s="616">
        <f t="shared" si="53"/>
        <v>85</v>
      </c>
      <c r="AL14" s="617">
        <v>23</v>
      </c>
      <c r="AM14" s="617">
        <v>53</v>
      </c>
      <c r="AN14" s="618">
        <v>9</v>
      </c>
      <c r="AO14" s="272">
        <f t="shared" si="54"/>
        <v>1.901565995525727E-2</v>
      </c>
    </row>
    <row r="15" spans="1:41" x14ac:dyDescent="0.25">
      <c r="A15" s="270" t="s">
        <v>29</v>
      </c>
      <c r="B15" s="481" t="s">
        <v>924</v>
      </c>
      <c r="C15" s="270" t="s">
        <v>265</v>
      </c>
      <c r="D15" s="270">
        <v>2</v>
      </c>
      <c r="E15" s="616">
        <f t="shared" si="33"/>
        <v>77724</v>
      </c>
      <c r="F15" s="617">
        <f t="shared" si="34"/>
        <v>70553</v>
      </c>
      <c r="G15" s="617">
        <f t="shared" si="35"/>
        <v>5873</v>
      </c>
      <c r="H15" s="617">
        <f t="shared" si="36"/>
        <v>1053</v>
      </c>
      <c r="I15" s="617">
        <f t="shared" si="37"/>
        <v>245</v>
      </c>
      <c r="J15" s="618">
        <f t="shared" si="38"/>
        <v>1298</v>
      </c>
      <c r="K15" s="271">
        <f t="shared" si="39"/>
        <v>15924</v>
      </c>
      <c r="L15" s="617">
        <v>14151</v>
      </c>
      <c r="M15" s="617">
        <v>1398</v>
      </c>
      <c r="N15" s="617">
        <v>315</v>
      </c>
      <c r="O15" s="617">
        <v>60</v>
      </c>
      <c r="P15" s="617">
        <f t="shared" si="40"/>
        <v>375</v>
      </c>
      <c r="Q15" s="616">
        <f t="shared" si="41"/>
        <v>46334</v>
      </c>
      <c r="R15" s="617">
        <v>41883</v>
      </c>
      <c r="S15" s="617">
        <v>3629</v>
      </c>
      <c r="T15" s="617">
        <v>664</v>
      </c>
      <c r="U15" s="617">
        <v>158</v>
      </c>
      <c r="V15" s="618">
        <f t="shared" si="42"/>
        <v>822</v>
      </c>
      <c r="W15" s="616">
        <f t="shared" si="43"/>
        <v>15466</v>
      </c>
      <c r="X15" s="617">
        <v>14519</v>
      </c>
      <c r="Y15" s="617">
        <v>846</v>
      </c>
      <c r="Z15" s="617">
        <v>74</v>
      </c>
      <c r="AA15" s="617">
        <v>27</v>
      </c>
      <c r="AB15" s="618">
        <f t="shared" si="44"/>
        <v>101</v>
      </c>
      <c r="AC15" s="624">
        <f t="shared" si="45"/>
        <v>0.9077376357367094</v>
      </c>
      <c r="AD15" s="625">
        <f t="shared" si="46"/>
        <v>7.5562245895733626E-2</v>
      </c>
      <c r="AE15" s="625">
        <f t="shared" si="47"/>
        <v>1.3547938860583603E-2</v>
      </c>
      <c r="AF15" s="625">
        <f t="shared" si="48"/>
        <v>3.1521795069733931E-3</v>
      </c>
      <c r="AG15" s="626">
        <f t="shared" si="49"/>
        <v>1.6700118367556995E-2</v>
      </c>
      <c r="AH15" s="624">
        <f t="shared" si="50"/>
        <v>0.20487880191446659</v>
      </c>
      <c r="AI15" s="625">
        <f t="shared" si="51"/>
        <v>0.59613504194328648</v>
      </c>
      <c r="AJ15" s="626">
        <f t="shared" si="52"/>
        <v>0.19898615614224693</v>
      </c>
      <c r="AK15" s="616">
        <f t="shared" si="53"/>
        <v>1596</v>
      </c>
      <c r="AL15" s="617">
        <v>496</v>
      </c>
      <c r="AM15" s="617">
        <v>986</v>
      </c>
      <c r="AN15" s="618">
        <v>114</v>
      </c>
      <c r="AO15" s="272">
        <f t="shared" si="54"/>
        <v>2.053419793114096E-2</v>
      </c>
    </row>
    <row r="16" spans="1:41" x14ac:dyDescent="0.25">
      <c r="A16" s="270" t="s">
        <v>30</v>
      </c>
      <c r="B16" s="270" t="s">
        <v>31</v>
      </c>
      <c r="C16" s="270" t="s">
        <v>268</v>
      </c>
      <c r="D16" s="270">
        <v>1</v>
      </c>
      <c r="E16" s="616">
        <f t="shared" si="33"/>
        <v>6561</v>
      </c>
      <c r="F16" s="617">
        <f t="shared" si="34"/>
        <v>6265</v>
      </c>
      <c r="G16" s="617">
        <f t="shared" si="35"/>
        <v>266</v>
      </c>
      <c r="H16" s="617">
        <f t="shared" si="36"/>
        <v>22</v>
      </c>
      <c r="I16" s="617">
        <f t="shared" si="37"/>
        <v>8</v>
      </c>
      <c r="J16" s="618">
        <f t="shared" si="38"/>
        <v>30</v>
      </c>
      <c r="K16" s="271">
        <f t="shared" si="39"/>
        <v>1051</v>
      </c>
      <c r="L16" s="617">
        <v>1017</v>
      </c>
      <c r="M16" s="617">
        <v>30</v>
      </c>
      <c r="N16" s="617">
        <v>1</v>
      </c>
      <c r="O16" s="617">
        <v>3</v>
      </c>
      <c r="P16" s="617">
        <f t="shared" si="40"/>
        <v>4</v>
      </c>
      <c r="Q16" s="616">
        <f t="shared" si="41"/>
        <v>4110</v>
      </c>
      <c r="R16" s="617">
        <v>3889</v>
      </c>
      <c r="S16" s="617">
        <v>201</v>
      </c>
      <c r="T16" s="617">
        <v>15</v>
      </c>
      <c r="U16" s="617">
        <v>5</v>
      </c>
      <c r="V16" s="618">
        <f t="shared" si="42"/>
        <v>20</v>
      </c>
      <c r="W16" s="616">
        <f t="shared" si="43"/>
        <v>1400</v>
      </c>
      <c r="X16" s="617">
        <v>1359</v>
      </c>
      <c r="Y16" s="617">
        <v>35</v>
      </c>
      <c r="Z16" s="617">
        <v>6</v>
      </c>
      <c r="AA16" s="617">
        <v>0</v>
      </c>
      <c r="AB16" s="618">
        <f t="shared" si="44"/>
        <v>6</v>
      </c>
      <c r="AC16" s="624">
        <f t="shared" si="45"/>
        <v>0.95488492607834174</v>
      </c>
      <c r="AD16" s="625">
        <f t="shared" si="46"/>
        <v>4.0542600213382109E-2</v>
      </c>
      <c r="AE16" s="625">
        <f t="shared" si="47"/>
        <v>3.3531473860691969E-3</v>
      </c>
      <c r="AF16" s="625">
        <f t="shared" si="48"/>
        <v>1.2193263222069807E-3</v>
      </c>
      <c r="AG16" s="626">
        <f t="shared" si="49"/>
        <v>4.5724737082761778E-3</v>
      </c>
      <c r="AH16" s="624">
        <f t="shared" si="50"/>
        <v>0.1601889955799421</v>
      </c>
      <c r="AI16" s="625">
        <f t="shared" si="51"/>
        <v>0.62642889803383628</v>
      </c>
      <c r="AJ16" s="626">
        <f t="shared" si="52"/>
        <v>0.21338210638622163</v>
      </c>
      <c r="AK16" s="616">
        <f t="shared" si="53"/>
        <v>43</v>
      </c>
      <c r="AL16" s="617">
        <v>7</v>
      </c>
      <c r="AM16" s="617">
        <v>33</v>
      </c>
      <c r="AN16" s="618">
        <v>3</v>
      </c>
      <c r="AO16" s="272">
        <f t="shared" si="54"/>
        <v>6.5538789818625209E-3</v>
      </c>
    </row>
    <row r="17" spans="1:41" x14ac:dyDescent="0.25">
      <c r="A17" s="270" t="s">
        <v>32</v>
      </c>
      <c r="B17" s="270" t="s">
        <v>33</v>
      </c>
      <c r="C17" s="270" t="s">
        <v>265</v>
      </c>
      <c r="D17" s="270">
        <v>1</v>
      </c>
      <c r="E17" s="616">
        <f t="shared" si="33"/>
        <v>33347</v>
      </c>
      <c r="F17" s="617">
        <f t="shared" si="34"/>
        <v>31686</v>
      </c>
      <c r="G17" s="617">
        <f t="shared" si="35"/>
        <v>1274</v>
      </c>
      <c r="H17" s="617">
        <f t="shared" si="36"/>
        <v>277</v>
      </c>
      <c r="I17" s="617">
        <f t="shared" si="37"/>
        <v>110</v>
      </c>
      <c r="J17" s="618">
        <f t="shared" si="38"/>
        <v>387</v>
      </c>
      <c r="K17" s="271">
        <f t="shared" si="39"/>
        <v>6585</v>
      </c>
      <c r="L17" s="617">
        <v>6174</v>
      </c>
      <c r="M17" s="617">
        <v>312</v>
      </c>
      <c r="N17" s="617">
        <v>67</v>
      </c>
      <c r="O17" s="617">
        <v>32</v>
      </c>
      <c r="P17" s="617">
        <f t="shared" si="40"/>
        <v>99</v>
      </c>
      <c r="Q17" s="616">
        <f t="shared" si="41"/>
        <v>19921</v>
      </c>
      <c r="R17" s="617">
        <v>18921</v>
      </c>
      <c r="S17" s="617">
        <v>756</v>
      </c>
      <c r="T17" s="617">
        <v>179</v>
      </c>
      <c r="U17" s="617">
        <v>65</v>
      </c>
      <c r="V17" s="618">
        <f t="shared" si="42"/>
        <v>244</v>
      </c>
      <c r="W17" s="616">
        <f t="shared" si="43"/>
        <v>6841</v>
      </c>
      <c r="X17" s="617">
        <v>6591</v>
      </c>
      <c r="Y17" s="617">
        <v>206</v>
      </c>
      <c r="Z17" s="617">
        <v>31</v>
      </c>
      <c r="AA17" s="617">
        <v>13</v>
      </c>
      <c r="AB17" s="618">
        <f t="shared" si="44"/>
        <v>44</v>
      </c>
      <c r="AC17" s="624">
        <f t="shared" si="45"/>
        <v>0.95019042192700998</v>
      </c>
      <c r="AD17" s="625">
        <f t="shared" si="46"/>
        <v>3.8204336222148916E-2</v>
      </c>
      <c r="AE17" s="625">
        <f t="shared" si="47"/>
        <v>8.3065942963385011E-3</v>
      </c>
      <c r="AF17" s="625">
        <f t="shared" si="48"/>
        <v>3.2986475545026539E-3</v>
      </c>
      <c r="AG17" s="626">
        <f t="shared" si="49"/>
        <v>1.1605241850841155E-2</v>
      </c>
      <c r="AH17" s="624">
        <f t="shared" si="50"/>
        <v>0.19746903769454524</v>
      </c>
      <c r="AI17" s="625">
        <f t="shared" si="51"/>
        <v>0.59738507212043057</v>
      </c>
      <c r="AJ17" s="626">
        <f t="shared" si="52"/>
        <v>0.20514589018502413</v>
      </c>
      <c r="AK17" s="616">
        <f t="shared" si="53"/>
        <v>549</v>
      </c>
      <c r="AL17" s="617">
        <v>208</v>
      </c>
      <c r="AM17" s="617">
        <v>301</v>
      </c>
      <c r="AN17" s="618">
        <v>40</v>
      </c>
      <c r="AO17" s="272">
        <f t="shared" si="54"/>
        <v>1.6463250067472335E-2</v>
      </c>
    </row>
    <row r="18" spans="1:41" x14ac:dyDescent="0.25">
      <c r="A18" s="270" t="s">
        <v>36</v>
      </c>
      <c r="B18" s="270" t="s">
        <v>37</v>
      </c>
      <c r="C18" s="270" t="s">
        <v>264</v>
      </c>
      <c r="D18" s="270">
        <v>2</v>
      </c>
      <c r="E18" s="616">
        <f t="shared" si="33"/>
        <v>16698</v>
      </c>
      <c r="F18" s="617">
        <f t="shared" si="34"/>
        <v>7239</v>
      </c>
      <c r="G18" s="617">
        <f t="shared" si="35"/>
        <v>9314</v>
      </c>
      <c r="H18" s="617">
        <f t="shared" si="36"/>
        <v>91</v>
      </c>
      <c r="I18" s="617">
        <f t="shared" si="37"/>
        <v>54</v>
      </c>
      <c r="J18" s="618">
        <f t="shared" si="38"/>
        <v>145</v>
      </c>
      <c r="K18" s="271">
        <f t="shared" si="39"/>
        <v>2854</v>
      </c>
      <c r="L18" s="617">
        <v>1176</v>
      </c>
      <c r="M18" s="617">
        <v>1640</v>
      </c>
      <c r="N18" s="617">
        <v>29</v>
      </c>
      <c r="O18" s="617">
        <v>9</v>
      </c>
      <c r="P18" s="617">
        <f t="shared" si="40"/>
        <v>38</v>
      </c>
      <c r="Q18" s="616">
        <f t="shared" si="41"/>
        <v>10581</v>
      </c>
      <c r="R18" s="617">
        <v>4314</v>
      </c>
      <c r="S18" s="617">
        <v>6181</v>
      </c>
      <c r="T18" s="617">
        <v>54</v>
      </c>
      <c r="U18" s="617">
        <v>32</v>
      </c>
      <c r="V18" s="618">
        <f t="shared" si="42"/>
        <v>86</v>
      </c>
      <c r="W18" s="616">
        <f t="shared" si="43"/>
        <v>3263</v>
      </c>
      <c r="X18" s="617">
        <v>1749</v>
      </c>
      <c r="Y18" s="617">
        <v>1493</v>
      </c>
      <c r="Z18" s="617">
        <v>8</v>
      </c>
      <c r="AA18" s="617">
        <v>13</v>
      </c>
      <c r="AB18" s="618">
        <f t="shared" si="44"/>
        <v>21</v>
      </c>
      <c r="AC18" s="624">
        <f t="shared" si="45"/>
        <v>0.43352497305066473</v>
      </c>
      <c r="AD18" s="625">
        <f t="shared" si="46"/>
        <v>0.55779135225775545</v>
      </c>
      <c r="AE18" s="625">
        <f t="shared" si="47"/>
        <v>5.4497544616121689E-3</v>
      </c>
      <c r="AF18" s="625">
        <f t="shared" si="48"/>
        <v>3.2339202299676607E-3</v>
      </c>
      <c r="AG18" s="626">
        <f t="shared" si="49"/>
        <v>8.6836746915798305E-3</v>
      </c>
      <c r="AH18" s="624">
        <f t="shared" si="50"/>
        <v>0.17091867289495749</v>
      </c>
      <c r="AI18" s="625">
        <f t="shared" si="51"/>
        <v>0.63366870283866328</v>
      </c>
      <c r="AJ18" s="626">
        <f t="shared" si="52"/>
        <v>0.1954126242663792</v>
      </c>
      <c r="AK18" s="616">
        <f t="shared" si="53"/>
        <v>347</v>
      </c>
      <c r="AL18" s="617">
        <v>112</v>
      </c>
      <c r="AM18" s="617">
        <v>213</v>
      </c>
      <c r="AN18" s="618">
        <v>22</v>
      </c>
      <c r="AO18" s="272">
        <f t="shared" si="54"/>
        <v>2.0780931848125524E-2</v>
      </c>
    </row>
    <row r="19" spans="1:41" x14ac:dyDescent="0.25">
      <c r="A19" s="270" t="s">
        <v>38</v>
      </c>
      <c r="B19" s="270" t="s">
        <v>39</v>
      </c>
      <c r="C19" s="270" t="s">
        <v>268</v>
      </c>
      <c r="D19" s="270">
        <v>2</v>
      </c>
      <c r="E19" s="616">
        <f t="shared" si="33"/>
        <v>22776</v>
      </c>
      <c r="F19" s="617">
        <f t="shared" si="34"/>
        <v>21896</v>
      </c>
      <c r="G19" s="617">
        <f t="shared" si="35"/>
        <v>723</v>
      </c>
      <c r="H19" s="617">
        <f t="shared" si="36"/>
        <v>128</v>
      </c>
      <c r="I19" s="617">
        <f t="shared" si="37"/>
        <v>29</v>
      </c>
      <c r="J19" s="618">
        <f t="shared" si="38"/>
        <v>157</v>
      </c>
      <c r="K19" s="271">
        <f t="shared" si="39"/>
        <v>4064</v>
      </c>
      <c r="L19" s="617">
        <v>3877</v>
      </c>
      <c r="M19" s="617">
        <v>168</v>
      </c>
      <c r="N19" s="617">
        <v>10</v>
      </c>
      <c r="O19" s="617">
        <v>9</v>
      </c>
      <c r="P19" s="617">
        <f t="shared" si="40"/>
        <v>19</v>
      </c>
      <c r="Q19" s="616">
        <f t="shared" si="41"/>
        <v>14130</v>
      </c>
      <c r="R19" s="617">
        <v>13521</v>
      </c>
      <c r="S19" s="617">
        <v>541</v>
      </c>
      <c r="T19" s="617">
        <v>50</v>
      </c>
      <c r="U19" s="617">
        <v>18</v>
      </c>
      <c r="V19" s="618">
        <f t="shared" si="42"/>
        <v>68</v>
      </c>
      <c r="W19" s="616">
        <f t="shared" si="43"/>
        <v>4582</v>
      </c>
      <c r="X19" s="617">
        <v>4498</v>
      </c>
      <c r="Y19" s="617">
        <v>14</v>
      </c>
      <c r="Z19" s="617">
        <v>68</v>
      </c>
      <c r="AA19" s="617">
        <v>2</v>
      </c>
      <c r="AB19" s="618">
        <f t="shared" si="44"/>
        <v>70</v>
      </c>
      <c r="AC19" s="624">
        <f t="shared" si="45"/>
        <v>0.96136283807516687</v>
      </c>
      <c r="AD19" s="625">
        <f t="shared" si="46"/>
        <v>3.1743940990516334E-2</v>
      </c>
      <c r="AE19" s="625">
        <f t="shared" si="47"/>
        <v>5.6199508254302774E-3</v>
      </c>
      <c r="AF19" s="625">
        <f t="shared" si="48"/>
        <v>1.2732701088865473E-3</v>
      </c>
      <c r="AG19" s="626">
        <f t="shared" si="49"/>
        <v>6.8932209343168247E-3</v>
      </c>
      <c r="AH19" s="624">
        <f t="shared" si="50"/>
        <v>0.17843343870741132</v>
      </c>
      <c r="AI19" s="625">
        <f t="shared" si="51"/>
        <v>0.62038988408851425</v>
      </c>
      <c r="AJ19" s="626">
        <f t="shared" si="52"/>
        <v>0.20117667720407448</v>
      </c>
      <c r="AK19" s="616">
        <f t="shared" si="53"/>
        <v>133</v>
      </c>
      <c r="AL19" s="617">
        <v>47</v>
      </c>
      <c r="AM19" s="617">
        <v>75</v>
      </c>
      <c r="AN19" s="618">
        <v>11</v>
      </c>
      <c r="AO19" s="272">
        <f t="shared" si="54"/>
        <v>5.8394801545486475E-3</v>
      </c>
    </row>
    <row r="20" spans="1:41" x14ac:dyDescent="0.25">
      <c r="A20" s="270" t="s">
        <v>40</v>
      </c>
      <c r="B20" s="270" t="s">
        <v>41</v>
      </c>
      <c r="C20" s="270" t="s">
        <v>266</v>
      </c>
      <c r="D20" s="270">
        <v>2</v>
      </c>
      <c r="E20" s="616">
        <f t="shared" si="33"/>
        <v>17032</v>
      </c>
      <c r="F20" s="617">
        <f t="shared" si="34"/>
        <v>10783</v>
      </c>
      <c r="G20" s="617">
        <f t="shared" si="35"/>
        <v>6112</v>
      </c>
      <c r="H20" s="617">
        <f t="shared" si="36"/>
        <v>76</v>
      </c>
      <c r="I20" s="617">
        <f t="shared" si="37"/>
        <v>61</v>
      </c>
      <c r="J20" s="618">
        <f t="shared" si="38"/>
        <v>137</v>
      </c>
      <c r="K20" s="271">
        <f t="shared" si="39"/>
        <v>3178</v>
      </c>
      <c r="L20" s="617">
        <v>2002</v>
      </c>
      <c r="M20" s="617">
        <v>1159</v>
      </c>
      <c r="N20" s="617">
        <v>12</v>
      </c>
      <c r="O20" s="617">
        <v>5</v>
      </c>
      <c r="P20" s="617">
        <f t="shared" si="40"/>
        <v>17</v>
      </c>
      <c r="Q20" s="616">
        <f t="shared" si="41"/>
        <v>10900</v>
      </c>
      <c r="R20" s="617">
        <v>6744</v>
      </c>
      <c r="S20" s="617">
        <v>4055</v>
      </c>
      <c r="T20" s="617">
        <v>53</v>
      </c>
      <c r="U20" s="617">
        <v>48</v>
      </c>
      <c r="V20" s="618">
        <f t="shared" si="42"/>
        <v>101</v>
      </c>
      <c r="W20" s="616">
        <f t="shared" si="43"/>
        <v>2954</v>
      </c>
      <c r="X20" s="617">
        <v>2037</v>
      </c>
      <c r="Y20" s="617">
        <v>898</v>
      </c>
      <c r="Z20" s="617">
        <v>11</v>
      </c>
      <c r="AA20" s="617">
        <v>8</v>
      </c>
      <c r="AB20" s="618">
        <f t="shared" si="44"/>
        <v>19</v>
      </c>
      <c r="AC20" s="624">
        <f t="shared" si="45"/>
        <v>0.6331023954908408</v>
      </c>
      <c r="AD20" s="625">
        <f t="shared" si="46"/>
        <v>0.35885392202912164</v>
      </c>
      <c r="AE20" s="625">
        <f t="shared" si="47"/>
        <v>4.4621888210427431E-3</v>
      </c>
      <c r="AF20" s="625">
        <f t="shared" si="48"/>
        <v>3.5814936589948334E-3</v>
      </c>
      <c r="AG20" s="626">
        <f t="shared" si="49"/>
        <v>8.0436824800375756E-3</v>
      </c>
      <c r="AH20" s="624">
        <f t="shared" si="50"/>
        <v>0.18658994833255049</v>
      </c>
      <c r="AI20" s="625">
        <f t="shared" si="51"/>
        <v>0.63997181775481449</v>
      </c>
      <c r="AJ20" s="626">
        <f t="shared" si="52"/>
        <v>0.17343823391263505</v>
      </c>
      <c r="AK20" s="616">
        <f t="shared" si="53"/>
        <v>404</v>
      </c>
      <c r="AL20" s="617">
        <v>113</v>
      </c>
      <c r="AM20" s="617">
        <v>271</v>
      </c>
      <c r="AN20" s="618">
        <v>20</v>
      </c>
      <c r="AO20" s="272">
        <f t="shared" si="54"/>
        <v>2.3720056364490372E-2</v>
      </c>
    </row>
    <row r="21" spans="1:41" x14ac:dyDescent="0.25">
      <c r="A21" s="270" t="s">
        <v>42</v>
      </c>
      <c r="B21" s="270" t="s">
        <v>43</v>
      </c>
      <c r="C21" s="270" t="s">
        <v>265</v>
      </c>
      <c r="D21" s="270">
        <v>2</v>
      </c>
      <c r="E21" s="616">
        <f t="shared" si="33"/>
        <v>55086</v>
      </c>
      <c r="F21" s="617">
        <f t="shared" si="34"/>
        <v>45839</v>
      </c>
      <c r="G21" s="617">
        <f t="shared" si="35"/>
        <v>8427</v>
      </c>
      <c r="H21" s="617">
        <f t="shared" si="36"/>
        <v>646</v>
      </c>
      <c r="I21" s="617">
        <f t="shared" si="37"/>
        <v>174</v>
      </c>
      <c r="J21" s="618">
        <f t="shared" si="38"/>
        <v>820</v>
      </c>
      <c r="K21" s="271">
        <f t="shared" si="39"/>
        <v>10977</v>
      </c>
      <c r="L21" s="617">
        <v>8927</v>
      </c>
      <c r="M21" s="617">
        <v>1850</v>
      </c>
      <c r="N21" s="617">
        <v>168</v>
      </c>
      <c r="O21" s="617">
        <v>32</v>
      </c>
      <c r="P21" s="617">
        <f t="shared" si="40"/>
        <v>200</v>
      </c>
      <c r="Q21" s="616">
        <f t="shared" si="41"/>
        <v>33881</v>
      </c>
      <c r="R21" s="617">
        <v>28035</v>
      </c>
      <c r="S21" s="617">
        <v>5309</v>
      </c>
      <c r="T21" s="617">
        <v>418</v>
      </c>
      <c r="U21" s="617">
        <v>119</v>
      </c>
      <c r="V21" s="618">
        <f t="shared" si="42"/>
        <v>537</v>
      </c>
      <c r="W21" s="616">
        <f t="shared" si="43"/>
        <v>10228</v>
      </c>
      <c r="X21" s="617">
        <v>8877</v>
      </c>
      <c r="Y21" s="617">
        <v>1268</v>
      </c>
      <c r="Z21" s="617">
        <v>60</v>
      </c>
      <c r="AA21" s="617">
        <v>23</v>
      </c>
      <c r="AB21" s="618">
        <f t="shared" si="44"/>
        <v>83</v>
      </c>
      <c r="AC21" s="624">
        <f t="shared" si="45"/>
        <v>0.83213520676759978</v>
      </c>
      <c r="AD21" s="625">
        <f t="shared" si="46"/>
        <v>0.15297897832480123</v>
      </c>
      <c r="AE21" s="625">
        <f t="shared" si="47"/>
        <v>1.1727117597937769E-2</v>
      </c>
      <c r="AF21" s="625">
        <f t="shared" si="48"/>
        <v>3.1586973096612569E-3</v>
      </c>
      <c r="AG21" s="626">
        <f t="shared" si="49"/>
        <v>1.4885814907599026E-2</v>
      </c>
      <c r="AH21" s="624">
        <f t="shared" si="50"/>
        <v>0.19927023200087138</v>
      </c>
      <c r="AI21" s="625">
        <f t="shared" si="51"/>
        <v>0.61505645717605195</v>
      </c>
      <c r="AJ21" s="626">
        <f t="shared" si="52"/>
        <v>0.18567331082307664</v>
      </c>
      <c r="AK21" s="616">
        <f t="shared" si="53"/>
        <v>1187</v>
      </c>
      <c r="AL21" s="617">
        <v>364</v>
      </c>
      <c r="AM21" s="617">
        <v>765</v>
      </c>
      <c r="AN21" s="618">
        <v>58</v>
      </c>
      <c r="AO21" s="272">
        <f t="shared" si="54"/>
        <v>2.15481247503903E-2</v>
      </c>
    </row>
    <row r="22" spans="1:41" x14ac:dyDescent="0.25">
      <c r="A22" s="270" t="s">
        <v>44</v>
      </c>
      <c r="B22" s="270" t="s">
        <v>45</v>
      </c>
      <c r="C22" s="270" t="s">
        <v>266</v>
      </c>
      <c r="D22" s="270">
        <v>2</v>
      </c>
      <c r="E22" s="616">
        <f t="shared" si="33"/>
        <v>29984</v>
      </c>
      <c r="F22" s="617">
        <f t="shared" si="34"/>
        <v>20479</v>
      </c>
      <c r="G22" s="617">
        <f t="shared" si="35"/>
        <v>8836</v>
      </c>
      <c r="H22" s="617">
        <f t="shared" si="36"/>
        <v>369</v>
      </c>
      <c r="I22" s="617">
        <f t="shared" si="37"/>
        <v>300</v>
      </c>
      <c r="J22" s="618">
        <f t="shared" si="38"/>
        <v>669</v>
      </c>
      <c r="K22" s="271">
        <f t="shared" si="39"/>
        <v>7130</v>
      </c>
      <c r="L22" s="617">
        <v>4856</v>
      </c>
      <c r="M22" s="617">
        <v>2066</v>
      </c>
      <c r="N22" s="617">
        <v>108</v>
      </c>
      <c r="O22" s="617">
        <v>100</v>
      </c>
      <c r="P22" s="617">
        <f t="shared" si="40"/>
        <v>208</v>
      </c>
      <c r="Q22" s="616">
        <f t="shared" si="41"/>
        <v>18184</v>
      </c>
      <c r="R22" s="617">
        <v>12529</v>
      </c>
      <c r="S22" s="617">
        <v>5279</v>
      </c>
      <c r="T22" s="617">
        <v>222</v>
      </c>
      <c r="U22" s="617">
        <v>154</v>
      </c>
      <c r="V22" s="618">
        <f t="shared" si="42"/>
        <v>376</v>
      </c>
      <c r="W22" s="616">
        <f t="shared" si="43"/>
        <v>4670</v>
      </c>
      <c r="X22" s="617">
        <v>3094</v>
      </c>
      <c r="Y22" s="617">
        <v>1491</v>
      </c>
      <c r="Z22" s="617">
        <v>39</v>
      </c>
      <c r="AA22" s="617">
        <v>46</v>
      </c>
      <c r="AB22" s="618">
        <f t="shared" si="44"/>
        <v>85</v>
      </c>
      <c r="AC22" s="624">
        <f t="shared" si="45"/>
        <v>0.68299759871931698</v>
      </c>
      <c r="AD22" s="625">
        <f t="shared" si="46"/>
        <v>0.2946905016008538</v>
      </c>
      <c r="AE22" s="625">
        <f t="shared" si="47"/>
        <v>1.2306563500533618E-2</v>
      </c>
      <c r="AF22" s="625">
        <f t="shared" si="48"/>
        <v>1.0005336179295624E-2</v>
      </c>
      <c r="AG22" s="626">
        <f t="shared" si="49"/>
        <v>2.2311899679829241E-2</v>
      </c>
      <c r="AH22" s="624">
        <f t="shared" si="50"/>
        <v>0.23779348986125934</v>
      </c>
      <c r="AI22" s="625">
        <f t="shared" si="51"/>
        <v>0.60645677694770539</v>
      </c>
      <c r="AJ22" s="626">
        <f t="shared" si="52"/>
        <v>0.15574973319103522</v>
      </c>
      <c r="AK22" s="616">
        <f t="shared" si="53"/>
        <v>1353</v>
      </c>
      <c r="AL22" s="617">
        <v>493</v>
      </c>
      <c r="AM22" s="617">
        <v>792</v>
      </c>
      <c r="AN22" s="618">
        <v>68</v>
      </c>
      <c r="AO22" s="272">
        <f t="shared" si="54"/>
        <v>4.5124066168623266E-2</v>
      </c>
    </row>
    <row r="23" spans="1:41" x14ac:dyDescent="0.25">
      <c r="A23" s="270" t="s">
        <v>46</v>
      </c>
      <c r="B23" s="270" t="s">
        <v>47</v>
      </c>
      <c r="C23" s="270" t="s">
        <v>268</v>
      </c>
      <c r="D23" s="270">
        <v>2</v>
      </c>
      <c r="E23" s="616">
        <f t="shared" si="33"/>
        <v>29724</v>
      </c>
      <c r="F23" s="617">
        <f t="shared" si="34"/>
        <v>29194</v>
      </c>
      <c r="G23" s="617">
        <f t="shared" si="35"/>
        <v>341</v>
      </c>
      <c r="H23" s="617">
        <f t="shared" si="36"/>
        <v>95</v>
      </c>
      <c r="I23" s="617">
        <f t="shared" si="37"/>
        <v>94</v>
      </c>
      <c r="J23" s="618">
        <f t="shared" si="38"/>
        <v>189</v>
      </c>
      <c r="K23" s="271">
        <f t="shared" si="39"/>
        <v>5660</v>
      </c>
      <c r="L23" s="617">
        <v>5489</v>
      </c>
      <c r="M23" s="617">
        <v>110</v>
      </c>
      <c r="N23" s="617">
        <v>27</v>
      </c>
      <c r="O23" s="617">
        <v>34</v>
      </c>
      <c r="P23" s="617">
        <f t="shared" si="40"/>
        <v>61</v>
      </c>
      <c r="Q23" s="616">
        <f t="shared" si="41"/>
        <v>17430</v>
      </c>
      <c r="R23" s="617">
        <v>17139</v>
      </c>
      <c r="S23" s="617">
        <v>191</v>
      </c>
      <c r="T23" s="617">
        <v>52</v>
      </c>
      <c r="U23" s="617">
        <v>48</v>
      </c>
      <c r="V23" s="618">
        <f t="shared" si="42"/>
        <v>100</v>
      </c>
      <c r="W23" s="616">
        <f t="shared" si="43"/>
        <v>6634</v>
      </c>
      <c r="X23" s="617">
        <v>6566</v>
      </c>
      <c r="Y23" s="617">
        <v>40</v>
      </c>
      <c r="Z23" s="617">
        <v>16</v>
      </c>
      <c r="AA23" s="617">
        <v>12</v>
      </c>
      <c r="AB23" s="618">
        <f t="shared" si="44"/>
        <v>28</v>
      </c>
      <c r="AC23" s="624">
        <f t="shared" si="45"/>
        <v>0.98216929080877402</v>
      </c>
      <c r="AD23" s="625">
        <f t="shared" si="46"/>
        <v>1.1472211007939713E-2</v>
      </c>
      <c r="AE23" s="625">
        <f t="shared" si="47"/>
        <v>3.1960705154084243E-3</v>
      </c>
      <c r="AF23" s="625">
        <f t="shared" si="48"/>
        <v>3.1624276678778093E-3</v>
      </c>
      <c r="AG23" s="626">
        <f t="shared" si="49"/>
        <v>6.3584981832862332E-3</v>
      </c>
      <c r="AH23" s="624">
        <f t="shared" si="50"/>
        <v>0.19041851702328086</v>
      </c>
      <c r="AI23" s="625">
        <f t="shared" si="51"/>
        <v>0.58639483245861934</v>
      </c>
      <c r="AJ23" s="626">
        <f t="shared" si="52"/>
        <v>0.22318665051809986</v>
      </c>
      <c r="AK23" s="616">
        <f t="shared" si="53"/>
        <v>899</v>
      </c>
      <c r="AL23" s="617">
        <v>375</v>
      </c>
      <c r="AM23" s="617">
        <v>482</v>
      </c>
      <c r="AN23" s="618">
        <v>42</v>
      </c>
      <c r="AO23" s="272">
        <f t="shared" si="54"/>
        <v>3.0244919930022877E-2</v>
      </c>
    </row>
    <row r="24" spans="1:41" x14ac:dyDescent="0.25">
      <c r="A24" s="270" t="s">
        <v>48</v>
      </c>
      <c r="B24" s="270" t="s">
        <v>269</v>
      </c>
      <c r="C24" s="270" t="s">
        <v>266</v>
      </c>
      <c r="D24" s="270">
        <v>1</v>
      </c>
      <c r="E24" s="616">
        <f t="shared" si="33"/>
        <v>7040</v>
      </c>
      <c r="F24" s="617">
        <f t="shared" si="34"/>
        <v>3070</v>
      </c>
      <c r="G24" s="617">
        <f t="shared" si="35"/>
        <v>3389</v>
      </c>
      <c r="H24" s="617">
        <f t="shared" si="36"/>
        <v>56</v>
      </c>
      <c r="I24" s="617">
        <f t="shared" si="37"/>
        <v>525</v>
      </c>
      <c r="J24" s="618">
        <f t="shared" si="38"/>
        <v>581</v>
      </c>
      <c r="K24" s="271">
        <f t="shared" si="39"/>
        <v>1100</v>
      </c>
      <c r="L24" s="617">
        <v>479</v>
      </c>
      <c r="M24" s="617">
        <v>543</v>
      </c>
      <c r="N24" s="617">
        <v>7</v>
      </c>
      <c r="O24" s="617">
        <v>71</v>
      </c>
      <c r="P24" s="617">
        <f t="shared" si="40"/>
        <v>78</v>
      </c>
      <c r="Q24" s="616">
        <f t="shared" si="41"/>
        <v>4383</v>
      </c>
      <c r="R24" s="617">
        <v>1987</v>
      </c>
      <c r="S24" s="617">
        <v>2022</v>
      </c>
      <c r="T24" s="617">
        <v>40</v>
      </c>
      <c r="U24" s="617">
        <v>334</v>
      </c>
      <c r="V24" s="618">
        <f t="shared" si="42"/>
        <v>374</v>
      </c>
      <c r="W24" s="616">
        <f t="shared" si="43"/>
        <v>1557</v>
      </c>
      <c r="X24" s="617">
        <v>604</v>
      </c>
      <c r="Y24" s="617">
        <v>824</v>
      </c>
      <c r="Z24" s="617">
        <v>9</v>
      </c>
      <c r="AA24" s="617">
        <v>120</v>
      </c>
      <c r="AB24" s="618">
        <f t="shared" si="44"/>
        <v>129</v>
      </c>
      <c r="AC24" s="624">
        <f t="shared" si="45"/>
        <v>0.43607954545454547</v>
      </c>
      <c r="AD24" s="625">
        <f t="shared" si="46"/>
        <v>0.48139204545454545</v>
      </c>
      <c r="AE24" s="625">
        <f t="shared" si="47"/>
        <v>7.9545454545454537E-3</v>
      </c>
      <c r="AF24" s="625">
        <f t="shared" si="48"/>
        <v>7.4573863636363633E-2</v>
      </c>
      <c r="AG24" s="626">
        <f t="shared" si="49"/>
        <v>8.2528409090909097E-2</v>
      </c>
      <c r="AH24" s="624">
        <f t="shared" si="50"/>
        <v>0.15625</v>
      </c>
      <c r="AI24" s="625">
        <f t="shared" si="51"/>
        <v>0.62258522727272725</v>
      </c>
      <c r="AJ24" s="626">
        <f t="shared" si="52"/>
        <v>0.22116477272727272</v>
      </c>
      <c r="AK24" s="616">
        <f t="shared" si="53"/>
        <v>129</v>
      </c>
      <c r="AL24" s="617">
        <v>30</v>
      </c>
      <c r="AM24" s="617">
        <v>93</v>
      </c>
      <c r="AN24" s="618">
        <v>6</v>
      </c>
      <c r="AO24" s="272">
        <f t="shared" si="54"/>
        <v>1.8323863636363635E-2</v>
      </c>
    </row>
    <row r="25" spans="1:41" x14ac:dyDescent="0.25">
      <c r="A25" s="270" t="s">
        <v>50</v>
      </c>
      <c r="B25" s="270" t="s">
        <v>51</v>
      </c>
      <c r="C25" s="270" t="s">
        <v>265</v>
      </c>
      <c r="D25" s="270">
        <v>2</v>
      </c>
      <c r="E25" s="616">
        <f t="shared" si="33"/>
        <v>12201</v>
      </c>
      <c r="F25" s="617">
        <f t="shared" si="34"/>
        <v>8465</v>
      </c>
      <c r="G25" s="617">
        <f t="shared" si="35"/>
        <v>3657</v>
      </c>
      <c r="H25" s="617">
        <f t="shared" si="36"/>
        <v>32</v>
      </c>
      <c r="I25" s="617">
        <f t="shared" si="37"/>
        <v>47</v>
      </c>
      <c r="J25" s="618">
        <f t="shared" si="38"/>
        <v>79</v>
      </c>
      <c r="K25" s="271">
        <f t="shared" si="39"/>
        <v>2591</v>
      </c>
      <c r="L25" s="617">
        <v>1720</v>
      </c>
      <c r="M25" s="617">
        <v>846</v>
      </c>
      <c r="N25" s="617">
        <v>11</v>
      </c>
      <c r="O25" s="617">
        <v>14</v>
      </c>
      <c r="P25" s="617">
        <f t="shared" si="40"/>
        <v>25</v>
      </c>
      <c r="Q25" s="616">
        <f t="shared" si="41"/>
        <v>7061</v>
      </c>
      <c r="R25" s="617">
        <v>4883</v>
      </c>
      <c r="S25" s="617">
        <v>2138</v>
      </c>
      <c r="T25" s="617">
        <v>17</v>
      </c>
      <c r="U25" s="617">
        <v>23</v>
      </c>
      <c r="V25" s="618">
        <f t="shared" si="42"/>
        <v>40</v>
      </c>
      <c r="W25" s="616">
        <f t="shared" si="43"/>
        <v>2549</v>
      </c>
      <c r="X25" s="617">
        <v>1862</v>
      </c>
      <c r="Y25" s="617">
        <v>673</v>
      </c>
      <c r="Z25" s="617">
        <v>4</v>
      </c>
      <c r="AA25" s="617">
        <v>10</v>
      </c>
      <c r="AB25" s="618">
        <f t="shared" si="44"/>
        <v>14</v>
      </c>
      <c r="AC25" s="624">
        <f t="shared" si="45"/>
        <v>0.69379559052536677</v>
      </c>
      <c r="AD25" s="625">
        <f t="shared" si="46"/>
        <v>0.29972953036636341</v>
      </c>
      <c r="AE25" s="625">
        <f t="shared" si="47"/>
        <v>2.6227358413244816E-3</v>
      </c>
      <c r="AF25" s="625">
        <f t="shared" si="48"/>
        <v>3.8521432669453323E-3</v>
      </c>
      <c r="AG25" s="626">
        <f t="shared" si="49"/>
        <v>6.4748791082698143E-3</v>
      </c>
      <c r="AH25" s="624">
        <f t="shared" si="50"/>
        <v>0.21235964265224161</v>
      </c>
      <c r="AI25" s="625">
        <f t="shared" si="51"/>
        <v>0.57872305548725511</v>
      </c>
      <c r="AJ25" s="626">
        <f t="shared" si="52"/>
        <v>0.20891730186050322</v>
      </c>
      <c r="AK25" s="616">
        <f t="shared" si="53"/>
        <v>330</v>
      </c>
      <c r="AL25" s="617">
        <v>71</v>
      </c>
      <c r="AM25" s="617">
        <v>249</v>
      </c>
      <c r="AN25" s="618">
        <v>10</v>
      </c>
      <c r="AO25" s="272">
        <f t="shared" si="54"/>
        <v>2.7046963363658718E-2</v>
      </c>
    </row>
    <row r="26" spans="1:41" x14ac:dyDescent="0.25">
      <c r="A26" s="270" t="s">
        <v>56</v>
      </c>
      <c r="B26" s="270" t="s">
        <v>295</v>
      </c>
      <c r="C26" s="270" t="s">
        <v>266</v>
      </c>
      <c r="D26" s="270">
        <v>3</v>
      </c>
      <c r="E26" s="616">
        <f t="shared" si="33"/>
        <v>353507</v>
      </c>
      <c r="F26" s="617">
        <f t="shared" si="34"/>
        <v>251866</v>
      </c>
      <c r="G26" s="617">
        <f t="shared" si="35"/>
        <v>84819</v>
      </c>
      <c r="H26" s="617">
        <f t="shared" si="36"/>
        <v>14588</v>
      </c>
      <c r="I26" s="617">
        <f t="shared" si="37"/>
        <v>2234</v>
      </c>
      <c r="J26" s="618">
        <f t="shared" si="38"/>
        <v>16822</v>
      </c>
      <c r="K26" s="271">
        <f t="shared" si="39"/>
        <v>85699</v>
      </c>
      <c r="L26" s="617">
        <v>58498</v>
      </c>
      <c r="M26" s="617">
        <v>23068</v>
      </c>
      <c r="N26" s="617">
        <v>3535</v>
      </c>
      <c r="O26" s="617">
        <v>598</v>
      </c>
      <c r="P26" s="617">
        <f t="shared" si="40"/>
        <v>4133</v>
      </c>
      <c r="Q26" s="616">
        <f t="shared" si="41"/>
        <v>219260</v>
      </c>
      <c r="R26" s="617">
        <v>153190</v>
      </c>
      <c r="S26" s="617">
        <v>55121</v>
      </c>
      <c r="T26" s="617">
        <v>9490</v>
      </c>
      <c r="U26" s="617">
        <v>1459</v>
      </c>
      <c r="V26" s="618">
        <f t="shared" si="42"/>
        <v>10949</v>
      </c>
      <c r="W26" s="616">
        <f t="shared" si="43"/>
        <v>48548</v>
      </c>
      <c r="X26" s="617">
        <v>40178</v>
      </c>
      <c r="Y26" s="617">
        <v>6630</v>
      </c>
      <c r="Z26" s="617">
        <v>1563</v>
      </c>
      <c r="AA26" s="617">
        <v>177</v>
      </c>
      <c r="AB26" s="618">
        <f t="shared" si="44"/>
        <v>1740</v>
      </c>
      <c r="AC26" s="624">
        <f t="shared" si="45"/>
        <v>0.7124781121731677</v>
      </c>
      <c r="AD26" s="625">
        <f t="shared" si="46"/>
        <v>0.23993584285459693</v>
      </c>
      <c r="AE26" s="625">
        <f t="shared" si="47"/>
        <v>4.1266509574067842E-2</v>
      </c>
      <c r="AF26" s="625">
        <f t="shared" si="48"/>
        <v>6.3195353981675044E-3</v>
      </c>
      <c r="AG26" s="626">
        <f t="shared" si="49"/>
        <v>4.7586044972235342E-2</v>
      </c>
      <c r="AH26" s="624">
        <f t="shared" si="50"/>
        <v>0.24242518535700849</v>
      </c>
      <c r="AI26" s="625">
        <f t="shared" si="51"/>
        <v>0.62024231486222337</v>
      </c>
      <c r="AJ26" s="626">
        <f t="shared" si="52"/>
        <v>0.13733249978076814</v>
      </c>
      <c r="AK26" s="616">
        <f t="shared" si="53"/>
        <v>28374</v>
      </c>
      <c r="AL26" s="617">
        <v>10142</v>
      </c>
      <c r="AM26" s="617">
        <v>17253</v>
      </c>
      <c r="AN26" s="618">
        <v>979</v>
      </c>
      <c r="AO26" s="272">
        <f t="shared" si="54"/>
        <v>8.0264322912983341E-2</v>
      </c>
    </row>
    <row r="27" spans="1:41" x14ac:dyDescent="0.25">
      <c r="A27" s="270" t="s">
        <v>58</v>
      </c>
      <c r="B27" s="270" t="s">
        <v>59</v>
      </c>
      <c r="C27" s="270" t="s">
        <v>267</v>
      </c>
      <c r="D27" s="270">
        <v>1</v>
      </c>
      <c r="E27" s="616">
        <f t="shared" si="33"/>
        <v>14363</v>
      </c>
      <c r="F27" s="617">
        <f t="shared" si="34"/>
        <v>13274</v>
      </c>
      <c r="G27" s="617">
        <f t="shared" si="35"/>
        <v>788</v>
      </c>
      <c r="H27" s="617">
        <f t="shared" si="36"/>
        <v>243</v>
      </c>
      <c r="I27" s="617">
        <f t="shared" si="37"/>
        <v>58</v>
      </c>
      <c r="J27" s="618">
        <f t="shared" si="38"/>
        <v>301</v>
      </c>
      <c r="K27" s="271">
        <f t="shared" si="39"/>
        <v>3052</v>
      </c>
      <c r="L27" s="617">
        <v>2772</v>
      </c>
      <c r="M27" s="617">
        <v>208</v>
      </c>
      <c r="N27" s="617">
        <v>58</v>
      </c>
      <c r="O27" s="617">
        <v>14</v>
      </c>
      <c r="P27" s="617">
        <f t="shared" si="40"/>
        <v>72</v>
      </c>
      <c r="Q27" s="616">
        <f t="shared" si="41"/>
        <v>8578</v>
      </c>
      <c r="R27" s="617">
        <v>7971</v>
      </c>
      <c r="S27" s="617">
        <v>413</v>
      </c>
      <c r="T27" s="617">
        <v>156</v>
      </c>
      <c r="U27" s="617">
        <v>38</v>
      </c>
      <c r="V27" s="618">
        <f t="shared" si="42"/>
        <v>194</v>
      </c>
      <c r="W27" s="616">
        <f t="shared" si="43"/>
        <v>2733</v>
      </c>
      <c r="X27" s="617">
        <v>2531</v>
      </c>
      <c r="Y27" s="617">
        <v>167</v>
      </c>
      <c r="Z27" s="617">
        <v>29</v>
      </c>
      <c r="AA27" s="617">
        <v>6</v>
      </c>
      <c r="AB27" s="618">
        <f t="shared" si="44"/>
        <v>35</v>
      </c>
      <c r="AC27" s="624">
        <f t="shared" si="45"/>
        <v>0.92418018519807843</v>
      </c>
      <c r="AD27" s="625">
        <f t="shared" si="46"/>
        <v>5.4863190141335373E-2</v>
      </c>
      <c r="AE27" s="625">
        <f t="shared" si="47"/>
        <v>1.6918471071503169E-2</v>
      </c>
      <c r="AF27" s="625">
        <f t="shared" si="48"/>
        <v>4.038153589083061E-3</v>
      </c>
      <c r="AG27" s="626">
        <f t="shared" si="49"/>
        <v>2.0956624660586228E-2</v>
      </c>
      <c r="AH27" s="624">
        <f t="shared" si="50"/>
        <v>0.21249042679106037</v>
      </c>
      <c r="AI27" s="625">
        <f t="shared" si="51"/>
        <v>0.59722899115783612</v>
      </c>
      <c r="AJ27" s="626">
        <f t="shared" si="52"/>
        <v>0.19028058205110354</v>
      </c>
      <c r="AK27" s="616">
        <f t="shared" si="53"/>
        <v>690</v>
      </c>
      <c r="AL27" s="617">
        <v>252</v>
      </c>
      <c r="AM27" s="617">
        <v>384</v>
      </c>
      <c r="AN27" s="618">
        <v>54</v>
      </c>
      <c r="AO27" s="272">
        <f t="shared" si="54"/>
        <v>4.8040103042539861E-2</v>
      </c>
    </row>
    <row r="28" spans="1:41" x14ac:dyDescent="0.25">
      <c r="A28" s="270" t="s">
        <v>60</v>
      </c>
      <c r="B28" s="270" t="s">
        <v>61</v>
      </c>
      <c r="C28" s="270" t="s">
        <v>265</v>
      </c>
      <c r="D28" s="270">
        <v>1</v>
      </c>
      <c r="E28" s="616">
        <f t="shared" si="33"/>
        <v>5211</v>
      </c>
      <c r="F28" s="617">
        <f t="shared" si="34"/>
        <v>5157</v>
      </c>
      <c r="G28" s="617">
        <f t="shared" si="35"/>
        <v>26</v>
      </c>
      <c r="H28" s="617">
        <f t="shared" si="36"/>
        <v>14</v>
      </c>
      <c r="I28" s="617">
        <f t="shared" si="37"/>
        <v>14</v>
      </c>
      <c r="J28" s="618">
        <f t="shared" si="38"/>
        <v>28</v>
      </c>
      <c r="K28" s="271">
        <f t="shared" si="39"/>
        <v>989</v>
      </c>
      <c r="L28" s="617">
        <v>975</v>
      </c>
      <c r="M28" s="617">
        <v>7</v>
      </c>
      <c r="N28" s="617">
        <v>6</v>
      </c>
      <c r="O28" s="617">
        <v>1</v>
      </c>
      <c r="P28" s="617">
        <f t="shared" si="40"/>
        <v>7</v>
      </c>
      <c r="Q28" s="616">
        <f t="shared" si="41"/>
        <v>3105</v>
      </c>
      <c r="R28" s="617">
        <v>3073</v>
      </c>
      <c r="S28" s="617">
        <v>17</v>
      </c>
      <c r="T28" s="617">
        <v>3</v>
      </c>
      <c r="U28" s="617">
        <v>12</v>
      </c>
      <c r="V28" s="618">
        <f t="shared" si="42"/>
        <v>15</v>
      </c>
      <c r="W28" s="616">
        <f t="shared" si="43"/>
        <v>1117</v>
      </c>
      <c r="X28" s="617">
        <v>1109</v>
      </c>
      <c r="Y28" s="617">
        <v>2</v>
      </c>
      <c r="Z28" s="617">
        <v>5</v>
      </c>
      <c r="AA28" s="617">
        <v>1</v>
      </c>
      <c r="AB28" s="618">
        <f t="shared" si="44"/>
        <v>6</v>
      </c>
      <c r="AC28" s="624">
        <f t="shared" si="45"/>
        <v>0.98963730569948183</v>
      </c>
      <c r="AD28" s="625">
        <f t="shared" si="46"/>
        <v>4.9894454039531759E-3</v>
      </c>
      <c r="AE28" s="625">
        <f t="shared" si="47"/>
        <v>2.6866244482824796E-3</v>
      </c>
      <c r="AF28" s="625">
        <f t="shared" si="48"/>
        <v>2.6866244482824796E-3</v>
      </c>
      <c r="AG28" s="626">
        <f t="shared" si="49"/>
        <v>5.3732488965649592E-3</v>
      </c>
      <c r="AH28" s="624">
        <f t="shared" si="50"/>
        <v>0.18979082709652659</v>
      </c>
      <c r="AI28" s="625">
        <f t="shared" si="51"/>
        <v>0.59585492227979275</v>
      </c>
      <c r="AJ28" s="626">
        <f t="shared" si="52"/>
        <v>0.21435425062368069</v>
      </c>
      <c r="AK28" s="616">
        <f t="shared" si="53"/>
        <v>53</v>
      </c>
      <c r="AL28" s="617">
        <v>17</v>
      </c>
      <c r="AM28" s="617">
        <v>32</v>
      </c>
      <c r="AN28" s="618">
        <v>4</v>
      </c>
      <c r="AO28" s="272">
        <f t="shared" si="54"/>
        <v>1.0170792554212243E-2</v>
      </c>
    </row>
    <row r="29" spans="1:41" x14ac:dyDescent="0.25">
      <c r="A29" s="270" t="s">
        <v>62</v>
      </c>
      <c r="B29" s="270" t="s">
        <v>63</v>
      </c>
      <c r="C29" s="270" t="s">
        <v>267</v>
      </c>
      <c r="D29" s="270">
        <v>2</v>
      </c>
      <c r="E29" s="616">
        <f t="shared" si="33"/>
        <v>49432</v>
      </c>
      <c r="F29" s="617">
        <f t="shared" si="34"/>
        <v>39904</v>
      </c>
      <c r="G29" s="617">
        <f t="shared" si="35"/>
        <v>8165</v>
      </c>
      <c r="H29" s="617">
        <f t="shared" si="36"/>
        <v>971</v>
      </c>
      <c r="I29" s="617">
        <f t="shared" si="37"/>
        <v>392</v>
      </c>
      <c r="J29" s="618">
        <f t="shared" si="38"/>
        <v>1363</v>
      </c>
      <c r="K29" s="271">
        <f t="shared" si="39"/>
        <v>12398</v>
      </c>
      <c r="L29" s="617">
        <v>9800</v>
      </c>
      <c r="M29" s="617">
        <v>2199</v>
      </c>
      <c r="N29" s="617">
        <v>281</v>
      </c>
      <c r="O29" s="617">
        <v>118</v>
      </c>
      <c r="P29" s="617">
        <f t="shared" si="40"/>
        <v>399</v>
      </c>
      <c r="Q29" s="616">
        <f t="shared" si="41"/>
        <v>29895</v>
      </c>
      <c r="R29" s="617">
        <v>24034</v>
      </c>
      <c r="S29" s="617">
        <v>5005</v>
      </c>
      <c r="T29" s="617">
        <v>602</v>
      </c>
      <c r="U29" s="617">
        <v>254</v>
      </c>
      <c r="V29" s="618">
        <f t="shared" si="42"/>
        <v>856</v>
      </c>
      <c r="W29" s="616">
        <f t="shared" si="43"/>
        <v>7139</v>
      </c>
      <c r="X29" s="617">
        <v>6070</v>
      </c>
      <c r="Y29" s="617">
        <v>961</v>
      </c>
      <c r="Z29" s="617">
        <v>88</v>
      </c>
      <c r="AA29" s="617">
        <v>20</v>
      </c>
      <c r="AB29" s="618">
        <f t="shared" si="44"/>
        <v>108</v>
      </c>
      <c r="AC29" s="624">
        <f t="shared" si="45"/>
        <v>0.80725036413659168</v>
      </c>
      <c r="AD29" s="625">
        <f t="shared" si="46"/>
        <v>0.16517640394885905</v>
      </c>
      <c r="AE29" s="625">
        <f t="shared" si="47"/>
        <v>1.964314614015213E-2</v>
      </c>
      <c r="AF29" s="625">
        <f t="shared" si="48"/>
        <v>7.9300857743971522E-3</v>
      </c>
      <c r="AG29" s="626">
        <f t="shared" si="49"/>
        <v>2.757323191454928E-2</v>
      </c>
      <c r="AH29" s="624">
        <f t="shared" si="50"/>
        <v>0.25080919242595889</v>
      </c>
      <c r="AI29" s="625">
        <f t="shared" si="51"/>
        <v>0.60477018935102766</v>
      </c>
      <c r="AJ29" s="626">
        <f t="shared" si="52"/>
        <v>0.14442061822301344</v>
      </c>
      <c r="AK29" s="616">
        <f t="shared" si="53"/>
        <v>4715</v>
      </c>
      <c r="AL29" s="617">
        <v>1771</v>
      </c>
      <c r="AM29" s="617">
        <v>2807</v>
      </c>
      <c r="AN29" s="618">
        <v>137</v>
      </c>
      <c r="AO29" s="272">
        <f t="shared" si="54"/>
        <v>9.5383557209904518E-2</v>
      </c>
    </row>
    <row r="30" spans="1:41" x14ac:dyDescent="0.25">
      <c r="A30" s="270" t="s">
        <v>64</v>
      </c>
      <c r="B30" s="270" t="s">
        <v>65</v>
      </c>
      <c r="C30" s="270" t="s">
        <v>266</v>
      </c>
      <c r="D30" s="270">
        <v>1</v>
      </c>
      <c r="E30" s="616">
        <f t="shared" si="33"/>
        <v>9719</v>
      </c>
      <c r="F30" s="617">
        <f t="shared" si="34"/>
        <v>6382</v>
      </c>
      <c r="G30" s="617">
        <f t="shared" si="35"/>
        <v>3234</v>
      </c>
      <c r="H30" s="617">
        <f t="shared" si="36"/>
        <v>43</v>
      </c>
      <c r="I30" s="617">
        <f t="shared" si="37"/>
        <v>60</v>
      </c>
      <c r="J30" s="618">
        <f t="shared" si="38"/>
        <v>103</v>
      </c>
      <c r="K30" s="271">
        <f t="shared" si="39"/>
        <v>2008</v>
      </c>
      <c r="L30" s="617">
        <v>1233</v>
      </c>
      <c r="M30" s="617">
        <v>747</v>
      </c>
      <c r="N30" s="617">
        <v>6</v>
      </c>
      <c r="O30" s="617">
        <v>22</v>
      </c>
      <c r="P30" s="617">
        <f t="shared" si="40"/>
        <v>28</v>
      </c>
      <c r="Q30" s="616">
        <f t="shared" si="41"/>
        <v>5755</v>
      </c>
      <c r="R30" s="617">
        <v>3843</v>
      </c>
      <c r="S30" s="617">
        <v>1849</v>
      </c>
      <c r="T30" s="617">
        <v>27</v>
      </c>
      <c r="U30" s="617">
        <v>36</v>
      </c>
      <c r="V30" s="618">
        <f t="shared" si="42"/>
        <v>63</v>
      </c>
      <c r="W30" s="616">
        <f t="shared" si="43"/>
        <v>1956</v>
      </c>
      <c r="X30" s="617">
        <v>1306</v>
      </c>
      <c r="Y30" s="617">
        <v>638</v>
      </c>
      <c r="Z30" s="617">
        <v>10</v>
      </c>
      <c r="AA30" s="617">
        <v>2</v>
      </c>
      <c r="AB30" s="618">
        <f t="shared" si="44"/>
        <v>12</v>
      </c>
      <c r="AC30" s="624">
        <f t="shared" si="45"/>
        <v>0.65665191892169972</v>
      </c>
      <c r="AD30" s="625">
        <f t="shared" si="46"/>
        <v>0.33275028295092085</v>
      </c>
      <c r="AE30" s="625">
        <f t="shared" si="47"/>
        <v>4.424323490070995E-3</v>
      </c>
      <c r="AF30" s="625">
        <f t="shared" si="48"/>
        <v>6.1734746373083649E-3</v>
      </c>
      <c r="AG30" s="626">
        <f t="shared" si="49"/>
        <v>1.0597798127379361E-2</v>
      </c>
      <c r="AH30" s="624">
        <f t="shared" si="50"/>
        <v>0.20660561786191994</v>
      </c>
      <c r="AI30" s="625">
        <f t="shared" si="51"/>
        <v>0.59213910896182731</v>
      </c>
      <c r="AJ30" s="626">
        <f t="shared" si="52"/>
        <v>0.20125527317625269</v>
      </c>
      <c r="AK30" s="616">
        <f t="shared" si="53"/>
        <v>253</v>
      </c>
      <c r="AL30" s="617">
        <v>104</v>
      </c>
      <c r="AM30" s="617">
        <v>143</v>
      </c>
      <c r="AN30" s="618">
        <v>6</v>
      </c>
      <c r="AO30" s="272">
        <f t="shared" si="54"/>
        <v>2.6031484720650273E-2</v>
      </c>
    </row>
    <row r="31" spans="1:41" x14ac:dyDescent="0.25">
      <c r="A31" s="270" t="s">
        <v>68</v>
      </c>
      <c r="B31" s="270" t="s">
        <v>69</v>
      </c>
      <c r="C31" s="270" t="s">
        <v>268</v>
      </c>
      <c r="D31" s="270">
        <v>2</v>
      </c>
      <c r="E31" s="616">
        <f t="shared" si="33"/>
        <v>15115</v>
      </c>
      <c r="F31" s="617">
        <f t="shared" si="34"/>
        <v>14931</v>
      </c>
      <c r="G31" s="617">
        <f t="shared" si="35"/>
        <v>114</v>
      </c>
      <c r="H31" s="617">
        <f t="shared" si="36"/>
        <v>39</v>
      </c>
      <c r="I31" s="617">
        <f t="shared" si="37"/>
        <v>31</v>
      </c>
      <c r="J31" s="618">
        <f t="shared" si="38"/>
        <v>70</v>
      </c>
      <c r="K31" s="271">
        <f t="shared" si="39"/>
        <v>3106</v>
      </c>
      <c r="L31" s="617">
        <v>3049</v>
      </c>
      <c r="M31" s="617">
        <v>45</v>
      </c>
      <c r="N31" s="617">
        <v>9</v>
      </c>
      <c r="O31" s="617">
        <v>3</v>
      </c>
      <c r="P31" s="617">
        <f t="shared" si="40"/>
        <v>12</v>
      </c>
      <c r="Q31" s="616">
        <f t="shared" si="41"/>
        <v>9080</v>
      </c>
      <c r="R31" s="617">
        <v>8977</v>
      </c>
      <c r="S31" s="617">
        <v>57</v>
      </c>
      <c r="T31" s="617">
        <v>22</v>
      </c>
      <c r="U31" s="617">
        <v>24</v>
      </c>
      <c r="V31" s="618">
        <f t="shared" si="42"/>
        <v>46</v>
      </c>
      <c r="W31" s="616">
        <f t="shared" si="43"/>
        <v>2929</v>
      </c>
      <c r="X31" s="617">
        <v>2905</v>
      </c>
      <c r="Y31" s="617">
        <v>12</v>
      </c>
      <c r="Z31" s="617">
        <v>8</v>
      </c>
      <c r="AA31" s="617">
        <v>4</v>
      </c>
      <c r="AB31" s="618">
        <f t="shared" si="44"/>
        <v>12</v>
      </c>
      <c r="AC31" s="624">
        <f t="shared" si="45"/>
        <v>0.9878266622560371</v>
      </c>
      <c r="AD31" s="625">
        <f t="shared" si="46"/>
        <v>7.5421766457161761E-3</v>
      </c>
      <c r="AE31" s="625">
        <f t="shared" si="47"/>
        <v>2.5802183261660603E-3</v>
      </c>
      <c r="AF31" s="625">
        <f t="shared" si="48"/>
        <v>2.0509427720807145E-3</v>
      </c>
      <c r="AG31" s="626">
        <f t="shared" si="49"/>
        <v>4.6311610982467744E-3</v>
      </c>
      <c r="AH31" s="624">
        <f t="shared" si="50"/>
        <v>0.20549123387363546</v>
      </c>
      <c r="AI31" s="625">
        <f t="shared" si="51"/>
        <v>0.60072775388686739</v>
      </c>
      <c r="AJ31" s="626">
        <f t="shared" si="52"/>
        <v>0.19378101223949717</v>
      </c>
      <c r="AK31" s="616">
        <f t="shared" si="53"/>
        <v>124</v>
      </c>
      <c r="AL31" s="617">
        <v>38</v>
      </c>
      <c r="AM31" s="617">
        <v>75</v>
      </c>
      <c r="AN31" s="618">
        <v>11</v>
      </c>
      <c r="AO31" s="272">
        <f t="shared" si="54"/>
        <v>8.203771088322858E-3</v>
      </c>
    </row>
    <row r="32" spans="1:41" x14ac:dyDescent="0.25">
      <c r="A32" s="270" t="s">
        <v>70</v>
      </c>
      <c r="B32" s="270" t="s">
        <v>71</v>
      </c>
      <c r="C32" s="270" t="s">
        <v>264</v>
      </c>
      <c r="D32" s="270">
        <v>2</v>
      </c>
      <c r="E32" s="616">
        <f t="shared" si="33"/>
        <v>27852</v>
      </c>
      <c r="F32" s="617">
        <f t="shared" si="34"/>
        <v>18203</v>
      </c>
      <c r="G32" s="617">
        <f t="shared" si="35"/>
        <v>9298</v>
      </c>
      <c r="H32" s="617">
        <f t="shared" si="36"/>
        <v>229</v>
      </c>
      <c r="I32" s="617">
        <f t="shared" si="37"/>
        <v>122</v>
      </c>
      <c r="J32" s="618">
        <f t="shared" si="38"/>
        <v>351</v>
      </c>
      <c r="K32" s="271">
        <f t="shared" si="39"/>
        <v>5639</v>
      </c>
      <c r="L32" s="617">
        <v>3620</v>
      </c>
      <c r="M32" s="617">
        <v>1928</v>
      </c>
      <c r="N32" s="617">
        <v>65</v>
      </c>
      <c r="O32" s="617">
        <v>26</v>
      </c>
      <c r="P32" s="617">
        <f t="shared" si="40"/>
        <v>91</v>
      </c>
      <c r="Q32" s="616">
        <f t="shared" si="41"/>
        <v>17532</v>
      </c>
      <c r="R32" s="617">
        <v>11455</v>
      </c>
      <c r="S32" s="617">
        <v>5849</v>
      </c>
      <c r="T32" s="617">
        <v>146</v>
      </c>
      <c r="U32" s="617">
        <v>82</v>
      </c>
      <c r="V32" s="618">
        <f t="shared" si="42"/>
        <v>228</v>
      </c>
      <c r="W32" s="616">
        <f t="shared" si="43"/>
        <v>4681</v>
      </c>
      <c r="X32" s="617">
        <v>3128</v>
      </c>
      <c r="Y32" s="617">
        <v>1521</v>
      </c>
      <c r="Z32" s="617">
        <v>18</v>
      </c>
      <c r="AA32" s="617">
        <v>14</v>
      </c>
      <c r="AB32" s="618">
        <f t="shared" si="44"/>
        <v>32</v>
      </c>
      <c r="AC32" s="624">
        <f t="shared" si="45"/>
        <v>0.65356168318253627</v>
      </c>
      <c r="AD32" s="625">
        <f t="shared" si="46"/>
        <v>0.33383599023409449</v>
      </c>
      <c r="AE32" s="625">
        <f t="shared" si="47"/>
        <v>8.2220307338790755E-3</v>
      </c>
      <c r="AF32" s="625">
        <f t="shared" si="48"/>
        <v>4.3802958494901624E-3</v>
      </c>
      <c r="AG32" s="626">
        <f t="shared" si="49"/>
        <v>1.2602326583369237E-2</v>
      </c>
      <c r="AH32" s="624">
        <f t="shared" si="50"/>
        <v>0.20246301881372972</v>
      </c>
      <c r="AI32" s="625">
        <f t="shared" si="51"/>
        <v>0.62947005601034034</v>
      </c>
      <c r="AJ32" s="626">
        <f t="shared" si="52"/>
        <v>0.16806692517592992</v>
      </c>
      <c r="AK32" s="616">
        <f t="shared" si="53"/>
        <v>853</v>
      </c>
      <c r="AL32" s="617">
        <v>294</v>
      </c>
      <c r="AM32" s="617">
        <v>527</v>
      </c>
      <c r="AN32" s="618">
        <v>32</v>
      </c>
      <c r="AO32" s="272">
        <f t="shared" si="54"/>
        <v>3.0626166882091053E-2</v>
      </c>
    </row>
    <row r="33" spans="1:41" x14ac:dyDescent="0.25">
      <c r="A33" s="270" t="s">
        <v>72</v>
      </c>
      <c r="B33" s="270" t="s">
        <v>73</v>
      </c>
      <c r="C33" s="270" t="s">
        <v>266</v>
      </c>
      <c r="D33" s="270">
        <v>1</v>
      </c>
      <c r="E33" s="616">
        <f t="shared" si="33"/>
        <v>11130</v>
      </c>
      <c r="F33" s="617">
        <f t="shared" si="34"/>
        <v>6507</v>
      </c>
      <c r="G33" s="617">
        <f t="shared" si="35"/>
        <v>4370</v>
      </c>
      <c r="H33" s="617">
        <f t="shared" si="36"/>
        <v>146</v>
      </c>
      <c r="I33" s="617">
        <f t="shared" si="37"/>
        <v>107</v>
      </c>
      <c r="J33" s="618">
        <f t="shared" si="38"/>
        <v>253</v>
      </c>
      <c r="K33" s="271">
        <f t="shared" si="39"/>
        <v>2189</v>
      </c>
      <c r="L33" s="617">
        <v>1110</v>
      </c>
      <c r="M33" s="617">
        <v>1018</v>
      </c>
      <c r="N33" s="617">
        <v>35</v>
      </c>
      <c r="O33" s="617">
        <v>26</v>
      </c>
      <c r="P33" s="617">
        <f t="shared" si="40"/>
        <v>61</v>
      </c>
      <c r="Q33" s="616">
        <f t="shared" si="41"/>
        <v>6599</v>
      </c>
      <c r="R33" s="617">
        <v>3764</v>
      </c>
      <c r="S33" s="617">
        <v>2671</v>
      </c>
      <c r="T33" s="617">
        <v>95</v>
      </c>
      <c r="U33" s="617">
        <v>69</v>
      </c>
      <c r="V33" s="618">
        <f t="shared" si="42"/>
        <v>164</v>
      </c>
      <c r="W33" s="616">
        <f t="shared" si="43"/>
        <v>2342</v>
      </c>
      <c r="X33" s="617">
        <v>1633</v>
      </c>
      <c r="Y33" s="617">
        <v>681</v>
      </c>
      <c r="Z33" s="617">
        <v>16</v>
      </c>
      <c r="AA33" s="617">
        <v>12</v>
      </c>
      <c r="AB33" s="618">
        <f t="shared" si="44"/>
        <v>28</v>
      </c>
      <c r="AC33" s="624">
        <f t="shared" si="45"/>
        <v>0.58463611859838271</v>
      </c>
      <c r="AD33" s="625">
        <f t="shared" si="46"/>
        <v>0.39263252470799642</v>
      </c>
      <c r="AE33" s="625">
        <f t="shared" si="47"/>
        <v>1.311769991015274E-2</v>
      </c>
      <c r="AF33" s="625">
        <f t="shared" si="48"/>
        <v>9.6136567834681046E-3</v>
      </c>
      <c r="AG33" s="626">
        <f t="shared" si="49"/>
        <v>2.2731356693620846E-2</v>
      </c>
      <c r="AH33" s="624">
        <f t="shared" si="50"/>
        <v>0.19667565139263252</v>
      </c>
      <c r="AI33" s="625">
        <f t="shared" si="51"/>
        <v>0.59290206648697219</v>
      </c>
      <c r="AJ33" s="626">
        <f t="shared" si="52"/>
        <v>0.21042228212039532</v>
      </c>
      <c r="AK33" s="616">
        <f t="shared" si="53"/>
        <v>401</v>
      </c>
      <c r="AL33" s="617">
        <v>124</v>
      </c>
      <c r="AM33" s="617">
        <v>244</v>
      </c>
      <c r="AN33" s="618">
        <v>33</v>
      </c>
      <c r="AO33" s="272">
        <f t="shared" si="54"/>
        <v>3.6028751123090744E-2</v>
      </c>
    </row>
    <row r="34" spans="1:41" x14ac:dyDescent="0.25">
      <c r="A34" s="270" t="s">
        <v>74</v>
      </c>
      <c r="B34" s="270" t="s">
        <v>664</v>
      </c>
      <c r="C34" s="270" t="s">
        <v>267</v>
      </c>
      <c r="D34" s="270">
        <v>3</v>
      </c>
      <c r="E34" s="616">
        <f t="shared" si="33"/>
        <v>1180139</v>
      </c>
      <c r="F34" s="617">
        <f t="shared" si="34"/>
        <v>805573</v>
      </c>
      <c r="G34" s="617">
        <f t="shared" si="35"/>
        <v>123828</v>
      </c>
      <c r="H34" s="617">
        <f t="shared" si="36"/>
        <v>242623</v>
      </c>
      <c r="I34" s="617">
        <f t="shared" si="37"/>
        <v>8115</v>
      </c>
      <c r="J34" s="618">
        <f t="shared" si="38"/>
        <v>250738</v>
      </c>
      <c r="K34" s="271">
        <f t="shared" si="39"/>
        <v>280519</v>
      </c>
      <c r="L34" s="617">
        <v>186374</v>
      </c>
      <c r="M34" s="617">
        <v>33704</v>
      </c>
      <c r="N34" s="617">
        <v>58266</v>
      </c>
      <c r="O34" s="617">
        <v>2175</v>
      </c>
      <c r="P34" s="617">
        <f t="shared" si="40"/>
        <v>60441</v>
      </c>
      <c r="Q34" s="616">
        <f t="shared" si="41"/>
        <v>757808</v>
      </c>
      <c r="R34" s="617">
        <v>511306</v>
      </c>
      <c r="S34" s="617">
        <v>80583</v>
      </c>
      <c r="T34" s="617">
        <v>160348</v>
      </c>
      <c r="U34" s="617">
        <v>5571</v>
      </c>
      <c r="V34" s="618">
        <f t="shared" si="42"/>
        <v>165919</v>
      </c>
      <c r="W34" s="616">
        <f t="shared" si="43"/>
        <v>141812</v>
      </c>
      <c r="X34" s="617">
        <v>107893</v>
      </c>
      <c r="Y34" s="617">
        <v>9541</v>
      </c>
      <c r="Z34" s="617">
        <v>24009</v>
      </c>
      <c r="AA34" s="617">
        <v>369</v>
      </c>
      <c r="AB34" s="618">
        <f t="shared" si="44"/>
        <v>24378</v>
      </c>
      <c r="AC34" s="624">
        <f t="shared" si="45"/>
        <v>0.68260857407474884</v>
      </c>
      <c r="AD34" s="625">
        <f t="shared" si="46"/>
        <v>0.10492662305033559</v>
      </c>
      <c r="AE34" s="625">
        <f t="shared" si="47"/>
        <v>0.20558849423669584</v>
      </c>
      <c r="AF34" s="625">
        <f t="shared" si="48"/>
        <v>6.8763086382197351E-3</v>
      </c>
      <c r="AG34" s="626">
        <f t="shared" si="49"/>
        <v>0.21246480287491559</v>
      </c>
      <c r="AH34" s="624">
        <f t="shared" si="50"/>
        <v>0.2376999658514802</v>
      </c>
      <c r="AI34" s="625">
        <f t="shared" si="51"/>
        <v>0.64213452822082817</v>
      </c>
      <c r="AJ34" s="626">
        <f t="shared" si="52"/>
        <v>0.12016550592769157</v>
      </c>
      <c r="AK34" s="616">
        <f t="shared" si="53"/>
        <v>192311</v>
      </c>
      <c r="AL34" s="617">
        <v>58715</v>
      </c>
      <c r="AM34" s="617">
        <v>123804</v>
      </c>
      <c r="AN34" s="618">
        <v>9792</v>
      </c>
      <c r="AO34" s="272">
        <f t="shared" si="54"/>
        <v>0.16295622803754473</v>
      </c>
    </row>
    <row r="35" spans="1:41" x14ac:dyDescent="0.25">
      <c r="A35" s="270" t="s">
        <v>76</v>
      </c>
      <c r="B35" s="270" t="s">
        <v>77</v>
      </c>
      <c r="C35" s="270" t="s">
        <v>267</v>
      </c>
      <c r="D35" s="270">
        <v>2</v>
      </c>
      <c r="E35" s="616">
        <f t="shared" si="33"/>
        <v>68782</v>
      </c>
      <c r="F35" s="617">
        <f t="shared" si="34"/>
        <v>60946</v>
      </c>
      <c r="G35" s="617">
        <f t="shared" si="35"/>
        <v>6110</v>
      </c>
      <c r="H35" s="617">
        <f t="shared" si="36"/>
        <v>1401</v>
      </c>
      <c r="I35" s="617">
        <f t="shared" si="37"/>
        <v>325</v>
      </c>
      <c r="J35" s="618">
        <f t="shared" si="38"/>
        <v>1726</v>
      </c>
      <c r="K35" s="271">
        <f t="shared" si="39"/>
        <v>16340</v>
      </c>
      <c r="L35" s="617">
        <v>14262</v>
      </c>
      <c r="M35" s="617">
        <v>1635</v>
      </c>
      <c r="N35" s="617">
        <v>373</v>
      </c>
      <c r="O35" s="617">
        <v>70</v>
      </c>
      <c r="P35" s="617">
        <f t="shared" si="40"/>
        <v>443</v>
      </c>
      <c r="Q35" s="616">
        <f t="shared" si="41"/>
        <v>41854</v>
      </c>
      <c r="R35" s="617">
        <v>37225</v>
      </c>
      <c r="S35" s="617">
        <v>3544</v>
      </c>
      <c r="T35" s="617">
        <v>876</v>
      </c>
      <c r="U35" s="617">
        <v>209</v>
      </c>
      <c r="V35" s="618">
        <f t="shared" si="42"/>
        <v>1085</v>
      </c>
      <c r="W35" s="616">
        <f t="shared" si="43"/>
        <v>10588</v>
      </c>
      <c r="X35" s="617">
        <v>9459</v>
      </c>
      <c r="Y35" s="617">
        <v>931</v>
      </c>
      <c r="Z35" s="617">
        <v>152</v>
      </c>
      <c r="AA35" s="617">
        <v>46</v>
      </c>
      <c r="AB35" s="618">
        <f t="shared" si="44"/>
        <v>198</v>
      </c>
      <c r="AC35" s="624">
        <f t="shared" si="45"/>
        <v>0.88607484516297874</v>
      </c>
      <c r="AD35" s="625">
        <f t="shared" si="46"/>
        <v>8.8831380302986249E-2</v>
      </c>
      <c r="AE35" s="625">
        <f t="shared" si="47"/>
        <v>2.036870111366346E-2</v>
      </c>
      <c r="AF35" s="625">
        <f t="shared" si="48"/>
        <v>4.7250734203716088E-3</v>
      </c>
      <c r="AG35" s="626">
        <f t="shared" si="49"/>
        <v>2.5093774534035069E-2</v>
      </c>
      <c r="AH35" s="624">
        <f t="shared" si="50"/>
        <v>0.2375621528888372</v>
      </c>
      <c r="AI35" s="625">
        <f t="shared" si="51"/>
        <v>0.60850222441917945</v>
      </c>
      <c r="AJ35" s="626">
        <f t="shared" si="52"/>
        <v>0.15393562269198338</v>
      </c>
      <c r="AK35" s="616">
        <f t="shared" si="53"/>
        <v>5129</v>
      </c>
      <c r="AL35" s="617">
        <v>1913</v>
      </c>
      <c r="AM35" s="617">
        <v>3024</v>
      </c>
      <c r="AN35" s="618">
        <v>192</v>
      </c>
      <c r="AO35" s="272">
        <f t="shared" si="54"/>
        <v>7.4568927917187638E-2</v>
      </c>
    </row>
    <row r="36" spans="1:41" x14ac:dyDescent="0.25">
      <c r="A36" s="270" t="s">
        <v>78</v>
      </c>
      <c r="B36" s="270" t="s">
        <v>79</v>
      </c>
      <c r="C36" s="270" t="s">
        <v>268</v>
      </c>
      <c r="D36" s="270">
        <v>1</v>
      </c>
      <c r="E36" s="616">
        <f t="shared" si="33"/>
        <v>15651</v>
      </c>
      <c r="F36" s="617">
        <f t="shared" si="34"/>
        <v>15147</v>
      </c>
      <c r="G36" s="617">
        <f t="shared" si="35"/>
        <v>371</v>
      </c>
      <c r="H36" s="617">
        <f t="shared" si="36"/>
        <v>102</v>
      </c>
      <c r="I36" s="617">
        <f t="shared" si="37"/>
        <v>31</v>
      </c>
      <c r="J36" s="618">
        <f t="shared" si="38"/>
        <v>133</v>
      </c>
      <c r="K36" s="271">
        <f t="shared" si="39"/>
        <v>3210</v>
      </c>
      <c r="L36" s="617">
        <v>3122</v>
      </c>
      <c r="M36" s="617">
        <v>70</v>
      </c>
      <c r="N36" s="617">
        <v>16</v>
      </c>
      <c r="O36" s="617">
        <v>2</v>
      </c>
      <c r="P36" s="617">
        <f t="shared" si="40"/>
        <v>18</v>
      </c>
      <c r="Q36" s="616">
        <f t="shared" si="41"/>
        <v>9130</v>
      </c>
      <c r="R36" s="617">
        <v>8799</v>
      </c>
      <c r="S36" s="617">
        <v>228</v>
      </c>
      <c r="T36" s="617">
        <v>81</v>
      </c>
      <c r="U36" s="617">
        <v>22</v>
      </c>
      <c r="V36" s="618">
        <f t="shared" si="42"/>
        <v>103</v>
      </c>
      <c r="W36" s="616">
        <f t="shared" si="43"/>
        <v>3311</v>
      </c>
      <c r="X36" s="617">
        <v>3226</v>
      </c>
      <c r="Y36" s="617">
        <v>73</v>
      </c>
      <c r="Z36" s="617">
        <v>5</v>
      </c>
      <c r="AA36" s="617">
        <v>7</v>
      </c>
      <c r="AB36" s="618">
        <f t="shared" si="44"/>
        <v>12</v>
      </c>
      <c r="AC36" s="624">
        <f t="shared" si="45"/>
        <v>0.96779758481886147</v>
      </c>
      <c r="AD36" s="625">
        <f t="shared" si="46"/>
        <v>2.3704555619449237E-2</v>
      </c>
      <c r="AE36" s="625">
        <f t="shared" si="47"/>
        <v>6.5171554533256662E-3</v>
      </c>
      <c r="AF36" s="625">
        <f t="shared" si="48"/>
        <v>1.9807041083636828E-3</v>
      </c>
      <c r="AG36" s="626">
        <f t="shared" si="49"/>
        <v>8.4978595616893495E-3</v>
      </c>
      <c r="AH36" s="624">
        <f t="shared" si="50"/>
        <v>0.2050987157370136</v>
      </c>
      <c r="AI36" s="625">
        <f t="shared" si="51"/>
        <v>0.58334930675356211</v>
      </c>
      <c r="AJ36" s="626">
        <f t="shared" si="52"/>
        <v>0.21155197750942431</v>
      </c>
      <c r="AK36" s="616">
        <f t="shared" si="53"/>
        <v>387</v>
      </c>
      <c r="AL36" s="617">
        <v>134</v>
      </c>
      <c r="AM36" s="617">
        <v>227</v>
      </c>
      <c r="AN36" s="618">
        <v>26</v>
      </c>
      <c r="AO36" s="272">
        <f t="shared" si="54"/>
        <v>2.4726854514088556E-2</v>
      </c>
    </row>
    <row r="37" spans="1:41" x14ac:dyDescent="0.25">
      <c r="A37" s="270" t="s">
        <v>80</v>
      </c>
      <c r="B37" s="270" t="s">
        <v>81</v>
      </c>
      <c r="C37" s="270" t="s">
        <v>266</v>
      </c>
      <c r="D37" s="270">
        <v>2</v>
      </c>
      <c r="E37" s="616">
        <f t="shared" si="33"/>
        <v>26235</v>
      </c>
      <c r="F37" s="617">
        <f t="shared" si="34"/>
        <v>21694</v>
      </c>
      <c r="G37" s="617">
        <f t="shared" si="35"/>
        <v>4225</v>
      </c>
      <c r="H37" s="617">
        <f t="shared" si="36"/>
        <v>241</v>
      </c>
      <c r="I37" s="617">
        <f t="shared" si="37"/>
        <v>75</v>
      </c>
      <c r="J37" s="618">
        <f t="shared" si="38"/>
        <v>316</v>
      </c>
      <c r="K37" s="271">
        <f t="shared" si="39"/>
        <v>5480</v>
      </c>
      <c r="L37" s="617">
        <v>4507</v>
      </c>
      <c r="M37" s="617">
        <v>901</v>
      </c>
      <c r="N37" s="617">
        <v>51</v>
      </c>
      <c r="O37" s="617">
        <v>21</v>
      </c>
      <c r="P37" s="617">
        <f t="shared" si="40"/>
        <v>72</v>
      </c>
      <c r="Q37" s="616">
        <f t="shared" si="41"/>
        <v>15814</v>
      </c>
      <c r="R37" s="617">
        <v>12822</v>
      </c>
      <c r="S37" s="617">
        <v>2769</v>
      </c>
      <c r="T37" s="617">
        <v>172</v>
      </c>
      <c r="U37" s="617">
        <v>51</v>
      </c>
      <c r="V37" s="618">
        <f t="shared" si="42"/>
        <v>223</v>
      </c>
      <c r="W37" s="616">
        <f t="shared" si="43"/>
        <v>4941</v>
      </c>
      <c r="X37" s="617">
        <v>4365</v>
      </c>
      <c r="Y37" s="617">
        <v>555</v>
      </c>
      <c r="Z37" s="617">
        <v>18</v>
      </c>
      <c r="AA37" s="617">
        <v>3</v>
      </c>
      <c r="AB37" s="618">
        <f t="shared" si="44"/>
        <v>21</v>
      </c>
      <c r="AC37" s="624">
        <f t="shared" si="45"/>
        <v>0.8269106155898609</v>
      </c>
      <c r="AD37" s="625">
        <f t="shared" si="46"/>
        <v>0.1610444063274252</v>
      </c>
      <c r="AE37" s="625">
        <f t="shared" si="47"/>
        <v>9.1862016390318272E-3</v>
      </c>
      <c r="AF37" s="625">
        <f t="shared" si="48"/>
        <v>2.858776443682104E-3</v>
      </c>
      <c r="AG37" s="626">
        <f t="shared" si="49"/>
        <v>1.2044978082713933E-2</v>
      </c>
      <c r="AH37" s="624">
        <f t="shared" si="50"/>
        <v>0.20888126548503907</v>
      </c>
      <c r="AI37" s="625">
        <f t="shared" si="51"/>
        <v>0.60278254240518392</v>
      </c>
      <c r="AJ37" s="626">
        <f t="shared" si="52"/>
        <v>0.18833619210977701</v>
      </c>
      <c r="AK37" s="616">
        <f t="shared" si="53"/>
        <v>847</v>
      </c>
      <c r="AL37" s="617">
        <v>265</v>
      </c>
      <c r="AM37" s="617">
        <v>498</v>
      </c>
      <c r="AN37" s="618">
        <v>84</v>
      </c>
      <c r="AO37" s="272">
        <f t="shared" si="54"/>
        <v>3.2285115303983231E-2</v>
      </c>
    </row>
    <row r="38" spans="1:41" x14ac:dyDescent="0.25">
      <c r="A38" s="270" t="s">
        <v>84</v>
      </c>
      <c r="B38" s="270" t="s">
        <v>308</v>
      </c>
      <c r="C38" s="270" t="s">
        <v>265</v>
      </c>
      <c r="D38" s="270">
        <v>2</v>
      </c>
      <c r="E38" s="616">
        <f t="shared" ref="E38:E69" si="55">SUM(F38:I38)</f>
        <v>56264</v>
      </c>
      <c r="F38" s="617">
        <f t="shared" ref="F38:F69" si="56">L38+R38+X38</f>
        <v>50747</v>
      </c>
      <c r="G38" s="617">
        <f t="shared" ref="G38:G69" si="57">M38+S38+Y38</f>
        <v>4931</v>
      </c>
      <c r="H38" s="617">
        <f t="shared" ref="H38:H69" si="58">N38+T38+Z38</f>
        <v>329</v>
      </c>
      <c r="I38" s="617">
        <f t="shared" ref="I38:I69" si="59">O38+U38+AA38</f>
        <v>257</v>
      </c>
      <c r="J38" s="618">
        <f t="shared" ref="J38:J69" si="60">H38+I38</f>
        <v>586</v>
      </c>
      <c r="K38" s="271">
        <f t="shared" ref="K38:K69" si="61">SUM(L38:O38)</f>
        <v>10883</v>
      </c>
      <c r="L38" s="617">
        <v>9666</v>
      </c>
      <c r="M38" s="617">
        <v>1086</v>
      </c>
      <c r="N38" s="617">
        <v>70</v>
      </c>
      <c r="O38" s="617">
        <v>61</v>
      </c>
      <c r="P38" s="617">
        <f t="shared" ref="P38:P69" si="62">N38+O38</f>
        <v>131</v>
      </c>
      <c r="Q38" s="616">
        <f t="shared" ref="Q38:Q69" si="63">SUM(R38:U38)</f>
        <v>33302</v>
      </c>
      <c r="R38" s="617">
        <v>29856</v>
      </c>
      <c r="S38" s="617">
        <v>3061</v>
      </c>
      <c r="T38" s="617">
        <v>211</v>
      </c>
      <c r="U38" s="617">
        <v>174</v>
      </c>
      <c r="V38" s="618">
        <f t="shared" ref="V38:V69" si="64">T38+U38</f>
        <v>385</v>
      </c>
      <c r="W38" s="616">
        <f t="shared" ref="W38:W69" si="65">SUM(X38:AA38)</f>
        <v>12079</v>
      </c>
      <c r="X38" s="617">
        <v>11225</v>
      </c>
      <c r="Y38" s="617">
        <v>784</v>
      </c>
      <c r="Z38" s="617">
        <v>48</v>
      </c>
      <c r="AA38" s="617">
        <v>22</v>
      </c>
      <c r="AB38" s="618">
        <f t="shared" ref="AB38:AB69" si="66">Z38+AA38</f>
        <v>70</v>
      </c>
      <c r="AC38" s="624">
        <f t="shared" ref="AC38:AC69" si="67">F38/E38</f>
        <v>0.9019444049481018</v>
      </c>
      <c r="AD38" s="625">
        <f t="shared" ref="AD38:AD69" si="68">G38/E38</f>
        <v>8.7640409498080482E-2</v>
      </c>
      <c r="AE38" s="625">
        <f t="shared" ref="AE38:AE69" si="69">H38/E38</f>
        <v>5.8474335276553395E-3</v>
      </c>
      <c r="AF38" s="625">
        <f t="shared" ref="AF38:AF69" si="70">I38/E38</f>
        <v>4.5677520261623774E-3</v>
      </c>
      <c r="AG38" s="626">
        <f t="shared" ref="AG38:AG69" si="71">J38/E38</f>
        <v>1.0415185553817716E-2</v>
      </c>
      <c r="AH38" s="624">
        <f t="shared" ref="AH38:AH69" si="72">K38/E38</f>
        <v>0.19342741362149865</v>
      </c>
      <c r="AI38" s="625">
        <f t="shared" ref="AI38:AI69" si="73">Q38/E38</f>
        <v>0.59188824114886962</v>
      </c>
      <c r="AJ38" s="626">
        <f t="shared" ref="AJ38:AJ69" si="74">W38/E38</f>
        <v>0.21468434522963173</v>
      </c>
      <c r="AK38" s="616">
        <f t="shared" ref="AK38:AK69" si="75">SUM(AL38:AN38)</f>
        <v>1539</v>
      </c>
      <c r="AL38" s="617">
        <v>584</v>
      </c>
      <c r="AM38" s="617">
        <v>881</v>
      </c>
      <c r="AN38" s="618">
        <v>74</v>
      </c>
      <c r="AO38" s="272">
        <f t="shared" ref="AO38:AO69" si="76">AK38/E38</f>
        <v>2.7353192094412056E-2</v>
      </c>
    </row>
    <row r="39" spans="1:41" x14ac:dyDescent="0.25">
      <c r="A39" s="270" t="s">
        <v>86</v>
      </c>
      <c r="B39" s="270" t="s">
        <v>87</v>
      </c>
      <c r="C39" s="270" t="s">
        <v>267</v>
      </c>
      <c r="D39" s="270">
        <v>2</v>
      </c>
      <c r="E39" s="616">
        <f t="shared" si="55"/>
        <v>83199</v>
      </c>
      <c r="F39" s="617">
        <f t="shared" si="56"/>
        <v>76986</v>
      </c>
      <c r="G39" s="617">
        <f t="shared" si="57"/>
        <v>4354</v>
      </c>
      <c r="H39" s="617">
        <f t="shared" si="58"/>
        <v>1484</v>
      </c>
      <c r="I39" s="617">
        <f t="shared" si="59"/>
        <v>375</v>
      </c>
      <c r="J39" s="618">
        <f t="shared" si="60"/>
        <v>1859</v>
      </c>
      <c r="K39" s="271">
        <f t="shared" si="61"/>
        <v>19427</v>
      </c>
      <c r="L39" s="617">
        <v>17502</v>
      </c>
      <c r="M39" s="617">
        <v>1440</v>
      </c>
      <c r="N39" s="617">
        <v>373</v>
      </c>
      <c r="O39" s="617">
        <v>112</v>
      </c>
      <c r="P39" s="617">
        <f t="shared" si="62"/>
        <v>485</v>
      </c>
      <c r="Q39" s="616">
        <f t="shared" si="63"/>
        <v>50685</v>
      </c>
      <c r="R39" s="617">
        <v>46883</v>
      </c>
      <c r="S39" s="617">
        <v>2591</v>
      </c>
      <c r="T39" s="617">
        <v>988</v>
      </c>
      <c r="U39" s="617">
        <v>223</v>
      </c>
      <c r="V39" s="618">
        <f t="shared" si="64"/>
        <v>1211</v>
      </c>
      <c r="W39" s="616">
        <f t="shared" si="65"/>
        <v>13087</v>
      </c>
      <c r="X39" s="617">
        <v>12601</v>
      </c>
      <c r="Y39" s="617">
        <v>323</v>
      </c>
      <c r="Z39" s="617">
        <v>123</v>
      </c>
      <c r="AA39" s="617">
        <v>40</v>
      </c>
      <c r="AB39" s="618">
        <f t="shared" si="66"/>
        <v>163</v>
      </c>
      <c r="AC39" s="624">
        <f t="shared" si="67"/>
        <v>0.92532362167814519</v>
      </c>
      <c r="AD39" s="625">
        <f t="shared" si="68"/>
        <v>5.2332359763939469E-2</v>
      </c>
      <c r="AE39" s="625">
        <f t="shared" si="69"/>
        <v>1.7836752845587087E-2</v>
      </c>
      <c r="AF39" s="625">
        <f t="shared" si="70"/>
        <v>4.5072657123282735E-3</v>
      </c>
      <c r="AG39" s="626">
        <f t="shared" si="71"/>
        <v>2.234401855791536E-2</v>
      </c>
      <c r="AH39" s="624">
        <f t="shared" si="72"/>
        <v>0.23350040264907029</v>
      </c>
      <c r="AI39" s="625">
        <f t="shared" si="73"/>
        <v>0.6092020336782894</v>
      </c>
      <c r="AJ39" s="626">
        <f t="shared" si="74"/>
        <v>0.15729756367264031</v>
      </c>
      <c r="AK39" s="616">
        <f t="shared" si="75"/>
        <v>6436</v>
      </c>
      <c r="AL39" s="617">
        <v>2391</v>
      </c>
      <c r="AM39" s="617">
        <v>3795</v>
      </c>
      <c r="AN39" s="618">
        <v>250</v>
      </c>
      <c r="AO39" s="272">
        <f t="shared" si="76"/>
        <v>7.7356698998786041E-2</v>
      </c>
    </row>
    <row r="40" spans="1:41" x14ac:dyDescent="0.25">
      <c r="A40" s="270" t="s">
        <v>92</v>
      </c>
      <c r="B40" s="270" t="s">
        <v>93</v>
      </c>
      <c r="C40" s="270" t="s">
        <v>268</v>
      </c>
      <c r="D40" s="270">
        <v>2</v>
      </c>
      <c r="E40" s="616">
        <f t="shared" si="55"/>
        <v>16708</v>
      </c>
      <c r="F40" s="617">
        <f t="shared" si="56"/>
        <v>16235</v>
      </c>
      <c r="G40" s="617">
        <f t="shared" si="57"/>
        <v>335</v>
      </c>
      <c r="H40" s="617">
        <f t="shared" si="58"/>
        <v>105</v>
      </c>
      <c r="I40" s="617">
        <f t="shared" si="59"/>
        <v>33</v>
      </c>
      <c r="J40" s="618">
        <f t="shared" si="60"/>
        <v>138</v>
      </c>
      <c r="K40" s="271">
        <f t="shared" si="61"/>
        <v>3416</v>
      </c>
      <c r="L40" s="617">
        <v>3297</v>
      </c>
      <c r="M40" s="617">
        <v>90</v>
      </c>
      <c r="N40" s="617">
        <v>24</v>
      </c>
      <c r="O40" s="617">
        <v>5</v>
      </c>
      <c r="P40" s="617">
        <f t="shared" si="62"/>
        <v>29</v>
      </c>
      <c r="Q40" s="616">
        <f t="shared" si="63"/>
        <v>9866</v>
      </c>
      <c r="R40" s="617">
        <v>9596</v>
      </c>
      <c r="S40" s="617">
        <v>177</v>
      </c>
      <c r="T40" s="617">
        <v>67</v>
      </c>
      <c r="U40" s="617">
        <v>26</v>
      </c>
      <c r="V40" s="618">
        <f t="shared" si="64"/>
        <v>93</v>
      </c>
      <c r="W40" s="616">
        <f t="shared" si="65"/>
        <v>3426</v>
      </c>
      <c r="X40" s="617">
        <v>3342</v>
      </c>
      <c r="Y40" s="617">
        <v>68</v>
      </c>
      <c r="Z40" s="617">
        <v>14</v>
      </c>
      <c r="AA40" s="617">
        <v>2</v>
      </c>
      <c r="AB40" s="618">
        <f t="shared" si="66"/>
        <v>16</v>
      </c>
      <c r="AC40" s="624">
        <f t="shared" si="67"/>
        <v>0.97169020828345698</v>
      </c>
      <c r="AD40" s="625">
        <f t="shared" si="68"/>
        <v>2.0050275317213311E-2</v>
      </c>
      <c r="AE40" s="625">
        <f t="shared" si="69"/>
        <v>6.2844146516638734E-3</v>
      </c>
      <c r="AF40" s="625">
        <f t="shared" si="70"/>
        <v>1.975101747665789E-3</v>
      </c>
      <c r="AG40" s="626">
        <f t="shared" si="71"/>
        <v>8.2595163993296628E-3</v>
      </c>
      <c r="AH40" s="624">
        <f t="shared" si="72"/>
        <v>0.20445295666746469</v>
      </c>
      <c r="AI40" s="625">
        <f t="shared" si="73"/>
        <v>0.59049557098395977</v>
      </c>
      <c r="AJ40" s="626">
        <f t="shared" si="74"/>
        <v>0.20505147234857554</v>
      </c>
      <c r="AK40" s="616">
        <f t="shared" si="75"/>
        <v>271</v>
      </c>
      <c r="AL40" s="617">
        <v>79</v>
      </c>
      <c r="AM40" s="617">
        <v>164</v>
      </c>
      <c r="AN40" s="618">
        <v>28</v>
      </c>
      <c r="AO40" s="272">
        <f t="shared" si="76"/>
        <v>1.6219774958103901E-2</v>
      </c>
    </row>
    <row r="41" spans="1:41" x14ac:dyDescent="0.25">
      <c r="A41" s="270" t="s">
        <v>94</v>
      </c>
      <c r="B41" s="270" t="s">
        <v>95</v>
      </c>
      <c r="C41" s="270" t="s">
        <v>264</v>
      </c>
      <c r="D41" s="270">
        <v>2</v>
      </c>
      <c r="E41" s="616">
        <f t="shared" si="55"/>
        <v>37143</v>
      </c>
      <c r="F41" s="617">
        <f t="shared" si="56"/>
        <v>33102</v>
      </c>
      <c r="G41" s="617">
        <f t="shared" si="57"/>
        <v>3338</v>
      </c>
      <c r="H41" s="617">
        <f t="shared" si="58"/>
        <v>508</v>
      </c>
      <c r="I41" s="617">
        <f t="shared" si="59"/>
        <v>195</v>
      </c>
      <c r="J41" s="618">
        <f t="shared" si="60"/>
        <v>703</v>
      </c>
      <c r="K41" s="271">
        <f t="shared" si="61"/>
        <v>7585</v>
      </c>
      <c r="L41" s="617">
        <v>6735</v>
      </c>
      <c r="M41" s="617">
        <v>687</v>
      </c>
      <c r="N41" s="617">
        <v>119</v>
      </c>
      <c r="O41" s="617">
        <v>44</v>
      </c>
      <c r="P41" s="617">
        <f t="shared" si="62"/>
        <v>163</v>
      </c>
      <c r="Q41" s="616">
        <f t="shared" si="63"/>
        <v>22895</v>
      </c>
      <c r="R41" s="617">
        <v>20445</v>
      </c>
      <c r="S41" s="617">
        <v>1988</v>
      </c>
      <c r="T41" s="617">
        <v>334</v>
      </c>
      <c r="U41" s="617">
        <v>128</v>
      </c>
      <c r="V41" s="618">
        <f t="shared" si="64"/>
        <v>462</v>
      </c>
      <c r="W41" s="616">
        <f t="shared" si="65"/>
        <v>6663</v>
      </c>
      <c r="X41" s="617">
        <v>5922</v>
      </c>
      <c r="Y41" s="617">
        <v>663</v>
      </c>
      <c r="Z41" s="617">
        <v>55</v>
      </c>
      <c r="AA41" s="617">
        <v>23</v>
      </c>
      <c r="AB41" s="618">
        <f t="shared" si="66"/>
        <v>78</v>
      </c>
      <c r="AC41" s="624">
        <f t="shared" si="67"/>
        <v>0.89120426459898228</v>
      </c>
      <c r="AD41" s="625">
        <f t="shared" si="68"/>
        <v>8.9868885119672615E-2</v>
      </c>
      <c r="AE41" s="625">
        <f t="shared" si="69"/>
        <v>1.3676870473575102E-2</v>
      </c>
      <c r="AF41" s="625">
        <f t="shared" si="70"/>
        <v>5.2499798077699699E-3</v>
      </c>
      <c r="AG41" s="626">
        <f t="shared" si="71"/>
        <v>1.8926850281345071E-2</v>
      </c>
      <c r="AH41" s="624">
        <f t="shared" si="72"/>
        <v>0.20421075303556524</v>
      </c>
      <c r="AI41" s="625">
        <f t="shared" si="73"/>
        <v>0.61640147537894086</v>
      </c>
      <c r="AJ41" s="626">
        <f t="shared" si="74"/>
        <v>0.1793877715854939</v>
      </c>
      <c r="AK41" s="616">
        <f t="shared" si="75"/>
        <v>1260</v>
      </c>
      <c r="AL41" s="617">
        <v>375</v>
      </c>
      <c r="AM41" s="617">
        <v>787</v>
      </c>
      <c r="AN41" s="618">
        <v>98</v>
      </c>
      <c r="AO41" s="272">
        <f t="shared" si="76"/>
        <v>3.3922946450205958E-2</v>
      </c>
    </row>
    <row r="42" spans="1:41" x14ac:dyDescent="0.25">
      <c r="A42" s="270" t="s">
        <v>96</v>
      </c>
      <c r="B42" s="270" t="s">
        <v>97</v>
      </c>
      <c r="C42" s="270" t="s">
        <v>266</v>
      </c>
      <c r="D42" s="270">
        <v>1</v>
      </c>
      <c r="E42" s="616">
        <f t="shared" si="55"/>
        <v>22253</v>
      </c>
      <c r="F42" s="617">
        <f t="shared" si="56"/>
        <v>17839</v>
      </c>
      <c r="G42" s="617">
        <f t="shared" si="57"/>
        <v>4011</v>
      </c>
      <c r="H42" s="617">
        <f t="shared" si="58"/>
        <v>340</v>
      </c>
      <c r="I42" s="617">
        <f t="shared" si="59"/>
        <v>63</v>
      </c>
      <c r="J42" s="618">
        <f t="shared" si="60"/>
        <v>403</v>
      </c>
      <c r="K42" s="271">
        <f t="shared" si="61"/>
        <v>4138</v>
      </c>
      <c r="L42" s="617">
        <v>3374</v>
      </c>
      <c r="M42" s="617">
        <v>687</v>
      </c>
      <c r="N42" s="617">
        <v>67</v>
      </c>
      <c r="O42" s="617">
        <v>10</v>
      </c>
      <c r="P42" s="617">
        <f t="shared" si="62"/>
        <v>77</v>
      </c>
      <c r="Q42" s="616">
        <f t="shared" si="63"/>
        <v>13656</v>
      </c>
      <c r="R42" s="617">
        <v>10834</v>
      </c>
      <c r="S42" s="617">
        <v>2552</v>
      </c>
      <c r="T42" s="617">
        <v>227</v>
      </c>
      <c r="U42" s="617">
        <v>43</v>
      </c>
      <c r="V42" s="618">
        <f t="shared" si="64"/>
        <v>270</v>
      </c>
      <c r="W42" s="616">
        <f t="shared" si="65"/>
        <v>4459</v>
      </c>
      <c r="X42" s="617">
        <v>3631</v>
      </c>
      <c r="Y42" s="617">
        <v>772</v>
      </c>
      <c r="Z42" s="617">
        <v>46</v>
      </c>
      <c r="AA42" s="617">
        <v>10</v>
      </c>
      <c r="AB42" s="618">
        <f t="shared" si="66"/>
        <v>56</v>
      </c>
      <c r="AC42" s="624">
        <f t="shared" si="67"/>
        <v>0.80164472205994697</v>
      </c>
      <c r="AD42" s="625">
        <f t="shared" si="68"/>
        <v>0.18024536017615603</v>
      </c>
      <c r="AE42" s="625">
        <f t="shared" si="69"/>
        <v>1.5278838808250574E-2</v>
      </c>
      <c r="AF42" s="625">
        <f t="shared" si="70"/>
        <v>2.8310789556464295E-3</v>
      </c>
      <c r="AG42" s="626">
        <f t="shared" si="71"/>
        <v>1.8109917763897004E-2</v>
      </c>
      <c r="AH42" s="624">
        <f t="shared" si="72"/>
        <v>0.18595245584864961</v>
      </c>
      <c r="AI42" s="625">
        <f t="shared" si="73"/>
        <v>0.61367006695726423</v>
      </c>
      <c r="AJ42" s="626">
        <f t="shared" si="74"/>
        <v>0.20037747719408619</v>
      </c>
      <c r="AK42" s="616">
        <f t="shared" si="75"/>
        <v>560</v>
      </c>
      <c r="AL42" s="617">
        <v>184</v>
      </c>
      <c r="AM42" s="617">
        <v>342</v>
      </c>
      <c r="AN42" s="618">
        <v>34</v>
      </c>
      <c r="AO42" s="272">
        <f t="shared" si="76"/>
        <v>2.516514627241271E-2</v>
      </c>
    </row>
    <row r="43" spans="1:41" x14ac:dyDescent="0.25">
      <c r="A43" s="270" t="s">
        <v>98</v>
      </c>
      <c r="B43" s="270" t="s">
        <v>99</v>
      </c>
      <c r="C43" s="270" t="s">
        <v>268</v>
      </c>
      <c r="D43" s="270">
        <v>2</v>
      </c>
      <c r="E43" s="616">
        <f t="shared" si="55"/>
        <v>16012</v>
      </c>
      <c r="F43" s="617">
        <f t="shared" si="56"/>
        <v>14978</v>
      </c>
      <c r="G43" s="617">
        <f t="shared" si="57"/>
        <v>955</v>
      </c>
      <c r="H43" s="617">
        <f t="shared" si="58"/>
        <v>38</v>
      </c>
      <c r="I43" s="617">
        <f t="shared" si="59"/>
        <v>41</v>
      </c>
      <c r="J43" s="618">
        <f t="shared" si="60"/>
        <v>79</v>
      </c>
      <c r="K43" s="271">
        <f t="shared" si="61"/>
        <v>2783</v>
      </c>
      <c r="L43" s="617">
        <v>2667</v>
      </c>
      <c r="M43" s="617">
        <v>106</v>
      </c>
      <c r="N43" s="617">
        <v>4</v>
      </c>
      <c r="O43" s="617">
        <v>6</v>
      </c>
      <c r="P43" s="617">
        <f t="shared" si="62"/>
        <v>10</v>
      </c>
      <c r="Q43" s="616">
        <f t="shared" si="63"/>
        <v>9623</v>
      </c>
      <c r="R43" s="617">
        <v>8787</v>
      </c>
      <c r="S43" s="617">
        <v>775</v>
      </c>
      <c r="T43" s="617">
        <v>30</v>
      </c>
      <c r="U43" s="617">
        <v>31</v>
      </c>
      <c r="V43" s="618">
        <f t="shared" si="64"/>
        <v>61</v>
      </c>
      <c r="W43" s="616">
        <f t="shared" si="65"/>
        <v>3606</v>
      </c>
      <c r="X43" s="617">
        <v>3524</v>
      </c>
      <c r="Y43" s="617">
        <v>74</v>
      </c>
      <c r="Z43" s="617">
        <v>4</v>
      </c>
      <c r="AA43" s="617">
        <v>4</v>
      </c>
      <c r="AB43" s="618">
        <f t="shared" si="66"/>
        <v>8</v>
      </c>
      <c r="AC43" s="624">
        <f t="shared" si="67"/>
        <v>0.93542343242568071</v>
      </c>
      <c r="AD43" s="625">
        <f t="shared" si="68"/>
        <v>5.9642767924056955E-2</v>
      </c>
      <c r="AE43" s="625">
        <f t="shared" si="69"/>
        <v>2.3732200849362977E-3</v>
      </c>
      <c r="AF43" s="625">
        <f t="shared" si="70"/>
        <v>2.5605795653260055E-3</v>
      </c>
      <c r="AG43" s="626">
        <f t="shared" si="71"/>
        <v>4.9337996502623032E-3</v>
      </c>
      <c r="AH43" s="624">
        <f t="shared" si="72"/>
        <v>0.17380714464151886</v>
      </c>
      <c r="AI43" s="625">
        <f t="shared" si="73"/>
        <v>0.60098675993005246</v>
      </c>
      <c r="AJ43" s="626">
        <f t="shared" si="74"/>
        <v>0.22520609542842868</v>
      </c>
      <c r="AK43" s="616">
        <f t="shared" si="75"/>
        <v>509</v>
      </c>
      <c r="AL43" s="617">
        <v>200</v>
      </c>
      <c r="AM43" s="617">
        <v>293</v>
      </c>
      <c r="AN43" s="618">
        <v>16</v>
      </c>
      <c r="AO43" s="272">
        <f t="shared" si="76"/>
        <v>3.1788658506120407E-2</v>
      </c>
    </row>
    <row r="44" spans="1:41" x14ac:dyDescent="0.25">
      <c r="A44" s="270" t="s">
        <v>100</v>
      </c>
      <c r="B44" s="270" t="s">
        <v>101</v>
      </c>
      <c r="C44" s="270" t="s">
        <v>267</v>
      </c>
      <c r="D44" s="270">
        <v>1</v>
      </c>
      <c r="E44" s="616">
        <f t="shared" si="55"/>
        <v>19162</v>
      </c>
      <c r="F44" s="617">
        <f t="shared" si="56"/>
        <v>17259</v>
      </c>
      <c r="G44" s="617">
        <f t="shared" si="57"/>
        <v>1480</v>
      </c>
      <c r="H44" s="617">
        <f t="shared" si="58"/>
        <v>358</v>
      </c>
      <c r="I44" s="617">
        <f t="shared" si="59"/>
        <v>65</v>
      </c>
      <c r="J44" s="618">
        <f t="shared" si="60"/>
        <v>423</v>
      </c>
      <c r="K44" s="271">
        <f t="shared" si="61"/>
        <v>4607</v>
      </c>
      <c r="L44" s="617">
        <v>4038</v>
      </c>
      <c r="M44" s="617">
        <v>467</v>
      </c>
      <c r="N44" s="617">
        <v>90</v>
      </c>
      <c r="O44" s="617">
        <v>12</v>
      </c>
      <c r="P44" s="617">
        <f t="shared" si="62"/>
        <v>102</v>
      </c>
      <c r="Q44" s="616">
        <f t="shared" si="63"/>
        <v>11429</v>
      </c>
      <c r="R44" s="617">
        <v>10295</v>
      </c>
      <c r="S44" s="617">
        <v>864</v>
      </c>
      <c r="T44" s="617">
        <v>224</v>
      </c>
      <c r="U44" s="617">
        <v>46</v>
      </c>
      <c r="V44" s="618">
        <f t="shared" si="64"/>
        <v>270</v>
      </c>
      <c r="W44" s="616">
        <f t="shared" si="65"/>
        <v>3126</v>
      </c>
      <c r="X44" s="617">
        <v>2926</v>
      </c>
      <c r="Y44" s="617">
        <v>149</v>
      </c>
      <c r="Z44" s="617">
        <v>44</v>
      </c>
      <c r="AA44" s="617">
        <v>7</v>
      </c>
      <c r="AB44" s="618">
        <f t="shared" si="66"/>
        <v>51</v>
      </c>
      <c r="AC44" s="624">
        <f t="shared" si="67"/>
        <v>0.90068886337543053</v>
      </c>
      <c r="AD44" s="625">
        <f t="shared" si="68"/>
        <v>7.7236196639181715E-2</v>
      </c>
      <c r="AE44" s="625">
        <f t="shared" si="69"/>
        <v>1.8682809727585847E-2</v>
      </c>
      <c r="AF44" s="625">
        <f t="shared" si="70"/>
        <v>3.3921302578018998E-3</v>
      </c>
      <c r="AG44" s="626">
        <f t="shared" si="71"/>
        <v>2.2074939985387745E-2</v>
      </c>
      <c r="AH44" s="624">
        <f t="shared" si="72"/>
        <v>0.24042375534912849</v>
      </c>
      <c r="AI44" s="625">
        <f t="shared" si="73"/>
        <v>0.59644087256027556</v>
      </c>
      <c r="AJ44" s="626">
        <f t="shared" si="74"/>
        <v>0.16313537209059598</v>
      </c>
      <c r="AK44" s="616">
        <f t="shared" si="75"/>
        <v>1000</v>
      </c>
      <c r="AL44" s="617">
        <v>380</v>
      </c>
      <c r="AM44" s="617">
        <v>588</v>
      </c>
      <c r="AN44" s="618">
        <v>32</v>
      </c>
      <c r="AO44" s="272">
        <f t="shared" si="76"/>
        <v>5.2186619350798456E-2</v>
      </c>
    </row>
    <row r="45" spans="1:41" x14ac:dyDescent="0.25">
      <c r="A45" s="270" t="s">
        <v>102</v>
      </c>
      <c r="B45" s="270" t="s">
        <v>103</v>
      </c>
      <c r="C45" s="270" t="s">
        <v>264</v>
      </c>
      <c r="D45" s="270">
        <v>2</v>
      </c>
      <c r="E45" s="616">
        <f t="shared" si="55"/>
        <v>17381</v>
      </c>
      <c r="F45" s="617">
        <f t="shared" si="56"/>
        <v>6463</v>
      </c>
      <c r="G45" s="617">
        <f t="shared" si="57"/>
        <v>10674</v>
      </c>
      <c r="H45" s="617">
        <f t="shared" si="58"/>
        <v>172</v>
      </c>
      <c r="I45" s="617">
        <f t="shared" si="59"/>
        <v>72</v>
      </c>
      <c r="J45" s="618">
        <f t="shared" si="60"/>
        <v>244</v>
      </c>
      <c r="K45" s="271">
        <f t="shared" si="61"/>
        <v>3287</v>
      </c>
      <c r="L45" s="617">
        <v>1004</v>
      </c>
      <c r="M45" s="617">
        <v>2225</v>
      </c>
      <c r="N45" s="617">
        <v>42</v>
      </c>
      <c r="O45" s="617">
        <v>16</v>
      </c>
      <c r="P45" s="617">
        <f t="shared" si="62"/>
        <v>58</v>
      </c>
      <c r="Q45" s="616">
        <f t="shared" si="63"/>
        <v>11337</v>
      </c>
      <c r="R45" s="617">
        <v>4091</v>
      </c>
      <c r="S45" s="617">
        <v>7078</v>
      </c>
      <c r="T45" s="617">
        <v>117</v>
      </c>
      <c r="U45" s="617">
        <v>51</v>
      </c>
      <c r="V45" s="618">
        <f t="shared" si="64"/>
        <v>168</v>
      </c>
      <c r="W45" s="616">
        <f t="shared" si="65"/>
        <v>2757</v>
      </c>
      <c r="X45" s="617">
        <v>1368</v>
      </c>
      <c r="Y45" s="617">
        <v>1371</v>
      </c>
      <c r="Z45" s="617">
        <v>13</v>
      </c>
      <c r="AA45" s="617">
        <v>5</v>
      </c>
      <c r="AB45" s="618">
        <f t="shared" si="66"/>
        <v>18</v>
      </c>
      <c r="AC45" s="624">
        <f t="shared" si="67"/>
        <v>0.3718428168689949</v>
      </c>
      <c r="AD45" s="625">
        <f t="shared" si="68"/>
        <v>0.61411886542776595</v>
      </c>
      <c r="AE45" s="625">
        <f t="shared" si="69"/>
        <v>9.8958632990046608E-3</v>
      </c>
      <c r="AF45" s="625">
        <f t="shared" si="70"/>
        <v>4.142454404234509E-3</v>
      </c>
      <c r="AG45" s="626">
        <f t="shared" si="71"/>
        <v>1.403831770323917E-2</v>
      </c>
      <c r="AH45" s="624">
        <f t="shared" si="72"/>
        <v>0.18911455037109487</v>
      </c>
      <c r="AI45" s="625">
        <f t="shared" si="73"/>
        <v>0.6522639664000921</v>
      </c>
      <c r="AJ45" s="626">
        <f t="shared" si="74"/>
        <v>0.15862148322881306</v>
      </c>
      <c r="AK45" s="616">
        <f t="shared" si="75"/>
        <v>572</v>
      </c>
      <c r="AL45" s="617">
        <v>201</v>
      </c>
      <c r="AM45" s="617">
        <v>354</v>
      </c>
      <c r="AN45" s="618">
        <v>17</v>
      </c>
      <c r="AO45" s="272">
        <f t="shared" si="76"/>
        <v>3.2909498878085267E-2</v>
      </c>
    </row>
    <row r="46" spans="1:41" x14ac:dyDescent="0.25">
      <c r="A46" s="270" t="s">
        <v>104</v>
      </c>
      <c r="B46" s="270" t="s">
        <v>650</v>
      </c>
      <c r="C46" s="270" t="s">
        <v>265</v>
      </c>
      <c r="D46" s="270">
        <v>2</v>
      </c>
      <c r="E46" s="616">
        <f t="shared" si="55"/>
        <v>35125</v>
      </c>
      <c r="F46" s="617">
        <f t="shared" si="56"/>
        <v>21664</v>
      </c>
      <c r="G46" s="617">
        <f t="shared" si="57"/>
        <v>13112</v>
      </c>
      <c r="H46" s="617">
        <f t="shared" si="58"/>
        <v>209</v>
      </c>
      <c r="I46" s="617">
        <f t="shared" si="59"/>
        <v>140</v>
      </c>
      <c r="J46" s="618">
        <f t="shared" si="60"/>
        <v>349</v>
      </c>
      <c r="K46" s="271">
        <f t="shared" si="61"/>
        <v>7280</v>
      </c>
      <c r="L46" s="617">
        <v>4243</v>
      </c>
      <c r="M46" s="617">
        <v>2957</v>
      </c>
      <c r="N46" s="617">
        <v>43</v>
      </c>
      <c r="O46" s="617">
        <v>37</v>
      </c>
      <c r="P46" s="617">
        <f t="shared" si="62"/>
        <v>80</v>
      </c>
      <c r="Q46" s="616">
        <f t="shared" si="63"/>
        <v>19879</v>
      </c>
      <c r="R46" s="617">
        <v>12122</v>
      </c>
      <c r="S46" s="617">
        <v>7547</v>
      </c>
      <c r="T46" s="617">
        <v>134</v>
      </c>
      <c r="U46" s="617">
        <v>76</v>
      </c>
      <c r="V46" s="618">
        <f t="shared" si="64"/>
        <v>210</v>
      </c>
      <c r="W46" s="616">
        <f t="shared" si="65"/>
        <v>7966</v>
      </c>
      <c r="X46" s="617">
        <v>5299</v>
      </c>
      <c r="Y46" s="617">
        <v>2608</v>
      </c>
      <c r="Z46" s="617">
        <v>32</v>
      </c>
      <c r="AA46" s="617">
        <v>27</v>
      </c>
      <c r="AB46" s="618">
        <f t="shared" si="66"/>
        <v>59</v>
      </c>
      <c r="AC46" s="624">
        <f t="shared" si="67"/>
        <v>0.61676868327402135</v>
      </c>
      <c r="AD46" s="625">
        <f t="shared" si="68"/>
        <v>0.37329537366548043</v>
      </c>
      <c r="AE46" s="625">
        <f t="shared" si="69"/>
        <v>5.9501779359430601E-3</v>
      </c>
      <c r="AF46" s="625">
        <f t="shared" si="70"/>
        <v>3.9857651245551601E-3</v>
      </c>
      <c r="AG46" s="626">
        <f t="shared" si="71"/>
        <v>9.9359430604982202E-3</v>
      </c>
      <c r="AH46" s="624">
        <f t="shared" si="72"/>
        <v>0.20725978647686832</v>
      </c>
      <c r="AI46" s="625">
        <f t="shared" si="73"/>
        <v>0.56595017793594304</v>
      </c>
      <c r="AJ46" s="626">
        <f t="shared" si="74"/>
        <v>0.2267900355871886</v>
      </c>
      <c r="AK46" s="616">
        <f t="shared" si="75"/>
        <v>723</v>
      </c>
      <c r="AL46" s="617">
        <v>254</v>
      </c>
      <c r="AM46" s="617">
        <v>398</v>
      </c>
      <c r="AN46" s="618">
        <v>71</v>
      </c>
      <c r="AO46" s="272">
        <f t="shared" si="76"/>
        <v>2.0583629893238434E-2</v>
      </c>
    </row>
    <row r="47" spans="1:41" x14ac:dyDescent="0.25">
      <c r="A47" s="270" t="s">
        <v>108</v>
      </c>
      <c r="B47" s="270" t="s">
        <v>109</v>
      </c>
      <c r="C47" s="270" t="s">
        <v>266</v>
      </c>
      <c r="D47" s="270">
        <v>2</v>
      </c>
      <c r="E47" s="616">
        <f t="shared" si="55"/>
        <v>103227</v>
      </c>
      <c r="F47" s="617">
        <f t="shared" si="56"/>
        <v>90424</v>
      </c>
      <c r="G47" s="617">
        <f t="shared" si="57"/>
        <v>10293</v>
      </c>
      <c r="H47" s="617">
        <f t="shared" si="58"/>
        <v>1990</v>
      </c>
      <c r="I47" s="617">
        <f t="shared" si="59"/>
        <v>520</v>
      </c>
      <c r="J47" s="618">
        <f t="shared" si="60"/>
        <v>2510</v>
      </c>
      <c r="K47" s="271">
        <f t="shared" si="61"/>
        <v>23125</v>
      </c>
      <c r="L47" s="617">
        <v>20106</v>
      </c>
      <c r="M47" s="617">
        <v>2361</v>
      </c>
      <c r="N47" s="617">
        <v>519</v>
      </c>
      <c r="O47" s="617">
        <v>139</v>
      </c>
      <c r="P47" s="617">
        <f t="shared" si="62"/>
        <v>658</v>
      </c>
      <c r="Q47" s="616">
        <f t="shared" si="63"/>
        <v>63398</v>
      </c>
      <c r="R47" s="617">
        <v>55456</v>
      </c>
      <c r="S47" s="617">
        <v>6313</v>
      </c>
      <c r="T47" s="617">
        <v>1295</v>
      </c>
      <c r="U47" s="617">
        <v>334</v>
      </c>
      <c r="V47" s="618">
        <f t="shared" si="64"/>
        <v>1629</v>
      </c>
      <c r="W47" s="616">
        <f t="shared" si="65"/>
        <v>16704</v>
      </c>
      <c r="X47" s="617">
        <v>14862</v>
      </c>
      <c r="Y47" s="617">
        <v>1619</v>
      </c>
      <c r="Z47" s="617">
        <v>176</v>
      </c>
      <c r="AA47" s="617">
        <v>47</v>
      </c>
      <c r="AB47" s="618">
        <f t="shared" si="66"/>
        <v>223</v>
      </c>
      <c r="AC47" s="624">
        <f t="shared" si="67"/>
        <v>0.87597237156945373</v>
      </c>
      <c r="AD47" s="625">
        <f t="shared" si="68"/>
        <v>9.9712284576709581E-2</v>
      </c>
      <c r="AE47" s="625">
        <f t="shared" si="69"/>
        <v>1.9277902099256977E-2</v>
      </c>
      <c r="AF47" s="625">
        <f t="shared" si="70"/>
        <v>5.0374417545797131E-3</v>
      </c>
      <c r="AG47" s="626">
        <f t="shared" si="71"/>
        <v>2.4315343853836689E-2</v>
      </c>
      <c r="AH47" s="624">
        <f t="shared" si="72"/>
        <v>0.22402084725895358</v>
      </c>
      <c r="AI47" s="625">
        <f t="shared" si="73"/>
        <v>0.61416102376316273</v>
      </c>
      <c r="AJ47" s="626">
        <f t="shared" si="74"/>
        <v>0.1618181289778837</v>
      </c>
      <c r="AK47" s="616">
        <f t="shared" si="75"/>
        <v>2867</v>
      </c>
      <c r="AL47" s="617">
        <v>971</v>
      </c>
      <c r="AM47" s="617">
        <v>1765</v>
      </c>
      <c r="AN47" s="618">
        <v>131</v>
      </c>
      <c r="AO47" s="272">
        <f t="shared" si="76"/>
        <v>2.7773741366115455E-2</v>
      </c>
    </row>
    <row r="48" spans="1:41" x14ac:dyDescent="0.25">
      <c r="A48" s="270" t="s">
        <v>110</v>
      </c>
      <c r="B48" s="270" t="s">
        <v>111</v>
      </c>
      <c r="C48" s="270" t="s">
        <v>266</v>
      </c>
      <c r="D48" s="270">
        <v>3</v>
      </c>
      <c r="E48" s="616">
        <f t="shared" si="55"/>
        <v>325155</v>
      </c>
      <c r="F48" s="617">
        <f t="shared" si="56"/>
        <v>194762</v>
      </c>
      <c r="G48" s="617">
        <f t="shared" si="57"/>
        <v>101176</v>
      </c>
      <c r="H48" s="617">
        <f t="shared" si="58"/>
        <v>27842</v>
      </c>
      <c r="I48" s="617">
        <f t="shared" si="59"/>
        <v>1375</v>
      </c>
      <c r="J48" s="618">
        <f t="shared" si="60"/>
        <v>29217</v>
      </c>
      <c r="K48" s="271">
        <f t="shared" si="61"/>
        <v>75430</v>
      </c>
      <c r="L48" s="617">
        <v>41323</v>
      </c>
      <c r="M48" s="617">
        <v>26218</v>
      </c>
      <c r="N48" s="617">
        <v>7557</v>
      </c>
      <c r="O48" s="617">
        <v>332</v>
      </c>
      <c r="P48" s="617">
        <f t="shared" si="62"/>
        <v>7889</v>
      </c>
      <c r="Q48" s="616">
        <f t="shared" si="63"/>
        <v>203710</v>
      </c>
      <c r="R48" s="617">
        <v>119964</v>
      </c>
      <c r="S48" s="617">
        <v>64375</v>
      </c>
      <c r="T48" s="617">
        <v>18480</v>
      </c>
      <c r="U48" s="617">
        <v>891</v>
      </c>
      <c r="V48" s="618">
        <f t="shared" si="64"/>
        <v>19371</v>
      </c>
      <c r="W48" s="616">
        <f t="shared" si="65"/>
        <v>46015</v>
      </c>
      <c r="X48" s="617">
        <v>33475</v>
      </c>
      <c r="Y48" s="617">
        <v>10583</v>
      </c>
      <c r="Z48" s="617">
        <v>1805</v>
      </c>
      <c r="AA48" s="617">
        <v>152</v>
      </c>
      <c r="AB48" s="618">
        <f t="shared" si="66"/>
        <v>1957</v>
      </c>
      <c r="AC48" s="624">
        <f t="shared" si="67"/>
        <v>0.59898202395780475</v>
      </c>
      <c r="AD48" s="625">
        <f t="shared" si="68"/>
        <v>0.3111623687164583</v>
      </c>
      <c r="AE48" s="625">
        <f t="shared" si="69"/>
        <v>8.5626854884593498E-2</v>
      </c>
      <c r="AF48" s="625">
        <f t="shared" si="70"/>
        <v>4.2287524411434548E-3</v>
      </c>
      <c r="AG48" s="626">
        <f t="shared" si="71"/>
        <v>8.9855607325736955E-2</v>
      </c>
      <c r="AH48" s="624">
        <f t="shared" si="72"/>
        <v>0.23198167028032785</v>
      </c>
      <c r="AI48" s="625">
        <f t="shared" si="73"/>
        <v>0.62650120711660595</v>
      </c>
      <c r="AJ48" s="626">
        <f t="shared" si="74"/>
        <v>0.14151712260306623</v>
      </c>
      <c r="AK48" s="616">
        <f t="shared" si="75"/>
        <v>17824</v>
      </c>
      <c r="AL48" s="617">
        <v>6097</v>
      </c>
      <c r="AM48" s="617">
        <v>11005</v>
      </c>
      <c r="AN48" s="618">
        <v>722</v>
      </c>
      <c r="AO48" s="272">
        <f t="shared" si="76"/>
        <v>5.48169334625025E-2</v>
      </c>
    </row>
    <row r="49" spans="1:41" x14ac:dyDescent="0.25">
      <c r="A49" s="270" t="s">
        <v>112</v>
      </c>
      <c r="B49" s="270" t="s">
        <v>113</v>
      </c>
      <c r="C49" s="270" t="s">
        <v>265</v>
      </c>
      <c r="D49" s="270">
        <v>3</v>
      </c>
      <c r="E49" s="616">
        <f t="shared" si="55"/>
        <v>65526</v>
      </c>
      <c r="F49" s="617">
        <f t="shared" si="56"/>
        <v>46458</v>
      </c>
      <c r="G49" s="617">
        <f t="shared" si="57"/>
        <v>18320</v>
      </c>
      <c r="H49" s="617">
        <f t="shared" si="58"/>
        <v>498</v>
      </c>
      <c r="I49" s="617">
        <f t="shared" si="59"/>
        <v>250</v>
      </c>
      <c r="J49" s="618">
        <f t="shared" si="60"/>
        <v>748</v>
      </c>
      <c r="K49" s="271">
        <f t="shared" si="61"/>
        <v>13511</v>
      </c>
      <c r="L49" s="617">
        <v>9037</v>
      </c>
      <c r="M49" s="617">
        <v>4280</v>
      </c>
      <c r="N49" s="617">
        <v>128</v>
      </c>
      <c r="O49" s="617">
        <v>66</v>
      </c>
      <c r="P49" s="617">
        <f t="shared" si="62"/>
        <v>194</v>
      </c>
      <c r="Q49" s="616">
        <f t="shared" si="63"/>
        <v>37636</v>
      </c>
      <c r="R49" s="617">
        <v>26270</v>
      </c>
      <c r="S49" s="617">
        <v>10888</v>
      </c>
      <c r="T49" s="617">
        <v>316</v>
      </c>
      <c r="U49" s="617">
        <v>162</v>
      </c>
      <c r="V49" s="618">
        <f t="shared" si="64"/>
        <v>478</v>
      </c>
      <c r="W49" s="616">
        <f t="shared" si="65"/>
        <v>14379</v>
      </c>
      <c r="X49" s="617">
        <v>11151</v>
      </c>
      <c r="Y49" s="617">
        <v>3152</v>
      </c>
      <c r="Z49" s="617">
        <v>54</v>
      </c>
      <c r="AA49" s="617">
        <v>22</v>
      </c>
      <c r="AB49" s="618">
        <f t="shared" si="66"/>
        <v>76</v>
      </c>
      <c r="AC49" s="624">
        <f t="shared" si="67"/>
        <v>0.7090010072337698</v>
      </c>
      <c r="AD49" s="625">
        <f t="shared" si="68"/>
        <v>0.27958367670848211</v>
      </c>
      <c r="AE49" s="625">
        <f t="shared" si="69"/>
        <v>7.6000366266825384E-3</v>
      </c>
      <c r="AF49" s="625">
        <f t="shared" si="70"/>
        <v>3.8152794310655313E-3</v>
      </c>
      <c r="AG49" s="626">
        <f t="shared" si="71"/>
        <v>1.141531605774807E-2</v>
      </c>
      <c r="AH49" s="624">
        <f t="shared" si="72"/>
        <v>0.20619296157250558</v>
      </c>
      <c r="AI49" s="625">
        <f t="shared" si="73"/>
        <v>0.57436742667032936</v>
      </c>
      <c r="AJ49" s="626">
        <f t="shared" si="74"/>
        <v>0.21943961175716509</v>
      </c>
      <c r="AK49" s="616">
        <f t="shared" si="75"/>
        <v>3552</v>
      </c>
      <c r="AL49" s="617">
        <v>1589</v>
      </c>
      <c r="AM49" s="617">
        <v>1866</v>
      </c>
      <c r="AN49" s="618">
        <v>97</v>
      </c>
      <c r="AO49" s="272">
        <f t="shared" si="76"/>
        <v>5.4207490156579066E-2</v>
      </c>
    </row>
    <row r="50" spans="1:41" x14ac:dyDescent="0.25">
      <c r="A50" s="270" t="s">
        <v>114</v>
      </c>
      <c r="B50" s="270" t="s">
        <v>115</v>
      </c>
      <c r="C50" s="270" t="s">
        <v>265</v>
      </c>
      <c r="D50" s="270">
        <v>1</v>
      </c>
      <c r="E50" s="616">
        <f t="shared" si="55"/>
        <v>2214</v>
      </c>
      <c r="F50" s="617">
        <f t="shared" si="56"/>
        <v>2177</v>
      </c>
      <c r="G50" s="617">
        <f t="shared" si="57"/>
        <v>21</v>
      </c>
      <c r="H50" s="617">
        <f t="shared" si="58"/>
        <v>9</v>
      </c>
      <c r="I50" s="617">
        <f t="shared" si="59"/>
        <v>7</v>
      </c>
      <c r="J50" s="618">
        <f t="shared" si="60"/>
        <v>16</v>
      </c>
      <c r="K50" s="271">
        <f t="shared" si="61"/>
        <v>296</v>
      </c>
      <c r="L50" s="617">
        <v>289</v>
      </c>
      <c r="M50" s="617">
        <v>5</v>
      </c>
      <c r="N50" s="617">
        <v>2</v>
      </c>
      <c r="O50" s="617">
        <v>0</v>
      </c>
      <c r="P50" s="617">
        <f t="shared" si="62"/>
        <v>2</v>
      </c>
      <c r="Q50" s="616">
        <f t="shared" si="63"/>
        <v>1238</v>
      </c>
      <c r="R50" s="617">
        <v>1221</v>
      </c>
      <c r="S50" s="617">
        <v>11</v>
      </c>
      <c r="T50" s="617">
        <v>5</v>
      </c>
      <c r="U50" s="617">
        <v>1</v>
      </c>
      <c r="V50" s="618">
        <f t="shared" si="64"/>
        <v>6</v>
      </c>
      <c r="W50" s="616">
        <f t="shared" si="65"/>
        <v>680</v>
      </c>
      <c r="X50" s="617">
        <v>667</v>
      </c>
      <c r="Y50" s="617">
        <v>5</v>
      </c>
      <c r="Z50" s="617">
        <v>2</v>
      </c>
      <c r="AA50" s="617">
        <v>6</v>
      </c>
      <c r="AB50" s="618">
        <f t="shared" si="66"/>
        <v>8</v>
      </c>
      <c r="AC50" s="624">
        <f t="shared" si="67"/>
        <v>0.98328816621499548</v>
      </c>
      <c r="AD50" s="625">
        <f t="shared" si="68"/>
        <v>9.485094850948509E-3</v>
      </c>
      <c r="AE50" s="625">
        <f t="shared" si="69"/>
        <v>4.0650406504065045E-3</v>
      </c>
      <c r="AF50" s="625">
        <f t="shared" si="70"/>
        <v>3.1616982836495033E-3</v>
      </c>
      <c r="AG50" s="626">
        <f t="shared" si="71"/>
        <v>7.2267389340560069E-3</v>
      </c>
      <c r="AH50" s="624">
        <f t="shared" si="72"/>
        <v>0.13369467028003612</v>
      </c>
      <c r="AI50" s="625">
        <f t="shared" si="73"/>
        <v>0.55916892502258353</v>
      </c>
      <c r="AJ50" s="626">
        <f t="shared" si="74"/>
        <v>0.30713640469738029</v>
      </c>
      <c r="AK50" s="616">
        <f t="shared" si="75"/>
        <v>31</v>
      </c>
      <c r="AL50" s="617">
        <v>7</v>
      </c>
      <c r="AM50" s="617">
        <v>17</v>
      </c>
      <c r="AN50" s="618">
        <v>7</v>
      </c>
      <c r="AO50" s="272">
        <f t="shared" si="76"/>
        <v>1.4001806684733513E-2</v>
      </c>
    </row>
    <row r="51" spans="1:41" x14ac:dyDescent="0.25">
      <c r="A51" s="270" t="s">
        <v>118</v>
      </c>
      <c r="B51" s="270" t="s">
        <v>119</v>
      </c>
      <c r="C51" s="270" t="s">
        <v>264</v>
      </c>
      <c r="D51" s="270">
        <v>2</v>
      </c>
      <c r="E51" s="616">
        <f t="shared" si="55"/>
        <v>36314</v>
      </c>
      <c r="F51" s="617">
        <f t="shared" si="56"/>
        <v>26912</v>
      </c>
      <c r="G51" s="617">
        <f t="shared" si="57"/>
        <v>8725</v>
      </c>
      <c r="H51" s="617">
        <f t="shared" si="58"/>
        <v>516</v>
      </c>
      <c r="I51" s="617">
        <f t="shared" si="59"/>
        <v>161</v>
      </c>
      <c r="J51" s="618">
        <f t="shared" si="60"/>
        <v>677</v>
      </c>
      <c r="K51" s="271">
        <f t="shared" si="61"/>
        <v>7654</v>
      </c>
      <c r="L51" s="617">
        <v>5481</v>
      </c>
      <c r="M51" s="617">
        <v>2018</v>
      </c>
      <c r="N51" s="617">
        <v>127</v>
      </c>
      <c r="O51" s="617">
        <v>28</v>
      </c>
      <c r="P51" s="617">
        <f t="shared" si="62"/>
        <v>155</v>
      </c>
      <c r="Q51" s="616">
        <f t="shared" si="63"/>
        <v>22186</v>
      </c>
      <c r="R51" s="617">
        <v>16595</v>
      </c>
      <c r="S51" s="617">
        <v>5134</v>
      </c>
      <c r="T51" s="617">
        <v>346</v>
      </c>
      <c r="U51" s="617">
        <v>111</v>
      </c>
      <c r="V51" s="618">
        <f t="shared" si="64"/>
        <v>457</v>
      </c>
      <c r="W51" s="616">
        <f t="shared" si="65"/>
        <v>6474</v>
      </c>
      <c r="X51" s="617">
        <v>4836</v>
      </c>
      <c r="Y51" s="617">
        <v>1573</v>
      </c>
      <c r="Z51" s="617">
        <v>43</v>
      </c>
      <c r="AA51" s="617">
        <v>22</v>
      </c>
      <c r="AB51" s="618">
        <f t="shared" si="66"/>
        <v>65</v>
      </c>
      <c r="AC51" s="624">
        <f t="shared" si="67"/>
        <v>0.74109159002037783</v>
      </c>
      <c r="AD51" s="625">
        <f t="shared" si="68"/>
        <v>0.24026546235611609</v>
      </c>
      <c r="AE51" s="625">
        <f t="shared" si="69"/>
        <v>1.4209395825301537E-2</v>
      </c>
      <c r="AF51" s="625">
        <f t="shared" si="70"/>
        <v>4.4335517982045493E-3</v>
      </c>
      <c r="AG51" s="626">
        <f t="shared" si="71"/>
        <v>1.8642947623506087E-2</v>
      </c>
      <c r="AH51" s="624">
        <f t="shared" si="72"/>
        <v>0.21077270474197279</v>
      </c>
      <c r="AI51" s="625">
        <f t="shared" si="73"/>
        <v>0.6109489453103486</v>
      </c>
      <c r="AJ51" s="626">
        <f t="shared" si="74"/>
        <v>0.17827834994767858</v>
      </c>
      <c r="AK51" s="616">
        <f t="shared" si="75"/>
        <v>1079</v>
      </c>
      <c r="AL51" s="617">
        <v>373</v>
      </c>
      <c r="AM51" s="617">
        <v>652</v>
      </c>
      <c r="AN51" s="618">
        <v>54</v>
      </c>
      <c r="AO51" s="272">
        <f t="shared" si="76"/>
        <v>2.9713058324613097E-2</v>
      </c>
    </row>
    <row r="52" spans="1:41" x14ac:dyDescent="0.25">
      <c r="A52" s="270" t="s">
        <v>120</v>
      </c>
      <c r="B52" s="270" t="s">
        <v>121</v>
      </c>
      <c r="C52" s="270" t="s">
        <v>264</v>
      </c>
      <c r="D52" s="270">
        <v>2</v>
      </c>
      <c r="E52" s="616">
        <f t="shared" si="55"/>
        <v>73147</v>
      </c>
      <c r="F52" s="617">
        <f t="shared" si="56"/>
        <v>59961</v>
      </c>
      <c r="G52" s="617">
        <f t="shared" si="57"/>
        <v>10453</v>
      </c>
      <c r="H52" s="617">
        <f t="shared" si="58"/>
        <v>2424</v>
      </c>
      <c r="I52" s="617">
        <f t="shared" si="59"/>
        <v>309</v>
      </c>
      <c r="J52" s="618">
        <f t="shared" si="60"/>
        <v>2733</v>
      </c>
      <c r="K52" s="271">
        <f t="shared" si="61"/>
        <v>14926</v>
      </c>
      <c r="L52" s="617">
        <v>11521</v>
      </c>
      <c r="M52" s="617">
        <v>2641</v>
      </c>
      <c r="N52" s="617">
        <v>675</v>
      </c>
      <c r="O52" s="617">
        <v>89</v>
      </c>
      <c r="P52" s="617">
        <f t="shared" si="62"/>
        <v>764</v>
      </c>
      <c r="Q52" s="616">
        <f t="shared" si="63"/>
        <v>40953</v>
      </c>
      <c r="R52" s="617">
        <v>32868</v>
      </c>
      <c r="S52" s="617">
        <v>6409</v>
      </c>
      <c r="T52" s="617">
        <v>1488</v>
      </c>
      <c r="U52" s="617">
        <v>188</v>
      </c>
      <c r="V52" s="618">
        <f t="shared" si="64"/>
        <v>1676</v>
      </c>
      <c r="W52" s="616">
        <f t="shared" si="65"/>
        <v>17268</v>
      </c>
      <c r="X52" s="617">
        <v>15572</v>
      </c>
      <c r="Y52" s="617">
        <v>1403</v>
      </c>
      <c r="Z52" s="617">
        <v>261</v>
      </c>
      <c r="AA52" s="617">
        <v>32</v>
      </c>
      <c r="AB52" s="618">
        <f t="shared" si="66"/>
        <v>293</v>
      </c>
      <c r="AC52" s="624">
        <f t="shared" si="67"/>
        <v>0.81973286669309742</v>
      </c>
      <c r="AD52" s="625">
        <f t="shared" si="68"/>
        <v>0.14290401520226392</v>
      </c>
      <c r="AE52" s="625">
        <f t="shared" si="69"/>
        <v>3.3138748000601528E-2</v>
      </c>
      <c r="AF52" s="625">
        <f t="shared" si="70"/>
        <v>4.2243701040370757E-3</v>
      </c>
      <c r="AG52" s="626">
        <f t="shared" si="71"/>
        <v>3.7363118104638604E-2</v>
      </c>
      <c r="AH52" s="624">
        <f t="shared" si="72"/>
        <v>0.20405484845584917</v>
      </c>
      <c r="AI52" s="625">
        <f t="shared" si="73"/>
        <v>0.55987258534184592</v>
      </c>
      <c r="AJ52" s="626">
        <f t="shared" si="74"/>
        <v>0.23607256620230493</v>
      </c>
      <c r="AK52" s="616">
        <f t="shared" si="75"/>
        <v>4002</v>
      </c>
      <c r="AL52" s="617">
        <v>1382</v>
      </c>
      <c r="AM52" s="617">
        <v>2412</v>
      </c>
      <c r="AN52" s="618">
        <v>208</v>
      </c>
      <c r="AO52" s="272">
        <f t="shared" si="76"/>
        <v>5.4711744842577278E-2</v>
      </c>
    </row>
    <row r="53" spans="1:41" x14ac:dyDescent="0.25">
      <c r="A53" s="270" t="s">
        <v>122</v>
      </c>
      <c r="B53" s="270" t="s">
        <v>271</v>
      </c>
      <c r="C53" s="270" t="s">
        <v>266</v>
      </c>
      <c r="D53" s="270">
        <v>1</v>
      </c>
      <c r="E53" s="616">
        <f t="shared" si="55"/>
        <v>7158</v>
      </c>
      <c r="F53" s="617">
        <f t="shared" si="56"/>
        <v>5005</v>
      </c>
      <c r="G53" s="617">
        <f t="shared" si="57"/>
        <v>1988</v>
      </c>
      <c r="H53" s="617">
        <f t="shared" si="58"/>
        <v>35</v>
      </c>
      <c r="I53" s="617">
        <f t="shared" si="59"/>
        <v>130</v>
      </c>
      <c r="J53" s="618">
        <f t="shared" si="60"/>
        <v>165</v>
      </c>
      <c r="K53" s="271">
        <f t="shared" si="61"/>
        <v>1317</v>
      </c>
      <c r="L53" s="617">
        <v>900</v>
      </c>
      <c r="M53" s="617">
        <v>384</v>
      </c>
      <c r="N53" s="617">
        <v>13</v>
      </c>
      <c r="O53" s="617">
        <v>20</v>
      </c>
      <c r="P53" s="617">
        <f t="shared" si="62"/>
        <v>33</v>
      </c>
      <c r="Q53" s="616">
        <f t="shared" si="63"/>
        <v>4299</v>
      </c>
      <c r="R53" s="617">
        <v>3022</v>
      </c>
      <c r="S53" s="617">
        <v>1181</v>
      </c>
      <c r="T53" s="617">
        <v>14</v>
      </c>
      <c r="U53" s="617">
        <v>82</v>
      </c>
      <c r="V53" s="618">
        <f t="shared" si="64"/>
        <v>96</v>
      </c>
      <c r="W53" s="616">
        <f t="shared" si="65"/>
        <v>1542</v>
      </c>
      <c r="X53" s="617">
        <v>1083</v>
      </c>
      <c r="Y53" s="617">
        <v>423</v>
      </c>
      <c r="Z53" s="617">
        <v>8</v>
      </c>
      <c r="AA53" s="617">
        <v>28</v>
      </c>
      <c r="AB53" s="618">
        <f t="shared" si="66"/>
        <v>36</v>
      </c>
      <c r="AC53" s="624">
        <f t="shared" si="67"/>
        <v>0.69921765856384466</v>
      </c>
      <c r="AD53" s="625">
        <f t="shared" si="68"/>
        <v>0.27773120983514948</v>
      </c>
      <c r="AE53" s="625">
        <f t="shared" si="69"/>
        <v>4.8896339759709412E-3</v>
      </c>
      <c r="AF53" s="625">
        <f t="shared" si="70"/>
        <v>1.8161497625034925E-2</v>
      </c>
      <c r="AG53" s="626">
        <f t="shared" si="71"/>
        <v>2.3051131601005869E-2</v>
      </c>
      <c r="AH53" s="624">
        <f t="shared" si="72"/>
        <v>0.18398994132439228</v>
      </c>
      <c r="AI53" s="625">
        <f t="shared" si="73"/>
        <v>0.60058675607711653</v>
      </c>
      <c r="AJ53" s="626">
        <f t="shared" si="74"/>
        <v>0.21542330259849121</v>
      </c>
      <c r="AK53" s="616">
        <f t="shared" si="75"/>
        <v>243</v>
      </c>
      <c r="AL53" s="617">
        <v>101</v>
      </c>
      <c r="AM53" s="617">
        <v>134</v>
      </c>
      <c r="AN53" s="618">
        <v>8</v>
      </c>
      <c r="AO53" s="272">
        <f t="shared" si="76"/>
        <v>3.3948030176026822E-2</v>
      </c>
    </row>
    <row r="54" spans="1:41" x14ac:dyDescent="0.25">
      <c r="A54" s="270" t="s">
        <v>124</v>
      </c>
      <c r="B54" s="270" t="s">
        <v>125</v>
      </c>
      <c r="C54" s="270" t="s">
        <v>267</v>
      </c>
      <c r="D54" s="270">
        <v>1</v>
      </c>
      <c r="E54" s="616">
        <f t="shared" si="55"/>
        <v>25515</v>
      </c>
      <c r="F54" s="617">
        <f t="shared" si="56"/>
        <v>20135</v>
      </c>
      <c r="G54" s="617">
        <f t="shared" si="57"/>
        <v>4650</v>
      </c>
      <c r="H54" s="617">
        <f t="shared" si="58"/>
        <v>556</v>
      </c>
      <c r="I54" s="617">
        <f t="shared" si="59"/>
        <v>174</v>
      </c>
      <c r="J54" s="618">
        <f t="shared" si="60"/>
        <v>730</v>
      </c>
      <c r="K54" s="271">
        <f t="shared" si="61"/>
        <v>6584</v>
      </c>
      <c r="L54" s="617">
        <v>5111</v>
      </c>
      <c r="M54" s="617">
        <v>1272</v>
      </c>
      <c r="N54" s="617">
        <v>158</v>
      </c>
      <c r="O54" s="617">
        <v>43</v>
      </c>
      <c r="P54" s="617">
        <f t="shared" si="62"/>
        <v>201</v>
      </c>
      <c r="Q54" s="616">
        <f t="shared" si="63"/>
        <v>15806</v>
      </c>
      <c r="R54" s="617">
        <v>12499</v>
      </c>
      <c r="S54" s="617">
        <v>2830</v>
      </c>
      <c r="T54" s="617">
        <v>357</v>
      </c>
      <c r="U54" s="617">
        <v>120</v>
      </c>
      <c r="V54" s="618">
        <f t="shared" si="64"/>
        <v>477</v>
      </c>
      <c r="W54" s="616">
        <f t="shared" si="65"/>
        <v>3125</v>
      </c>
      <c r="X54" s="617">
        <v>2525</v>
      </c>
      <c r="Y54" s="617">
        <v>548</v>
      </c>
      <c r="Z54" s="617">
        <v>41</v>
      </c>
      <c r="AA54" s="617">
        <v>11</v>
      </c>
      <c r="AB54" s="618">
        <f t="shared" si="66"/>
        <v>52</v>
      </c>
      <c r="AC54" s="624">
        <f t="shared" si="67"/>
        <v>0.78914364099549283</v>
      </c>
      <c r="AD54" s="625">
        <f t="shared" si="68"/>
        <v>0.18224573780129336</v>
      </c>
      <c r="AE54" s="625">
        <f t="shared" si="69"/>
        <v>2.1791103272584753E-2</v>
      </c>
      <c r="AF54" s="625">
        <f t="shared" si="70"/>
        <v>6.8195179306290415E-3</v>
      </c>
      <c r="AG54" s="626">
        <f t="shared" si="71"/>
        <v>2.8610621203213796E-2</v>
      </c>
      <c r="AH54" s="624">
        <f t="shared" si="72"/>
        <v>0.25804428767391729</v>
      </c>
      <c r="AI54" s="625">
        <f t="shared" si="73"/>
        <v>0.6194787379972565</v>
      </c>
      <c r="AJ54" s="626">
        <f t="shared" si="74"/>
        <v>0.12247697432882618</v>
      </c>
      <c r="AK54" s="616">
        <f t="shared" si="75"/>
        <v>1168</v>
      </c>
      <c r="AL54" s="617">
        <v>389</v>
      </c>
      <c r="AM54" s="617">
        <v>729</v>
      </c>
      <c r="AN54" s="618">
        <v>50</v>
      </c>
      <c r="AO54" s="272">
        <f t="shared" si="76"/>
        <v>4.5776993925142076E-2</v>
      </c>
    </row>
    <row r="55" spans="1:41" x14ac:dyDescent="0.25">
      <c r="A55" s="270" t="s">
        <v>126</v>
      </c>
      <c r="B55" s="270" t="s">
        <v>127</v>
      </c>
      <c r="C55" s="270" t="s">
        <v>266</v>
      </c>
      <c r="D55" s="270">
        <v>1</v>
      </c>
      <c r="E55" s="616">
        <f t="shared" si="55"/>
        <v>16269</v>
      </c>
      <c r="F55" s="617">
        <f t="shared" si="56"/>
        <v>12901</v>
      </c>
      <c r="G55" s="617">
        <f t="shared" si="57"/>
        <v>2940</v>
      </c>
      <c r="H55" s="617">
        <f t="shared" si="58"/>
        <v>167</v>
      </c>
      <c r="I55" s="617">
        <f t="shared" si="59"/>
        <v>261</v>
      </c>
      <c r="J55" s="618">
        <f t="shared" si="60"/>
        <v>428</v>
      </c>
      <c r="K55" s="271">
        <f t="shared" si="61"/>
        <v>3805</v>
      </c>
      <c r="L55" s="617">
        <v>3009</v>
      </c>
      <c r="M55" s="617">
        <v>694</v>
      </c>
      <c r="N55" s="617">
        <v>50</v>
      </c>
      <c r="O55" s="617">
        <v>52</v>
      </c>
      <c r="P55" s="617">
        <f t="shared" si="62"/>
        <v>102</v>
      </c>
      <c r="Q55" s="616">
        <f t="shared" si="63"/>
        <v>10048</v>
      </c>
      <c r="R55" s="617">
        <v>8036</v>
      </c>
      <c r="S55" s="617">
        <v>1745</v>
      </c>
      <c r="T55" s="617">
        <v>102</v>
      </c>
      <c r="U55" s="617">
        <v>165</v>
      </c>
      <c r="V55" s="618">
        <f t="shared" si="64"/>
        <v>267</v>
      </c>
      <c r="W55" s="616">
        <f t="shared" si="65"/>
        <v>2416</v>
      </c>
      <c r="X55" s="617">
        <v>1856</v>
      </c>
      <c r="Y55" s="617">
        <v>501</v>
      </c>
      <c r="Z55" s="617">
        <v>15</v>
      </c>
      <c r="AA55" s="617">
        <v>44</v>
      </c>
      <c r="AB55" s="618">
        <f t="shared" si="66"/>
        <v>59</v>
      </c>
      <c r="AC55" s="624">
        <f t="shared" si="67"/>
        <v>0.79298051509004852</v>
      </c>
      <c r="AD55" s="625">
        <f t="shared" si="68"/>
        <v>0.18071178314586023</v>
      </c>
      <c r="AE55" s="625">
        <f t="shared" si="69"/>
        <v>1.0264921015428115E-2</v>
      </c>
      <c r="AF55" s="625">
        <f t="shared" si="70"/>
        <v>1.6042780748663103E-2</v>
      </c>
      <c r="AG55" s="626">
        <f t="shared" si="71"/>
        <v>2.6307701764091217E-2</v>
      </c>
      <c r="AH55" s="624">
        <f t="shared" si="72"/>
        <v>0.23388038601020344</v>
      </c>
      <c r="AI55" s="625">
        <f t="shared" si="73"/>
        <v>0.61761632552707602</v>
      </c>
      <c r="AJ55" s="626">
        <f t="shared" si="74"/>
        <v>0.14850328846272051</v>
      </c>
      <c r="AK55" s="616">
        <f t="shared" si="75"/>
        <v>419</v>
      </c>
      <c r="AL55" s="617">
        <v>174</v>
      </c>
      <c r="AM55" s="617">
        <v>227</v>
      </c>
      <c r="AN55" s="618">
        <v>18</v>
      </c>
      <c r="AO55" s="272">
        <f t="shared" si="76"/>
        <v>2.5754502427930419E-2</v>
      </c>
    </row>
    <row r="56" spans="1:41" x14ac:dyDescent="0.25">
      <c r="A56" s="270" t="s">
        <v>128</v>
      </c>
      <c r="B56" s="270" t="s">
        <v>129</v>
      </c>
      <c r="C56" s="270" t="s">
        <v>266</v>
      </c>
      <c r="D56" s="270">
        <v>1</v>
      </c>
      <c r="E56" s="616">
        <f t="shared" si="55"/>
        <v>10965</v>
      </c>
      <c r="F56" s="617">
        <f t="shared" si="56"/>
        <v>7728</v>
      </c>
      <c r="G56" s="617">
        <f t="shared" si="57"/>
        <v>3114</v>
      </c>
      <c r="H56" s="617">
        <f t="shared" si="58"/>
        <v>86</v>
      </c>
      <c r="I56" s="617">
        <f t="shared" si="59"/>
        <v>37</v>
      </c>
      <c r="J56" s="618">
        <f t="shared" si="60"/>
        <v>123</v>
      </c>
      <c r="K56" s="271">
        <f t="shared" si="61"/>
        <v>1605</v>
      </c>
      <c r="L56" s="617">
        <v>853</v>
      </c>
      <c r="M56" s="617">
        <v>730</v>
      </c>
      <c r="N56" s="617">
        <v>17</v>
      </c>
      <c r="O56" s="617">
        <v>5</v>
      </c>
      <c r="P56" s="617">
        <f t="shared" si="62"/>
        <v>22</v>
      </c>
      <c r="Q56" s="616">
        <f t="shared" si="63"/>
        <v>5408</v>
      </c>
      <c r="R56" s="617">
        <v>3522</v>
      </c>
      <c r="S56" s="617">
        <v>1805</v>
      </c>
      <c r="T56" s="617">
        <v>55</v>
      </c>
      <c r="U56" s="617">
        <v>26</v>
      </c>
      <c r="V56" s="618">
        <f t="shared" si="64"/>
        <v>81</v>
      </c>
      <c r="W56" s="616">
        <f t="shared" si="65"/>
        <v>3952</v>
      </c>
      <c r="X56" s="617">
        <v>3353</v>
      </c>
      <c r="Y56" s="617">
        <v>579</v>
      </c>
      <c r="Z56" s="617">
        <v>14</v>
      </c>
      <c r="AA56" s="617">
        <v>6</v>
      </c>
      <c r="AB56" s="618">
        <f t="shared" si="66"/>
        <v>20</v>
      </c>
      <c r="AC56" s="624">
        <f t="shared" si="67"/>
        <v>0.70478796169630642</v>
      </c>
      <c r="AD56" s="625">
        <f t="shared" si="68"/>
        <v>0.28399452804377567</v>
      </c>
      <c r="AE56" s="625">
        <f t="shared" si="69"/>
        <v>7.8431372549019607E-3</v>
      </c>
      <c r="AF56" s="625">
        <f t="shared" si="70"/>
        <v>3.3743730050159598E-3</v>
      </c>
      <c r="AG56" s="626">
        <f t="shared" si="71"/>
        <v>1.1217510259917921E-2</v>
      </c>
      <c r="AH56" s="624">
        <f t="shared" si="72"/>
        <v>0.146374829001368</v>
      </c>
      <c r="AI56" s="625">
        <f t="shared" si="73"/>
        <v>0.49320565435476516</v>
      </c>
      <c r="AJ56" s="626">
        <f t="shared" si="74"/>
        <v>0.36041951664386684</v>
      </c>
      <c r="AK56" s="616">
        <f t="shared" si="75"/>
        <v>200</v>
      </c>
      <c r="AL56" s="617">
        <v>64</v>
      </c>
      <c r="AM56" s="617">
        <v>97</v>
      </c>
      <c r="AN56" s="618">
        <v>39</v>
      </c>
      <c r="AO56" s="272">
        <f t="shared" si="76"/>
        <v>1.823985408116735E-2</v>
      </c>
    </row>
    <row r="57" spans="1:41" x14ac:dyDescent="0.25">
      <c r="A57" s="270" t="s">
        <v>130</v>
      </c>
      <c r="B57" s="270" t="s">
        <v>131</v>
      </c>
      <c r="C57" s="270" t="s">
        <v>268</v>
      </c>
      <c r="D57" s="270">
        <v>2</v>
      </c>
      <c r="E57" s="616">
        <f t="shared" si="55"/>
        <v>24742</v>
      </c>
      <c r="F57" s="617">
        <f t="shared" si="56"/>
        <v>23406</v>
      </c>
      <c r="G57" s="617">
        <f t="shared" si="57"/>
        <v>1134</v>
      </c>
      <c r="H57" s="617">
        <f t="shared" si="58"/>
        <v>97</v>
      </c>
      <c r="I57" s="617">
        <f t="shared" si="59"/>
        <v>105</v>
      </c>
      <c r="J57" s="618">
        <f t="shared" si="60"/>
        <v>202</v>
      </c>
      <c r="K57" s="271">
        <f t="shared" si="61"/>
        <v>4691</v>
      </c>
      <c r="L57" s="617">
        <v>4584</v>
      </c>
      <c r="M57" s="617">
        <v>86</v>
      </c>
      <c r="N57" s="617">
        <v>11</v>
      </c>
      <c r="O57" s="617">
        <v>10</v>
      </c>
      <c r="P57" s="617">
        <f t="shared" si="62"/>
        <v>21</v>
      </c>
      <c r="Q57" s="616">
        <f t="shared" si="63"/>
        <v>15253</v>
      </c>
      <c r="R57" s="617">
        <v>14073</v>
      </c>
      <c r="S57" s="617">
        <v>1018</v>
      </c>
      <c r="T57" s="617">
        <v>75</v>
      </c>
      <c r="U57" s="617">
        <v>87</v>
      </c>
      <c r="V57" s="618">
        <f t="shared" si="64"/>
        <v>162</v>
      </c>
      <c r="W57" s="616">
        <f t="shared" si="65"/>
        <v>4798</v>
      </c>
      <c r="X57" s="617">
        <v>4749</v>
      </c>
      <c r="Y57" s="617">
        <v>30</v>
      </c>
      <c r="Z57" s="617">
        <v>11</v>
      </c>
      <c r="AA57" s="617">
        <v>8</v>
      </c>
      <c r="AB57" s="618">
        <f t="shared" si="66"/>
        <v>19</v>
      </c>
      <c r="AC57" s="624">
        <f t="shared" si="67"/>
        <v>0.94600274836310727</v>
      </c>
      <c r="AD57" s="625">
        <f t="shared" si="68"/>
        <v>4.5832996524129012E-2</v>
      </c>
      <c r="AE57" s="625">
        <f t="shared" si="69"/>
        <v>3.920459138307332E-3</v>
      </c>
      <c r="AF57" s="625">
        <f t="shared" si="70"/>
        <v>4.2437959744563896E-3</v>
      </c>
      <c r="AG57" s="626">
        <f t="shared" si="71"/>
        <v>8.1642551127637224E-3</v>
      </c>
      <c r="AH57" s="624">
        <f t="shared" si="72"/>
        <v>0.18959663729690404</v>
      </c>
      <c r="AI57" s="625">
        <f t="shared" si="73"/>
        <v>0.61648209522269826</v>
      </c>
      <c r="AJ57" s="626">
        <f t="shared" si="74"/>
        <v>0.1939212674803977</v>
      </c>
      <c r="AK57" s="616">
        <f t="shared" si="75"/>
        <v>466</v>
      </c>
      <c r="AL57" s="617">
        <v>90</v>
      </c>
      <c r="AM57" s="617">
        <v>362</v>
      </c>
      <c r="AN57" s="618">
        <v>14</v>
      </c>
      <c r="AO57" s="272">
        <f t="shared" si="76"/>
        <v>1.8834370705682644E-2</v>
      </c>
    </row>
    <row r="58" spans="1:41" x14ac:dyDescent="0.25">
      <c r="A58" s="270" t="s">
        <v>132</v>
      </c>
      <c r="B58" s="270" t="s">
        <v>133</v>
      </c>
      <c r="C58" s="270" t="s">
        <v>267</v>
      </c>
      <c r="D58" s="270">
        <v>3</v>
      </c>
      <c r="E58" s="616">
        <f t="shared" si="55"/>
        <v>375629</v>
      </c>
      <c r="F58" s="617">
        <f t="shared" si="56"/>
        <v>269485</v>
      </c>
      <c r="G58" s="617">
        <f t="shared" si="57"/>
        <v>32137</v>
      </c>
      <c r="H58" s="617">
        <f t="shared" si="58"/>
        <v>72000</v>
      </c>
      <c r="I58" s="617">
        <f t="shared" si="59"/>
        <v>2007</v>
      </c>
      <c r="J58" s="618">
        <f t="shared" si="60"/>
        <v>74007</v>
      </c>
      <c r="K58" s="271">
        <f t="shared" si="61"/>
        <v>109247</v>
      </c>
      <c r="L58" s="617">
        <v>77047</v>
      </c>
      <c r="M58" s="617">
        <v>9640</v>
      </c>
      <c r="N58" s="617">
        <v>21870</v>
      </c>
      <c r="O58" s="617">
        <v>690</v>
      </c>
      <c r="P58" s="617">
        <f t="shared" si="62"/>
        <v>22560</v>
      </c>
      <c r="Q58" s="616">
        <f t="shared" si="63"/>
        <v>235338</v>
      </c>
      <c r="R58" s="617">
        <v>168183</v>
      </c>
      <c r="S58" s="617">
        <v>20423</v>
      </c>
      <c r="T58" s="617">
        <v>45516</v>
      </c>
      <c r="U58" s="617">
        <v>1216</v>
      </c>
      <c r="V58" s="618">
        <f t="shared" si="64"/>
        <v>46732</v>
      </c>
      <c r="W58" s="616">
        <f t="shared" si="65"/>
        <v>31044</v>
      </c>
      <c r="X58" s="617">
        <v>24255</v>
      </c>
      <c r="Y58" s="617">
        <v>2074</v>
      </c>
      <c r="Z58" s="617">
        <v>4614</v>
      </c>
      <c r="AA58" s="617">
        <v>101</v>
      </c>
      <c r="AB58" s="618">
        <f t="shared" si="66"/>
        <v>4715</v>
      </c>
      <c r="AC58" s="624">
        <f t="shared" si="67"/>
        <v>0.71742330863697956</v>
      </c>
      <c r="AD58" s="625">
        <f t="shared" si="68"/>
        <v>8.5555162141368213E-2</v>
      </c>
      <c r="AE58" s="625">
        <f t="shared" si="69"/>
        <v>0.19167849127729755</v>
      </c>
      <c r="AF58" s="625">
        <f t="shared" si="70"/>
        <v>5.3430379443546692E-3</v>
      </c>
      <c r="AG58" s="626">
        <f t="shared" si="71"/>
        <v>0.19702152922165223</v>
      </c>
      <c r="AH58" s="624">
        <f t="shared" si="72"/>
        <v>0.2908375018968184</v>
      </c>
      <c r="AI58" s="625">
        <f t="shared" si="73"/>
        <v>0.62651712194745346</v>
      </c>
      <c r="AJ58" s="626">
        <f t="shared" si="74"/>
        <v>8.2645376155728131E-2</v>
      </c>
      <c r="AK58" s="616">
        <f t="shared" si="75"/>
        <v>50911</v>
      </c>
      <c r="AL58" s="617">
        <v>17038</v>
      </c>
      <c r="AM58" s="617">
        <v>31794</v>
      </c>
      <c r="AN58" s="618">
        <v>2079</v>
      </c>
      <c r="AO58" s="272">
        <f t="shared" si="76"/>
        <v>0.13553532874192353</v>
      </c>
    </row>
    <row r="59" spans="1:41" x14ac:dyDescent="0.25">
      <c r="A59" s="270" t="s">
        <v>134</v>
      </c>
      <c r="B59" s="270" t="s">
        <v>135</v>
      </c>
      <c r="C59" s="270" t="s">
        <v>267</v>
      </c>
      <c r="D59" s="270">
        <v>2</v>
      </c>
      <c r="E59" s="616">
        <f t="shared" si="55"/>
        <v>34602</v>
      </c>
      <c r="F59" s="617">
        <f t="shared" si="56"/>
        <v>28077</v>
      </c>
      <c r="G59" s="617">
        <f t="shared" si="57"/>
        <v>6095</v>
      </c>
      <c r="H59" s="617">
        <f t="shared" si="58"/>
        <v>263</v>
      </c>
      <c r="I59" s="617">
        <f t="shared" si="59"/>
        <v>167</v>
      </c>
      <c r="J59" s="618">
        <f t="shared" si="60"/>
        <v>430</v>
      </c>
      <c r="K59" s="271">
        <f t="shared" si="61"/>
        <v>7196</v>
      </c>
      <c r="L59" s="617">
        <v>5738</v>
      </c>
      <c r="M59" s="617">
        <v>1364</v>
      </c>
      <c r="N59" s="617">
        <v>59</v>
      </c>
      <c r="O59" s="617">
        <v>35</v>
      </c>
      <c r="P59" s="617">
        <f t="shared" si="62"/>
        <v>94</v>
      </c>
      <c r="Q59" s="616">
        <f t="shared" si="63"/>
        <v>21123</v>
      </c>
      <c r="R59" s="617">
        <v>17172</v>
      </c>
      <c r="S59" s="617">
        <v>3666</v>
      </c>
      <c r="T59" s="617">
        <v>176</v>
      </c>
      <c r="U59" s="617">
        <v>109</v>
      </c>
      <c r="V59" s="618">
        <f t="shared" si="64"/>
        <v>285</v>
      </c>
      <c r="W59" s="616">
        <f t="shared" si="65"/>
        <v>6283</v>
      </c>
      <c r="X59" s="617">
        <v>5167</v>
      </c>
      <c r="Y59" s="617">
        <v>1065</v>
      </c>
      <c r="Z59" s="617">
        <v>28</v>
      </c>
      <c r="AA59" s="617">
        <v>23</v>
      </c>
      <c r="AB59" s="618">
        <f t="shared" si="66"/>
        <v>51</v>
      </c>
      <c r="AC59" s="624">
        <f t="shared" si="67"/>
        <v>0.81142708513958728</v>
      </c>
      <c r="AD59" s="625">
        <f t="shared" si="68"/>
        <v>0.17614588752095256</v>
      </c>
      <c r="AE59" s="625">
        <f t="shared" si="69"/>
        <v>7.6007167215767875E-3</v>
      </c>
      <c r="AF59" s="625">
        <f t="shared" si="70"/>
        <v>4.8263106178833594E-3</v>
      </c>
      <c r="AG59" s="626">
        <f t="shared" si="71"/>
        <v>1.2427027339460146E-2</v>
      </c>
      <c r="AH59" s="624">
        <f t="shared" si="72"/>
        <v>0.20796485752268656</v>
      </c>
      <c r="AI59" s="625">
        <f t="shared" si="73"/>
        <v>0.61045604300329459</v>
      </c>
      <c r="AJ59" s="626">
        <f t="shared" si="74"/>
        <v>0.18157909947401885</v>
      </c>
      <c r="AK59" s="616">
        <f t="shared" si="75"/>
        <v>907</v>
      </c>
      <c r="AL59" s="617">
        <v>332</v>
      </c>
      <c r="AM59" s="617">
        <v>510</v>
      </c>
      <c r="AN59" s="618">
        <v>65</v>
      </c>
      <c r="AO59" s="272">
        <f t="shared" si="76"/>
        <v>2.6212357667186867E-2</v>
      </c>
    </row>
    <row r="60" spans="1:41" x14ac:dyDescent="0.25">
      <c r="A60" s="270" t="s">
        <v>136</v>
      </c>
      <c r="B60" s="270" t="s">
        <v>137</v>
      </c>
      <c r="C60" s="270" t="s">
        <v>266</v>
      </c>
      <c r="D60" s="270">
        <v>1</v>
      </c>
      <c r="E60" s="616">
        <f t="shared" si="55"/>
        <v>12299</v>
      </c>
      <c r="F60" s="617">
        <f t="shared" si="56"/>
        <v>7881</v>
      </c>
      <c r="G60" s="617">
        <f t="shared" si="57"/>
        <v>4289</v>
      </c>
      <c r="H60" s="617">
        <f t="shared" si="58"/>
        <v>67</v>
      </c>
      <c r="I60" s="617">
        <f t="shared" si="59"/>
        <v>62</v>
      </c>
      <c r="J60" s="618">
        <f t="shared" si="60"/>
        <v>129</v>
      </c>
      <c r="K60" s="271">
        <f t="shared" si="61"/>
        <v>2299</v>
      </c>
      <c r="L60" s="617">
        <v>1472</v>
      </c>
      <c r="M60" s="617">
        <v>799</v>
      </c>
      <c r="N60" s="617">
        <v>17</v>
      </c>
      <c r="O60" s="617">
        <v>11</v>
      </c>
      <c r="P60" s="617">
        <f t="shared" si="62"/>
        <v>28</v>
      </c>
      <c r="Q60" s="616">
        <f t="shared" si="63"/>
        <v>7456</v>
      </c>
      <c r="R60" s="617">
        <v>4687</v>
      </c>
      <c r="S60" s="617">
        <v>2680</v>
      </c>
      <c r="T60" s="617">
        <v>46</v>
      </c>
      <c r="U60" s="617">
        <v>43</v>
      </c>
      <c r="V60" s="618">
        <f t="shared" si="64"/>
        <v>89</v>
      </c>
      <c r="W60" s="616">
        <f t="shared" si="65"/>
        <v>2544</v>
      </c>
      <c r="X60" s="617">
        <v>1722</v>
      </c>
      <c r="Y60" s="617">
        <v>810</v>
      </c>
      <c r="Z60" s="617">
        <v>4</v>
      </c>
      <c r="AA60" s="617">
        <v>8</v>
      </c>
      <c r="AB60" s="618">
        <f t="shared" si="66"/>
        <v>12</v>
      </c>
      <c r="AC60" s="624">
        <f t="shared" si="67"/>
        <v>0.64078380356126519</v>
      </c>
      <c r="AD60" s="625">
        <f t="shared" si="68"/>
        <v>0.34872753882429464</v>
      </c>
      <c r="AE60" s="625">
        <f t="shared" si="69"/>
        <v>5.4475973656394833E-3</v>
      </c>
      <c r="AF60" s="625">
        <f t="shared" si="70"/>
        <v>5.0410602488007153E-3</v>
      </c>
      <c r="AG60" s="626">
        <f t="shared" si="71"/>
        <v>1.0488657614440199E-2</v>
      </c>
      <c r="AH60" s="624">
        <f t="shared" si="72"/>
        <v>0.18692576632246524</v>
      </c>
      <c r="AI60" s="625">
        <f t="shared" si="73"/>
        <v>0.60622814862996988</v>
      </c>
      <c r="AJ60" s="626">
        <f t="shared" si="74"/>
        <v>0.20684608504756485</v>
      </c>
      <c r="AK60" s="616">
        <f t="shared" si="75"/>
        <v>534</v>
      </c>
      <c r="AL60" s="617">
        <v>186</v>
      </c>
      <c r="AM60" s="617">
        <v>323</v>
      </c>
      <c r="AN60" s="618">
        <v>25</v>
      </c>
      <c r="AO60" s="272">
        <f t="shared" si="76"/>
        <v>4.3418164078380353E-2</v>
      </c>
    </row>
    <row r="61" spans="1:41" x14ac:dyDescent="0.25">
      <c r="A61" s="270" t="s">
        <v>140</v>
      </c>
      <c r="B61" s="270" t="s">
        <v>141</v>
      </c>
      <c r="C61" s="270" t="s">
        <v>267</v>
      </c>
      <c r="D61" s="270">
        <v>1</v>
      </c>
      <c r="E61" s="616">
        <f t="shared" si="55"/>
        <v>13134</v>
      </c>
      <c r="F61" s="617">
        <f t="shared" si="56"/>
        <v>11649</v>
      </c>
      <c r="G61" s="617">
        <f t="shared" si="57"/>
        <v>1363</v>
      </c>
      <c r="H61" s="617">
        <f t="shared" si="58"/>
        <v>90</v>
      </c>
      <c r="I61" s="617">
        <f t="shared" si="59"/>
        <v>32</v>
      </c>
      <c r="J61" s="618">
        <f t="shared" si="60"/>
        <v>122</v>
      </c>
      <c r="K61" s="271">
        <f t="shared" si="61"/>
        <v>2726</v>
      </c>
      <c r="L61" s="617">
        <v>2386</v>
      </c>
      <c r="M61" s="617">
        <v>319</v>
      </c>
      <c r="N61" s="617">
        <v>20</v>
      </c>
      <c r="O61" s="617">
        <v>1</v>
      </c>
      <c r="P61" s="617">
        <f t="shared" si="62"/>
        <v>21</v>
      </c>
      <c r="Q61" s="616">
        <f t="shared" si="63"/>
        <v>7649</v>
      </c>
      <c r="R61" s="617">
        <v>6765</v>
      </c>
      <c r="S61" s="617">
        <v>799</v>
      </c>
      <c r="T61" s="617">
        <v>58</v>
      </c>
      <c r="U61" s="617">
        <v>27</v>
      </c>
      <c r="V61" s="618">
        <f t="shared" si="64"/>
        <v>85</v>
      </c>
      <c r="W61" s="616">
        <f t="shared" si="65"/>
        <v>2759</v>
      </c>
      <c r="X61" s="617">
        <v>2498</v>
      </c>
      <c r="Y61" s="617">
        <v>245</v>
      </c>
      <c r="Z61" s="617">
        <v>12</v>
      </c>
      <c r="AA61" s="617">
        <v>4</v>
      </c>
      <c r="AB61" s="618">
        <f t="shared" si="66"/>
        <v>16</v>
      </c>
      <c r="AC61" s="624">
        <f t="shared" si="67"/>
        <v>0.88693467336683418</v>
      </c>
      <c r="AD61" s="625">
        <f t="shared" si="68"/>
        <v>0.10377645804781484</v>
      </c>
      <c r="AE61" s="625">
        <f t="shared" si="69"/>
        <v>6.8524440383736862E-3</v>
      </c>
      <c r="AF61" s="625">
        <f t="shared" si="70"/>
        <v>2.4364245469773106E-3</v>
      </c>
      <c r="AG61" s="626">
        <f t="shared" si="71"/>
        <v>9.2888685853509973E-3</v>
      </c>
      <c r="AH61" s="624">
        <f t="shared" si="72"/>
        <v>0.20755291609562967</v>
      </c>
      <c r="AI61" s="625">
        <f t="shared" si="73"/>
        <v>0.58238160499467029</v>
      </c>
      <c r="AJ61" s="626">
        <f t="shared" si="74"/>
        <v>0.21006547890970001</v>
      </c>
      <c r="AK61" s="616">
        <f t="shared" si="75"/>
        <v>305</v>
      </c>
      <c r="AL61" s="617">
        <v>117</v>
      </c>
      <c r="AM61" s="617">
        <v>166</v>
      </c>
      <c r="AN61" s="618">
        <v>22</v>
      </c>
      <c r="AO61" s="272">
        <f t="shared" si="76"/>
        <v>2.3222171463377492E-2</v>
      </c>
    </row>
    <row r="62" spans="1:41" x14ac:dyDescent="0.25">
      <c r="A62" s="270" t="s">
        <v>146</v>
      </c>
      <c r="B62" s="270" t="s">
        <v>147</v>
      </c>
      <c r="C62" s="270" t="s">
        <v>264</v>
      </c>
      <c r="D62" s="270">
        <v>1</v>
      </c>
      <c r="E62" s="616">
        <f t="shared" si="55"/>
        <v>8862</v>
      </c>
      <c r="F62" s="617">
        <f t="shared" si="56"/>
        <v>7873</v>
      </c>
      <c r="G62" s="617">
        <f t="shared" si="57"/>
        <v>874</v>
      </c>
      <c r="H62" s="617">
        <f t="shared" si="58"/>
        <v>93</v>
      </c>
      <c r="I62" s="617">
        <f t="shared" si="59"/>
        <v>22</v>
      </c>
      <c r="J62" s="618">
        <f t="shared" si="60"/>
        <v>115</v>
      </c>
      <c r="K62" s="271">
        <f t="shared" si="61"/>
        <v>1452</v>
      </c>
      <c r="L62" s="617">
        <v>1266</v>
      </c>
      <c r="M62" s="617">
        <v>159</v>
      </c>
      <c r="N62" s="617">
        <v>26</v>
      </c>
      <c r="O62" s="617">
        <v>1</v>
      </c>
      <c r="P62" s="617">
        <f t="shared" si="62"/>
        <v>27</v>
      </c>
      <c r="Q62" s="616">
        <f t="shared" si="63"/>
        <v>4802</v>
      </c>
      <c r="R62" s="617">
        <v>4242</v>
      </c>
      <c r="S62" s="617">
        <v>486</v>
      </c>
      <c r="T62" s="617">
        <v>56</v>
      </c>
      <c r="U62" s="617">
        <v>18</v>
      </c>
      <c r="V62" s="618">
        <f t="shared" si="64"/>
        <v>74</v>
      </c>
      <c r="W62" s="616">
        <f t="shared" si="65"/>
        <v>2608</v>
      </c>
      <c r="X62" s="617">
        <v>2365</v>
      </c>
      <c r="Y62" s="617">
        <v>229</v>
      </c>
      <c r="Z62" s="617">
        <v>11</v>
      </c>
      <c r="AA62" s="617">
        <v>3</v>
      </c>
      <c r="AB62" s="618">
        <f t="shared" si="66"/>
        <v>14</v>
      </c>
      <c r="AC62" s="624">
        <f t="shared" si="67"/>
        <v>0.88839990972692395</v>
      </c>
      <c r="AD62" s="625">
        <f t="shared" si="68"/>
        <v>9.8623335590160233E-2</v>
      </c>
      <c r="AE62" s="625">
        <f t="shared" si="69"/>
        <v>1.049424509140149E-2</v>
      </c>
      <c r="AF62" s="625">
        <f t="shared" si="70"/>
        <v>2.4825095915143309E-3</v>
      </c>
      <c r="AG62" s="626">
        <f t="shared" si="71"/>
        <v>1.2976754682915821E-2</v>
      </c>
      <c r="AH62" s="624">
        <f t="shared" si="72"/>
        <v>0.16384563303994584</v>
      </c>
      <c r="AI62" s="625">
        <f t="shared" si="73"/>
        <v>0.54186413902053709</v>
      </c>
      <c r="AJ62" s="626">
        <f t="shared" si="74"/>
        <v>0.29429022793951704</v>
      </c>
      <c r="AK62" s="616">
        <f t="shared" si="75"/>
        <v>206</v>
      </c>
      <c r="AL62" s="617">
        <v>80</v>
      </c>
      <c r="AM62" s="617">
        <v>110</v>
      </c>
      <c r="AN62" s="618">
        <v>16</v>
      </c>
      <c r="AO62" s="272">
        <f t="shared" si="76"/>
        <v>2.3245317084179644E-2</v>
      </c>
    </row>
    <row r="63" spans="1:41" x14ac:dyDescent="0.25">
      <c r="A63" s="270" t="s">
        <v>148</v>
      </c>
      <c r="B63" s="270" t="s">
        <v>149</v>
      </c>
      <c r="C63" s="270" t="s">
        <v>265</v>
      </c>
      <c r="D63" s="270">
        <v>2</v>
      </c>
      <c r="E63" s="616">
        <f t="shared" si="55"/>
        <v>31081</v>
      </c>
      <c r="F63" s="617">
        <f t="shared" si="56"/>
        <v>19545</v>
      </c>
      <c r="G63" s="617">
        <f t="shared" si="57"/>
        <v>11091</v>
      </c>
      <c r="H63" s="617">
        <f t="shared" si="58"/>
        <v>336</v>
      </c>
      <c r="I63" s="617">
        <f t="shared" si="59"/>
        <v>109</v>
      </c>
      <c r="J63" s="618">
        <f t="shared" si="60"/>
        <v>445</v>
      </c>
      <c r="K63" s="271">
        <f t="shared" si="61"/>
        <v>5864</v>
      </c>
      <c r="L63" s="617">
        <v>3306</v>
      </c>
      <c r="M63" s="617">
        <v>2429</v>
      </c>
      <c r="N63" s="617">
        <v>104</v>
      </c>
      <c r="O63" s="617">
        <v>25</v>
      </c>
      <c r="P63" s="617">
        <f t="shared" si="62"/>
        <v>129</v>
      </c>
      <c r="Q63" s="616">
        <f t="shared" si="63"/>
        <v>17626</v>
      </c>
      <c r="R63" s="617">
        <v>10896</v>
      </c>
      <c r="S63" s="617">
        <v>6475</v>
      </c>
      <c r="T63" s="617">
        <v>193</v>
      </c>
      <c r="U63" s="617">
        <v>62</v>
      </c>
      <c r="V63" s="618">
        <f t="shared" si="64"/>
        <v>255</v>
      </c>
      <c r="W63" s="616">
        <f t="shared" si="65"/>
        <v>7591</v>
      </c>
      <c r="X63" s="617">
        <v>5343</v>
      </c>
      <c r="Y63" s="617">
        <v>2187</v>
      </c>
      <c r="Z63" s="617">
        <v>39</v>
      </c>
      <c r="AA63" s="617">
        <v>22</v>
      </c>
      <c r="AB63" s="618">
        <f t="shared" si="66"/>
        <v>61</v>
      </c>
      <c r="AC63" s="624">
        <f t="shared" si="67"/>
        <v>0.6288407708889675</v>
      </c>
      <c r="AD63" s="625">
        <f t="shared" si="68"/>
        <v>0.35684180045687075</v>
      </c>
      <c r="AE63" s="625">
        <f t="shared" si="69"/>
        <v>1.081046298381648E-2</v>
      </c>
      <c r="AF63" s="625">
        <f t="shared" si="70"/>
        <v>3.5069656703452272E-3</v>
      </c>
      <c r="AG63" s="626">
        <f t="shared" si="71"/>
        <v>1.4317428654161706E-2</v>
      </c>
      <c r="AH63" s="624">
        <f t="shared" si="72"/>
        <v>0.18866831826517808</v>
      </c>
      <c r="AI63" s="625">
        <f t="shared" si="73"/>
        <v>0.56709887069270615</v>
      </c>
      <c r="AJ63" s="626">
        <f t="shared" si="74"/>
        <v>0.24423281104211575</v>
      </c>
      <c r="AK63" s="616">
        <f t="shared" si="75"/>
        <v>859</v>
      </c>
      <c r="AL63" s="617">
        <v>270</v>
      </c>
      <c r="AM63" s="617">
        <v>511</v>
      </c>
      <c r="AN63" s="618">
        <v>78</v>
      </c>
      <c r="AO63" s="272">
        <f t="shared" si="76"/>
        <v>2.7637463402078441E-2</v>
      </c>
    </row>
    <row r="64" spans="1:41" x14ac:dyDescent="0.25">
      <c r="A64" s="270" t="s">
        <v>150</v>
      </c>
      <c r="B64" s="270" t="s">
        <v>151</v>
      </c>
      <c r="C64" s="270" t="s">
        <v>266</v>
      </c>
      <c r="D64" s="270">
        <v>1</v>
      </c>
      <c r="E64" s="616">
        <f t="shared" si="55"/>
        <v>10606</v>
      </c>
      <c r="F64" s="617">
        <f t="shared" si="56"/>
        <v>8567</v>
      </c>
      <c r="G64" s="617">
        <f t="shared" si="57"/>
        <v>1936</v>
      </c>
      <c r="H64" s="617">
        <f t="shared" si="58"/>
        <v>59</v>
      </c>
      <c r="I64" s="617">
        <f t="shared" si="59"/>
        <v>44</v>
      </c>
      <c r="J64" s="618">
        <f t="shared" si="60"/>
        <v>103</v>
      </c>
      <c r="K64" s="271">
        <f t="shared" si="61"/>
        <v>1631</v>
      </c>
      <c r="L64" s="617">
        <v>1290</v>
      </c>
      <c r="M64" s="617">
        <v>328</v>
      </c>
      <c r="N64" s="617">
        <v>4</v>
      </c>
      <c r="O64" s="617">
        <v>9</v>
      </c>
      <c r="P64" s="617">
        <f t="shared" si="62"/>
        <v>13</v>
      </c>
      <c r="Q64" s="616">
        <f t="shared" si="63"/>
        <v>5795</v>
      </c>
      <c r="R64" s="617">
        <v>4580</v>
      </c>
      <c r="S64" s="617">
        <v>1149</v>
      </c>
      <c r="T64" s="617">
        <v>37</v>
      </c>
      <c r="U64" s="617">
        <v>29</v>
      </c>
      <c r="V64" s="618">
        <f t="shared" si="64"/>
        <v>66</v>
      </c>
      <c r="W64" s="616">
        <f t="shared" si="65"/>
        <v>3180</v>
      </c>
      <c r="X64" s="617">
        <v>2697</v>
      </c>
      <c r="Y64" s="617">
        <v>459</v>
      </c>
      <c r="Z64" s="617">
        <v>18</v>
      </c>
      <c r="AA64" s="617">
        <v>6</v>
      </c>
      <c r="AB64" s="618">
        <f t="shared" si="66"/>
        <v>24</v>
      </c>
      <c r="AC64" s="624">
        <f t="shared" si="67"/>
        <v>0.80775033000188567</v>
      </c>
      <c r="AD64" s="625">
        <f t="shared" si="68"/>
        <v>0.18253818593249105</v>
      </c>
      <c r="AE64" s="625">
        <f t="shared" si="69"/>
        <v>5.5628889307938901E-3</v>
      </c>
      <c r="AF64" s="625">
        <f t="shared" si="70"/>
        <v>4.1485951348293418E-3</v>
      </c>
      <c r="AG64" s="626">
        <f t="shared" si="71"/>
        <v>9.7114840656232319E-3</v>
      </c>
      <c r="AH64" s="624">
        <f t="shared" si="72"/>
        <v>0.15378087874787855</v>
      </c>
      <c r="AI64" s="625">
        <f t="shared" si="73"/>
        <v>0.54638883650763714</v>
      </c>
      <c r="AJ64" s="626">
        <f t="shared" si="74"/>
        <v>0.29983028474448425</v>
      </c>
      <c r="AK64" s="616">
        <f t="shared" si="75"/>
        <v>245</v>
      </c>
      <c r="AL64" s="617">
        <v>68</v>
      </c>
      <c r="AM64" s="617">
        <v>157</v>
      </c>
      <c r="AN64" s="618">
        <v>20</v>
      </c>
      <c r="AO64" s="272">
        <f t="shared" si="76"/>
        <v>2.3100132000754291E-2</v>
      </c>
    </row>
    <row r="65" spans="1:41" x14ac:dyDescent="0.25">
      <c r="A65" s="270" t="s">
        <v>152</v>
      </c>
      <c r="B65" s="270" t="s">
        <v>153</v>
      </c>
      <c r="C65" s="270" t="s">
        <v>268</v>
      </c>
      <c r="D65" s="270">
        <v>2</v>
      </c>
      <c r="E65" s="616">
        <f t="shared" si="55"/>
        <v>97653</v>
      </c>
      <c r="F65" s="617">
        <f t="shared" si="56"/>
        <v>86457</v>
      </c>
      <c r="G65" s="617">
        <f t="shared" si="57"/>
        <v>4585</v>
      </c>
      <c r="H65" s="617">
        <f t="shared" si="58"/>
        <v>6290</v>
      </c>
      <c r="I65" s="617">
        <f t="shared" si="59"/>
        <v>321</v>
      </c>
      <c r="J65" s="618">
        <f t="shared" si="60"/>
        <v>6611</v>
      </c>
      <c r="K65" s="271">
        <f t="shared" si="61"/>
        <v>15632</v>
      </c>
      <c r="L65" s="617">
        <v>13728</v>
      </c>
      <c r="M65" s="617">
        <v>895</v>
      </c>
      <c r="N65" s="617">
        <v>945</v>
      </c>
      <c r="O65" s="617">
        <v>64</v>
      </c>
      <c r="P65" s="617">
        <f t="shared" si="62"/>
        <v>1009</v>
      </c>
      <c r="Q65" s="616">
        <f t="shared" si="63"/>
        <v>71014</v>
      </c>
      <c r="R65" s="617">
        <v>62239</v>
      </c>
      <c r="S65" s="617">
        <v>3383</v>
      </c>
      <c r="T65" s="617">
        <v>5151</v>
      </c>
      <c r="U65" s="617">
        <v>241</v>
      </c>
      <c r="V65" s="618">
        <f t="shared" si="64"/>
        <v>5392</v>
      </c>
      <c r="W65" s="616">
        <f t="shared" si="65"/>
        <v>11007</v>
      </c>
      <c r="X65" s="617">
        <v>10490</v>
      </c>
      <c r="Y65" s="617">
        <v>307</v>
      </c>
      <c r="Z65" s="617">
        <v>194</v>
      </c>
      <c r="AA65" s="617">
        <v>16</v>
      </c>
      <c r="AB65" s="618">
        <f t="shared" si="66"/>
        <v>210</v>
      </c>
      <c r="AC65" s="624">
        <f t="shared" si="67"/>
        <v>0.88534914441952628</v>
      </c>
      <c r="AD65" s="625">
        <f t="shared" si="68"/>
        <v>4.6951962561314044E-2</v>
      </c>
      <c r="AE65" s="625">
        <f t="shared" si="69"/>
        <v>6.4411743622827769E-2</v>
      </c>
      <c r="AF65" s="625">
        <f t="shared" si="70"/>
        <v>3.2871493963319101E-3</v>
      </c>
      <c r="AG65" s="626">
        <f t="shared" si="71"/>
        <v>6.7698893019159684E-2</v>
      </c>
      <c r="AH65" s="624">
        <f t="shared" si="72"/>
        <v>0.16007700736280503</v>
      </c>
      <c r="AI65" s="625">
        <f t="shared" si="73"/>
        <v>0.72720756146764565</v>
      </c>
      <c r="AJ65" s="626">
        <f t="shared" si="74"/>
        <v>0.11271543116954932</v>
      </c>
      <c r="AK65" s="616">
        <f t="shared" si="75"/>
        <v>3016</v>
      </c>
      <c r="AL65" s="617">
        <v>644</v>
      </c>
      <c r="AM65" s="617">
        <v>2281</v>
      </c>
      <c r="AN65" s="618">
        <v>91</v>
      </c>
      <c r="AO65" s="272">
        <f t="shared" si="76"/>
        <v>3.0884867848401994E-2</v>
      </c>
    </row>
    <row r="66" spans="1:41" x14ac:dyDescent="0.25">
      <c r="A66" s="270" t="s">
        <v>154</v>
      </c>
      <c r="B66" s="270" t="s">
        <v>155</v>
      </c>
      <c r="C66" s="270" t="s">
        <v>265</v>
      </c>
      <c r="D66" s="270">
        <v>1</v>
      </c>
      <c r="E66" s="616">
        <f t="shared" si="55"/>
        <v>14785</v>
      </c>
      <c r="F66" s="617">
        <f t="shared" si="56"/>
        <v>12646</v>
      </c>
      <c r="G66" s="617">
        <f t="shared" si="57"/>
        <v>1966</v>
      </c>
      <c r="H66" s="617">
        <f t="shared" si="58"/>
        <v>97</v>
      </c>
      <c r="I66" s="617">
        <f t="shared" si="59"/>
        <v>76</v>
      </c>
      <c r="J66" s="618">
        <f t="shared" si="60"/>
        <v>173</v>
      </c>
      <c r="K66" s="271">
        <f t="shared" si="61"/>
        <v>2766</v>
      </c>
      <c r="L66" s="617">
        <v>2288</v>
      </c>
      <c r="M66" s="617">
        <v>433</v>
      </c>
      <c r="N66" s="617">
        <v>25</v>
      </c>
      <c r="O66" s="617">
        <v>20</v>
      </c>
      <c r="P66" s="617">
        <f t="shared" si="62"/>
        <v>45</v>
      </c>
      <c r="Q66" s="616">
        <f t="shared" si="63"/>
        <v>8386</v>
      </c>
      <c r="R66" s="617">
        <v>7175</v>
      </c>
      <c r="S66" s="617">
        <v>1099</v>
      </c>
      <c r="T66" s="617">
        <v>59</v>
      </c>
      <c r="U66" s="617">
        <v>53</v>
      </c>
      <c r="V66" s="618">
        <f t="shared" si="64"/>
        <v>112</v>
      </c>
      <c r="W66" s="616">
        <f t="shared" si="65"/>
        <v>3633</v>
      </c>
      <c r="X66" s="617">
        <v>3183</v>
      </c>
      <c r="Y66" s="617">
        <v>434</v>
      </c>
      <c r="Z66" s="617">
        <v>13</v>
      </c>
      <c r="AA66" s="617">
        <v>3</v>
      </c>
      <c r="AB66" s="618">
        <f t="shared" si="66"/>
        <v>16</v>
      </c>
      <c r="AC66" s="624">
        <f t="shared" si="67"/>
        <v>0.85532634426783904</v>
      </c>
      <c r="AD66" s="625">
        <f t="shared" si="68"/>
        <v>0.13297260737233682</v>
      </c>
      <c r="AE66" s="625">
        <f t="shared" si="69"/>
        <v>6.5607034156239434E-3</v>
      </c>
      <c r="AF66" s="625">
        <f t="shared" si="70"/>
        <v>5.1403449442002031E-3</v>
      </c>
      <c r="AG66" s="626">
        <f t="shared" si="71"/>
        <v>1.1701048359824147E-2</v>
      </c>
      <c r="AH66" s="624">
        <f t="shared" si="72"/>
        <v>0.18708150152181266</v>
      </c>
      <c r="AI66" s="625">
        <f t="shared" si="73"/>
        <v>0.5671964829218803</v>
      </c>
      <c r="AJ66" s="626">
        <f t="shared" si="74"/>
        <v>0.24572201555630707</v>
      </c>
      <c r="AK66" s="616">
        <f t="shared" si="75"/>
        <v>548</v>
      </c>
      <c r="AL66" s="617">
        <v>201</v>
      </c>
      <c r="AM66" s="617">
        <v>313</v>
      </c>
      <c r="AN66" s="618">
        <v>34</v>
      </c>
      <c r="AO66" s="272">
        <f t="shared" si="76"/>
        <v>3.7064592492390934E-2</v>
      </c>
    </row>
    <row r="67" spans="1:41" x14ac:dyDescent="0.25">
      <c r="A67" s="270" t="s">
        <v>156</v>
      </c>
      <c r="B67" s="270" t="s">
        <v>157</v>
      </c>
      <c r="C67" s="270" t="s">
        <v>266</v>
      </c>
      <c r="D67" s="270">
        <v>1</v>
      </c>
      <c r="E67" s="616">
        <f t="shared" si="55"/>
        <v>20392</v>
      </c>
      <c r="F67" s="617">
        <f t="shared" si="56"/>
        <v>16985</v>
      </c>
      <c r="G67" s="617">
        <f t="shared" si="57"/>
        <v>2895</v>
      </c>
      <c r="H67" s="617">
        <f t="shared" si="58"/>
        <v>295</v>
      </c>
      <c r="I67" s="617">
        <f t="shared" si="59"/>
        <v>217</v>
      </c>
      <c r="J67" s="618">
        <f t="shared" si="60"/>
        <v>512</v>
      </c>
      <c r="K67" s="271">
        <f t="shared" si="61"/>
        <v>4203</v>
      </c>
      <c r="L67" s="617">
        <v>3520</v>
      </c>
      <c r="M67" s="617">
        <v>553</v>
      </c>
      <c r="N67" s="617">
        <v>89</v>
      </c>
      <c r="O67" s="617">
        <v>41</v>
      </c>
      <c r="P67" s="617">
        <f t="shared" si="62"/>
        <v>130</v>
      </c>
      <c r="Q67" s="616">
        <f t="shared" si="63"/>
        <v>12983</v>
      </c>
      <c r="R67" s="617">
        <v>10797</v>
      </c>
      <c r="S67" s="617">
        <v>1871</v>
      </c>
      <c r="T67" s="617">
        <v>171</v>
      </c>
      <c r="U67" s="617">
        <v>144</v>
      </c>
      <c r="V67" s="618">
        <f t="shared" si="64"/>
        <v>315</v>
      </c>
      <c r="W67" s="616">
        <f t="shared" si="65"/>
        <v>3206</v>
      </c>
      <c r="X67" s="617">
        <v>2668</v>
      </c>
      <c r="Y67" s="617">
        <v>471</v>
      </c>
      <c r="Z67" s="617">
        <v>35</v>
      </c>
      <c r="AA67" s="617">
        <v>32</v>
      </c>
      <c r="AB67" s="618">
        <f t="shared" si="66"/>
        <v>67</v>
      </c>
      <c r="AC67" s="624">
        <f t="shared" si="67"/>
        <v>0.83292467634366418</v>
      </c>
      <c r="AD67" s="625">
        <f t="shared" si="68"/>
        <v>0.14196743821106317</v>
      </c>
      <c r="AE67" s="625">
        <f t="shared" si="69"/>
        <v>1.4466457434287957E-2</v>
      </c>
      <c r="AF67" s="625">
        <f t="shared" si="70"/>
        <v>1.0641428010984701E-2</v>
      </c>
      <c r="AG67" s="626">
        <f t="shared" si="71"/>
        <v>2.5107885445272655E-2</v>
      </c>
      <c r="AH67" s="624">
        <f t="shared" si="72"/>
        <v>0.20611023930953315</v>
      </c>
      <c r="AI67" s="625">
        <f t="shared" si="73"/>
        <v>0.63667124362495098</v>
      </c>
      <c r="AJ67" s="626">
        <f t="shared" si="74"/>
        <v>0.1572185170655159</v>
      </c>
      <c r="AK67" s="616">
        <f t="shared" si="75"/>
        <v>527</v>
      </c>
      <c r="AL67" s="617">
        <v>156</v>
      </c>
      <c r="AM67" s="617">
        <v>340</v>
      </c>
      <c r="AN67" s="618">
        <v>31</v>
      </c>
      <c r="AO67" s="272">
        <f t="shared" si="76"/>
        <v>2.5843468026677127E-2</v>
      </c>
    </row>
    <row r="68" spans="1:41" x14ac:dyDescent="0.25">
      <c r="A68" s="270" t="s">
        <v>162</v>
      </c>
      <c r="B68" s="270" t="s">
        <v>163</v>
      </c>
      <c r="C68" s="270" t="s">
        <v>264</v>
      </c>
      <c r="D68" s="270">
        <v>2</v>
      </c>
      <c r="E68" s="616">
        <f t="shared" si="55"/>
        <v>12155</v>
      </c>
      <c r="F68" s="617">
        <f t="shared" si="56"/>
        <v>7576</v>
      </c>
      <c r="G68" s="617">
        <f t="shared" si="57"/>
        <v>4398</v>
      </c>
      <c r="H68" s="617">
        <f t="shared" si="58"/>
        <v>135</v>
      </c>
      <c r="I68" s="617">
        <f t="shared" si="59"/>
        <v>46</v>
      </c>
      <c r="J68" s="618">
        <f t="shared" si="60"/>
        <v>181</v>
      </c>
      <c r="K68" s="271">
        <f t="shared" si="61"/>
        <v>2447</v>
      </c>
      <c r="L68" s="617">
        <v>1412</v>
      </c>
      <c r="M68" s="617">
        <v>994</v>
      </c>
      <c r="N68" s="617">
        <v>32</v>
      </c>
      <c r="O68" s="617">
        <v>9</v>
      </c>
      <c r="P68" s="617">
        <f t="shared" si="62"/>
        <v>41</v>
      </c>
      <c r="Q68" s="616">
        <f t="shared" si="63"/>
        <v>6681</v>
      </c>
      <c r="R68" s="617">
        <v>4049</v>
      </c>
      <c r="S68" s="617">
        <v>2516</v>
      </c>
      <c r="T68" s="617">
        <v>87</v>
      </c>
      <c r="U68" s="617">
        <v>29</v>
      </c>
      <c r="V68" s="618">
        <f t="shared" si="64"/>
        <v>116</v>
      </c>
      <c r="W68" s="616">
        <f t="shared" si="65"/>
        <v>3027</v>
      </c>
      <c r="X68" s="617">
        <v>2115</v>
      </c>
      <c r="Y68" s="617">
        <v>888</v>
      </c>
      <c r="Z68" s="617">
        <v>16</v>
      </c>
      <c r="AA68" s="617">
        <v>8</v>
      </c>
      <c r="AB68" s="618">
        <f t="shared" si="66"/>
        <v>24</v>
      </c>
      <c r="AC68" s="624">
        <f t="shared" si="67"/>
        <v>0.623282599753188</v>
      </c>
      <c r="AD68" s="625">
        <f t="shared" si="68"/>
        <v>0.36182640888523243</v>
      </c>
      <c r="AE68" s="625">
        <f t="shared" si="69"/>
        <v>1.1106540518305225E-2</v>
      </c>
      <c r="AF68" s="625">
        <f t="shared" si="70"/>
        <v>3.7844508432743726E-3</v>
      </c>
      <c r="AG68" s="626">
        <f t="shared" si="71"/>
        <v>1.4890991361579597E-2</v>
      </c>
      <c r="AH68" s="624">
        <f t="shared" si="72"/>
        <v>0.20131633072809543</v>
      </c>
      <c r="AI68" s="625">
        <f t="shared" si="73"/>
        <v>0.54965034965034965</v>
      </c>
      <c r="AJ68" s="626">
        <f t="shared" si="74"/>
        <v>0.24903331962155492</v>
      </c>
      <c r="AK68" s="616">
        <f t="shared" si="75"/>
        <v>1029</v>
      </c>
      <c r="AL68" s="617">
        <v>441</v>
      </c>
      <c r="AM68" s="617">
        <v>543</v>
      </c>
      <c r="AN68" s="618">
        <v>45</v>
      </c>
      <c r="AO68" s="272">
        <f t="shared" si="76"/>
        <v>8.4656519950637596E-2</v>
      </c>
    </row>
    <row r="69" spans="1:41" x14ac:dyDescent="0.25">
      <c r="A69" s="270" t="s">
        <v>164</v>
      </c>
      <c r="B69" s="270" t="s">
        <v>165</v>
      </c>
      <c r="C69" s="270" t="s">
        <v>266</v>
      </c>
      <c r="D69" s="270">
        <v>1</v>
      </c>
      <c r="E69" s="616">
        <f t="shared" si="55"/>
        <v>12232</v>
      </c>
      <c r="F69" s="617">
        <f t="shared" si="56"/>
        <v>9044</v>
      </c>
      <c r="G69" s="617">
        <f t="shared" si="57"/>
        <v>3085</v>
      </c>
      <c r="H69" s="617">
        <f t="shared" si="58"/>
        <v>72</v>
      </c>
      <c r="I69" s="617">
        <f t="shared" si="59"/>
        <v>31</v>
      </c>
      <c r="J69" s="618">
        <f t="shared" si="60"/>
        <v>103</v>
      </c>
      <c r="K69" s="271">
        <f t="shared" si="61"/>
        <v>1898</v>
      </c>
      <c r="L69" s="617">
        <v>1160</v>
      </c>
      <c r="M69" s="617">
        <v>720</v>
      </c>
      <c r="N69" s="617">
        <v>13</v>
      </c>
      <c r="O69" s="617">
        <v>5</v>
      </c>
      <c r="P69" s="617">
        <f t="shared" si="62"/>
        <v>18</v>
      </c>
      <c r="Q69" s="616">
        <f t="shared" si="63"/>
        <v>6062</v>
      </c>
      <c r="R69" s="617">
        <v>4252</v>
      </c>
      <c r="S69" s="617">
        <v>1752</v>
      </c>
      <c r="T69" s="617">
        <v>39</v>
      </c>
      <c r="U69" s="617">
        <v>19</v>
      </c>
      <c r="V69" s="618">
        <f t="shared" si="64"/>
        <v>58</v>
      </c>
      <c r="W69" s="616">
        <f t="shared" si="65"/>
        <v>4272</v>
      </c>
      <c r="X69" s="617">
        <v>3632</v>
      </c>
      <c r="Y69" s="617">
        <v>613</v>
      </c>
      <c r="Z69" s="617">
        <v>20</v>
      </c>
      <c r="AA69" s="617">
        <v>7</v>
      </c>
      <c r="AB69" s="618">
        <f t="shared" si="66"/>
        <v>27</v>
      </c>
      <c r="AC69" s="624">
        <f t="shared" si="67"/>
        <v>0.73937213865271423</v>
      </c>
      <c r="AD69" s="625">
        <f t="shared" si="68"/>
        <v>0.25220732504905169</v>
      </c>
      <c r="AE69" s="625">
        <f t="shared" si="69"/>
        <v>5.8862001308044474E-3</v>
      </c>
      <c r="AF69" s="625">
        <f t="shared" si="70"/>
        <v>2.5343361674296928E-3</v>
      </c>
      <c r="AG69" s="626">
        <f t="shared" si="71"/>
        <v>8.4205362982341398E-3</v>
      </c>
      <c r="AH69" s="624">
        <f t="shared" si="72"/>
        <v>0.15516677567037279</v>
      </c>
      <c r="AI69" s="625">
        <f t="shared" si="73"/>
        <v>0.49558534990189668</v>
      </c>
      <c r="AJ69" s="626">
        <f t="shared" si="74"/>
        <v>0.34924787442773053</v>
      </c>
      <c r="AK69" s="616">
        <f t="shared" si="75"/>
        <v>444</v>
      </c>
      <c r="AL69" s="617">
        <v>113</v>
      </c>
      <c r="AM69" s="617">
        <v>297</v>
      </c>
      <c r="AN69" s="618">
        <v>34</v>
      </c>
      <c r="AO69" s="272">
        <f t="shared" si="76"/>
        <v>3.6298234139960757E-2</v>
      </c>
    </row>
    <row r="70" spans="1:41" x14ac:dyDescent="0.25">
      <c r="A70" s="270" t="s">
        <v>168</v>
      </c>
      <c r="B70" s="270" t="s">
        <v>169</v>
      </c>
      <c r="C70" s="270" t="s">
        <v>266</v>
      </c>
      <c r="D70" s="270">
        <v>1</v>
      </c>
      <c r="E70" s="616">
        <f t="shared" ref="E70:E101" si="77">SUM(F70:I70)</f>
        <v>15673</v>
      </c>
      <c r="F70" s="617">
        <f t="shared" ref="F70:F101" si="78">L70+R70+X70</f>
        <v>9079</v>
      </c>
      <c r="G70" s="617">
        <f t="shared" ref="G70:G101" si="79">M70+S70+Y70</f>
        <v>6383</v>
      </c>
      <c r="H70" s="617">
        <f t="shared" ref="H70:H101" si="80">N70+T70+Z70</f>
        <v>96</v>
      </c>
      <c r="I70" s="617">
        <f t="shared" ref="I70:I101" si="81">O70+U70+AA70</f>
        <v>115</v>
      </c>
      <c r="J70" s="618">
        <f t="shared" ref="J70:J101" si="82">H70+I70</f>
        <v>211</v>
      </c>
      <c r="K70" s="271">
        <f t="shared" ref="K70:K101" si="83">SUM(L70:O70)</f>
        <v>3122</v>
      </c>
      <c r="L70" s="617">
        <v>1794</v>
      </c>
      <c r="M70" s="617">
        <v>1274</v>
      </c>
      <c r="N70" s="617">
        <v>23</v>
      </c>
      <c r="O70" s="617">
        <v>31</v>
      </c>
      <c r="P70" s="617">
        <f t="shared" ref="P70:P101" si="84">N70+O70</f>
        <v>54</v>
      </c>
      <c r="Q70" s="616">
        <f t="shared" ref="Q70:Q101" si="85">SUM(R70:U70)</f>
        <v>9630</v>
      </c>
      <c r="R70" s="617">
        <v>5407</v>
      </c>
      <c r="S70" s="617">
        <v>4078</v>
      </c>
      <c r="T70" s="617">
        <v>67</v>
      </c>
      <c r="U70" s="617">
        <v>78</v>
      </c>
      <c r="V70" s="618">
        <f t="shared" ref="V70:V101" si="86">T70+U70</f>
        <v>145</v>
      </c>
      <c r="W70" s="616">
        <f t="shared" ref="W70:W101" si="87">SUM(X70:AA70)</f>
        <v>2921</v>
      </c>
      <c r="X70" s="617">
        <v>1878</v>
      </c>
      <c r="Y70" s="617">
        <v>1031</v>
      </c>
      <c r="Z70" s="617">
        <v>6</v>
      </c>
      <c r="AA70" s="617">
        <v>6</v>
      </c>
      <c r="AB70" s="618">
        <f t="shared" ref="AB70:AB101" si="88">Z70+AA70</f>
        <v>12</v>
      </c>
      <c r="AC70" s="624">
        <f t="shared" ref="AC70:AC101" si="89">F70/E70</f>
        <v>0.57927646270656541</v>
      </c>
      <c r="AD70" s="625">
        <f t="shared" ref="AD70:AD101" si="90">G70/E70</f>
        <v>0.40726089453199771</v>
      </c>
      <c r="AE70" s="625">
        <f t="shared" ref="AE70:AE101" si="91">H70/E70</f>
        <v>6.1251834364831241E-3</v>
      </c>
      <c r="AF70" s="625">
        <f t="shared" ref="AF70:AF101" si="92">I70/E70</f>
        <v>7.337459324953742E-3</v>
      </c>
      <c r="AG70" s="626">
        <f t="shared" ref="AG70:AG101" si="93">J70/E70</f>
        <v>1.3462642761436865E-2</v>
      </c>
      <c r="AH70" s="624">
        <f t="shared" ref="AH70:AH101" si="94">K70/E70</f>
        <v>0.19919606967396158</v>
      </c>
      <c r="AI70" s="625">
        <f t="shared" ref="AI70:AI101" si="95">Q70/E70</f>
        <v>0.61443246347221336</v>
      </c>
      <c r="AJ70" s="626">
        <f t="shared" ref="AJ70:AJ101" si="96">W70/E70</f>
        <v>0.18637146685382505</v>
      </c>
      <c r="AK70" s="616">
        <f t="shared" ref="AK70:AK101" si="97">SUM(AL70:AN70)</f>
        <v>622</v>
      </c>
      <c r="AL70" s="617">
        <v>208</v>
      </c>
      <c r="AM70" s="617">
        <v>388</v>
      </c>
      <c r="AN70" s="618">
        <v>26</v>
      </c>
      <c r="AO70" s="272">
        <f t="shared" ref="AO70:AO101" si="98">AK70/E70</f>
        <v>3.9686084348880241E-2</v>
      </c>
    </row>
    <row r="71" spans="1:41" x14ac:dyDescent="0.25">
      <c r="A71" s="270" t="s">
        <v>170</v>
      </c>
      <c r="B71" s="270" t="s">
        <v>171</v>
      </c>
      <c r="C71" s="270" t="s">
        <v>267</v>
      </c>
      <c r="D71" s="270">
        <v>2</v>
      </c>
      <c r="E71" s="616">
        <f t="shared" si="77"/>
        <v>35385</v>
      </c>
      <c r="F71" s="617">
        <f t="shared" si="78"/>
        <v>29642</v>
      </c>
      <c r="G71" s="617">
        <f t="shared" si="79"/>
        <v>5069</v>
      </c>
      <c r="H71" s="617">
        <f t="shared" si="80"/>
        <v>513</v>
      </c>
      <c r="I71" s="617">
        <f t="shared" si="81"/>
        <v>161</v>
      </c>
      <c r="J71" s="618">
        <f t="shared" si="82"/>
        <v>674</v>
      </c>
      <c r="K71" s="271">
        <f t="shared" si="83"/>
        <v>7687</v>
      </c>
      <c r="L71" s="617">
        <v>6278</v>
      </c>
      <c r="M71" s="617">
        <v>1249</v>
      </c>
      <c r="N71" s="617">
        <v>129</v>
      </c>
      <c r="O71" s="617">
        <v>31</v>
      </c>
      <c r="P71" s="617">
        <f t="shared" si="84"/>
        <v>160</v>
      </c>
      <c r="Q71" s="616">
        <f t="shared" si="85"/>
        <v>20623</v>
      </c>
      <c r="R71" s="617">
        <v>17057</v>
      </c>
      <c r="S71" s="617">
        <v>3133</v>
      </c>
      <c r="T71" s="617">
        <v>320</v>
      </c>
      <c r="U71" s="617">
        <v>113</v>
      </c>
      <c r="V71" s="618">
        <f t="shared" si="86"/>
        <v>433</v>
      </c>
      <c r="W71" s="616">
        <f t="shared" si="87"/>
        <v>7075</v>
      </c>
      <c r="X71" s="617">
        <v>6307</v>
      </c>
      <c r="Y71" s="617">
        <v>687</v>
      </c>
      <c r="Z71" s="617">
        <v>64</v>
      </c>
      <c r="AA71" s="617">
        <v>17</v>
      </c>
      <c r="AB71" s="618">
        <f t="shared" si="88"/>
        <v>81</v>
      </c>
      <c r="AC71" s="624">
        <f t="shared" si="89"/>
        <v>0.83769959022184537</v>
      </c>
      <c r="AD71" s="625">
        <f t="shared" si="90"/>
        <v>0.14325279073053554</v>
      </c>
      <c r="AE71" s="625">
        <f t="shared" si="91"/>
        <v>1.4497668503603222E-2</v>
      </c>
      <c r="AF71" s="625">
        <f t="shared" si="92"/>
        <v>4.549950544015826E-3</v>
      </c>
      <c r="AG71" s="626">
        <f t="shared" si="93"/>
        <v>1.9047619047619049E-2</v>
      </c>
      <c r="AH71" s="624">
        <f t="shared" si="94"/>
        <v>0.2172389430549668</v>
      </c>
      <c r="AI71" s="625">
        <f t="shared" si="95"/>
        <v>0.58281757806980361</v>
      </c>
      <c r="AJ71" s="626">
        <f t="shared" si="96"/>
        <v>0.19994347887522962</v>
      </c>
      <c r="AK71" s="616">
        <f t="shared" si="97"/>
        <v>1587</v>
      </c>
      <c r="AL71" s="617">
        <v>590</v>
      </c>
      <c r="AM71" s="617">
        <v>916</v>
      </c>
      <c r="AN71" s="618">
        <v>81</v>
      </c>
      <c r="AO71" s="272">
        <f t="shared" si="98"/>
        <v>4.4849512505298852E-2</v>
      </c>
    </row>
    <row r="72" spans="1:41" x14ac:dyDescent="0.25">
      <c r="A72" s="270" t="s">
        <v>172</v>
      </c>
      <c r="B72" s="270" t="s">
        <v>173</v>
      </c>
      <c r="C72" s="270" t="s">
        <v>267</v>
      </c>
      <c r="D72" s="270">
        <v>2</v>
      </c>
      <c r="E72" s="616">
        <f t="shared" si="77"/>
        <v>23726</v>
      </c>
      <c r="F72" s="617">
        <f t="shared" si="78"/>
        <v>22937</v>
      </c>
      <c r="G72" s="617">
        <f t="shared" si="79"/>
        <v>606</v>
      </c>
      <c r="H72" s="617">
        <f t="shared" si="80"/>
        <v>128</v>
      </c>
      <c r="I72" s="617">
        <f t="shared" si="81"/>
        <v>55</v>
      </c>
      <c r="J72" s="618">
        <f t="shared" si="82"/>
        <v>183</v>
      </c>
      <c r="K72" s="271">
        <f t="shared" si="83"/>
        <v>4791</v>
      </c>
      <c r="L72" s="617">
        <v>4578</v>
      </c>
      <c r="M72" s="617">
        <v>179</v>
      </c>
      <c r="N72" s="617">
        <v>25</v>
      </c>
      <c r="O72" s="617">
        <v>9</v>
      </c>
      <c r="P72" s="617">
        <f t="shared" si="84"/>
        <v>34</v>
      </c>
      <c r="Q72" s="616">
        <f t="shared" si="85"/>
        <v>14113</v>
      </c>
      <c r="R72" s="617">
        <v>13661</v>
      </c>
      <c r="S72" s="617">
        <v>323</v>
      </c>
      <c r="T72" s="617">
        <v>90</v>
      </c>
      <c r="U72" s="617">
        <v>39</v>
      </c>
      <c r="V72" s="618">
        <f t="shared" si="86"/>
        <v>129</v>
      </c>
      <c r="W72" s="616">
        <f t="shared" si="87"/>
        <v>4822</v>
      </c>
      <c r="X72" s="617">
        <v>4698</v>
      </c>
      <c r="Y72" s="617">
        <v>104</v>
      </c>
      <c r="Z72" s="617">
        <v>13</v>
      </c>
      <c r="AA72" s="617">
        <v>7</v>
      </c>
      <c r="AB72" s="618">
        <f t="shared" si="88"/>
        <v>20</v>
      </c>
      <c r="AC72" s="624">
        <f t="shared" si="89"/>
        <v>0.96674534266205847</v>
      </c>
      <c r="AD72" s="625">
        <f t="shared" si="90"/>
        <v>2.5541599932563431E-2</v>
      </c>
      <c r="AE72" s="625">
        <f t="shared" si="91"/>
        <v>5.3949253982972269E-3</v>
      </c>
      <c r="AF72" s="625">
        <f t="shared" si="92"/>
        <v>2.3181320070808395E-3</v>
      </c>
      <c r="AG72" s="626">
        <f t="shared" si="93"/>
        <v>7.7130574053780659E-3</v>
      </c>
      <c r="AH72" s="624">
        <f t="shared" si="94"/>
        <v>0.20193037174407821</v>
      </c>
      <c r="AI72" s="625">
        <f t="shared" si="95"/>
        <v>0.59483267301694343</v>
      </c>
      <c r="AJ72" s="626">
        <f t="shared" si="96"/>
        <v>0.20323695523897833</v>
      </c>
      <c r="AK72" s="616">
        <f t="shared" si="97"/>
        <v>452</v>
      </c>
      <c r="AL72" s="617">
        <v>166</v>
      </c>
      <c r="AM72" s="617">
        <v>252</v>
      </c>
      <c r="AN72" s="618">
        <v>34</v>
      </c>
      <c r="AO72" s="272">
        <f t="shared" si="98"/>
        <v>1.9050830312737081E-2</v>
      </c>
    </row>
    <row r="73" spans="1:41" x14ac:dyDescent="0.25">
      <c r="A73" s="270" t="s">
        <v>174</v>
      </c>
      <c r="B73" s="270" t="s">
        <v>175</v>
      </c>
      <c r="C73" s="270" t="s">
        <v>268</v>
      </c>
      <c r="D73" s="270">
        <v>2</v>
      </c>
      <c r="E73" s="616">
        <f t="shared" si="77"/>
        <v>18045</v>
      </c>
      <c r="F73" s="617">
        <f t="shared" si="78"/>
        <v>16794</v>
      </c>
      <c r="G73" s="617">
        <f t="shared" si="79"/>
        <v>1100</v>
      </c>
      <c r="H73" s="617">
        <f t="shared" si="80"/>
        <v>70</v>
      </c>
      <c r="I73" s="617">
        <f t="shared" si="81"/>
        <v>81</v>
      </c>
      <c r="J73" s="618">
        <f t="shared" si="82"/>
        <v>151</v>
      </c>
      <c r="K73" s="271">
        <f t="shared" si="83"/>
        <v>3238</v>
      </c>
      <c r="L73" s="617">
        <v>2963</v>
      </c>
      <c r="M73" s="617">
        <v>241</v>
      </c>
      <c r="N73" s="617">
        <v>18</v>
      </c>
      <c r="O73" s="617">
        <v>16</v>
      </c>
      <c r="P73" s="617">
        <f t="shared" si="84"/>
        <v>34</v>
      </c>
      <c r="Q73" s="616">
        <f t="shared" si="85"/>
        <v>10329</v>
      </c>
      <c r="R73" s="617">
        <v>9587</v>
      </c>
      <c r="S73" s="617">
        <v>655</v>
      </c>
      <c r="T73" s="617">
        <v>37</v>
      </c>
      <c r="U73" s="617">
        <v>50</v>
      </c>
      <c r="V73" s="618">
        <f t="shared" si="86"/>
        <v>87</v>
      </c>
      <c r="W73" s="616">
        <f t="shared" si="87"/>
        <v>4478</v>
      </c>
      <c r="X73" s="617">
        <v>4244</v>
      </c>
      <c r="Y73" s="617">
        <v>204</v>
      </c>
      <c r="Z73" s="617">
        <v>15</v>
      </c>
      <c r="AA73" s="617">
        <v>15</v>
      </c>
      <c r="AB73" s="618">
        <f t="shared" si="88"/>
        <v>30</v>
      </c>
      <c r="AC73" s="624">
        <f t="shared" si="89"/>
        <v>0.93067331670822939</v>
      </c>
      <c r="AD73" s="625">
        <f t="shared" si="90"/>
        <v>6.0958714325297869E-2</v>
      </c>
      <c r="AE73" s="625">
        <f t="shared" si="91"/>
        <v>3.8791909116098642E-3</v>
      </c>
      <c r="AF73" s="625">
        <f t="shared" si="92"/>
        <v>4.4887780548628431E-3</v>
      </c>
      <c r="AG73" s="626">
        <f t="shared" si="93"/>
        <v>8.3679689664727074E-3</v>
      </c>
      <c r="AH73" s="624">
        <f t="shared" si="94"/>
        <v>0.17944028816846772</v>
      </c>
      <c r="AI73" s="625">
        <f t="shared" si="95"/>
        <v>0.572402327514547</v>
      </c>
      <c r="AJ73" s="626">
        <f t="shared" si="96"/>
        <v>0.24815738431698531</v>
      </c>
      <c r="AK73" s="616">
        <f t="shared" si="97"/>
        <v>530</v>
      </c>
      <c r="AL73" s="617">
        <v>197</v>
      </c>
      <c r="AM73" s="617">
        <v>299</v>
      </c>
      <c r="AN73" s="618">
        <v>34</v>
      </c>
      <c r="AO73" s="272">
        <f t="shared" si="98"/>
        <v>2.9371016902188973E-2</v>
      </c>
    </row>
    <row r="74" spans="1:41" x14ac:dyDescent="0.25">
      <c r="A74" s="270" t="s">
        <v>178</v>
      </c>
      <c r="B74" s="270" t="s">
        <v>179</v>
      </c>
      <c r="C74" s="270" t="s">
        <v>265</v>
      </c>
      <c r="D74" s="270">
        <v>2</v>
      </c>
      <c r="E74" s="616">
        <f t="shared" si="77"/>
        <v>62194</v>
      </c>
      <c r="F74" s="617">
        <f t="shared" si="78"/>
        <v>47942</v>
      </c>
      <c r="G74" s="617">
        <f t="shared" si="79"/>
        <v>13750</v>
      </c>
      <c r="H74" s="617">
        <f t="shared" si="80"/>
        <v>331</v>
      </c>
      <c r="I74" s="617">
        <f t="shared" si="81"/>
        <v>171</v>
      </c>
      <c r="J74" s="618">
        <f t="shared" si="82"/>
        <v>502</v>
      </c>
      <c r="K74" s="271">
        <f t="shared" si="83"/>
        <v>12368</v>
      </c>
      <c r="L74" s="617">
        <v>9510</v>
      </c>
      <c r="M74" s="617">
        <v>2735</v>
      </c>
      <c r="N74" s="617">
        <v>84</v>
      </c>
      <c r="O74" s="617">
        <v>39</v>
      </c>
      <c r="P74" s="617">
        <f t="shared" si="84"/>
        <v>123</v>
      </c>
      <c r="Q74" s="616">
        <f t="shared" si="85"/>
        <v>37045</v>
      </c>
      <c r="R74" s="617">
        <v>28380</v>
      </c>
      <c r="S74" s="617">
        <v>8340</v>
      </c>
      <c r="T74" s="617">
        <v>215</v>
      </c>
      <c r="U74" s="617">
        <v>110</v>
      </c>
      <c r="V74" s="618">
        <f t="shared" si="86"/>
        <v>325</v>
      </c>
      <c r="W74" s="616">
        <f t="shared" si="87"/>
        <v>12781</v>
      </c>
      <c r="X74" s="617">
        <v>10052</v>
      </c>
      <c r="Y74" s="617">
        <v>2675</v>
      </c>
      <c r="Z74" s="617">
        <v>32</v>
      </c>
      <c r="AA74" s="617">
        <v>22</v>
      </c>
      <c r="AB74" s="618">
        <f t="shared" si="88"/>
        <v>54</v>
      </c>
      <c r="AC74" s="624">
        <f t="shared" si="89"/>
        <v>0.77084606232112418</v>
      </c>
      <c r="AD74" s="625">
        <f t="shared" si="90"/>
        <v>0.2210824195259993</v>
      </c>
      <c r="AE74" s="625">
        <f t="shared" si="91"/>
        <v>5.3220567900440557E-3</v>
      </c>
      <c r="AF74" s="625">
        <f t="shared" si="92"/>
        <v>2.7494613628324277E-3</v>
      </c>
      <c r="AG74" s="626">
        <f t="shared" si="93"/>
        <v>8.0715181528764838E-3</v>
      </c>
      <c r="AH74" s="624">
        <f t="shared" si="94"/>
        <v>0.19886162652345885</v>
      </c>
      <c r="AI74" s="625">
        <f t="shared" si="95"/>
        <v>0.59563623500659224</v>
      </c>
      <c r="AJ74" s="626">
        <f t="shared" si="96"/>
        <v>0.20550213846994886</v>
      </c>
      <c r="AK74" s="616">
        <f t="shared" si="97"/>
        <v>1548</v>
      </c>
      <c r="AL74" s="617">
        <v>565</v>
      </c>
      <c r="AM74" s="617">
        <v>895</v>
      </c>
      <c r="AN74" s="618">
        <v>88</v>
      </c>
      <c r="AO74" s="272">
        <f t="shared" si="98"/>
        <v>2.4889860758272504E-2</v>
      </c>
    </row>
    <row r="75" spans="1:41" x14ac:dyDescent="0.25">
      <c r="A75" s="270" t="s">
        <v>182</v>
      </c>
      <c r="B75" s="270" t="s">
        <v>183</v>
      </c>
      <c r="C75" s="270" t="s">
        <v>266</v>
      </c>
      <c r="D75" s="270">
        <v>1</v>
      </c>
      <c r="E75" s="616">
        <f t="shared" si="77"/>
        <v>28031</v>
      </c>
      <c r="F75" s="617">
        <f t="shared" si="78"/>
        <v>24483</v>
      </c>
      <c r="G75" s="617">
        <f t="shared" si="79"/>
        <v>3245</v>
      </c>
      <c r="H75" s="617">
        <f t="shared" si="80"/>
        <v>204</v>
      </c>
      <c r="I75" s="617">
        <f t="shared" si="81"/>
        <v>99</v>
      </c>
      <c r="J75" s="618">
        <f t="shared" si="82"/>
        <v>303</v>
      </c>
      <c r="K75" s="271">
        <f t="shared" si="83"/>
        <v>5402</v>
      </c>
      <c r="L75" s="617">
        <v>4757</v>
      </c>
      <c r="M75" s="617">
        <v>577</v>
      </c>
      <c r="N75" s="617">
        <v>51</v>
      </c>
      <c r="O75" s="617">
        <v>17</v>
      </c>
      <c r="P75" s="617">
        <f t="shared" si="84"/>
        <v>68</v>
      </c>
      <c r="Q75" s="616">
        <f t="shared" si="85"/>
        <v>17930</v>
      </c>
      <c r="R75" s="617">
        <v>15598</v>
      </c>
      <c r="S75" s="617">
        <v>2132</v>
      </c>
      <c r="T75" s="617">
        <v>129</v>
      </c>
      <c r="U75" s="617">
        <v>71</v>
      </c>
      <c r="V75" s="618">
        <f t="shared" si="86"/>
        <v>200</v>
      </c>
      <c r="W75" s="616">
        <f t="shared" si="87"/>
        <v>4699</v>
      </c>
      <c r="X75" s="617">
        <v>4128</v>
      </c>
      <c r="Y75" s="617">
        <v>536</v>
      </c>
      <c r="Z75" s="617">
        <v>24</v>
      </c>
      <c r="AA75" s="617">
        <v>11</v>
      </c>
      <c r="AB75" s="618">
        <f t="shared" si="88"/>
        <v>35</v>
      </c>
      <c r="AC75" s="624">
        <f t="shared" si="89"/>
        <v>0.87342584995183903</v>
      </c>
      <c r="AD75" s="625">
        <f t="shared" si="90"/>
        <v>0.11576468909421711</v>
      </c>
      <c r="AE75" s="625">
        <f t="shared" si="91"/>
        <v>7.2776568798829863E-3</v>
      </c>
      <c r="AF75" s="625">
        <f t="shared" si="92"/>
        <v>3.5318040740608611E-3</v>
      </c>
      <c r="AG75" s="626">
        <f t="shared" si="93"/>
        <v>1.0809460953943847E-2</v>
      </c>
      <c r="AH75" s="624">
        <f t="shared" si="94"/>
        <v>0.19271520816239163</v>
      </c>
      <c r="AI75" s="625">
        <f t="shared" si="95"/>
        <v>0.63964896007991157</v>
      </c>
      <c r="AJ75" s="626">
        <f t="shared" si="96"/>
        <v>0.16763583175769683</v>
      </c>
      <c r="AK75" s="616">
        <f t="shared" si="97"/>
        <v>595</v>
      </c>
      <c r="AL75" s="617">
        <v>177</v>
      </c>
      <c r="AM75" s="617">
        <v>385</v>
      </c>
      <c r="AN75" s="618">
        <v>33</v>
      </c>
      <c r="AO75" s="272">
        <f t="shared" si="98"/>
        <v>2.1226499232992045E-2</v>
      </c>
    </row>
    <row r="76" spans="1:41" x14ac:dyDescent="0.25">
      <c r="A76" s="270" t="s">
        <v>184</v>
      </c>
      <c r="B76" s="270" t="s">
        <v>185</v>
      </c>
      <c r="C76" s="270" t="s">
        <v>266</v>
      </c>
      <c r="D76" s="270">
        <v>2</v>
      </c>
      <c r="E76" s="616">
        <f t="shared" si="77"/>
        <v>22952</v>
      </c>
      <c r="F76" s="617">
        <f t="shared" si="78"/>
        <v>14916</v>
      </c>
      <c r="G76" s="617">
        <f t="shared" si="79"/>
        <v>7625</v>
      </c>
      <c r="H76" s="617">
        <f t="shared" si="80"/>
        <v>330</v>
      </c>
      <c r="I76" s="617">
        <f t="shared" si="81"/>
        <v>81</v>
      </c>
      <c r="J76" s="618">
        <f t="shared" si="82"/>
        <v>411</v>
      </c>
      <c r="K76" s="271">
        <f t="shared" si="83"/>
        <v>3702</v>
      </c>
      <c r="L76" s="617">
        <v>1973</v>
      </c>
      <c r="M76" s="617">
        <v>1646</v>
      </c>
      <c r="N76" s="617">
        <v>74</v>
      </c>
      <c r="O76" s="617">
        <v>9</v>
      </c>
      <c r="P76" s="617">
        <f t="shared" si="84"/>
        <v>83</v>
      </c>
      <c r="Q76" s="616">
        <f t="shared" si="85"/>
        <v>15641</v>
      </c>
      <c r="R76" s="617">
        <v>10553</v>
      </c>
      <c r="S76" s="617">
        <v>4788</v>
      </c>
      <c r="T76" s="617">
        <v>239</v>
      </c>
      <c r="U76" s="617">
        <v>61</v>
      </c>
      <c r="V76" s="618">
        <f t="shared" si="86"/>
        <v>300</v>
      </c>
      <c r="W76" s="616">
        <f t="shared" si="87"/>
        <v>3609</v>
      </c>
      <c r="X76" s="617">
        <v>2390</v>
      </c>
      <c r="Y76" s="617">
        <v>1191</v>
      </c>
      <c r="Z76" s="617">
        <v>17</v>
      </c>
      <c r="AA76" s="617">
        <v>11</v>
      </c>
      <c r="AB76" s="618">
        <f t="shared" si="88"/>
        <v>28</v>
      </c>
      <c r="AC76" s="624">
        <f t="shared" si="89"/>
        <v>0.64987800627396308</v>
      </c>
      <c r="AD76" s="625">
        <f t="shared" si="90"/>
        <v>0.33221505751132802</v>
      </c>
      <c r="AE76" s="625">
        <f t="shared" si="91"/>
        <v>1.4377831997211573E-2</v>
      </c>
      <c r="AF76" s="625">
        <f t="shared" si="92"/>
        <v>3.5291042174973859E-3</v>
      </c>
      <c r="AG76" s="626">
        <f t="shared" si="93"/>
        <v>1.7906936214708957E-2</v>
      </c>
      <c r="AH76" s="624">
        <f t="shared" si="94"/>
        <v>0.16129313349599164</v>
      </c>
      <c r="AI76" s="625">
        <f t="shared" si="95"/>
        <v>0.68146566747995818</v>
      </c>
      <c r="AJ76" s="626">
        <f t="shared" si="96"/>
        <v>0.1572411990240502</v>
      </c>
      <c r="AK76" s="616">
        <f t="shared" si="97"/>
        <v>572</v>
      </c>
      <c r="AL76" s="617">
        <v>160</v>
      </c>
      <c r="AM76" s="617">
        <v>369</v>
      </c>
      <c r="AN76" s="618">
        <v>43</v>
      </c>
      <c r="AO76" s="272">
        <f t="shared" si="98"/>
        <v>2.4921575461833392E-2</v>
      </c>
    </row>
    <row r="77" spans="1:41" x14ac:dyDescent="0.25">
      <c r="A77" s="270" t="s">
        <v>186</v>
      </c>
      <c r="B77" s="270" t="s">
        <v>187</v>
      </c>
      <c r="C77" s="270" t="s">
        <v>264</v>
      </c>
      <c r="D77" s="270">
        <v>2</v>
      </c>
      <c r="E77" s="616">
        <f t="shared" si="77"/>
        <v>37862</v>
      </c>
      <c r="F77" s="617">
        <f t="shared" si="78"/>
        <v>23649</v>
      </c>
      <c r="G77" s="617">
        <f t="shared" si="79"/>
        <v>12853</v>
      </c>
      <c r="H77" s="617">
        <f t="shared" si="80"/>
        <v>1051</v>
      </c>
      <c r="I77" s="617">
        <f t="shared" si="81"/>
        <v>309</v>
      </c>
      <c r="J77" s="618">
        <f t="shared" si="82"/>
        <v>1360</v>
      </c>
      <c r="K77" s="271">
        <f t="shared" si="83"/>
        <v>8078</v>
      </c>
      <c r="L77" s="617">
        <v>5018</v>
      </c>
      <c r="M77" s="617">
        <v>2771</v>
      </c>
      <c r="N77" s="617">
        <v>216</v>
      </c>
      <c r="O77" s="617">
        <v>73</v>
      </c>
      <c r="P77" s="617">
        <f t="shared" si="84"/>
        <v>289</v>
      </c>
      <c r="Q77" s="616">
        <f t="shared" si="85"/>
        <v>24977</v>
      </c>
      <c r="R77" s="617">
        <v>15085</v>
      </c>
      <c r="S77" s="617">
        <v>8957</v>
      </c>
      <c r="T77" s="617">
        <v>714</v>
      </c>
      <c r="U77" s="617">
        <v>221</v>
      </c>
      <c r="V77" s="618">
        <f t="shared" si="86"/>
        <v>935</v>
      </c>
      <c r="W77" s="616">
        <f t="shared" si="87"/>
        <v>4807</v>
      </c>
      <c r="X77" s="617">
        <v>3546</v>
      </c>
      <c r="Y77" s="617">
        <v>1125</v>
      </c>
      <c r="Z77" s="617">
        <v>121</v>
      </c>
      <c r="AA77" s="617">
        <v>15</v>
      </c>
      <c r="AB77" s="618">
        <f t="shared" si="88"/>
        <v>136</v>
      </c>
      <c r="AC77" s="624">
        <f t="shared" si="89"/>
        <v>0.62461042734139771</v>
      </c>
      <c r="AD77" s="625">
        <f t="shared" si="90"/>
        <v>0.33946965295018755</v>
      </c>
      <c r="AE77" s="625">
        <f t="shared" si="91"/>
        <v>2.7758702657017589E-2</v>
      </c>
      <c r="AF77" s="625">
        <f t="shared" si="92"/>
        <v>8.16121705139718E-3</v>
      </c>
      <c r="AG77" s="626">
        <f t="shared" si="93"/>
        <v>3.5919919708414773E-2</v>
      </c>
      <c r="AH77" s="624">
        <f t="shared" si="94"/>
        <v>0.21335375838571655</v>
      </c>
      <c r="AI77" s="625">
        <f t="shared" si="95"/>
        <v>0.65968517246843805</v>
      </c>
      <c r="AJ77" s="626">
        <f t="shared" si="96"/>
        <v>0.12696106914584543</v>
      </c>
      <c r="AK77" s="616">
        <f t="shared" si="97"/>
        <v>2937</v>
      </c>
      <c r="AL77" s="617">
        <v>888</v>
      </c>
      <c r="AM77" s="617">
        <v>1964</v>
      </c>
      <c r="AN77" s="618">
        <v>85</v>
      </c>
      <c r="AO77" s="272">
        <f t="shared" si="98"/>
        <v>7.7571179546775129E-2</v>
      </c>
    </row>
    <row r="78" spans="1:41" x14ac:dyDescent="0.25">
      <c r="A78" s="270" t="s">
        <v>188</v>
      </c>
      <c r="B78" s="270" t="s">
        <v>189</v>
      </c>
      <c r="C78" s="270" t="s">
        <v>267</v>
      </c>
      <c r="D78" s="270">
        <v>3</v>
      </c>
      <c r="E78" s="616">
        <f t="shared" si="77"/>
        <v>451721</v>
      </c>
      <c r="F78" s="617">
        <f t="shared" si="78"/>
        <v>297124</v>
      </c>
      <c r="G78" s="617">
        <f t="shared" si="79"/>
        <v>104678</v>
      </c>
      <c r="H78" s="617">
        <f t="shared" si="80"/>
        <v>44306</v>
      </c>
      <c r="I78" s="617">
        <f t="shared" si="81"/>
        <v>5613</v>
      </c>
      <c r="J78" s="618">
        <f t="shared" si="82"/>
        <v>49919</v>
      </c>
      <c r="K78" s="271">
        <f t="shared" si="83"/>
        <v>125637</v>
      </c>
      <c r="L78" s="617">
        <v>80919</v>
      </c>
      <c r="M78" s="617">
        <v>31316</v>
      </c>
      <c r="N78" s="617">
        <v>11650</v>
      </c>
      <c r="O78" s="617">
        <v>1752</v>
      </c>
      <c r="P78" s="617">
        <f t="shared" si="84"/>
        <v>13402</v>
      </c>
      <c r="Q78" s="616">
        <f t="shared" si="85"/>
        <v>286786</v>
      </c>
      <c r="R78" s="617">
        <v>187154</v>
      </c>
      <c r="S78" s="617">
        <v>67346</v>
      </c>
      <c r="T78" s="617">
        <v>28667</v>
      </c>
      <c r="U78" s="617">
        <v>3619</v>
      </c>
      <c r="V78" s="618">
        <f t="shared" si="86"/>
        <v>32286</v>
      </c>
      <c r="W78" s="616">
        <f t="shared" si="87"/>
        <v>39298</v>
      </c>
      <c r="X78" s="617">
        <v>29051</v>
      </c>
      <c r="Y78" s="617">
        <v>6016</v>
      </c>
      <c r="Z78" s="617">
        <v>3989</v>
      </c>
      <c r="AA78" s="617">
        <v>242</v>
      </c>
      <c r="AB78" s="618">
        <f t="shared" si="88"/>
        <v>4231</v>
      </c>
      <c r="AC78" s="624">
        <f t="shared" si="89"/>
        <v>0.65775998901977106</v>
      </c>
      <c r="AD78" s="625">
        <f t="shared" si="90"/>
        <v>0.23173153340225494</v>
      </c>
      <c r="AE78" s="625">
        <f t="shared" si="91"/>
        <v>9.8082666070428426E-2</v>
      </c>
      <c r="AF78" s="625">
        <f t="shared" si="92"/>
        <v>1.2425811507545587E-2</v>
      </c>
      <c r="AG78" s="626">
        <f t="shared" si="93"/>
        <v>0.11050847757797401</v>
      </c>
      <c r="AH78" s="624">
        <f t="shared" si="94"/>
        <v>0.27812964196926865</v>
      </c>
      <c r="AI78" s="625">
        <f t="shared" si="95"/>
        <v>0.63487418118706018</v>
      </c>
      <c r="AJ78" s="626">
        <f t="shared" si="96"/>
        <v>8.6996176843671211E-2</v>
      </c>
      <c r="AK78" s="616">
        <f t="shared" si="97"/>
        <v>100679</v>
      </c>
      <c r="AL78" s="617">
        <v>34029</v>
      </c>
      <c r="AM78" s="617">
        <v>63377</v>
      </c>
      <c r="AN78" s="618">
        <v>3273</v>
      </c>
      <c r="AO78" s="272">
        <f t="shared" si="98"/>
        <v>0.22287872381403565</v>
      </c>
    </row>
    <row r="79" spans="1:41" x14ac:dyDescent="0.25">
      <c r="A79" s="270" t="s">
        <v>190</v>
      </c>
      <c r="B79" s="270" t="s">
        <v>191</v>
      </c>
      <c r="C79" s="270" t="s">
        <v>268</v>
      </c>
      <c r="D79" s="270">
        <v>2</v>
      </c>
      <c r="E79" s="616">
        <f t="shared" si="77"/>
        <v>34332</v>
      </c>
      <c r="F79" s="617">
        <f t="shared" si="78"/>
        <v>31997</v>
      </c>
      <c r="G79" s="617">
        <f t="shared" si="79"/>
        <v>2012</v>
      </c>
      <c r="H79" s="617">
        <f t="shared" si="80"/>
        <v>247</v>
      </c>
      <c r="I79" s="617">
        <f t="shared" si="81"/>
        <v>76</v>
      </c>
      <c r="J79" s="618">
        <f t="shared" si="82"/>
        <v>323</v>
      </c>
      <c r="K79" s="271">
        <f t="shared" si="83"/>
        <v>6280</v>
      </c>
      <c r="L79" s="617">
        <v>5708</v>
      </c>
      <c r="M79" s="617">
        <v>511</v>
      </c>
      <c r="N79" s="617">
        <v>47</v>
      </c>
      <c r="O79" s="617">
        <v>14</v>
      </c>
      <c r="P79" s="617">
        <f t="shared" si="84"/>
        <v>61</v>
      </c>
      <c r="Q79" s="616">
        <f t="shared" si="85"/>
        <v>20807</v>
      </c>
      <c r="R79" s="617">
        <v>19392</v>
      </c>
      <c r="S79" s="617">
        <v>1204</v>
      </c>
      <c r="T79" s="617">
        <v>163</v>
      </c>
      <c r="U79" s="617">
        <v>48</v>
      </c>
      <c r="V79" s="618">
        <f t="shared" si="86"/>
        <v>211</v>
      </c>
      <c r="W79" s="616">
        <f t="shared" si="87"/>
        <v>7245</v>
      </c>
      <c r="X79" s="617">
        <v>6897</v>
      </c>
      <c r="Y79" s="617">
        <v>297</v>
      </c>
      <c r="Z79" s="617">
        <v>37</v>
      </c>
      <c r="AA79" s="617">
        <v>14</v>
      </c>
      <c r="AB79" s="618">
        <f t="shared" si="88"/>
        <v>51</v>
      </c>
      <c r="AC79" s="624">
        <f t="shared" si="89"/>
        <v>0.93198765000582551</v>
      </c>
      <c r="AD79" s="625">
        <f t="shared" si="90"/>
        <v>5.8604217639519979E-2</v>
      </c>
      <c r="AE79" s="625">
        <f t="shared" si="91"/>
        <v>7.1944541535593617E-3</v>
      </c>
      <c r="AF79" s="625">
        <f t="shared" si="92"/>
        <v>2.213678201095188E-3</v>
      </c>
      <c r="AG79" s="626">
        <f t="shared" si="93"/>
        <v>9.4081323546545501E-3</v>
      </c>
      <c r="AH79" s="624">
        <f t="shared" si="94"/>
        <v>0.18291972503786555</v>
      </c>
      <c r="AI79" s="625">
        <f t="shared" si="95"/>
        <v>0.60605266223931031</v>
      </c>
      <c r="AJ79" s="626">
        <f t="shared" si="96"/>
        <v>0.21102761272282419</v>
      </c>
      <c r="AK79" s="616">
        <f t="shared" si="97"/>
        <v>579</v>
      </c>
      <c r="AL79" s="617">
        <v>205</v>
      </c>
      <c r="AM79" s="617">
        <v>334</v>
      </c>
      <c r="AN79" s="618">
        <v>40</v>
      </c>
      <c r="AO79" s="272">
        <f t="shared" si="98"/>
        <v>1.6864732610975184E-2</v>
      </c>
    </row>
    <row r="80" spans="1:41" x14ac:dyDescent="0.25">
      <c r="A80" s="270" t="s">
        <v>194</v>
      </c>
      <c r="B80" s="270" t="s">
        <v>195</v>
      </c>
      <c r="C80" s="270" t="s">
        <v>267</v>
      </c>
      <c r="D80" s="270">
        <v>1</v>
      </c>
      <c r="E80" s="616">
        <f t="shared" si="77"/>
        <v>7378</v>
      </c>
      <c r="F80" s="617">
        <f t="shared" si="78"/>
        <v>6891</v>
      </c>
      <c r="G80" s="617">
        <f t="shared" si="79"/>
        <v>391</v>
      </c>
      <c r="H80" s="617">
        <f t="shared" si="80"/>
        <v>75</v>
      </c>
      <c r="I80" s="617">
        <f t="shared" si="81"/>
        <v>21</v>
      </c>
      <c r="J80" s="618">
        <f t="shared" si="82"/>
        <v>96</v>
      </c>
      <c r="K80" s="271">
        <f t="shared" si="83"/>
        <v>1292</v>
      </c>
      <c r="L80" s="617">
        <v>1184</v>
      </c>
      <c r="M80" s="617">
        <v>94</v>
      </c>
      <c r="N80" s="617">
        <v>11</v>
      </c>
      <c r="O80" s="617">
        <v>3</v>
      </c>
      <c r="P80" s="617">
        <f t="shared" si="84"/>
        <v>14</v>
      </c>
      <c r="Q80" s="616">
        <f t="shared" si="85"/>
        <v>4273</v>
      </c>
      <c r="R80" s="617">
        <v>4002</v>
      </c>
      <c r="S80" s="617">
        <v>212</v>
      </c>
      <c r="T80" s="617">
        <v>44</v>
      </c>
      <c r="U80" s="617">
        <v>15</v>
      </c>
      <c r="V80" s="618">
        <f t="shared" si="86"/>
        <v>59</v>
      </c>
      <c r="W80" s="616">
        <f t="shared" si="87"/>
        <v>1813</v>
      </c>
      <c r="X80" s="617">
        <v>1705</v>
      </c>
      <c r="Y80" s="617">
        <v>85</v>
      </c>
      <c r="Z80" s="617">
        <v>20</v>
      </c>
      <c r="AA80" s="617">
        <v>3</v>
      </c>
      <c r="AB80" s="618">
        <f t="shared" si="88"/>
        <v>23</v>
      </c>
      <c r="AC80" s="624">
        <f t="shared" si="89"/>
        <v>0.93399295201951749</v>
      </c>
      <c r="AD80" s="625">
        <f t="shared" si="90"/>
        <v>5.2995391705069124E-2</v>
      </c>
      <c r="AE80" s="625">
        <f t="shared" si="91"/>
        <v>1.0165356465166711E-2</v>
      </c>
      <c r="AF80" s="625">
        <f t="shared" si="92"/>
        <v>2.8462998102466793E-3</v>
      </c>
      <c r="AG80" s="626">
        <f t="shared" si="93"/>
        <v>1.3011656275413392E-2</v>
      </c>
      <c r="AH80" s="624">
        <f t="shared" si="94"/>
        <v>0.17511520737327188</v>
      </c>
      <c r="AI80" s="625">
        <f t="shared" si="95"/>
        <v>0.57915424234209811</v>
      </c>
      <c r="AJ80" s="626">
        <f t="shared" si="96"/>
        <v>0.24573055028462998</v>
      </c>
      <c r="AK80" s="616">
        <f t="shared" si="97"/>
        <v>281</v>
      </c>
      <c r="AL80" s="617">
        <v>72</v>
      </c>
      <c r="AM80" s="617">
        <v>179</v>
      </c>
      <c r="AN80" s="618">
        <v>30</v>
      </c>
      <c r="AO80" s="272">
        <f t="shared" si="98"/>
        <v>3.8086202222824612E-2</v>
      </c>
    </row>
    <row r="81" spans="1:41" x14ac:dyDescent="0.25">
      <c r="A81" s="270" t="s">
        <v>198</v>
      </c>
      <c r="B81" s="270" t="s">
        <v>199</v>
      </c>
      <c r="C81" s="270" t="s">
        <v>266</v>
      </c>
      <c r="D81" s="270">
        <v>1</v>
      </c>
      <c r="E81" s="616">
        <f t="shared" si="77"/>
        <v>8908</v>
      </c>
      <c r="F81" s="617">
        <f t="shared" si="78"/>
        <v>6031</v>
      </c>
      <c r="G81" s="617">
        <f t="shared" si="79"/>
        <v>2769</v>
      </c>
      <c r="H81" s="617">
        <f t="shared" si="80"/>
        <v>65</v>
      </c>
      <c r="I81" s="617">
        <f t="shared" si="81"/>
        <v>43</v>
      </c>
      <c r="J81" s="618">
        <f t="shared" si="82"/>
        <v>108</v>
      </c>
      <c r="K81" s="271">
        <f t="shared" si="83"/>
        <v>1517</v>
      </c>
      <c r="L81" s="617">
        <v>1049</v>
      </c>
      <c r="M81" s="617">
        <v>446</v>
      </c>
      <c r="N81" s="617">
        <v>14</v>
      </c>
      <c r="O81" s="617">
        <v>8</v>
      </c>
      <c r="P81" s="617">
        <f t="shared" si="84"/>
        <v>22</v>
      </c>
      <c r="Q81" s="616">
        <f t="shared" si="85"/>
        <v>5619</v>
      </c>
      <c r="R81" s="617">
        <v>3610</v>
      </c>
      <c r="S81" s="617">
        <v>1935</v>
      </c>
      <c r="T81" s="617">
        <v>44</v>
      </c>
      <c r="U81" s="617">
        <v>30</v>
      </c>
      <c r="V81" s="618">
        <f t="shared" si="86"/>
        <v>74</v>
      </c>
      <c r="W81" s="616">
        <f t="shared" si="87"/>
        <v>1772</v>
      </c>
      <c r="X81" s="617">
        <v>1372</v>
      </c>
      <c r="Y81" s="617">
        <v>388</v>
      </c>
      <c r="Z81" s="617">
        <v>7</v>
      </c>
      <c r="AA81" s="617">
        <v>5</v>
      </c>
      <c r="AB81" s="618">
        <f t="shared" si="88"/>
        <v>12</v>
      </c>
      <c r="AC81" s="624">
        <f t="shared" si="89"/>
        <v>0.67703188145487203</v>
      </c>
      <c r="AD81" s="625">
        <f t="shared" si="90"/>
        <v>0.3108441850022452</v>
      </c>
      <c r="AE81" s="625">
        <f t="shared" si="91"/>
        <v>7.2968118545127976E-3</v>
      </c>
      <c r="AF81" s="625">
        <f t="shared" si="92"/>
        <v>4.8271216883700044E-3</v>
      </c>
      <c r="AG81" s="626">
        <f t="shared" si="93"/>
        <v>1.2123933542882801E-2</v>
      </c>
      <c r="AH81" s="624">
        <f t="shared" si="94"/>
        <v>0.17029636281993712</v>
      </c>
      <c r="AI81" s="625">
        <f t="shared" si="95"/>
        <v>0.63078132016165245</v>
      </c>
      <c r="AJ81" s="626">
        <f t="shared" si="96"/>
        <v>0.19892231701841043</v>
      </c>
      <c r="AK81" s="616">
        <f t="shared" si="97"/>
        <v>606</v>
      </c>
      <c r="AL81" s="617">
        <v>167</v>
      </c>
      <c r="AM81" s="617">
        <v>417</v>
      </c>
      <c r="AN81" s="618">
        <v>22</v>
      </c>
      <c r="AO81" s="272">
        <f t="shared" si="98"/>
        <v>6.8028738212842388E-2</v>
      </c>
    </row>
    <row r="82" spans="1:41" x14ac:dyDescent="0.25">
      <c r="A82" s="270" t="s">
        <v>202</v>
      </c>
      <c r="B82" s="270" t="s">
        <v>203</v>
      </c>
      <c r="C82" s="270" t="s">
        <v>265</v>
      </c>
      <c r="D82" s="270">
        <v>3</v>
      </c>
      <c r="E82" s="616">
        <f t="shared" si="77"/>
        <v>119841</v>
      </c>
      <c r="F82" s="617">
        <f t="shared" si="78"/>
        <v>107197</v>
      </c>
      <c r="G82" s="617">
        <f t="shared" si="79"/>
        <v>8202</v>
      </c>
      <c r="H82" s="617">
        <f t="shared" si="80"/>
        <v>4150</v>
      </c>
      <c r="I82" s="617">
        <f t="shared" si="81"/>
        <v>292</v>
      </c>
      <c r="J82" s="618">
        <f t="shared" si="82"/>
        <v>4442</v>
      </c>
      <c r="K82" s="271">
        <f t="shared" si="83"/>
        <v>24500</v>
      </c>
      <c r="L82" s="617">
        <v>21031</v>
      </c>
      <c r="M82" s="617">
        <v>2240</v>
      </c>
      <c r="N82" s="617">
        <v>1168</v>
      </c>
      <c r="O82" s="617">
        <v>61</v>
      </c>
      <c r="P82" s="617">
        <f t="shared" si="84"/>
        <v>1229</v>
      </c>
      <c r="Q82" s="616">
        <f t="shared" si="85"/>
        <v>71851</v>
      </c>
      <c r="R82" s="617">
        <v>63961</v>
      </c>
      <c r="S82" s="617">
        <v>5020</v>
      </c>
      <c r="T82" s="617">
        <v>2670</v>
      </c>
      <c r="U82" s="617">
        <v>200</v>
      </c>
      <c r="V82" s="618">
        <f t="shared" si="86"/>
        <v>2870</v>
      </c>
      <c r="W82" s="616">
        <f t="shared" si="87"/>
        <v>23490</v>
      </c>
      <c r="X82" s="617">
        <v>22205</v>
      </c>
      <c r="Y82" s="617">
        <v>942</v>
      </c>
      <c r="Z82" s="617">
        <v>312</v>
      </c>
      <c r="AA82" s="617">
        <v>31</v>
      </c>
      <c r="AB82" s="618">
        <f t="shared" si="88"/>
        <v>343</v>
      </c>
      <c r="AC82" s="624">
        <f t="shared" si="89"/>
        <v>0.89449353727021641</v>
      </c>
      <c r="AD82" s="625">
        <f t="shared" si="90"/>
        <v>6.8440683906175678E-2</v>
      </c>
      <c r="AE82" s="625">
        <f t="shared" si="91"/>
        <v>3.4629217045919175E-2</v>
      </c>
      <c r="AF82" s="625">
        <f t="shared" si="92"/>
        <v>2.4365617776887709E-3</v>
      </c>
      <c r="AG82" s="626">
        <f t="shared" si="93"/>
        <v>3.7065778823607946E-2</v>
      </c>
      <c r="AH82" s="624">
        <f t="shared" si="94"/>
        <v>0.20443754641566741</v>
      </c>
      <c r="AI82" s="625">
        <f t="shared" si="95"/>
        <v>0.59955274071478037</v>
      </c>
      <c r="AJ82" s="626">
        <f t="shared" si="96"/>
        <v>0.19600971286955216</v>
      </c>
      <c r="AK82" s="616">
        <f t="shared" si="97"/>
        <v>3693</v>
      </c>
      <c r="AL82" s="617">
        <v>1378</v>
      </c>
      <c r="AM82" s="617">
        <v>2128</v>
      </c>
      <c r="AN82" s="618">
        <v>187</v>
      </c>
      <c r="AO82" s="272">
        <f t="shared" si="98"/>
        <v>3.0815830976043259E-2</v>
      </c>
    </row>
    <row r="83" spans="1:41" x14ac:dyDescent="0.25">
      <c r="A83" s="270" t="s">
        <v>204</v>
      </c>
      <c r="B83" s="270" t="s">
        <v>205</v>
      </c>
      <c r="C83" s="270" t="s">
        <v>265</v>
      </c>
      <c r="D83" s="270">
        <v>2</v>
      </c>
      <c r="E83" s="616">
        <f t="shared" si="77"/>
        <v>36234</v>
      </c>
      <c r="F83" s="617">
        <f t="shared" si="78"/>
        <v>33675</v>
      </c>
      <c r="G83" s="617">
        <f t="shared" si="79"/>
        <v>1838</v>
      </c>
      <c r="H83" s="617">
        <f t="shared" si="80"/>
        <v>487</v>
      </c>
      <c r="I83" s="617">
        <f t="shared" si="81"/>
        <v>234</v>
      </c>
      <c r="J83" s="618">
        <f t="shared" si="82"/>
        <v>721</v>
      </c>
      <c r="K83" s="271">
        <f t="shared" si="83"/>
        <v>6126</v>
      </c>
      <c r="L83" s="617">
        <v>5589</v>
      </c>
      <c r="M83" s="617">
        <v>399</v>
      </c>
      <c r="N83" s="617">
        <v>75</v>
      </c>
      <c r="O83" s="617">
        <v>63</v>
      </c>
      <c r="P83" s="617">
        <f t="shared" si="84"/>
        <v>138</v>
      </c>
      <c r="Q83" s="616">
        <f t="shared" si="85"/>
        <v>22339</v>
      </c>
      <c r="R83" s="617">
        <v>20700</v>
      </c>
      <c r="S83" s="617">
        <v>1116</v>
      </c>
      <c r="T83" s="617">
        <v>386</v>
      </c>
      <c r="U83" s="617">
        <v>137</v>
      </c>
      <c r="V83" s="618">
        <f t="shared" si="86"/>
        <v>523</v>
      </c>
      <c r="W83" s="616">
        <f t="shared" si="87"/>
        <v>7769</v>
      </c>
      <c r="X83" s="617">
        <v>7386</v>
      </c>
      <c r="Y83" s="617">
        <v>323</v>
      </c>
      <c r="Z83" s="617">
        <v>26</v>
      </c>
      <c r="AA83" s="617">
        <v>34</v>
      </c>
      <c r="AB83" s="618">
        <f t="shared" si="88"/>
        <v>60</v>
      </c>
      <c r="AC83" s="624">
        <f t="shared" si="89"/>
        <v>0.92937572445769168</v>
      </c>
      <c r="AD83" s="625">
        <f t="shared" si="90"/>
        <v>5.0725837611083513E-2</v>
      </c>
      <c r="AE83" s="625">
        <f t="shared" si="91"/>
        <v>1.3440415079759342E-2</v>
      </c>
      <c r="AF83" s="625">
        <f t="shared" si="92"/>
        <v>6.4580228514654744E-3</v>
      </c>
      <c r="AG83" s="626">
        <f t="shared" si="93"/>
        <v>1.9898437931224817E-2</v>
      </c>
      <c r="AH83" s="624">
        <f t="shared" si="94"/>
        <v>0.16906772644477563</v>
      </c>
      <c r="AI83" s="625">
        <f t="shared" si="95"/>
        <v>0.61652039520891977</v>
      </c>
      <c r="AJ83" s="626">
        <f t="shared" si="96"/>
        <v>0.21441187834630457</v>
      </c>
      <c r="AK83" s="616">
        <f t="shared" si="97"/>
        <v>812</v>
      </c>
      <c r="AL83" s="617">
        <v>230</v>
      </c>
      <c r="AM83" s="617">
        <v>526</v>
      </c>
      <c r="AN83" s="618">
        <v>56</v>
      </c>
      <c r="AO83" s="272">
        <f t="shared" si="98"/>
        <v>2.2409891262350278E-2</v>
      </c>
    </row>
    <row r="84" spans="1:41" x14ac:dyDescent="0.25">
      <c r="A84" s="270" t="s">
        <v>206</v>
      </c>
      <c r="B84" s="270" t="s">
        <v>207</v>
      </c>
      <c r="C84" s="270" t="s">
        <v>267</v>
      </c>
      <c r="D84" s="270">
        <v>3</v>
      </c>
      <c r="E84" s="616">
        <f t="shared" si="77"/>
        <v>131131</v>
      </c>
      <c r="F84" s="617">
        <f t="shared" si="78"/>
        <v>120084</v>
      </c>
      <c r="G84" s="617">
        <f t="shared" si="79"/>
        <v>6905</v>
      </c>
      <c r="H84" s="617">
        <f t="shared" si="80"/>
        <v>3288</v>
      </c>
      <c r="I84" s="617">
        <f t="shared" si="81"/>
        <v>854</v>
      </c>
      <c r="J84" s="618">
        <f t="shared" si="82"/>
        <v>4142</v>
      </c>
      <c r="K84" s="271">
        <f t="shared" si="83"/>
        <v>25986</v>
      </c>
      <c r="L84" s="617">
        <v>23317</v>
      </c>
      <c r="M84" s="617">
        <v>1811</v>
      </c>
      <c r="N84" s="617">
        <v>633</v>
      </c>
      <c r="O84" s="617">
        <v>225</v>
      </c>
      <c r="P84" s="617">
        <f t="shared" si="84"/>
        <v>858</v>
      </c>
      <c r="Q84" s="616">
        <f t="shared" si="85"/>
        <v>86291</v>
      </c>
      <c r="R84" s="617">
        <v>78483</v>
      </c>
      <c r="S84" s="617">
        <v>4725</v>
      </c>
      <c r="T84" s="617">
        <v>2501</v>
      </c>
      <c r="U84" s="617">
        <v>582</v>
      </c>
      <c r="V84" s="618">
        <f t="shared" si="86"/>
        <v>3083</v>
      </c>
      <c r="W84" s="616">
        <f t="shared" si="87"/>
        <v>18854</v>
      </c>
      <c r="X84" s="617">
        <v>18284</v>
      </c>
      <c r="Y84" s="617">
        <v>369</v>
      </c>
      <c r="Z84" s="617">
        <v>154</v>
      </c>
      <c r="AA84" s="617">
        <v>47</v>
      </c>
      <c r="AB84" s="618">
        <f t="shared" si="88"/>
        <v>201</v>
      </c>
      <c r="AC84" s="624">
        <f t="shared" si="89"/>
        <v>0.9157559997254654</v>
      </c>
      <c r="AD84" s="625">
        <f t="shared" si="90"/>
        <v>5.265726639772441E-2</v>
      </c>
      <c r="AE84" s="625">
        <f t="shared" si="91"/>
        <v>2.5074162478742633E-2</v>
      </c>
      <c r="AF84" s="625">
        <f t="shared" si="92"/>
        <v>6.5125713980675815E-3</v>
      </c>
      <c r="AG84" s="626">
        <f t="shared" si="93"/>
        <v>3.1586733876810213E-2</v>
      </c>
      <c r="AH84" s="624">
        <f t="shared" si="94"/>
        <v>0.19816824396977067</v>
      </c>
      <c r="AI84" s="625">
        <f t="shared" si="95"/>
        <v>0.65805187179232982</v>
      </c>
      <c r="AJ84" s="626">
        <f t="shared" si="96"/>
        <v>0.1437798842378995</v>
      </c>
      <c r="AK84" s="616">
        <f t="shared" si="97"/>
        <v>14764</v>
      </c>
      <c r="AL84" s="617">
        <v>5038</v>
      </c>
      <c r="AM84" s="617">
        <v>9329</v>
      </c>
      <c r="AN84" s="618">
        <v>397</v>
      </c>
      <c r="AO84" s="272">
        <f t="shared" si="98"/>
        <v>0.11258970037595992</v>
      </c>
    </row>
    <row r="85" spans="1:41" x14ac:dyDescent="0.25">
      <c r="A85" s="270" t="s">
        <v>208</v>
      </c>
      <c r="B85" s="270" t="s">
        <v>209</v>
      </c>
      <c r="C85" s="270" t="s">
        <v>268</v>
      </c>
      <c r="D85" s="270">
        <v>2</v>
      </c>
      <c r="E85" s="616">
        <f t="shared" si="77"/>
        <v>27891</v>
      </c>
      <c r="F85" s="617">
        <f t="shared" si="78"/>
        <v>27358</v>
      </c>
      <c r="G85" s="617">
        <f t="shared" si="79"/>
        <v>396</v>
      </c>
      <c r="H85" s="617">
        <f t="shared" si="80"/>
        <v>67</v>
      </c>
      <c r="I85" s="617">
        <f t="shared" si="81"/>
        <v>70</v>
      </c>
      <c r="J85" s="618">
        <f t="shared" si="82"/>
        <v>137</v>
      </c>
      <c r="K85" s="271">
        <f t="shared" si="83"/>
        <v>5540</v>
      </c>
      <c r="L85" s="617">
        <v>5397</v>
      </c>
      <c r="M85" s="617">
        <v>120</v>
      </c>
      <c r="N85" s="617">
        <v>11</v>
      </c>
      <c r="O85" s="617">
        <v>12</v>
      </c>
      <c r="P85" s="617">
        <f t="shared" si="84"/>
        <v>23</v>
      </c>
      <c r="Q85" s="616">
        <f t="shared" si="85"/>
        <v>16919</v>
      </c>
      <c r="R85" s="617">
        <v>16617</v>
      </c>
      <c r="S85" s="617">
        <v>210</v>
      </c>
      <c r="T85" s="617">
        <v>47</v>
      </c>
      <c r="U85" s="617">
        <v>45</v>
      </c>
      <c r="V85" s="618">
        <f t="shared" si="86"/>
        <v>92</v>
      </c>
      <c r="W85" s="616">
        <f t="shared" si="87"/>
        <v>5432</v>
      </c>
      <c r="X85" s="617">
        <v>5344</v>
      </c>
      <c r="Y85" s="617">
        <v>66</v>
      </c>
      <c r="Z85" s="617">
        <v>9</v>
      </c>
      <c r="AA85" s="617">
        <v>13</v>
      </c>
      <c r="AB85" s="618">
        <f t="shared" si="88"/>
        <v>22</v>
      </c>
      <c r="AC85" s="624">
        <f t="shared" si="89"/>
        <v>0.98088989279695959</v>
      </c>
      <c r="AD85" s="625">
        <f t="shared" si="90"/>
        <v>1.4198128428525331E-2</v>
      </c>
      <c r="AE85" s="625">
        <f t="shared" si="91"/>
        <v>2.4022085977555485E-3</v>
      </c>
      <c r="AF85" s="625">
        <f t="shared" si="92"/>
        <v>2.5097701767595282E-3</v>
      </c>
      <c r="AG85" s="626">
        <f t="shared" si="93"/>
        <v>4.9119787745150762E-3</v>
      </c>
      <c r="AH85" s="624">
        <f t="shared" si="94"/>
        <v>0.19863038256068266</v>
      </c>
      <c r="AI85" s="625">
        <f t="shared" si="95"/>
        <v>0.60661145172277797</v>
      </c>
      <c r="AJ85" s="626">
        <f t="shared" si="96"/>
        <v>0.19475816571653939</v>
      </c>
      <c r="AK85" s="616">
        <f t="shared" si="97"/>
        <v>340</v>
      </c>
      <c r="AL85" s="617">
        <v>107</v>
      </c>
      <c r="AM85" s="617">
        <v>209</v>
      </c>
      <c r="AN85" s="618">
        <v>24</v>
      </c>
      <c r="AO85" s="272">
        <f t="shared" si="98"/>
        <v>1.2190312287117708E-2</v>
      </c>
    </row>
    <row r="86" spans="1:41" x14ac:dyDescent="0.25">
      <c r="A86" s="270" t="s">
        <v>210</v>
      </c>
      <c r="B86" s="270" t="s">
        <v>211</v>
      </c>
      <c r="C86" s="270" t="s">
        <v>268</v>
      </c>
      <c r="D86" s="270">
        <v>2</v>
      </c>
      <c r="E86" s="616">
        <f t="shared" si="77"/>
        <v>22126</v>
      </c>
      <c r="F86" s="617">
        <f t="shared" si="78"/>
        <v>21783</v>
      </c>
      <c r="G86" s="617">
        <f t="shared" si="79"/>
        <v>218</v>
      </c>
      <c r="H86" s="617">
        <f t="shared" si="80"/>
        <v>62</v>
      </c>
      <c r="I86" s="617">
        <f t="shared" si="81"/>
        <v>63</v>
      </c>
      <c r="J86" s="618">
        <f t="shared" si="82"/>
        <v>125</v>
      </c>
      <c r="K86" s="271">
        <f t="shared" si="83"/>
        <v>4172</v>
      </c>
      <c r="L86" s="617">
        <v>4077</v>
      </c>
      <c r="M86" s="617">
        <v>63</v>
      </c>
      <c r="N86" s="617">
        <v>25</v>
      </c>
      <c r="O86" s="617">
        <v>7</v>
      </c>
      <c r="P86" s="617">
        <f t="shared" si="84"/>
        <v>32</v>
      </c>
      <c r="Q86" s="616">
        <f t="shared" si="85"/>
        <v>13047</v>
      </c>
      <c r="R86" s="617">
        <v>12849</v>
      </c>
      <c r="S86" s="617">
        <v>121</v>
      </c>
      <c r="T86" s="617">
        <v>32</v>
      </c>
      <c r="U86" s="617">
        <v>45</v>
      </c>
      <c r="V86" s="618">
        <f t="shared" si="86"/>
        <v>77</v>
      </c>
      <c r="W86" s="616">
        <f t="shared" si="87"/>
        <v>4907</v>
      </c>
      <c r="X86" s="617">
        <v>4857</v>
      </c>
      <c r="Y86" s="617">
        <v>34</v>
      </c>
      <c r="Z86" s="617">
        <v>5</v>
      </c>
      <c r="AA86" s="617">
        <v>11</v>
      </c>
      <c r="AB86" s="618">
        <f t="shared" si="88"/>
        <v>16</v>
      </c>
      <c r="AC86" s="624">
        <f t="shared" si="89"/>
        <v>0.98449787580222359</v>
      </c>
      <c r="AD86" s="625">
        <f t="shared" si="90"/>
        <v>9.8526620265750701E-3</v>
      </c>
      <c r="AE86" s="625">
        <f t="shared" si="91"/>
        <v>2.8021332369158455E-3</v>
      </c>
      <c r="AF86" s="625">
        <f t="shared" si="92"/>
        <v>2.847328934285456E-3</v>
      </c>
      <c r="AG86" s="626">
        <f t="shared" si="93"/>
        <v>5.6494621712013015E-3</v>
      </c>
      <c r="AH86" s="624">
        <f t="shared" si="94"/>
        <v>0.18855644942601466</v>
      </c>
      <c r="AI86" s="625">
        <f t="shared" si="95"/>
        <v>0.58966826358130708</v>
      </c>
      <c r="AJ86" s="626">
        <f t="shared" si="96"/>
        <v>0.22177528699267829</v>
      </c>
      <c r="AK86" s="616">
        <f t="shared" si="97"/>
        <v>264</v>
      </c>
      <c r="AL86" s="617">
        <v>99</v>
      </c>
      <c r="AM86" s="617">
        <v>148</v>
      </c>
      <c r="AN86" s="618">
        <v>17</v>
      </c>
      <c r="AO86" s="272">
        <f t="shared" si="98"/>
        <v>1.1931664105577149E-2</v>
      </c>
    </row>
    <row r="87" spans="1:41" x14ac:dyDescent="0.25">
      <c r="A87" s="270" t="s">
        <v>212</v>
      </c>
      <c r="B87" s="270" t="s">
        <v>213</v>
      </c>
      <c r="C87" s="270" t="s">
        <v>267</v>
      </c>
      <c r="D87" s="270">
        <v>2</v>
      </c>
      <c r="E87" s="616">
        <f t="shared" si="77"/>
        <v>43190</v>
      </c>
      <c r="F87" s="617">
        <f t="shared" si="78"/>
        <v>41275</v>
      </c>
      <c r="G87" s="617">
        <f t="shared" si="79"/>
        <v>1338</v>
      </c>
      <c r="H87" s="617">
        <f t="shared" si="80"/>
        <v>372</v>
      </c>
      <c r="I87" s="617">
        <f t="shared" si="81"/>
        <v>205</v>
      </c>
      <c r="J87" s="618">
        <f t="shared" si="82"/>
        <v>577</v>
      </c>
      <c r="K87" s="271">
        <f t="shared" si="83"/>
        <v>9223</v>
      </c>
      <c r="L87" s="617">
        <v>8692</v>
      </c>
      <c r="M87" s="617">
        <v>398</v>
      </c>
      <c r="N87" s="617">
        <v>76</v>
      </c>
      <c r="O87" s="617">
        <v>57</v>
      </c>
      <c r="P87" s="617">
        <f t="shared" si="84"/>
        <v>133</v>
      </c>
      <c r="Q87" s="616">
        <f t="shared" si="85"/>
        <v>25061</v>
      </c>
      <c r="R87" s="617">
        <v>23887</v>
      </c>
      <c r="S87" s="617">
        <v>795</v>
      </c>
      <c r="T87" s="617">
        <v>257</v>
      </c>
      <c r="U87" s="617">
        <v>122</v>
      </c>
      <c r="V87" s="618">
        <f t="shared" si="86"/>
        <v>379</v>
      </c>
      <c r="W87" s="616">
        <f t="shared" si="87"/>
        <v>8906</v>
      </c>
      <c r="X87" s="617">
        <v>8696</v>
      </c>
      <c r="Y87" s="617">
        <v>145</v>
      </c>
      <c r="Z87" s="617">
        <v>39</v>
      </c>
      <c r="AA87" s="617">
        <v>26</v>
      </c>
      <c r="AB87" s="618">
        <f t="shared" si="88"/>
        <v>65</v>
      </c>
      <c r="AC87" s="624">
        <f t="shared" si="89"/>
        <v>0.95566103264644597</v>
      </c>
      <c r="AD87" s="625">
        <f t="shared" si="90"/>
        <v>3.097939337809678E-2</v>
      </c>
      <c r="AE87" s="625">
        <f t="shared" si="91"/>
        <v>8.6131048853901361E-3</v>
      </c>
      <c r="AF87" s="625">
        <f t="shared" si="92"/>
        <v>4.7464690900671453E-3</v>
      </c>
      <c r="AG87" s="626">
        <f t="shared" si="93"/>
        <v>1.3359573975457282E-2</v>
      </c>
      <c r="AH87" s="624">
        <f t="shared" si="94"/>
        <v>0.2135448020375087</v>
      </c>
      <c r="AI87" s="625">
        <f t="shared" si="95"/>
        <v>0.58025005788376938</v>
      </c>
      <c r="AJ87" s="626">
        <f t="shared" si="96"/>
        <v>0.20620514007872193</v>
      </c>
      <c r="AK87" s="616">
        <f t="shared" si="97"/>
        <v>3086</v>
      </c>
      <c r="AL87" s="617">
        <v>1183</v>
      </c>
      <c r="AM87" s="617">
        <v>1820</v>
      </c>
      <c r="AN87" s="618">
        <v>83</v>
      </c>
      <c r="AO87" s="272">
        <f t="shared" si="98"/>
        <v>7.1451724936327857E-2</v>
      </c>
    </row>
    <row r="88" spans="1:41" x14ac:dyDescent="0.25">
      <c r="A88" s="270" t="s">
        <v>214</v>
      </c>
      <c r="B88" s="270" t="s">
        <v>215</v>
      </c>
      <c r="C88" s="270" t="s">
        <v>268</v>
      </c>
      <c r="D88" s="270">
        <v>2</v>
      </c>
      <c r="E88" s="616">
        <f t="shared" si="77"/>
        <v>31470</v>
      </c>
      <c r="F88" s="617">
        <f t="shared" si="78"/>
        <v>30324</v>
      </c>
      <c r="G88" s="617">
        <f t="shared" si="79"/>
        <v>946</v>
      </c>
      <c r="H88" s="617">
        <f t="shared" si="80"/>
        <v>142</v>
      </c>
      <c r="I88" s="617">
        <f t="shared" si="81"/>
        <v>58</v>
      </c>
      <c r="J88" s="618">
        <f t="shared" si="82"/>
        <v>200</v>
      </c>
      <c r="K88" s="271">
        <f t="shared" si="83"/>
        <v>6277</v>
      </c>
      <c r="L88" s="617">
        <v>6032</v>
      </c>
      <c r="M88" s="617">
        <v>204</v>
      </c>
      <c r="N88" s="617">
        <v>39</v>
      </c>
      <c r="O88" s="617">
        <v>2</v>
      </c>
      <c r="P88" s="617">
        <f t="shared" si="84"/>
        <v>41</v>
      </c>
      <c r="Q88" s="616">
        <f t="shared" si="85"/>
        <v>18718</v>
      </c>
      <c r="R88" s="617">
        <v>17930</v>
      </c>
      <c r="S88" s="617">
        <v>665</v>
      </c>
      <c r="T88" s="617">
        <v>84</v>
      </c>
      <c r="U88" s="617">
        <v>39</v>
      </c>
      <c r="V88" s="618">
        <f t="shared" si="86"/>
        <v>123</v>
      </c>
      <c r="W88" s="616">
        <f t="shared" si="87"/>
        <v>6475</v>
      </c>
      <c r="X88" s="617">
        <v>6362</v>
      </c>
      <c r="Y88" s="617">
        <v>77</v>
      </c>
      <c r="Z88" s="617">
        <v>19</v>
      </c>
      <c r="AA88" s="617">
        <v>17</v>
      </c>
      <c r="AB88" s="618">
        <f t="shared" si="88"/>
        <v>36</v>
      </c>
      <c r="AC88" s="624">
        <f t="shared" si="89"/>
        <v>0.96358436606291709</v>
      </c>
      <c r="AD88" s="625">
        <f t="shared" si="90"/>
        <v>3.0060374960279631E-2</v>
      </c>
      <c r="AE88" s="625">
        <f t="shared" si="91"/>
        <v>4.5122338735303462E-3</v>
      </c>
      <c r="AF88" s="625">
        <f t="shared" si="92"/>
        <v>1.8430251032729584E-3</v>
      </c>
      <c r="AG88" s="626">
        <f t="shared" si="93"/>
        <v>6.3552589768033048E-3</v>
      </c>
      <c r="AH88" s="624">
        <f t="shared" si="94"/>
        <v>0.19945980298697172</v>
      </c>
      <c r="AI88" s="625">
        <f t="shared" si="95"/>
        <v>0.59478868763902126</v>
      </c>
      <c r="AJ88" s="626">
        <f t="shared" si="96"/>
        <v>0.20575150937400699</v>
      </c>
      <c r="AK88" s="616">
        <f t="shared" si="97"/>
        <v>584</v>
      </c>
      <c r="AL88" s="617">
        <v>197</v>
      </c>
      <c r="AM88" s="617">
        <v>337</v>
      </c>
      <c r="AN88" s="618">
        <v>50</v>
      </c>
      <c r="AO88" s="272">
        <f t="shared" si="98"/>
        <v>1.855735621226565E-2</v>
      </c>
    </row>
    <row r="89" spans="1:41" x14ac:dyDescent="0.25">
      <c r="A89" s="270" t="s">
        <v>216</v>
      </c>
      <c r="B89" s="270" t="s">
        <v>217</v>
      </c>
      <c r="C89" s="270" t="s">
        <v>264</v>
      </c>
      <c r="D89" s="270">
        <v>2</v>
      </c>
      <c r="E89" s="616">
        <f t="shared" si="77"/>
        <v>18109</v>
      </c>
      <c r="F89" s="617">
        <f t="shared" si="78"/>
        <v>11244</v>
      </c>
      <c r="G89" s="617">
        <f t="shared" si="79"/>
        <v>6696</v>
      </c>
      <c r="H89" s="617">
        <f t="shared" si="80"/>
        <v>84</v>
      </c>
      <c r="I89" s="617">
        <f t="shared" si="81"/>
        <v>85</v>
      </c>
      <c r="J89" s="618">
        <f t="shared" si="82"/>
        <v>169</v>
      </c>
      <c r="K89" s="271">
        <f t="shared" si="83"/>
        <v>3450</v>
      </c>
      <c r="L89" s="617">
        <v>2088</v>
      </c>
      <c r="M89" s="617">
        <v>1334</v>
      </c>
      <c r="N89" s="617">
        <v>15</v>
      </c>
      <c r="O89" s="617">
        <v>13</v>
      </c>
      <c r="P89" s="617">
        <f t="shared" si="84"/>
        <v>28</v>
      </c>
      <c r="Q89" s="616">
        <f t="shared" si="85"/>
        <v>11298</v>
      </c>
      <c r="R89" s="617">
        <v>6999</v>
      </c>
      <c r="S89" s="617">
        <v>4178</v>
      </c>
      <c r="T89" s="617">
        <v>62</v>
      </c>
      <c r="U89" s="617">
        <v>59</v>
      </c>
      <c r="V89" s="618">
        <f t="shared" si="86"/>
        <v>121</v>
      </c>
      <c r="W89" s="616">
        <f t="shared" si="87"/>
        <v>3361</v>
      </c>
      <c r="X89" s="617">
        <v>2157</v>
      </c>
      <c r="Y89" s="617">
        <v>1184</v>
      </c>
      <c r="Z89" s="617">
        <v>7</v>
      </c>
      <c r="AA89" s="617">
        <v>13</v>
      </c>
      <c r="AB89" s="618">
        <f t="shared" si="88"/>
        <v>20</v>
      </c>
      <c r="AC89" s="624">
        <f t="shared" si="89"/>
        <v>0.62090673145949526</v>
      </c>
      <c r="AD89" s="625">
        <f t="shared" si="90"/>
        <v>0.36976089237395771</v>
      </c>
      <c r="AE89" s="625">
        <f t="shared" si="91"/>
        <v>4.6385775028991109E-3</v>
      </c>
      <c r="AF89" s="625">
        <f t="shared" si="92"/>
        <v>4.69379866364791E-3</v>
      </c>
      <c r="AG89" s="626">
        <f t="shared" si="93"/>
        <v>9.3323761665470208E-3</v>
      </c>
      <c r="AH89" s="624">
        <f t="shared" si="94"/>
        <v>0.19051300458335635</v>
      </c>
      <c r="AI89" s="625">
        <f t="shared" si="95"/>
        <v>0.62388867413993043</v>
      </c>
      <c r="AJ89" s="626">
        <f t="shared" si="96"/>
        <v>0.18559832127671325</v>
      </c>
      <c r="AK89" s="616">
        <f t="shared" si="97"/>
        <v>255</v>
      </c>
      <c r="AL89" s="617">
        <v>73</v>
      </c>
      <c r="AM89" s="617">
        <v>166</v>
      </c>
      <c r="AN89" s="618">
        <v>16</v>
      </c>
      <c r="AO89" s="272">
        <f t="shared" si="98"/>
        <v>1.408139599094373E-2</v>
      </c>
    </row>
    <row r="90" spans="1:41" x14ac:dyDescent="0.25">
      <c r="A90" s="270" t="s">
        <v>218</v>
      </c>
      <c r="B90" s="270" t="s">
        <v>219</v>
      </c>
      <c r="C90" s="270" t="s">
        <v>267</v>
      </c>
      <c r="D90" s="270">
        <v>2</v>
      </c>
      <c r="E90" s="616">
        <f t="shared" si="77"/>
        <v>130475</v>
      </c>
      <c r="F90" s="617">
        <f t="shared" si="78"/>
        <v>102721</v>
      </c>
      <c r="G90" s="617">
        <f t="shared" si="79"/>
        <v>22703</v>
      </c>
      <c r="H90" s="617">
        <f t="shared" si="80"/>
        <v>4372</v>
      </c>
      <c r="I90" s="617">
        <f t="shared" si="81"/>
        <v>679</v>
      </c>
      <c r="J90" s="618">
        <f t="shared" si="82"/>
        <v>5051</v>
      </c>
      <c r="K90" s="271">
        <f t="shared" si="83"/>
        <v>33033</v>
      </c>
      <c r="L90" s="617">
        <v>25364</v>
      </c>
      <c r="M90" s="617">
        <v>6293</v>
      </c>
      <c r="N90" s="617">
        <v>1202</v>
      </c>
      <c r="O90" s="617">
        <v>174</v>
      </c>
      <c r="P90" s="617">
        <f t="shared" si="84"/>
        <v>1376</v>
      </c>
      <c r="Q90" s="616">
        <f t="shared" si="85"/>
        <v>80727</v>
      </c>
      <c r="R90" s="617">
        <v>63189</v>
      </c>
      <c r="S90" s="617">
        <v>14300</v>
      </c>
      <c r="T90" s="617">
        <v>2777</v>
      </c>
      <c r="U90" s="617">
        <v>461</v>
      </c>
      <c r="V90" s="618">
        <f t="shared" si="86"/>
        <v>3238</v>
      </c>
      <c r="W90" s="616">
        <f t="shared" si="87"/>
        <v>16715</v>
      </c>
      <c r="X90" s="617">
        <v>14168</v>
      </c>
      <c r="Y90" s="617">
        <v>2110</v>
      </c>
      <c r="Z90" s="617">
        <v>393</v>
      </c>
      <c r="AA90" s="617">
        <v>44</v>
      </c>
      <c r="AB90" s="618">
        <f t="shared" si="88"/>
        <v>437</v>
      </c>
      <c r="AC90" s="624">
        <f t="shared" si="89"/>
        <v>0.78728492048285115</v>
      </c>
      <c r="AD90" s="625">
        <f t="shared" si="90"/>
        <v>0.17400268250622725</v>
      </c>
      <c r="AE90" s="625">
        <f t="shared" si="91"/>
        <v>3.3508334930063229E-2</v>
      </c>
      <c r="AF90" s="625">
        <f t="shared" si="92"/>
        <v>5.2040620808584022E-3</v>
      </c>
      <c r="AG90" s="626">
        <f t="shared" si="93"/>
        <v>3.8712397010921634E-2</v>
      </c>
      <c r="AH90" s="624">
        <f t="shared" si="94"/>
        <v>0.25317493772753402</v>
      </c>
      <c r="AI90" s="625">
        <f t="shared" si="95"/>
        <v>0.61871622916267488</v>
      </c>
      <c r="AJ90" s="626">
        <f t="shared" si="96"/>
        <v>0.12810883310979115</v>
      </c>
      <c r="AK90" s="616">
        <f t="shared" si="97"/>
        <v>11568</v>
      </c>
      <c r="AL90" s="617">
        <v>4175</v>
      </c>
      <c r="AM90" s="617">
        <v>6981</v>
      </c>
      <c r="AN90" s="618">
        <v>412</v>
      </c>
      <c r="AO90" s="272">
        <f t="shared" si="98"/>
        <v>8.8660662962253306E-2</v>
      </c>
    </row>
    <row r="91" spans="1:41" x14ac:dyDescent="0.25">
      <c r="A91" s="270" t="s">
        <v>220</v>
      </c>
      <c r="B91" s="270" t="s">
        <v>221</v>
      </c>
      <c r="C91" s="270" t="s">
        <v>267</v>
      </c>
      <c r="D91" s="270">
        <v>2</v>
      </c>
      <c r="E91" s="616">
        <f t="shared" si="77"/>
        <v>142003</v>
      </c>
      <c r="F91" s="617">
        <f t="shared" si="78"/>
        <v>107152</v>
      </c>
      <c r="G91" s="617">
        <f t="shared" si="79"/>
        <v>27713</v>
      </c>
      <c r="H91" s="617">
        <f t="shared" si="80"/>
        <v>6016</v>
      </c>
      <c r="I91" s="617">
        <f t="shared" si="81"/>
        <v>1122</v>
      </c>
      <c r="J91" s="618">
        <f t="shared" si="82"/>
        <v>7138</v>
      </c>
      <c r="K91" s="271">
        <f t="shared" si="83"/>
        <v>37700</v>
      </c>
      <c r="L91" s="617">
        <v>27781</v>
      </c>
      <c r="M91" s="617">
        <v>8005</v>
      </c>
      <c r="N91" s="617">
        <v>1619</v>
      </c>
      <c r="O91" s="617">
        <v>295</v>
      </c>
      <c r="P91" s="617">
        <f t="shared" si="84"/>
        <v>1914</v>
      </c>
      <c r="Q91" s="616">
        <f t="shared" si="85"/>
        <v>90851</v>
      </c>
      <c r="R91" s="617">
        <v>68094</v>
      </c>
      <c r="S91" s="617">
        <v>18110</v>
      </c>
      <c r="T91" s="617">
        <v>3910</v>
      </c>
      <c r="U91" s="617">
        <v>737</v>
      </c>
      <c r="V91" s="618">
        <f t="shared" si="86"/>
        <v>4647</v>
      </c>
      <c r="W91" s="616">
        <f t="shared" si="87"/>
        <v>13452</v>
      </c>
      <c r="X91" s="617">
        <v>11277</v>
      </c>
      <c r="Y91" s="617">
        <v>1598</v>
      </c>
      <c r="Z91" s="617">
        <v>487</v>
      </c>
      <c r="AA91" s="617">
        <v>90</v>
      </c>
      <c r="AB91" s="618">
        <f t="shared" si="88"/>
        <v>577</v>
      </c>
      <c r="AC91" s="624">
        <f t="shared" si="89"/>
        <v>0.75457560755758679</v>
      </c>
      <c r="AD91" s="625">
        <f t="shared" si="90"/>
        <v>0.19515784877784273</v>
      </c>
      <c r="AE91" s="625">
        <f t="shared" si="91"/>
        <v>4.2365302141504052E-2</v>
      </c>
      <c r="AF91" s="625">
        <f t="shared" si="92"/>
        <v>7.9012415230664147E-3</v>
      </c>
      <c r="AG91" s="626">
        <f t="shared" si="93"/>
        <v>5.0266543664570465E-2</v>
      </c>
      <c r="AH91" s="624">
        <f t="shared" si="94"/>
        <v>0.26548734885882691</v>
      </c>
      <c r="AI91" s="625">
        <f t="shared" si="95"/>
        <v>0.63978225812130729</v>
      </c>
      <c r="AJ91" s="626">
        <f t="shared" si="96"/>
        <v>9.4730393019865772E-2</v>
      </c>
      <c r="AK91" s="616">
        <f t="shared" si="97"/>
        <v>16769</v>
      </c>
      <c r="AL91" s="617">
        <v>5876</v>
      </c>
      <c r="AM91" s="617">
        <v>10295</v>
      </c>
      <c r="AN91" s="618">
        <v>598</v>
      </c>
      <c r="AO91" s="272">
        <f t="shared" si="98"/>
        <v>0.11808905445659598</v>
      </c>
    </row>
    <row r="92" spans="1:41" x14ac:dyDescent="0.25">
      <c r="A92" s="270" t="s">
        <v>224</v>
      </c>
      <c r="B92" s="270" t="s">
        <v>225</v>
      </c>
      <c r="C92" s="270" t="s">
        <v>264</v>
      </c>
      <c r="D92" s="270">
        <v>2</v>
      </c>
      <c r="E92" s="616">
        <f t="shared" si="77"/>
        <v>6709</v>
      </c>
      <c r="F92" s="617">
        <f t="shared" si="78"/>
        <v>3666</v>
      </c>
      <c r="G92" s="617">
        <f t="shared" si="79"/>
        <v>2978</v>
      </c>
      <c r="H92" s="617">
        <f t="shared" si="80"/>
        <v>36</v>
      </c>
      <c r="I92" s="617">
        <f t="shared" si="81"/>
        <v>29</v>
      </c>
      <c r="J92" s="618">
        <f t="shared" si="82"/>
        <v>65</v>
      </c>
      <c r="K92" s="271">
        <f t="shared" si="83"/>
        <v>1233</v>
      </c>
      <c r="L92" s="617">
        <v>653</v>
      </c>
      <c r="M92" s="617">
        <v>571</v>
      </c>
      <c r="N92" s="617">
        <v>6</v>
      </c>
      <c r="O92" s="617">
        <v>3</v>
      </c>
      <c r="P92" s="617">
        <f t="shared" si="84"/>
        <v>9</v>
      </c>
      <c r="Q92" s="616">
        <f t="shared" si="85"/>
        <v>4165</v>
      </c>
      <c r="R92" s="617">
        <v>2325</v>
      </c>
      <c r="S92" s="617">
        <v>1794</v>
      </c>
      <c r="T92" s="617">
        <v>27</v>
      </c>
      <c r="U92" s="617">
        <v>19</v>
      </c>
      <c r="V92" s="618">
        <f t="shared" si="86"/>
        <v>46</v>
      </c>
      <c r="W92" s="616">
        <f t="shared" si="87"/>
        <v>1311</v>
      </c>
      <c r="X92" s="617">
        <v>688</v>
      </c>
      <c r="Y92" s="617">
        <v>613</v>
      </c>
      <c r="Z92" s="617">
        <v>3</v>
      </c>
      <c r="AA92" s="617">
        <v>7</v>
      </c>
      <c r="AB92" s="618">
        <f t="shared" si="88"/>
        <v>10</v>
      </c>
      <c r="AC92" s="624">
        <f t="shared" si="89"/>
        <v>0.54643016843046655</v>
      </c>
      <c r="AD92" s="625">
        <f t="shared" si="90"/>
        <v>0.4438813534058727</v>
      </c>
      <c r="AE92" s="625">
        <f t="shared" si="91"/>
        <v>5.365926367565956E-3</v>
      </c>
      <c r="AF92" s="625">
        <f t="shared" si="92"/>
        <v>4.3225517960947977E-3</v>
      </c>
      <c r="AG92" s="626">
        <f t="shared" si="93"/>
        <v>9.6884781636607537E-3</v>
      </c>
      <c r="AH92" s="624">
        <f t="shared" si="94"/>
        <v>0.18378297808913399</v>
      </c>
      <c r="AI92" s="625">
        <f t="shared" si="95"/>
        <v>0.6208078700253391</v>
      </c>
      <c r="AJ92" s="626">
        <f t="shared" si="96"/>
        <v>0.1954091518855269</v>
      </c>
      <c r="AK92" s="616">
        <f t="shared" si="97"/>
        <v>131</v>
      </c>
      <c r="AL92" s="617">
        <v>43</v>
      </c>
      <c r="AM92" s="617">
        <v>80</v>
      </c>
      <c r="AN92" s="618">
        <v>8</v>
      </c>
      <c r="AO92" s="272">
        <f t="shared" si="98"/>
        <v>1.9526009837531673E-2</v>
      </c>
    </row>
    <row r="93" spans="1:41" x14ac:dyDescent="0.25">
      <c r="A93" s="270" t="s">
        <v>226</v>
      </c>
      <c r="B93" s="270" t="s">
        <v>227</v>
      </c>
      <c r="C93" s="270" t="s">
        <v>264</v>
      </c>
      <c r="D93" s="270">
        <v>2</v>
      </c>
      <c r="E93" s="616">
        <f t="shared" si="77"/>
        <v>11715</v>
      </c>
      <c r="F93" s="617">
        <f t="shared" si="78"/>
        <v>4772</v>
      </c>
      <c r="G93" s="617">
        <f t="shared" si="79"/>
        <v>6818</v>
      </c>
      <c r="H93" s="617">
        <f t="shared" si="80"/>
        <v>69</v>
      </c>
      <c r="I93" s="617">
        <f t="shared" si="81"/>
        <v>56</v>
      </c>
      <c r="J93" s="618">
        <f t="shared" si="82"/>
        <v>125</v>
      </c>
      <c r="K93" s="271">
        <f t="shared" si="83"/>
        <v>1897</v>
      </c>
      <c r="L93" s="617">
        <v>775</v>
      </c>
      <c r="M93" s="617">
        <v>1095</v>
      </c>
      <c r="N93" s="617">
        <v>14</v>
      </c>
      <c r="O93" s="617">
        <v>13</v>
      </c>
      <c r="P93" s="617">
        <f t="shared" si="84"/>
        <v>27</v>
      </c>
      <c r="Q93" s="616">
        <f t="shared" si="85"/>
        <v>7885</v>
      </c>
      <c r="R93" s="617">
        <v>3065</v>
      </c>
      <c r="S93" s="617">
        <v>4736</v>
      </c>
      <c r="T93" s="617">
        <v>48</v>
      </c>
      <c r="U93" s="617">
        <v>36</v>
      </c>
      <c r="V93" s="618">
        <f t="shared" si="86"/>
        <v>84</v>
      </c>
      <c r="W93" s="616">
        <f t="shared" si="87"/>
        <v>1933</v>
      </c>
      <c r="X93" s="617">
        <v>932</v>
      </c>
      <c r="Y93" s="617">
        <v>987</v>
      </c>
      <c r="Z93" s="617">
        <v>7</v>
      </c>
      <c r="AA93" s="617">
        <v>7</v>
      </c>
      <c r="AB93" s="618">
        <f t="shared" si="88"/>
        <v>14</v>
      </c>
      <c r="AC93" s="624">
        <f t="shared" si="89"/>
        <v>0.40734101579172</v>
      </c>
      <c r="AD93" s="625">
        <f t="shared" si="90"/>
        <v>0.58198890311566365</v>
      </c>
      <c r="AE93" s="625">
        <f t="shared" si="91"/>
        <v>5.8898847631241999E-3</v>
      </c>
      <c r="AF93" s="625">
        <f t="shared" si="92"/>
        <v>4.7801963294921042E-3</v>
      </c>
      <c r="AG93" s="626">
        <f t="shared" si="93"/>
        <v>1.0670081092616303E-2</v>
      </c>
      <c r="AH93" s="624">
        <f t="shared" si="94"/>
        <v>0.16192915066154503</v>
      </c>
      <c r="AI93" s="625">
        <f t="shared" si="95"/>
        <v>0.67306871532223644</v>
      </c>
      <c r="AJ93" s="626">
        <f t="shared" si="96"/>
        <v>0.16500213401621852</v>
      </c>
      <c r="AK93" s="616">
        <f t="shared" si="97"/>
        <v>331</v>
      </c>
      <c r="AL93" s="617">
        <v>110</v>
      </c>
      <c r="AM93" s="617">
        <v>217</v>
      </c>
      <c r="AN93" s="618">
        <v>4</v>
      </c>
      <c r="AO93" s="272">
        <f t="shared" si="98"/>
        <v>2.8254374733247972E-2</v>
      </c>
    </row>
    <row r="94" spans="1:41" x14ac:dyDescent="0.25">
      <c r="A94" s="270" t="s">
        <v>228</v>
      </c>
      <c r="B94" s="270" t="s">
        <v>229</v>
      </c>
      <c r="C94" s="270" t="s">
        <v>268</v>
      </c>
      <c r="D94" s="270">
        <v>2</v>
      </c>
      <c r="E94" s="616">
        <f t="shared" si="77"/>
        <v>42899</v>
      </c>
      <c r="F94" s="617">
        <f t="shared" si="78"/>
        <v>40829</v>
      </c>
      <c r="G94" s="617">
        <f t="shared" si="79"/>
        <v>1643</v>
      </c>
      <c r="H94" s="617">
        <f t="shared" si="80"/>
        <v>348</v>
      </c>
      <c r="I94" s="617">
        <f t="shared" si="81"/>
        <v>79</v>
      </c>
      <c r="J94" s="618">
        <f t="shared" si="82"/>
        <v>427</v>
      </c>
      <c r="K94" s="271">
        <f t="shared" si="83"/>
        <v>8350</v>
      </c>
      <c r="L94" s="617">
        <v>7947</v>
      </c>
      <c r="M94" s="617">
        <v>319</v>
      </c>
      <c r="N94" s="617">
        <v>67</v>
      </c>
      <c r="O94" s="617">
        <v>17</v>
      </c>
      <c r="P94" s="617">
        <f t="shared" si="84"/>
        <v>84</v>
      </c>
      <c r="Q94" s="616">
        <f t="shared" si="85"/>
        <v>26003</v>
      </c>
      <c r="R94" s="617">
        <v>24607</v>
      </c>
      <c r="S94" s="617">
        <v>1147</v>
      </c>
      <c r="T94" s="617">
        <v>197</v>
      </c>
      <c r="U94" s="617">
        <v>52</v>
      </c>
      <c r="V94" s="618">
        <f t="shared" si="86"/>
        <v>249</v>
      </c>
      <c r="W94" s="616">
        <f t="shared" si="87"/>
        <v>8546</v>
      </c>
      <c r="X94" s="617">
        <v>8275</v>
      </c>
      <c r="Y94" s="617">
        <v>177</v>
      </c>
      <c r="Z94" s="617">
        <v>84</v>
      </c>
      <c r="AA94" s="617">
        <v>10</v>
      </c>
      <c r="AB94" s="618">
        <f t="shared" si="88"/>
        <v>94</v>
      </c>
      <c r="AC94" s="624">
        <f t="shared" si="89"/>
        <v>0.95174712697265673</v>
      </c>
      <c r="AD94" s="625">
        <f t="shared" si="90"/>
        <v>3.8299261055036248E-2</v>
      </c>
      <c r="AE94" s="625">
        <f t="shared" si="91"/>
        <v>8.1120772045968435E-3</v>
      </c>
      <c r="AF94" s="625">
        <f t="shared" si="92"/>
        <v>1.8415347677102031E-3</v>
      </c>
      <c r="AG94" s="626">
        <f t="shared" si="93"/>
        <v>9.9536119723070467E-3</v>
      </c>
      <c r="AH94" s="624">
        <f t="shared" si="94"/>
        <v>0.19464323177696449</v>
      </c>
      <c r="AI94" s="625">
        <f t="shared" si="95"/>
        <v>0.60614466537681533</v>
      </c>
      <c r="AJ94" s="626">
        <f t="shared" si="96"/>
        <v>0.19921210284622018</v>
      </c>
      <c r="AK94" s="616">
        <f t="shared" si="97"/>
        <v>388</v>
      </c>
      <c r="AL94" s="617">
        <v>111</v>
      </c>
      <c r="AM94" s="617">
        <v>249</v>
      </c>
      <c r="AN94" s="618">
        <v>28</v>
      </c>
      <c r="AO94" s="272">
        <f t="shared" si="98"/>
        <v>9.0444998717918827E-3</v>
      </c>
    </row>
    <row r="95" spans="1:41" x14ac:dyDescent="0.25">
      <c r="A95" s="270" t="s">
        <v>232</v>
      </c>
      <c r="B95" s="270" t="s">
        <v>233</v>
      </c>
      <c r="C95" s="270" t="s">
        <v>267</v>
      </c>
      <c r="D95" s="270">
        <v>2</v>
      </c>
      <c r="E95" s="616">
        <f t="shared" si="77"/>
        <v>39083</v>
      </c>
      <c r="F95" s="617">
        <f t="shared" si="78"/>
        <v>36052</v>
      </c>
      <c r="G95" s="617">
        <f t="shared" si="79"/>
        <v>2224</v>
      </c>
      <c r="H95" s="617">
        <f t="shared" si="80"/>
        <v>620</v>
      </c>
      <c r="I95" s="617">
        <f t="shared" si="81"/>
        <v>187</v>
      </c>
      <c r="J95" s="618">
        <f t="shared" si="82"/>
        <v>807</v>
      </c>
      <c r="K95" s="271">
        <f t="shared" si="83"/>
        <v>8843</v>
      </c>
      <c r="L95" s="617">
        <v>8003</v>
      </c>
      <c r="M95" s="617">
        <v>636</v>
      </c>
      <c r="N95" s="617">
        <v>158</v>
      </c>
      <c r="O95" s="617">
        <v>46</v>
      </c>
      <c r="P95" s="617">
        <f t="shared" si="84"/>
        <v>204</v>
      </c>
      <c r="Q95" s="616">
        <f t="shared" si="85"/>
        <v>24377</v>
      </c>
      <c r="R95" s="617">
        <v>22552</v>
      </c>
      <c r="S95" s="617">
        <v>1305</v>
      </c>
      <c r="T95" s="617">
        <v>398</v>
      </c>
      <c r="U95" s="617">
        <v>122</v>
      </c>
      <c r="V95" s="618">
        <f t="shared" si="86"/>
        <v>520</v>
      </c>
      <c r="W95" s="616">
        <f t="shared" si="87"/>
        <v>5863</v>
      </c>
      <c r="X95" s="617">
        <v>5497</v>
      </c>
      <c r="Y95" s="617">
        <v>283</v>
      </c>
      <c r="Z95" s="617">
        <v>64</v>
      </c>
      <c r="AA95" s="617">
        <v>19</v>
      </c>
      <c r="AB95" s="618">
        <f t="shared" si="88"/>
        <v>83</v>
      </c>
      <c r="AC95" s="624">
        <f t="shared" si="89"/>
        <v>0.92244709976204486</v>
      </c>
      <c r="AD95" s="625">
        <f t="shared" si="90"/>
        <v>5.6904536499245199E-2</v>
      </c>
      <c r="AE95" s="625">
        <f t="shared" si="91"/>
        <v>1.5863674743494614E-2</v>
      </c>
      <c r="AF95" s="625">
        <f t="shared" si="92"/>
        <v>4.7846889952153108E-3</v>
      </c>
      <c r="AG95" s="626">
        <f t="shared" si="93"/>
        <v>2.0648363738709926E-2</v>
      </c>
      <c r="AH95" s="624">
        <f t="shared" si="94"/>
        <v>0.22626205767213367</v>
      </c>
      <c r="AI95" s="625">
        <f t="shared" si="95"/>
        <v>0.62372386971317451</v>
      </c>
      <c r="AJ95" s="626">
        <f t="shared" si="96"/>
        <v>0.15001407261469182</v>
      </c>
      <c r="AK95" s="616">
        <f t="shared" si="97"/>
        <v>1656</v>
      </c>
      <c r="AL95" s="617">
        <v>598</v>
      </c>
      <c r="AM95" s="617">
        <v>969</v>
      </c>
      <c r="AN95" s="618">
        <v>89</v>
      </c>
      <c r="AO95" s="272">
        <f t="shared" si="98"/>
        <v>4.2371363508430779E-2</v>
      </c>
    </row>
    <row r="96" spans="1:41" x14ac:dyDescent="0.25">
      <c r="A96" s="270" t="s">
        <v>234</v>
      </c>
      <c r="B96" s="270" t="s">
        <v>235</v>
      </c>
      <c r="C96" s="270" t="s">
        <v>268</v>
      </c>
      <c r="D96" s="270">
        <v>2</v>
      </c>
      <c r="E96" s="616">
        <f t="shared" si="77"/>
        <v>54591</v>
      </c>
      <c r="F96" s="617">
        <f t="shared" si="78"/>
        <v>53164</v>
      </c>
      <c r="G96" s="617">
        <f t="shared" si="79"/>
        <v>941</v>
      </c>
      <c r="H96" s="617">
        <f t="shared" si="80"/>
        <v>365</v>
      </c>
      <c r="I96" s="617">
        <f t="shared" si="81"/>
        <v>121</v>
      </c>
      <c r="J96" s="618">
        <f t="shared" si="82"/>
        <v>486</v>
      </c>
      <c r="K96" s="271">
        <f t="shared" si="83"/>
        <v>10362</v>
      </c>
      <c r="L96" s="617">
        <v>9969</v>
      </c>
      <c r="M96" s="617">
        <v>267</v>
      </c>
      <c r="N96" s="617">
        <v>103</v>
      </c>
      <c r="O96" s="617">
        <v>23</v>
      </c>
      <c r="P96" s="617">
        <f t="shared" si="84"/>
        <v>126</v>
      </c>
      <c r="Q96" s="616">
        <f t="shared" si="85"/>
        <v>32869</v>
      </c>
      <c r="R96" s="617">
        <v>31991</v>
      </c>
      <c r="S96" s="617">
        <v>558</v>
      </c>
      <c r="T96" s="617">
        <v>235</v>
      </c>
      <c r="U96" s="617">
        <v>85</v>
      </c>
      <c r="V96" s="618">
        <f t="shared" si="86"/>
        <v>320</v>
      </c>
      <c r="W96" s="616">
        <f t="shared" si="87"/>
        <v>11360</v>
      </c>
      <c r="X96" s="617">
        <v>11204</v>
      </c>
      <c r="Y96" s="617">
        <v>116</v>
      </c>
      <c r="Z96" s="617">
        <v>27</v>
      </c>
      <c r="AA96" s="617">
        <v>13</v>
      </c>
      <c r="AB96" s="618">
        <f t="shared" si="88"/>
        <v>40</v>
      </c>
      <c r="AC96" s="624">
        <f t="shared" si="89"/>
        <v>0.97386016009965015</v>
      </c>
      <c r="AD96" s="625">
        <f t="shared" si="90"/>
        <v>1.7237273543258047E-2</v>
      </c>
      <c r="AE96" s="625">
        <f t="shared" si="91"/>
        <v>6.686083786704768E-3</v>
      </c>
      <c r="AF96" s="625">
        <f t="shared" si="92"/>
        <v>2.2164825703870602E-3</v>
      </c>
      <c r="AG96" s="626">
        <f t="shared" si="93"/>
        <v>8.902566357091829E-3</v>
      </c>
      <c r="AH96" s="624">
        <f t="shared" si="94"/>
        <v>0.18981150739132824</v>
      </c>
      <c r="AI96" s="625">
        <f t="shared" si="95"/>
        <v>0.60209558352109327</v>
      </c>
      <c r="AJ96" s="626">
        <f t="shared" si="96"/>
        <v>0.20809290908757855</v>
      </c>
      <c r="AK96" s="616">
        <f t="shared" si="97"/>
        <v>790</v>
      </c>
      <c r="AL96" s="617">
        <v>277</v>
      </c>
      <c r="AM96" s="617">
        <v>444</v>
      </c>
      <c r="AN96" s="618">
        <v>69</v>
      </c>
      <c r="AO96" s="272">
        <f t="shared" si="98"/>
        <v>1.4471249839717169E-2</v>
      </c>
    </row>
    <row r="97" spans="1:41" x14ac:dyDescent="0.25">
      <c r="A97" s="270" t="s">
        <v>236</v>
      </c>
      <c r="B97" s="270" t="s">
        <v>237</v>
      </c>
      <c r="C97" s="270" t="s">
        <v>266</v>
      </c>
      <c r="D97" s="270">
        <v>2</v>
      </c>
      <c r="E97" s="616">
        <f t="shared" si="77"/>
        <v>17629</v>
      </c>
      <c r="F97" s="617">
        <f t="shared" si="78"/>
        <v>12299</v>
      </c>
      <c r="G97" s="617">
        <f t="shared" si="79"/>
        <v>4999</v>
      </c>
      <c r="H97" s="617">
        <f t="shared" si="80"/>
        <v>187</v>
      </c>
      <c r="I97" s="617">
        <f t="shared" si="81"/>
        <v>144</v>
      </c>
      <c r="J97" s="618">
        <f t="shared" si="82"/>
        <v>331</v>
      </c>
      <c r="K97" s="271">
        <f t="shared" si="83"/>
        <v>3306</v>
      </c>
      <c r="L97" s="617">
        <v>2061</v>
      </c>
      <c r="M97" s="617">
        <v>1165</v>
      </c>
      <c r="N97" s="617">
        <v>48</v>
      </c>
      <c r="O97" s="617">
        <v>32</v>
      </c>
      <c r="P97" s="617">
        <f t="shared" si="84"/>
        <v>80</v>
      </c>
      <c r="Q97" s="616">
        <f t="shared" si="85"/>
        <v>10094</v>
      </c>
      <c r="R97" s="617">
        <v>7041</v>
      </c>
      <c r="S97" s="617">
        <v>2851</v>
      </c>
      <c r="T97" s="617">
        <v>115</v>
      </c>
      <c r="U97" s="617">
        <v>87</v>
      </c>
      <c r="V97" s="618">
        <f t="shared" si="86"/>
        <v>202</v>
      </c>
      <c r="W97" s="616">
        <f t="shared" si="87"/>
        <v>4229</v>
      </c>
      <c r="X97" s="617">
        <v>3197</v>
      </c>
      <c r="Y97" s="617">
        <v>983</v>
      </c>
      <c r="Z97" s="617">
        <v>24</v>
      </c>
      <c r="AA97" s="617">
        <v>25</v>
      </c>
      <c r="AB97" s="618">
        <f t="shared" si="88"/>
        <v>49</v>
      </c>
      <c r="AC97" s="624">
        <f t="shared" si="89"/>
        <v>0.69765726927222194</v>
      </c>
      <c r="AD97" s="625">
        <f t="shared" si="90"/>
        <v>0.28356685007657839</v>
      </c>
      <c r="AE97" s="625">
        <f t="shared" si="91"/>
        <v>1.0607521697203472E-2</v>
      </c>
      <c r="AF97" s="625">
        <f t="shared" si="92"/>
        <v>8.1683589539962558E-3</v>
      </c>
      <c r="AG97" s="626">
        <f t="shared" si="93"/>
        <v>1.8775880651199728E-2</v>
      </c>
      <c r="AH97" s="624">
        <f t="shared" si="94"/>
        <v>0.18753190765216404</v>
      </c>
      <c r="AI97" s="625">
        <f t="shared" si="95"/>
        <v>0.57257927278915421</v>
      </c>
      <c r="AJ97" s="626">
        <f t="shared" si="96"/>
        <v>0.23988881955868172</v>
      </c>
      <c r="AK97" s="616">
        <f t="shared" si="97"/>
        <v>1086</v>
      </c>
      <c r="AL97" s="617">
        <v>321</v>
      </c>
      <c r="AM97" s="617">
        <v>714</v>
      </c>
      <c r="AN97" s="618">
        <v>51</v>
      </c>
      <c r="AO97" s="272">
        <f t="shared" si="98"/>
        <v>6.1603040444721764E-2</v>
      </c>
    </row>
    <row r="98" spans="1:41" x14ac:dyDescent="0.25">
      <c r="A98" s="270" t="s">
        <v>242</v>
      </c>
      <c r="B98" s="270" t="s">
        <v>243</v>
      </c>
      <c r="C98" s="270" t="s">
        <v>268</v>
      </c>
      <c r="D98" s="270">
        <v>3</v>
      </c>
      <c r="E98" s="616">
        <f t="shared" si="77"/>
        <v>39718</v>
      </c>
      <c r="F98" s="617">
        <f t="shared" si="78"/>
        <v>37022</v>
      </c>
      <c r="G98" s="617">
        <f t="shared" si="79"/>
        <v>2449</v>
      </c>
      <c r="H98" s="617">
        <f t="shared" si="80"/>
        <v>183</v>
      </c>
      <c r="I98" s="617">
        <f t="shared" si="81"/>
        <v>64</v>
      </c>
      <c r="J98" s="618">
        <f t="shared" si="82"/>
        <v>247</v>
      </c>
      <c r="K98" s="271">
        <f t="shared" si="83"/>
        <v>7940</v>
      </c>
      <c r="L98" s="617">
        <v>7623</v>
      </c>
      <c r="M98" s="617">
        <v>276</v>
      </c>
      <c r="N98" s="617">
        <v>34</v>
      </c>
      <c r="O98" s="617">
        <v>7</v>
      </c>
      <c r="P98" s="617">
        <f t="shared" si="84"/>
        <v>41</v>
      </c>
      <c r="Q98" s="616">
        <f t="shared" si="85"/>
        <v>25355</v>
      </c>
      <c r="R98" s="617">
        <v>23102</v>
      </c>
      <c r="S98" s="617">
        <v>2093</v>
      </c>
      <c r="T98" s="617">
        <v>115</v>
      </c>
      <c r="U98" s="617">
        <v>45</v>
      </c>
      <c r="V98" s="618">
        <f t="shared" si="86"/>
        <v>160</v>
      </c>
      <c r="W98" s="616">
        <f t="shared" si="87"/>
        <v>6423</v>
      </c>
      <c r="X98" s="617">
        <v>6297</v>
      </c>
      <c r="Y98" s="617">
        <v>80</v>
      </c>
      <c r="Z98" s="617">
        <v>34</v>
      </c>
      <c r="AA98" s="617">
        <v>12</v>
      </c>
      <c r="AB98" s="618">
        <f t="shared" si="88"/>
        <v>46</v>
      </c>
      <c r="AC98" s="624">
        <f t="shared" si="89"/>
        <v>0.93212145626668008</v>
      </c>
      <c r="AD98" s="625">
        <f t="shared" si="90"/>
        <v>6.1659700891283552E-2</v>
      </c>
      <c r="AE98" s="625">
        <f t="shared" si="91"/>
        <v>4.6074827534115514E-3</v>
      </c>
      <c r="AF98" s="625">
        <f t="shared" si="92"/>
        <v>1.6113600886248048E-3</v>
      </c>
      <c r="AG98" s="626">
        <f t="shared" si="93"/>
        <v>6.218842842036356E-3</v>
      </c>
      <c r="AH98" s="624">
        <f t="shared" si="94"/>
        <v>0.19990936099501486</v>
      </c>
      <c r="AI98" s="625">
        <f t="shared" si="95"/>
        <v>0.63837554761065507</v>
      </c>
      <c r="AJ98" s="626">
        <f t="shared" si="96"/>
        <v>0.16171509139433002</v>
      </c>
      <c r="AK98" s="616">
        <f t="shared" si="97"/>
        <v>467</v>
      </c>
      <c r="AL98" s="617">
        <v>135</v>
      </c>
      <c r="AM98" s="617">
        <v>302</v>
      </c>
      <c r="AN98" s="618">
        <v>30</v>
      </c>
      <c r="AO98" s="272">
        <f t="shared" si="98"/>
        <v>1.1757893146684123E-2</v>
      </c>
    </row>
    <row r="99" spans="1:41" x14ac:dyDescent="0.25">
      <c r="A99" s="270" t="s">
        <v>244</v>
      </c>
      <c r="B99" s="270" t="s">
        <v>245</v>
      </c>
      <c r="C99" s="270" t="s">
        <v>268</v>
      </c>
      <c r="D99" s="270">
        <v>2</v>
      </c>
      <c r="E99" s="616">
        <f t="shared" si="77"/>
        <v>29119</v>
      </c>
      <c r="F99" s="617">
        <f t="shared" si="78"/>
        <v>27864</v>
      </c>
      <c r="G99" s="617">
        <f t="shared" si="79"/>
        <v>995</v>
      </c>
      <c r="H99" s="617">
        <f t="shared" si="80"/>
        <v>215</v>
      </c>
      <c r="I99" s="617">
        <f t="shared" si="81"/>
        <v>45</v>
      </c>
      <c r="J99" s="618">
        <f t="shared" si="82"/>
        <v>260</v>
      </c>
      <c r="K99" s="271">
        <f t="shared" si="83"/>
        <v>5837</v>
      </c>
      <c r="L99" s="617">
        <v>5503</v>
      </c>
      <c r="M99" s="617">
        <v>284</v>
      </c>
      <c r="N99" s="617">
        <v>41</v>
      </c>
      <c r="O99" s="617">
        <v>9</v>
      </c>
      <c r="P99" s="617">
        <f t="shared" si="84"/>
        <v>50</v>
      </c>
      <c r="Q99" s="616">
        <f t="shared" si="85"/>
        <v>17418</v>
      </c>
      <c r="R99" s="617">
        <v>16701</v>
      </c>
      <c r="S99" s="617">
        <v>543</v>
      </c>
      <c r="T99" s="617">
        <v>144</v>
      </c>
      <c r="U99" s="617">
        <v>30</v>
      </c>
      <c r="V99" s="618">
        <f t="shared" si="86"/>
        <v>174</v>
      </c>
      <c r="W99" s="616">
        <f t="shared" si="87"/>
        <v>5864</v>
      </c>
      <c r="X99" s="617">
        <v>5660</v>
      </c>
      <c r="Y99" s="617">
        <v>168</v>
      </c>
      <c r="Z99" s="617">
        <v>30</v>
      </c>
      <c r="AA99" s="617">
        <v>6</v>
      </c>
      <c r="AB99" s="618">
        <f t="shared" si="88"/>
        <v>36</v>
      </c>
      <c r="AC99" s="624">
        <f t="shared" si="89"/>
        <v>0.95690099247913729</v>
      </c>
      <c r="AD99" s="625">
        <f t="shared" si="90"/>
        <v>3.4170129468731755E-2</v>
      </c>
      <c r="AE99" s="625">
        <f t="shared" si="91"/>
        <v>7.383495312339023E-3</v>
      </c>
      <c r="AF99" s="625">
        <f t="shared" si="92"/>
        <v>1.5453827397918884E-3</v>
      </c>
      <c r="AG99" s="626">
        <f t="shared" si="93"/>
        <v>8.9288780521309119E-3</v>
      </c>
      <c r="AH99" s="624">
        <f t="shared" si="94"/>
        <v>0.20045331227033894</v>
      </c>
      <c r="AI99" s="625">
        <f t="shared" si="95"/>
        <v>0.59816614581544691</v>
      </c>
      <c r="AJ99" s="626">
        <f t="shared" si="96"/>
        <v>0.20138054191421409</v>
      </c>
      <c r="AK99" s="616">
        <f t="shared" si="97"/>
        <v>321</v>
      </c>
      <c r="AL99" s="617">
        <v>112</v>
      </c>
      <c r="AM99" s="617">
        <v>180</v>
      </c>
      <c r="AN99" s="618">
        <v>29</v>
      </c>
      <c r="AO99" s="272">
        <f t="shared" si="98"/>
        <v>1.102373021051547E-2</v>
      </c>
    </row>
    <row r="100" spans="1:41" x14ac:dyDescent="0.25">
      <c r="A100" s="270" t="s">
        <v>246</v>
      </c>
      <c r="B100" s="270" t="s">
        <v>247</v>
      </c>
      <c r="C100" s="270" t="s">
        <v>264</v>
      </c>
      <c r="D100" s="270">
        <v>2</v>
      </c>
      <c r="E100" s="616">
        <f t="shared" si="77"/>
        <v>79896</v>
      </c>
      <c r="F100" s="617">
        <f t="shared" si="78"/>
        <v>64674</v>
      </c>
      <c r="G100" s="617">
        <f t="shared" si="79"/>
        <v>9966</v>
      </c>
      <c r="H100" s="617">
        <f t="shared" si="80"/>
        <v>4853</v>
      </c>
      <c r="I100" s="617">
        <f t="shared" si="81"/>
        <v>403</v>
      </c>
      <c r="J100" s="618">
        <f t="shared" si="82"/>
        <v>5256</v>
      </c>
      <c r="K100" s="271">
        <f t="shared" si="83"/>
        <v>19130</v>
      </c>
      <c r="L100" s="617">
        <v>15106</v>
      </c>
      <c r="M100" s="617">
        <v>2598</v>
      </c>
      <c r="N100" s="617">
        <v>1329</v>
      </c>
      <c r="O100" s="617">
        <v>97</v>
      </c>
      <c r="P100" s="617">
        <f t="shared" si="84"/>
        <v>1426</v>
      </c>
      <c r="Q100" s="616">
        <f t="shared" si="85"/>
        <v>48414</v>
      </c>
      <c r="R100" s="617">
        <v>39032</v>
      </c>
      <c r="S100" s="617">
        <v>6081</v>
      </c>
      <c r="T100" s="617">
        <v>3035</v>
      </c>
      <c r="U100" s="617">
        <v>266</v>
      </c>
      <c r="V100" s="618">
        <f t="shared" si="86"/>
        <v>3301</v>
      </c>
      <c r="W100" s="616">
        <f t="shared" si="87"/>
        <v>12352</v>
      </c>
      <c r="X100" s="617">
        <v>10536</v>
      </c>
      <c r="Y100" s="617">
        <v>1287</v>
      </c>
      <c r="Z100" s="617">
        <v>489</v>
      </c>
      <c r="AA100" s="617">
        <v>40</v>
      </c>
      <c r="AB100" s="618">
        <f t="shared" si="88"/>
        <v>529</v>
      </c>
      <c r="AC100" s="624">
        <f t="shared" si="89"/>
        <v>0.80947732051667165</v>
      </c>
      <c r="AD100" s="625">
        <f t="shared" si="90"/>
        <v>0.12473715830579754</v>
      </c>
      <c r="AE100" s="625">
        <f t="shared" si="91"/>
        <v>6.0741463903073993E-2</v>
      </c>
      <c r="AF100" s="625">
        <f t="shared" si="92"/>
        <v>5.0440572744567935E-3</v>
      </c>
      <c r="AG100" s="626">
        <f t="shared" si="93"/>
        <v>6.5785521177530795E-2</v>
      </c>
      <c r="AH100" s="624">
        <f t="shared" si="94"/>
        <v>0.23943626714729149</v>
      </c>
      <c r="AI100" s="625">
        <f t="shared" si="95"/>
        <v>0.60596275157705015</v>
      </c>
      <c r="AJ100" s="626">
        <f t="shared" si="96"/>
        <v>0.15460098127565836</v>
      </c>
      <c r="AK100" s="616">
        <f t="shared" si="97"/>
        <v>4450</v>
      </c>
      <c r="AL100" s="617">
        <v>1552</v>
      </c>
      <c r="AM100" s="617">
        <v>2746</v>
      </c>
      <c r="AN100" s="618">
        <v>152</v>
      </c>
      <c r="AO100" s="272">
        <f t="shared" si="98"/>
        <v>5.5697406628617205E-2</v>
      </c>
    </row>
    <row r="101" spans="1:41" x14ac:dyDescent="0.25">
      <c r="A101" s="270" t="s">
        <v>14</v>
      </c>
      <c r="B101" s="270" t="s">
        <v>15</v>
      </c>
      <c r="C101" s="270" t="s">
        <v>267</v>
      </c>
      <c r="D101" s="270">
        <v>3</v>
      </c>
      <c r="E101" s="616">
        <f t="shared" si="77"/>
        <v>153511</v>
      </c>
      <c r="F101" s="617">
        <f t="shared" si="78"/>
        <v>104079</v>
      </c>
      <c r="G101" s="617">
        <f t="shared" si="79"/>
        <v>35983</v>
      </c>
      <c r="H101" s="617">
        <f t="shared" si="80"/>
        <v>12168</v>
      </c>
      <c r="I101" s="617">
        <f t="shared" si="81"/>
        <v>1281</v>
      </c>
      <c r="J101" s="618">
        <f t="shared" si="82"/>
        <v>13449</v>
      </c>
      <c r="K101" s="271">
        <f t="shared" si="83"/>
        <v>27554</v>
      </c>
      <c r="L101" s="617">
        <v>17839</v>
      </c>
      <c r="M101" s="617">
        <v>7584</v>
      </c>
      <c r="N101" s="617">
        <v>1829</v>
      </c>
      <c r="O101" s="617">
        <v>302</v>
      </c>
      <c r="P101" s="617">
        <f t="shared" si="84"/>
        <v>2131</v>
      </c>
      <c r="Q101" s="616">
        <f t="shared" si="85"/>
        <v>110083</v>
      </c>
      <c r="R101" s="617">
        <v>74103</v>
      </c>
      <c r="S101" s="617">
        <v>25746</v>
      </c>
      <c r="T101" s="617">
        <v>9323</v>
      </c>
      <c r="U101" s="617">
        <v>911</v>
      </c>
      <c r="V101" s="618">
        <f t="shared" si="86"/>
        <v>10234</v>
      </c>
      <c r="W101" s="616">
        <f t="shared" si="87"/>
        <v>15874</v>
      </c>
      <c r="X101" s="617">
        <v>12137</v>
      </c>
      <c r="Y101" s="617">
        <v>2653</v>
      </c>
      <c r="Z101" s="617">
        <v>1016</v>
      </c>
      <c r="AA101" s="617">
        <v>68</v>
      </c>
      <c r="AB101" s="618">
        <f t="shared" si="88"/>
        <v>1084</v>
      </c>
      <c r="AC101" s="624">
        <f t="shared" si="89"/>
        <v>0.67799050230928082</v>
      </c>
      <c r="AD101" s="625">
        <f t="shared" si="90"/>
        <v>0.23440014070652918</v>
      </c>
      <c r="AE101" s="625">
        <f t="shared" si="91"/>
        <v>7.926467810124356E-2</v>
      </c>
      <c r="AF101" s="625">
        <f t="shared" si="92"/>
        <v>8.3446788829464984E-3</v>
      </c>
      <c r="AG101" s="626">
        <f t="shared" si="93"/>
        <v>8.7609356984190062E-2</v>
      </c>
      <c r="AH101" s="624">
        <f t="shared" si="94"/>
        <v>0.17949202337291789</v>
      </c>
      <c r="AI101" s="625">
        <f t="shared" si="95"/>
        <v>0.71710170606666623</v>
      </c>
      <c r="AJ101" s="626">
        <f t="shared" si="96"/>
        <v>0.10340627056041586</v>
      </c>
      <c r="AK101" s="616">
        <f t="shared" si="97"/>
        <v>25573</v>
      </c>
      <c r="AL101" s="617">
        <v>6790</v>
      </c>
      <c r="AM101" s="617">
        <v>17680</v>
      </c>
      <c r="AN101" s="618">
        <v>1103</v>
      </c>
      <c r="AO101" s="272">
        <f t="shared" si="98"/>
        <v>0.16658741067415364</v>
      </c>
    </row>
    <row r="102" spans="1:41" x14ac:dyDescent="0.25">
      <c r="A102" s="270" t="s">
        <v>34</v>
      </c>
      <c r="B102" s="270" t="s">
        <v>35</v>
      </c>
      <c r="C102" s="270" t="s">
        <v>268</v>
      </c>
      <c r="D102" s="270">
        <v>2</v>
      </c>
      <c r="E102" s="616">
        <f t="shared" ref="E102:E125" si="99">SUM(F102:I102)</f>
        <v>17141</v>
      </c>
      <c r="F102" s="617">
        <f t="shared" ref="F102:F125" si="100">L102+R102+X102</f>
        <v>15711</v>
      </c>
      <c r="G102" s="617">
        <f t="shared" ref="G102:G125" si="101">M102+S102+Y102</f>
        <v>1123</v>
      </c>
      <c r="H102" s="617">
        <f t="shared" ref="H102:H125" si="102">N102+T102+Z102</f>
        <v>240</v>
      </c>
      <c r="I102" s="617">
        <f t="shared" ref="I102:I125" si="103">O102+U102+AA102</f>
        <v>67</v>
      </c>
      <c r="J102" s="618">
        <f t="shared" ref="J102:J125" si="104">H102+I102</f>
        <v>307</v>
      </c>
      <c r="K102" s="271">
        <f t="shared" ref="K102:K125" si="105">SUM(L102:O102)</f>
        <v>3408</v>
      </c>
      <c r="L102" s="617">
        <v>2966</v>
      </c>
      <c r="M102" s="617">
        <v>355</v>
      </c>
      <c r="N102" s="617">
        <v>74</v>
      </c>
      <c r="O102" s="617">
        <v>13</v>
      </c>
      <c r="P102" s="617">
        <f t="shared" ref="P102:P125" si="106">N102+O102</f>
        <v>87</v>
      </c>
      <c r="Q102" s="616">
        <f t="shared" ref="Q102:Q125" si="107">SUM(R102:U102)</f>
        <v>10320</v>
      </c>
      <c r="R102" s="617">
        <v>9480</v>
      </c>
      <c r="S102" s="617">
        <v>650</v>
      </c>
      <c r="T102" s="617">
        <v>142</v>
      </c>
      <c r="U102" s="617">
        <v>48</v>
      </c>
      <c r="V102" s="618">
        <f t="shared" ref="V102:V125" si="108">T102+U102</f>
        <v>190</v>
      </c>
      <c r="W102" s="616">
        <f t="shared" ref="W102:W125" si="109">SUM(X102:AA102)</f>
        <v>3413</v>
      </c>
      <c r="X102" s="617">
        <v>3265</v>
      </c>
      <c r="Y102" s="617">
        <v>118</v>
      </c>
      <c r="Z102" s="617">
        <v>24</v>
      </c>
      <c r="AA102" s="617">
        <v>6</v>
      </c>
      <c r="AB102" s="618">
        <f t="shared" ref="AB102:AB125" si="110">Z102+AA102</f>
        <v>30</v>
      </c>
      <c r="AC102" s="624">
        <f t="shared" ref="AC102:AC125" si="111">F102/E102</f>
        <v>0.91657429554868441</v>
      </c>
      <c r="AD102" s="625">
        <f t="shared" ref="AD102:AD125" si="112">G102/E102</f>
        <v>6.5515430838340827E-2</v>
      </c>
      <c r="AE102" s="625">
        <f t="shared" ref="AE102:AE125" si="113">H102/E102</f>
        <v>1.4001516830990024E-2</v>
      </c>
      <c r="AF102" s="625">
        <f t="shared" ref="AF102:AF125" si="114">I102/E102</f>
        <v>3.908756781984715E-3</v>
      </c>
      <c r="AG102" s="626">
        <f t="shared" ref="AG102:AG125" si="115">J102/E102</f>
        <v>1.7910273612974738E-2</v>
      </c>
      <c r="AH102" s="624">
        <f t="shared" ref="AH102:AH125" si="116">K102/E102</f>
        <v>0.19882153900005833</v>
      </c>
      <c r="AI102" s="625">
        <f t="shared" ref="AI102:AI125" si="117">Q102/E102</f>
        <v>0.60206522373257099</v>
      </c>
      <c r="AJ102" s="626">
        <f t="shared" ref="AJ102:AJ125" si="118">W102/E102</f>
        <v>0.19911323726737062</v>
      </c>
      <c r="AK102" s="616">
        <f t="shared" ref="AK102:AK125" si="119">SUM(AL102:AN102)</f>
        <v>303</v>
      </c>
      <c r="AL102" s="617">
        <v>92</v>
      </c>
      <c r="AM102" s="617">
        <v>195</v>
      </c>
      <c r="AN102" s="618">
        <v>16</v>
      </c>
      <c r="AO102" s="272">
        <f t="shared" ref="AO102:AO125" si="120">AK102/E102</f>
        <v>1.7676914999124906E-2</v>
      </c>
    </row>
    <row r="103" spans="1:41" x14ac:dyDescent="0.25">
      <c r="A103" s="270" t="s">
        <v>52</v>
      </c>
      <c r="B103" s="270" t="s">
        <v>53</v>
      </c>
      <c r="C103" s="270" t="s">
        <v>265</v>
      </c>
      <c r="D103" s="270">
        <v>3</v>
      </c>
      <c r="E103" s="616">
        <f t="shared" si="99"/>
        <v>46597</v>
      </c>
      <c r="F103" s="617">
        <f t="shared" si="100"/>
        <v>33456</v>
      </c>
      <c r="G103" s="617">
        <f t="shared" si="101"/>
        <v>9402</v>
      </c>
      <c r="H103" s="617">
        <f t="shared" si="102"/>
        <v>3570</v>
      </c>
      <c r="I103" s="617">
        <f t="shared" si="103"/>
        <v>169</v>
      </c>
      <c r="J103" s="618">
        <f t="shared" si="104"/>
        <v>3739</v>
      </c>
      <c r="K103" s="271">
        <f t="shared" si="105"/>
        <v>7407</v>
      </c>
      <c r="L103" s="617">
        <v>4656</v>
      </c>
      <c r="M103" s="617">
        <v>2248</v>
      </c>
      <c r="N103" s="617">
        <v>476</v>
      </c>
      <c r="O103" s="617">
        <v>27</v>
      </c>
      <c r="P103" s="617">
        <f t="shared" si="106"/>
        <v>503</v>
      </c>
      <c r="Q103" s="616">
        <f t="shared" si="107"/>
        <v>34730</v>
      </c>
      <c r="R103" s="617">
        <v>25289</v>
      </c>
      <c r="S103" s="617">
        <v>6293</v>
      </c>
      <c r="T103" s="617">
        <v>3017</v>
      </c>
      <c r="U103" s="617">
        <v>131</v>
      </c>
      <c r="V103" s="618">
        <f t="shared" si="108"/>
        <v>3148</v>
      </c>
      <c r="W103" s="616">
        <f t="shared" si="109"/>
        <v>4460</v>
      </c>
      <c r="X103" s="617">
        <v>3511</v>
      </c>
      <c r="Y103" s="617">
        <v>861</v>
      </c>
      <c r="Z103" s="617">
        <v>77</v>
      </c>
      <c r="AA103" s="617">
        <v>11</v>
      </c>
      <c r="AB103" s="618">
        <f t="shared" si="110"/>
        <v>88</v>
      </c>
      <c r="AC103" s="624">
        <f t="shared" si="111"/>
        <v>0.7179861364465524</v>
      </c>
      <c r="AD103" s="625">
        <f t="shared" si="112"/>
        <v>0.20177264630770222</v>
      </c>
      <c r="AE103" s="625">
        <f t="shared" si="113"/>
        <v>7.661437431594309E-2</v>
      </c>
      <c r="AF103" s="625">
        <f t="shared" si="114"/>
        <v>3.6268429298023479E-3</v>
      </c>
      <c r="AG103" s="626">
        <f t="shared" si="115"/>
        <v>8.0241217245745428E-2</v>
      </c>
      <c r="AH103" s="624">
        <f t="shared" si="116"/>
        <v>0.15895873124879284</v>
      </c>
      <c r="AI103" s="625">
        <f t="shared" si="117"/>
        <v>0.74532695237890856</v>
      </c>
      <c r="AJ103" s="626">
        <f t="shared" si="118"/>
        <v>9.5714316372298644E-2</v>
      </c>
      <c r="AK103" s="616">
        <f t="shared" si="119"/>
        <v>2341</v>
      </c>
      <c r="AL103" s="617">
        <v>652</v>
      </c>
      <c r="AM103" s="617">
        <v>1621</v>
      </c>
      <c r="AN103" s="618">
        <v>68</v>
      </c>
      <c r="AO103" s="272">
        <f t="shared" si="120"/>
        <v>5.0239285790930746E-2</v>
      </c>
    </row>
    <row r="104" spans="1:41" x14ac:dyDescent="0.25">
      <c r="A104" s="270" t="s">
        <v>54</v>
      </c>
      <c r="B104" s="270" t="s">
        <v>55</v>
      </c>
      <c r="C104" s="270" t="s">
        <v>264</v>
      </c>
      <c r="D104" s="270">
        <v>3</v>
      </c>
      <c r="E104" s="616">
        <f t="shared" si="99"/>
        <v>235429</v>
      </c>
      <c r="F104" s="617">
        <f t="shared" si="100"/>
        <v>151099</v>
      </c>
      <c r="G104" s="617">
        <f t="shared" si="101"/>
        <v>73375</v>
      </c>
      <c r="H104" s="617">
        <f t="shared" si="102"/>
        <v>9637</v>
      </c>
      <c r="I104" s="617">
        <f t="shared" si="103"/>
        <v>1318</v>
      </c>
      <c r="J104" s="618">
        <f t="shared" si="104"/>
        <v>10955</v>
      </c>
      <c r="K104" s="271">
        <f t="shared" si="105"/>
        <v>56918</v>
      </c>
      <c r="L104" s="617">
        <v>35289</v>
      </c>
      <c r="M104" s="617">
        <v>19009</v>
      </c>
      <c r="N104" s="617">
        <v>2328</v>
      </c>
      <c r="O104" s="617">
        <v>292</v>
      </c>
      <c r="P104" s="617">
        <f t="shared" si="106"/>
        <v>2620</v>
      </c>
      <c r="Q104" s="616">
        <f t="shared" si="107"/>
        <v>149777</v>
      </c>
      <c r="R104" s="617">
        <v>96092</v>
      </c>
      <c r="S104" s="617">
        <v>46402</v>
      </c>
      <c r="T104" s="617">
        <v>6366</v>
      </c>
      <c r="U104" s="617">
        <v>917</v>
      </c>
      <c r="V104" s="618">
        <f t="shared" si="108"/>
        <v>7283</v>
      </c>
      <c r="W104" s="616">
        <f t="shared" si="109"/>
        <v>28734</v>
      </c>
      <c r="X104" s="617">
        <v>19718</v>
      </c>
      <c r="Y104" s="617">
        <v>7964</v>
      </c>
      <c r="Z104" s="617">
        <v>943</v>
      </c>
      <c r="AA104" s="617">
        <v>109</v>
      </c>
      <c r="AB104" s="618">
        <f t="shared" si="110"/>
        <v>1052</v>
      </c>
      <c r="AC104" s="624">
        <f t="shared" si="111"/>
        <v>0.64180283652396264</v>
      </c>
      <c r="AD104" s="625">
        <f t="shared" si="112"/>
        <v>0.31166508798831072</v>
      </c>
      <c r="AE104" s="625">
        <f t="shared" si="113"/>
        <v>4.0933784707916185E-2</v>
      </c>
      <c r="AF104" s="625">
        <f t="shared" si="114"/>
        <v>5.5982907798104737E-3</v>
      </c>
      <c r="AG104" s="626">
        <f t="shared" si="115"/>
        <v>4.6532075487726664E-2</v>
      </c>
      <c r="AH104" s="624">
        <f t="shared" si="116"/>
        <v>0.24176290941217946</v>
      </c>
      <c r="AI104" s="625">
        <f t="shared" si="117"/>
        <v>0.63618755548381889</v>
      </c>
      <c r="AJ104" s="626">
        <f t="shared" si="118"/>
        <v>0.12204953510400163</v>
      </c>
      <c r="AK104" s="616">
        <f t="shared" si="119"/>
        <v>12958</v>
      </c>
      <c r="AL104" s="617">
        <v>4483</v>
      </c>
      <c r="AM104" s="617">
        <v>7988</v>
      </c>
      <c r="AN104" s="618">
        <v>487</v>
      </c>
      <c r="AO104" s="272">
        <f t="shared" si="120"/>
        <v>5.503994834960859E-2</v>
      </c>
    </row>
    <row r="105" spans="1:41" x14ac:dyDescent="0.25">
      <c r="A105" s="270" t="s">
        <v>66</v>
      </c>
      <c r="B105" s="270" t="s">
        <v>67</v>
      </c>
      <c r="C105" s="270" t="s">
        <v>265</v>
      </c>
      <c r="D105" s="270">
        <v>3</v>
      </c>
      <c r="E105" s="616">
        <f t="shared" si="99"/>
        <v>42082</v>
      </c>
      <c r="F105" s="617">
        <f t="shared" si="100"/>
        <v>20116</v>
      </c>
      <c r="G105" s="617">
        <f t="shared" si="101"/>
        <v>21218</v>
      </c>
      <c r="H105" s="617">
        <f t="shared" si="102"/>
        <v>574</v>
      </c>
      <c r="I105" s="617">
        <f t="shared" si="103"/>
        <v>174</v>
      </c>
      <c r="J105" s="618">
        <f t="shared" si="104"/>
        <v>748</v>
      </c>
      <c r="K105" s="271">
        <f t="shared" si="105"/>
        <v>9255</v>
      </c>
      <c r="L105" s="617">
        <v>3496</v>
      </c>
      <c r="M105" s="617">
        <v>5576</v>
      </c>
      <c r="N105" s="617">
        <v>148</v>
      </c>
      <c r="O105" s="617">
        <v>35</v>
      </c>
      <c r="P105" s="617">
        <f t="shared" si="106"/>
        <v>183</v>
      </c>
      <c r="Q105" s="616">
        <f t="shared" si="107"/>
        <v>24347</v>
      </c>
      <c r="R105" s="617">
        <v>10956</v>
      </c>
      <c r="S105" s="617">
        <v>12894</v>
      </c>
      <c r="T105" s="617">
        <v>382</v>
      </c>
      <c r="U105" s="617">
        <v>115</v>
      </c>
      <c r="V105" s="618">
        <f t="shared" si="108"/>
        <v>497</v>
      </c>
      <c r="W105" s="616">
        <f t="shared" si="109"/>
        <v>8480</v>
      </c>
      <c r="X105" s="617">
        <v>5664</v>
      </c>
      <c r="Y105" s="617">
        <v>2748</v>
      </c>
      <c r="Z105" s="617">
        <v>44</v>
      </c>
      <c r="AA105" s="617">
        <v>24</v>
      </c>
      <c r="AB105" s="618">
        <f t="shared" si="110"/>
        <v>68</v>
      </c>
      <c r="AC105" s="624">
        <f t="shared" si="111"/>
        <v>0.47801910555581961</v>
      </c>
      <c r="AD105" s="625">
        <f t="shared" si="112"/>
        <v>0.50420607385580529</v>
      </c>
      <c r="AE105" s="625">
        <f t="shared" si="113"/>
        <v>1.3640036119956275E-2</v>
      </c>
      <c r="AF105" s="625">
        <f t="shared" si="114"/>
        <v>4.134784468418801E-3</v>
      </c>
      <c r="AG105" s="626">
        <f t="shared" si="115"/>
        <v>1.7774820588375078E-2</v>
      </c>
      <c r="AH105" s="624">
        <f t="shared" si="116"/>
        <v>0.21992776008744833</v>
      </c>
      <c r="AI105" s="625">
        <f t="shared" si="117"/>
        <v>0.57856090489995726</v>
      </c>
      <c r="AJ105" s="626">
        <f t="shared" si="118"/>
        <v>0.20151133501259447</v>
      </c>
      <c r="AK105" s="616">
        <f t="shared" si="119"/>
        <v>1605</v>
      </c>
      <c r="AL105" s="617">
        <v>684</v>
      </c>
      <c r="AM105" s="617">
        <v>857</v>
      </c>
      <c r="AN105" s="618">
        <v>64</v>
      </c>
      <c r="AO105" s="272">
        <f t="shared" si="120"/>
        <v>3.8139822251794117E-2</v>
      </c>
    </row>
    <row r="106" spans="1:41" x14ac:dyDescent="0.25">
      <c r="A106" s="270" t="s">
        <v>82</v>
      </c>
      <c r="B106" s="270" t="s">
        <v>311</v>
      </c>
      <c r="C106" s="270" t="s">
        <v>264</v>
      </c>
      <c r="D106" s="270">
        <v>2</v>
      </c>
      <c r="E106" s="616">
        <f t="shared" si="99"/>
        <v>8490</v>
      </c>
      <c r="F106" s="617">
        <f t="shared" si="100"/>
        <v>3400</v>
      </c>
      <c r="G106" s="617">
        <f t="shared" si="101"/>
        <v>4963</v>
      </c>
      <c r="H106" s="617">
        <f t="shared" si="102"/>
        <v>88</v>
      </c>
      <c r="I106" s="617">
        <f t="shared" si="103"/>
        <v>39</v>
      </c>
      <c r="J106" s="618">
        <f t="shared" si="104"/>
        <v>127</v>
      </c>
      <c r="K106" s="271">
        <f t="shared" si="105"/>
        <v>2161</v>
      </c>
      <c r="L106" s="617">
        <v>668</v>
      </c>
      <c r="M106" s="617">
        <v>1463</v>
      </c>
      <c r="N106" s="617">
        <v>20</v>
      </c>
      <c r="O106" s="617">
        <v>10</v>
      </c>
      <c r="P106" s="617">
        <f t="shared" si="106"/>
        <v>30</v>
      </c>
      <c r="Q106" s="616">
        <f t="shared" si="107"/>
        <v>4799</v>
      </c>
      <c r="R106" s="617">
        <v>1842</v>
      </c>
      <c r="S106" s="617">
        <v>2870</v>
      </c>
      <c r="T106" s="617">
        <v>63</v>
      </c>
      <c r="U106" s="617">
        <v>24</v>
      </c>
      <c r="V106" s="618">
        <f t="shared" si="108"/>
        <v>87</v>
      </c>
      <c r="W106" s="616">
        <f t="shared" si="109"/>
        <v>1530</v>
      </c>
      <c r="X106" s="617">
        <v>890</v>
      </c>
      <c r="Y106" s="617">
        <v>630</v>
      </c>
      <c r="Z106" s="617">
        <v>5</v>
      </c>
      <c r="AA106" s="617">
        <v>5</v>
      </c>
      <c r="AB106" s="618">
        <f t="shared" si="110"/>
        <v>10</v>
      </c>
      <c r="AC106" s="624">
        <f t="shared" si="111"/>
        <v>0.4004711425206125</v>
      </c>
      <c r="AD106" s="625">
        <f t="shared" si="112"/>
        <v>0.58457008244994113</v>
      </c>
      <c r="AE106" s="625">
        <f t="shared" si="113"/>
        <v>1.0365135453474675E-2</v>
      </c>
      <c r="AF106" s="625">
        <f t="shared" si="114"/>
        <v>4.5936395759717313E-3</v>
      </c>
      <c r="AG106" s="626">
        <f t="shared" si="115"/>
        <v>1.4958775029446408E-2</v>
      </c>
      <c r="AH106" s="624">
        <f t="shared" si="116"/>
        <v>0.25453474676089516</v>
      </c>
      <c r="AI106" s="625">
        <f t="shared" si="117"/>
        <v>0.56525323910482916</v>
      </c>
      <c r="AJ106" s="626">
        <f t="shared" si="118"/>
        <v>0.18021201413427562</v>
      </c>
      <c r="AK106" s="616">
        <f t="shared" si="119"/>
        <v>168</v>
      </c>
      <c r="AL106" s="617">
        <v>64</v>
      </c>
      <c r="AM106" s="617">
        <v>94</v>
      </c>
      <c r="AN106" s="618">
        <v>10</v>
      </c>
      <c r="AO106" s="272">
        <f t="shared" si="120"/>
        <v>1.9787985865724382E-2</v>
      </c>
    </row>
    <row r="107" spans="1:41" x14ac:dyDescent="0.25">
      <c r="A107" s="270" t="s">
        <v>88</v>
      </c>
      <c r="B107" s="270" t="s">
        <v>89</v>
      </c>
      <c r="C107" s="270" t="s">
        <v>267</v>
      </c>
      <c r="D107" s="270">
        <v>2</v>
      </c>
      <c r="E107" s="616">
        <f t="shared" si="99"/>
        <v>28118</v>
      </c>
      <c r="F107" s="617">
        <f t="shared" si="100"/>
        <v>19729</v>
      </c>
      <c r="G107" s="617">
        <f t="shared" si="101"/>
        <v>7169</v>
      </c>
      <c r="H107" s="617">
        <f t="shared" si="102"/>
        <v>1007</v>
      </c>
      <c r="I107" s="617">
        <f t="shared" si="103"/>
        <v>213</v>
      </c>
      <c r="J107" s="618">
        <f t="shared" si="104"/>
        <v>1220</v>
      </c>
      <c r="K107" s="271">
        <f t="shared" si="105"/>
        <v>5823</v>
      </c>
      <c r="L107" s="617">
        <v>3653</v>
      </c>
      <c r="M107" s="617">
        <v>1891</v>
      </c>
      <c r="N107" s="617">
        <v>234</v>
      </c>
      <c r="O107" s="617">
        <v>45</v>
      </c>
      <c r="P107" s="617">
        <f t="shared" si="106"/>
        <v>279</v>
      </c>
      <c r="Q107" s="616">
        <f t="shared" si="107"/>
        <v>19346</v>
      </c>
      <c r="R107" s="617">
        <v>13734</v>
      </c>
      <c r="S107" s="617">
        <v>4753</v>
      </c>
      <c r="T107" s="617">
        <v>700</v>
      </c>
      <c r="U107" s="617">
        <v>159</v>
      </c>
      <c r="V107" s="618">
        <f t="shared" si="108"/>
        <v>859</v>
      </c>
      <c r="W107" s="616">
        <f t="shared" si="109"/>
        <v>2949</v>
      </c>
      <c r="X107" s="617">
        <v>2342</v>
      </c>
      <c r="Y107" s="617">
        <v>525</v>
      </c>
      <c r="Z107" s="617">
        <v>73</v>
      </c>
      <c r="AA107" s="617">
        <v>9</v>
      </c>
      <c r="AB107" s="618">
        <f t="shared" si="110"/>
        <v>82</v>
      </c>
      <c r="AC107" s="624">
        <f t="shared" si="111"/>
        <v>0.70165018849135785</v>
      </c>
      <c r="AD107" s="625">
        <f t="shared" si="112"/>
        <v>0.25496123479621596</v>
      </c>
      <c r="AE107" s="625">
        <f t="shared" si="113"/>
        <v>3.5813357991322285E-2</v>
      </c>
      <c r="AF107" s="625">
        <f t="shared" si="114"/>
        <v>7.5752187211039195E-3</v>
      </c>
      <c r="AG107" s="626">
        <f t="shared" si="115"/>
        <v>4.3388576712426206E-2</v>
      </c>
      <c r="AH107" s="624">
        <f t="shared" si="116"/>
        <v>0.20709154278398179</v>
      </c>
      <c r="AI107" s="625">
        <f t="shared" si="117"/>
        <v>0.68802902055622728</v>
      </c>
      <c r="AJ107" s="626">
        <f t="shared" si="118"/>
        <v>0.10487943665979088</v>
      </c>
      <c r="AK107" s="616">
        <f t="shared" si="119"/>
        <v>3238</v>
      </c>
      <c r="AL107" s="617">
        <v>1315</v>
      </c>
      <c r="AM107" s="617">
        <v>1825</v>
      </c>
      <c r="AN107" s="618">
        <v>98</v>
      </c>
      <c r="AO107" s="272">
        <f t="shared" si="120"/>
        <v>0.1151575503236361</v>
      </c>
    </row>
    <row r="108" spans="1:41" x14ac:dyDescent="0.25">
      <c r="A108" s="270" t="s">
        <v>90</v>
      </c>
      <c r="B108" s="270" t="s">
        <v>91</v>
      </c>
      <c r="C108" s="270" t="s">
        <v>268</v>
      </c>
      <c r="D108" s="270">
        <v>1</v>
      </c>
      <c r="E108" s="616">
        <f t="shared" si="99"/>
        <v>6914</v>
      </c>
      <c r="F108" s="617">
        <f t="shared" si="100"/>
        <v>6269</v>
      </c>
      <c r="G108" s="617">
        <f t="shared" si="101"/>
        <v>555</v>
      </c>
      <c r="H108" s="617">
        <f t="shared" si="102"/>
        <v>68</v>
      </c>
      <c r="I108" s="617">
        <f t="shared" si="103"/>
        <v>22</v>
      </c>
      <c r="J108" s="618">
        <f t="shared" si="104"/>
        <v>90</v>
      </c>
      <c r="K108" s="271">
        <f t="shared" si="105"/>
        <v>1640</v>
      </c>
      <c r="L108" s="617">
        <v>1432</v>
      </c>
      <c r="M108" s="617">
        <v>191</v>
      </c>
      <c r="N108" s="617">
        <v>13</v>
      </c>
      <c r="O108" s="617">
        <v>4</v>
      </c>
      <c r="P108" s="617">
        <f t="shared" si="106"/>
        <v>17</v>
      </c>
      <c r="Q108" s="616">
        <f t="shared" si="107"/>
        <v>3867</v>
      </c>
      <c r="R108" s="617">
        <v>3513</v>
      </c>
      <c r="S108" s="617">
        <v>291</v>
      </c>
      <c r="T108" s="617">
        <v>49</v>
      </c>
      <c r="U108" s="617">
        <v>14</v>
      </c>
      <c r="V108" s="618">
        <f t="shared" si="108"/>
        <v>63</v>
      </c>
      <c r="W108" s="616">
        <f t="shared" si="109"/>
        <v>1407</v>
      </c>
      <c r="X108" s="617">
        <v>1324</v>
      </c>
      <c r="Y108" s="617">
        <v>73</v>
      </c>
      <c r="Z108" s="617">
        <v>6</v>
      </c>
      <c r="AA108" s="617">
        <v>4</v>
      </c>
      <c r="AB108" s="618">
        <f t="shared" si="110"/>
        <v>10</v>
      </c>
      <c r="AC108" s="624">
        <f t="shared" si="111"/>
        <v>0.90671102111657509</v>
      </c>
      <c r="AD108" s="625">
        <f t="shared" si="112"/>
        <v>8.0271912062481923E-2</v>
      </c>
      <c r="AE108" s="625">
        <f t="shared" si="113"/>
        <v>9.8351171536013877E-3</v>
      </c>
      <c r="AF108" s="625">
        <f t="shared" si="114"/>
        <v>3.1819496673416259E-3</v>
      </c>
      <c r="AG108" s="626">
        <f t="shared" si="115"/>
        <v>1.3017066820943014E-2</v>
      </c>
      <c r="AH108" s="624">
        <f t="shared" si="116"/>
        <v>0.23719988429273936</v>
      </c>
      <c r="AI108" s="625">
        <f t="shared" si="117"/>
        <v>0.55929997107318485</v>
      </c>
      <c r="AJ108" s="626">
        <f t="shared" si="118"/>
        <v>0.20350014463407579</v>
      </c>
      <c r="AK108" s="616">
        <f t="shared" si="119"/>
        <v>1021</v>
      </c>
      <c r="AL108" s="617">
        <v>483</v>
      </c>
      <c r="AM108" s="617">
        <v>510</v>
      </c>
      <c r="AN108" s="618">
        <v>28</v>
      </c>
      <c r="AO108" s="272">
        <f t="shared" si="120"/>
        <v>0.14767139137980909</v>
      </c>
    </row>
    <row r="109" spans="1:41" x14ac:dyDescent="0.25">
      <c r="A109" s="270" t="s">
        <v>106</v>
      </c>
      <c r="B109" s="270" t="s">
        <v>107</v>
      </c>
      <c r="C109" s="270" t="s">
        <v>264</v>
      </c>
      <c r="D109" s="270">
        <v>3</v>
      </c>
      <c r="E109" s="616">
        <f t="shared" si="99"/>
        <v>136454</v>
      </c>
      <c r="F109" s="617">
        <f t="shared" si="100"/>
        <v>60558</v>
      </c>
      <c r="G109" s="617">
        <f t="shared" si="101"/>
        <v>70854</v>
      </c>
      <c r="H109" s="617">
        <f t="shared" si="102"/>
        <v>4125</v>
      </c>
      <c r="I109" s="617">
        <f t="shared" si="103"/>
        <v>917</v>
      </c>
      <c r="J109" s="618">
        <f t="shared" si="104"/>
        <v>5042</v>
      </c>
      <c r="K109" s="271">
        <f t="shared" si="105"/>
        <v>29445</v>
      </c>
      <c r="L109" s="617">
        <v>11344</v>
      </c>
      <c r="M109" s="617">
        <v>17059</v>
      </c>
      <c r="N109" s="617">
        <v>835</v>
      </c>
      <c r="O109" s="617">
        <v>207</v>
      </c>
      <c r="P109" s="617">
        <f t="shared" si="106"/>
        <v>1042</v>
      </c>
      <c r="Q109" s="616">
        <f t="shared" si="107"/>
        <v>87792</v>
      </c>
      <c r="R109" s="617">
        <v>39464</v>
      </c>
      <c r="S109" s="617">
        <v>44936</v>
      </c>
      <c r="T109" s="617">
        <v>2776</v>
      </c>
      <c r="U109" s="617">
        <v>616</v>
      </c>
      <c r="V109" s="618">
        <f t="shared" si="108"/>
        <v>3392</v>
      </c>
      <c r="W109" s="616">
        <f t="shared" si="109"/>
        <v>19217</v>
      </c>
      <c r="X109" s="617">
        <v>9750</v>
      </c>
      <c r="Y109" s="617">
        <v>8859</v>
      </c>
      <c r="Z109" s="617">
        <v>514</v>
      </c>
      <c r="AA109" s="617">
        <v>94</v>
      </c>
      <c r="AB109" s="618">
        <f t="shared" si="110"/>
        <v>608</v>
      </c>
      <c r="AC109" s="624">
        <f t="shared" si="111"/>
        <v>0.44379790991836077</v>
      </c>
      <c r="AD109" s="625">
        <f t="shared" si="112"/>
        <v>0.51925190906825747</v>
      </c>
      <c r="AE109" s="625">
        <f t="shared" si="113"/>
        <v>3.0229967608131677E-2</v>
      </c>
      <c r="AF109" s="625">
        <f t="shared" si="114"/>
        <v>6.7202134052501208E-3</v>
      </c>
      <c r="AG109" s="626">
        <f t="shared" si="115"/>
        <v>3.6950181013381801E-2</v>
      </c>
      <c r="AH109" s="624">
        <f t="shared" si="116"/>
        <v>0.21578700514459084</v>
      </c>
      <c r="AI109" s="625">
        <f t="shared" si="117"/>
        <v>0.64338165242499301</v>
      </c>
      <c r="AJ109" s="626">
        <f t="shared" si="118"/>
        <v>0.14083134243041612</v>
      </c>
      <c r="AK109" s="616">
        <f t="shared" si="119"/>
        <v>7513</v>
      </c>
      <c r="AL109" s="617">
        <v>2340</v>
      </c>
      <c r="AM109" s="617">
        <v>4852</v>
      </c>
      <c r="AN109" s="618">
        <v>321</v>
      </c>
      <c r="AO109" s="272">
        <f t="shared" si="120"/>
        <v>5.5058847670277161E-2</v>
      </c>
    </row>
    <row r="110" spans="1:41" x14ac:dyDescent="0.25">
      <c r="A110" s="270" t="s">
        <v>116</v>
      </c>
      <c r="B110" s="270" t="s">
        <v>117</v>
      </c>
      <c r="C110" s="270" t="s">
        <v>266</v>
      </c>
      <c r="D110" s="270">
        <v>2</v>
      </c>
      <c r="E110" s="616">
        <f t="shared" si="99"/>
        <v>22378</v>
      </c>
      <c r="F110" s="617">
        <f t="shared" si="100"/>
        <v>12524</v>
      </c>
      <c r="G110" s="617">
        <f t="shared" si="101"/>
        <v>9333</v>
      </c>
      <c r="H110" s="617">
        <f t="shared" si="102"/>
        <v>387</v>
      </c>
      <c r="I110" s="617">
        <f t="shared" si="103"/>
        <v>134</v>
      </c>
      <c r="J110" s="618">
        <f t="shared" si="104"/>
        <v>521</v>
      </c>
      <c r="K110" s="271">
        <f t="shared" si="105"/>
        <v>5708</v>
      </c>
      <c r="L110" s="617">
        <v>2620</v>
      </c>
      <c r="M110" s="617">
        <v>2954</v>
      </c>
      <c r="N110" s="617">
        <v>105</v>
      </c>
      <c r="O110" s="617">
        <v>29</v>
      </c>
      <c r="P110" s="617">
        <f t="shared" si="106"/>
        <v>134</v>
      </c>
      <c r="Q110" s="616">
        <f t="shared" si="107"/>
        <v>13143</v>
      </c>
      <c r="R110" s="617">
        <v>7312</v>
      </c>
      <c r="S110" s="617">
        <v>5512</v>
      </c>
      <c r="T110" s="617">
        <v>229</v>
      </c>
      <c r="U110" s="617">
        <v>90</v>
      </c>
      <c r="V110" s="618">
        <f t="shared" si="108"/>
        <v>319</v>
      </c>
      <c r="W110" s="616">
        <f t="shared" si="109"/>
        <v>3527</v>
      </c>
      <c r="X110" s="617">
        <v>2592</v>
      </c>
      <c r="Y110" s="617">
        <v>867</v>
      </c>
      <c r="Z110" s="617">
        <v>53</v>
      </c>
      <c r="AA110" s="617">
        <v>15</v>
      </c>
      <c r="AB110" s="618">
        <f t="shared" si="110"/>
        <v>68</v>
      </c>
      <c r="AC110" s="624">
        <f t="shared" si="111"/>
        <v>0.55965680579140231</v>
      </c>
      <c r="AD110" s="625">
        <f t="shared" si="112"/>
        <v>0.41706139958888194</v>
      </c>
      <c r="AE110" s="625">
        <f t="shared" si="113"/>
        <v>1.7293770667619984E-2</v>
      </c>
      <c r="AF110" s="625">
        <f t="shared" si="114"/>
        <v>5.9880239520958087E-3</v>
      </c>
      <c r="AG110" s="626">
        <f t="shared" si="115"/>
        <v>2.3281794619715791E-2</v>
      </c>
      <c r="AH110" s="624">
        <f t="shared" si="116"/>
        <v>0.25507194566091695</v>
      </c>
      <c r="AI110" s="625">
        <f t="shared" si="117"/>
        <v>0.58731790151041197</v>
      </c>
      <c r="AJ110" s="626">
        <f t="shared" si="118"/>
        <v>0.15761015282867102</v>
      </c>
      <c r="AK110" s="616">
        <f t="shared" si="119"/>
        <v>1598</v>
      </c>
      <c r="AL110" s="617">
        <v>502</v>
      </c>
      <c r="AM110" s="617">
        <v>1011</v>
      </c>
      <c r="AN110" s="618">
        <v>85</v>
      </c>
      <c r="AO110" s="272">
        <f t="shared" si="120"/>
        <v>7.1409419966038071E-2</v>
      </c>
    </row>
    <row r="111" spans="1:41" x14ac:dyDescent="0.25">
      <c r="A111" s="270" t="s">
        <v>138</v>
      </c>
      <c r="B111" s="270" t="s">
        <v>139</v>
      </c>
      <c r="C111" s="270" t="s">
        <v>265</v>
      </c>
      <c r="D111" s="270">
        <v>3</v>
      </c>
      <c r="E111" s="616">
        <f t="shared" si="99"/>
        <v>79812</v>
      </c>
      <c r="F111" s="617">
        <f t="shared" si="100"/>
        <v>53231</v>
      </c>
      <c r="G111" s="617">
        <f t="shared" si="101"/>
        <v>23323</v>
      </c>
      <c r="H111" s="617">
        <f t="shared" si="102"/>
        <v>2859</v>
      </c>
      <c r="I111" s="617">
        <f t="shared" si="103"/>
        <v>399</v>
      </c>
      <c r="J111" s="618">
        <f t="shared" si="104"/>
        <v>3258</v>
      </c>
      <c r="K111" s="271">
        <f t="shared" si="105"/>
        <v>15534</v>
      </c>
      <c r="L111" s="617">
        <v>8623</v>
      </c>
      <c r="M111" s="617">
        <v>6233</v>
      </c>
      <c r="N111" s="617">
        <v>604</v>
      </c>
      <c r="O111" s="617">
        <v>74</v>
      </c>
      <c r="P111" s="617">
        <f t="shared" si="106"/>
        <v>678</v>
      </c>
      <c r="Q111" s="616">
        <f t="shared" si="107"/>
        <v>53001</v>
      </c>
      <c r="R111" s="617">
        <v>36067</v>
      </c>
      <c r="S111" s="617">
        <v>14507</v>
      </c>
      <c r="T111" s="617">
        <v>2137</v>
      </c>
      <c r="U111" s="617">
        <v>290</v>
      </c>
      <c r="V111" s="618">
        <f t="shared" si="108"/>
        <v>2427</v>
      </c>
      <c r="W111" s="616">
        <f t="shared" si="109"/>
        <v>11277</v>
      </c>
      <c r="X111" s="617">
        <v>8541</v>
      </c>
      <c r="Y111" s="617">
        <v>2583</v>
      </c>
      <c r="Z111" s="617">
        <v>118</v>
      </c>
      <c r="AA111" s="617">
        <v>35</v>
      </c>
      <c r="AB111" s="618">
        <f t="shared" si="110"/>
        <v>153</v>
      </c>
      <c r="AC111" s="624">
        <f t="shared" si="111"/>
        <v>0.66695484388312531</v>
      </c>
      <c r="AD111" s="625">
        <f t="shared" si="112"/>
        <v>0.29222422693329325</v>
      </c>
      <c r="AE111" s="625">
        <f t="shared" si="113"/>
        <v>3.5821680950233047E-2</v>
      </c>
      <c r="AF111" s="625">
        <f t="shared" si="114"/>
        <v>4.9992482333483688E-3</v>
      </c>
      <c r="AG111" s="626">
        <f t="shared" si="115"/>
        <v>4.082092918358142E-2</v>
      </c>
      <c r="AH111" s="624">
        <f t="shared" si="116"/>
        <v>0.19463238610735228</v>
      </c>
      <c r="AI111" s="625">
        <f t="shared" si="117"/>
        <v>0.66407307171853858</v>
      </c>
      <c r="AJ111" s="626">
        <f t="shared" si="118"/>
        <v>0.14129454217410917</v>
      </c>
      <c r="AK111" s="616">
        <f t="shared" si="119"/>
        <v>2688</v>
      </c>
      <c r="AL111" s="617">
        <v>668</v>
      </c>
      <c r="AM111" s="617">
        <v>1925</v>
      </c>
      <c r="AN111" s="618">
        <v>95</v>
      </c>
      <c r="AO111" s="272">
        <f t="shared" si="120"/>
        <v>3.3679145993083748E-2</v>
      </c>
    </row>
    <row r="112" spans="1:41" x14ac:dyDescent="0.25">
      <c r="A112" s="270" t="s">
        <v>142</v>
      </c>
      <c r="B112" s="270" t="s">
        <v>143</v>
      </c>
      <c r="C112" s="270" t="s">
        <v>267</v>
      </c>
      <c r="D112" s="270">
        <v>2</v>
      </c>
      <c r="E112" s="616">
        <f t="shared" si="99"/>
        <v>41764</v>
      </c>
      <c r="F112" s="617">
        <f t="shared" si="100"/>
        <v>31390</v>
      </c>
      <c r="G112" s="617">
        <f t="shared" si="101"/>
        <v>6812</v>
      </c>
      <c r="H112" s="617">
        <f t="shared" si="102"/>
        <v>2929</v>
      </c>
      <c r="I112" s="617">
        <f t="shared" si="103"/>
        <v>633</v>
      </c>
      <c r="J112" s="618">
        <f t="shared" si="104"/>
        <v>3562</v>
      </c>
      <c r="K112" s="271">
        <f t="shared" si="105"/>
        <v>11179</v>
      </c>
      <c r="L112" s="617">
        <v>8265</v>
      </c>
      <c r="M112" s="617">
        <v>2065</v>
      </c>
      <c r="N112" s="617">
        <v>635</v>
      </c>
      <c r="O112" s="617">
        <v>214</v>
      </c>
      <c r="P112" s="617">
        <f t="shared" si="106"/>
        <v>849</v>
      </c>
      <c r="Q112" s="616">
        <f t="shared" si="107"/>
        <v>26954</v>
      </c>
      <c r="R112" s="617">
        <v>20222</v>
      </c>
      <c r="S112" s="617">
        <v>4327</v>
      </c>
      <c r="T112" s="617">
        <v>2002</v>
      </c>
      <c r="U112" s="617">
        <v>403</v>
      </c>
      <c r="V112" s="618">
        <f t="shared" si="108"/>
        <v>2405</v>
      </c>
      <c r="W112" s="616">
        <f t="shared" si="109"/>
        <v>3631</v>
      </c>
      <c r="X112" s="617">
        <v>2903</v>
      </c>
      <c r="Y112" s="617">
        <v>420</v>
      </c>
      <c r="Z112" s="617">
        <v>292</v>
      </c>
      <c r="AA112" s="617">
        <v>16</v>
      </c>
      <c r="AB112" s="618">
        <f t="shared" si="110"/>
        <v>308</v>
      </c>
      <c r="AC112" s="624">
        <f t="shared" si="111"/>
        <v>0.75160425246623885</v>
      </c>
      <c r="AD112" s="625">
        <f t="shared" si="112"/>
        <v>0.16310698208983815</v>
      </c>
      <c r="AE112" s="625">
        <f t="shared" si="113"/>
        <v>7.0132171247964753E-2</v>
      </c>
      <c r="AF112" s="625">
        <f t="shared" si="114"/>
        <v>1.5156594195958242E-2</v>
      </c>
      <c r="AG112" s="626">
        <f t="shared" si="115"/>
        <v>8.5288765443922998E-2</v>
      </c>
      <c r="AH112" s="624">
        <f t="shared" si="116"/>
        <v>0.26767072119528779</v>
      </c>
      <c r="AI112" s="625">
        <f t="shared" si="117"/>
        <v>0.64538837276122973</v>
      </c>
      <c r="AJ112" s="626">
        <f t="shared" si="118"/>
        <v>8.6940906043482424E-2</v>
      </c>
      <c r="AK112" s="616">
        <f t="shared" si="119"/>
        <v>14502</v>
      </c>
      <c r="AL112" s="617">
        <v>5233</v>
      </c>
      <c r="AM112" s="617">
        <v>8895</v>
      </c>
      <c r="AN112" s="618">
        <v>374</v>
      </c>
      <c r="AO112" s="272">
        <f t="shared" si="120"/>
        <v>0.34723685470740351</v>
      </c>
    </row>
    <row r="113" spans="1:41" x14ac:dyDescent="0.25">
      <c r="A113" s="270" t="s">
        <v>144</v>
      </c>
      <c r="B113" s="270" t="s">
        <v>145</v>
      </c>
      <c r="C113" s="270" t="s">
        <v>267</v>
      </c>
      <c r="D113" s="270">
        <v>1</v>
      </c>
      <c r="E113" s="616">
        <f t="shared" si="99"/>
        <v>15726</v>
      </c>
      <c r="F113" s="617">
        <f t="shared" si="100"/>
        <v>11158</v>
      </c>
      <c r="G113" s="617">
        <f t="shared" si="101"/>
        <v>2534</v>
      </c>
      <c r="H113" s="617">
        <f t="shared" si="102"/>
        <v>1819</v>
      </c>
      <c r="I113" s="617">
        <f t="shared" si="103"/>
        <v>215</v>
      </c>
      <c r="J113" s="618">
        <f t="shared" si="104"/>
        <v>2034</v>
      </c>
      <c r="K113" s="271">
        <f t="shared" si="105"/>
        <v>4048</v>
      </c>
      <c r="L113" s="617">
        <v>2943</v>
      </c>
      <c r="M113" s="617">
        <v>686</v>
      </c>
      <c r="N113" s="617">
        <v>375</v>
      </c>
      <c r="O113" s="617">
        <v>44</v>
      </c>
      <c r="P113" s="617">
        <f t="shared" si="106"/>
        <v>419</v>
      </c>
      <c r="Q113" s="616">
        <f t="shared" si="107"/>
        <v>10501</v>
      </c>
      <c r="R113" s="617">
        <v>7408</v>
      </c>
      <c r="S113" s="617">
        <v>1662</v>
      </c>
      <c r="T113" s="617">
        <v>1268</v>
      </c>
      <c r="U113" s="617">
        <v>163</v>
      </c>
      <c r="V113" s="618">
        <f t="shared" si="108"/>
        <v>1431</v>
      </c>
      <c r="W113" s="616">
        <f t="shared" si="109"/>
        <v>1177</v>
      </c>
      <c r="X113" s="617">
        <v>807</v>
      </c>
      <c r="Y113" s="617">
        <v>186</v>
      </c>
      <c r="Z113" s="617">
        <v>176</v>
      </c>
      <c r="AA113" s="617">
        <v>8</v>
      </c>
      <c r="AB113" s="618">
        <f t="shared" si="110"/>
        <v>184</v>
      </c>
      <c r="AC113" s="624">
        <f t="shared" si="111"/>
        <v>0.70952562635126537</v>
      </c>
      <c r="AD113" s="625">
        <f t="shared" si="112"/>
        <v>0.16113442706346179</v>
      </c>
      <c r="AE113" s="625">
        <f t="shared" si="113"/>
        <v>0.11566831997965153</v>
      </c>
      <c r="AF113" s="625">
        <f t="shared" si="114"/>
        <v>1.3671626605621264E-2</v>
      </c>
      <c r="AG113" s="626">
        <f t="shared" si="115"/>
        <v>0.12933994658527279</v>
      </c>
      <c r="AH113" s="624">
        <f t="shared" si="116"/>
        <v>0.25740811395141805</v>
      </c>
      <c r="AI113" s="625">
        <f t="shared" si="117"/>
        <v>0.66774767900292509</v>
      </c>
      <c r="AJ113" s="626">
        <f t="shared" si="118"/>
        <v>7.4844207045656877E-2</v>
      </c>
      <c r="AK113" s="616">
        <f t="shared" si="119"/>
        <v>5831</v>
      </c>
      <c r="AL113" s="617">
        <v>1909</v>
      </c>
      <c r="AM113" s="617">
        <v>3756</v>
      </c>
      <c r="AN113" s="618">
        <v>166</v>
      </c>
      <c r="AO113" s="272">
        <f t="shared" si="120"/>
        <v>0.37078723133663993</v>
      </c>
    </row>
    <row r="114" spans="1:41" x14ac:dyDescent="0.25">
      <c r="A114" s="270" t="s">
        <v>158</v>
      </c>
      <c r="B114" s="270" t="s">
        <v>159</v>
      </c>
      <c r="C114" s="270" t="s">
        <v>264</v>
      </c>
      <c r="D114" s="270">
        <v>3</v>
      </c>
      <c r="E114" s="616">
        <f t="shared" si="99"/>
        <v>182385</v>
      </c>
      <c r="F114" s="617">
        <f t="shared" si="100"/>
        <v>94919</v>
      </c>
      <c r="G114" s="617">
        <f t="shared" si="101"/>
        <v>78828</v>
      </c>
      <c r="H114" s="617">
        <f t="shared" si="102"/>
        <v>7337</v>
      </c>
      <c r="I114" s="617">
        <f t="shared" si="103"/>
        <v>1301</v>
      </c>
      <c r="J114" s="618">
        <f t="shared" si="104"/>
        <v>8638</v>
      </c>
      <c r="K114" s="271">
        <f t="shared" si="105"/>
        <v>42522</v>
      </c>
      <c r="L114" s="617">
        <v>18500</v>
      </c>
      <c r="M114" s="617">
        <v>22193</v>
      </c>
      <c r="N114" s="617">
        <v>1532</v>
      </c>
      <c r="O114" s="617">
        <v>297</v>
      </c>
      <c r="P114" s="617">
        <f t="shared" si="106"/>
        <v>1829</v>
      </c>
      <c r="Q114" s="616">
        <f t="shared" si="107"/>
        <v>118061</v>
      </c>
      <c r="R114" s="617">
        <v>62310</v>
      </c>
      <c r="S114" s="617">
        <v>49896</v>
      </c>
      <c r="T114" s="617">
        <v>4968</v>
      </c>
      <c r="U114" s="617">
        <v>887</v>
      </c>
      <c r="V114" s="618">
        <f t="shared" si="108"/>
        <v>5855</v>
      </c>
      <c r="W114" s="616">
        <f t="shared" si="109"/>
        <v>21802</v>
      </c>
      <c r="X114" s="617">
        <v>14109</v>
      </c>
      <c r="Y114" s="617">
        <v>6739</v>
      </c>
      <c r="Z114" s="617">
        <v>837</v>
      </c>
      <c r="AA114" s="617">
        <v>117</v>
      </c>
      <c r="AB114" s="618">
        <f t="shared" si="110"/>
        <v>954</v>
      </c>
      <c r="AC114" s="624">
        <f t="shared" si="111"/>
        <v>0.5204320530745401</v>
      </c>
      <c r="AD114" s="625">
        <f t="shared" si="112"/>
        <v>0.43220659593716587</v>
      </c>
      <c r="AE114" s="625">
        <f t="shared" si="113"/>
        <v>4.0228088932752148E-2</v>
      </c>
      <c r="AF114" s="625">
        <f t="shared" si="114"/>
        <v>7.1332620555418485E-3</v>
      </c>
      <c r="AG114" s="626">
        <f t="shared" si="115"/>
        <v>4.7361350988293992E-2</v>
      </c>
      <c r="AH114" s="624">
        <f t="shared" si="116"/>
        <v>0.2331441730405461</v>
      </c>
      <c r="AI114" s="625">
        <f t="shared" si="117"/>
        <v>0.64731748773199549</v>
      </c>
      <c r="AJ114" s="626">
        <f t="shared" si="118"/>
        <v>0.11953833922745839</v>
      </c>
      <c r="AK114" s="616">
        <f t="shared" si="119"/>
        <v>15781</v>
      </c>
      <c r="AL114" s="617">
        <v>5111</v>
      </c>
      <c r="AM114" s="617">
        <v>10065</v>
      </c>
      <c r="AN114" s="618">
        <v>605</v>
      </c>
      <c r="AO114" s="272">
        <f t="shared" si="120"/>
        <v>8.6525755955807776E-2</v>
      </c>
    </row>
    <row r="115" spans="1:41" x14ac:dyDescent="0.25">
      <c r="A115" s="270" t="s">
        <v>160</v>
      </c>
      <c r="B115" s="270" t="s">
        <v>161</v>
      </c>
      <c r="C115" s="270" t="s">
        <v>264</v>
      </c>
      <c r="D115" s="270">
        <v>3</v>
      </c>
      <c r="E115" s="616">
        <f t="shared" si="99"/>
        <v>246393</v>
      </c>
      <c r="F115" s="617">
        <f t="shared" si="100"/>
        <v>124802</v>
      </c>
      <c r="G115" s="617">
        <f t="shared" si="101"/>
        <v>108473</v>
      </c>
      <c r="H115" s="617">
        <f t="shared" si="102"/>
        <v>11101</v>
      </c>
      <c r="I115" s="617">
        <f t="shared" si="103"/>
        <v>2017</v>
      </c>
      <c r="J115" s="618">
        <f t="shared" si="104"/>
        <v>13118</v>
      </c>
      <c r="K115" s="271">
        <f t="shared" si="105"/>
        <v>49439</v>
      </c>
      <c r="L115" s="617">
        <v>20222</v>
      </c>
      <c r="M115" s="617">
        <v>26867</v>
      </c>
      <c r="N115" s="617">
        <v>1967</v>
      </c>
      <c r="O115" s="617">
        <v>383</v>
      </c>
      <c r="P115" s="617">
        <f t="shared" si="106"/>
        <v>2350</v>
      </c>
      <c r="Q115" s="616">
        <f t="shared" si="107"/>
        <v>171892</v>
      </c>
      <c r="R115" s="617">
        <v>90232</v>
      </c>
      <c r="S115" s="617">
        <v>72201</v>
      </c>
      <c r="T115" s="617">
        <v>7949</v>
      </c>
      <c r="U115" s="617">
        <v>1510</v>
      </c>
      <c r="V115" s="618">
        <f t="shared" si="108"/>
        <v>9459</v>
      </c>
      <c r="W115" s="616">
        <f t="shared" si="109"/>
        <v>25062</v>
      </c>
      <c r="X115" s="617">
        <v>14348</v>
      </c>
      <c r="Y115" s="617">
        <v>9405</v>
      </c>
      <c r="Z115" s="617">
        <v>1185</v>
      </c>
      <c r="AA115" s="617">
        <v>124</v>
      </c>
      <c r="AB115" s="618">
        <f t="shared" si="110"/>
        <v>1309</v>
      </c>
      <c r="AC115" s="624">
        <f t="shared" si="111"/>
        <v>0.50651601303608462</v>
      </c>
      <c r="AD115" s="625">
        <f t="shared" si="112"/>
        <v>0.44024383809604983</v>
      </c>
      <c r="AE115" s="625">
        <f t="shared" si="113"/>
        <v>4.5054039684568961E-2</v>
      </c>
      <c r="AF115" s="625">
        <f t="shared" si="114"/>
        <v>8.186109183296604E-3</v>
      </c>
      <c r="AG115" s="626">
        <f t="shared" si="115"/>
        <v>5.3240148867865565E-2</v>
      </c>
      <c r="AH115" s="624">
        <f t="shared" si="116"/>
        <v>0.2006509925200797</v>
      </c>
      <c r="AI115" s="625">
        <f t="shared" si="117"/>
        <v>0.69763345549589473</v>
      </c>
      <c r="AJ115" s="626">
        <f t="shared" si="118"/>
        <v>0.10171555198402552</v>
      </c>
      <c r="AK115" s="616">
        <f t="shared" si="119"/>
        <v>18761</v>
      </c>
      <c r="AL115" s="617">
        <v>4601</v>
      </c>
      <c r="AM115" s="617">
        <v>13637</v>
      </c>
      <c r="AN115" s="618">
        <v>523</v>
      </c>
      <c r="AO115" s="272">
        <f t="shared" si="120"/>
        <v>7.6142585219547629E-2</v>
      </c>
    </row>
    <row r="116" spans="1:41" x14ac:dyDescent="0.25">
      <c r="A116" s="270" t="s">
        <v>166</v>
      </c>
      <c r="B116" s="270" t="s">
        <v>167</v>
      </c>
      <c r="C116" s="270" t="s">
        <v>268</v>
      </c>
      <c r="D116" s="270">
        <v>1</v>
      </c>
      <c r="E116" s="616">
        <f t="shared" si="99"/>
        <v>3939</v>
      </c>
      <c r="F116" s="617">
        <f t="shared" si="100"/>
        <v>3563</v>
      </c>
      <c r="G116" s="617">
        <f t="shared" si="101"/>
        <v>300</v>
      </c>
      <c r="H116" s="617">
        <f t="shared" si="102"/>
        <v>65</v>
      </c>
      <c r="I116" s="617">
        <f t="shared" si="103"/>
        <v>11</v>
      </c>
      <c r="J116" s="618">
        <f t="shared" si="104"/>
        <v>76</v>
      </c>
      <c r="K116" s="271">
        <f t="shared" si="105"/>
        <v>857</v>
      </c>
      <c r="L116" s="617">
        <v>743</v>
      </c>
      <c r="M116" s="617">
        <v>101</v>
      </c>
      <c r="N116" s="617">
        <v>12</v>
      </c>
      <c r="O116" s="617">
        <v>1</v>
      </c>
      <c r="P116" s="617">
        <f t="shared" si="106"/>
        <v>13</v>
      </c>
      <c r="Q116" s="616">
        <f t="shared" si="107"/>
        <v>2454</v>
      </c>
      <c r="R116" s="617">
        <v>2235</v>
      </c>
      <c r="S116" s="617">
        <v>167</v>
      </c>
      <c r="T116" s="617">
        <v>43</v>
      </c>
      <c r="U116" s="617">
        <v>9</v>
      </c>
      <c r="V116" s="618">
        <f t="shared" si="108"/>
        <v>52</v>
      </c>
      <c r="W116" s="616">
        <f t="shared" si="109"/>
        <v>628</v>
      </c>
      <c r="X116" s="617">
        <v>585</v>
      </c>
      <c r="Y116" s="617">
        <v>32</v>
      </c>
      <c r="Z116" s="617">
        <v>10</v>
      </c>
      <c r="AA116" s="617">
        <v>1</v>
      </c>
      <c r="AB116" s="618">
        <f t="shared" si="110"/>
        <v>11</v>
      </c>
      <c r="AC116" s="624">
        <f t="shared" si="111"/>
        <v>0.90454430058390456</v>
      </c>
      <c r="AD116" s="625">
        <f t="shared" si="112"/>
        <v>7.6161462300076158E-2</v>
      </c>
      <c r="AE116" s="625">
        <f t="shared" si="113"/>
        <v>1.65016501650165E-2</v>
      </c>
      <c r="AF116" s="625">
        <f t="shared" si="114"/>
        <v>2.7925869510027927E-3</v>
      </c>
      <c r="AG116" s="626">
        <f t="shared" si="115"/>
        <v>1.9294237116019294E-2</v>
      </c>
      <c r="AH116" s="624">
        <f t="shared" si="116"/>
        <v>0.21756791063721756</v>
      </c>
      <c r="AI116" s="625">
        <f t="shared" si="117"/>
        <v>0.62300076161462303</v>
      </c>
      <c r="AJ116" s="626">
        <f t="shared" si="118"/>
        <v>0.15943132774815943</v>
      </c>
      <c r="AK116" s="616">
        <f t="shared" si="119"/>
        <v>141</v>
      </c>
      <c r="AL116" s="617">
        <v>24</v>
      </c>
      <c r="AM116" s="617">
        <v>111</v>
      </c>
      <c r="AN116" s="618">
        <v>6</v>
      </c>
      <c r="AO116" s="272">
        <f t="shared" si="120"/>
        <v>3.5795887281035797E-2</v>
      </c>
    </row>
    <row r="117" spans="1:41" x14ac:dyDescent="0.25">
      <c r="A117" s="270" t="s">
        <v>176</v>
      </c>
      <c r="B117" s="270" t="s">
        <v>177</v>
      </c>
      <c r="C117" s="270" t="s">
        <v>266</v>
      </c>
      <c r="D117" s="270">
        <v>3</v>
      </c>
      <c r="E117" s="616">
        <f t="shared" si="99"/>
        <v>32477</v>
      </c>
      <c r="F117" s="617">
        <f t="shared" si="100"/>
        <v>6218</v>
      </c>
      <c r="G117" s="617">
        <f t="shared" si="101"/>
        <v>25582</v>
      </c>
      <c r="H117" s="617">
        <f t="shared" si="102"/>
        <v>529</v>
      </c>
      <c r="I117" s="617">
        <f t="shared" si="103"/>
        <v>148</v>
      </c>
      <c r="J117" s="618">
        <f t="shared" si="104"/>
        <v>677</v>
      </c>
      <c r="K117" s="271">
        <f t="shared" si="105"/>
        <v>7114</v>
      </c>
      <c r="L117" s="617">
        <v>1322</v>
      </c>
      <c r="M117" s="617">
        <v>5630</v>
      </c>
      <c r="N117" s="617">
        <v>128</v>
      </c>
      <c r="O117" s="617">
        <v>34</v>
      </c>
      <c r="P117" s="617">
        <f t="shared" si="106"/>
        <v>162</v>
      </c>
      <c r="Q117" s="616">
        <f t="shared" si="107"/>
        <v>20295</v>
      </c>
      <c r="R117" s="617">
        <v>3673</v>
      </c>
      <c r="S117" s="617">
        <v>16194</v>
      </c>
      <c r="T117" s="617">
        <v>334</v>
      </c>
      <c r="U117" s="617">
        <v>94</v>
      </c>
      <c r="V117" s="618">
        <f t="shared" si="108"/>
        <v>428</v>
      </c>
      <c r="W117" s="616">
        <f t="shared" si="109"/>
        <v>5068</v>
      </c>
      <c r="X117" s="617">
        <v>1223</v>
      </c>
      <c r="Y117" s="617">
        <v>3758</v>
      </c>
      <c r="Z117" s="617">
        <v>67</v>
      </c>
      <c r="AA117" s="617">
        <v>20</v>
      </c>
      <c r="AB117" s="618">
        <f t="shared" si="110"/>
        <v>87</v>
      </c>
      <c r="AC117" s="624">
        <f t="shared" si="111"/>
        <v>0.19145857068078947</v>
      </c>
      <c r="AD117" s="625">
        <f t="shared" si="112"/>
        <v>0.78769590787326416</v>
      </c>
      <c r="AE117" s="625">
        <f t="shared" si="113"/>
        <v>1.628845028789605E-2</v>
      </c>
      <c r="AF117" s="625">
        <f t="shared" si="114"/>
        <v>4.5570711580503126E-3</v>
      </c>
      <c r="AG117" s="626">
        <f t="shared" si="115"/>
        <v>2.0845521445946362E-2</v>
      </c>
      <c r="AH117" s="624">
        <f t="shared" si="116"/>
        <v>0.21904732579979677</v>
      </c>
      <c r="AI117" s="625">
        <f t="shared" si="117"/>
        <v>0.6249037780583182</v>
      </c>
      <c r="AJ117" s="626">
        <f t="shared" si="118"/>
        <v>0.15604889614188502</v>
      </c>
      <c r="AK117" s="616">
        <f t="shared" si="119"/>
        <v>1499</v>
      </c>
      <c r="AL117" s="617">
        <v>498</v>
      </c>
      <c r="AM117" s="617">
        <v>946</v>
      </c>
      <c r="AN117" s="618">
        <v>55</v>
      </c>
      <c r="AO117" s="272">
        <f t="shared" si="120"/>
        <v>4.6155740985928506E-2</v>
      </c>
    </row>
    <row r="118" spans="1:41" x14ac:dyDescent="0.25">
      <c r="A118" s="270" t="s">
        <v>180</v>
      </c>
      <c r="B118" s="270" t="s">
        <v>181</v>
      </c>
      <c r="C118" s="270" t="s">
        <v>264</v>
      </c>
      <c r="D118" s="270">
        <v>3</v>
      </c>
      <c r="E118" s="616">
        <f t="shared" si="99"/>
        <v>96201</v>
      </c>
      <c r="F118" s="617">
        <f t="shared" si="100"/>
        <v>40929</v>
      </c>
      <c r="G118" s="617">
        <f t="shared" si="101"/>
        <v>52903</v>
      </c>
      <c r="H118" s="617">
        <f t="shared" si="102"/>
        <v>1751</v>
      </c>
      <c r="I118" s="617">
        <f t="shared" si="103"/>
        <v>618</v>
      </c>
      <c r="J118" s="618">
        <f t="shared" si="104"/>
        <v>2369</v>
      </c>
      <c r="K118" s="271">
        <f t="shared" si="105"/>
        <v>22679</v>
      </c>
      <c r="L118" s="617">
        <v>7916</v>
      </c>
      <c r="M118" s="617">
        <v>14213</v>
      </c>
      <c r="N118" s="617">
        <v>416</v>
      </c>
      <c r="O118" s="617">
        <v>134</v>
      </c>
      <c r="P118" s="617">
        <f t="shared" si="106"/>
        <v>550</v>
      </c>
      <c r="Q118" s="616">
        <f t="shared" si="107"/>
        <v>60002</v>
      </c>
      <c r="R118" s="617">
        <v>25869</v>
      </c>
      <c r="S118" s="617">
        <v>32571</v>
      </c>
      <c r="T118" s="617">
        <v>1142</v>
      </c>
      <c r="U118" s="617">
        <v>420</v>
      </c>
      <c r="V118" s="618">
        <f t="shared" si="108"/>
        <v>1562</v>
      </c>
      <c r="W118" s="616">
        <f t="shared" si="109"/>
        <v>13520</v>
      </c>
      <c r="X118" s="617">
        <v>7144</v>
      </c>
      <c r="Y118" s="617">
        <v>6119</v>
      </c>
      <c r="Z118" s="617">
        <v>193</v>
      </c>
      <c r="AA118" s="617">
        <v>64</v>
      </c>
      <c r="AB118" s="618">
        <f t="shared" si="110"/>
        <v>257</v>
      </c>
      <c r="AC118" s="624">
        <f t="shared" si="111"/>
        <v>0.4254529578694608</v>
      </c>
      <c r="AD118" s="625">
        <f t="shared" si="112"/>
        <v>0.54992151848733384</v>
      </c>
      <c r="AE118" s="625">
        <f t="shared" si="113"/>
        <v>1.8201473997151798E-2</v>
      </c>
      <c r="AF118" s="625">
        <f t="shared" si="114"/>
        <v>6.4240496460535755E-3</v>
      </c>
      <c r="AG118" s="626">
        <f t="shared" si="115"/>
        <v>2.4625523643205371E-2</v>
      </c>
      <c r="AH118" s="624">
        <f t="shared" si="116"/>
        <v>0.23574599016642239</v>
      </c>
      <c r="AI118" s="625">
        <f t="shared" si="117"/>
        <v>0.62371493019823077</v>
      </c>
      <c r="AJ118" s="626">
        <f t="shared" si="118"/>
        <v>0.14053907963534681</v>
      </c>
      <c r="AK118" s="616">
        <f t="shared" si="119"/>
        <v>3896</v>
      </c>
      <c r="AL118" s="617">
        <v>1102</v>
      </c>
      <c r="AM118" s="617">
        <v>2640</v>
      </c>
      <c r="AN118" s="618">
        <v>154</v>
      </c>
      <c r="AO118" s="272">
        <f t="shared" si="120"/>
        <v>4.0498539516221246E-2</v>
      </c>
    </row>
    <row r="119" spans="1:41" x14ac:dyDescent="0.25">
      <c r="A119" s="270" t="s">
        <v>192</v>
      </c>
      <c r="B119" s="270" t="s">
        <v>193</v>
      </c>
      <c r="C119" s="270" t="s">
        <v>268</v>
      </c>
      <c r="D119" s="270">
        <v>1</v>
      </c>
      <c r="E119" s="616">
        <f t="shared" si="99"/>
        <v>17403</v>
      </c>
      <c r="F119" s="617">
        <f t="shared" si="100"/>
        <v>15091</v>
      </c>
      <c r="G119" s="617">
        <f t="shared" si="101"/>
        <v>1822</v>
      </c>
      <c r="H119" s="617">
        <f t="shared" si="102"/>
        <v>455</v>
      </c>
      <c r="I119" s="617">
        <f t="shared" si="103"/>
        <v>35</v>
      </c>
      <c r="J119" s="618">
        <f t="shared" si="104"/>
        <v>490</v>
      </c>
      <c r="K119" s="271">
        <f t="shared" si="105"/>
        <v>2307</v>
      </c>
      <c r="L119" s="617">
        <v>1906</v>
      </c>
      <c r="M119" s="617">
        <v>345</v>
      </c>
      <c r="N119" s="617">
        <v>56</v>
      </c>
      <c r="O119" s="617">
        <v>0</v>
      </c>
      <c r="P119" s="617">
        <f t="shared" si="106"/>
        <v>56</v>
      </c>
      <c r="Q119" s="616">
        <f t="shared" si="107"/>
        <v>13712</v>
      </c>
      <c r="R119" s="617">
        <v>11944</v>
      </c>
      <c r="S119" s="617">
        <v>1365</v>
      </c>
      <c r="T119" s="617">
        <v>373</v>
      </c>
      <c r="U119" s="617">
        <v>30</v>
      </c>
      <c r="V119" s="618">
        <f t="shared" si="108"/>
        <v>403</v>
      </c>
      <c r="W119" s="616">
        <f t="shared" si="109"/>
        <v>1384</v>
      </c>
      <c r="X119" s="617">
        <v>1241</v>
      </c>
      <c r="Y119" s="617">
        <v>112</v>
      </c>
      <c r="Z119" s="617">
        <v>26</v>
      </c>
      <c r="AA119" s="617">
        <v>5</v>
      </c>
      <c r="AB119" s="618">
        <f t="shared" si="110"/>
        <v>31</v>
      </c>
      <c r="AC119" s="624">
        <f t="shared" si="111"/>
        <v>0.86714934206745964</v>
      </c>
      <c r="AD119" s="625">
        <f t="shared" si="112"/>
        <v>0.10469459288628398</v>
      </c>
      <c r="AE119" s="625">
        <f t="shared" si="113"/>
        <v>2.6144917542952364E-2</v>
      </c>
      <c r="AF119" s="625">
        <f t="shared" si="114"/>
        <v>2.0111475033040283E-3</v>
      </c>
      <c r="AG119" s="626">
        <f t="shared" si="115"/>
        <v>2.8156065046256392E-2</v>
      </c>
      <c r="AH119" s="624">
        <f t="shared" si="116"/>
        <v>0.13256335114635406</v>
      </c>
      <c r="AI119" s="625">
        <f t="shared" si="117"/>
        <v>0.78791013043728098</v>
      </c>
      <c r="AJ119" s="626">
        <f t="shared" si="118"/>
        <v>7.9526518416364989E-2</v>
      </c>
      <c r="AK119" s="616">
        <f t="shared" si="119"/>
        <v>558</v>
      </c>
      <c r="AL119" s="617">
        <v>112</v>
      </c>
      <c r="AM119" s="617">
        <v>436</v>
      </c>
      <c r="AN119" s="618">
        <v>10</v>
      </c>
      <c r="AO119" s="272">
        <f t="shared" si="120"/>
        <v>3.2063437338389934E-2</v>
      </c>
    </row>
    <row r="120" spans="1:41" x14ac:dyDescent="0.25">
      <c r="A120" s="270" t="s">
        <v>196</v>
      </c>
      <c r="B120" s="270" t="s">
        <v>312</v>
      </c>
      <c r="C120" s="270" t="s">
        <v>266</v>
      </c>
      <c r="D120" s="270">
        <v>3</v>
      </c>
      <c r="E120" s="616">
        <f t="shared" si="99"/>
        <v>220289</v>
      </c>
      <c r="F120" s="617">
        <f t="shared" si="100"/>
        <v>100766</v>
      </c>
      <c r="G120" s="617">
        <f t="shared" si="101"/>
        <v>111513</v>
      </c>
      <c r="H120" s="617">
        <f t="shared" si="102"/>
        <v>6437</v>
      </c>
      <c r="I120" s="617">
        <f t="shared" si="103"/>
        <v>1573</v>
      </c>
      <c r="J120" s="618">
        <f t="shared" si="104"/>
        <v>8010</v>
      </c>
      <c r="K120" s="271">
        <f t="shared" si="105"/>
        <v>40012</v>
      </c>
      <c r="L120" s="617">
        <v>13601</v>
      </c>
      <c r="M120" s="617">
        <v>25137</v>
      </c>
      <c r="N120" s="617">
        <v>944</v>
      </c>
      <c r="O120" s="617">
        <v>330</v>
      </c>
      <c r="P120" s="617">
        <f t="shared" si="106"/>
        <v>1274</v>
      </c>
      <c r="Q120" s="616">
        <f t="shared" si="107"/>
        <v>154771</v>
      </c>
      <c r="R120" s="617">
        <v>74983</v>
      </c>
      <c r="S120" s="617">
        <v>73459</v>
      </c>
      <c r="T120" s="617">
        <v>5196</v>
      </c>
      <c r="U120" s="617">
        <v>1133</v>
      </c>
      <c r="V120" s="618">
        <f t="shared" si="108"/>
        <v>6329</v>
      </c>
      <c r="W120" s="616">
        <f t="shared" si="109"/>
        <v>25506</v>
      </c>
      <c r="X120" s="617">
        <v>12182</v>
      </c>
      <c r="Y120" s="617">
        <v>12917</v>
      </c>
      <c r="Z120" s="617">
        <v>297</v>
      </c>
      <c r="AA120" s="617">
        <v>110</v>
      </c>
      <c r="AB120" s="618">
        <f t="shared" si="110"/>
        <v>407</v>
      </c>
      <c r="AC120" s="624">
        <f t="shared" si="111"/>
        <v>0.45742638079976755</v>
      </c>
      <c r="AD120" s="625">
        <f t="shared" si="112"/>
        <v>0.50621229385035116</v>
      </c>
      <c r="AE120" s="625">
        <f t="shared" si="113"/>
        <v>2.9220705527738561E-2</v>
      </c>
      <c r="AF120" s="625">
        <f t="shared" si="114"/>
        <v>7.1406198221427306E-3</v>
      </c>
      <c r="AG120" s="626">
        <f t="shared" si="115"/>
        <v>3.6361325349881291E-2</v>
      </c>
      <c r="AH120" s="624">
        <f t="shared" si="116"/>
        <v>0.18163412607983148</v>
      </c>
      <c r="AI120" s="625">
        <f t="shared" si="117"/>
        <v>0.70258160870492847</v>
      </c>
      <c r="AJ120" s="626">
        <f t="shared" si="118"/>
        <v>0.11578426521523998</v>
      </c>
      <c r="AK120" s="616">
        <f t="shared" si="119"/>
        <v>14259</v>
      </c>
      <c r="AL120" s="617">
        <v>4389</v>
      </c>
      <c r="AM120" s="617">
        <v>9473</v>
      </c>
      <c r="AN120" s="618">
        <v>397</v>
      </c>
      <c r="AO120" s="272">
        <f t="shared" si="120"/>
        <v>6.4728606512354223E-2</v>
      </c>
    </row>
    <row r="121" spans="1:41" x14ac:dyDescent="0.25">
      <c r="A121" s="270" t="s">
        <v>200</v>
      </c>
      <c r="B121" s="270" t="s">
        <v>313</v>
      </c>
      <c r="C121" s="270" t="s">
        <v>265</v>
      </c>
      <c r="D121" s="270">
        <v>3</v>
      </c>
      <c r="E121" s="616">
        <f t="shared" si="99"/>
        <v>99897</v>
      </c>
      <c r="F121" s="617">
        <f t="shared" si="100"/>
        <v>65888</v>
      </c>
      <c r="G121" s="617">
        <f t="shared" si="101"/>
        <v>30646</v>
      </c>
      <c r="H121" s="617">
        <f t="shared" si="102"/>
        <v>2926</v>
      </c>
      <c r="I121" s="617">
        <f t="shared" si="103"/>
        <v>437</v>
      </c>
      <c r="J121" s="618">
        <f t="shared" si="104"/>
        <v>3363</v>
      </c>
      <c r="K121" s="271">
        <f t="shared" si="105"/>
        <v>22184</v>
      </c>
      <c r="L121" s="617">
        <v>12492</v>
      </c>
      <c r="M121" s="617">
        <v>8781</v>
      </c>
      <c r="N121" s="617">
        <v>837</v>
      </c>
      <c r="O121" s="617">
        <v>74</v>
      </c>
      <c r="P121" s="617">
        <f t="shared" si="106"/>
        <v>911</v>
      </c>
      <c r="Q121" s="616">
        <f t="shared" si="107"/>
        <v>62569</v>
      </c>
      <c r="R121" s="617">
        <v>41917</v>
      </c>
      <c r="S121" s="617">
        <v>18456</v>
      </c>
      <c r="T121" s="617">
        <v>1871</v>
      </c>
      <c r="U121" s="617">
        <v>325</v>
      </c>
      <c r="V121" s="618">
        <f t="shared" si="108"/>
        <v>2196</v>
      </c>
      <c r="W121" s="616">
        <f t="shared" si="109"/>
        <v>15144</v>
      </c>
      <c r="X121" s="617">
        <v>11479</v>
      </c>
      <c r="Y121" s="617">
        <v>3409</v>
      </c>
      <c r="Z121" s="617">
        <v>218</v>
      </c>
      <c r="AA121" s="617">
        <v>38</v>
      </c>
      <c r="AB121" s="618">
        <f t="shared" si="110"/>
        <v>256</v>
      </c>
      <c r="AC121" s="624">
        <f t="shared" si="111"/>
        <v>0.65955934612651035</v>
      </c>
      <c r="AD121" s="625">
        <f t="shared" si="112"/>
        <v>0.30677597925863642</v>
      </c>
      <c r="AE121" s="625">
        <f t="shared" si="113"/>
        <v>2.9290168873940158E-2</v>
      </c>
      <c r="AF121" s="625">
        <f t="shared" si="114"/>
        <v>4.3745057409131406E-3</v>
      </c>
      <c r="AG121" s="626">
        <f t="shared" si="115"/>
        <v>3.3664674614853299E-2</v>
      </c>
      <c r="AH121" s="624">
        <f t="shared" si="116"/>
        <v>0.2220687307927165</v>
      </c>
      <c r="AI121" s="625">
        <f t="shared" si="117"/>
        <v>0.6263351251789343</v>
      </c>
      <c r="AJ121" s="626">
        <f t="shared" si="118"/>
        <v>0.1515961440283492</v>
      </c>
      <c r="AK121" s="616">
        <f t="shared" si="119"/>
        <v>6091</v>
      </c>
      <c r="AL121" s="617">
        <v>2103</v>
      </c>
      <c r="AM121" s="617">
        <v>3792</v>
      </c>
      <c r="AN121" s="618">
        <v>196</v>
      </c>
      <c r="AO121" s="272">
        <f t="shared" si="120"/>
        <v>6.0972801986045627E-2</v>
      </c>
    </row>
    <row r="122" spans="1:41" x14ac:dyDescent="0.25">
      <c r="A122" s="270" t="s">
        <v>222</v>
      </c>
      <c r="B122" s="270" t="s">
        <v>223</v>
      </c>
      <c r="C122" s="270" t="s">
        <v>264</v>
      </c>
      <c r="D122" s="270">
        <v>3</v>
      </c>
      <c r="E122" s="616">
        <f t="shared" si="99"/>
        <v>88161</v>
      </c>
      <c r="F122" s="617">
        <f t="shared" si="100"/>
        <v>46958</v>
      </c>
      <c r="G122" s="617">
        <f t="shared" si="101"/>
        <v>38748</v>
      </c>
      <c r="H122" s="617">
        <f t="shared" si="102"/>
        <v>2055</v>
      </c>
      <c r="I122" s="617">
        <f t="shared" si="103"/>
        <v>400</v>
      </c>
      <c r="J122" s="618">
        <f t="shared" si="104"/>
        <v>2455</v>
      </c>
      <c r="K122" s="271">
        <f t="shared" si="105"/>
        <v>21858</v>
      </c>
      <c r="L122" s="617">
        <v>10393</v>
      </c>
      <c r="M122" s="617">
        <v>10781</v>
      </c>
      <c r="N122" s="617">
        <v>586</v>
      </c>
      <c r="O122" s="617">
        <v>98</v>
      </c>
      <c r="P122" s="617">
        <f t="shared" si="106"/>
        <v>684</v>
      </c>
      <c r="Q122" s="616">
        <f t="shared" si="107"/>
        <v>54590</v>
      </c>
      <c r="R122" s="617">
        <v>29163</v>
      </c>
      <c r="S122" s="617">
        <v>23903</v>
      </c>
      <c r="T122" s="617">
        <v>1272</v>
      </c>
      <c r="U122" s="617">
        <v>252</v>
      </c>
      <c r="V122" s="618">
        <f t="shared" si="108"/>
        <v>1524</v>
      </c>
      <c r="W122" s="616">
        <f t="shared" si="109"/>
        <v>11713</v>
      </c>
      <c r="X122" s="617">
        <v>7402</v>
      </c>
      <c r="Y122" s="617">
        <v>4064</v>
      </c>
      <c r="Z122" s="617">
        <v>197</v>
      </c>
      <c r="AA122" s="617">
        <v>50</v>
      </c>
      <c r="AB122" s="618">
        <f t="shared" si="110"/>
        <v>247</v>
      </c>
      <c r="AC122" s="624">
        <f t="shared" si="111"/>
        <v>0.53263914882998153</v>
      </c>
      <c r="AD122" s="625">
        <f t="shared" si="112"/>
        <v>0.4395140708476537</v>
      </c>
      <c r="AE122" s="625">
        <f t="shared" si="113"/>
        <v>2.3309626705686187E-2</v>
      </c>
      <c r="AF122" s="625">
        <f t="shared" si="114"/>
        <v>4.5371536166785766E-3</v>
      </c>
      <c r="AG122" s="626">
        <f t="shared" si="115"/>
        <v>2.7846780322364765E-2</v>
      </c>
      <c r="AH122" s="624">
        <f t="shared" si="116"/>
        <v>0.24793275938340081</v>
      </c>
      <c r="AI122" s="625">
        <f t="shared" si="117"/>
        <v>0.61920803983620876</v>
      </c>
      <c r="AJ122" s="626">
        <f t="shared" si="118"/>
        <v>0.13285920078039043</v>
      </c>
      <c r="AK122" s="616">
        <f t="shared" si="119"/>
        <v>3539</v>
      </c>
      <c r="AL122" s="617">
        <v>1229</v>
      </c>
      <c r="AM122" s="617">
        <v>2191</v>
      </c>
      <c r="AN122" s="618">
        <v>119</v>
      </c>
      <c r="AO122" s="272">
        <f t="shared" si="120"/>
        <v>4.0142466623563709E-2</v>
      </c>
    </row>
    <row r="123" spans="1:41" x14ac:dyDescent="0.25">
      <c r="A123" s="270" t="s">
        <v>230</v>
      </c>
      <c r="B123" s="270" t="s">
        <v>231</v>
      </c>
      <c r="C123" s="270" t="s">
        <v>264</v>
      </c>
      <c r="D123" s="270">
        <v>3</v>
      </c>
      <c r="E123" s="616">
        <f t="shared" si="99"/>
        <v>452745</v>
      </c>
      <c r="F123" s="617">
        <f t="shared" si="100"/>
        <v>317528</v>
      </c>
      <c r="G123" s="617">
        <f t="shared" si="101"/>
        <v>96644</v>
      </c>
      <c r="H123" s="617">
        <f t="shared" si="102"/>
        <v>35988</v>
      </c>
      <c r="I123" s="617">
        <f t="shared" si="103"/>
        <v>2585</v>
      </c>
      <c r="J123" s="618">
        <f t="shared" si="104"/>
        <v>38573</v>
      </c>
      <c r="K123" s="271">
        <f t="shared" si="105"/>
        <v>102144</v>
      </c>
      <c r="L123" s="617">
        <v>67504</v>
      </c>
      <c r="M123" s="617">
        <v>26436</v>
      </c>
      <c r="N123" s="617">
        <v>7614</v>
      </c>
      <c r="O123" s="617">
        <v>590</v>
      </c>
      <c r="P123" s="617">
        <f t="shared" si="106"/>
        <v>8204</v>
      </c>
      <c r="Q123" s="616">
        <f t="shared" si="107"/>
        <v>292971</v>
      </c>
      <c r="R123" s="617">
        <v>205196</v>
      </c>
      <c r="S123" s="617">
        <v>62590</v>
      </c>
      <c r="T123" s="617">
        <v>23397</v>
      </c>
      <c r="U123" s="617">
        <v>1788</v>
      </c>
      <c r="V123" s="618">
        <f t="shared" si="108"/>
        <v>25185</v>
      </c>
      <c r="W123" s="616">
        <f t="shared" si="109"/>
        <v>57630</v>
      </c>
      <c r="X123" s="617">
        <v>44828</v>
      </c>
      <c r="Y123" s="617">
        <v>7618</v>
      </c>
      <c r="Z123" s="617">
        <v>4977</v>
      </c>
      <c r="AA123" s="617">
        <v>207</v>
      </c>
      <c r="AB123" s="618">
        <f t="shared" si="110"/>
        <v>5184</v>
      </c>
      <c r="AC123" s="624">
        <f t="shared" si="111"/>
        <v>0.70133960618007929</v>
      </c>
      <c r="AD123" s="625">
        <f t="shared" si="112"/>
        <v>0.21346232426641928</v>
      </c>
      <c r="AE123" s="625">
        <f t="shared" si="113"/>
        <v>7.9488453765364606E-2</v>
      </c>
      <c r="AF123" s="625">
        <f t="shared" si="114"/>
        <v>5.7096157881368096E-3</v>
      </c>
      <c r="AG123" s="626">
        <f t="shared" si="115"/>
        <v>8.5198069553501413E-2</v>
      </c>
      <c r="AH123" s="624">
        <f t="shared" si="116"/>
        <v>0.22561044296458271</v>
      </c>
      <c r="AI123" s="625">
        <f t="shared" si="117"/>
        <v>0.64709936056720674</v>
      </c>
      <c r="AJ123" s="626">
        <f t="shared" si="118"/>
        <v>0.12729019646821058</v>
      </c>
      <c r="AK123" s="616">
        <f t="shared" si="119"/>
        <v>36309</v>
      </c>
      <c r="AL123" s="617">
        <v>11338</v>
      </c>
      <c r="AM123" s="617">
        <v>23424</v>
      </c>
      <c r="AN123" s="618">
        <v>1547</v>
      </c>
      <c r="AO123" s="272">
        <f t="shared" si="120"/>
        <v>8.0197462147566512E-2</v>
      </c>
    </row>
    <row r="124" spans="1:41" x14ac:dyDescent="0.25">
      <c r="A124" s="270" t="s">
        <v>238</v>
      </c>
      <c r="B124" s="270" t="s">
        <v>239</v>
      </c>
      <c r="C124" s="270" t="s">
        <v>264</v>
      </c>
      <c r="D124" s="270">
        <v>1</v>
      </c>
      <c r="E124" s="616">
        <f t="shared" si="99"/>
        <v>15052</v>
      </c>
      <c r="F124" s="617">
        <f t="shared" si="100"/>
        <v>11423</v>
      </c>
      <c r="G124" s="617">
        <f t="shared" si="101"/>
        <v>2439</v>
      </c>
      <c r="H124" s="617">
        <f t="shared" si="102"/>
        <v>1130</v>
      </c>
      <c r="I124" s="617">
        <f t="shared" si="103"/>
        <v>60</v>
      </c>
      <c r="J124" s="618">
        <f t="shared" si="104"/>
        <v>1190</v>
      </c>
      <c r="K124" s="271">
        <f t="shared" si="105"/>
        <v>1642</v>
      </c>
      <c r="L124" s="617">
        <v>1037</v>
      </c>
      <c r="M124" s="617">
        <v>459</v>
      </c>
      <c r="N124" s="617">
        <v>140</v>
      </c>
      <c r="O124" s="617">
        <v>6</v>
      </c>
      <c r="P124" s="617">
        <f t="shared" si="106"/>
        <v>146</v>
      </c>
      <c r="Q124" s="616">
        <f t="shared" si="107"/>
        <v>11026</v>
      </c>
      <c r="R124" s="617">
        <v>8304</v>
      </c>
      <c r="S124" s="617">
        <v>1725</v>
      </c>
      <c r="T124" s="617">
        <v>946</v>
      </c>
      <c r="U124" s="617">
        <v>51</v>
      </c>
      <c r="V124" s="618">
        <f t="shared" si="108"/>
        <v>997</v>
      </c>
      <c r="W124" s="616">
        <f t="shared" si="109"/>
        <v>2384</v>
      </c>
      <c r="X124" s="617">
        <v>2082</v>
      </c>
      <c r="Y124" s="617">
        <v>255</v>
      </c>
      <c r="Z124" s="617">
        <v>44</v>
      </c>
      <c r="AA124" s="617">
        <v>3</v>
      </c>
      <c r="AB124" s="618">
        <f t="shared" si="110"/>
        <v>47</v>
      </c>
      <c r="AC124" s="624">
        <f t="shared" si="111"/>
        <v>0.75890247143236778</v>
      </c>
      <c r="AD124" s="625">
        <f t="shared" si="112"/>
        <v>0.16203826733988838</v>
      </c>
      <c r="AE124" s="625">
        <f t="shared" si="113"/>
        <v>7.5073079989370184E-2</v>
      </c>
      <c r="AF124" s="625">
        <f t="shared" si="114"/>
        <v>3.9861812383736378E-3</v>
      </c>
      <c r="AG124" s="626">
        <f t="shared" si="115"/>
        <v>7.9059261227743816E-2</v>
      </c>
      <c r="AH124" s="624">
        <f t="shared" si="116"/>
        <v>0.1090884932234919</v>
      </c>
      <c r="AI124" s="625">
        <f t="shared" si="117"/>
        <v>0.73252723890512894</v>
      </c>
      <c r="AJ124" s="626">
        <f t="shared" si="118"/>
        <v>0.15838426787137921</v>
      </c>
      <c r="AK124" s="616">
        <f t="shared" si="119"/>
        <v>1093</v>
      </c>
      <c r="AL124" s="617">
        <v>230</v>
      </c>
      <c r="AM124" s="617">
        <v>836</v>
      </c>
      <c r="AN124" s="618">
        <v>27</v>
      </c>
      <c r="AO124" s="272">
        <f t="shared" si="120"/>
        <v>7.2614934892373112E-2</v>
      </c>
    </row>
    <row r="125" spans="1:41" x14ac:dyDescent="0.25">
      <c r="A125" s="270" t="s">
        <v>240</v>
      </c>
      <c r="B125" s="270" t="s">
        <v>241</v>
      </c>
      <c r="C125" s="270" t="s">
        <v>267</v>
      </c>
      <c r="D125" s="270">
        <v>2</v>
      </c>
      <c r="E125" s="616">
        <f t="shared" si="99"/>
        <v>27284</v>
      </c>
      <c r="F125" s="617">
        <f t="shared" si="100"/>
        <v>22652</v>
      </c>
      <c r="G125" s="617">
        <f t="shared" si="101"/>
        <v>3521</v>
      </c>
      <c r="H125" s="617">
        <f t="shared" si="102"/>
        <v>866</v>
      </c>
      <c r="I125" s="617">
        <f t="shared" si="103"/>
        <v>245</v>
      </c>
      <c r="J125" s="618">
        <f t="shared" si="104"/>
        <v>1111</v>
      </c>
      <c r="K125" s="271">
        <f t="shared" si="105"/>
        <v>6002</v>
      </c>
      <c r="L125" s="617">
        <v>4742</v>
      </c>
      <c r="M125" s="617">
        <v>975</v>
      </c>
      <c r="N125" s="617">
        <v>216</v>
      </c>
      <c r="O125" s="617">
        <v>69</v>
      </c>
      <c r="P125" s="617">
        <f t="shared" si="106"/>
        <v>285</v>
      </c>
      <c r="Q125" s="616">
        <f t="shared" si="107"/>
        <v>17158</v>
      </c>
      <c r="R125" s="617">
        <v>14212</v>
      </c>
      <c r="S125" s="617">
        <v>2195</v>
      </c>
      <c r="T125" s="617">
        <v>586</v>
      </c>
      <c r="U125" s="617">
        <v>165</v>
      </c>
      <c r="V125" s="618">
        <f t="shared" si="108"/>
        <v>751</v>
      </c>
      <c r="W125" s="616">
        <f t="shared" si="109"/>
        <v>4124</v>
      </c>
      <c r="X125" s="617">
        <v>3698</v>
      </c>
      <c r="Y125" s="617">
        <v>351</v>
      </c>
      <c r="Z125" s="617">
        <v>64</v>
      </c>
      <c r="AA125" s="617">
        <v>11</v>
      </c>
      <c r="AB125" s="618">
        <f t="shared" si="110"/>
        <v>75</v>
      </c>
      <c r="AC125" s="624">
        <f t="shared" si="111"/>
        <v>0.83023017152910128</v>
      </c>
      <c r="AD125" s="625">
        <f t="shared" si="112"/>
        <v>0.12904999266969652</v>
      </c>
      <c r="AE125" s="625">
        <f t="shared" si="113"/>
        <v>3.1740214044861458E-2</v>
      </c>
      <c r="AF125" s="625">
        <f t="shared" si="114"/>
        <v>8.9796217563407124E-3</v>
      </c>
      <c r="AG125" s="626">
        <f t="shared" si="115"/>
        <v>4.071983580120217E-2</v>
      </c>
      <c r="AH125" s="624">
        <f t="shared" si="116"/>
        <v>0.21998240727166105</v>
      </c>
      <c r="AI125" s="625">
        <f t="shared" si="117"/>
        <v>0.62886673508283242</v>
      </c>
      <c r="AJ125" s="626">
        <f t="shared" si="118"/>
        <v>0.15115085764550654</v>
      </c>
      <c r="AK125" s="616">
        <f t="shared" si="119"/>
        <v>4534</v>
      </c>
      <c r="AL125" s="617">
        <v>1758</v>
      </c>
      <c r="AM125" s="617">
        <v>2652</v>
      </c>
      <c r="AN125" s="618">
        <v>124</v>
      </c>
      <c r="AO125" s="272">
        <f t="shared" si="120"/>
        <v>0.1661779797683624</v>
      </c>
    </row>
    <row r="126" spans="1:41" x14ac:dyDescent="0.25">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617"/>
      <c r="AD126" s="617"/>
      <c r="AE126" s="617"/>
      <c r="AF126" s="617"/>
      <c r="AG126" s="617"/>
      <c r="AH126" s="617"/>
      <c r="AI126" s="617"/>
      <c r="AJ126" s="618"/>
      <c r="AK126" s="271"/>
      <c r="AL126" s="271"/>
      <c r="AM126" s="271"/>
    </row>
    <row r="127" spans="1:41" x14ac:dyDescent="0.25">
      <c r="A127" s="270" t="s">
        <v>266</v>
      </c>
      <c r="E127" s="1150">
        <f>F127+G127+J127</f>
        <v>1376443</v>
      </c>
      <c r="F127" s="1150">
        <f t="shared" ref="F127:I128" si="121">L127+R127+X127</f>
        <v>888041</v>
      </c>
      <c r="G127" s="1150">
        <f t="shared" si="121"/>
        <v>425070</v>
      </c>
      <c r="H127" s="1150">
        <f t="shared" si="121"/>
        <v>54823</v>
      </c>
      <c r="I127" s="1150">
        <f t="shared" si="121"/>
        <v>8509</v>
      </c>
      <c r="J127" s="1150">
        <f>H127+I127</f>
        <v>63332</v>
      </c>
      <c r="K127" s="1150">
        <f>L127+M127+P127</f>
        <v>298833</v>
      </c>
      <c r="L127" s="271">
        <v>180950</v>
      </c>
      <c r="M127" s="271">
        <v>102382</v>
      </c>
      <c r="N127" s="271">
        <v>13534</v>
      </c>
      <c r="O127" s="271">
        <v>1967</v>
      </c>
      <c r="P127" s="1150">
        <f>N127+O127</f>
        <v>15501</v>
      </c>
      <c r="Q127" s="1150">
        <f>R127+S127+V127</f>
        <v>868574</v>
      </c>
      <c r="R127" s="271">
        <v>554135</v>
      </c>
      <c r="S127" s="271">
        <v>271833</v>
      </c>
      <c r="T127" s="271">
        <v>36983</v>
      </c>
      <c r="U127" s="271">
        <v>5623</v>
      </c>
      <c r="V127" s="1150">
        <f>T127+U127</f>
        <v>42606</v>
      </c>
      <c r="W127" s="1150">
        <f>X127+Y127+AB127</f>
        <v>209036</v>
      </c>
      <c r="X127" s="271">
        <v>152956</v>
      </c>
      <c r="Y127" s="271">
        <v>50855</v>
      </c>
      <c r="Z127" s="271">
        <v>4306</v>
      </c>
      <c r="AA127" s="271">
        <v>919</v>
      </c>
      <c r="AB127" s="1150">
        <f>Z127+AA127</f>
        <v>5225</v>
      </c>
      <c r="AC127" s="1151">
        <f t="shared" ref="AC127" si="122">F127/E127</f>
        <v>0.64517092244284724</v>
      </c>
      <c r="AD127" s="1152">
        <f t="shared" ref="AD127" si="123">G127/E127</f>
        <v>0.30881772801343754</v>
      </c>
      <c r="AE127" s="1152">
        <f t="shared" ref="AE127" si="124">H127/E127</f>
        <v>3.9829473505259574E-2</v>
      </c>
      <c r="AF127" s="1152">
        <f t="shared" ref="AF127" si="125">I127/E127</f>
        <v>6.1818760384556425E-3</v>
      </c>
      <c r="AG127" s="1153">
        <f t="shared" ref="AG127" si="126">J127/E127</f>
        <v>4.6011349543715212E-2</v>
      </c>
      <c r="AH127" s="1151">
        <f t="shared" ref="AH127" si="127">K127/E127</f>
        <v>0.21710524881887591</v>
      </c>
      <c r="AI127" s="1152">
        <f t="shared" ref="AI127" si="128">Q127/E127</f>
        <v>0.63102794667123885</v>
      </c>
      <c r="AJ127" s="1153">
        <f t="shared" ref="AJ127" si="129">W127/E127</f>
        <v>0.15186680450988527</v>
      </c>
      <c r="AK127" s="1150">
        <f>AL127+AM127+AN127</f>
        <v>76835</v>
      </c>
      <c r="AL127" s="271">
        <v>25934</v>
      </c>
      <c r="AM127" s="271">
        <v>47911</v>
      </c>
      <c r="AN127" s="271">
        <v>2990</v>
      </c>
      <c r="AO127" s="1154">
        <f t="shared" ref="AO127:AO131" si="130">AK127/E127</f>
        <v>5.5821417959189011E-2</v>
      </c>
    </row>
    <row r="128" spans="1:41" x14ac:dyDescent="0.25">
      <c r="A128" s="270" t="s">
        <v>264</v>
      </c>
      <c r="E128" s="1150">
        <f t="shared" ref="E128:E131" si="131">F128+G128+J128</f>
        <v>1878126</v>
      </c>
      <c r="F128" s="1150">
        <f t="shared" si="121"/>
        <v>1149846</v>
      </c>
      <c r="G128" s="1150">
        <f t="shared" si="121"/>
        <v>633156</v>
      </c>
      <c r="H128" s="1150">
        <f t="shared" si="121"/>
        <v>83776</v>
      </c>
      <c r="I128" s="1150">
        <f t="shared" si="121"/>
        <v>11348</v>
      </c>
      <c r="J128" s="1150">
        <f>H128+I128</f>
        <v>95124</v>
      </c>
      <c r="K128" s="1150">
        <f>L128+M128+P128</f>
        <v>415284</v>
      </c>
      <c r="L128" s="271">
        <v>233039</v>
      </c>
      <c r="M128" s="271">
        <v>161544</v>
      </c>
      <c r="N128" s="271">
        <v>18203</v>
      </c>
      <c r="O128" s="271">
        <v>2498</v>
      </c>
      <c r="P128" s="1150">
        <f>N128+O128</f>
        <v>20701</v>
      </c>
      <c r="Q128" s="1150">
        <f>R128+S128+V128</f>
        <v>1203579</v>
      </c>
      <c r="R128" s="271">
        <v>735835</v>
      </c>
      <c r="S128" s="271">
        <v>404303</v>
      </c>
      <c r="T128" s="271">
        <v>55601</v>
      </c>
      <c r="U128" s="271">
        <v>7840</v>
      </c>
      <c r="V128" s="1150">
        <f>T128+U128</f>
        <v>63441</v>
      </c>
      <c r="W128" s="1150">
        <f t="shared" ref="W128:W131" si="132">X128+Y128+AB128</f>
        <v>259263</v>
      </c>
      <c r="X128" s="271">
        <v>180972</v>
      </c>
      <c r="Y128" s="271">
        <v>67309</v>
      </c>
      <c r="Z128" s="271">
        <v>9972</v>
      </c>
      <c r="AA128" s="271">
        <v>1010</v>
      </c>
      <c r="AB128" s="1150">
        <f t="shared" ref="AB128:AB131" si="133">Z128+AA128</f>
        <v>10982</v>
      </c>
      <c r="AC128" s="1151">
        <f t="shared" ref="AC128:AC131" si="134">F128/E128</f>
        <v>0.61223048932819202</v>
      </c>
      <c r="AD128" s="1152">
        <f t="shared" ref="AD128:AD131" si="135">G128/E128</f>
        <v>0.33712115161602574</v>
      </c>
      <c r="AE128" s="1152">
        <f t="shared" ref="AE128:AE131" si="136">H128/E128</f>
        <v>4.4606165933489018E-2</v>
      </c>
      <c r="AF128" s="1152">
        <f t="shared" ref="AF128:AF131" si="137">I128/E128</f>
        <v>6.0421931222931794E-3</v>
      </c>
      <c r="AG128" s="1153">
        <f t="shared" ref="AG128:AG131" si="138">J128/E128</f>
        <v>5.0648359055782202E-2</v>
      </c>
      <c r="AH128" s="1151">
        <f t="shared" ref="AH128:AH131" si="139">K128/E128</f>
        <v>0.22111615514614036</v>
      </c>
      <c r="AI128" s="1152">
        <f t="shared" ref="AI128:AI131" si="140">Q128/E128</f>
        <v>0.64084039090029099</v>
      </c>
      <c r="AJ128" s="1153">
        <f t="shared" ref="AJ128:AJ131" si="141">W128/E128</f>
        <v>0.13804345395356862</v>
      </c>
      <c r="AK128" s="1150">
        <f t="shared" ref="AK128:AK131" si="142">AL128+AM128+AN128</f>
        <v>120396</v>
      </c>
      <c r="AL128" s="271">
        <v>37686</v>
      </c>
      <c r="AM128" s="271">
        <v>78078</v>
      </c>
      <c r="AN128" s="271">
        <v>4632</v>
      </c>
      <c r="AO128" s="1154">
        <f t="shared" si="130"/>
        <v>6.4104325268911674E-2</v>
      </c>
    </row>
    <row r="129" spans="1:41" x14ac:dyDescent="0.25">
      <c r="A129" s="270" t="s">
        <v>267</v>
      </c>
      <c r="E129" s="1150">
        <f t="shared" si="131"/>
        <v>3363616</v>
      </c>
      <c r="F129" s="1150">
        <f t="shared" ref="F129:F131" si="143">L129+R129+X129</f>
        <v>2474656</v>
      </c>
      <c r="G129" s="1150">
        <f t="shared" ref="G129:G131" si="144">M129+S129+Y129</f>
        <v>438849</v>
      </c>
      <c r="H129" s="1150">
        <f t="shared" ref="H129:H131" si="145">N129+T129+Z129</f>
        <v>425076</v>
      </c>
      <c r="I129" s="1150">
        <f t="shared" ref="I129:I131" si="146">O129+U129+AA129</f>
        <v>25035</v>
      </c>
      <c r="J129" s="1150">
        <f t="shared" ref="J129:J131" si="147">H129+I129</f>
        <v>450111</v>
      </c>
      <c r="K129" s="1150">
        <f t="shared" ref="K129:K131" si="148">L129+M129+P129</f>
        <v>810900</v>
      </c>
      <c r="L129" s="271">
        <v>579155</v>
      </c>
      <c r="M129" s="271">
        <v>119997</v>
      </c>
      <c r="N129" s="271">
        <v>104830</v>
      </c>
      <c r="O129" s="271">
        <v>6918</v>
      </c>
      <c r="P129" s="1150">
        <f t="shared" ref="P129:P131" si="149">N129+O129</f>
        <v>111748</v>
      </c>
      <c r="Q129" s="1150">
        <f t="shared" ref="Q129:Q131" si="150">R129+S129+V129</f>
        <v>2164769</v>
      </c>
      <c r="R129" s="271">
        <v>1580359</v>
      </c>
      <c r="S129" s="271">
        <v>285298</v>
      </c>
      <c r="T129" s="271">
        <v>282349</v>
      </c>
      <c r="U129" s="271">
        <v>16763</v>
      </c>
      <c r="V129" s="1150">
        <f t="shared" ref="V129:V131" si="151">T129+U129</f>
        <v>299112</v>
      </c>
      <c r="W129" s="1150">
        <f t="shared" si="132"/>
        <v>387947</v>
      </c>
      <c r="X129" s="271">
        <v>315142</v>
      </c>
      <c r="Y129" s="271">
        <v>33554</v>
      </c>
      <c r="Z129" s="271">
        <v>37897</v>
      </c>
      <c r="AA129" s="271">
        <v>1354</v>
      </c>
      <c r="AB129" s="1150">
        <f t="shared" si="133"/>
        <v>39251</v>
      </c>
      <c r="AC129" s="1151">
        <f t="shared" si="134"/>
        <v>0.73571299458677808</v>
      </c>
      <c r="AD129" s="1152">
        <f t="shared" si="135"/>
        <v>0.13046941149049118</v>
      </c>
      <c r="AE129" s="1152">
        <f t="shared" si="136"/>
        <v>0.12637471102527756</v>
      </c>
      <c r="AF129" s="1152">
        <f t="shared" si="137"/>
        <v>7.4428828974532173E-3</v>
      </c>
      <c r="AG129" s="1153">
        <f t="shared" si="138"/>
        <v>0.13381759392273077</v>
      </c>
      <c r="AH129" s="1151">
        <f t="shared" si="139"/>
        <v>0.24107983788874829</v>
      </c>
      <c r="AI129" s="1152">
        <f t="shared" si="140"/>
        <v>0.64358386926450584</v>
      </c>
      <c r="AJ129" s="1153">
        <f t="shared" si="141"/>
        <v>0.11533629284674589</v>
      </c>
      <c r="AK129" s="1150">
        <f t="shared" si="142"/>
        <v>504004</v>
      </c>
      <c r="AL129" s="271">
        <v>160700</v>
      </c>
      <c r="AM129" s="271">
        <v>321816</v>
      </c>
      <c r="AN129" s="271">
        <v>21488</v>
      </c>
      <c r="AO129" s="1154">
        <f t="shared" si="130"/>
        <v>0.14983993416608793</v>
      </c>
    </row>
    <row r="130" spans="1:41" x14ac:dyDescent="0.25">
      <c r="A130" s="270" t="s">
        <v>265</v>
      </c>
      <c r="E130" s="1150">
        <f t="shared" si="131"/>
        <v>1174278</v>
      </c>
      <c r="F130" s="1150">
        <f t="shared" si="143"/>
        <v>934763</v>
      </c>
      <c r="G130" s="1150">
        <f t="shared" si="144"/>
        <v>209292</v>
      </c>
      <c r="H130" s="1150">
        <f t="shared" si="145"/>
        <v>25689</v>
      </c>
      <c r="I130" s="1150">
        <f t="shared" si="146"/>
        <v>4534</v>
      </c>
      <c r="J130" s="1150">
        <f t="shared" si="147"/>
        <v>30223</v>
      </c>
      <c r="K130" s="1150">
        <f t="shared" si="148"/>
        <v>235584</v>
      </c>
      <c r="L130" s="271">
        <v>177101</v>
      </c>
      <c r="M130" s="271">
        <v>51651</v>
      </c>
      <c r="N130" s="271">
        <v>5847</v>
      </c>
      <c r="O130" s="271">
        <v>985</v>
      </c>
      <c r="P130" s="1150">
        <f t="shared" si="149"/>
        <v>6832</v>
      </c>
      <c r="Q130" s="1150">
        <f t="shared" si="150"/>
        <v>715802</v>
      </c>
      <c r="R130" s="271">
        <v>566938</v>
      </c>
      <c r="S130" s="271">
        <v>127637</v>
      </c>
      <c r="T130" s="271">
        <v>18187</v>
      </c>
      <c r="U130" s="271">
        <v>3040</v>
      </c>
      <c r="V130" s="1150">
        <f t="shared" si="151"/>
        <v>21227</v>
      </c>
      <c r="W130" s="1150">
        <f t="shared" si="132"/>
        <v>222892</v>
      </c>
      <c r="X130" s="271">
        <v>190724</v>
      </c>
      <c r="Y130" s="271">
        <v>30004</v>
      </c>
      <c r="Z130" s="271">
        <v>1655</v>
      </c>
      <c r="AA130" s="271">
        <v>509</v>
      </c>
      <c r="AB130" s="1150">
        <f t="shared" si="133"/>
        <v>2164</v>
      </c>
      <c r="AC130" s="1151">
        <f t="shared" si="134"/>
        <v>0.7960321150528239</v>
      </c>
      <c r="AD130" s="1152">
        <f t="shared" si="135"/>
        <v>0.17823036793672367</v>
      </c>
      <c r="AE130" s="1152">
        <f t="shared" si="136"/>
        <v>2.1876421085977937E-2</v>
      </c>
      <c r="AF130" s="1152">
        <f t="shared" si="137"/>
        <v>3.8610959244744429E-3</v>
      </c>
      <c r="AG130" s="1153">
        <f t="shared" si="138"/>
        <v>2.573751701045238E-2</v>
      </c>
      <c r="AH130" s="1151">
        <f t="shared" si="139"/>
        <v>0.20062029604574044</v>
      </c>
      <c r="AI130" s="1152">
        <f t="shared" si="140"/>
        <v>0.60956775141831832</v>
      </c>
      <c r="AJ130" s="1153">
        <f t="shared" si="141"/>
        <v>0.18981195253594124</v>
      </c>
      <c r="AK130" s="1150">
        <f t="shared" si="142"/>
        <v>41368</v>
      </c>
      <c r="AL130" s="271">
        <v>14401</v>
      </c>
      <c r="AM130" s="271">
        <v>25070</v>
      </c>
      <c r="AN130" s="271">
        <v>1897</v>
      </c>
      <c r="AO130" s="1154">
        <f t="shared" si="130"/>
        <v>3.5228455272090592E-2</v>
      </c>
    </row>
    <row r="131" spans="1:41" x14ac:dyDescent="0.25">
      <c r="A131" s="270" t="s">
        <v>268</v>
      </c>
      <c r="E131" s="1150">
        <f t="shared" si="131"/>
        <v>590530</v>
      </c>
      <c r="F131" s="1150">
        <f t="shared" si="143"/>
        <v>556278</v>
      </c>
      <c r="G131" s="1150">
        <f t="shared" si="144"/>
        <v>23324</v>
      </c>
      <c r="H131" s="1150">
        <f t="shared" si="145"/>
        <v>9443</v>
      </c>
      <c r="I131" s="1150">
        <f t="shared" si="146"/>
        <v>1485</v>
      </c>
      <c r="J131" s="1150">
        <f t="shared" si="147"/>
        <v>10928</v>
      </c>
      <c r="K131" s="1150">
        <f t="shared" si="148"/>
        <v>109821</v>
      </c>
      <c r="L131" s="271">
        <v>103096</v>
      </c>
      <c r="M131" s="271">
        <v>4877</v>
      </c>
      <c r="N131" s="271">
        <v>1587</v>
      </c>
      <c r="O131" s="271">
        <v>261</v>
      </c>
      <c r="P131" s="1150">
        <f t="shared" si="149"/>
        <v>1848</v>
      </c>
      <c r="Q131" s="1150">
        <f t="shared" si="150"/>
        <v>371454</v>
      </c>
      <c r="R131" s="271">
        <v>346968</v>
      </c>
      <c r="S131" s="271">
        <v>16240</v>
      </c>
      <c r="T131" s="271">
        <v>7204</v>
      </c>
      <c r="U131" s="271">
        <v>1042</v>
      </c>
      <c r="V131" s="1150">
        <f t="shared" si="151"/>
        <v>8246</v>
      </c>
      <c r="W131" s="1150">
        <f t="shared" si="132"/>
        <v>109255</v>
      </c>
      <c r="X131" s="271">
        <v>106214</v>
      </c>
      <c r="Y131" s="271">
        <v>2207</v>
      </c>
      <c r="Z131" s="271">
        <v>652</v>
      </c>
      <c r="AA131" s="271">
        <v>182</v>
      </c>
      <c r="AB131" s="1150">
        <f t="shared" si="133"/>
        <v>834</v>
      </c>
      <c r="AC131" s="1151">
        <f t="shared" si="134"/>
        <v>0.94199786632347215</v>
      </c>
      <c r="AD131" s="1152">
        <f t="shared" si="135"/>
        <v>3.9496723282475062E-2</v>
      </c>
      <c r="AE131" s="1152">
        <f t="shared" si="136"/>
        <v>1.5990720200497858E-2</v>
      </c>
      <c r="AF131" s="1152">
        <f t="shared" si="137"/>
        <v>2.514690193554942E-3</v>
      </c>
      <c r="AG131" s="1153">
        <f t="shared" si="138"/>
        <v>1.8505410394052801E-2</v>
      </c>
      <c r="AH131" s="1151">
        <f t="shared" si="139"/>
        <v>0.18597023013225408</v>
      </c>
      <c r="AI131" s="1152">
        <f t="shared" si="140"/>
        <v>0.62901800077896131</v>
      </c>
      <c r="AJ131" s="1153">
        <f t="shared" si="141"/>
        <v>0.18501176908878464</v>
      </c>
      <c r="AK131" s="1150">
        <f t="shared" si="142"/>
        <v>12134</v>
      </c>
      <c r="AL131" s="271">
        <v>3765</v>
      </c>
      <c r="AM131" s="271">
        <v>7746</v>
      </c>
      <c r="AN131" s="271">
        <v>623</v>
      </c>
      <c r="AO131" s="1154">
        <f t="shared" si="130"/>
        <v>2.0547643642151964E-2</v>
      </c>
    </row>
    <row r="134" spans="1:41" x14ac:dyDescent="0.25">
      <c r="A134" s="1149" t="s">
        <v>864</v>
      </c>
    </row>
    <row r="136" spans="1:41" x14ac:dyDescent="0.25">
      <c r="A136" s="412" t="s">
        <v>248</v>
      </c>
      <c r="B136" s="412"/>
    </row>
    <row r="137" spans="1:41" x14ac:dyDescent="0.25">
      <c r="A137" s="413" t="s">
        <v>249</v>
      </c>
      <c r="B137" s="414" t="s">
        <v>250</v>
      </c>
    </row>
  </sheetData>
  <autoFilter ref="A4:D125"/>
  <sortState ref="A6:AO125">
    <sortCondition ref="A6:A125"/>
  </sortState>
  <mergeCells count="7">
    <mergeCell ref="AK3:AN3"/>
    <mergeCell ref="E3:J3"/>
    <mergeCell ref="AC3:AG3"/>
    <mergeCell ref="AH3:AJ3"/>
    <mergeCell ref="K3:P3"/>
    <mergeCell ref="Q3:V3"/>
    <mergeCell ref="W3:AB3"/>
  </mergeCells>
  <hyperlinks>
    <hyperlink ref="B137" r:id="rId1"/>
  </hyperlinks>
  <pageMargins left="0.7" right="0.7" top="0.75" bottom="0.75" header="0.3" footer="0.3"/>
  <pageSetup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zoomScaleNormal="130" workbookViewId="0">
      <pane ySplit="2" topLeftCell="A3" activePane="bottomLeft" state="frozen"/>
      <selection pane="bottomLeft" activeCell="F19" sqref="F19"/>
    </sheetView>
  </sheetViews>
  <sheetFormatPr defaultRowHeight="12.75" x14ac:dyDescent="0.25"/>
  <cols>
    <col min="1" max="1" width="4.5" style="50" bestFit="1" customWidth="1"/>
    <col min="2" max="2" width="21.75" style="50" bestFit="1" customWidth="1"/>
    <col min="3" max="3" width="7.375" style="50" bestFit="1" customWidth="1"/>
    <col min="4" max="4" width="8.75" style="50" customWidth="1"/>
    <col min="5" max="5" width="8.5" style="50" customWidth="1"/>
    <col min="6" max="6" width="8.875" style="50" customWidth="1"/>
    <col min="7" max="16384" width="9" style="50"/>
  </cols>
  <sheetData>
    <row r="1" spans="1:6" x14ac:dyDescent="0.25">
      <c r="B1" s="2" t="s">
        <v>586</v>
      </c>
    </row>
    <row r="2" spans="1:6" ht="12.75" customHeight="1" x14ac:dyDescent="0.25">
      <c r="A2" s="50" t="s">
        <v>4</v>
      </c>
      <c r="B2" s="51" t="s">
        <v>5</v>
      </c>
      <c r="C2" s="52" t="s">
        <v>277</v>
      </c>
      <c r="D2" s="52" t="s">
        <v>278</v>
      </c>
      <c r="E2" s="52" t="s">
        <v>279</v>
      </c>
      <c r="F2" s="52" t="s">
        <v>444</v>
      </c>
    </row>
    <row r="3" spans="1:6" x14ac:dyDescent="0.2">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x14ac:dyDescent="0.2">
      <c r="A4" s="47" t="s">
        <v>12</v>
      </c>
      <c r="B4" s="53" t="s">
        <v>13</v>
      </c>
      <c r="C4" s="54">
        <v>7239</v>
      </c>
      <c r="D4" s="55" t="e">
        <f t="shared" si="0"/>
        <v>#NAME?</v>
      </c>
      <c r="E4" s="55" t="e">
        <f t="shared" si="1"/>
        <v>#NAME?</v>
      </c>
      <c r="F4" s="55" t="e">
        <f t="shared" si="2"/>
        <v>#NAME?</v>
      </c>
    </row>
    <row r="5" spans="1:6" x14ac:dyDescent="0.2">
      <c r="A5" s="47" t="s">
        <v>14</v>
      </c>
      <c r="B5" s="53" t="s">
        <v>15</v>
      </c>
      <c r="C5" s="54">
        <v>11870</v>
      </c>
      <c r="D5" s="55" t="e">
        <f t="shared" si="0"/>
        <v>#NAME?</v>
      </c>
      <c r="E5" s="55" t="e">
        <f t="shared" si="1"/>
        <v>#NAME?</v>
      </c>
      <c r="F5" s="55" t="e">
        <f t="shared" si="2"/>
        <v>#NAME?</v>
      </c>
    </row>
    <row r="6" spans="1:6" x14ac:dyDescent="0.2">
      <c r="A6" s="47" t="s">
        <v>16</v>
      </c>
      <c r="B6" s="53" t="s">
        <v>297</v>
      </c>
      <c r="C6" s="54">
        <v>4496</v>
      </c>
      <c r="D6" s="55" t="e">
        <f t="shared" si="0"/>
        <v>#NAME?</v>
      </c>
      <c r="E6" s="55" t="e">
        <f t="shared" si="1"/>
        <v>#NAME?</v>
      </c>
      <c r="F6" s="55" t="e">
        <f t="shared" si="2"/>
        <v>#NAME?</v>
      </c>
    </row>
    <row r="7" spans="1:6" x14ac:dyDescent="0.2">
      <c r="A7" s="47" t="s">
        <v>18</v>
      </c>
      <c r="B7" s="53" t="s">
        <v>19</v>
      </c>
      <c r="C7" s="54">
        <v>2040</v>
      </c>
      <c r="D7" s="55" t="e">
        <f t="shared" si="0"/>
        <v>#NAME?</v>
      </c>
      <c r="E7" s="55" t="e">
        <f t="shared" si="1"/>
        <v>#NAME?</v>
      </c>
      <c r="F7" s="55" t="e">
        <f t="shared" si="2"/>
        <v>#NAME?</v>
      </c>
    </row>
    <row r="8" spans="1:6" x14ac:dyDescent="0.2">
      <c r="A8" s="47" t="s">
        <v>20</v>
      </c>
      <c r="B8" s="53" t="s">
        <v>21</v>
      </c>
      <c r="C8" s="54">
        <v>4940</v>
      </c>
      <c r="D8" s="55" t="e">
        <f t="shared" si="0"/>
        <v>#NAME?</v>
      </c>
      <c r="E8" s="55" t="e">
        <f t="shared" si="1"/>
        <v>#NAME?</v>
      </c>
      <c r="F8" s="55" t="e">
        <f t="shared" si="2"/>
        <v>#NAME?</v>
      </c>
    </row>
    <row r="9" spans="1:6" x14ac:dyDescent="0.2">
      <c r="A9" s="47" t="s">
        <v>22</v>
      </c>
      <c r="B9" s="53" t="s">
        <v>23</v>
      </c>
      <c r="C9" s="54">
        <v>2749</v>
      </c>
      <c r="D9" s="55" t="e">
        <f t="shared" si="0"/>
        <v>#NAME?</v>
      </c>
      <c r="E9" s="55" t="e">
        <f t="shared" si="1"/>
        <v>#NAME?</v>
      </c>
      <c r="F9" s="55" t="e">
        <f t="shared" si="2"/>
        <v>#NAME?</v>
      </c>
    </row>
    <row r="10" spans="1:6" x14ac:dyDescent="0.2">
      <c r="A10" s="47" t="s">
        <v>24</v>
      </c>
      <c r="B10" s="53" t="s">
        <v>25</v>
      </c>
      <c r="C10" s="54">
        <v>11149</v>
      </c>
      <c r="D10" s="55" t="e">
        <f t="shared" si="0"/>
        <v>#NAME?</v>
      </c>
      <c r="E10" s="55" t="e">
        <f t="shared" si="1"/>
        <v>#NAME?</v>
      </c>
      <c r="F10" s="55" t="e">
        <f t="shared" si="2"/>
        <v>#NAME?</v>
      </c>
    </row>
    <row r="11" spans="1:6" x14ac:dyDescent="0.2">
      <c r="A11" s="47" t="s">
        <v>26</v>
      </c>
      <c r="B11" s="53" t="s">
        <v>298</v>
      </c>
      <c r="C11" s="54">
        <v>16664</v>
      </c>
      <c r="D11" s="55" t="e">
        <f t="shared" si="0"/>
        <v>#NAME?</v>
      </c>
      <c r="E11" s="55" t="e">
        <f t="shared" si="1"/>
        <v>#NAME?</v>
      </c>
      <c r="F11" s="55" t="e">
        <f t="shared" si="2"/>
        <v>#NAME?</v>
      </c>
    </row>
    <row r="12" spans="1:6" x14ac:dyDescent="0.2">
      <c r="A12" s="47" t="s">
        <v>27</v>
      </c>
      <c r="B12" s="53" t="s">
        <v>28</v>
      </c>
      <c r="C12" s="54">
        <v>503</v>
      </c>
      <c r="D12" s="55" t="e">
        <f t="shared" si="0"/>
        <v>#NAME?</v>
      </c>
      <c r="E12" s="55" t="e">
        <f t="shared" si="1"/>
        <v>#NAME?</v>
      </c>
      <c r="F12" s="55" t="e">
        <f t="shared" si="2"/>
        <v>#NAME?</v>
      </c>
    </row>
    <row r="13" spans="1:6" x14ac:dyDescent="0.2">
      <c r="A13" s="47" t="s">
        <v>29</v>
      </c>
      <c r="B13" s="53" t="s">
        <v>299</v>
      </c>
      <c r="C13" s="54">
        <v>8194</v>
      </c>
      <c r="D13" s="55" t="e">
        <f t="shared" si="0"/>
        <v>#NAME?</v>
      </c>
      <c r="E13" s="55" t="e">
        <f t="shared" si="1"/>
        <v>#NAME?</v>
      </c>
      <c r="F13" s="55" t="e">
        <f t="shared" si="2"/>
        <v>#NAME?</v>
      </c>
    </row>
    <row r="14" spans="1:6" x14ac:dyDescent="0.2">
      <c r="A14" s="47" t="s">
        <v>30</v>
      </c>
      <c r="B14" s="53" t="s">
        <v>31</v>
      </c>
      <c r="C14" s="54">
        <v>1029</v>
      </c>
      <c r="D14" s="55" t="e">
        <f t="shared" si="0"/>
        <v>#NAME?</v>
      </c>
      <c r="E14" s="55" t="e">
        <f t="shared" si="1"/>
        <v>#NAME?</v>
      </c>
      <c r="F14" s="55" t="e">
        <f t="shared" si="2"/>
        <v>#NAME?</v>
      </c>
    </row>
    <row r="15" spans="1:6" x14ac:dyDescent="0.2">
      <c r="A15" s="47" t="s">
        <v>32</v>
      </c>
      <c r="B15" s="53" t="s">
        <v>33</v>
      </c>
      <c r="C15" s="54">
        <v>2263</v>
      </c>
      <c r="D15" s="55" t="e">
        <f t="shared" si="0"/>
        <v>#NAME?</v>
      </c>
      <c r="E15" s="55" t="e">
        <f t="shared" si="1"/>
        <v>#NAME?</v>
      </c>
      <c r="F15" s="55" t="e">
        <f t="shared" si="2"/>
        <v>#NAME?</v>
      </c>
    </row>
    <row r="16" spans="1:6" x14ac:dyDescent="0.2">
      <c r="A16" s="47" t="s">
        <v>34</v>
      </c>
      <c r="B16" s="53" t="s">
        <v>35</v>
      </c>
      <c r="C16" s="54">
        <v>4845</v>
      </c>
      <c r="D16" s="55" t="e">
        <f t="shared" si="0"/>
        <v>#NAME?</v>
      </c>
      <c r="E16" s="55" t="e">
        <f t="shared" si="1"/>
        <v>#NAME?</v>
      </c>
      <c r="F16" s="55" t="e">
        <f t="shared" si="2"/>
        <v>#NAME?</v>
      </c>
    </row>
    <row r="17" spans="1:6" x14ac:dyDescent="0.2">
      <c r="A17" s="47" t="s">
        <v>36</v>
      </c>
      <c r="B17" s="53" t="s">
        <v>37</v>
      </c>
      <c r="C17" s="54">
        <v>4116</v>
      </c>
      <c r="D17" s="55" t="e">
        <f t="shared" si="0"/>
        <v>#NAME?</v>
      </c>
      <c r="E17" s="55" t="e">
        <f t="shared" si="1"/>
        <v>#NAME?</v>
      </c>
      <c r="F17" s="55" t="e">
        <f t="shared" si="2"/>
        <v>#NAME?</v>
      </c>
    </row>
    <row r="18" spans="1:6" x14ac:dyDescent="0.2">
      <c r="A18" s="47" t="s">
        <v>38</v>
      </c>
      <c r="B18" s="53" t="s">
        <v>39</v>
      </c>
      <c r="C18" s="54">
        <v>6782</v>
      </c>
      <c r="D18" s="55" t="e">
        <f t="shared" si="0"/>
        <v>#NAME?</v>
      </c>
      <c r="E18" s="55" t="e">
        <f t="shared" si="1"/>
        <v>#NAME?</v>
      </c>
      <c r="F18" s="55" t="e">
        <f t="shared" si="2"/>
        <v>#NAME?</v>
      </c>
    </row>
    <row r="19" spans="1:6" x14ac:dyDescent="0.2">
      <c r="A19" s="47" t="s">
        <v>40</v>
      </c>
      <c r="B19" s="53" t="s">
        <v>41</v>
      </c>
      <c r="C19" s="54">
        <v>2983</v>
      </c>
      <c r="D19" s="55" t="e">
        <f t="shared" si="0"/>
        <v>#NAME?</v>
      </c>
      <c r="E19" s="55" t="e">
        <f t="shared" si="1"/>
        <v>#NAME?</v>
      </c>
      <c r="F19" s="55" t="e">
        <f t="shared" si="2"/>
        <v>#NAME?</v>
      </c>
    </row>
    <row r="20" spans="1:6" x14ac:dyDescent="0.2">
      <c r="A20" s="47" t="s">
        <v>42</v>
      </c>
      <c r="B20" s="53" t="s">
        <v>43</v>
      </c>
      <c r="C20" s="54">
        <v>8789</v>
      </c>
      <c r="D20" s="55" t="e">
        <f t="shared" si="0"/>
        <v>#NAME?</v>
      </c>
      <c r="E20" s="55" t="e">
        <f t="shared" si="1"/>
        <v>#NAME?</v>
      </c>
      <c r="F20" s="55" t="e">
        <f t="shared" si="2"/>
        <v>#NAME?</v>
      </c>
    </row>
    <row r="21" spans="1:6" x14ac:dyDescent="0.2">
      <c r="A21" s="47" t="s">
        <v>44</v>
      </c>
      <c r="B21" s="53" t="s">
        <v>45</v>
      </c>
      <c r="C21" s="54">
        <v>4089</v>
      </c>
      <c r="D21" s="55" t="e">
        <f t="shared" si="0"/>
        <v>#NAME?</v>
      </c>
      <c r="E21" s="55" t="e">
        <f t="shared" si="1"/>
        <v>#NAME?</v>
      </c>
      <c r="F21" s="55" t="e">
        <f t="shared" si="2"/>
        <v>#NAME?</v>
      </c>
    </row>
    <row r="22" spans="1:6" x14ac:dyDescent="0.2">
      <c r="A22" s="47" t="s">
        <v>46</v>
      </c>
      <c r="B22" s="53" t="s">
        <v>47</v>
      </c>
      <c r="C22" s="54">
        <v>6099</v>
      </c>
      <c r="D22" s="55" t="e">
        <f t="shared" si="0"/>
        <v>#NAME?</v>
      </c>
      <c r="E22" s="55" t="e">
        <f t="shared" si="1"/>
        <v>#NAME?</v>
      </c>
      <c r="F22" s="55" t="e">
        <f t="shared" si="2"/>
        <v>#NAME?</v>
      </c>
    </row>
    <row r="23" spans="1:6" x14ac:dyDescent="0.2">
      <c r="A23" s="47" t="s">
        <v>48</v>
      </c>
      <c r="B23" s="53" t="s">
        <v>269</v>
      </c>
      <c r="C23" s="54">
        <v>1026</v>
      </c>
      <c r="D23" s="55" t="e">
        <f t="shared" si="0"/>
        <v>#NAME?</v>
      </c>
      <c r="E23" s="55" t="e">
        <f t="shared" si="1"/>
        <v>#NAME?</v>
      </c>
      <c r="F23" s="55" t="e">
        <f t="shared" si="2"/>
        <v>#NAME?</v>
      </c>
    </row>
    <row r="24" spans="1:6" x14ac:dyDescent="0.2">
      <c r="A24" s="47" t="s">
        <v>50</v>
      </c>
      <c r="B24" s="53" t="s">
        <v>51</v>
      </c>
      <c r="C24" s="54">
        <v>3005</v>
      </c>
      <c r="D24" s="55" t="e">
        <f t="shared" si="0"/>
        <v>#NAME?</v>
      </c>
      <c r="E24" s="55" t="e">
        <f t="shared" si="1"/>
        <v>#NAME?</v>
      </c>
      <c r="F24" s="55" t="e">
        <f t="shared" si="2"/>
        <v>#NAME?</v>
      </c>
    </row>
    <row r="25" spans="1:6" x14ac:dyDescent="0.2">
      <c r="A25" s="47" t="s">
        <v>52</v>
      </c>
      <c r="B25" s="53" t="s">
        <v>53</v>
      </c>
      <c r="C25" s="54">
        <v>6733</v>
      </c>
      <c r="D25" s="55" t="e">
        <f t="shared" si="0"/>
        <v>#NAME?</v>
      </c>
      <c r="E25" s="55" t="e">
        <f t="shared" si="1"/>
        <v>#NAME?</v>
      </c>
      <c r="F25" s="55" t="e">
        <f t="shared" si="2"/>
        <v>#NAME?</v>
      </c>
    </row>
    <row r="26" spans="1:6" x14ac:dyDescent="0.2">
      <c r="A26" s="47" t="s">
        <v>54</v>
      </c>
      <c r="B26" s="53" t="s">
        <v>55</v>
      </c>
      <c r="C26" s="54">
        <v>24491</v>
      </c>
      <c r="D26" s="55" t="e">
        <f t="shared" si="0"/>
        <v>#NAME?</v>
      </c>
      <c r="E26" s="55" t="e">
        <f t="shared" si="1"/>
        <v>#NAME?</v>
      </c>
      <c r="F26" s="55" t="e">
        <f t="shared" si="2"/>
        <v>#NAME?</v>
      </c>
    </row>
    <row r="27" spans="1:6" x14ac:dyDescent="0.2">
      <c r="A27" s="47" t="s">
        <v>56</v>
      </c>
      <c r="B27" s="53" t="s">
        <v>295</v>
      </c>
      <c r="C27" s="54">
        <v>30326</v>
      </c>
      <c r="D27" s="55" t="e">
        <f t="shared" si="0"/>
        <v>#NAME?</v>
      </c>
      <c r="E27" s="55" t="e">
        <f t="shared" si="1"/>
        <v>#NAME?</v>
      </c>
      <c r="F27" s="55" t="e">
        <f t="shared" si="2"/>
        <v>#NAME?</v>
      </c>
    </row>
    <row r="28" spans="1:6" x14ac:dyDescent="0.2">
      <c r="A28" s="47" t="s">
        <v>58</v>
      </c>
      <c r="B28" s="53" t="s">
        <v>59</v>
      </c>
      <c r="C28" s="54">
        <v>986</v>
      </c>
      <c r="D28" s="55" t="e">
        <f t="shared" si="0"/>
        <v>#NAME?</v>
      </c>
      <c r="E28" s="55" t="e">
        <f t="shared" si="1"/>
        <v>#NAME?</v>
      </c>
      <c r="F28" s="55" t="e">
        <f t="shared" si="2"/>
        <v>#NAME?</v>
      </c>
    </row>
    <row r="29" spans="1:6" x14ac:dyDescent="0.2">
      <c r="A29" s="47" t="s">
        <v>60</v>
      </c>
      <c r="B29" s="53" t="s">
        <v>61</v>
      </c>
      <c r="C29" s="54">
        <v>739</v>
      </c>
      <c r="D29" s="55" t="e">
        <f t="shared" si="0"/>
        <v>#NAME?</v>
      </c>
      <c r="E29" s="55" t="e">
        <f t="shared" si="1"/>
        <v>#NAME?</v>
      </c>
      <c r="F29" s="55" t="e">
        <f t="shared" si="2"/>
        <v>#NAME?</v>
      </c>
    </row>
    <row r="30" spans="1:6" x14ac:dyDescent="0.2">
      <c r="A30" s="47" t="s">
        <v>62</v>
      </c>
      <c r="B30" s="53" t="s">
        <v>63</v>
      </c>
      <c r="C30" s="54">
        <v>5420</v>
      </c>
      <c r="D30" s="55" t="e">
        <f t="shared" si="0"/>
        <v>#NAME?</v>
      </c>
      <c r="E30" s="55" t="e">
        <f t="shared" si="1"/>
        <v>#NAME?</v>
      </c>
      <c r="F30" s="55" t="e">
        <f t="shared" si="2"/>
        <v>#NAME?</v>
      </c>
    </row>
    <row r="31" spans="1:6" x14ac:dyDescent="0.2">
      <c r="A31" s="47" t="s">
        <v>64</v>
      </c>
      <c r="B31" s="53" t="s">
        <v>65</v>
      </c>
      <c r="C31" s="54">
        <v>2244</v>
      </c>
      <c r="D31" s="55" t="e">
        <f t="shared" si="0"/>
        <v>#NAME?</v>
      </c>
      <c r="E31" s="55" t="e">
        <f t="shared" si="1"/>
        <v>#NAME?</v>
      </c>
      <c r="F31" s="55" t="e">
        <f t="shared" si="2"/>
        <v>#NAME?</v>
      </c>
    </row>
    <row r="32" spans="1:6" x14ac:dyDescent="0.2">
      <c r="A32" s="47" t="s">
        <v>66</v>
      </c>
      <c r="B32" s="53" t="s">
        <v>67</v>
      </c>
      <c r="C32" s="54">
        <v>13346</v>
      </c>
      <c r="D32" s="55" t="e">
        <f t="shared" si="0"/>
        <v>#NAME?</v>
      </c>
      <c r="E32" s="55" t="e">
        <f t="shared" si="1"/>
        <v>#NAME?</v>
      </c>
      <c r="F32" s="55" t="e">
        <f t="shared" si="2"/>
        <v>#NAME?</v>
      </c>
    </row>
    <row r="33" spans="1:6" x14ac:dyDescent="0.2">
      <c r="A33" s="47" t="s">
        <v>68</v>
      </c>
      <c r="B33" s="53" t="s">
        <v>69</v>
      </c>
      <c r="C33" s="54">
        <v>4742</v>
      </c>
      <c r="D33" s="55" t="e">
        <f t="shared" si="0"/>
        <v>#NAME?</v>
      </c>
      <c r="E33" s="55" t="e">
        <f t="shared" si="1"/>
        <v>#NAME?</v>
      </c>
      <c r="F33" s="55" t="e">
        <f t="shared" si="2"/>
        <v>#NAME?</v>
      </c>
    </row>
    <row r="34" spans="1:6" x14ac:dyDescent="0.2">
      <c r="A34" s="47" t="s">
        <v>70</v>
      </c>
      <c r="B34" s="53" t="s">
        <v>71</v>
      </c>
      <c r="C34" s="54">
        <v>4542</v>
      </c>
      <c r="D34" s="55" t="e">
        <f t="shared" si="0"/>
        <v>#NAME?</v>
      </c>
      <c r="E34" s="55" t="e">
        <f t="shared" si="1"/>
        <v>#NAME?</v>
      </c>
      <c r="F34" s="55" t="e">
        <f t="shared" si="2"/>
        <v>#NAME?</v>
      </c>
    </row>
    <row r="35" spans="1:6" x14ac:dyDescent="0.2">
      <c r="A35" s="47" t="s">
        <v>72</v>
      </c>
      <c r="B35" s="53" t="s">
        <v>73</v>
      </c>
      <c r="C35" s="54">
        <v>2202</v>
      </c>
      <c r="D35" s="55" t="e">
        <f t="shared" ref="D35:D66" si="3">VLOOKUP(B35,_med2008,2,FALSE)</f>
        <v>#NAME?</v>
      </c>
      <c r="E35" s="55" t="e">
        <f t="shared" ref="E35:E66" si="4">VLOOKUP(B35,_med2009,2,FALSE)</f>
        <v>#NAME?</v>
      </c>
      <c r="F35" s="55" t="e">
        <f t="shared" ref="F35:F66" si="5">VLOOKUP(B35,_med2010,2,FALSE)</f>
        <v>#NAME?</v>
      </c>
    </row>
    <row r="36" spans="1:6" x14ac:dyDescent="0.2">
      <c r="A36" s="47" t="s">
        <v>74</v>
      </c>
      <c r="B36" s="53" t="s">
        <v>296</v>
      </c>
      <c r="C36" s="54">
        <v>66005</v>
      </c>
      <c r="D36" s="55" t="e">
        <f t="shared" si="3"/>
        <v>#NAME?</v>
      </c>
      <c r="E36" s="55" t="e">
        <f t="shared" si="4"/>
        <v>#NAME?</v>
      </c>
      <c r="F36" s="55" t="e">
        <f t="shared" si="5"/>
        <v>#NAME?</v>
      </c>
    </row>
    <row r="37" spans="1:6" x14ac:dyDescent="0.2">
      <c r="A37" s="47" t="s">
        <v>76</v>
      </c>
      <c r="B37" s="53" t="s">
        <v>77</v>
      </c>
      <c r="C37" s="54">
        <v>4472</v>
      </c>
      <c r="D37" s="55" t="e">
        <f t="shared" si="3"/>
        <v>#NAME?</v>
      </c>
      <c r="E37" s="55" t="e">
        <f t="shared" si="4"/>
        <v>#NAME?</v>
      </c>
      <c r="F37" s="55" t="e">
        <f t="shared" si="5"/>
        <v>#NAME?</v>
      </c>
    </row>
    <row r="38" spans="1:6" x14ac:dyDescent="0.2">
      <c r="A38" s="47" t="s">
        <v>78</v>
      </c>
      <c r="B38" s="53" t="s">
        <v>79</v>
      </c>
      <c r="C38" s="54">
        <v>2221</v>
      </c>
      <c r="D38" s="55" t="e">
        <f t="shared" si="3"/>
        <v>#NAME?</v>
      </c>
      <c r="E38" s="55" t="e">
        <f t="shared" si="4"/>
        <v>#NAME?</v>
      </c>
      <c r="F38" s="55" t="e">
        <f t="shared" si="5"/>
        <v>#NAME?</v>
      </c>
    </row>
    <row r="39" spans="1:6" x14ac:dyDescent="0.2">
      <c r="A39" s="47" t="s">
        <v>80</v>
      </c>
      <c r="B39" s="53" t="s">
        <v>81</v>
      </c>
      <c r="C39" s="54">
        <v>2055</v>
      </c>
      <c r="D39" s="55" t="e">
        <f t="shared" si="3"/>
        <v>#NAME?</v>
      </c>
      <c r="E39" s="55" t="e">
        <f t="shared" si="4"/>
        <v>#NAME?</v>
      </c>
      <c r="F39" s="55" t="e">
        <f t="shared" si="5"/>
        <v>#NAME?</v>
      </c>
    </row>
    <row r="40" spans="1:6" x14ac:dyDescent="0.2">
      <c r="A40" s="47" t="s">
        <v>82</v>
      </c>
      <c r="B40" s="53" t="s">
        <v>83</v>
      </c>
      <c r="C40" s="54">
        <v>2567</v>
      </c>
      <c r="D40" s="55" t="e">
        <f t="shared" si="3"/>
        <v>#NAME?</v>
      </c>
      <c r="E40" s="55" t="e">
        <f t="shared" si="4"/>
        <v>#NAME?</v>
      </c>
      <c r="F40" s="55" t="e">
        <f t="shared" si="5"/>
        <v>#NAME?</v>
      </c>
    </row>
    <row r="41" spans="1:6" x14ac:dyDescent="0.2">
      <c r="A41" s="47" t="s">
        <v>84</v>
      </c>
      <c r="B41" s="53" t="s">
        <v>85</v>
      </c>
      <c r="C41" s="54">
        <v>7976</v>
      </c>
      <c r="D41" s="55" t="e">
        <f t="shared" si="3"/>
        <v>#NAME?</v>
      </c>
      <c r="E41" s="55" t="e">
        <f t="shared" si="4"/>
        <v>#NAME?</v>
      </c>
      <c r="F41" s="55" t="e">
        <f t="shared" si="5"/>
        <v>#NAME?</v>
      </c>
    </row>
    <row r="42" spans="1:6" x14ac:dyDescent="0.2">
      <c r="A42" s="47" t="s">
        <v>86</v>
      </c>
      <c r="B42" s="53" t="s">
        <v>87</v>
      </c>
      <c r="C42" s="54">
        <v>6545</v>
      </c>
      <c r="D42" s="55" t="e">
        <f t="shared" si="3"/>
        <v>#NAME?</v>
      </c>
      <c r="E42" s="55" t="e">
        <f t="shared" si="4"/>
        <v>#NAME?</v>
      </c>
      <c r="F42" s="55" t="e">
        <f t="shared" si="5"/>
        <v>#NAME?</v>
      </c>
    </row>
    <row r="43" spans="1:6" x14ac:dyDescent="0.2">
      <c r="A43" s="47" t="s">
        <v>88</v>
      </c>
      <c r="B43" s="53" t="s">
        <v>89</v>
      </c>
      <c r="C43" s="54">
        <v>4329</v>
      </c>
      <c r="D43" s="55" t="e">
        <f t="shared" si="3"/>
        <v>#NAME?</v>
      </c>
      <c r="E43" s="55" t="e">
        <f t="shared" si="4"/>
        <v>#NAME?</v>
      </c>
      <c r="F43" s="55" t="e">
        <f t="shared" si="5"/>
        <v>#NAME?</v>
      </c>
    </row>
    <row r="44" spans="1:6" x14ac:dyDescent="0.2">
      <c r="A44" s="47" t="s">
        <v>90</v>
      </c>
      <c r="B44" s="53" t="s">
        <v>91</v>
      </c>
      <c r="C44" s="54">
        <v>2240</v>
      </c>
      <c r="D44" s="55" t="e">
        <f t="shared" si="3"/>
        <v>#NAME?</v>
      </c>
      <c r="E44" s="55" t="e">
        <f t="shared" si="4"/>
        <v>#NAME?</v>
      </c>
      <c r="F44" s="55" t="e">
        <f t="shared" si="5"/>
        <v>#NAME?</v>
      </c>
    </row>
    <row r="45" spans="1:6" x14ac:dyDescent="0.2">
      <c r="A45" s="47" t="s">
        <v>92</v>
      </c>
      <c r="B45" s="53" t="s">
        <v>93</v>
      </c>
      <c r="C45" s="54">
        <v>2917</v>
      </c>
      <c r="D45" s="55" t="e">
        <f t="shared" si="3"/>
        <v>#NAME?</v>
      </c>
      <c r="E45" s="55" t="e">
        <f t="shared" si="4"/>
        <v>#NAME?</v>
      </c>
      <c r="F45" s="55" t="e">
        <f t="shared" si="5"/>
        <v>#NAME?</v>
      </c>
    </row>
    <row r="46" spans="1:6" x14ac:dyDescent="0.2">
      <c r="A46" s="47" t="s">
        <v>94</v>
      </c>
      <c r="B46" s="53" t="s">
        <v>95</v>
      </c>
      <c r="C46" s="54">
        <v>4114</v>
      </c>
      <c r="D46" s="55" t="e">
        <f t="shared" si="3"/>
        <v>#NAME?</v>
      </c>
      <c r="E46" s="55" t="e">
        <f t="shared" si="4"/>
        <v>#NAME?</v>
      </c>
      <c r="F46" s="55" t="e">
        <f t="shared" si="5"/>
        <v>#NAME?</v>
      </c>
    </row>
    <row r="47" spans="1:6" x14ac:dyDescent="0.2">
      <c r="A47" s="47" t="s">
        <v>96</v>
      </c>
      <c r="B47" s="53" t="s">
        <v>97</v>
      </c>
      <c r="C47" s="54">
        <v>1386</v>
      </c>
      <c r="D47" s="55" t="e">
        <f t="shared" si="3"/>
        <v>#NAME?</v>
      </c>
      <c r="E47" s="55" t="e">
        <f t="shared" si="4"/>
        <v>#NAME?</v>
      </c>
      <c r="F47" s="55" t="e">
        <f t="shared" si="5"/>
        <v>#NAME?</v>
      </c>
    </row>
    <row r="48" spans="1:6" x14ac:dyDescent="0.2">
      <c r="A48" s="47" t="s">
        <v>98</v>
      </c>
      <c r="B48" s="53" t="s">
        <v>99</v>
      </c>
      <c r="C48" s="54">
        <v>3759</v>
      </c>
      <c r="D48" s="55" t="e">
        <f t="shared" si="3"/>
        <v>#NAME?</v>
      </c>
      <c r="E48" s="55" t="e">
        <f t="shared" si="4"/>
        <v>#NAME?</v>
      </c>
      <c r="F48" s="55" t="e">
        <f t="shared" si="5"/>
        <v>#NAME?</v>
      </c>
    </row>
    <row r="49" spans="1:6" x14ac:dyDescent="0.2">
      <c r="A49" s="47" t="s">
        <v>100</v>
      </c>
      <c r="B49" s="53" t="s">
        <v>101</v>
      </c>
      <c r="C49" s="54">
        <v>2234</v>
      </c>
      <c r="D49" s="55" t="e">
        <f t="shared" si="3"/>
        <v>#NAME?</v>
      </c>
      <c r="E49" s="55" t="e">
        <f t="shared" si="4"/>
        <v>#NAME?</v>
      </c>
      <c r="F49" s="55" t="e">
        <f t="shared" si="5"/>
        <v>#NAME?</v>
      </c>
    </row>
    <row r="50" spans="1:6" x14ac:dyDescent="0.2">
      <c r="A50" s="47" t="s">
        <v>102</v>
      </c>
      <c r="B50" s="53" t="s">
        <v>282</v>
      </c>
      <c r="C50" s="54">
        <v>4134</v>
      </c>
      <c r="D50" s="55" t="e">
        <f t="shared" si="3"/>
        <v>#NAME?</v>
      </c>
      <c r="E50" s="55" t="e">
        <f t="shared" si="4"/>
        <v>#NAME?</v>
      </c>
      <c r="F50" s="55" t="e">
        <f t="shared" si="5"/>
        <v>#NAME?</v>
      </c>
    </row>
    <row r="51" spans="1:6" x14ac:dyDescent="0.2">
      <c r="A51" s="47" t="s">
        <v>104</v>
      </c>
      <c r="B51" s="53" t="s">
        <v>105</v>
      </c>
      <c r="C51" s="54">
        <v>8414</v>
      </c>
      <c r="D51" s="55" t="e">
        <f t="shared" si="3"/>
        <v>#NAME?</v>
      </c>
      <c r="E51" s="55" t="e">
        <f t="shared" si="4"/>
        <v>#NAME?</v>
      </c>
      <c r="F51" s="55" t="e">
        <f t="shared" si="5"/>
        <v>#NAME?</v>
      </c>
    </row>
    <row r="52" spans="1:6" x14ac:dyDescent="0.2">
      <c r="A52" s="47" t="s">
        <v>106</v>
      </c>
      <c r="B52" s="53" t="s">
        <v>107</v>
      </c>
      <c r="C52" s="54">
        <v>23189</v>
      </c>
      <c r="D52" s="55" t="e">
        <f t="shared" si="3"/>
        <v>#NAME?</v>
      </c>
      <c r="E52" s="55" t="e">
        <f t="shared" si="4"/>
        <v>#NAME?</v>
      </c>
      <c r="F52" s="55" t="e">
        <f t="shared" si="5"/>
        <v>#NAME?</v>
      </c>
    </row>
    <row r="53" spans="1:6" x14ac:dyDescent="0.2">
      <c r="A53" s="47" t="s">
        <v>108</v>
      </c>
      <c r="B53" s="53" t="s">
        <v>109</v>
      </c>
      <c r="C53" s="54">
        <v>6268</v>
      </c>
      <c r="D53" s="55" t="e">
        <f t="shared" si="3"/>
        <v>#NAME?</v>
      </c>
      <c r="E53" s="55" t="e">
        <f t="shared" si="4"/>
        <v>#NAME?</v>
      </c>
      <c r="F53" s="55" t="e">
        <f t="shared" si="5"/>
        <v>#NAME?</v>
      </c>
    </row>
    <row r="54" spans="1:6" x14ac:dyDescent="0.2">
      <c r="A54" s="47" t="s">
        <v>110</v>
      </c>
      <c r="B54" s="53" t="s">
        <v>111</v>
      </c>
      <c r="C54" s="54">
        <v>31176</v>
      </c>
      <c r="D54" s="55" t="e">
        <f t="shared" si="3"/>
        <v>#NAME?</v>
      </c>
      <c r="E54" s="55" t="e">
        <f t="shared" si="4"/>
        <v>#NAME?</v>
      </c>
      <c r="F54" s="55" t="e">
        <f t="shared" si="5"/>
        <v>#NAME?</v>
      </c>
    </row>
    <row r="55" spans="1:6" x14ac:dyDescent="0.2">
      <c r="A55" s="47" t="s">
        <v>112</v>
      </c>
      <c r="B55" s="53" t="s">
        <v>300</v>
      </c>
      <c r="C55" s="54">
        <v>16087</v>
      </c>
      <c r="D55" s="55" t="e">
        <f t="shared" si="3"/>
        <v>#NAME?</v>
      </c>
      <c r="E55" s="55" t="e">
        <f t="shared" si="4"/>
        <v>#NAME?</v>
      </c>
      <c r="F55" s="55" t="e">
        <f t="shared" si="5"/>
        <v>#NAME?</v>
      </c>
    </row>
    <row r="56" spans="1:6" x14ac:dyDescent="0.2">
      <c r="A56" s="47" t="s">
        <v>114</v>
      </c>
      <c r="B56" s="53" t="s">
        <v>115</v>
      </c>
      <c r="C56" s="54">
        <v>290</v>
      </c>
      <c r="D56" s="55" t="e">
        <f t="shared" si="3"/>
        <v>#NAME?</v>
      </c>
      <c r="E56" s="55" t="e">
        <f t="shared" si="4"/>
        <v>#NAME?</v>
      </c>
      <c r="F56" s="55" t="e">
        <f t="shared" si="5"/>
        <v>#NAME?</v>
      </c>
    </row>
    <row r="57" spans="1:6" x14ac:dyDescent="0.2">
      <c r="A57" s="47" t="s">
        <v>116</v>
      </c>
      <c r="B57" s="53" t="s">
        <v>117</v>
      </c>
      <c r="C57" s="54">
        <v>6343</v>
      </c>
      <c r="D57" s="55" t="e">
        <f t="shared" si="3"/>
        <v>#NAME?</v>
      </c>
      <c r="E57" s="55" t="e">
        <f t="shared" si="4"/>
        <v>#NAME?</v>
      </c>
      <c r="F57" s="55" t="e">
        <f t="shared" si="5"/>
        <v>#NAME?</v>
      </c>
    </row>
    <row r="58" spans="1:6" x14ac:dyDescent="0.2">
      <c r="A58" s="47" t="s">
        <v>118</v>
      </c>
      <c r="B58" s="53" t="s">
        <v>270</v>
      </c>
      <c r="C58" s="54">
        <v>4418</v>
      </c>
      <c r="D58" s="55" t="e">
        <f t="shared" si="3"/>
        <v>#NAME?</v>
      </c>
      <c r="E58" s="55" t="e">
        <f t="shared" si="4"/>
        <v>#NAME?</v>
      </c>
      <c r="F58" s="55" t="e">
        <f t="shared" si="5"/>
        <v>#NAME?</v>
      </c>
    </row>
    <row r="59" spans="1:6" x14ac:dyDescent="0.2">
      <c r="A59" s="47" t="s">
        <v>120</v>
      </c>
      <c r="B59" s="53" t="s">
        <v>121</v>
      </c>
      <c r="C59" s="54">
        <v>4708</v>
      </c>
      <c r="D59" s="55" t="e">
        <f t="shared" si="3"/>
        <v>#NAME?</v>
      </c>
      <c r="E59" s="55" t="e">
        <f t="shared" si="4"/>
        <v>#NAME?</v>
      </c>
      <c r="F59" s="55" t="e">
        <f t="shared" si="5"/>
        <v>#NAME?</v>
      </c>
    </row>
    <row r="60" spans="1:6" x14ac:dyDescent="0.2">
      <c r="A60" s="47" t="s">
        <v>122</v>
      </c>
      <c r="B60" s="53" t="s">
        <v>287</v>
      </c>
      <c r="C60" s="54">
        <v>1328</v>
      </c>
      <c r="D60" s="55" t="e">
        <f t="shared" si="3"/>
        <v>#NAME?</v>
      </c>
      <c r="E60" s="55" t="e">
        <f t="shared" si="4"/>
        <v>#NAME?</v>
      </c>
      <c r="F60" s="55" t="e">
        <f t="shared" si="5"/>
        <v>#NAME?</v>
      </c>
    </row>
    <row r="61" spans="1:6" x14ac:dyDescent="0.2">
      <c r="A61" s="47" t="s">
        <v>124</v>
      </c>
      <c r="B61" s="53" t="s">
        <v>125</v>
      </c>
      <c r="C61" s="54">
        <v>2080</v>
      </c>
      <c r="D61" s="55" t="e">
        <f t="shared" si="3"/>
        <v>#NAME?</v>
      </c>
      <c r="E61" s="55" t="e">
        <f t="shared" si="4"/>
        <v>#NAME?</v>
      </c>
      <c r="F61" s="55" t="e">
        <f t="shared" si="5"/>
        <v>#NAME?</v>
      </c>
    </row>
    <row r="62" spans="1:6" x14ac:dyDescent="0.2">
      <c r="A62" s="47" t="s">
        <v>126</v>
      </c>
      <c r="B62" s="53" t="s">
        <v>127</v>
      </c>
      <c r="C62" s="54">
        <v>1653</v>
      </c>
      <c r="D62" s="55" t="e">
        <f t="shared" si="3"/>
        <v>#NAME?</v>
      </c>
      <c r="E62" s="55" t="e">
        <f t="shared" si="4"/>
        <v>#NAME?</v>
      </c>
      <c r="F62" s="55" t="e">
        <f t="shared" si="5"/>
        <v>#NAME?</v>
      </c>
    </row>
    <row r="63" spans="1:6" x14ac:dyDescent="0.2">
      <c r="A63" s="47" t="s">
        <v>128</v>
      </c>
      <c r="B63" s="53" t="s">
        <v>129</v>
      </c>
      <c r="C63" s="54">
        <v>2006</v>
      </c>
      <c r="D63" s="55" t="e">
        <f t="shared" si="3"/>
        <v>#NAME?</v>
      </c>
      <c r="E63" s="55" t="e">
        <f t="shared" si="4"/>
        <v>#NAME?</v>
      </c>
      <c r="F63" s="55" t="e">
        <f t="shared" si="5"/>
        <v>#NAME?</v>
      </c>
    </row>
    <row r="64" spans="1:6" x14ac:dyDescent="0.2">
      <c r="A64" s="47" t="s">
        <v>130</v>
      </c>
      <c r="B64" s="53" t="s">
        <v>131</v>
      </c>
      <c r="C64" s="54">
        <v>7728</v>
      </c>
      <c r="D64" s="55" t="e">
        <f t="shared" si="3"/>
        <v>#NAME?</v>
      </c>
      <c r="E64" s="55" t="e">
        <f t="shared" si="4"/>
        <v>#NAME?</v>
      </c>
      <c r="F64" s="55" t="e">
        <f t="shared" si="5"/>
        <v>#NAME?</v>
      </c>
    </row>
    <row r="65" spans="1:6" x14ac:dyDescent="0.2">
      <c r="A65" s="47" t="s">
        <v>132</v>
      </c>
      <c r="B65" s="53" t="s">
        <v>133</v>
      </c>
      <c r="C65" s="54">
        <v>10860</v>
      </c>
      <c r="D65" s="55" t="e">
        <f t="shared" si="3"/>
        <v>#NAME?</v>
      </c>
      <c r="E65" s="55" t="e">
        <f t="shared" si="4"/>
        <v>#NAME?</v>
      </c>
      <c r="F65" s="55" t="e">
        <f t="shared" si="5"/>
        <v>#NAME?</v>
      </c>
    </row>
    <row r="66" spans="1:6" x14ac:dyDescent="0.2">
      <c r="A66" s="47" t="s">
        <v>134</v>
      </c>
      <c r="B66" s="53" t="s">
        <v>135</v>
      </c>
      <c r="C66" s="54">
        <v>4296</v>
      </c>
      <c r="D66" s="55" t="e">
        <f t="shared" si="3"/>
        <v>#NAME?</v>
      </c>
      <c r="E66" s="55" t="e">
        <f t="shared" si="4"/>
        <v>#NAME?</v>
      </c>
      <c r="F66" s="55" t="e">
        <f t="shared" si="5"/>
        <v>#NAME?</v>
      </c>
    </row>
    <row r="67" spans="1:6" x14ac:dyDescent="0.2">
      <c r="A67" s="47" t="s">
        <v>136</v>
      </c>
      <c r="B67" s="53" t="s">
        <v>137</v>
      </c>
      <c r="C67" s="54">
        <v>2847</v>
      </c>
      <c r="D67" s="55" t="e">
        <f t="shared" ref="D67:D98" si="6">VLOOKUP(B67,_med2008,2,FALSE)</f>
        <v>#NAME?</v>
      </c>
      <c r="E67" s="55" t="e">
        <f t="shared" ref="E67:E98" si="7">VLOOKUP(B67,_med2009,2,FALSE)</f>
        <v>#NAME?</v>
      </c>
      <c r="F67" s="55" t="e">
        <f t="shared" ref="F67:F98" si="8">VLOOKUP(B67,_med2010,2,FALSE)</f>
        <v>#NAME?</v>
      </c>
    </row>
    <row r="68" spans="1:6" x14ac:dyDescent="0.2">
      <c r="A68" s="47" t="s">
        <v>138</v>
      </c>
      <c r="B68" s="53" t="s">
        <v>139</v>
      </c>
      <c r="C68" s="54">
        <v>13893</v>
      </c>
      <c r="D68" s="55" t="e">
        <f t="shared" si="6"/>
        <v>#NAME?</v>
      </c>
      <c r="E68" s="55" t="e">
        <f t="shared" si="7"/>
        <v>#NAME?</v>
      </c>
      <c r="F68" s="55" t="e">
        <f t="shared" si="8"/>
        <v>#NAME?</v>
      </c>
    </row>
    <row r="69" spans="1:6" x14ac:dyDescent="0.2">
      <c r="A69" s="47" t="s">
        <v>140</v>
      </c>
      <c r="B69" s="53" t="s">
        <v>141</v>
      </c>
      <c r="C69" s="54">
        <v>1528</v>
      </c>
      <c r="D69" s="55" t="e">
        <f t="shared" si="6"/>
        <v>#NAME?</v>
      </c>
      <c r="E69" s="55" t="e">
        <f t="shared" si="7"/>
        <v>#NAME?</v>
      </c>
      <c r="F69" s="55" t="e">
        <f t="shared" si="8"/>
        <v>#NAME?</v>
      </c>
    </row>
    <row r="70" spans="1:6" x14ac:dyDescent="0.2">
      <c r="A70" s="47" t="s">
        <v>142</v>
      </c>
      <c r="B70" s="53" t="s">
        <v>143</v>
      </c>
      <c r="C70" s="54">
        <v>5337</v>
      </c>
      <c r="D70" s="55" t="e">
        <f t="shared" si="6"/>
        <v>#NAME?</v>
      </c>
      <c r="E70" s="55" t="e">
        <f t="shared" si="7"/>
        <v>#NAME?</v>
      </c>
      <c r="F70" s="55" t="e">
        <f t="shared" si="8"/>
        <v>#NAME?</v>
      </c>
    </row>
    <row r="71" spans="1:6" x14ac:dyDescent="0.2">
      <c r="A71" s="47" t="s">
        <v>144</v>
      </c>
      <c r="B71" s="53" t="s">
        <v>145</v>
      </c>
      <c r="C71" s="54">
        <v>2146</v>
      </c>
      <c r="D71" s="55" t="e">
        <f t="shared" si="6"/>
        <v>#NAME?</v>
      </c>
      <c r="E71" s="55" t="e">
        <f t="shared" si="7"/>
        <v>#NAME?</v>
      </c>
      <c r="F71" s="55" t="e">
        <f t="shared" si="8"/>
        <v>#NAME?</v>
      </c>
    </row>
    <row r="72" spans="1:6" x14ac:dyDescent="0.2">
      <c r="A72" s="47" t="s">
        <v>146</v>
      </c>
      <c r="B72" s="53" t="s">
        <v>147</v>
      </c>
      <c r="C72" s="54">
        <v>1054</v>
      </c>
      <c r="D72" s="55" t="e">
        <f t="shared" si="6"/>
        <v>#NAME?</v>
      </c>
      <c r="E72" s="55" t="e">
        <f t="shared" si="7"/>
        <v>#NAME?</v>
      </c>
      <c r="F72" s="55" t="e">
        <f t="shared" si="8"/>
        <v>#NAME?</v>
      </c>
    </row>
    <row r="73" spans="1:6" x14ac:dyDescent="0.2">
      <c r="A73" s="47" t="s">
        <v>148</v>
      </c>
      <c r="B73" s="53" t="s">
        <v>149</v>
      </c>
      <c r="C73" s="54">
        <v>6603</v>
      </c>
      <c r="D73" s="55" t="e">
        <f t="shared" si="6"/>
        <v>#NAME?</v>
      </c>
      <c r="E73" s="55" t="e">
        <f t="shared" si="7"/>
        <v>#NAME?</v>
      </c>
      <c r="F73" s="55" t="e">
        <f t="shared" si="8"/>
        <v>#NAME?</v>
      </c>
    </row>
    <row r="74" spans="1:6" x14ac:dyDescent="0.2">
      <c r="A74" s="47" t="s">
        <v>150</v>
      </c>
      <c r="B74" s="53" t="s">
        <v>151</v>
      </c>
      <c r="C74" s="54">
        <v>1464</v>
      </c>
      <c r="D74" s="55" t="e">
        <f t="shared" si="6"/>
        <v>#NAME?</v>
      </c>
      <c r="E74" s="55" t="e">
        <f t="shared" si="7"/>
        <v>#NAME?</v>
      </c>
      <c r="F74" s="55" t="e">
        <f t="shared" si="8"/>
        <v>#NAME?</v>
      </c>
    </row>
    <row r="75" spans="1:6" x14ac:dyDescent="0.2">
      <c r="A75" s="47" t="s">
        <v>152</v>
      </c>
      <c r="B75" s="53" t="s">
        <v>153</v>
      </c>
      <c r="C75" s="54">
        <v>9035</v>
      </c>
      <c r="D75" s="55" t="e">
        <f t="shared" si="6"/>
        <v>#NAME?</v>
      </c>
      <c r="E75" s="55" t="e">
        <f t="shared" si="7"/>
        <v>#NAME?</v>
      </c>
      <c r="F75" s="55" t="e">
        <f t="shared" si="8"/>
        <v>#NAME?</v>
      </c>
    </row>
    <row r="76" spans="1:6" x14ac:dyDescent="0.2">
      <c r="A76" s="47" t="s">
        <v>154</v>
      </c>
      <c r="B76" s="53" t="s">
        <v>155</v>
      </c>
      <c r="C76" s="54">
        <v>2369</v>
      </c>
      <c r="D76" s="55" t="e">
        <f t="shared" si="6"/>
        <v>#NAME?</v>
      </c>
      <c r="E76" s="55" t="e">
        <f t="shared" si="7"/>
        <v>#NAME?</v>
      </c>
      <c r="F76" s="55" t="e">
        <f t="shared" si="8"/>
        <v>#NAME?</v>
      </c>
    </row>
    <row r="77" spans="1:6" x14ac:dyDescent="0.2">
      <c r="A77" s="47" t="s">
        <v>156</v>
      </c>
      <c r="B77" s="53" t="s">
        <v>157</v>
      </c>
      <c r="C77" s="54">
        <v>1076</v>
      </c>
      <c r="D77" s="55" t="e">
        <f t="shared" si="6"/>
        <v>#NAME?</v>
      </c>
      <c r="E77" s="55" t="e">
        <f t="shared" si="7"/>
        <v>#NAME?</v>
      </c>
      <c r="F77" s="55" t="e">
        <f t="shared" si="8"/>
        <v>#NAME?</v>
      </c>
    </row>
    <row r="78" spans="1:6" x14ac:dyDescent="0.2">
      <c r="A78" s="47" t="s">
        <v>158</v>
      </c>
      <c r="B78" s="53" t="s">
        <v>159</v>
      </c>
      <c r="C78" s="54">
        <v>36304</v>
      </c>
      <c r="D78" s="55" t="e">
        <f t="shared" si="6"/>
        <v>#NAME?</v>
      </c>
      <c r="E78" s="55" t="e">
        <f t="shared" si="7"/>
        <v>#NAME?</v>
      </c>
      <c r="F78" s="55" t="e">
        <f t="shared" si="8"/>
        <v>#NAME?</v>
      </c>
    </row>
    <row r="79" spans="1:6" x14ac:dyDescent="0.2">
      <c r="A79" s="47" t="s">
        <v>160</v>
      </c>
      <c r="B79" s="53" t="s">
        <v>161</v>
      </c>
      <c r="C79" s="54">
        <v>50779</v>
      </c>
      <c r="D79" s="55" t="e">
        <f t="shared" si="6"/>
        <v>#NAME?</v>
      </c>
      <c r="E79" s="55" t="e">
        <f t="shared" si="7"/>
        <v>#NAME?</v>
      </c>
      <c r="F79" s="55" t="e">
        <f t="shared" si="8"/>
        <v>#NAME?</v>
      </c>
    </row>
    <row r="80" spans="1:6" x14ac:dyDescent="0.2">
      <c r="A80" s="47" t="s">
        <v>162</v>
      </c>
      <c r="B80" s="53" t="s">
        <v>163</v>
      </c>
      <c r="C80" s="54">
        <v>3609</v>
      </c>
      <c r="D80" s="55" t="e">
        <f t="shared" si="6"/>
        <v>#NAME?</v>
      </c>
      <c r="E80" s="55" t="e">
        <f t="shared" si="7"/>
        <v>#NAME?</v>
      </c>
      <c r="F80" s="55" t="e">
        <f t="shared" si="8"/>
        <v>#NAME?</v>
      </c>
    </row>
    <row r="81" spans="1:6" x14ac:dyDescent="0.2">
      <c r="A81" s="47" t="s">
        <v>164</v>
      </c>
      <c r="B81" s="53" t="s">
        <v>165</v>
      </c>
      <c r="C81" s="54">
        <v>1857</v>
      </c>
      <c r="D81" s="55" t="e">
        <f t="shared" si="6"/>
        <v>#NAME?</v>
      </c>
      <c r="E81" s="55" t="e">
        <f t="shared" si="7"/>
        <v>#NAME?</v>
      </c>
      <c r="F81" s="55" t="e">
        <f t="shared" si="8"/>
        <v>#NAME?</v>
      </c>
    </row>
    <row r="82" spans="1:6" x14ac:dyDescent="0.2">
      <c r="A82" s="47" t="s">
        <v>166</v>
      </c>
      <c r="B82" s="53" t="s">
        <v>167</v>
      </c>
      <c r="C82" s="54">
        <v>1354</v>
      </c>
      <c r="D82" s="55" t="e">
        <f t="shared" si="6"/>
        <v>#NAME?</v>
      </c>
      <c r="E82" s="55" t="e">
        <f t="shared" si="7"/>
        <v>#NAME?</v>
      </c>
      <c r="F82" s="55" t="e">
        <f t="shared" si="8"/>
        <v>#NAME?</v>
      </c>
    </row>
    <row r="83" spans="1:6" x14ac:dyDescent="0.2">
      <c r="A83" s="47" t="s">
        <v>168</v>
      </c>
      <c r="B83" s="53" t="s">
        <v>169</v>
      </c>
      <c r="C83" s="54">
        <v>3392</v>
      </c>
      <c r="D83" s="55" t="e">
        <f t="shared" si="6"/>
        <v>#NAME?</v>
      </c>
      <c r="E83" s="55" t="e">
        <f t="shared" si="7"/>
        <v>#NAME?</v>
      </c>
      <c r="F83" s="55" t="e">
        <f t="shared" si="8"/>
        <v>#NAME?</v>
      </c>
    </row>
    <row r="84" spans="1:6" x14ac:dyDescent="0.2">
      <c r="A84" s="47" t="s">
        <v>170</v>
      </c>
      <c r="B84" s="53" t="s">
        <v>171</v>
      </c>
      <c r="C84" s="54">
        <v>3601</v>
      </c>
      <c r="D84" s="55" t="e">
        <f t="shared" si="6"/>
        <v>#NAME?</v>
      </c>
      <c r="E84" s="55" t="e">
        <f t="shared" si="7"/>
        <v>#NAME?</v>
      </c>
      <c r="F84" s="55" t="e">
        <f t="shared" si="8"/>
        <v>#NAME?</v>
      </c>
    </row>
    <row r="85" spans="1:6" x14ac:dyDescent="0.2">
      <c r="A85" s="47" t="s">
        <v>172</v>
      </c>
      <c r="B85" s="53" t="s">
        <v>173</v>
      </c>
      <c r="C85" s="54">
        <v>4183</v>
      </c>
      <c r="D85" s="55" t="e">
        <f t="shared" si="6"/>
        <v>#NAME?</v>
      </c>
      <c r="E85" s="55" t="e">
        <f t="shared" si="7"/>
        <v>#NAME?</v>
      </c>
      <c r="F85" s="55" t="e">
        <f t="shared" si="8"/>
        <v>#NAME?</v>
      </c>
    </row>
    <row r="86" spans="1:6" x14ac:dyDescent="0.2">
      <c r="A86" s="47" t="s">
        <v>174</v>
      </c>
      <c r="B86" s="53" t="s">
        <v>175</v>
      </c>
      <c r="C86" s="54">
        <v>4149</v>
      </c>
      <c r="D86" s="55" t="e">
        <f t="shared" si="6"/>
        <v>#NAME?</v>
      </c>
      <c r="E86" s="55" t="e">
        <f t="shared" si="7"/>
        <v>#NAME?</v>
      </c>
      <c r="F86" s="55" t="e">
        <f t="shared" si="8"/>
        <v>#NAME?</v>
      </c>
    </row>
    <row r="87" spans="1:6" x14ac:dyDescent="0.2">
      <c r="A87" s="47" t="s">
        <v>176</v>
      </c>
      <c r="B87" s="53" t="s">
        <v>177</v>
      </c>
      <c r="C87" s="54">
        <v>10541</v>
      </c>
      <c r="D87" s="55" t="e">
        <f t="shared" si="6"/>
        <v>#NAME?</v>
      </c>
      <c r="E87" s="55" t="e">
        <f t="shared" si="7"/>
        <v>#NAME?</v>
      </c>
      <c r="F87" s="55" t="e">
        <f t="shared" si="8"/>
        <v>#NAME?</v>
      </c>
    </row>
    <row r="88" spans="1:6" x14ac:dyDescent="0.2">
      <c r="A88" s="47" t="s">
        <v>178</v>
      </c>
      <c r="B88" s="53" t="s">
        <v>179</v>
      </c>
      <c r="C88" s="54">
        <v>11152</v>
      </c>
      <c r="D88" s="55" t="e">
        <f t="shared" si="6"/>
        <v>#NAME?</v>
      </c>
      <c r="E88" s="55" t="e">
        <f t="shared" si="7"/>
        <v>#NAME?</v>
      </c>
      <c r="F88" s="55" t="e">
        <f t="shared" si="8"/>
        <v>#NAME?</v>
      </c>
    </row>
    <row r="89" spans="1:6" x14ac:dyDescent="0.2">
      <c r="A89" s="47" t="s">
        <v>180</v>
      </c>
      <c r="B89" s="53" t="s">
        <v>181</v>
      </c>
      <c r="C89" s="54">
        <v>23485</v>
      </c>
      <c r="D89" s="55" t="e">
        <f t="shared" si="6"/>
        <v>#NAME?</v>
      </c>
      <c r="E89" s="55" t="e">
        <f t="shared" si="7"/>
        <v>#NAME?</v>
      </c>
      <c r="F89" s="55" t="e">
        <f t="shared" si="8"/>
        <v>#NAME?</v>
      </c>
    </row>
    <row r="90" spans="1:6" x14ac:dyDescent="0.2">
      <c r="A90" s="47" t="s">
        <v>182</v>
      </c>
      <c r="B90" s="53" t="s">
        <v>183</v>
      </c>
      <c r="C90" s="54">
        <v>1544</v>
      </c>
      <c r="D90" s="55" t="e">
        <f t="shared" si="6"/>
        <v>#NAME?</v>
      </c>
      <c r="E90" s="55" t="e">
        <f t="shared" si="7"/>
        <v>#NAME?</v>
      </c>
      <c r="F90" s="55" t="e">
        <f t="shared" si="8"/>
        <v>#NAME?</v>
      </c>
    </row>
    <row r="91" spans="1:6" x14ac:dyDescent="0.2">
      <c r="A91" s="47" t="s">
        <v>184</v>
      </c>
      <c r="B91" s="53" t="s">
        <v>185</v>
      </c>
      <c r="C91" s="54">
        <v>4112</v>
      </c>
      <c r="D91" s="55" t="e">
        <f t="shared" si="6"/>
        <v>#NAME?</v>
      </c>
      <c r="E91" s="55" t="e">
        <f t="shared" si="7"/>
        <v>#NAME?</v>
      </c>
      <c r="F91" s="55" t="e">
        <f t="shared" si="8"/>
        <v>#NAME?</v>
      </c>
    </row>
    <row r="92" spans="1:6" x14ac:dyDescent="0.2">
      <c r="A92" s="47" t="s">
        <v>186</v>
      </c>
      <c r="B92" s="53" t="s">
        <v>187</v>
      </c>
      <c r="C92" s="54">
        <v>2880</v>
      </c>
      <c r="D92" s="55" t="e">
        <f t="shared" si="6"/>
        <v>#NAME?</v>
      </c>
      <c r="E92" s="55" t="e">
        <f t="shared" si="7"/>
        <v>#NAME?</v>
      </c>
      <c r="F92" s="55" t="e">
        <f t="shared" si="8"/>
        <v>#NAME?</v>
      </c>
    </row>
    <row r="93" spans="1:6" x14ac:dyDescent="0.2">
      <c r="A93" s="47" t="s">
        <v>188</v>
      </c>
      <c r="B93" s="53" t="s">
        <v>189</v>
      </c>
      <c r="C93" s="54">
        <v>36640</v>
      </c>
      <c r="D93" s="55" t="e">
        <f t="shared" si="6"/>
        <v>#NAME?</v>
      </c>
      <c r="E93" s="55" t="e">
        <f t="shared" si="7"/>
        <v>#NAME?</v>
      </c>
      <c r="F93" s="55" t="e">
        <f t="shared" si="8"/>
        <v>#NAME?</v>
      </c>
    </row>
    <row r="94" spans="1:6" x14ac:dyDescent="0.2">
      <c r="A94" s="47" t="s">
        <v>190</v>
      </c>
      <c r="B94" s="53" t="s">
        <v>191</v>
      </c>
      <c r="C94" s="54">
        <v>6339</v>
      </c>
      <c r="D94" s="55" t="e">
        <f t="shared" si="6"/>
        <v>#NAME?</v>
      </c>
      <c r="E94" s="55" t="e">
        <f t="shared" si="7"/>
        <v>#NAME?</v>
      </c>
      <c r="F94" s="55" t="e">
        <f t="shared" si="8"/>
        <v>#NAME?</v>
      </c>
    </row>
    <row r="95" spans="1:6" x14ac:dyDescent="0.2">
      <c r="A95" s="47" t="s">
        <v>192</v>
      </c>
      <c r="B95" s="53" t="s">
        <v>193</v>
      </c>
      <c r="C95" s="54">
        <v>1886</v>
      </c>
      <c r="D95" s="55" t="e">
        <f t="shared" si="6"/>
        <v>#NAME?</v>
      </c>
      <c r="E95" s="55" t="e">
        <f t="shared" si="7"/>
        <v>#NAME?</v>
      </c>
      <c r="F95" s="55" t="e">
        <f t="shared" si="8"/>
        <v>#NAME?</v>
      </c>
    </row>
    <row r="96" spans="1:6" x14ac:dyDescent="0.2">
      <c r="A96" s="47" t="s">
        <v>194</v>
      </c>
      <c r="B96" s="53" t="s">
        <v>195</v>
      </c>
      <c r="C96" s="54">
        <v>600</v>
      </c>
      <c r="D96" s="55" t="e">
        <f t="shared" si="6"/>
        <v>#NAME?</v>
      </c>
      <c r="E96" s="55" t="e">
        <f t="shared" si="7"/>
        <v>#NAME?</v>
      </c>
      <c r="F96" s="55" t="e">
        <f t="shared" si="8"/>
        <v>#NAME?</v>
      </c>
    </row>
    <row r="97" spans="1:6" x14ac:dyDescent="0.2">
      <c r="A97" s="47" t="s">
        <v>196</v>
      </c>
      <c r="B97" s="53" t="s">
        <v>197</v>
      </c>
      <c r="C97" s="54">
        <v>52734</v>
      </c>
      <c r="D97" s="55" t="e">
        <f t="shared" si="6"/>
        <v>#NAME?</v>
      </c>
      <c r="E97" s="55" t="e">
        <f t="shared" si="7"/>
        <v>#NAME?</v>
      </c>
      <c r="F97" s="55" t="e">
        <f t="shared" si="8"/>
        <v>#NAME?</v>
      </c>
    </row>
    <row r="98" spans="1:6" x14ac:dyDescent="0.2">
      <c r="A98" s="47" t="s">
        <v>198</v>
      </c>
      <c r="B98" s="53" t="s">
        <v>272</v>
      </c>
      <c r="C98" s="54">
        <v>1523</v>
      </c>
      <c r="D98" s="55" t="e">
        <f t="shared" si="6"/>
        <v>#NAME?</v>
      </c>
      <c r="E98" s="55" t="e">
        <f t="shared" si="7"/>
        <v>#NAME?</v>
      </c>
      <c r="F98" s="55" t="e">
        <f t="shared" si="8"/>
        <v>#NAME?</v>
      </c>
    </row>
    <row r="99" spans="1:6" x14ac:dyDescent="0.2">
      <c r="A99" s="47" t="s">
        <v>200</v>
      </c>
      <c r="B99" s="53" t="s">
        <v>201</v>
      </c>
      <c r="C99" s="54">
        <v>23966</v>
      </c>
      <c r="D99" s="55" t="e">
        <f t="shared" ref="D99:D122" si="9">VLOOKUP(B99,_med2008,2,FALSE)</f>
        <v>#NAME?</v>
      </c>
      <c r="E99" s="55" t="e">
        <f t="shared" ref="E99:E122" si="10">VLOOKUP(B99,_med2009,2,FALSE)</f>
        <v>#NAME?</v>
      </c>
      <c r="F99" s="55" t="e">
        <f t="shared" ref="F99:F122" si="11">VLOOKUP(B99,_med2010,2,FALSE)</f>
        <v>#NAME?</v>
      </c>
    </row>
    <row r="100" spans="1:6" x14ac:dyDescent="0.2">
      <c r="A100" s="47" t="s">
        <v>202</v>
      </c>
      <c r="B100" s="53" t="s">
        <v>301</v>
      </c>
      <c r="C100" s="54">
        <v>10237</v>
      </c>
      <c r="D100" s="55" t="e">
        <f t="shared" si="9"/>
        <v>#NAME?</v>
      </c>
      <c r="E100" s="55" t="e">
        <f t="shared" si="10"/>
        <v>#NAME?</v>
      </c>
      <c r="F100" s="55" t="e">
        <f t="shared" si="11"/>
        <v>#NAME?</v>
      </c>
    </row>
    <row r="101" spans="1:6" x14ac:dyDescent="0.2">
      <c r="A101" s="47" t="s">
        <v>204</v>
      </c>
      <c r="B101" s="53" t="s">
        <v>293</v>
      </c>
      <c r="C101" s="54">
        <v>4580</v>
      </c>
      <c r="D101" s="55" t="e">
        <f t="shared" si="9"/>
        <v>#NAME?</v>
      </c>
      <c r="E101" s="55" t="e">
        <f t="shared" si="10"/>
        <v>#NAME?</v>
      </c>
      <c r="F101" s="55" t="e">
        <f t="shared" si="11"/>
        <v>#NAME?</v>
      </c>
    </row>
    <row r="102" spans="1:6" x14ac:dyDescent="0.2">
      <c r="A102" s="47" t="s">
        <v>206</v>
      </c>
      <c r="B102" s="53" t="s">
        <v>294</v>
      </c>
      <c r="C102" s="54">
        <v>14124</v>
      </c>
      <c r="D102" s="55" t="e">
        <f t="shared" si="9"/>
        <v>#NAME?</v>
      </c>
      <c r="E102" s="55" t="e">
        <f t="shared" si="10"/>
        <v>#NAME?</v>
      </c>
      <c r="F102" s="55" t="e">
        <f t="shared" si="11"/>
        <v>#NAME?</v>
      </c>
    </row>
    <row r="103" spans="1:6" x14ac:dyDescent="0.2">
      <c r="A103" s="47" t="s">
        <v>208</v>
      </c>
      <c r="B103" s="53" t="s">
        <v>209</v>
      </c>
      <c r="C103" s="54">
        <v>7462</v>
      </c>
      <c r="D103" s="55" t="e">
        <f t="shared" si="9"/>
        <v>#NAME?</v>
      </c>
      <c r="E103" s="55" t="e">
        <f t="shared" si="10"/>
        <v>#NAME?</v>
      </c>
      <c r="F103" s="55" t="e">
        <f t="shared" si="11"/>
        <v>#NAME?</v>
      </c>
    </row>
    <row r="104" spans="1:6" x14ac:dyDescent="0.2">
      <c r="A104" s="47" t="s">
        <v>210</v>
      </c>
      <c r="B104" s="53" t="s">
        <v>211</v>
      </c>
      <c r="C104" s="54">
        <v>5195</v>
      </c>
      <c r="D104" s="55" t="e">
        <f t="shared" si="9"/>
        <v>#NAME?</v>
      </c>
      <c r="E104" s="55" t="e">
        <f t="shared" si="10"/>
        <v>#NAME?</v>
      </c>
      <c r="F104" s="55" t="e">
        <f t="shared" si="11"/>
        <v>#NAME?</v>
      </c>
    </row>
    <row r="105" spans="1:6" x14ac:dyDescent="0.2">
      <c r="A105" s="47" t="s">
        <v>212</v>
      </c>
      <c r="B105" s="53" t="s">
        <v>213</v>
      </c>
      <c r="C105" s="54">
        <v>5195</v>
      </c>
      <c r="D105" s="55" t="e">
        <f t="shared" si="9"/>
        <v>#NAME?</v>
      </c>
      <c r="E105" s="55" t="e">
        <f t="shared" si="10"/>
        <v>#NAME?</v>
      </c>
      <c r="F105" s="55" t="e">
        <f t="shared" si="11"/>
        <v>#NAME?</v>
      </c>
    </row>
    <row r="106" spans="1:6" x14ac:dyDescent="0.2">
      <c r="A106" s="47" t="s">
        <v>214</v>
      </c>
      <c r="B106" s="53" t="s">
        <v>215</v>
      </c>
      <c r="C106" s="54">
        <v>7096</v>
      </c>
      <c r="D106" s="55" t="e">
        <f t="shared" si="9"/>
        <v>#NAME?</v>
      </c>
      <c r="E106" s="55" t="e">
        <f t="shared" si="10"/>
        <v>#NAME?</v>
      </c>
      <c r="F106" s="55" t="e">
        <f t="shared" si="11"/>
        <v>#NAME?</v>
      </c>
    </row>
    <row r="107" spans="1:6" x14ac:dyDescent="0.2">
      <c r="A107" s="47" t="s">
        <v>216</v>
      </c>
      <c r="B107" s="53" t="s">
        <v>217</v>
      </c>
      <c r="C107" s="54">
        <v>3525</v>
      </c>
      <c r="D107" s="55" t="e">
        <f t="shared" si="9"/>
        <v>#NAME?</v>
      </c>
      <c r="E107" s="55" t="e">
        <f t="shared" si="10"/>
        <v>#NAME?</v>
      </c>
      <c r="F107" s="55" t="e">
        <f t="shared" si="11"/>
        <v>#NAME?</v>
      </c>
    </row>
    <row r="108" spans="1:6" x14ac:dyDescent="0.2">
      <c r="A108" s="47" t="s">
        <v>218</v>
      </c>
      <c r="B108" s="53" t="s">
        <v>219</v>
      </c>
      <c r="C108" s="54">
        <v>10432</v>
      </c>
      <c r="D108" s="55" t="e">
        <f t="shared" si="9"/>
        <v>#NAME?</v>
      </c>
      <c r="E108" s="55" t="e">
        <f t="shared" si="10"/>
        <v>#NAME?</v>
      </c>
      <c r="F108" s="55" t="e">
        <f t="shared" si="11"/>
        <v>#NAME?</v>
      </c>
    </row>
    <row r="109" spans="1:6" x14ac:dyDescent="0.2">
      <c r="A109" s="47" t="s">
        <v>220</v>
      </c>
      <c r="B109" s="53" t="s">
        <v>221</v>
      </c>
      <c r="C109" s="54">
        <v>9491</v>
      </c>
      <c r="D109" s="55" t="e">
        <f t="shared" si="9"/>
        <v>#NAME?</v>
      </c>
      <c r="E109" s="55" t="e">
        <f t="shared" si="10"/>
        <v>#NAME?</v>
      </c>
      <c r="F109" s="55" t="e">
        <f t="shared" si="11"/>
        <v>#NAME?</v>
      </c>
    </row>
    <row r="110" spans="1:6" x14ac:dyDescent="0.2">
      <c r="A110" s="47" t="s">
        <v>222</v>
      </c>
      <c r="B110" s="53" t="s">
        <v>223</v>
      </c>
      <c r="C110" s="54">
        <v>12754</v>
      </c>
      <c r="D110" s="55" t="e">
        <f t="shared" si="9"/>
        <v>#NAME?</v>
      </c>
      <c r="E110" s="55" t="e">
        <f t="shared" si="10"/>
        <v>#NAME?</v>
      </c>
      <c r="F110" s="55" t="e">
        <f t="shared" si="11"/>
        <v>#NAME?</v>
      </c>
    </row>
    <row r="111" spans="1:6" x14ac:dyDescent="0.2">
      <c r="A111" s="47" t="s">
        <v>224</v>
      </c>
      <c r="B111" s="53" t="s">
        <v>225</v>
      </c>
      <c r="C111" s="54">
        <v>1157</v>
      </c>
      <c r="D111" s="55" t="e">
        <f t="shared" si="9"/>
        <v>#NAME?</v>
      </c>
      <c r="E111" s="55" t="e">
        <f t="shared" si="10"/>
        <v>#NAME?</v>
      </c>
      <c r="F111" s="55" t="e">
        <f t="shared" si="11"/>
        <v>#NAME?</v>
      </c>
    </row>
    <row r="112" spans="1:6" x14ac:dyDescent="0.2">
      <c r="A112" s="47" t="s">
        <v>226</v>
      </c>
      <c r="B112" s="53" t="s">
        <v>227</v>
      </c>
      <c r="C112" s="54">
        <v>2285</v>
      </c>
      <c r="D112" s="55" t="e">
        <f t="shared" si="9"/>
        <v>#NAME?</v>
      </c>
      <c r="E112" s="55" t="e">
        <f t="shared" si="10"/>
        <v>#NAME?</v>
      </c>
      <c r="F112" s="55" t="e">
        <f t="shared" si="11"/>
        <v>#NAME?</v>
      </c>
    </row>
    <row r="113" spans="1:6" x14ac:dyDescent="0.2">
      <c r="A113" s="47" t="s">
        <v>228</v>
      </c>
      <c r="B113" s="53" t="s">
        <v>229</v>
      </c>
      <c r="C113" s="54">
        <v>10374</v>
      </c>
      <c r="D113" s="55" t="e">
        <f t="shared" si="9"/>
        <v>#NAME?</v>
      </c>
      <c r="E113" s="55" t="e">
        <f t="shared" si="10"/>
        <v>#NAME?</v>
      </c>
      <c r="F113" s="55" t="e">
        <f t="shared" si="11"/>
        <v>#NAME?</v>
      </c>
    </row>
    <row r="114" spans="1:6" x14ac:dyDescent="0.2">
      <c r="A114" s="47" t="s">
        <v>230</v>
      </c>
      <c r="B114" s="53" t="s">
        <v>231</v>
      </c>
      <c r="C114" s="54">
        <v>37990</v>
      </c>
      <c r="D114" s="55" t="e">
        <f t="shared" si="9"/>
        <v>#NAME?</v>
      </c>
      <c r="E114" s="55" t="e">
        <f t="shared" si="10"/>
        <v>#NAME?</v>
      </c>
      <c r="F114" s="55" t="e">
        <f t="shared" si="11"/>
        <v>#NAME?</v>
      </c>
    </row>
    <row r="115" spans="1:6" x14ac:dyDescent="0.2">
      <c r="A115" s="47" t="s">
        <v>232</v>
      </c>
      <c r="B115" s="53" t="s">
        <v>233</v>
      </c>
      <c r="C115" s="54">
        <v>4412</v>
      </c>
      <c r="D115" s="55" t="e">
        <f t="shared" si="9"/>
        <v>#NAME?</v>
      </c>
      <c r="E115" s="55" t="e">
        <f t="shared" si="10"/>
        <v>#NAME?</v>
      </c>
      <c r="F115" s="55" t="e">
        <f t="shared" si="11"/>
        <v>#NAME?</v>
      </c>
    </row>
    <row r="116" spans="1:6" x14ac:dyDescent="0.2">
      <c r="A116" s="47" t="s">
        <v>234</v>
      </c>
      <c r="B116" s="53" t="s">
        <v>235</v>
      </c>
      <c r="C116" s="54">
        <v>8608</v>
      </c>
      <c r="D116" s="55" t="e">
        <f t="shared" si="9"/>
        <v>#NAME?</v>
      </c>
      <c r="E116" s="55" t="e">
        <f t="shared" si="10"/>
        <v>#NAME?</v>
      </c>
      <c r="F116" s="55" t="e">
        <f t="shared" si="11"/>
        <v>#NAME?</v>
      </c>
    </row>
    <row r="117" spans="1:6" x14ac:dyDescent="0.2">
      <c r="A117" s="47" t="s">
        <v>236</v>
      </c>
      <c r="B117" s="53" t="s">
        <v>237</v>
      </c>
      <c r="C117" s="54">
        <v>3160</v>
      </c>
      <c r="D117" s="55" t="e">
        <f t="shared" si="9"/>
        <v>#NAME?</v>
      </c>
      <c r="E117" s="55" t="e">
        <f t="shared" si="10"/>
        <v>#NAME?</v>
      </c>
      <c r="F117" s="55" t="e">
        <f t="shared" si="11"/>
        <v>#NAME?</v>
      </c>
    </row>
    <row r="118" spans="1:6" x14ac:dyDescent="0.2">
      <c r="A118" s="47" t="s">
        <v>238</v>
      </c>
      <c r="B118" s="53" t="s">
        <v>239</v>
      </c>
      <c r="C118" s="54">
        <v>969</v>
      </c>
      <c r="D118" s="55" t="e">
        <f t="shared" si="9"/>
        <v>#NAME?</v>
      </c>
      <c r="E118" s="55" t="e">
        <f t="shared" si="10"/>
        <v>#NAME?</v>
      </c>
      <c r="F118" s="55" t="e">
        <f t="shared" si="11"/>
        <v>#NAME?</v>
      </c>
    </row>
    <row r="119" spans="1:6" x14ac:dyDescent="0.2">
      <c r="A119" s="47" t="s">
        <v>240</v>
      </c>
      <c r="B119" s="53" t="s">
        <v>241</v>
      </c>
      <c r="C119" s="54">
        <v>4206</v>
      </c>
      <c r="D119" s="55" t="e">
        <f t="shared" si="9"/>
        <v>#NAME?</v>
      </c>
      <c r="E119" s="55" t="e">
        <f t="shared" si="10"/>
        <v>#NAME?</v>
      </c>
      <c r="F119" s="55" t="e">
        <f t="shared" si="11"/>
        <v>#NAME?</v>
      </c>
    </row>
    <row r="120" spans="1:6" x14ac:dyDescent="0.2">
      <c r="A120" s="47" t="s">
        <v>242</v>
      </c>
      <c r="B120" s="53" t="s">
        <v>243</v>
      </c>
      <c r="C120" s="54">
        <v>11327</v>
      </c>
      <c r="D120" s="55" t="e">
        <f t="shared" si="9"/>
        <v>#NAME?</v>
      </c>
      <c r="E120" s="55" t="e">
        <f t="shared" si="10"/>
        <v>#NAME?</v>
      </c>
      <c r="F120" s="55" t="e">
        <f t="shared" si="11"/>
        <v>#NAME?</v>
      </c>
    </row>
    <row r="121" spans="1:6" x14ac:dyDescent="0.2">
      <c r="A121" s="47" t="s">
        <v>244</v>
      </c>
      <c r="B121" s="53" t="s">
        <v>245</v>
      </c>
      <c r="C121" s="54">
        <v>5359</v>
      </c>
      <c r="D121" s="55" t="e">
        <f t="shared" si="9"/>
        <v>#NAME?</v>
      </c>
      <c r="E121" s="55" t="e">
        <f t="shared" si="10"/>
        <v>#NAME?</v>
      </c>
      <c r="F121" s="55" t="e">
        <f t="shared" si="11"/>
        <v>#NAME?</v>
      </c>
    </row>
    <row r="122" spans="1:6" x14ac:dyDescent="0.2">
      <c r="A122" s="47" t="s">
        <v>246</v>
      </c>
      <c r="B122" s="53" t="s">
        <v>247</v>
      </c>
      <c r="C122" s="54">
        <v>3577</v>
      </c>
      <c r="D122" s="55" t="e">
        <f t="shared" si="9"/>
        <v>#NAME?</v>
      </c>
      <c r="E122" s="55" t="e">
        <f t="shared" si="10"/>
        <v>#NAME?</v>
      </c>
      <c r="F122" s="55" t="e">
        <f t="shared" si="11"/>
        <v>#NAME?</v>
      </c>
    </row>
    <row r="123" spans="1:6" x14ac:dyDescent="0.25">
      <c r="B123" s="56"/>
      <c r="C123" s="54">
        <f>SUM(C3:C122)</f>
        <v>983399</v>
      </c>
      <c r="D123" s="54" t="e">
        <f>SUM(D3:D122)</f>
        <v>#NAME?</v>
      </c>
      <c r="E123" s="54" t="e">
        <f>SUM(E3:E122)</f>
        <v>#NAME?</v>
      </c>
      <c r="F123" s="54" t="e">
        <f>SUM(F3:F122)</f>
        <v>#NAME?</v>
      </c>
    </row>
    <row r="124" spans="1:6" x14ac:dyDescent="0.25">
      <c r="B124" s="56"/>
      <c r="C124" s="3"/>
      <c r="D124" s="57"/>
    </row>
    <row r="125" spans="1:6" x14ac:dyDescent="0.25">
      <c r="B125" s="58"/>
      <c r="C125" s="59">
        <v>983399</v>
      </c>
      <c r="D125" s="50" t="e">
        <f>VLOOKUP(B125,_med2008,2,FALSE)</f>
        <v>#NAME?</v>
      </c>
    </row>
    <row r="126" spans="1:6" s="62" customFormat="1" x14ac:dyDescent="0.25">
      <c r="B126" s="60">
        <v>40714</v>
      </c>
      <c r="C126" s="4" t="s">
        <v>543</v>
      </c>
      <c r="D126" s="61">
        <v>0.47415509</v>
      </c>
    </row>
  </sheetData>
  <pageMargins left="0.75" right="0.75" top="1" bottom="1" header="0.5" footer="0.5"/>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33"/>
  <sheetViews>
    <sheetView workbookViewId="0">
      <pane xSplit="3" ySplit="6" topLeftCell="L103" activePane="bottomRight" state="frozen"/>
      <selection pane="topRight" activeCell="E1" sqref="E1"/>
      <selection pane="bottomLeft" activeCell="A7" sqref="A7"/>
      <selection pane="bottomRight" activeCell="A104" sqref="A104:XFD104"/>
    </sheetView>
  </sheetViews>
  <sheetFormatPr defaultRowHeight="15.75" x14ac:dyDescent="0.25"/>
  <cols>
    <col min="1" max="1" width="6.125" style="270" bestFit="1" customWidth="1"/>
    <col min="2" max="2" width="26.375" style="745" customWidth="1"/>
    <col min="3" max="3" width="10.375" style="745" customWidth="1"/>
    <col min="4" max="15" width="8.625" style="270" customWidth="1"/>
    <col min="16" max="19" width="9.875" style="270" customWidth="1"/>
    <col min="20" max="20" width="16.125" style="270" customWidth="1"/>
    <col min="21" max="21" width="2.375" style="270" customWidth="1"/>
    <col min="22" max="22" width="2.5" style="270" customWidth="1"/>
    <col min="23" max="16384" width="9" style="270"/>
  </cols>
  <sheetData>
    <row r="1" spans="1:26" x14ac:dyDescent="0.25">
      <c r="A1" s="64" t="s">
        <v>1299</v>
      </c>
      <c r="B1" s="270"/>
      <c r="C1" s="270"/>
    </row>
    <row r="3" spans="1:26" x14ac:dyDescent="0.25">
      <c r="B3" s="270"/>
      <c r="C3" s="270"/>
    </row>
    <row r="4" spans="1:26" ht="15.75" customHeight="1" x14ac:dyDescent="0.25">
      <c r="D4" s="2313" t="s">
        <v>637</v>
      </c>
      <c r="E4" s="2315"/>
      <c r="F4" s="2315"/>
      <c r="G4" s="2316"/>
      <c r="H4" s="2313" t="s">
        <v>653</v>
      </c>
      <c r="I4" s="2315"/>
      <c r="J4" s="2315"/>
      <c r="K4" s="2316"/>
      <c r="L4" s="2313" t="s">
        <v>654</v>
      </c>
      <c r="M4" s="2315"/>
      <c r="N4" s="2315"/>
      <c r="O4" s="2316"/>
      <c r="P4" s="2317" t="s">
        <v>708</v>
      </c>
      <c r="Q4" s="2320" t="s">
        <v>836</v>
      </c>
      <c r="R4" s="2321"/>
      <c r="S4" s="2322"/>
      <c r="T4" s="2319" t="s">
        <v>709</v>
      </c>
      <c r="W4" s="2313" t="s">
        <v>655</v>
      </c>
      <c r="X4" s="2314"/>
      <c r="Y4" s="2315"/>
      <c r="Z4" s="2316"/>
    </row>
    <row r="5" spans="1:26" x14ac:dyDescent="0.25">
      <c r="A5" s="746" t="s">
        <v>4</v>
      </c>
      <c r="B5" s="747" t="s">
        <v>645</v>
      </c>
      <c r="C5" s="747" t="s">
        <v>251</v>
      </c>
      <c r="D5" s="730" t="s">
        <v>833</v>
      </c>
      <c r="E5" s="731" t="s">
        <v>834</v>
      </c>
      <c r="F5" s="731" t="s">
        <v>799</v>
      </c>
      <c r="G5" s="732" t="s">
        <v>635</v>
      </c>
      <c r="H5" s="730" t="s">
        <v>833</v>
      </c>
      <c r="I5" s="731" t="s">
        <v>834</v>
      </c>
      <c r="J5" s="731" t="s">
        <v>799</v>
      </c>
      <c r="K5" s="396" t="s">
        <v>635</v>
      </c>
      <c r="L5" s="730" t="s">
        <v>833</v>
      </c>
      <c r="M5" s="731" t="s">
        <v>834</v>
      </c>
      <c r="N5" s="731" t="s">
        <v>799</v>
      </c>
      <c r="O5" s="396" t="s">
        <v>635</v>
      </c>
      <c r="P5" s="2318"/>
      <c r="Q5" s="961" t="s">
        <v>833</v>
      </c>
      <c r="R5" s="961" t="s">
        <v>834</v>
      </c>
      <c r="S5" s="961" t="s">
        <v>799</v>
      </c>
      <c r="T5" s="2319"/>
      <c r="W5" s="733" t="s">
        <v>833</v>
      </c>
      <c r="X5" s="734" t="s">
        <v>834</v>
      </c>
      <c r="Y5" s="735" t="s">
        <v>799</v>
      </c>
      <c r="Z5" s="736" t="s">
        <v>281</v>
      </c>
    </row>
    <row r="6" spans="1:26" x14ac:dyDescent="0.25">
      <c r="A6" s="748" t="s">
        <v>8</v>
      </c>
      <c r="B6" s="749" t="s">
        <v>9</v>
      </c>
      <c r="C6" s="749"/>
      <c r="D6" s="767">
        <f>SUM(D7:D126)</f>
        <v>5640</v>
      </c>
      <c r="E6" s="768">
        <f t="shared" ref="E6:J6" si="0">SUM(E7:E126)</f>
        <v>2837</v>
      </c>
      <c r="F6" s="768">
        <f t="shared" si="0"/>
        <v>320</v>
      </c>
      <c r="G6" s="769">
        <f t="shared" ref="G6:G37" si="1">SUM(D6:F6)</f>
        <v>8797</v>
      </c>
      <c r="H6" s="768">
        <f t="shared" si="0"/>
        <v>1366</v>
      </c>
      <c r="I6" s="768">
        <f t="shared" si="0"/>
        <v>612</v>
      </c>
      <c r="J6" s="768">
        <f t="shared" si="0"/>
        <v>126</v>
      </c>
      <c r="K6" s="769">
        <f t="shared" ref="K6:K37" si="2">SUM(H6:J6)</f>
        <v>2104</v>
      </c>
      <c r="L6" s="770">
        <f>SUM(L7:L126)</f>
        <v>23</v>
      </c>
      <c r="M6" s="771">
        <f>SUM(M7:M126)</f>
        <v>1</v>
      </c>
      <c r="N6" s="771">
        <f>SUM(N7:N126)</f>
        <v>1</v>
      </c>
      <c r="O6" s="772">
        <f t="shared" ref="O6:O37" si="3">SUM(L6:N6)</f>
        <v>25</v>
      </c>
      <c r="P6" s="773">
        <f t="shared" ref="P6:P37" si="4">G6+K6+O6</f>
        <v>10926</v>
      </c>
      <c r="Q6" s="773">
        <f>D6+H6</f>
        <v>7006</v>
      </c>
      <c r="R6" s="773">
        <f>E6+I6</f>
        <v>3449</v>
      </c>
      <c r="S6" s="773">
        <f>F6+J6</f>
        <v>446</v>
      </c>
      <c r="T6" s="773">
        <f>G6+K6</f>
        <v>10901</v>
      </c>
      <c r="W6" s="765">
        <f>IF((D6+H6)=0,"NA",(H6/(D6+H6)))</f>
        <v>0.19497573508421354</v>
      </c>
      <c r="X6" s="765">
        <f>IF((E6+I6)=0,"NA",(I6/(E6+I6)))</f>
        <v>0.1774427370252247</v>
      </c>
      <c r="Y6" s="765">
        <f>IF((F6+J6)=0,"NA",(J6/(F6+J6)))</f>
        <v>0.28251121076233182</v>
      </c>
      <c r="Z6" s="766">
        <f>IF((G6+K6)=0,"NA",(K6/(G6+K6)))</f>
        <v>0.19300981561324648</v>
      </c>
    </row>
    <row r="7" spans="1:26" x14ac:dyDescent="0.25">
      <c r="A7" s="521" t="s">
        <v>10</v>
      </c>
      <c r="B7" s="455" t="s">
        <v>11</v>
      </c>
      <c r="C7" s="481" t="s">
        <v>264</v>
      </c>
      <c r="D7" s="750">
        <v>33</v>
      </c>
      <c r="E7" s="751">
        <v>19</v>
      </c>
      <c r="F7" s="751"/>
      <c r="G7" s="317">
        <f t="shared" si="1"/>
        <v>52</v>
      </c>
      <c r="H7" s="750">
        <v>12</v>
      </c>
      <c r="I7" s="751">
        <v>6</v>
      </c>
      <c r="J7" s="751">
        <v>2</v>
      </c>
      <c r="K7" s="317">
        <f t="shared" si="2"/>
        <v>20</v>
      </c>
      <c r="L7" s="750">
        <v>1</v>
      </c>
      <c r="M7" s="751"/>
      <c r="N7" s="751"/>
      <c r="O7" s="317">
        <f t="shared" si="3"/>
        <v>1</v>
      </c>
      <c r="P7" s="752">
        <f t="shared" si="4"/>
        <v>73</v>
      </c>
      <c r="Q7" s="962">
        <f t="shared" ref="Q7:Q70" si="5">D7+H7</f>
        <v>45</v>
      </c>
      <c r="R7" s="962">
        <f t="shared" ref="R7:R70" si="6">E7+I7</f>
        <v>25</v>
      </c>
      <c r="S7" s="962">
        <f t="shared" ref="S7:S70" si="7">F7+J7</f>
        <v>2</v>
      </c>
      <c r="T7" s="752">
        <f t="shared" ref="T7:T38" si="8">G7+K7</f>
        <v>72</v>
      </c>
      <c r="W7" s="753">
        <f t="shared" ref="W7:W70" si="9">IF((D7+H7)=0,"NA",(H7/(D7+H7)))</f>
        <v>0.26666666666666666</v>
      </c>
      <c r="X7" s="754">
        <f t="shared" ref="X7:X70" si="10">IF((E7+I7)=0,"NA",(I7/(E7+I7)))</f>
        <v>0.24</v>
      </c>
      <c r="Y7" s="755">
        <f t="shared" ref="Y7:Y70" si="11">IF((F7+J7)=0,"NA",(J7/(F7+J7)))</f>
        <v>1</v>
      </c>
      <c r="Z7" s="756">
        <f t="shared" ref="Z7:Z70" si="12">IF((G7+K7)=0,"NA",(K7/(G7+K7)))</f>
        <v>0.27777777777777779</v>
      </c>
    </row>
    <row r="8" spans="1:26" x14ac:dyDescent="0.25">
      <c r="A8" s="521" t="s">
        <v>12</v>
      </c>
      <c r="B8" s="455" t="s">
        <v>13</v>
      </c>
      <c r="C8" s="481" t="s">
        <v>265</v>
      </c>
      <c r="D8" s="750">
        <v>75</v>
      </c>
      <c r="E8" s="751">
        <v>41</v>
      </c>
      <c r="F8" s="751">
        <v>8</v>
      </c>
      <c r="G8" s="317">
        <f t="shared" si="1"/>
        <v>124</v>
      </c>
      <c r="H8" s="750">
        <v>10</v>
      </c>
      <c r="I8" s="751">
        <v>1</v>
      </c>
      <c r="J8" s="751">
        <v>3</v>
      </c>
      <c r="K8" s="317">
        <f t="shared" si="2"/>
        <v>14</v>
      </c>
      <c r="L8" s="750"/>
      <c r="M8" s="751"/>
      <c r="N8" s="751"/>
      <c r="O8" s="317">
        <f t="shared" si="3"/>
        <v>0</v>
      </c>
      <c r="P8" s="752">
        <f t="shared" si="4"/>
        <v>138</v>
      </c>
      <c r="Q8" s="962">
        <f t="shared" si="5"/>
        <v>85</v>
      </c>
      <c r="R8" s="962">
        <f t="shared" si="6"/>
        <v>42</v>
      </c>
      <c r="S8" s="962">
        <f t="shared" si="7"/>
        <v>11</v>
      </c>
      <c r="T8" s="752">
        <f t="shared" si="8"/>
        <v>138</v>
      </c>
      <c r="W8" s="753">
        <f t="shared" si="9"/>
        <v>0.11764705882352941</v>
      </c>
      <c r="X8" s="754">
        <f t="shared" si="10"/>
        <v>2.3809523809523808E-2</v>
      </c>
      <c r="Y8" s="755">
        <f t="shared" si="11"/>
        <v>0.27272727272727271</v>
      </c>
      <c r="Z8" s="756">
        <f t="shared" si="12"/>
        <v>0.10144927536231885</v>
      </c>
    </row>
    <row r="9" spans="1:26" x14ac:dyDescent="0.25">
      <c r="A9" s="521" t="s">
        <v>16</v>
      </c>
      <c r="B9" s="455" t="s">
        <v>297</v>
      </c>
      <c r="C9" s="481" t="s">
        <v>265</v>
      </c>
      <c r="D9" s="750">
        <v>26</v>
      </c>
      <c r="E9" s="751">
        <v>7</v>
      </c>
      <c r="F9" s="751"/>
      <c r="G9" s="317">
        <f t="shared" si="1"/>
        <v>33</v>
      </c>
      <c r="H9" s="750">
        <v>13</v>
      </c>
      <c r="I9" s="751">
        <v>12</v>
      </c>
      <c r="J9" s="751"/>
      <c r="K9" s="317">
        <f t="shared" si="2"/>
        <v>25</v>
      </c>
      <c r="L9" s="750">
        <v>1</v>
      </c>
      <c r="M9" s="751"/>
      <c r="N9" s="751"/>
      <c r="O9" s="317">
        <f t="shared" si="3"/>
        <v>1</v>
      </c>
      <c r="P9" s="752">
        <f t="shared" si="4"/>
        <v>59</v>
      </c>
      <c r="Q9" s="962">
        <f t="shared" si="5"/>
        <v>39</v>
      </c>
      <c r="R9" s="962">
        <f t="shared" si="6"/>
        <v>19</v>
      </c>
      <c r="S9" s="962">
        <f t="shared" si="7"/>
        <v>0</v>
      </c>
      <c r="T9" s="752">
        <f t="shared" si="8"/>
        <v>58</v>
      </c>
      <c r="W9" s="753">
        <f t="shared" si="9"/>
        <v>0.33333333333333331</v>
      </c>
      <c r="X9" s="754">
        <f t="shared" si="10"/>
        <v>0.63157894736842102</v>
      </c>
      <c r="Y9" s="755" t="str">
        <f t="shared" si="11"/>
        <v>NA</v>
      </c>
      <c r="Z9" s="756">
        <f t="shared" si="12"/>
        <v>0.43103448275862066</v>
      </c>
    </row>
    <row r="10" spans="1:26" x14ac:dyDescent="0.25">
      <c r="A10" s="521" t="s">
        <v>18</v>
      </c>
      <c r="B10" s="455" t="s">
        <v>19</v>
      </c>
      <c r="C10" s="481" t="s">
        <v>266</v>
      </c>
      <c r="D10" s="750">
        <v>10</v>
      </c>
      <c r="E10" s="751">
        <v>6</v>
      </c>
      <c r="F10" s="751"/>
      <c r="G10" s="317">
        <f t="shared" si="1"/>
        <v>16</v>
      </c>
      <c r="H10" s="750"/>
      <c r="I10" s="751"/>
      <c r="J10" s="751"/>
      <c r="K10" s="317">
        <f t="shared" si="2"/>
        <v>0</v>
      </c>
      <c r="L10" s="750"/>
      <c r="M10" s="751"/>
      <c r="N10" s="751"/>
      <c r="O10" s="317">
        <f t="shared" si="3"/>
        <v>0</v>
      </c>
      <c r="P10" s="752">
        <f t="shared" si="4"/>
        <v>16</v>
      </c>
      <c r="Q10" s="962">
        <f t="shared" si="5"/>
        <v>10</v>
      </c>
      <c r="R10" s="962">
        <f t="shared" si="6"/>
        <v>6</v>
      </c>
      <c r="S10" s="962">
        <f t="shared" si="7"/>
        <v>0</v>
      </c>
      <c r="T10" s="752">
        <f t="shared" si="8"/>
        <v>16</v>
      </c>
      <c r="W10" s="753">
        <f t="shared" si="9"/>
        <v>0</v>
      </c>
      <c r="X10" s="754">
        <f t="shared" si="10"/>
        <v>0</v>
      </c>
      <c r="Y10" s="755" t="str">
        <f t="shared" si="11"/>
        <v>NA</v>
      </c>
      <c r="Z10" s="756">
        <f t="shared" si="12"/>
        <v>0</v>
      </c>
    </row>
    <row r="11" spans="1:26" x14ac:dyDescent="0.25">
      <c r="A11" s="521" t="s">
        <v>20</v>
      </c>
      <c r="B11" s="455" t="s">
        <v>21</v>
      </c>
      <c r="C11" s="481" t="s">
        <v>265</v>
      </c>
      <c r="D11" s="750">
        <v>24</v>
      </c>
      <c r="E11" s="751">
        <v>12</v>
      </c>
      <c r="F11" s="751"/>
      <c r="G11" s="317">
        <f t="shared" si="1"/>
        <v>36</v>
      </c>
      <c r="H11" s="750">
        <v>5</v>
      </c>
      <c r="I11" s="751">
        <v>2</v>
      </c>
      <c r="J11" s="751"/>
      <c r="K11" s="317">
        <f t="shared" si="2"/>
        <v>7</v>
      </c>
      <c r="L11" s="750"/>
      <c r="M11" s="751"/>
      <c r="N11" s="751"/>
      <c r="O11" s="317">
        <f t="shared" si="3"/>
        <v>0</v>
      </c>
      <c r="P11" s="752">
        <f t="shared" si="4"/>
        <v>43</v>
      </c>
      <c r="Q11" s="962">
        <f t="shared" si="5"/>
        <v>29</v>
      </c>
      <c r="R11" s="962">
        <f t="shared" si="6"/>
        <v>14</v>
      </c>
      <c r="S11" s="962">
        <f t="shared" si="7"/>
        <v>0</v>
      </c>
      <c r="T11" s="752">
        <f t="shared" si="8"/>
        <v>43</v>
      </c>
      <c r="W11" s="753">
        <f t="shared" si="9"/>
        <v>0.17241379310344829</v>
      </c>
      <c r="X11" s="754">
        <f t="shared" si="10"/>
        <v>0.14285714285714285</v>
      </c>
      <c r="Y11" s="755" t="str">
        <f t="shared" si="11"/>
        <v>NA</v>
      </c>
      <c r="Z11" s="756">
        <f t="shared" si="12"/>
        <v>0.16279069767441862</v>
      </c>
    </row>
    <row r="12" spans="1:26" x14ac:dyDescent="0.25">
      <c r="A12" s="521" t="s">
        <v>22</v>
      </c>
      <c r="B12" s="455" t="s">
        <v>23</v>
      </c>
      <c r="C12" s="481" t="s">
        <v>265</v>
      </c>
      <c r="D12" s="750">
        <v>11</v>
      </c>
      <c r="E12" s="751">
        <v>5</v>
      </c>
      <c r="F12" s="751"/>
      <c r="G12" s="317">
        <f t="shared" si="1"/>
        <v>16</v>
      </c>
      <c r="H12" s="750">
        <v>3</v>
      </c>
      <c r="I12" s="751">
        <v>3</v>
      </c>
      <c r="J12" s="751"/>
      <c r="K12" s="317">
        <f t="shared" si="2"/>
        <v>6</v>
      </c>
      <c r="L12" s="750"/>
      <c r="M12" s="751"/>
      <c r="N12" s="751"/>
      <c r="O12" s="317">
        <f t="shared" si="3"/>
        <v>0</v>
      </c>
      <c r="P12" s="752">
        <f t="shared" si="4"/>
        <v>22</v>
      </c>
      <c r="Q12" s="962">
        <f t="shared" si="5"/>
        <v>14</v>
      </c>
      <c r="R12" s="962">
        <f t="shared" si="6"/>
        <v>8</v>
      </c>
      <c r="S12" s="962">
        <f t="shared" si="7"/>
        <v>0</v>
      </c>
      <c r="T12" s="752">
        <f t="shared" si="8"/>
        <v>22</v>
      </c>
      <c r="W12" s="753">
        <f t="shared" si="9"/>
        <v>0.21428571428571427</v>
      </c>
      <c r="X12" s="754">
        <f t="shared" si="10"/>
        <v>0.375</v>
      </c>
      <c r="Y12" s="755" t="str">
        <f t="shared" si="11"/>
        <v>NA</v>
      </c>
      <c r="Z12" s="756">
        <f t="shared" si="12"/>
        <v>0.27272727272727271</v>
      </c>
    </row>
    <row r="13" spans="1:26" x14ac:dyDescent="0.25">
      <c r="A13" s="521" t="s">
        <v>24</v>
      </c>
      <c r="B13" s="455" t="s">
        <v>25</v>
      </c>
      <c r="C13" s="481" t="s">
        <v>267</v>
      </c>
      <c r="D13" s="750">
        <v>105</v>
      </c>
      <c r="E13" s="751">
        <v>51</v>
      </c>
      <c r="F13" s="751">
        <v>3</v>
      </c>
      <c r="G13" s="317">
        <f t="shared" si="1"/>
        <v>159</v>
      </c>
      <c r="H13" s="750">
        <v>9</v>
      </c>
      <c r="I13" s="751">
        <v>9</v>
      </c>
      <c r="J13" s="751"/>
      <c r="K13" s="317">
        <f t="shared" si="2"/>
        <v>18</v>
      </c>
      <c r="L13" s="750"/>
      <c r="M13" s="751"/>
      <c r="N13" s="751"/>
      <c r="O13" s="317">
        <f t="shared" si="3"/>
        <v>0</v>
      </c>
      <c r="P13" s="752">
        <f t="shared" si="4"/>
        <v>177</v>
      </c>
      <c r="Q13" s="962">
        <f t="shared" si="5"/>
        <v>114</v>
      </c>
      <c r="R13" s="962">
        <f t="shared" si="6"/>
        <v>60</v>
      </c>
      <c r="S13" s="962">
        <f t="shared" si="7"/>
        <v>3</v>
      </c>
      <c r="T13" s="752">
        <f t="shared" si="8"/>
        <v>177</v>
      </c>
      <c r="W13" s="753">
        <f t="shared" si="9"/>
        <v>7.8947368421052627E-2</v>
      </c>
      <c r="X13" s="754">
        <f t="shared" si="10"/>
        <v>0.15</v>
      </c>
      <c r="Y13" s="755">
        <f t="shared" si="11"/>
        <v>0</v>
      </c>
      <c r="Z13" s="756">
        <f t="shared" si="12"/>
        <v>0.10169491525423729</v>
      </c>
    </row>
    <row r="14" spans="1:26" x14ac:dyDescent="0.25">
      <c r="A14" s="521" t="s">
        <v>26</v>
      </c>
      <c r="B14" s="455" t="s">
        <v>298</v>
      </c>
      <c r="C14" s="481" t="s">
        <v>265</v>
      </c>
      <c r="D14" s="750">
        <v>103</v>
      </c>
      <c r="E14" s="751">
        <v>44</v>
      </c>
      <c r="F14" s="751">
        <v>1</v>
      </c>
      <c r="G14" s="317">
        <f t="shared" si="1"/>
        <v>148</v>
      </c>
      <c r="H14" s="750">
        <v>20</v>
      </c>
      <c r="I14" s="751">
        <v>12</v>
      </c>
      <c r="J14" s="751"/>
      <c r="K14" s="317">
        <f t="shared" si="2"/>
        <v>32</v>
      </c>
      <c r="L14" s="750"/>
      <c r="M14" s="751"/>
      <c r="N14" s="751"/>
      <c r="O14" s="317">
        <f t="shared" si="3"/>
        <v>0</v>
      </c>
      <c r="P14" s="752">
        <f t="shared" si="4"/>
        <v>180</v>
      </c>
      <c r="Q14" s="962">
        <f t="shared" si="5"/>
        <v>123</v>
      </c>
      <c r="R14" s="962">
        <f t="shared" si="6"/>
        <v>56</v>
      </c>
      <c r="S14" s="962">
        <f t="shared" si="7"/>
        <v>1</v>
      </c>
      <c r="T14" s="752">
        <f t="shared" si="8"/>
        <v>180</v>
      </c>
      <c r="W14" s="753">
        <f t="shared" si="9"/>
        <v>0.16260162601626016</v>
      </c>
      <c r="X14" s="754">
        <f t="shared" si="10"/>
        <v>0.21428571428571427</v>
      </c>
      <c r="Y14" s="755">
        <f t="shared" si="11"/>
        <v>0</v>
      </c>
      <c r="Z14" s="756">
        <f t="shared" si="12"/>
        <v>0.17777777777777778</v>
      </c>
    </row>
    <row r="15" spans="1:26" x14ac:dyDescent="0.25">
      <c r="A15" s="521" t="s">
        <v>27</v>
      </c>
      <c r="B15" s="455" t="s">
        <v>28</v>
      </c>
      <c r="C15" s="481" t="s">
        <v>265</v>
      </c>
      <c r="D15" s="750">
        <v>4</v>
      </c>
      <c r="E15" s="751">
        <v>4</v>
      </c>
      <c r="F15" s="751"/>
      <c r="G15" s="317">
        <f t="shared" si="1"/>
        <v>8</v>
      </c>
      <c r="H15" s="750"/>
      <c r="I15" s="751"/>
      <c r="J15" s="751"/>
      <c r="K15" s="317">
        <f t="shared" si="2"/>
        <v>0</v>
      </c>
      <c r="L15" s="750"/>
      <c r="M15" s="751"/>
      <c r="N15" s="751"/>
      <c r="O15" s="317">
        <f t="shared" si="3"/>
        <v>0</v>
      </c>
      <c r="P15" s="752">
        <f t="shared" si="4"/>
        <v>8</v>
      </c>
      <c r="Q15" s="962">
        <f t="shared" si="5"/>
        <v>4</v>
      </c>
      <c r="R15" s="962">
        <f t="shared" si="6"/>
        <v>4</v>
      </c>
      <c r="S15" s="962">
        <f t="shared" si="7"/>
        <v>0</v>
      </c>
      <c r="T15" s="752">
        <f t="shared" si="8"/>
        <v>8</v>
      </c>
      <c r="W15" s="753">
        <f t="shared" si="9"/>
        <v>0</v>
      </c>
      <c r="X15" s="754">
        <f t="shared" si="10"/>
        <v>0</v>
      </c>
      <c r="Y15" s="755" t="str">
        <f t="shared" si="11"/>
        <v>NA</v>
      </c>
      <c r="Z15" s="756">
        <f t="shared" si="12"/>
        <v>0</v>
      </c>
    </row>
    <row r="16" spans="1:26" x14ac:dyDescent="0.25">
      <c r="A16" s="521" t="s">
        <v>29</v>
      </c>
      <c r="B16" s="455" t="s">
        <v>924</v>
      </c>
      <c r="C16" s="481" t="s">
        <v>265</v>
      </c>
      <c r="D16" s="750">
        <v>57</v>
      </c>
      <c r="E16" s="751">
        <v>25</v>
      </c>
      <c r="F16" s="751">
        <v>4</v>
      </c>
      <c r="G16" s="317">
        <f t="shared" si="1"/>
        <v>86</v>
      </c>
      <c r="H16" s="750">
        <v>12</v>
      </c>
      <c r="I16" s="751">
        <v>2</v>
      </c>
      <c r="J16" s="751">
        <v>4</v>
      </c>
      <c r="K16" s="317">
        <f t="shared" si="2"/>
        <v>18</v>
      </c>
      <c r="L16" s="750"/>
      <c r="M16" s="751"/>
      <c r="N16" s="751"/>
      <c r="O16" s="317">
        <f t="shared" si="3"/>
        <v>0</v>
      </c>
      <c r="P16" s="752">
        <f t="shared" si="4"/>
        <v>104</v>
      </c>
      <c r="Q16" s="962">
        <f t="shared" si="5"/>
        <v>69</v>
      </c>
      <c r="R16" s="962">
        <f t="shared" si="6"/>
        <v>27</v>
      </c>
      <c r="S16" s="962">
        <f t="shared" si="7"/>
        <v>8</v>
      </c>
      <c r="T16" s="752">
        <f t="shared" si="8"/>
        <v>104</v>
      </c>
      <c r="W16" s="753">
        <f t="shared" si="9"/>
        <v>0.17391304347826086</v>
      </c>
      <c r="X16" s="754">
        <f t="shared" si="10"/>
        <v>7.407407407407407E-2</v>
      </c>
      <c r="Y16" s="755">
        <f t="shared" si="11"/>
        <v>0.5</v>
      </c>
      <c r="Z16" s="756">
        <f t="shared" si="12"/>
        <v>0.17307692307692307</v>
      </c>
    </row>
    <row r="17" spans="1:26" x14ac:dyDescent="0.25">
      <c r="A17" s="521" t="s">
        <v>30</v>
      </c>
      <c r="B17" s="455" t="s">
        <v>31</v>
      </c>
      <c r="C17" s="481" t="s">
        <v>268</v>
      </c>
      <c r="D17" s="750">
        <v>9</v>
      </c>
      <c r="E17" s="751">
        <v>3</v>
      </c>
      <c r="F17" s="751"/>
      <c r="G17" s="317">
        <f t="shared" si="1"/>
        <v>12</v>
      </c>
      <c r="H17" s="750"/>
      <c r="I17" s="751">
        <v>1</v>
      </c>
      <c r="J17" s="751"/>
      <c r="K17" s="317">
        <f t="shared" si="2"/>
        <v>1</v>
      </c>
      <c r="L17" s="750"/>
      <c r="M17" s="751"/>
      <c r="N17" s="751"/>
      <c r="O17" s="317">
        <f t="shared" si="3"/>
        <v>0</v>
      </c>
      <c r="P17" s="752">
        <f t="shared" si="4"/>
        <v>13</v>
      </c>
      <c r="Q17" s="962">
        <f t="shared" si="5"/>
        <v>9</v>
      </c>
      <c r="R17" s="962">
        <f t="shared" si="6"/>
        <v>4</v>
      </c>
      <c r="S17" s="962">
        <f t="shared" si="7"/>
        <v>0</v>
      </c>
      <c r="T17" s="752">
        <f t="shared" si="8"/>
        <v>13</v>
      </c>
      <c r="W17" s="753">
        <f t="shared" si="9"/>
        <v>0</v>
      </c>
      <c r="X17" s="754">
        <f t="shared" si="10"/>
        <v>0.25</v>
      </c>
      <c r="Y17" s="755" t="str">
        <f t="shared" si="11"/>
        <v>NA</v>
      </c>
      <c r="Z17" s="756">
        <f t="shared" si="12"/>
        <v>7.6923076923076927E-2</v>
      </c>
    </row>
    <row r="18" spans="1:26" x14ac:dyDescent="0.25">
      <c r="A18" s="521" t="s">
        <v>32</v>
      </c>
      <c r="B18" s="455" t="s">
        <v>33</v>
      </c>
      <c r="C18" s="481" t="s">
        <v>265</v>
      </c>
      <c r="D18" s="750">
        <v>15</v>
      </c>
      <c r="E18" s="751">
        <v>4</v>
      </c>
      <c r="F18" s="751"/>
      <c r="G18" s="317">
        <f t="shared" si="1"/>
        <v>19</v>
      </c>
      <c r="H18" s="750">
        <v>7</v>
      </c>
      <c r="I18" s="751"/>
      <c r="J18" s="751"/>
      <c r="K18" s="317">
        <f t="shared" si="2"/>
        <v>7</v>
      </c>
      <c r="L18" s="750"/>
      <c r="M18" s="751"/>
      <c r="N18" s="751"/>
      <c r="O18" s="317">
        <f t="shared" si="3"/>
        <v>0</v>
      </c>
      <c r="P18" s="752">
        <f t="shared" si="4"/>
        <v>26</v>
      </c>
      <c r="Q18" s="962">
        <f t="shared" si="5"/>
        <v>22</v>
      </c>
      <c r="R18" s="962">
        <f t="shared" si="6"/>
        <v>4</v>
      </c>
      <c r="S18" s="962">
        <f t="shared" si="7"/>
        <v>0</v>
      </c>
      <c r="T18" s="752">
        <f t="shared" si="8"/>
        <v>26</v>
      </c>
      <c r="W18" s="753">
        <f t="shared" si="9"/>
        <v>0.31818181818181818</v>
      </c>
      <c r="X18" s="754">
        <f t="shared" si="10"/>
        <v>0</v>
      </c>
      <c r="Y18" s="755" t="str">
        <f t="shared" si="11"/>
        <v>NA</v>
      </c>
      <c r="Z18" s="756">
        <f t="shared" si="12"/>
        <v>0.26923076923076922</v>
      </c>
    </row>
    <row r="19" spans="1:26" x14ac:dyDescent="0.25">
      <c r="A19" s="521" t="s">
        <v>36</v>
      </c>
      <c r="B19" s="455" t="s">
        <v>37</v>
      </c>
      <c r="C19" s="481" t="s">
        <v>264</v>
      </c>
      <c r="D19" s="750">
        <v>17</v>
      </c>
      <c r="E19" s="751">
        <v>11</v>
      </c>
      <c r="F19" s="751">
        <v>1</v>
      </c>
      <c r="G19" s="317">
        <f t="shared" si="1"/>
        <v>29</v>
      </c>
      <c r="H19" s="750">
        <v>4</v>
      </c>
      <c r="I19" s="751">
        <v>1</v>
      </c>
      <c r="J19" s="751"/>
      <c r="K19" s="317">
        <f t="shared" si="2"/>
        <v>5</v>
      </c>
      <c r="L19" s="750"/>
      <c r="M19" s="751"/>
      <c r="N19" s="751"/>
      <c r="O19" s="317">
        <f t="shared" si="3"/>
        <v>0</v>
      </c>
      <c r="P19" s="752">
        <f t="shared" si="4"/>
        <v>34</v>
      </c>
      <c r="Q19" s="962">
        <f t="shared" si="5"/>
        <v>21</v>
      </c>
      <c r="R19" s="962">
        <f t="shared" si="6"/>
        <v>12</v>
      </c>
      <c r="S19" s="962">
        <f t="shared" si="7"/>
        <v>1</v>
      </c>
      <c r="T19" s="752">
        <f t="shared" si="8"/>
        <v>34</v>
      </c>
      <c r="W19" s="753">
        <f t="shared" si="9"/>
        <v>0.19047619047619047</v>
      </c>
      <c r="X19" s="754">
        <f t="shared" si="10"/>
        <v>8.3333333333333329E-2</v>
      </c>
      <c r="Y19" s="755">
        <f t="shared" si="11"/>
        <v>0</v>
      </c>
      <c r="Z19" s="756">
        <f t="shared" si="12"/>
        <v>0.14705882352941177</v>
      </c>
    </row>
    <row r="20" spans="1:26" x14ac:dyDescent="0.25">
      <c r="A20" s="521" t="s">
        <v>38</v>
      </c>
      <c r="B20" s="455" t="s">
        <v>39</v>
      </c>
      <c r="C20" s="481" t="s">
        <v>268</v>
      </c>
      <c r="D20" s="750">
        <v>36</v>
      </c>
      <c r="E20" s="751">
        <v>14</v>
      </c>
      <c r="F20" s="751"/>
      <c r="G20" s="317">
        <f t="shared" si="1"/>
        <v>50</v>
      </c>
      <c r="H20" s="750">
        <v>11</v>
      </c>
      <c r="I20" s="751">
        <v>8</v>
      </c>
      <c r="J20" s="751"/>
      <c r="K20" s="317">
        <f t="shared" si="2"/>
        <v>19</v>
      </c>
      <c r="L20" s="750"/>
      <c r="M20" s="751"/>
      <c r="N20" s="751"/>
      <c r="O20" s="317">
        <f t="shared" si="3"/>
        <v>0</v>
      </c>
      <c r="P20" s="752">
        <f t="shared" si="4"/>
        <v>69</v>
      </c>
      <c r="Q20" s="962">
        <f t="shared" si="5"/>
        <v>47</v>
      </c>
      <c r="R20" s="962">
        <f t="shared" si="6"/>
        <v>22</v>
      </c>
      <c r="S20" s="962">
        <f t="shared" si="7"/>
        <v>0</v>
      </c>
      <c r="T20" s="752">
        <f t="shared" si="8"/>
        <v>69</v>
      </c>
      <c r="W20" s="753">
        <f t="shared" si="9"/>
        <v>0.23404255319148937</v>
      </c>
      <c r="X20" s="754">
        <f t="shared" si="10"/>
        <v>0.36363636363636365</v>
      </c>
      <c r="Y20" s="755" t="str">
        <f t="shared" si="11"/>
        <v>NA</v>
      </c>
      <c r="Z20" s="756">
        <f t="shared" si="12"/>
        <v>0.27536231884057971</v>
      </c>
    </row>
    <row r="21" spans="1:26" x14ac:dyDescent="0.25">
      <c r="A21" s="521" t="s">
        <v>40</v>
      </c>
      <c r="B21" s="455" t="s">
        <v>41</v>
      </c>
      <c r="C21" s="481" t="s">
        <v>266</v>
      </c>
      <c r="D21" s="750">
        <v>14</v>
      </c>
      <c r="E21" s="751">
        <v>7</v>
      </c>
      <c r="F21" s="751"/>
      <c r="G21" s="317">
        <f t="shared" si="1"/>
        <v>21</v>
      </c>
      <c r="H21" s="750">
        <v>9</v>
      </c>
      <c r="I21" s="751">
        <v>2</v>
      </c>
      <c r="J21" s="751"/>
      <c r="K21" s="317">
        <f t="shared" si="2"/>
        <v>11</v>
      </c>
      <c r="L21" s="750"/>
      <c r="M21" s="751"/>
      <c r="N21" s="751"/>
      <c r="O21" s="317">
        <f t="shared" si="3"/>
        <v>0</v>
      </c>
      <c r="P21" s="752">
        <f t="shared" si="4"/>
        <v>32</v>
      </c>
      <c r="Q21" s="962">
        <f t="shared" si="5"/>
        <v>23</v>
      </c>
      <c r="R21" s="962">
        <f t="shared" si="6"/>
        <v>9</v>
      </c>
      <c r="S21" s="962">
        <f t="shared" si="7"/>
        <v>0</v>
      </c>
      <c r="T21" s="752">
        <f t="shared" si="8"/>
        <v>32</v>
      </c>
      <c r="W21" s="753">
        <f t="shared" si="9"/>
        <v>0.39130434782608697</v>
      </c>
      <c r="X21" s="754">
        <f t="shared" si="10"/>
        <v>0.22222222222222221</v>
      </c>
      <c r="Y21" s="755" t="str">
        <f t="shared" si="11"/>
        <v>NA</v>
      </c>
      <c r="Z21" s="756">
        <f t="shared" si="12"/>
        <v>0.34375</v>
      </c>
    </row>
    <row r="22" spans="1:26" x14ac:dyDescent="0.25">
      <c r="A22" s="521" t="s">
        <v>42</v>
      </c>
      <c r="B22" s="455" t="s">
        <v>43</v>
      </c>
      <c r="C22" s="481" t="s">
        <v>265</v>
      </c>
      <c r="D22" s="750">
        <v>45</v>
      </c>
      <c r="E22" s="751">
        <v>25</v>
      </c>
      <c r="F22" s="751">
        <v>2</v>
      </c>
      <c r="G22" s="317">
        <f t="shared" si="1"/>
        <v>72</v>
      </c>
      <c r="H22" s="750">
        <v>13</v>
      </c>
      <c r="I22" s="751">
        <v>6</v>
      </c>
      <c r="J22" s="751">
        <v>1</v>
      </c>
      <c r="K22" s="317">
        <f t="shared" si="2"/>
        <v>20</v>
      </c>
      <c r="L22" s="750"/>
      <c r="M22" s="751"/>
      <c r="N22" s="751"/>
      <c r="O22" s="317">
        <f t="shared" si="3"/>
        <v>0</v>
      </c>
      <c r="P22" s="752">
        <f t="shared" si="4"/>
        <v>92</v>
      </c>
      <c r="Q22" s="962">
        <f t="shared" si="5"/>
        <v>58</v>
      </c>
      <c r="R22" s="962">
        <f t="shared" si="6"/>
        <v>31</v>
      </c>
      <c r="S22" s="962">
        <f t="shared" si="7"/>
        <v>3</v>
      </c>
      <c r="T22" s="752">
        <f t="shared" si="8"/>
        <v>92</v>
      </c>
      <c r="W22" s="753">
        <f t="shared" si="9"/>
        <v>0.22413793103448276</v>
      </c>
      <c r="X22" s="754">
        <f t="shared" si="10"/>
        <v>0.19354838709677419</v>
      </c>
      <c r="Y22" s="755">
        <f t="shared" si="11"/>
        <v>0.33333333333333331</v>
      </c>
      <c r="Z22" s="756">
        <f t="shared" si="12"/>
        <v>0.21739130434782608</v>
      </c>
    </row>
    <row r="23" spans="1:26" x14ac:dyDescent="0.25">
      <c r="A23" s="521" t="s">
        <v>44</v>
      </c>
      <c r="B23" s="455" t="s">
        <v>45</v>
      </c>
      <c r="C23" s="481" t="s">
        <v>266</v>
      </c>
      <c r="D23" s="750">
        <v>21</v>
      </c>
      <c r="E23" s="751">
        <v>10</v>
      </c>
      <c r="F23" s="751"/>
      <c r="G23" s="317">
        <f t="shared" si="1"/>
        <v>31</v>
      </c>
      <c r="H23" s="750">
        <v>3</v>
      </c>
      <c r="I23" s="751">
        <v>1</v>
      </c>
      <c r="J23" s="751"/>
      <c r="K23" s="317">
        <f t="shared" si="2"/>
        <v>4</v>
      </c>
      <c r="L23" s="750"/>
      <c r="M23" s="751"/>
      <c r="N23" s="751"/>
      <c r="O23" s="317">
        <f t="shared" si="3"/>
        <v>0</v>
      </c>
      <c r="P23" s="752">
        <f t="shared" si="4"/>
        <v>35</v>
      </c>
      <c r="Q23" s="962">
        <f t="shared" si="5"/>
        <v>24</v>
      </c>
      <c r="R23" s="962">
        <f t="shared" si="6"/>
        <v>11</v>
      </c>
      <c r="S23" s="962">
        <f t="shared" si="7"/>
        <v>0</v>
      </c>
      <c r="T23" s="752">
        <f t="shared" si="8"/>
        <v>35</v>
      </c>
      <c r="W23" s="753">
        <f t="shared" si="9"/>
        <v>0.125</v>
      </c>
      <c r="X23" s="754">
        <f t="shared" si="10"/>
        <v>9.0909090909090912E-2</v>
      </c>
      <c r="Y23" s="755" t="str">
        <f t="shared" si="11"/>
        <v>NA</v>
      </c>
      <c r="Z23" s="756">
        <f t="shared" si="12"/>
        <v>0.11428571428571428</v>
      </c>
    </row>
    <row r="24" spans="1:26" x14ac:dyDescent="0.25">
      <c r="A24" s="521" t="s">
        <v>46</v>
      </c>
      <c r="B24" s="455" t="s">
        <v>47</v>
      </c>
      <c r="C24" s="481" t="s">
        <v>268</v>
      </c>
      <c r="D24" s="750">
        <v>24</v>
      </c>
      <c r="E24" s="751">
        <v>14</v>
      </c>
      <c r="F24" s="751"/>
      <c r="G24" s="317">
        <f t="shared" si="1"/>
        <v>38</v>
      </c>
      <c r="H24" s="750">
        <v>8</v>
      </c>
      <c r="I24" s="751">
        <v>2</v>
      </c>
      <c r="J24" s="751">
        <v>1</v>
      </c>
      <c r="K24" s="317">
        <f t="shared" si="2"/>
        <v>11</v>
      </c>
      <c r="L24" s="750"/>
      <c r="M24" s="751"/>
      <c r="N24" s="751"/>
      <c r="O24" s="317">
        <f t="shared" si="3"/>
        <v>0</v>
      </c>
      <c r="P24" s="752">
        <f t="shared" si="4"/>
        <v>49</v>
      </c>
      <c r="Q24" s="962">
        <f t="shared" si="5"/>
        <v>32</v>
      </c>
      <c r="R24" s="962">
        <f t="shared" si="6"/>
        <v>16</v>
      </c>
      <c r="S24" s="962">
        <f t="shared" si="7"/>
        <v>1</v>
      </c>
      <c r="T24" s="752">
        <f t="shared" si="8"/>
        <v>49</v>
      </c>
      <c r="W24" s="753">
        <f t="shared" si="9"/>
        <v>0.25</v>
      </c>
      <c r="X24" s="754">
        <f t="shared" si="10"/>
        <v>0.125</v>
      </c>
      <c r="Y24" s="755">
        <f t="shared" si="11"/>
        <v>1</v>
      </c>
      <c r="Z24" s="756">
        <f t="shared" si="12"/>
        <v>0.22448979591836735</v>
      </c>
    </row>
    <row r="25" spans="1:26" x14ac:dyDescent="0.25">
      <c r="A25" s="521" t="s">
        <v>48</v>
      </c>
      <c r="B25" s="455" t="s">
        <v>269</v>
      </c>
      <c r="C25" s="481" t="s">
        <v>266</v>
      </c>
      <c r="D25" s="750">
        <v>5</v>
      </c>
      <c r="E25" s="751">
        <v>6</v>
      </c>
      <c r="F25" s="751"/>
      <c r="G25" s="317">
        <f t="shared" si="1"/>
        <v>11</v>
      </c>
      <c r="H25" s="750">
        <v>7</v>
      </c>
      <c r="I25" s="751">
        <v>1</v>
      </c>
      <c r="J25" s="751"/>
      <c r="K25" s="317">
        <f t="shared" si="2"/>
        <v>8</v>
      </c>
      <c r="L25" s="750"/>
      <c r="M25" s="751"/>
      <c r="N25" s="751"/>
      <c r="O25" s="317">
        <f t="shared" si="3"/>
        <v>0</v>
      </c>
      <c r="P25" s="752">
        <f t="shared" si="4"/>
        <v>19</v>
      </c>
      <c r="Q25" s="962">
        <f t="shared" si="5"/>
        <v>12</v>
      </c>
      <c r="R25" s="962">
        <f t="shared" si="6"/>
        <v>7</v>
      </c>
      <c r="S25" s="962">
        <f t="shared" si="7"/>
        <v>0</v>
      </c>
      <c r="T25" s="752">
        <f t="shared" si="8"/>
        <v>19</v>
      </c>
      <c r="W25" s="753">
        <f t="shared" si="9"/>
        <v>0.58333333333333337</v>
      </c>
      <c r="X25" s="754">
        <f t="shared" si="10"/>
        <v>0.14285714285714285</v>
      </c>
      <c r="Y25" s="755" t="str">
        <f t="shared" si="11"/>
        <v>NA</v>
      </c>
      <c r="Z25" s="756">
        <f t="shared" si="12"/>
        <v>0.42105263157894735</v>
      </c>
    </row>
    <row r="26" spans="1:26" x14ac:dyDescent="0.25">
      <c r="A26" s="521" t="s">
        <v>50</v>
      </c>
      <c r="B26" s="455" t="s">
        <v>51</v>
      </c>
      <c r="C26" s="481" t="s">
        <v>265</v>
      </c>
      <c r="D26" s="750">
        <v>18</v>
      </c>
      <c r="E26" s="751">
        <v>5</v>
      </c>
      <c r="F26" s="751">
        <v>1</v>
      </c>
      <c r="G26" s="317">
        <f t="shared" si="1"/>
        <v>24</v>
      </c>
      <c r="H26" s="750">
        <v>5</v>
      </c>
      <c r="I26" s="751">
        <v>3</v>
      </c>
      <c r="J26" s="751">
        <v>1</v>
      </c>
      <c r="K26" s="317">
        <f t="shared" si="2"/>
        <v>9</v>
      </c>
      <c r="L26" s="750"/>
      <c r="M26" s="751"/>
      <c r="N26" s="751"/>
      <c r="O26" s="317">
        <f t="shared" si="3"/>
        <v>0</v>
      </c>
      <c r="P26" s="752">
        <f t="shared" si="4"/>
        <v>33</v>
      </c>
      <c r="Q26" s="962">
        <f t="shared" si="5"/>
        <v>23</v>
      </c>
      <c r="R26" s="962">
        <f t="shared" si="6"/>
        <v>8</v>
      </c>
      <c r="S26" s="962">
        <f t="shared" si="7"/>
        <v>2</v>
      </c>
      <c r="T26" s="752">
        <f t="shared" si="8"/>
        <v>33</v>
      </c>
      <c r="W26" s="753">
        <f t="shared" si="9"/>
        <v>0.21739130434782608</v>
      </c>
      <c r="X26" s="754">
        <f t="shared" si="10"/>
        <v>0.375</v>
      </c>
      <c r="Y26" s="755">
        <f t="shared" si="11"/>
        <v>0.5</v>
      </c>
      <c r="Z26" s="756">
        <f t="shared" si="12"/>
        <v>0.27272727272727271</v>
      </c>
    </row>
    <row r="27" spans="1:26" x14ac:dyDescent="0.25">
      <c r="A27" s="521" t="s">
        <v>56</v>
      </c>
      <c r="B27" s="455" t="s">
        <v>295</v>
      </c>
      <c r="C27" s="481" t="s">
        <v>266</v>
      </c>
      <c r="D27" s="750">
        <v>122</v>
      </c>
      <c r="E27" s="751">
        <v>69</v>
      </c>
      <c r="F27" s="751">
        <v>6</v>
      </c>
      <c r="G27" s="317">
        <f t="shared" si="1"/>
        <v>197</v>
      </c>
      <c r="H27" s="750">
        <v>21</v>
      </c>
      <c r="I27" s="751">
        <v>15</v>
      </c>
      <c r="J27" s="751">
        <v>5</v>
      </c>
      <c r="K27" s="317">
        <f t="shared" si="2"/>
        <v>41</v>
      </c>
      <c r="L27" s="750"/>
      <c r="M27" s="751"/>
      <c r="N27" s="751"/>
      <c r="O27" s="317">
        <f t="shared" si="3"/>
        <v>0</v>
      </c>
      <c r="P27" s="752">
        <f t="shared" si="4"/>
        <v>238</v>
      </c>
      <c r="Q27" s="962">
        <f t="shared" si="5"/>
        <v>143</v>
      </c>
      <c r="R27" s="962">
        <f t="shared" si="6"/>
        <v>84</v>
      </c>
      <c r="S27" s="962">
        <f t="shared" si="7"/>
        <v>11</v>
      </c>
      <c r="T27" s="752">
        <f t="shared" si="8"/>
        <v>238</v>
      </c>
      <c r="W27" s="753">
        <f t="shared" si="9"/>
        <v>0.14685314685314685</v>
      </c>
      <c r="X27" s="754">
        <f t="shared" si="10"/>
        <v>0.17857142857142858</v>
      </c>
      <c r="Y27" s="755">
        <f t="shared" si="11"/>
        <v>0.45454545454545453</v>
      </c>
      <c r="Z27" s="756">
        <f t="shared" si="12"/>
        <v>0.17226890756302521</v>
      </c>
    </row>
    <row r="28" spans="1:26" x14ac:dyDescent="0.25">
      <c r="A28" s="521" t="s">
        <v>58</v>
      </c>
      <c r="B28" s="455" t="s">
        <v>59</v>
      </c>
      <c r="C28" s="481" t="s">
        <v>267</v>
      </c>
      <c r="D28" s="750">
        <v>9</v>
      </c>
      <c r="E28" s="751">
        <v>6</v>
      </c>
      <c r="F28" s="751"/>
      <c r="G28" s="317">
        <f t="shared" si="1"/>
        <v>15</v>
      </c>
      <c r="H28" s="750">
        <v>5</v>
      </c>
      <c r="I28" s="751"/>
      <c r="J28" s="751"/>
      <c r="K28" s="317">
        <f t="shared" si="2"/>
        <v>5</v>
      </c>
      <c r="L28" s="750">
        <v>3</v>
      </c>
      <c r="M28" s="751"/>
      <c r="N28" s="751"/>
      <c r="O28" s="317">
        <f t="shared" si="3"/>
        <v>3</v>
      </c>
      <c r="P28" s="752">
        <f t="shared" si="4"/>
        <v>23</v>
      </c>
      <c r="Q28" s="962">
        <f t="shared" si="5"/>
        <v>14</v>
      </c>
      <c r="R28" s="962">
        <f t="shared" si="6"/>
        <v>6</v>
      </c>
      <c r="S28" s="962">
        <f t="shared" si="7"/>
        <v>0</v>
      </c>
      <c r="T28" s="752">
        <f t="shared" si="8"/>
        <v>20</v>
      </c>
      <c r="W28" s="753">
        <f t="shared" si="9"/>
        <v>0.35714285714285715</v>
      </c>
      <c r="X28" s="754">
        <f t="shared" si="10"/>
        <v>0</v>
      </c>
      <c r="Y28" s="755" t="str">
        <f t="shared" si="11"/>
        <v>NA</v>
      </c>
      <c r="Z28" s="756">
        <f t="shared" si="12"/>
        <v>0.25</v>
      </c>
    </row>
    <row r="29" spans="1:26" x14ac:dyDescent="0.25">
      <c r="A29" s="521" t="s">
        <v>60</v>
      </c>
      <c r="B29" s="455" t="s">
        <v>61</v>
      </c>
      <c r="C29" s="481" t="s">
        <v>265</v>
      </c>
      <c r="D29" s="750">
        <v>7</v>
      </c>
      <c r="E29" s="751">
        <v>4</v>
      </c>
      <c r="F29" s="751"/>
      <c r="G29" s="317">
        <f t="shared" si="1"/>
        <v>11</v>
      </c>
      <c r="H29" s="750">
        <v>1</v>
      </c>
      <c r="I29" s="751"/>
      <c r="J29" s="751"/>
      <c r="K29" s="317">
        <f t="shared" si="2"/>
        <v>1</v>
      </c>
      <c r="L29" s="750"/>
      <c r="M29" s="751"/>
      <c r="N29" s="751"/>
      <c r="O29" s="317">
        <f t="shared" si="3"/>
        <v>0</v>
      </c>
      <c r="P29" s="752">
        <f t="shared" si="4"/>
        <v>12</v>
      </c>
      <c r="Q29" s="962">
        <f t="shared" si="5"/>
        <v>8</v>
      </c>
      <c r="R29" s="962">
        <f t="shared" si="6"/>
        <v>4</v>
      </c>
      <c r="S29" s="962">
        <f t="shared" si="7"/>
        <v>0</v>
      </c>
      <c r="T29" s="752">
        <f t="shared" si="8"/>
        <v>12</v>
      </c>
      <c r="W29" s="753">
        <f t="shared" si="9"/>
        <v>0.125</v>
      </c>
      <c r="X29" s="754">
        <f t="shared" si="10"/>
        <v>0</v>
      </c>
      <c r="Y29" s="755" t="str">
        <f t="shared" si="11"/>
        <v>NA</v>
      </c>
      <c r="Z29" s="756">
        <f t="shared" si="12"/>
        <v>8.3333333333333329E-2</v>
      </c>
    </row>
    <row r="30" spans="1:26" x14ac:dyDescent="0.25">
      <c r="A30" s="521" t="s">
        <v>62</v>
      </c>
      <c r="B30" s="455" t="s">
        <v>63</v>
      </c>
      <c r="C30" s="481" t="s">
        <v>267</v>
      </c>
      <c r="D30" s="750">
        <v>36</v>
      </c>
      <c r="E30" s="751">
        <v>23</v>
      </c>
      <c r="F30" s="751"/>
      <c r="G30" s="317">
        <f t="shared" si="1"/>
        <v>59</v>
      </c>
      <c r="H30" s="750">
        <v>1</v>
      </c>
      <c r="I30" s="751">
        <v>3</v>
      </c>
      <c r="J30" s="751"/>
      <c r="K30" s="317">
        <f t="shared" si="2"/>
        <v>4</v>
      </c>
      <c r="L30" s="750"/>
      <c r="M30" s="751"/>
      <c r="N30" s="751"/>
      <c r="O30" s="317">
        <f t="shared" si="3"/>
        <v>0</v>
      </c>
      <c r="P30" s="752">
        <f t="shared" si="4"/>
        <v>63</v>
      </c>
      <c r="Q30" s="962">
        <f t="shared" si="5"/>
        <v>37</v>
      </c>
      <c r="R30" s="962">
        <f t="shared" si="6"/>
        <v>26</v>
      </c>
      <c r="S30" s="962">
        <f t="shared" si="7"/>
        <v>0</v>
      </c>
      <c r="T30" s="752">
        <f t="shared" si="8"/>
        <v>63</v>
      </c>
      <c r="W30" s="753">
        <f t="shared" si="9"/>
        <v>2.7027027027027029E-2</v>
      </c>
      <c r="X30" s="754">
        <f t="shared" si="10"/>
        <v>0.11538461538461539</v>
      </c>
      <c r="Y30" s="755" t="str">
        <f t="shared" si="11"/>
        <v>NA</v>
      </c>
      <c r="Z30" s="756">
        <f t="shared" si="12"/>
        <v>6.3492063492063489E-2</v>
      </c>
    </row>
    <row r="31" spans="1:26" x14ac:dyDescent="0.25">
      <c r="A31" s="521" t="s">
        <v>64</v>
      </c>
      <c r="B31" s="455" t="s">
        <v>65</v>
      </c>
      <c r="C31" s="481" t="s">
        <v>266</v>
      </c>
      <c r="D31" s="750">
        <v>10</v>
      </c>
      <c r="E31" s="751">
        <v>6</v>
      </c>
      <c r="F31" s="751"/>
      <c r="G31" s="317">
        <f t="shared" si="1"/>
        <v>16</v>
      </c>
      <c r="H31" s="750">
        <v>4</v>
      </c>
      <c r="I31" s="751">
        <v>1</v>
      </c>
      <c r="J31" s="751"/>
      <c r="K31" s="317">
        <f t="shared" si="2"/>
        <v>5</v>
      </c>
      <c r="L31" s="750"/>
      <c r="M31" s="751"/>
      <c r="N31" s="751"/>
      <c r="O31" s="317">
        <f t="shared" si="3"/>
        <v>0</v>
      </c>
      <c r="P31" s="752">
        <f t="shared" si="4"/>
        <v>21</v>
      </c>
      <c r="Q31" s="962">
        <f t="shared" si="5"/>
        <v>14</v>
      </c>
      <c r="R31" s="962">
        <f t="shared" si="6"/>
        <v>7</v>
      </c>
      <c r="S31" s="962">
        <f t="shared" si="7"/>
        <v>0</v>
      </c>
      <c r="T31" s="752">
        <f t="shared" si="8"/>
        <v>21</v>
      </c>
      <c r="W31" s="753">
        <f t="shared" si="9"/>
        <v>0.2857142857142857</v>
      </c>
      <c r="X31" s="754">
        <f t="shared" si="10"/>
        <v>0.14285714285714285</v>
      </c>
      <c r="Y31" s="755" t="str">
        <f t="shared" si="11"/>
        <v>NA</v>
      </c>
      <c r="Z31" s="756">
        <f t="shared" si="12"/>
        <v>0.23809523809523808</v>
      </c>
    </row>
    <row r="32" spans="1:26" x14ac:dyDescent="0.25">
      <c r="A32" s="521" t="s">
        <v>68</v>
      </c>
      <c r="B32" s="455" t="s">
        <v>69</v>
      </c>
      <c r="C32" s="481" t="s">
        <v>268</v>
      </c>
      <c r="D32" s="750">
        <v>31</v>
      </c>
      <c r="E32" s="751">
        <v>10</v>
      </c>
      <c r="F32" s="751"/>
      <c r="G32" s="317">
        <f t="shared" si="1"/>
        <v>41</v>
      </c>
      <c r="H32" s="750">
        <v>6</v>
      </c>
      <c r="I32" s="751">
        <v>4</v>
      </c>
      <c r="J32" s="751">
        <v>1</v>
      </c>
      <c r="K32" s="317">
        <f t="shared" si="2"/>
        <v>11</v>
      </c>
      <c r="L32" s="750"/>
      <c r="M32" s="751"/>
      <c r="N32" s="751"/>
      <c r="O32" s="317">
        <f t="shared" si="3"/>
        <v>0</v>
      </c>
      <c r="P32" s="752">
        <f t="shared" si="4"/>
        <v>52</v>
      </c>
      <c r="Q32" s="962">
        <f t="shared" si="5"/>
        <v>37</v>
      </c>
      <c r="R32" s="962">
        <f t="shared" si="6"/>
        <v>14</v>
      </c>
      <c r="S32" s="962">
        <f t="shared" si="7"/>
        <v>1</v>
      </c>
      <c r="T32" s="752">
        <f t="shared" si="8"/>
        <v>52</v>
      </c>
      <c r="W32" s="753">
        <f t="shared" si="9"/>
        <v>0.16216216216216217</v>
      </c>
      <c r="X32" s="754">
        <f t="shared" si="10"/>
        <v>0.2857142857142857</v>
      </c>
      <c r="Y32" s="755">
        <f t="shared" si="11"/>
        <v>1</v>
      </c>
      <c r="Z32" s="756">
        <f t="shared" si="12"/>
        <v>0.21153846153846154</v>
      </c>
    </row>
    <row r="33" spans="1:26" x14ac:dyDescent="0.25">
      <c r="A33" s="521" t="s">
        <v>70</v>
      </c>
      <c r="B33" s="455" t="s">
        <v>71</v>
      </c>
      <c r="C33" s="481" t="s">
        <v>264</v>
      </c>
      <c r="D33" s="750">
        <v>17</v>
      </c>
      <c r="E33" s="751">
        <v>8</v>
      </c>
      <c r="F33" s="751"/>
      <c r="G33" s="317">
        <f t="shared" si="1"/>
        <v>25</v>
      </c>
      <c r="H33" s="750">
        <v>7</v>
      </c>
      <c r="I33" s="751">
        <v>2</v>
      </c>
      <c r="J33" s="751"/>
      <c r="K33" s="317">
        <f t="shared" si="2"/>
        <v>9</v>
      </c>
      <c r="L33" s="750"/>
      <c r="M33" s="751"/>
      <c r="N33" s="751"/>
      <c r="O33" s="317">
        <f t="shared" si="3"/>
        <v>0</v>
      </c>
      <c r="P33" s="752">
        <f t="shared" si="4"/>
        <v>34</v>
      </c>
      <c r="Q33" s="962">
        <f t="shared" si="5"/>
        <v>24</v>
      </c>
      <c r="R33" s="962">
        <f t="shared" si="6"/>
        <v>10</v>
      </c>
      <c r="S33" s="962">
        <f t="shared" si="7"/>
        <v>0</v>
      </c>
      <c r="T33" s="752">
        <f t="shared" si="8"/>
        <v>34</v>
      </c>
      <c r="W33" s="753">
        <f t="shared" si="9"/>
        <v>0.29166666666666669</v>
      </c>
      <c r="X33" s="754">
        <f t="shared" si="10"/>
        <v>0.2</v>
      </c>
      <c r="Y33" s="755" t="str">
        <f t="shared" si="11"/>
        <v>NA</v>
      </c>
      <c r="Z33" s="756">
        <f t="shared" si="12"/>
        <v>0.26470588235294118</v>
      </c>
    </row>
    <row r="34" spans="1:26" x14ac:dyDescent="0.25">
      <c r="A34" s="521" t="s">
        <v>72</v>
      </c>
      <c r="B34" s="455" t="s">
        <v>73</v>
      </c>
      <c r="C34" s="481" t="s">
        <v>266</v>
      </c>
      <c r="D34" s="750">
        <v>11</v>
      </c>
      <c r="E34" s="751">
        <v>7</v>
      </c>
      <c r="F34" s="751"/>
      <c r="G34" s="317">
        <f t="shared" si="1"/>
        <v>18</v>
      </c>
      <c r="H34" s="750">
        <v>5</v>
      </c>
      <c r="I34" s="751">
        <v>2</v>
      </c>
      <c r="J34" s="751"/>
      <c r="K34" s="317">
        <f t="shared" si="2"/>
        <v>7</v>
      </c>
      <c r="L34" s="750"/>
      <c r="M34" s="751"/>
      <c r="N34" s="751"/>
      <c r="O34" s="317">
        <f t="shared" si="3"/>
        <v>0</v>
      </c>
      <c r="P34" s="752">
        <f t="shared" si="4"/>
        <v>25</v>
      </c>
      <c r="Q34" s="962">
        <f t="shared" si="5"/>
        <v>16</v>
      </c>
      <c r="R34" s="962">
        <f t="shared" si="6"/>
        <v>9</v>
      </c>
      <c r="S34" s="962">
        <f t="shared" si="7"/>
        <v>0</v>
      </c>
      <c r="T34" s="752">
        <f t="shared" si="8"/>
        <v>25</v>
      </c>
      <c r="W34" s="753">
        <f t="shared" si="9"/>
        <v>0.3125</v>
      </c>
      <c r="X34" s="754">
        <f t="shared" si="10"/>
        <v>0.22222222222222221</v>
      </c>
      <c r="Y34" s="755" t="str">
        <f t="shared" si="11"/>
        <v>NA</v>
      </c>
      <c r="Z34" s="756">
        <f t="shared" si="12"/>
        <v>0.28000000000000003</v>
      </c>
    </row>
    <row r="35" spans="1:26" x14ac:dyDescent="0.25">
      <c r="A35" s="521" t="s">
        <v>74</v>
      </c>
      <c r="B35" s="455" t="s">
        <v>609</v>
      </c>
      <c r="C35" s="481" t="s">
        <v>267</v>
      </c>
      <c r="D35" s="750">
        <v>486</v>
      </c>
      <c r="E35" s="751">
        <v>353</v>
      </c>
      <c r="F35" s="751">
        <v>172</v>
      </c>
      <c r="G35" s="317">
        <f t="shared" si="1"/>
        <v>1011</v>
      </c>
      <c r="H35" s="750">
        <v>78</v>
      </c>
      <c r="I35" s="751">
        <v>19</v>
      </c>
      <c r="J35" s="751">
        <v>28</v>
      </c>
      <c r="K35" s="317">
        <f t="shared" si="2"/>
        <v>125</v>
      </c>
      <c r="L35" s="750">
        <v>2</v>
      </c>
      <c r="M35" s="751">
        <v>1</v>
      </c>
      <c r="N35" s="751"/>
      <c r="O35" s="317">
        <f t="shared" si="3"/>
        <v>3</v>
      </c>
      <c r="P35" s="757">
        <f t="shared" si="4"/>
        <v>1139</v>
      </c>
      <c r="Q35" s="963">
        <f t="shared" si="5"/>
        <v>564</v>
      </c>
      <c r="R35" s="963">
        <f t="shared" si="6"/>
        <v>372</v>
      </c>
      <c r="S35" s="963">
        <f t="shared" si="7"/>
        <v>200</v>
      </c>
      <c r="T35" s="757">
        <f t="shared" si="8"/>
        <v>1136</v>
      </c>
      <c r="W35" s="753">
        <f t="shared" si="9"/>
        <v>0.13829787234042554</v>
      </c>
      <c r="X35" s="754">
        <f t="shared" si="10"/>
        <v>5.1075268817204304E-2</v>
      </c>
      <c r="Y35" s="755">
        <f t="shared" si="11"/>
        <v>0.14000000000000001</v>
      </c>
      <c r="Z35" s="756">
        <f t="shared" si="12"/>
        <v>0.11003521126760564</v>
      </c>
    </row>
    <row r="36" spans="1:26" x14ac:dyDescent="0.25">
      <c r="A36" s="521" t="s">
        <v>76</v>
      </c>
      <c r="B36" s="455" t="s">
        <v>77</v>
      </c>
      <c r="C36" s="481" t="s">
        <v>267</v>
      </c>
      <c r="D36" s="750">
        <v>36</v>
      </c>
      <c r="E36" s="751">
        <v>12</v>
      </c>
      <c r="F36" s="751">
        <v>7</v>
      </c>
      <c r="G36" s="317">
        <f t="shared" si="1"/>
        <v>55</v>
      </c>
      <c r="H36" s="750">
        <v>3</v>
      </c>
      <c r="I36" s="751">
        <v>1</v>
      </c>
      <c r="J36" s="751">
        <v>3</v>
      </c>
      <c r="K36" s="317">
        <f t="shared" si="2"/>
        <v>7</v>
      </c>
      <c r="L36" s="750"/>
      <c r="M36" s="751"/>
      <c r="N36" s="751"/>
      <c r="O36" s="317">
        <f t="shared" si="3"/>
        <v>0</v>
      </c>
      <c r="P36" s="752">
        <f t="shared" si="4"/>
        <v>62</v>
      </c>
      <c r="Q36" s="962">
        <f t="shared" si="5"/>
        <v>39</v>
      </c>
      <c r="R36" s="962">
        <f t="shared" si="6"/>
        <v>13</v>
      </c>
      <c r="S36" s="962">
        <f t="shared" si="7"/>
        <v>10</v>
      </c>
      <c r="T36" s="752">
        <f t="shared" si="8"/>
        <v>62</v>
      </c>
      <c r="W36" s="753">
        <f t="shared" si="9"/>
        <v>7.6923076923076927E-2</v>
      </c>
      <c r="X36" s="754">
        <f t="shared" si="10"/>
        <v>7.6923076923076927E-2</v>
      </c>
      <c r="Y36" s="755">
        <f t="shared" si="11"/>
        <v>0.3</v>
      </c>
      <c r="Z36" s="756">
        <f t="shared" si="12"/>
        <v>0.11290322580645161</v>
      </c>
    </row>
    <row r="37" spans="1:26" x14ac:dyDescent="0.25">
      <c r="A37" s="521" t="s">
        <v>78</v>
      </c>
      <c r="B37" s="455" t="s">
        <v>79</v>
      </c>
      <c r="C37" s="481" t="s">
        <v>268</v>
      </c>
      <c r="D37" s="750">
        <v>12</v>
      </c>
      <c r="E37" s="751">
        <v>4</v>
      </c>
      <c r="F37" s="751"/>
      <c r="G37" s="317">
        <f t="shared" si="1"/>
        <v>16</v>
      </c>
      <c r="H37" s="750">
        <v>1</v>
      </c>
      <c r="I37" s="751"/>
      <c r="J37" s="751"/>
      <c r="K37" s="317">
        <f t="shared" si="2"/>
        <v>1</v>
      </c>
      <c r="L37" s="750"/>
      <c r="M37" s="751"/>
      <c r="N37" s="751"/>
      <c r="O37" s="317">
        <f t="shared" si="3"/>
        <v>0</v>
      </c>
      <c r="P37" s="752">
        <f t="shared" si="4"/>
        <v>17</v>
      </c>
      <c r="Q37" s="962">
        <f t="shared" si="5"/>
        <v>13</v>
      </c>
      <c r="R37" s="962">
        <f t="shared" si="6"/>
        <v>4</v>
      </c>
      <c r="S37" s="962">
        <f t="shared" si="7"/>
        <v>0</v>
      </c>
      <c r="T37" s="752">
        <f t="shared" si="8"/>
        <v>17</v>
      </c>
      <c r="W37" s="753">
        <f t="shared" si="9"/>
        <v>7.6923076923076927E-2</v>
      </c>
      <c r="X37" s="754">
        <f t="shared" si="10"/>
        <v>0</v>
      </c>
      <c r="Y37" s="755" t="str">
        <f t="shared" si="11"/>
        <v>NA</v>
      </c>
      <c r="Z37" s="756">
        <f t="shared" si="12"/>
        <v>5.8823529411764705E-2</v>
      </c>
    </row>
    <row r="38" spans="1:26" x14ac:dyDescent="0.25">
      <c r="A38" s="521" t="s">
        <v>80</v>
      </c>
      <c r="B38" s="455" t="s">
        <v>81</v>
      </c>
      <c r="C38" s="481" t="s">
        <v>266</v>
      </c>
      <c r="D38" s="750">
        <v>19</v>
      </c>
      <c r="E38" s="751">
        <v>8</v>
      </c>
      <c r="F38" s="751"/>
      <c r="G38" s="317">
        <f t="shared" ref="G38:G69" si="13">SUM(D38:F38)</f>
        <v>27</v>
      </c>
      <c r="H38" s="750">
        <v>8</v>
      </c>
      <c r="I38" s="751">
        <v>3</v>
      </c>
      <c r="J38" s="751"/>
      <c r="K38" s="317">
        <f t="shared" ref="K38:K69" si="14">SUM(H38:J38)</f>
        <v>11</v>
      </c>
      <c r="L38" s="750"/>
      <c r="M38" s="751"/>
      <c r="N38" s="751"/>
      <c r="O38" s="317">
        <f t="shared" ref="O38:O69" si="15">SUM(L38:N38)</f>
        <v>0</v>
      </c>
      <c r="P38" s="752">
        <f t="shared" ref="P38:P69" si="16">G38+K38+O38</f>
        <v>38</v>
      </c>
      <c r="Q38" s="962">
        <f t="shared" si="5"/>
        <v>27</v>
      </c>
      <c r="R38" s="962">
        <f t="shared" si="6"/>
        <v>11</v>
      </c>
      <c r="S38" s="962">
        <f t="shared" si="7"/>
        <v>0</v>
      </c>
      <c r="T38" s="752">
        <f t="shared" si="8"/>
        <v>38</v>
      </c>
      <c r="W38" s="753">
        <f t="shared" si="9"/>
        <v>0.29629629629629628</v>
      </c>
      <c r="X38" s="754">
        <f t="shared" si="10"/>
        <v>0.27272727272727271</v>
      </c>
      <c r="Y38" s="755" t="str">
        <f t="shared" si="11"/>
        <v>NA</v>
      </c>
      <c r="Z38" s="756">
        <f t="shared" si="12"/>
        <v>0.28947368421052633</v>
      </c>
    </row>
    <row r="39" spans="1:26" x14ac:dyDescent="0.25">
      <c r="A39" s="521" t="s">
        <v>84</v>
      </c>
      <c r="B39" s="455" t="s">
        <v>308</v>
      </c>
      <c r="C39" s="481" t="s">
        <v>265</v>
      </c>
      <c r="D39" s="750">
        <v>49</v>
      </c>
      <c r="E39" s="751">
        <v>21</v>
      </c>
      <c r="F39" s="751"/>
      <c r="G39" s="317">
        <f t="shared" si="13"/>
        <v>70</v>
      </c>
      <c r="H39" s="750">
        <v>13</v>
      </c>
      <c r="I39" s="751">
        <v>5</v>
      </c>
      <c r="J39" s="751"/>
      <c r="K39" s="317">
        <f t="shared" si="14"/>
        <v>18</v>
      </c>
      <c r="L39" s="750"/>
      <c r="M39" s="751"/>
      <c r="N39" s="751"/>
      <c r="O39" s="317">
        <f t="shared" si="15"/>
        <v>0</v>
      </c>
      <c r="P39" s="752">
        <f t="shared" si="16"/>
        <v>88</v>
      </c>
      <c r="Q39" s="962">
        <f t="shared" si="5"/>
        <v>62</v>
      </c>
      <c r="R39" s="962">
        <f t="shared" si="6"/>
        <v>26</v>
      </c>
      <c r="S39" s="962">
        <f t="shared" si="7"/>
        <v>0</v>
      </c>
      <c r="T39" s="752">
        <f t="shared" ref="T39:T70" si="17">G39+K39</f>
        <v>88</v>
      </c>
      <c r="W39" s="753">
        <f t="shared" si="9"/>
        <v>0.20967741935483872</v>
      </c>
      <c r="X39" s="754">
        <f t="shared" si="10"/>
        <v>0.19230769230769232</v>
      </c>
      <c r="Y39" s="755" t="str">
        <f t="shared" si="11"/>
        <v>NA</v>
      </c>
      <c r="Z39" s="756">
        <f t="shared" si="12"/>
        <v>0.20454545454545456</v>
      </c>
    </row>
    <row r="40" spans="1:26" x14ac:dyDescent="0.25">
      <c r="A40" s="521" t="s">
        <v>86</v>
      </c>
      <c r="B40" s="455" t="s">
        <v>87</v>
      </c>
      <c r="C40" s="481" t="s">
        <v>267</v>
      </c>
      <c r="D40" s="750">
        <v>50</v>
      </c>
      <c r="E40" s="751">
        <v>18</v>
      </c>
      <c r="F40" s="751"/>
      <c r="G40" s="317">
        <f t="shared" si="13"/>
        <v>68</v>
      </c>
      <c r="H40" s="750">
        <v>2</v>
      </c>
      <c r="I40" s="751"/>
      <c r="J40" s="751"/>
      <c r="K40" s="317">
        <f t="shared" si="14"/>
        <v>2</v>
      </c>
      <c r="L40" s="750"/>
      <c r="M40" s="751"/>
      <c r="N40" s="751"/>
      <c r="O40" s="317">
        <f t="shared" si="15"/>
        <v>0</v>
      </c>
      <c r="P40" s="752">
        <f t="shared" si="16"/>
        <v>70</v>
      </c>
      <c r="Q40" s="962">
        <f t="shared" si="5"/>
        <v>52</v>
      </c>
      <c r="R40" s="962">
        <f t="shared" si="6"/>
        <v>18</v>
      </c>
      <c r="S40" s="962">
        <f t="shared" si="7"/>
        <v>0</v>
      </c>
      <c r="T40" s="752">
        <f t="shared" si="17"/>
        <v>70</v>
      </c>
      <c r="W40" s="753">
        <f t="shared" si="9"/>
        <v>3.8461538461538464E-2</v>
      </c>
      <c r="X40" s="754">
        <f t="shared" si="10"/>
        <v>0</v>
      </c>
      <c r="Y40" s="755" t="str">
        <f t="shared" si="11"/>
        <v>NA</v>
      </c>
      <c r="Z40" s="756">
        <f t="shared" si="12"/>
        <v>2.8571428571428571E-2</v>
      </c>
    </row>
    <row r="41" spans="1:26" x14ac:dyDescent="0.25">
      <c r="A41" s="521" t="s">
        <v>92</v>
      </c>
      <c r="B41" s="455" t="s">
        <v>93</v>
      </c>
      <c r="C41" s="481" t="s">
        <v>268</v>
      </c>
      <c r="D41" s="750">
        <v>20</v>
      </c>
      <c r="E41" s="751">
        <v>7</v>
      </c>
      <c r="F41" s="751"/>
      <c r="G41" s="317">
        <f t="shared" si="13"/>
        <v>27</v>
      </c>
      <c r="H41" s="750">
        <v>2</v>
      </c>
      <c r="I41" s="751">
        <v>1</v>
      </c>
      <c r="J41" s="751"/>
      <c r="K41" s="317">
        <f t="shared" si="14"/>
        <v>3</v>
      </c>
      <c r="L41" s="750"/>
      <c r="M41" s="751"/>
      <c r="N41" s="751"/>
      <c r="O41" s="317">
        <f t="shared" si="15"/>
        <v>0</v>
      </c>
      <c r="P41" s="752">
        <f t="shared" si="16"/>
        <v>30</v>
      </c>
      <c r="Q41" s="962">
        <f t="shared" si="5"/>
        <v>22</v>
      </c>
      <c r="R41" s="962">
        <f t="shared" si="6"/>
        <v>8</v>
      </c>
      <c r="S41" s="962">
        <f t="shared" si="7"/>
        <v>0</v>
      </c>
      <c r="T41" s="752">
        <f t="shared" si="17"/>
        <v>30</v>
      </c>
      <c r="W41" s="753">
        <f t="shared" si="9"/>
        <v>9.0909090909090912E-2</v>
      </c>
      <c r="X41" s="754">
        <f t="shared" si="10"/>
        <v>0.125</v>
      </c>
      <c r="Y41" s="755" t="str">
        <f t="shared" si="11"/>
        <v>NA</v>
      </c>
      <c r="Z41" s="756">
        <f t="shared" si="12"/>
        <v>0.1</v>
      </c>
    </row>
    <row r="42" spans="1:26" x14ac:dyDescent="0.25">
      <c r="A42" s="521" t="s">
        <v>94</v>
      </c>
      <c r="B42" s="455" t="s">
        <v>95</v>
      </c>
      <c r="C42" s="481" t="s">
        <v>264</v>
      </c>
      <c r="D42" s="750">
        <v>32</v>
      </c>
      <c r="E42" s="751">
        <v>14</v>
      </c>
      <c r="F42" s="751">
        <v>1</v>
      </c>
      <c r="G42" s="317">
        <f t="shared" si="13"/>
        <v>47</v>
      </c>
      <c r="H42" s="750">
        <v>3</v>
      </c>
      <c r="I42" s="751">
        <v>1</v>
      </c>
      <c r="J42" s="751"/>
      <c r="K42" s="317">
        <f t="shared" si="14"/>
        <v>4</v>
      </c>
      <c r="L42" s="750"/>
      <c r="M42" s="751"/>
      <c r="N42" s="751"/>
      <c r="O42" s="317">
        <f t="shared" si="15"/>
        <v>0</v>
      </c>
      <c r="P42" s="752">
        <f t="shared" si="16"/>
        <v>51</v>
      </c>
      <c r="Q42" s="962">
        <f t="shared" si="5"/>
        <v>35</v>
      </c>
      <c r="R42" s="962">
        <f t="shared" si="6"/>
        <v>15</v>
      </c>
      <c r="S42" s="962">
        <f t="shared" si="7"/>
        <v>1</v>
      </c>
      <c r="T42" s="752">
        <f t="shared" si="17"/>
        <v>51</v>
      </c>
      <c r="W42" s="753">
        <f t="shared" si="9"/>
        <v>8.5714285714285715E-2</v>
      </c>
      <c r="X42" s="754">
        <f t="shared" si="10"/>
        <v>6.6666666666666666E-2</v>
      </c>
      <c r="Y42" s="755">
        <f t="shared" si="11"/>
        <v>0</v>
      </c>
      <c r="Z42" s="756">
        <f t="shared" si="12"/>
        <v>7.8431372549019607E-2</v>
      </c>
    </row>
    <row r="43" spans="1:26" x14ac:dyDescent="0.25">
      <c r="A43" s="521" t="s">
        <v>96</v>
      </c>
      <c r="B43" s="455" t="s">
        <v>97</v>
      </c>
      <c r="C43" s="481" t="s">
        <v>266</v>
      </c>
      <c r="D43" s="750">
        <v>13</v>
      </c>
      <c r="E43" s="751">
        <v>8</v>
      </c>
      <c r="F43" s="751"/>
      <c r="G43" s="317">
        <f t="shared" si="13"/>
        <v>21</v>
      </c>
      <c r="H43" s="750">
        <v>3</v>
      </c>
      <c r="I43" s="751"/>
      <c r="J43" s="751"/>
      <c r="K43" s="317">
        <f t="shared" si="14"/>
        <v>3</v>
      </c>
      <c r="L43" s="750"/>
      <c r="M43" s="751"/>
      <c r="N43" s="751"/>
      <c r="O43" s="317">
        <f t="shared" si="15"/>
        <v>0</v>
      </c>
      <c r="P43" s="752">
        <f t="shared" si="16"/>
        <v>24</v>
      </c>
      <c r="Q43" s="962">
        <f t="shared" si="5"/>
        <v>16</v>
      </c>
      <c r="R43" s="962">
        <f t="shared" si="6"/>
        <v>8</v>
      </c>
      <c r="S43" s="962">
        <f t="shared" si="7"/>
        <v>0</v>
      </c>
      <c r="T43" s="752">
        <f t="shared" si="17"/>
        <v>24</v>
      </c>
      <c r="W43" s="753">
        <f t="shared" si="9"/>
        <v>0.1875</v>
      </c>
      <c r="X43" s="754">
        <f t="shared" si="10"/>
        <v>0</v>
      </c>
      <c r="Y43" s="755" t="str">
        <f t="shared" si="11"/>
        <v>NA</v>
      </c>
      <c r="Z43" s="756">
        <f t="shared" si="12"/>
        <v>0.125</v>
      </c>
    </row>
    <row r="44" spans="1:26" x14ac:dyDescent="0.25">
      <c r="A44" s="521" t="s">
        <v>98</v>
      </c>
      <c r="B44" s="455" t="s">
        <v>99</v>
      </c>
      <c r="C44" s="481" t="s">
        <v>268</v>
      </c>
      <c r="D44" s="750">
        <v>16</v>
      </c>
      <c r="E44" s="751">
        <v>8</v>
      </c>
      <c r="F44" s="751"/>
      <c r="G44" s="317">
        <f t="shared" si="13"/>
        <v>24</v>
      </c>
      <c r="H44" s="750">
        <v>2</v>
      </c>
      <c r="I44" s="751"/>
      <c r="J44" s="751"/>
      <c r="K44" s="317">
        <f t="shared" si="14"/>
        <v>2</v>
      </c>
      <c r="L44" s="750"/>
      <c r="M44" s="751"/>
      <c r="N44" s="751"/>
      <c r="O44" s="317">
        <f t="shared" si="15"/>
        <v>0</v>
      </c>
      <c r="P44" s="752">
        <f t="shared" si="16"/>
        <v>26</v>
      </c>
      <c r="Q44" s="962">
        <f t="shared" si="5"/>
        <v>18</v>
      </c>
      <c r="R44" s="962">
        <f t="shared" si="6"/>
        <v>8</v>
      </c>
      <c r="S44" s="962">
        <f t="shared" si="7"/>
        <v>0</v>
      </c>
      <c r="T44" s="752">
        <f t="shared" si="17"/>
        <v>26</v>
      </c>
      <c r="W44" s="753">
        <f t="shared" si="9"/>
        <v>0.1111111111111111</v>
      </c>
      <c r="X44" s="754">
        <f t="shared" si="10"/>
        <v>0</v>
      </c>
      <c r="Y44" s="755" t="str">
        <f t="shared" si="11"/>
        <v>NA</v>
      </c>
      <c r="Z44" s="756">
        <f t="shared" si="12"/>
        <v>7.6923076923076927E-2</v>
      </c>
    </row>
    <row r="45" spans="1:26" x14ac:dyDescent="0.25">
      <c r="A45" s="521" t="s">
        <v>100</v>
      </c>
      <c r="B45" s="455" t="s">
        <v>101</v>
      </c>
      <c r="C45" s="481" t="s">
        <v>267</v>
      </c>
      <c r="D45" s="750">
        <v>12</v>
      </c>
      <c r="E45" s="751">
        <v>8</v>
      </c>
      <c r="F45" s="751"/>
      <c r="G45" s="317">
        <f t="shared" si="13"/>
        <v>20</v>
      </c>
      <c r="H45" s="750">
        <v>1</v>
      </c>
      <c r="I45" s="751">
        <v>4</v>
      </c>
      <c r="J45" s="751"/>
      <c r="K45" s="317">
        <f t="shared" si="14"/>
        <v>5</v>
      </c>
      <c r="L45" s="750"/>
      <c r="M45" s="751"/>
      <c r="N45" s="751"/>
      <c r="O45" s="317">
        <f t="shared" si="15"/>
        <v>0</v>
      </c>
      <c r="P45" s="752">
        <f t="shared" si="16"/>
        <v>25</v>
      </c>
      <c r="Q45" s="962">
        <f t="shared" si="5"/>
        <v>13</v>
      </c>
      <c r="R45" s="962">
        <f t="shared" si="6"/>
        <v>12</v>
      </c>
      <c r="S45" s="962">
        <f t="shared" si="7"/>
        <v>0</v>
      </c>
      <c r="T45" s="752">
        <f t="shared" si="17"/>
        <v>25</v>
      </c>
      <c r="W45" s="753">
        <f t="shared" si="9"/>
        <v>7.6923076923076927E-2</v>
      </c>
      <c r="X45" s="754">
        <f t="shared" si="10"/>
        <v>0.33333333333333331</v>
      </c>
      <c r="Y45" s="755" t="str">
        <f t="shared" si="11"/>
        <v>NA</v>
      </c>
      <c r="Z45" s="756">
        <f t="shared" si="12"/>
        <v>0.2</v>
      </c>
    </row>
    <row r="46" spans="1:26" x14ac:dyDescent="0.25">
      <c r="A46" s="521" t="s">
        <v>102</v>
      </c>
      <c r="B46" s="455" t="s">
        <v>282</v>
      </c>
      <c r="C46" s="481" t="s">
        <v>264</v>
      </c>
      <c r="D46" s="750">
        <v>19</v>
      </c>
      <c r="E46" s="751">
        <v>13</v>
      </c>
      <c r="F46" s="751">
        <v>1</v>
      </c>
      <c r="G46" s="317">
        <f t="shared" si="13"/>
        <v>33</v>
      </c>
      <c r="H46" s="750">
        <v>6</v>
      </c>
      <c r="I46" s="751">
        <v>4</v>
      </c>
      <c r="J46" s="751"/>
      <c r="K46" s="317">
        <f t="shared" si="14"/>
        <v>10</v>
      </c>
      <c r="L46" s="750"/>
      <c r="M46" s="751"/>
      <c r="N46" s="751"/>
      <c r="O46" s="317">
        <f t="shared" si="15"/>
        <v>0</v>
      </c>
      <c r="P46" s="752">
        <f t="shared" si="16"/>
        <v>43</v>
      </c>
      <c r="Q46" s="962">
        <f t="shared" si="5"/>
        <v>25</v>
      </c>
      <c r="R46" s="962">
        <f t="shared" si="6"/>
        <v>17</v>
      </c>
      <c r="S46" s="962">
        <f t="shared" si="7"/>
        <v>1</v>
      </c>
      <c r="T46" s="752">
        <f t="shared" si="17"/>
        <v>43</v>
      </c>
      <c r="W46" s="753">
        <f t="shared" si="9"/>
        <v>0.24</v>
      </c>
      <c r="X46" s="754">
        <f t="shared" si="10"/>
        <v>0.23529411764705882</v>
      </c>
      <c r="Y46" s="755">
        <f t="shared" si="11"/>
        <v>0</v>
      </c>
      <c r="Z46" s="756">
        <f t="shared" si="12"/>
        <v>0.23255813953488372</v>
      </c>
    </row>
    <row r="47" spans="1:26" x14ac:dyDescent="0.25">
      <c r="A47" s="521" t="s">
        <v>104</v>
      </c>
      <c r="B47" s="455" t="s">
        <v>602</v>
      </c>
      <c r="C47" s="481" t="s">
        <v>265</v>
      </c>
      <c r="D47" s="750">
        <v>38</v>
      </c>
      <c r="E47" s="751">
        <v>14</v>
      </c>
      <c r="F47" s="751">
        <v>1</v>
      </c>
      <c r="G47" s="317">
        <f t="shared" si="13"/>
        <v>53</v>
      </c>
      <c r="H47" s="750">
        <v>9</v>
      </c>
      <c r="I47" s="751">
        <v>5</v>
      </c>
      <c r="J47" s="751"/>
      <c r="K47" s="317">
        <f t="shared" si="14"/>
        <v>14</v>
      </c>
      <c r="L47" s="750"/>
      <c r="M47" s="751"/>
      <c r="N47" s="751"/>
      <c r="O47" s="317">
        <f t="shared" si="15"/>
        <v>0</v>
      </c>
      <c r="P47" s="752">
        <f t="shared" si="16"/>
        <v>67</v>
      </c>
      <c r="Q47" s="962">
        <f t="shared" si="5"/>
        <v>47</v>
      </c>
      <c r="R47" s="962">
        <f t="shared" si="6"/>
        <v>19</v>
      </c>
      <c r="S47" s="962">
        <f t="shared" si="7"/>
        <v>1</v>
      </c>
      <c r="T47" s="752">
        <f t="shared" si="17"/>
        <v>67</v>
      </c>
      <c r="W47" s="753">
        <f t="shared" si="9"/>
        <v>0.19148936170212766</v>
      </c>
      <c r="X47" s="754">
        <f t="shared" si="10"/>
        <v>0.26315789473684209</v>
      </c>
      <c r="Y47" s="755">
        <f t="shared" si="11"/>
        <v>0</v>
      </c>
      <c r="Z47" s="756">
        <f t="shared" si="12"/>
        <v>0.20895522388059701</v>
      </c>
    </row>
    <row r="48" spans="1:26" x14ac:dyDescent="0.25">
      <c r="A48" s="521" t="s">
        <v>108</v>
      </c>
      <c r="B48" s="455" t="s">
        <v>109</v>
      </c>
      <c r="C48" s="481" t="s">
        <v>266</v>
      </c>
      <c r="D48" s="750">
        <v>35</v>
      </c>
      <c r="E48" s="751">
        <v>18</v>
      </c>
      <c r="F48" s="751">
        <v>1</v>
      </c>
      <c r="G48" s="317">
        <f t="shared" si="13"/>
        <v>54</v>
      </c>
      <c r="H48" s="750">
        <v>9</v>
      </c>
      <c r="I48" s="751">
        <v>1</v>
      </c>
      <c r="J48" s="751">
        <v>2</v>
      </c>
      <c r="K48" s="317">
        <f t="shared" si="14"/>
        <v>12</v>
      </c>
      <c r="L48" s="750"/>
      <c r="M48" s="751"/>
      <c r="N48" s="751"/>
      <c r="O48" s="317">
        <f t="shared" si="15"/>
        <v>0</v>
      </c>
      <c r="P48" s="752">
        <f t="shared" si="16"/>
        <v>66</v>
      </c>
      <c r="Q48" s="962">
        <f t="shared" si="5"/>
        <v>44</v>
      </c>
      <c r="R48" s="962">
        <f t="shared" si="6"/>
        <v>19</v>
      </c>
      <c r="S48" s="962">
        <f t="shared" si="7"/>
        <v>3</v>
      </c>
      <c r="T48" s="752">
        <f t="shared" si="17"/>
        <v>66</v>
      </c>
      <c r="W48" s="753">
        <f t="shared" si="9"/>
        <v>0.20454545454545456</v>
      </c>
      <c r="X48" s="754">
        <f t="shared" si="10"/>
        <v>5.2631578947368418E-2</v>
      </c>
      <c r="Y48" s="755">
        <f t="shared" si="11"/>
        <v>0.66666666666666663</v>
      </c>
      <c r="Z48" s="756">
        <f t="shared" si="12"/>
        <v>0.18181818181818182</v>
      </c>
    </row>
    <row r="49" spans="1:26" x14ac:dyDescent="0.25">
      <c r="A49" s="521" t="s">
        <v>110</v>
      </c>
      <c r="B49" s="455" t="s">
        <v>111</v>
      </c>
      <c r="C49" s="481" t="s">
        <v>266</v>
      </c>
      <c r="D49" s="750">
        <v>138</v>
      </c>
      <c r="E49" s="751">
        <v>61</v>
      </c>
      <c r="F49" s="751">
        <v>9</v>
      </c>
      <c r="G49" s="317">
        <f t="shared" si="13"/>
        <v>208</v>
      </c>
      <c r="H49" s="750">
        <v>8</v>
      </c>
      <c r="I49" s="751">
        <v>8</v>
      </c>
      <c r="J49" s="751">
        <v>1</v>
      </c>
      <c r="K49" s="317">
        <f t="shared" si="14"/>
        <v>17</v>
      </c>
      <c r="L49" s="750">
        <v>1</v>
      </c>
      <c r="M49" s="751"/>
      <c r="N49" s="751"/>
      <c r="O49" s="317">
        <f t="shared" si="15"/>
        <v>1</v>
      </c>
      <c r="P49" s="752">
        <f t="shared" si="16"/>
        <v>226</v>
      </c>
      <c r="Q49" s="962">
        <f t="shared" si="5"/>
        <v>146</v>
      </c>
      <c r="R49" s="962">
        <f t="shared" si="6"/>
        <v>69</v>
      </c>
      <c r="S49" s="962">
        <f t="shared" si="7"/>
        <v>10</v>
      </c>
      <c r="T49" s="752">
        <f t="shared" si="17"/>
        <v>225</v>
      </c>
      <c r="W49" s="753">
        <f t="shared" si="9"/>
        <v>5.4794520547945202E-2</v>
      </c>
      <c r="X49" s="754">
        <f t="shared" si="10"/>
        <v>0.11594202898550725</v>
      </c>
      <c r="Y49" s="755">
        <f t="shared" si="11"/>
        <v>0.1</v>
      </c>
      <c r="Z49" s="756">
        <f t="shared" si="12"/>
        <v>7.5555555555555556E-2</v>
      </c>
    </row>
    <row r="50" spans="1:26" x14ac:dyDescent="0.25">
      <c r="A50" s="521" t="s">
        <v>112</v>
      </c>
      <c r="B50" s="455" t="s">
        <v>300</v>
      </c>
      <c r="C50" s="481" t="s">
        <v>265</v>
      </c>
      <c r="D50" s="750">
        <v>59</v>
      </c>
      <c r="E50" s="751">
        <v>24</v>
      </c>
      <c r="F50" s="751">
        <v>2</v>
      </c>
      <c r="G50" s="317">
        <f t="shared" si="13"/>
        <v>85</v>
      </c>
      <c r="H50" s="750">
        <v>11</v>
      </c>
      <c r="I50" s="751"/>
      <c r="J50" s="751">
        <v>2</v>
      </c>
      <c r="K50" s="317">
        <f t="shared" si="14"/>
        <v>13</v>
      </c>
      <c r="L50" s="750"/>
      <c r="M50" s="751"/>
      <c r="N50" s="751"/>
      <c r="O50" s="317">
        <f t="shared" si="15"/>
        <v>0</v>
      </c>
      <c r="P50" s="752">
        <f t="shared" si="16"/>
        <v>98</v>
      </c>
      <c r="Q50" s="962">
        <f t="shared" si="5"/>
        <v>70</v>
      </c>
      <c r="R50" s="962">
        <f t="shared" si="6"/>
        <v>24</v>
      </c>
      <c r="S50" s="962">
        <f t="shared" si="7"/>
        <v>4</v>
      </c>
      <c r="T50" s="752">
        <f t="shared" si="17"/>
        <v>98</v>
      </c>
      <c r="W50" s="753">
        <f t="shared" si="9"/>
        <v>0.15714285714285714</v>
      </c>
      <c r="X50" s="754">
        <f t="shared" si="10"/>
        <v>0</v>
      </c>
      <c r="Y50" s="755">
        <f t="shared" si="11"/>
        <v>0.5</v>
      </c>
      <c r="Z50" s="756">
        <f t="shared" si="12"/>
        <v>0.1326530612244898</v>
      </c>
    </row>
    <row r="51" spans="1:26" x14ac:dyDescent="0.25">
      <c r="A51" s="521" t="s">
        <v>114</v>
      </c>
      <c r="B51" s="455" t="s">
        <v>115</v>
      </c>
      <c r="C51" s="481" t="s">
        <v>265</v>
      </c>
      <c r="D51" s="750">
        <v>3</v>
      </c>
      <c r="E51" s="751">
        <v>2</v>
      </c>
      <c r="F51" s="751"/>
      <c r="G51" s="317">
        <f t="shared" si="13"/>
        <v>5</v>
      </c>
      <c r="H51" s="750">
        <v>2</v>
      </c>
      <c r="I51" s="751"/>
      <c r="J51" s="751"/>
      <c r="K51" s="317">
        <f t="shared" si="14"/>
        <v>2</v>
      </c>
      <c r="L51" s="750"/>
      <c r="M51" s="751"/>
      <c r="N51" s="751"/>
      <c r="O51" s="317">
        <f t="shared" si="15"/>
        <v>0</v>
      </c>
      <c r="P51" s="752">
        <f t="shared" si="16"/>
        <v>7</v>
      </c>
      <c r="Q51" s="962">
        <f t="shared" si="5"/>
        <v>5</v>
      </c>
      <c r="R51" s="962">
        <f t="shared" si="6"/>
        <v>2</v>
      </c>
      <c r="S51" s="962">
        <f t="shared" si="7"/>
        <v>0</v>
      </c>
      <c r="T51" s="752">
        <f t="shared" si="17"/>
        <v>7</v>
      </c>
      <c r="W51" s="753">
        <f t="shared" si="9"/>
        <v>0.4</v>
      </c>
      <c r="X51" s="754">
        <f t="shared" si="10"/>
        <v>0</v>
      </c>
      <c r="Y51" s="755" t="str">
        <f t="shared" si="11"/>
        <v>NA</v>
      </c>
      <c r="Z51" s="756">
        <f t="shared" si="12"/>
        <v>0.2857142857142857</v>
      </c>
    </row>
    <row r="52" spans="1:26" x14ac:dyDescent="0.25">
      <c r="A52" s="521" t="s">
        <v>118</v>
      </c>
      <c r="B52" s="455" t="s">
        <v>119</v>
      </c>
      <c r="C52" s="481" t="s">
        <v>264</v>
      </c>
      <c r="D52" s="750">
        <v>22</v>
      </c>
      <c r="E52" s="751">
        <v>14</v>
      </c>
      <c r="F52" s="751">
        <v>2</v>
      </c>
      <c r="G52" s="317">
        <f t="shared" si="13"/>
        <v>38</v>
      </c>
      <c r="H52" s="750">
        <v>6</v>
      </c>
      <c r="I52" s="751">
        <v>1</v>
      </c>
      <c r="J52" s="751">
        <v>2</v>
      </c>
      <c r="K52" s="317">
        <f t="shared" si="14"/>
        <v>9</v>
      </c>
      <c r="L52" s="750"/>
      <c r="M52" s="751"/>
      <c r="N52" s="751"/>
      <c r="O52" s="317">
        <f t="shared" si="15"/>
        <v>0</v>
      </c>
      <c r="P52" s="752">
        <f t="shared" si="16"/>
        <v>47</v>
      </c>
      <c r="Q52" s="962">
        <f t="shared" si="5"/>
        <v>28</v>
      </c>
      <c r="R52" s="962">
        <f t="shared" si="6"/>
        <v>15</v>
      </c>
      <c r="S52" s="962">
        <f t="shared" si="7"/>
        <v>4</v>
      </c>
      <c r="T52" s="752">
        <f t="shared" si="17"/>
        <v>47</v>
      </c>
      <c r="W52" s="753">
        <f t="shared" si="9"/>
        <v>0.21428571428571427</v>
      </c>
      <c r="X52" s="754">
        <f t="shared" si="10"/>
        <v>6.6666666666666666E-2</v>
      </c>
      <c r="Y52" s="755">
        <f t="shared" si="11"/>
        <v>0.5</v>
      </c>
      <c r="Z52" s="756">
        <f t="shared" si="12"/>
        <v>0.19148936170212766</v>
      </c>
    </row>
    <row r="53" spans="1:26" x14ac:dyDescent="0.25">
      <c r="A53" s="521" t="s">
        <v>120</v>
      </c>
      <c r="B53" s="455" t="s">
        <v>121</v>
      </c>
      <c r="C53" s="481" t="s">
        <v>264</v>
      </c>
      <c r="D53" s="750">
        <v>33</v>
      </c>
      <c r="E53" s="751">
        <v>20</v>
      </c>
      <c r="F53" s="751"/>
      <c r="G53" s="317">
        <f t="shared" si="13"/>
        <v>53</v>
      </c>
      <c r="H53" s="750">
        <v>5</v>
      </c>
      <c r="I53" s="751">
        <v>5</v>
      </c>
      <c r="J53" s="751"/>
      <c r="K53" s="317">
        <f t="shared" si="14"/>
        <v>10</v>
      </c>
      <c r="L53" s="750"/>
      <c r="M53" s="751"/>
      <c r="N53" s="751"/>
      <c r="O53" s="317">
        <f t="shared" si="15"/>
        <v>0</v>
      </c>
      <c r="P53" s="752">
        <f t="shared" si="16"/>
        <v>63</v>
      </c>
      <c r="Q53" s="962">
        <f t="shared" si="5"/>
        <v>38</v>
      </c>
      <c r="R53" s="962">
        <f t="shared" si="6"/>
        <v>25</v>
      </c>
      <c r="S53" s="962">
        <f t="shared" si="7"/>
        <v>0</v>
      </c>
      <c r="T53" s="752">
        <f t="shared" si="17"/>
        <v>63</v>
      </c>
      <c r="W53" s="753">
        <f t="shared" si="9"/>
        <v>0.13157894736842105</v>
      </c>
      <c r="X53" s="754">
        <f t="shared" si="10"/>
        <v>0.2</v>
      </c>
      <c r="Y53" s="755" t="str">
        <f t="shared" si="11"/>
        <v>NA</v>
      </c>
      <c r="Z53" s="756">
        <f t="shared" si="12"/>
        <v>0.15873015873015872</v>
      </c>
    </row>
    <row r="54" spans="1:26" x14ac:dyDescent="0.25">
      <c r="A54" s="521" t="s">
        <v>122</v>
      </c>
      <c r="B54" s="455" t="s">
        <v>271</v>
      </c>
      <c r="C54" s="481" t="s">
        <v>266</v>
      </c>
      <c r="D54" s="750">
        <v>8</v>
      </c>
      <c r="E54" s="751">
        <v>7</v>
      </c>
      <c r="F54" s="751"/>
      <c r="G54" s="317">
        <f t="shared" si="13"/>
        <v>15</v>
      </c>
      <c r="H54" s="750">
        <v>5</v>
      </c>
      <c r="I54" s="751">
        <v>2</v>
      </c>
      <c r="J54" s="751"/>
      <c r="K54" s="317">
        <f t="shared" si="14"/>
        <v>7</v>
      </c>
      <c r="L54" s="750"/>
      <c r="M54" s="751"/>
      <c r="N54" s="751"/>
      <c r="O54" s="317">
        <f t="shared" si="15"/>
        <v>0</v>
      </c>
      <c r="P54" s="752">
        <f t="shared" si="16"/>
        <v>22</v>
      </c>
      <c r="Q54" s="962">
        <f t="shared" si="5"/>
        <v>13</v>
      </c>
      <c r="R54" s="962">
        <f t="shared" si="6"/>
        <v>9</v>
      </c>
      <c r="S54" s="962">
        <f t="shared" si="7"/>
        <v>0</v>
      </c>
      <c r="T54" s="752">
        <f t="shared" si="17"/>
        <v>22</v>
      </c>
      <c r="W54" s="753">
        <f t="shared" si="9"/>
        <v>0.38461538461538464</v>
      </c>
      <c r="X54" s="754">
        <f t="shared" si="10"/>
        <v>0.22222222222222221</v>
      </c>
      <c r="Y54" s="755" t="str">
        <f t="shared" si="11"/>
        <v>NA</v>
      </c>
      <c r="Z54" s="756">
        <f t="shared" si="12"/>
        <v>0.31818181818181818</v>
      </c>
    </row>
    <row r="55" spans="1:26" x14ac:dyDescent="0.25">
      <c r="A55" s="521" t="s">
        <v>124</v>
      </c>
      <c r="B55" s="455" t="s">
        <v>125</v>
      </c>
      <c r="C55" s="481" t="s">
        <v>267</v>
      </c>
      <c r="D55" s="750">
        <v>14</v>
      </c>
      <c r="E55" s="751">
        <v>5</v>
      </c>
      <c r="F55" s="751"/>
      <c r="G55" s="317">
        <f t="shared" si="13"/>
        <v>19</v>
      </c>
      <c r="H55" s="750">
        <v>1</v>
      </c>
      <c r="I55" s="751">
        <v>1</v>
      </c>
      <c r="J55" s="751"/>
      <c r="K55" s="317">
        <f t="shared" si="14"/>
        <v>2</v>
      </c>
      <c r="L55" s="750"/>
      <c r="M55" s="751"/>
      <c r="N55" s="751"/>
      <c r="O55" s="317">
        <f t="shared" si="15"/>
        <v>0</v>
      </c>
      <c r="P55" s="752">
        <f t="shared" si="16"/>
        <v>21</v>
      </c>
      <c r="Q55" s="962">
        <f t="shared" si="5"/>
        <v>15</v>
      </c>
      <c r="R55" s="962">
        <f t="shared" si="6"/>
        <v>6</v>
      </c>
      <c r="S55" s="962">
        <f t="shared" si="7"/>
        <v>0</v>
      </c>
      <c r="T55" s="752">
        <f t="shared" si="17"/>
        <v>21</v>
      </c>
      <c r="W55" s="753">
        <f t="shared" si="9"/>
        <v>6.6666666666666666E-2</v>
      </c>
      <c r="X55" s="754">
        <f t="shared" si="10"/>
        <v>0.16666666666666666</v>
      </c>
      <c r="Y55" s="755" t="str">
        <f t="shared" si="11"/>
        <v>NA</v>
      </c>
      <c r="Z55" s="756">
        <f t="shared" si="12"/>
        <v>9.5238095238095233E-2</v>
      </c>
    </row>
    <row r="56" spans="1:26" x14ac:dyDescent="0.25">
      <c r="A56" s="521" t="s">
        <v>126</v>
      </c>
      <c r="B56" s="455" t="s">
        <v>127</v>
      </c>
      <c r="C56" s="481" t="s">
        <v>266</v>
      </c>
      <c r="D56" s="750">
        <v>8</v>
      </c>
      <c r="E56" s="751">
        <v>8</v>
      </c>
      <c r="F56" s="751"/>
      <c r="G56" s="317">
        <f t="shared" si="13"/>
        <v>16</v>
      </c>
      <c r="H56" s="750">
        <v>1</v>
      </c>
      <c r="I56" s="751">
        <v>1</v>
      </c>
      <c r="J56" s="751"/>
      <c r="K56" s="317">
        <f t="shared" si="14"/>
        <v>2</v>
      </c>
      <c r="L56" s="750"/>
      <c r="M56" s="751"/>
      <c r="N56" s="751"/>
      <c r="O56" s="317">
        <f t="shared" si="15"/>
        <v>0</v>
      </c>
      <c r="P56" s="752">
        <f t="shared" si="16"/>
        <v>18</v>
      </c>
      <c r="Q56" s="962">
        <f t="shared" si="5"/>
        <v>9</v>
      </c>
      <c r="R56" s="962">
        <f t="shared" si="6"/>
        <v>9</v>
      </c>
      <c r="S56" s="962">
        <f t="shared" si="7"/>
        <v>0</v>
      </c>
      <c r="T56" s="752">
        <f t="shared" si="17"/>
        <v>18</v>
      </c>
      <c r="W56" s="753">
        <f t="shared" si="9"/>
        <v>0.1111111111111111</v>
      </c>
      <c r="X56" s="754">
        <f t="shared" si="10"/>
        <v>0.1111111111111111</v>
      </c>
      <c r="Y56" s="755" t="str">
        <f t="shared" si="11"/>
        <v>NA</v>
      </c>
      <c r="Z56" s="756">
        <f t="shared" si="12"/>
        <v>0.1111111111111111</v>
      </c>
    </row>
    <row r="57" spans="1:26" x14ac:dyDescent="0.25">
      <c r="A57" s="521" t="s">
        <v>128</v>
      </c>
      <c r="B57" s="455" t="s">
        <v>129</v>
      </c>
      <c r="C57" s="481" t="s">
        <v>266</v>
      </c>
      <c r="D57" s="750">
        <v>11</v>
      </c>
      <c r="E57" s="751">
        <v>6</v>
      </c>
      <c r="F57" s="751"/>
      <c r="G57" s="317">
        <f t="shared" si="13"/>
        <v>17</v>
      </c>
      <c r="H57" s="750">
        <v>6</v>
      </c>
      <c r="I57" s="751">
        <v>2</v>
      </c>
      <c r="J57" s="751"/>
      <c r="K57" s="317">
        <f t="shared" si="14"/>
        <v>8</v>
      </c>
      <c r="L57" s="750"/>
      <c r="M57" s="751"/>
      <c r="N57" s="751"/>
      <c r="O57" s="317">
        <f t="shared" si="15"/>
        <v>0</v>
      </c>
      <c r="P57" s="752">
        <f t="shared" si="16"/>
        <v>25</v>
      </c>
      <c r="Q57" s="962">
        <f t="shared" si="5"/>
        <v>17</v>
      </c>
      <c r="R57" s="962">
        <f t="shared" si="6"/>
        <v>8</v>
      </c>
      <c r="S57" s="962">
        <f t="shared" si="7"/>
        <v>0</v>
      </c>
      <c r="T57" s="752">
        <f t="shared" si="17"/>
        <v>25</v>
      </c>
      <c r="W57" s="753">
        <f t="shared" si="9"/>
        <v>0.35294117647058826</v>
      </c>
      <c r="X57" s="754">
        <f t="shared" si="10"/>
        <v>0.25</v>
      </c>
      <c r="Y57" s="755" t="str">
        <f t="shared" si="11"/>
        <v>NA</v>
      </c>
      <c r="Z57" s="756">
        <f t="shared" si="12"/>
        <v>0.32</v>
      </c>
    </row>
    <row r="58" spans="1:26" x14ac:dyDescent="0.25">
      <c r="A58" s="521" t="s">
        <v>130</v>
      </c>
      <c r="B58" s="455" t="s">
        <v>131</v>
      </c>
      <c r="C58" s="481" t="s">
        <v>268</v>
      </c>
      <c r="D58" s="750">
        <v>36</v>
      </c>
      <c r="E58" s="751">
        <v>15</v>
      </c>
      <c r="F58" s="751"/>
      <c r="G58" s="317">
        <f t="shared" si="13"/>
        <v>51</v>
      </c>
      <c r="H58" s="750">
        <v>11</v>
      </c>
      <c r="I58" s="751">
        <v>2</v>
      </c>
      <c r="J58" s="751"/>
      <c r="K58" s="317">
        <f t="shared" si="14"/>
        <v>13</v>
      </c>
      <c r="L58" s="750"/>
      <c r="M58" s="751"/>
      <c r="N58" s="751"/>
      <c r="O58" s="317">
        <f t="shared" si="15"/>
        <v>0</v>
      </c>
      <c r="P58" s="752">
        <f t="shared" si="16"/>
        <v>64</v>
      </c>
      <c r="Q58" s="962">
        <f t="shared" si="5"/>
        <v>47</v>
      </c>
      <c r="R58" s="962">
        <f t="shared" si="6"/>
        <v>17</v>
      </c>
      <c r="S58" s="962">
        <f t="shared" si="7"/>
        <v>0</v>
      </c>
      <c r="T58" s="752">
        <f t="shared" si="17"/>
        <v>64</v>
      </c>
      <c r="W58" s="753">
        <f t="shared" si="9"/>
        <v>0.23404255319148937</v>
      </c>
      <c r="X58" s="754">
        <f t="shared" si="10"/>
        <v>0.11764705882352941</v>
      </c>
      <c r="Y58" s="755" t="str">
        <f t="shared" si="11"/>
        <v>NA</v>
      </c>
      <c r="Z58" s="756">
        <f t="shared" si="12"/>
        <v>0.203125</v>
      </c>
    </row>
    <row r="59" spans="1:26" x14ac:dyDescent="0.25">
      <c r="A59" s="521" t="s">
        <v>132</v>
      </c>
      <c r="B59" s="455" t="s">
        <v>133</v>
      </c>
      <c r="C59" s="481" t="s">
        <v>267</v>
      </c>
      <c r="D59" s="750">
        <v>84</v>
      </c>
      <c r="E59" s="751">
        <v>46</v>
      </c>
      <c r="F59" s="751"/>
      <c r="G59" s="317">
        <f t="shared" si="13"/>
        <v>130</v>
      </c>
      <c r="H59" s="750">
        <v>18</v>
      </c>
      <c r="I59" s="751">
        <v>4</v>
      </c>
      <c r="J59" s="751"/>
      <c r="K59" s="317">
        <f t="shared" si="14"/>
        <v>22</v>
      </c>
      <c r="L59" s="750"/>
      <c r="M59" s="751"/>
      <c r="N59" s="751"/>
      <c r="O59" s="317">
        <f t="shared" si="15"/>
        <v>0</v>
      </c>
      <c r="P59" s="752">
        <f t="shared" si="16"/>
        <v>152</v>
      </c>
      <c r="Q59" s="962">
        <f t="shared" si="5"/>
        <v>102</v>
      </c>
      <c r="R59" s="962">
        <f t="shared" si="6"/>
        <v>50</v>
      </c>
      <c r="S59" s="962">
        <f t="shared" si="7"/>
        <v>0</v>
      </c>
      <c r="T59" s="752">
        <f t="shared" si="17"/>
        <v>152</v>
      </c>
      <c r="W59" s="753">
        <f t="shared" si="9"/>
        <v>0.17647058823529413</v>
      </c>
      <c r="X59" s="754">
        <f t="shared" si="10"/>
        <v>0.08</v>
      </c>
      <c r="Y59" s="755" t="str">
        <f t="shared" si="11"/>
        <v>NA</v>
      </c>
      <c r="Z59" s="756">
        <f t="shared" si="12"/>
        <v>0.14473684210526316</v>
      </c>
    </row>
    <row r="60" spans="1:26" x14ac:dyDescent="0.25">
      <c r="A60" s="521" t="s">
        <v>134</v>
      </c>
      <c r="B60" s="455" t="s">
        <v>135</v>
      </c>
      <c r="C60" s="481" t="s">
        <v>267</v>
      </c>
      <c r="D60" s="750">
        <v>33</v>
      </c>
      <c r="E60" s="751">
        <v>10</v>
      </c>
      <c r="F60" s="751"/>
      <c r="G60" s="317">
        <f t="shared" si="13"/>
        <v>43</v>
      </c>
      <c r="H60" s="750">
        <v>1</v>
      </c>
      <c r="I60" s="751"/>
      <c r="J60" s="751">
        <v>1</v>
      </c>
      <c r="K60" s="317">
        <f t="shared" si="14"/>
        <v>2</v>
      </c>
      <c r="L60" s="750"/>
      <c r="M60" s="751"/>
      <c r="N60" s="751"/>
      <c r="O60" s="317">
        <f t="shared" si="15"/>
        <v>0</v>
      </c>
      <c r="P60" s="752">
        <f t="shared" si="16"/>
        <v>45</v>
      </c>
      <c r="Q60" s="962">
        <f t="shared" si="5"/>
        <v>34</v>
      </c>
      <c r="R60" s="962">
        <f t="shared" si="6"/>
        <v>10</v>
      </c>
      <c r="S60" s="962">
        <f t="shared" si="7"/>
        <v>1</v>
      </c>
      <c r="T60" s="752">
        <f t="shared" si="17"/>
        <v>45</v>
      </c>
      <c r="W60" s="753">
        <f t="shared" si="9"/>
        <v>2.9411764705882353E-2</v>
      </c>
      <c r="X60" s="754">
        <f t="shared" si="10"/>
        <v>0</v>
      </c>
      <c r="Y60" s="755">
        <f t="shared" si="11"/>
        <v>1</v>
      </c>
      <c r="Z60" s="756">
        <f t="shared" si="12"/>
        <v>4.4444444444444446E-2</v>
      </c>
    </row>
    <row r="61" spans="1:26" x14ac:dyDescent="0.25">
      <c r="A61" s="521" t="s">
        <v>136</v>
      </c>
      <c r="B61" s="455" t="s">
        <v>137</v>
      </c>
      <c r="C61" s="481" t="s">
        <v>266</v>
      </c>
      <c r="D61" s="750">
        <v>8</v>
      </c>
      <c r="E61" s="751">
        <v>6</v>
      </c>
      <c r="F61" s="751"/>
      <c r="G61" s="317">
        <f t="shared" si="13"/>
        <v>14</v>
      </c>
      <c r="H61" s="750">
        <v>2</v>
      </c>
      <c r="I61" s="751">
        <v>1</v>
      </c>
      <c r="J61" s="751"/>
      <c r="K61" s="317">
        <f t="shared" si="14"/>
        <v>3</v>
      </c>
      <c r="L61" s="750"/>
      <c r="M61" s="751"/>
      <c r="N61" s="751"/>
      <c r="O61" s="317">
        <f t="shared" si="15"/>
        <v>0</v>
      </c>
      <c r="P61" s="752">
        <f t="shared" si="16"/>
        <v>17</v>
      </c>
      <c r="Q61" s="962">
        <f t="shared" si="5"/>
        <v>10</v>
      </c>
      <c r="R61" s="962">
        <f t="shared" si="6"/>
        <v>7</v>
      </c>
      <c r="S61" s="962">
        <f t="shared" si="7"/>
        <v>0</v>
      </c>
      <c r="T61" s="752">
        <f t="shared" si="17"/>
        <v>17</v>
      </c>
      <c r="W61" s="753">
        <f t="shared" si="9"/>
        <v>0.2</v>
      </c>
      <c r="X61" s="754">
        <f t="shared" si="10"/>
        <v>0.14285714285714285</v>
      </c>
      <c r="Y61" s="755" t="str">
        <f t="shared" si="11"/>
        <v>NA</v>
      </c>
      <c r="Z61" s="756">
        <f t="shared" si="12"/>
        <v>0.17647058823529413</v>
      </c>
    </row>
    <row r="62" spans="1:26" x14ac:dyDescent="0.25">
      <c r="A62" s="521" t="s">
        <v>140</v>
      </c>
      <c r="B62" s="455" t="s">
        <v>141</v>
      </c>
      <c r="C62" s="481" t="s">
        <v>267</v>
      </c>
      <c r="D62" s="750">
        <v>13</v>
      </c>
      <c r="E62" s="751">
        <v>5</v>
      </c>
      <c r="F62" s="751">
        <v>1</v>
      </c>
      <c r="G62" s="317">
        <f t="shared" si="13"/>
        <v>19</v>
      </c>
      <c r="H62" s="750">
        <v>3</v>
      </c>
      <c r="I62" s="751">
        <v>2</v>
      </c>
      <c r="J62" s="751"/>
      <c r="K62" s="317">
        <f t="shared" si="14"/>
        <v>5</v>
      </c>
      <c r="L62" s="750"/>
      <c r="M62" s="751"/>
      <c r="N62" s="751"/>
      <c r="O62" s="317">
        <f t="shared" si="15"/>
        <v>0</v>
      </c>
      <c r="P62" s="752">
        <f t="shared" si="16"/>
        <v>24</v>
      </c>
      <c r="Q62" s="962">
        <f t="shared" si="5"/>
        <v>16</v>
      </c>
      <c r="R62" s="962">
        <f t="shared" si="6"/>
        <v>7</v>
      </c>
      <c r="S62" s="962">
        <f t="shared" si="7"/>
        <v>1</v>
      </c>
      <c r="T62" s="752">
        <f t="shared" si="17"/>
        <v>24</v>
      </c>
      <c r="W62" s="753">
        <f t="shared" si="9"/>
        <v>0.1875</v>
      </c>
      <c r="X62" s="754">
        <f t="shared" si="10"/>
        <v>0.2857142857142857</v>
      </c>
      <c r="Y62" s="755">
        <f t="shared" si="11"/>
        <v>0</v>
      </c>
      <c r="Z62" s="756">
        <f t="shared" si="12"/>
        <v>0.20833333333333334</v>
      </c>
    </row>
    <row r="63" spans="1:26" x14ac:dyDescent="0.25">
      <c r="A63" s="521" t="s">
        <v>146</v>
      </c>
      <c r="B63" s="455" t="s">
        <v>147</v>
      </c>
      <c r="C63" s="481" t="s">
        <v>264</v>
      </c>
      <c r="D63" s="750">
        <v>9</v>
      </c>
      <c r="E63" s="751">
        <v>4</v>
      </c>
      <c r="F63" s="751"/>
      <c r="G63" s="317">
        <f t="shared" si="13"/>
        <v>13</v>
      </c>
      <c r="H63" s="750">
        <v>2</v>
      </c>
      <c r="I63" s="751"/>
      <c r="J63" s="751"/>
      <c r="K63" s="317">
        <f t="shared" si="14"/>
        <v>2</v>
      </c>
      <c r="L63" s="750"/>
      <c r="M63" s="751"/>
      <c r="N63" s="751"/>
      <c r="O63" s="317">
        <f t="shared" si="15"/>
        <v>0</v>
      </c>
      <c r="P63" s="752">
        <f t="shared" si="16"/>
        <v>15</v>
      </c>
      <c r="Q63" s="962">
        <f t="shared" si="5"/>
        <v>11</v>
      </c>
      <c r="R63" s="962">
        <f t="shared" si="6"/>
        <v>4</v>
      </c>
      <c r="S63" s="962">
        <f t="shared" si="7"/>
        <v>0</v>
      </c>
      <c r="T63" s="752">
        <f t="shared" si="17"/>
        <v>15</v>
      </c>
      <c r="W63" s="753">
        <f t="shared" si="9"/>
        <v>0.18181818181818182</v>
      </c>
      <c r="X63" s="754">
        <f t="shared" si="10"/>
        <v>0</v>
      </c>
      <c r="Y63" s="755" t="str">
        <f t="shared" si="11"/>
        <v>NA</v>
      </c>
      <c r="Z63" s="756">
        <f t="shared" si="12"/>
        <v>0.13333333333333333</v>
      </c>
    </row>
    <row r="64" spans="1:26" x14ac:dyDescent="0.25">
      <c r="A64" s="521" t="s">
        <v>148</v>
      </c>
      <c r="B64" s="455" t="s">
        <v>149</v>
      </c>
      <c r="C64" s="481" t="s">
        <v>265</v>
      </c>
      <c r="D64" s="750">
        <v>25</v>
      </c>
      <c r="E64" s="751">
        <v>13</v>
      </c>
      <c r="F64" s="751"/>
      <c r="G64" s="317">
        <f t="shared" si="13"/>
        <v>38</v>
      </c>
      <c r="H64" s="750">
        <v>4</v>
      </c>
      <c r="I64" s="751">
        <v>2</v>
      </c>
      <c r="J64" s="751"/>
      <c r="K64" s="317">
        <f t="shared" si="14"/>
        <v>6</v>
      </c>
      <c r="L64" s="750"/>
      <c r="M64" s="751"/>
      <c r="N64" s="751"/>
      <c r="O64" s="317">
        <f t="shared" si="15"/>
        <v>0</v>
      </c>
      <c r="P64" s="752">
        <f t="shared" si="16"/>
        <v>44</v>
      </c>
      <c r="Q64" s="962">
        <f t="shared" si="5"/>
        <v>29</v>
      </c>
      <c r="R64" s="962">
        <f t="shared" si="6"/>
        <v>15</v>
      </c>
      <c r="S64" s="962">
        <f t="shared" si="7"/>
        <v>0</v>
      </c>
      <c r="T64" s="752">
        <f t="shared" si="17"/>
        <v>44</v>
      </c>
      <c r="W64" s="753">
        <f t="shared" si="9"/>
        <v>0.13793103448275862</v>
      </c>
      <c r="X64" s="754">
        <f t="shared" si="10"/>
        <v>0.13333333333333333</v>
      </c>
      <c r="Y64" s="755" t="str">
        <f t="shared" si="11"/>
        <v>NA</v>
      </c>
      <c r="Z64" s="756">
        <f t="shared" si="12"/>
        <v>0.13636363636363635</v>
      </c>
    </row>
    <row r="65" spans="1:26" x14ac:dyDescent="0.25">
      <c r="A65" s="521" t="s">
        <v>150</v>
      </c>
      <c r="B65" s="455" t="s">
        <v>151</v>
      </c>
      <c r="C65" s="481" t="s">
        <v>266</v>
      </c>
      <c r="D65" s="750">
        <v>11</v>
      </c>
      <c r="E65" s="751">
        <v>5</v>
      </c>
      <c r="F65" s="751"/>
      <c r="G65" s="317">
        <f t="shared" si="13"/>
        <v>16</v>
      </c>
      <c r="H65" s="750"/>
      <c r="I65" s="751">
        <v>1</v>
      </c>
      <c r="J65" s="751"/>
      <c r="K65" s="317">
        <f t="shared" si="14"/>
        <v>1</v>
      </c>
      <c r="L65" s="750"/>
      <c r="M65" s="751"/>
      <c r="N65" s="751"/>
      <c r="O65" s="317">
        <f t="shared" si="15"/>
        <v>0</v>
      </c>
      <c r="P65" s="752">
        <f t="shared" si="16"/>
        <v>17</v>
      </c>
      <c r="Q65" s="962">
        <f t="shared" si="5"/>
        <v>11</v>
      </c>
      <c r="R65" s="962">
        <f t="shared" si="6"/>
        <v>6</v>
      </c>
      <c r="S65" s="962">
        <f t="shared" si="7"/>
        <v>0</v>
      </c>
      <c r="T65" s="752">
        <f t="shared" si="17"/>
        <v>17</v>
      </c>
      <c r="W65" s="753">
        <f t="shared" si="9"/>
        <v>0</v>
      </c>
      <c r="X65" s="754">
        <f t="shared" si="10"/>
        <v>0.16666666666666666</v>
      </c>
      <c r="Y65" s="755" t="str">
        <f t="shared" si="11"/>
        <v>NA</v>
      </c>
      <c r="Z65" s="756">
        <f t="shared" si="12"/>
        <v>5.8823529411764705E-2</v>
      </c>
    </row>
    <row r="66" spans="1:26" x14ac:dyDescent="0.25">
      <c r="A66" s="521" t="s">
        <v>152</v>
      </c>
      <c r="B66" s="455" t="s">
        <v>153</v>
      </c>
      <c r="C66" s="481" t="s">
        <v>268</v>
      </c>
      <c r="D66" s="750">
        <v>45</v>
      </c>
      <c r="E66" s="751">
        <v>17</v>
      </c>
      <c r="F66" s="751"/>
      <c r="G66" s="317">
        <f t="shared" si="13"/>
        <v>62</v>
      </c>
      <c r="H66" s="750">
        <v>6</v>
      </c>
      <c r="I66" s="751">
        <v>7</v>
      </c>
      <c r="J66" s="751"/>
      <c r="K66" s="317">
        <f t="shared" si="14"/>
        <v>13</v>
      </c>
      <c r="L66" s="750"/>
      <c r="M66" s="751"/>
      <c r="N66" s="751"/>
      <c r="O66" s="317">
        <f t="shared" si="15"/>
        <v>0</v>
      </c>
      <c r="P66" s="752">
        <f t="shared" si="16"/>
        <v>75</v>
      </c>
      <c r="Q66" s="962">
        <f t="shared" si="5"/>
        <v>51</v>
      </c>
      <c r="R66" s="962">
        <f t="shared" si="6"/>
        <v>24</v>
      </c>
      <c r="S66" s="962">
        <f t="shared" si="7"/>
        <v>0</v>
      </c>
      <c r="T66" s="752">
        <f t="shared" si="17"/>
        <v>75</v>
      </c>
      <c r="W66" s="753">
        <f t="shared" si="9"/>
        <v>0.11764705882352941</v>
      </c>
      <c r="X66" s="754">
        <f t="shared" si="10"/>
        <v>0.29166666666666669</v>
      </c>
      <c r="Y66" s="755" t="str">
        <f t="shared" si="11"/>
        <v>NA</v>
      </c>
      <c r="Z66" s="756">
        <f t="shared" si="12"/>
        <v>0.17333333333333334</v>
      </c>
    </row>
    <row r="67" spans="1:26" x14ac:dyDescent="0.25">
      <c r="A67" s="521" t="s">
        <v>154</v>
      </c>
      <c r="B67" s="455" t="s">
        <v>155</v>
      </c>
      <c r="C67" s="481" t="s">
        <v>265</v>
      </c>
      <c r="D67" s="750">
        <v>11</v>
      </c>
      <c r="E67" s="751">
        <v>5</v>
      </c>
      <c r="F67" s="751"/>
      <c r="G67" s="317">
        <f t="shared" si="13"/>
        <v>16</v>
      </c>
      <c r="H67" s="750">
        <v>1</v>
      </c>
      <c r="I67" s="751">
        <v>2</v>
      </c>
      <c r="J67" s="751"/>
      <c r="K67" s="317">
        <f t="shared" si="14"/>
        <v>3</v>
      </c>
      <c r="L67" s="750"/>
      <c r="M67" s="751"/>
      <c r="N67" s="751"/>
      <c r="O67" s="317">
        <f t="shared" si="15"/>
        <v>0</v>
      </c>
      <c r="P67" s="752">
        <f t="shared" si="16"/>
        <v>19</v>
      </c>
      <c r="Q67" s="962">
        <f t="shared" si="5"/>
        <v>12</v>
      </c>
      <c r="R67" s="962">
        <f t="shared" si="6"/>
        <v>7</v>
      </c>
      <c r="S67" s="962">
        <f t="shared" si="7"/>
        <v>0</v>
      </c>
      <c r="T67" s="752">
        <f t="shared" si="17"/>
        <v>19</v>
      </c>
      <c r="W67" s="753">
        <f t="shared" si="9"/>
        <v>8.3333333333333329E-2</v>
      </c>
      <c r="X67" s="754">
        <f t="shared" si="10"/>
        <v>0.2857142857142857</v>
      </c>
      <c r="Y67" s="755" t="str">
        <f t="shared" si="11"/>
        <v>NA</v>
      </c>
      <c r="Z67" s="756">
        <f t="shared" si="12"/>
        <v>0.15789473684210525</v>
      </c>
    </row>
    <row r="68" spans="1:26" x14ac:dyDescent="0.25">
      <c r="A68" s="521" t="s">
        <v>156</v>
      </c>
      <c r="B68" s="455" t="s">
        <v>157</v>
      </c>
      <c r="C68" s="481" t="s">
        <v>266</v>
      </c>
      <c r="D68" s="750">
        <v>10</v>
      </c>
      <c r="E68" s="751">
        <v>6</v>
      </c>
      <c r="F68" s="751"/>
      <c r="G68" s="317">
        <f t="shared" si="13"/>
        <v>16</v>
      </c>
      <c r="H68" s="750">
        <v>1</v>
      </c>
      <c r="I68" s="751">
        <v>1</v>
      </c>
      <c r="J68" s="751">
        <v>2</v>
      </c>
      <c r="K68" s="317">
        <f t="shared" si="14"/>
        <v>4</v>
      </c>
      <c r="L68" s="750"/>
      <c r="M68" s="751"/>
      <c r="N68" s="751"/>
      <c r="O68" s="317">
        <f t="shared" si="15"/>
        <v>0</v>
      </c>
      <c r="P68" s="752">
        <f t="shared" si="16"/>
        <v>20</v>
      </c>
      <c r="Q68" s="962">
        <f t="shared" si="5"/>
        <v>11</v>
      </c>
      <c r="R68" s="962">
        <f t="shared" si="6"/>
        <v>7</v>
      </c>
      <c r="S68" s="962">
        <f t="shared" si="7"/>
        <v>2</v>
      </c>
      <c r="T68" s="752">
        <f t="shared" si="17"/>
        <v>20</v>
      </c>
      <c r="W68" s="753">
        <f t="shared" si="9"/>
        <v>9.0909090909090912E-2</v>
      </c>
      <c r="X68" s="754">
        <f t="shared" si="10"/>
        <v>0.14285714285714285</v>
      </c>
      <c r="Y68" s="755">
        <f t="shared" si="11"/>
        <v>1</v>
      </c>
      <c r="Z68" s="756">
        <f t="shared" si="12"/>
        <v>0.2</v>
      </c>
    </row>
    <row r="69" spans="1:26" x14ac:dyDescent="0.25">
      <c r="A69" s="521" t="s">
        <v>162</v>
      </c>
      <c r="B69" s="455" t="s">
        <v>163</v>
      </c>
      <c r="C69" s="481" t="s">
        <v>264</v>
      </c>
      <c r="D69" s="750">
        <v>22</v>
      </c>
      <c r="E69" s="751">
        <v>10</v>
      </c>
      <c r="F69" s="751"/>
      <c r="G69" s="317">
        <f t="shared" si="13"/>
        <v>32</v>
      </c>
      <c r="H69" s="750">
        <v>7</v>
      </c>
      <c r="I69" s="751">
        <v>3</v>
      </c>
      <c r="J69" s="751">
        <v>1</v>
      </c>
      <c r="K69" s="317">
        <f t="shared" si="14"/>
        <v>11</v>
      </c>
      <c r="L69" s="750"/>
      <c r="M69" s="751"/>
      <c r="N69" s="751"/>
      <c r="O69" s="317">
        <f t="shared" si="15"/>
        <v>0</v>
      </c>
      <c r="P69" s="752">
        <f t="shared" si="16"/>
        <v>43</v>
      </c>
      <c r="Q69" s="962">
        <f t="shared" si="5"/>
        <v>29</v>
      </c>
      <c r="R69" s="962">
        <f t="shared" si="6"/>
        <v>13</v>
      </c>
      <c r="S69" s="962">
        <f t="shared" si="7"/>
        <v>1</v>
      </c>
      <c r="T69" s="752">
        <f t="shared" si="17"/>
        <v>43</v>
      </c>
      <c r="W69" s="753">
        <f t="shared" si="9"/>
        <v>0.2413793103448276</v>
      </c>
      <c r="X69" s="754">
        <f t="shared" si="10"/>
        <v>0.23076923076923078</v>
      </c>
      <c r="Y69" s="755">
        <f t="shared" si="11"/>
        <v>1</v>
      </c>
      <c r="Z69" s="756">
        <f t="shared" si="12"/>
        <v>0.2558139534883721</v>
      </c>
    </row>
    <row r="70" spans="1:26" x14ac:dyDescent="0.25">
      <c r="A70" s="521" t="s">
        <v>164</v>
      </c>
      <c r="B70" s="455" t="s">
        <v>165</v>
      </c>
      <c r="C70" s="481" t="s">
        <v>266</v>
      </c>
      <c r="D70" s="750">
        <v>11</v>
      </c>
      <c r="E70" s="751">
        <v>7</v>
      </c>
      <c r="F70" s="751"/>
      <c r="G70" s="317">
        <f t="shared" ref="G70:G101" si="18">SUM(D70:F70)</f>
        <v>18</v>
      </c>
      <c r="H70" s="750">
        <v>2</v>
      </c>
      <c r="I70" s="751"/>
      <c r="J70" s="751"/>
      <c r="K70" s="317">
        <f t="shared" ref="K70:K101" si="19">SUM(H70:J70)</f>
        <v>2</v>
      </c>
      <c r="L70" s="750"/>
      <c r="M70" s="751"/>
      <c r="N70" s="751"/>
      <c r="O70" s="317">
        <f t="shared" ref="O70:O101" si="20">SUM(L70:N70)</f>
        <v>0</v>
      </c>
      <c r="P70" s="752">
        <f t="shared" ref="P70:P101" si="21">G70+K70+O70</f>
        <v>20</v>
      </c>
      <c r="Q70" s="962">
        <f t="shared" si="5"/>
        <v>13</v>
      </c>
      <c r="R70" s="962">
        <f t="shared" si="6"/>
        <v>7</v>
      </c>
      <c r="S70" s="962">
        <f t="shared" si="7"/>
        <v>0</v>
      </c>
      <c r="T70" s="752">
        <f t="shared" si="17"/>
        <v>20</v>
      </c>
      <c r="W70" s="753">
        <f t="shared" si="9"/>
        <v>0.15384615384615385</v>
      </c>
      <c r="X70" s="754">
        <f t="shared" si="10"/>
        <v>0</v>
      </c>
      <c r="Y70" s="755" t="str">
        <f t="shared" si="11"/>
        <v>NA</v>
      </c>
      <c r="Z70" s="756">
        <f t="shared" si="12"/>
        <v>0.1</v>
      </c>
    </row>
    <row r="71" spans="1:26" x14ac:dyDescent="0.25">
      <c r="A71" s="521" t="s">
        <v>168</v>
      </c>
      <c r="B71" s="455" t="s">
        <v>169</v>
      </c>
      <c r="C71" s="481" t="s">
        <v>266</v>
      </c>
      <c r="D71" s="750">
        <v>16</v>
      </c>
      <c r="E71" s="751">
        <v>7</v>
      </c>
      <c r="F71" s="751">
        <v>1</v>
      </c>
      <c r="G71" s="317">
        <f t="shared" si="18"/>
        <v>24</v>
      </c>
      <c r="H71" s="750">
        <v>1</v>
      </c>
      <c r="I71" s="751">
        <v>1</v>
      </c>
      <c r="J71" s="751"/>
      <c r="K71" s="317">
        <f t="shared" si="19"/>
        <v>2</v>
      </c>
      <c r="L71" s="750"/>
      <c r="M71" s="751"/>
      <c r="N71" s="751"/>
      <c r="O71" s="317">
        <f t="shared" si="20"/>
        <v>0</v>
      </c>
      <c r="P71" s="752">
        <f t="shared" si="21"/>
        <v>26</v>
      </c>
      <c r="Q71" s="962">
        <f t="shared" ref="Q71:Q126" si="22">D71+H71</f>
        <v>17</v>
      </c>
      <c r="R71" s="962">
        <f t="shared" ref="R71:R126" si="23">E71+I71</f>
        <v>8</v>
      </c>
      <c r="S71" s="962">
        <f t="shared" ref="S71:S126" si="24">F71+J71</f>
        <v>1</v>
      </c>
      <c r="T71" s="752">
        <f t="shared" ref="T71:T102" si="25">G71+K71</f>
        <v>26</v>
      </c>
      <c r="W71" s="753">
        <f t="shared" ref="W71:W126" si="26">IF((D71+H71)=0,"NA",(H71/(D71+H71)))</f>
        <v>5.8823529411764705E-2</v>
      </c>
      <c r="X71" s="754">
        <f t="shared" ref="X71:X126" si="27">IF((E71+I71)=0,"NA",(I71/(E71+I71)))</f>
        <v>0.125</v>
      </c>
      <c r="Y71" s="755">
        <f t="shared" ref="Y71:Y126" si="28">IF((F71+J71)=0,"NA",(J71/(F71+J71)))</f>
        <v>0</v>
      </c>
      <c r="Z71" s="756">
        <f t="shared" ref="Z71:Z126" si="29">IF((G71+K71)=0,"NA",(K71/(G71+K71)))</f>
        <v>7.6923076923076927E-2</v>
      </c>
    </row>
    <row r="72" spans="1:26" x14ac:dyDescent="0.25">
      <c r="A72" s="521" t="s">
        <v>170</v>
      </c>
      <c r="B72" s="455" t="s">
        <v>171</v>
      </c>
      <c r="C72" s="481" t="s">
        <v>267</v>
      </c>
      <c r="D72" s="750">
        <v>23</v>
      </c>
      <c r="E72" s="751">
        <v>10</v>
      </c>
      <c r="F72" s="751"/>
      <c r="G72" s="317">
        <f t="shared" si="18"/>
        <v>33</v>
      </c>
      <c r="H72" s="750">
        <v>13</v>
      </c>
      <c r="I72" s="751">
        <v>3</v>
      </c>
      <c r="J72" s="751"/>
      <c r="K72" s="317">
        <f t="shared" si="19"/>
        <v>16</v>
      </c>
      <c r="L72" s="750"/>
      <c r="M72" s="751"/>
      <c r="N72" s="751"/>
      <c r="O72" s="317">
        <f t="shared" si="20"/>
        <v>0</v>
      </c>
      <c r="P72" s="752">
        <f t="shared" si="21"/>
        <v>49</v>
      </c>
      <c r="Q72" s="962">
        <f t="shared" si="22"/>
        <v>36</v>
      </c>
      <c r="R72" s="962">
        <f t="shared" si="23"/>
        <v>13</v>
      </c>
      <c r="S72" s="962">
        <f t="shared" si="24"/>
        <v>0</v>
      </c>
      <c r="T72" s="752">
        <f t="shared" si="25"/>
        <v>49</v>
      </c>
      <c r="W72" s="753">
        <f t="shared" si="26"/>
        <v>0.3611111111111111</v>
      </c>
      <c r="X72" s="754">
        <f t="shared" si="27"/>
        <v>0.23076923076923078</v>
      </c>
      <c r="Y72" s="755" t="str">
        <f t="shared" si="28"/>
        <v>NA</v>
      </c>
      <c r="Z72" s="756">
        <f t="shared" si="29"/>
        <v>0.32653061224489793</v>
      </c>
    </row>
    <row r="73" spans="1:26" x14ac:dyDescent="0.25">
      <c r="A73" s="521" t="s">
        <v>172</v>
      </c>
      <c r="B73" s="455" t="s">
        <v>173</v>
      </c>
      <c r="C73" s="481" t="s">
        <v>267</v>
      </c>
      <c r="D73" s="750">
        <v>21</v>
      </c>
      <c r="E73" s="751">
        <v>6</v>
      </c>
      <c r="F73" s="751"/>
      <c r="G73" s="317">
        <f t="shared" si="18"/>
        <v>27</v>
      </c>
      <c r="H73" s="750">
        <v>1</v>
      </c>
      <c r="I73" s="751">
        <v>2</v>
      </c>
      <c r="J73" s="751"/>
      <c r="K73" s="317">
        <f t="shared" si="19"/>
        <v>3</v>
      </c>
      <c r="L73" s="750"/>
      <c r="M73" s="751"/>
      <c r="N73" s="751"/>
      <c r="O73" s="317">
        <f t="shared" si="20"/>
        <v>0</v>
      </c>
      <c r="P73" s="752">
        <f t="shared" si="21"/>
        <v>30</v>
      </c>
      <c r="Q73" s="962">
        <f t="shared" si="22"/>
        <v>22</v>
      </c>
      <c r="R73" s="962">
        <f t="shared" si="23"/>
        <v>8</v>
      </c>
      <c r="S73" s="962">
        <f t="shared" si="24"/>
        <v>0</v>
      </c>
      <c r="T73" s="752">
        <f t="shared" si="25"/>
        <v>30</v>
      </c>
      <c r="W73" s="753">
        <f t="shared" si="26"/>
        <v>4.5454545454545456E-2</v>
      </c>
      <c r="X73" s="754">
        <f t="shared" si="27"/>
        <v>0.25</v>
      </c>
      <c r="Y73" s="755" t="str">
        <f t="shared" si="28"/>
        <v>NA</v>
      </c>
      <c r="Z73" s="756">
        <f t="shared" si="29"/>
        <v>0.1</v>
      </c>
    </row>
    <row r="74" spans="1:26" x14ac:dyDescent="0.25">
      <c r="A74" s="521" t="s">
        <v>174</v>
      </c>
      <c r="B74" s="455" t="s">
        <v>175</v>
      </c>
      <c r="C74" s="481" t="s">
        <v>268</v>
      </c>
      <c r="D74" s="750">
        <v>17</v>
      </c>
      <c r="E74" s="751">
        <v>9</v>
      </c>
      <c r="F74" s="751"/>
      <c r="G74" s="317">
        <f t="shared" si="18"/>
        <v>26</v>
      </c>
      <c r="H74" s="750">
        <v>4</v>
      </c>
      <c r="I74" s="751">
        <v>1</v>
      </c>
      <c r="J74" s="751">
        <v>1</v>
      </c>
      <c r="K74" s="317">
        <f t="shared" si="19"/>
        <v>6</v>
      </c>
      <c r="L74" s="750"/>
      <c r="M74" s="751"/>
      <c r="N74" s="751"/>
      <c r="O74" s="317">
        <f t="shared" si="20"/>
        <v>0</v>
      </c>
      <c r="P74" s="752">
        <f t="shared" si="21"/>
        <v>32</v>
      </c>
      <c r="Q74" s="962">
        <f t="shared" si="22"/>
        <v>21</v>
      </c>
      <c r="R74" s="962">
        <f t="shared" si="23"/>
        <v>10</v>
      </c>
      <c r="S74" s="962">
        <f t="shared" si="24"/>
        <v>1</v>
      </c>
      <c r="T74" s="752">
        <f t="shared" si="25"/>
        <v>32</v>
      </c>
      <c r="W74" s="753">
        <f t="shared" si="26"/>
        <v>0.19047619047619047</v>
      </c>
      <c r="X74" s="754">
        <f t="shared" si="27"/>
        <v>0.1</v>
      </c>
      <c r="Y74" s="755">
        <f t="shared" si="28"/>
        <v>1</v>
      </c>
      <c r="Z74" s="756">
        <f t="shared" si="29"/>
        <v>0.1875</v>
      </c>
    </row>
    <row r="75" spans="1:26" x14ac:dyDescent="0.25">
      <c r="A75" s="521" t="s">
        <v>178</v>
      </c>
      <c r="B75" s="455" t="s">
        <v>179</v>
      </c>
      <c r="C75" s="481" t="s">
        <v>265</v>
      </c>
      <c r="D75" s="750">
        <v>48</v>
      </c>
      <c r="E75" s="751">
        <v>19</v>
      </c>
      <c r="F75" s="751">
        <v>1</v>
      </c>
      <c r="G75" s="317">
        <f t="shared" si="18"/>
        <v>68</v>
      </c>
      <c r="H75" s="750">
        <v>7</v>
      </c>
      <c r="I75" s="751">
        <v>1</v>
      </c>
      <c r="J75" s="751">
        <v>2</v>
      </c>
      <c r="K75" s="317">
        <f t="shared" si="19"/>
        <v>10</v>
      </c>
      <c r="L75" s="750"/>
      <c r="M75" s="751"/>
      <c r="N75" s="751"/>
      <c r="O75" s="317">
        <f t="shared" si="20"/>
        <v>0</v>
      </c>
      <c r="P75" s="752">
        <f t="shared" si="21"/>
        <v>78</v>
      </c>
      <c r="Q75" s="962">
        <f t="shared" si="22"/>
        <v>55</v>
      </c>
      <c r="R75" s="962">
        <f t="shared" si="23"/>
        <v>20</v>
      </c>
      <c r="S75" s="962">
        <f t="shared" si="24"/>
        <v>3</v>
      </c>
      <c r="T75" s="752">
        <f t="shared" si="25"/>
        <v>78</v>
      </c>
      <c r="W75" s="753">
        <f t="shared" si="26"/>
        <v>0.12727272727272726</v>
      </c>
      <c r="X75" s="754">
        <f t="shared" si="27"/>
        <v>0.05</v>
      </c>
      <c r="Y75" s="755">
        <f t="shared" si="28"/>
        <v>0.66666666666666663</v>
      </c>
      <c r="Z75" s="756">
        <f t="shared" si="29"/>
        <v>0.12820512820512819</v>
      </c>
    </row>
    <row r="76" spans="1:26" x14ac:dyDescent="0.25">
      <c r="A76" s="521" t="s">
        <v>182</v>
      </c>
      <c r="B76" s="455" t="s">
        <v>183</v>
      </c>
      <c r="C76" s="481" t="s">
        <v>266</v>
      </c>
      <c r="D76" s="750">
        <v>12</v>
      </c>
      <c r="E76" s="751">
        <v>9</v>
      </c>
      <c r="F76" s="751"/>
      <c r="G76" s="317">
        <f t="shared" si="18"/>
        <v>21</v>
      </c>
      <c r="H76" s="750">
        <v>3</v>
      </c>
      <c r="I76" s="751"/>
      <c r="J76" s="751">
        <v>2</v>
      </c>
      <c r="K76" s="317">
        <f t="shared" si="19"/>
        <v>5</v>
      </c>
      <c r="L76" s="750"/>
      <c r="M76" s="751"/>
      <c r="N76" s="751"/>
      <c r="O76" s="317">
        <f t="shared" si="20"/>
        <v>0</v>
      </c>
      <c r="P76" s="752">
        <f t="shared" si="21"/>
        <v>26</v>
      </c>
      <c r="Q76" s="962">
        <f t="shared" si="22"/>
        <v>15</v>
      </c>
      <c r="R76" s="962">
        <f t="shared" si="23"/>
        <v>9</v>
      </c>
      <c r="S76" s="962">
        <f t="shared" si="24"/>
        <v>2</v>
      </c>
      <c r="T76" s="752">
        <f t="shared" si="25"/>
        <v>26</v>
      </c>
      <c r="W76" s="753">
        <f t="shared" si="26"/>
        <v>0.2</v>
      </c>
      <c r="X76" s="754">
        <f t="shared" si="27"/>
        <v>0</v>
      </c>
      <c r="Y76" s="755">
        <f t="shared" si="28"/>
        <v>1</v>
      </c>
      <c r="Z76" s="756">
        <f t="shared" si="29"/>
        <v>0.19230769230769232</v>
      </c>
    </row>
    <row r="77" spans="1:26" x14ac:dyDescent="0.25">
      <c r="A77" s="521" t="s">
        <v>184</v>
      </c>
      <c r="B77" s="455" t="s">
        <v>185</v>
      </c>
      <c r="C77" s="481" t="s">
        <v>266</v>
      </c>
      <c r="D77" s="750">
        <v>24</v>
      </c>
      <c r="E77" s="751">
        <v>10</v>
      </c>
      <c r="F77" s="751">
        <v>1</v>
      </c>
      <c r="G77" s="317">
        <f t="shared" si="18"/>
        <v>35</v>
      </c>
      <c r="H77" s="750">
        <v>6</v>
      </c>
      <c r="I77" s="751">
        <v>2</v>
      </c>
      <c r="J77" s="751">
        <v>2</v>
      </c>
      <c r="K77" s="317">
        <f t="shared" si="19"/>
        <v>10</v>
      </c>
      <c r="L77" s="750"/>
      <c r="M77" s="751"/>
      <c r="N77" s="751"/>
      <c r="O77" s="317">
        <f t="shared" si="20"/>
        <v>0</v>
      </c>
      <c r="P77" s="752">
        <f t="shared" si="21"/>
        <v>45</v>
      </c>
      <c r="Q77" s="962">
        <f t="shared" si="22"/>
        <v>30</v>
      </c>
      <c r="R77" s="962">
        <f t="shared" si="23"/>
        <v>12</v>
      </c>
      <c r="S77" s="962">
        <f t="shared" si="24"/>
        <v>3</v>
      </c>
      <c r="T77" s="752">
        <f t="shared" si="25"/>
        <v>45</v>
      </c>
      <c r="W77" s="753">
        <f t="shared" si="26"/>
        <v>0.2</v>
      </c>
      <c r="X77" s="754">
        <f t="shared" si="27"/>
        <v>0.16666666666666666</v>
      </c>
      <c r="Y77" s="755">
        <f t="shared" si="28"/>
        <v>0.66666666666666663</v>
      </c>
      <c r="Z77" s="756">
        <f t="shared" si="29"/>
        <v>0.22222222222222221</v>
      </c>
    </row>
    <row r="78" spans="1:26" x14ac:dyDescent="0.25">
      <c r="A78" s="521" t="s">
        <v>186</v>
      </c>
      <c r="B78" s="455" t="s">
        <v>187</v>
      </c>
      <c r="C78" s="481" t="s">
        <v>264</v>
      </c>
      <c r="D78" s="750">
        <v>16</v>
      </c>
      <c r="E78" s="751">
        <v>10</v>
      </c>
      <c r="F78" s="751">
        <v>1</v>
      </c>
      <c r="G78" s="317">
        <f t="shared" si="18"/>
        <v>27</v>
      </c>
      <c r="H78" s="750"/>
      <c r="I78" s="751">
        <v>2</v>
      </c>
      <c r="J78" s="751">
        <v>1</v>
      </c>
      <c r="K78" s="317">
        <f t="shared" si="19"/>
        <v>3</v>
      </c>
      <c r="L78" s="750"/>
      <c r="M78" s="751"/>
      <c r="N78" s="751"/>
      <c r="O78" s="317">
        <f t="shared" si="20"/>
        <v>0</v>
      </c>
      <c r="P78" s="752">
        <f t="shared" si="21"/>
        <v>30</v>
      </c>
      <c r="Q78" s="962">
        <f t="shared" si="22"/>
        <v>16</v>
      </c>
      <c r="R78" s="962">
        <f t="shared" si="23"/>
        <v>12</v>
      </c>
      <c r="S78" s="962">
        <f t="shared" si="24"/>
        <v>2</v>
      </c>
      <c r="T78" s="752">
        <f t="shared" si="25"/>
        <v>30</v>
      </c>
      <c r="W78" s="753">
        <f t="shared" si="26"/>
        <v>0</v>
      </c>
      <c r="X78" s="754">
        <f t="shared" si="27"/>
        <v>0.16666666666666666</v>
      </c>
      <c r="Y78" s="755">
        <f t="shared" si="28"/>
        <v>0.5</v>
      </c>
      <c r="Z78" s="756">
        <f t="shared" si="29"/>
        <v>0.1</v>
      </c>
    </row>
    <row r="79" spans="1:26" x14ac:dyDescent="0.25">
      <c r="A79" s="521" t="s">
        <v>188</v>
      </c>
      <c r="B79" s="455" t="s">
        <v>189</v>
      </c>
      <c r="C79" s="481" t="s">
        <v>267</v>
      </c>
      <c r="D79" s="750">
        <v>176</v>
      </c>
      <c r="E79" s="751">
        <v>68</v>
      </c>
      <c r="F79" s="751">
        <v>7</v>
      </c>
      <c r="G79" s="317">
        <f t="shared" si="18"/>
        <v>251</v>
      </c>
      <c r="H79" s="750">
        <v>51</v>
      </c>
      <c r="I79" s="751">
        <v>39</v>
      </c>
      <c r="J79" s="751">
        <v>2</v>
      </c>
      <c r="K79" s="317">
        <f t="shared" si="19"/>
        <v>92</v>
      </c>
      <c r="L79" s="750"/>
      <c r="M79" s="751"/>
      <c r="N79" s="751"/>
      <c r="O79" s="317">
        <f t="shared" si="20"/>
        <v>0</v>
      </c>
      <c r="P79" s="752">
        <f t="shared" si="21"/>
        <v>343</v>
      </c>
      <c r="Q79" s="962">
        <f t="shared" si="22"/>
        <v>227</v>
      </c>
      <c r="R79" s="962">
        <f t="shared" si="23"/>
        <v>107</v>
      </c>
      <c r="S79" s="962">
        <f t="shared" si="24"/>
        <v>9</v>
      </c>
      <c r="T79" s="752">
        <f t="shared" si="25"/>
        <v>343</v>
      </c>
      <c r="W79" s="753">
        <f t="shared" si="26"/>
        <v>0.22466960352422907</v>
      </c>
      <c r="X79" s="754">
        <f t="shared" si="27"/>
        <v>0.3644859813084112</v>
      </c>
      <c r="Y79" s="755">
        <f t="shared" si="28"/>
        <v>0.22222222222222221</v>
      </c>
      <c r="Z79" s="756">
        <f t="shared" si="29"/>
        <v>0.26822157434402333</v>
      </c>
    </row>
    <row r="80" spans="1:26" x14ac:dyDescent="0.25">
      <c r="A80" s="521" t="s">
        <v>190</v>
      </c>
      <c r="B80" s="455" t="s">
        <v>191</v>
      </c>
      <c r="C80" s="481" t="s">
        <v>268</v>
      </c>
      <c r="D80" s="750">
        <v>36</v>
      </c>
      <c r="E80" s="751">
        <v>19</v>
      </c>
      <c r="F80" s="751"/>
      <c r="G80" s="317">
        <f t="shared" si="18"/>
        <v>55</v>
      </c>
      <c r="H80" s="750">
        <v>8</v>
      </c>
      <c r="I80" s="751">
        <v>6</v>
      </c>
      <c r="J80" s="751"/>
      <c r="K80" s="317">
        <f t="shared" si="19"/>
        <v>14</v>
      </c>
      <c r="L80" s="750"/>
      <c r="M80" s="751"/>
      <c r="N80" s="751"/>
      <c r="O80" s="317">
        <f t="shared" si="20"/>
        <v>0</v>
      </c>
      <c r="P80" s="752">
        <f t="shared" si="21"/>
        <v>69</v>
      </c>
      <c r="Q80" s="962">
        <f t="shared" si="22"/>
        <v>44</v>
      </c>
      <c r="R80" s="962">
        <f t="shared" si="23"/>
        <v>25</v>
      </c>
      <c r="S80" s="962">
        <f t="shared" si="24"/>
        <v>0</v>
      </c>
      <c r="T80" s="752">
        <f t="shared" si="25"/>
        <v>69</v>
      </c>
      <c r="W80" s="753">
        <f t="shared" si="26"/>
        <v>0.18181818181818182</v>
      </c>
      <c r="X80" s="754">
        <f t="shared" si="27"/>
        <v>0.24</v>
      </c>
      <c r="Y80" s="755" t="str">
        <f t="shared" si="28"/>
        <v>NA</v>
      </c>
      <c r="Z80" s="756">
        <f t="shared" si="29"/>
        <v>0.20289855072463769</v>
      </c>
    </row>
    <row r="81" spans="1:26" x14ac:dyDescent="0.25">
      <c r="A81" s="521" t="s">
        <v>194</v>
      </c>
      <c r="B81" s="455" t="s">
        <v>195</v>
      </c>
      <c r="C81" s="481" t="s">
        <v>267</v>
      </c>
      <c r="D81" s="750">
        <v>7</v>
      </c>
      <c r="E81" s="751">
        <v>4</v>
      </c>
      <c r="F81" s="751"/>
      <c r="G81" s="317">
        <f t="shared" si="18"/>
        <v>11</v>
      </c>
      <c r="H81" s="750">
        <v>1</v>
      </c>
      <c r="I81" s="751"/>
      <c r="J81" s="751"/>
      <c r="K81" s="317">
        <f t="shared" si="19"/>
        <v>1</v>
      </c>
      <c r="L81" s="750"/>
      <c r="M81" s="751"/>
      <c r="N81" s="751"/>
      <c r="O81" s="317">
        <f t="shared" si="20"/>
        <v>0</v>
      </c>
      <c r="P81" s="752">
        <f t="shared" si="21"/>
        <v>12</v>
      </c>
      <c r="Q81" s="962">
        <f t="shared" si="22"/>
        <v>8</v>
      </c>
      <c r="R81" s="962">
        <f t="shared" si="23"/>
        <v>4</v>
      </c>
      <c r="S81" s="962">
        <f t="shared" si="24"/>
        <v>0</v>
      </c>
      <c r="T81" s="752">
        <f t="shared" si="25"/>
        <v>12</v>
      </c>
      <c r="W81" s="753">
        <f t="shared" si="26"/>
        <v>0.125</v>
      </c>
      <c r="X81" s="754">
        <f t="shared" si="27"/>
        <v>0</v>
      </c>
      <c r="Y81" s="755" t="str">
        <f t="shared" si="28"/>
        <v>NA</v>
      </c>
      <c r="Z81" s="756">
        <f t="shared" si="29"/>
        <v>8.3333333333333329E-2</v>
      </c>
    </row>
    <row r="82" spans="1:26" x14ac:dyDescent="0.25">
      <c r="A82" s="521" t="s">
        <v>198</v>
      </c>
      <c r="B82" s="455" t="s">
        <v>199</v>
      </c>
      <c r="C82" s="481" t="s">
        <v>266</v>
      </c>
      <c r="D82" s="750">
        <v>5</v>
      </c>
      <c r="E82" s="751">
        <v>5</v>
      </c>
      <c r="F82" s="751"/>
      <c r="G82" s="317">
        <f t="shared" si="18"/>
        <v>10</v>
      </c>
      <c r="H82" s="750">
        <v>6</v>
      </c>
      <c r="I82" s="751">
        <v>3</v>
      </c>
      <c r="J82" s="751"/>
      <c r="K82" s="317">
        <f t="shared" si="19"/>
        <v>9</v>
      </c>
      <c r="L82" s="750"/>
      <c r="M82" s="751"/>
      <c r="N82" s="751"/>
      <c r="O82" s="317">
        <f t="shared" si="20"/>
        <v>0</v>
      </c>
      <c r="P82" s="752">
        <f t="shared" si="21"/>
        <v>19</v>
      </c>
      <c r="Q82" s="962">
        <f t="shared" si="22"/>
        <v>11</v>
      </c>
      <c r="R82" s="962">
        <f t="shared" si="23"/>
        <v>8</v>
      </c>
      <c r="S82" s="962">
        <f t="shared" si="24"/>
        <v>0</v>
      </c>
      <c r="T82" s="752">
        <f t="shared" si="25"/>
        <v>19</v>
      </c>
      <c r="W82" s="753">
        <f t="shared" si="26"/>
        <v>0.54545454545454541</v>
      </c>
      <c r="X82" s="754">
        <f t="shared" si="27"/>
        <v>0.375</v>
      </c>
      <c r="Y82" s="755" t="str">
        <f t="shared" si="28"/>
        <v>NA</v>
      </c>
      <c r="Z82" s="756">
        <f t="shared" si="29"/>
        <v>0.47368421052631576</v>
      </c>
    </row>
    <row r="83" spans="1:26" x14ac:dyDescent="0.25">
      <c r="A83" s="521" t="s">
        <v>202</v>
      </c>
      <c r="B83" s="455" t="s">
        <v>611</v>
      </c>
      <c r="C83" s="481" t="s">
        <v>265</v>
      </c>
      <c r="D83" s="750">
        <v>69</v>
      </c>
      <c r="E83" s="751">
        <v>27</v>
      </c>
      <c r="F83" s="751"/>
      <c r="G83" s="317">
        <f t="shared" si="18"/>
        <v>96</v>
      </c>
      <c r="H83" s="750">
        <v>13</v>
      </c>
      <c r="I83" s="751">
        <v>1</v>
      </c>
      <c r="J83" s="751">
        <v>1</v>
      </c>
      <c r="K83" s="317">
        <f t="shared" si="19"/>
        <v>15</v>
      </c>
      <c r="L83" s="750"/>
      <c r="M83" s="751"/>
      <c r="N83" s="751"/>
      <c r="O83" s="317">
        <f t="shared" si="20"/>
        <v>0</v>
      </c>
      <c r="P83" s="752">
        <f t="shared" si="21"/>
        <v>111</v>
      </c>
      <c r="Q83" s="962">
        <f t="shared" si="22"/>
        <v>82</v>
      </c>
      <c r="R83" s="962">
        <f t="shared" si="23"/>
        <v>28</v>
      </c>
      <c r="S83" s="962">
        <f t="shared" si="24"/>
        <v>1</v>
      </c>
      <c r="T83" s="752">
        <f t="shared" si="25"/>
        <v>111</v>
      </c>
      <c r="W83" s="753">
        <f t="shared" si="26"/>
        <v>0.15853658536585366</v>
      </c>
      <c r="X83" s="754">
        <f t="shared" si="27"/>
        <v>3.5714285714285712E-2</v>
      </c>
      <c r="Y83" s="755">
        <f t="shared" si="28"/>
        <v>1</v>
      </c>
      <c r="Z83" s="756">
        <f t="shared" si="29"/>
        <v>0.13513513513513514</v>
      </c>
    </row>
    <row r="84" spans="1:26" x14ac:dyDescent="0.25">
      <c r="A84" s="521" t="s">
        <v>204</v>
      </c>
      <c r="B84" s="455" t="s">
        <v>293</v>
      </c>
      <c r="C84" s="481" t="s">
        <v>265</v>
      </c>
      <c r="D84" s="750">
        <v>21</v>
      </c>
      <c r="E84" s="751">
        <v>7</v>
      </c>
      <c r="F84" s="751"/>
      <c r="G84" s="317">
        <f t="shared" si="18"/>
        <v>28</v>
      </c>
      <c r="H84" s="750">
        <v>9</v>
      </c>
      <c r="I84" s="751">
        <v>6</v>
      </c>
      <c r="J84" s="751"/>
      <c r="K84" s="317">
        <f t="shared" si="19"/>
        <v>15</v>
      </c>
      <c r="L84" s="750"/>
      <c r="M84" s="751"/>
      <c r="N84" s="751"/>
      <c r="O84" s="317">
        <f t="shared" si="20"/>
        <v>0</v>
      </c>
      <c r="P84" s="752">
        <f t="shared" si="21"/>
        <v>43</v>
      </c>
      <c r="Q84" s="962">
        <f t="shared" si="22"/>
        <v>30</v>
      </c>
      <c r="R84" s="962">
        <f t="shared" si="23"/>
        <v>13</v>
      </c>
      <c r="S84" s="962">
        <f t="shared" si="24"/>
        <v>0</v>
      </c>
      <c r="T84" s="752">
        <f t="shared" si="25"/>
        <v>43</v>
      </c>
      <c r="W84" s="753">
        <f t="shared" si="26"/>
        <v>0.3</v>
      </c>
      <c r="X84" s="754">
        <f t="shared" si="27"/>
        <v>0.46153846153846156</v>
      </c>
      <c r="Y84" s="755" t="str">
        <f t="shared" si="28"/>
        <v>NA</v>
      </c>
      <c r="Z84" s="756">
        <f t="shared" si="29"/>
        <v>0.34883720930232559</v>
      </c>
    </row>
    <row r="85" spans="1:26" x14ac:dyDescent="0.25">
      <c r="A85" s="521" t="s">
        <v>206</v>
      </c>
      <c r="B85" s="455" t="s">
        <v>294</v>
      </c>
      <c r="C85" s="481" t="s">
        <v>267</v>
      </c>
      <c r="D85" s="750">
        <v>95</v>
      </c>
      <c r="E85" s="751">
        <v>26</v>
      </c>
      <c r="F85" s="751"/>
      <c r="G85" s="317">
        <f t="shared" si="18"/>
        <v>121</v>
      </c>
      <c r="H85" s="750">
        <v>15</v>
      </c>
      <c r="I85" s="751">
        <v>3</v>
      </c>
      <c r="J85" s="751"/>
      <c r="K85" s="317">
        <f t="shared" si="19"/>
        <v>18</v>
      </c>
      <c r="L85" s="750"/>
      <c r="M85" s="751"/>
      <c r="N85" s="751"/>
      <c r="O85" s="317">
        <f t="shared" si="20"/>
        <v>0</v>
      </c>
      <c r="P85" s="752">
        <f t="shared" si="21"/>
        <v>139</v>
      </c>
      <c r="Q85" s="962">
        <f t="shared" si="22"/>
        <v>110</v>
      </c>
      <c r="R85" s="962">
        <f t="shared" si="23"/>
        <v>29</v>
      </c>
      <c r="S85" s="962">
        <f t="shared" si="24"/>
        <v>0</v>
      </c>
      <c r="T85" s="752">
        <f t="shared" si="25"/>
        <v>139</v>
      </c>
      <c r="W85" s="753">
        <f t="shared" si="26"/>
        <v>0.13636363636363635</v>
      </c>
      <c r="X85" s="754">
        <f t="shared" si="27"/>
        <v>0.10344827586206896</v>
      </c>
      <c r="Y85" s="755" t="str">
        <f t="shared" si="28"/>
        <v>NA</v>
      </c>
      <c r="Z85" s="756">
        <f t="shared" si="29"/>
        <v>0.12949640287769784</v>
      </c>
    </row>
    <row r="86" spans="1:26" x14ac:dyDescent="0.25">
      <c r="A86" s="521" t="s">
        <v>208</v>
      </c>
      <c r="B86" s="455" t="s">
        <v>209</v>
      </c>
      <c r="C86" s="481" t="s">
        <v>268</v>
      </c>
      <c r="D86" s="750">
        <v>32</v>
      </c>
      <c r="E86" s="751">
        <v>12</v>
      </c>
      <c r="F86" s="751">
        <v>1</v>
      </c>
      <c r="G86" s="317">
        <f t="shared" si="18"/>
        <v>45</v>
      </c>
      <c r="H86" s="750">
        <v>3</v>
      </c>
      <c r="I86" s="751">
        <v>2</v>
      </c>
      <c r="J86" s="751"/>
      <c r="K86" s="317">
        <f t="shared" si="19"/>
        <v>5</v>
      </c>
      <c r="L86" s="750"/>
      <c r="M86" s="751"/>
      <c r="N86" s="751"/>
      <c r="O86" s="317">
        <f t="shared" si="20"/>
        <v>0</v>
      </c>
      <c r="P86" s="752">
        <f t="shared" si="21"/>
        <v>50</v>
      </c>
      <c r="Q86" s="962">
        <f t="shared" si="22"/>
        <v>35</v>
      </c>
      <c r="R86" s="962">
        <f t="shared" si="23"/>
        <v>14</v>
      </c>
      <c r="S86" s="962">
        <f t="shared" si="24"/>
        <v>1</v>
      </c>
      <c r="T86" s="752">
        <f t="shared" si="25"/>
        <v>50</v>
      </c>
      <c r="W86" s="753">
        <f t="shared" si="26"/>
        <v>8.5714285714285715E-2</v>
      </c>
      <c r="X86" s="754">
        <f t="shared" si="27"/>
        <v>0.14285714285714285</v>
      </c>
      <c r="Y86" s="755">
        <f t="shared" si="28"/>
        <v>0</v>
      </c>
      <c r="Z86" s="756">
        <f t="shared" si="29"/>
        <v>0.1</v>
      </c>
    </row>
    <row r="87" spans="1:26" x14ac:dyDescent="0.25">
      <c r="A87" s="521" t="s">
        <v>210</v>
      </c>
      <c r="B87" s="455" t="s">
        <v>211</v>
      </c>
      <c r="C87" s="481" t="s">
        <v>268</v>
      </c>
      <c r="D87" s="750">
        <v>25</v>
      </c>
      <c r="E87" s="751">
        <v>10</v>
      </c>
      <c r="F87" s="751"/>
      <c r="G87" s="317">
        <f t="shared" si="18"/>
        <v>35</v>
      </c>
      <c r="H87" s="750">
        <v>6</v>
      </c>
      <c r="I87" s="751">
        <v>2</v>
      </c>
      <c r="J87" s="751"/>
      <c r="K87" s="317">
        <f t="shared" si="19"/>
        <v>8</v>
      </c>
      <c r="L87" s="750"/>
      <c r="M87" s="751"/>
      <c r="N87" s="751"/>
      <c r="O87" s="317">
        <f t="shared" si="20"/>
        <v>0</v>
      </c>
      <c r="P87" s="752">
        <f t="shared" si="21"/>
        <v>43</v>
      </c>
      <c r="Q87" s="962">
        <f t="shared" si="22"/>
        <v>31</v>
      </c>
      <c r="R87" s="962">
        <f t="shared" si="23"/>
        <v>12</v>
      </c>
      <c r="S87" s="962">
        <f t="shared" si="24"/>
        <v>0</v>
      </c>
      <c r="T87" s="752">
        <f t="shared" si="25"/>
        <v>43</v>
      </c>
      <c r="W87" s="753">
        <f t="shared" si="26"/>
        <v>0.19354838709677419</v>
      </c>
      <c r="X87" s="754">
        <f t="shared" si="27"/>
        <v>0.16666666666666666</v>
      </c>
      <c r="Y87" s="755" t="str">
        <f t="shared" si="28"/>
        <v>NA</v>
      </c>
      <c r="Z87" s="756">
        <f t="shared" si="29"/>
        <v>0.18604651162790697</v>
      </c>
    </row>
    <row r="88" spans="1:26" x14ac:dyDescent="0.25">
      <c r="A88" s="521" t="s">
        <v>212</v>
      </c>
      <c r="B88" s="455" t="s">
        <v>213</v>
      </c>
      <c r="C88" s="481" t="s">
        <v>267</v>
      </c>
      <c r="D88" s="750">
        <v>25</v>
      </c>
      <c r="E88" s="751">
        <v>9</v>
      </c>
      <c r="F88" s="751">
        <v>2</v>
      </c>
      <c r="G88" s="317">
        <f t="shared" si="18"/>
        <v>36</v>
      </c>
      <c r="H88" s="750">
        <v>5</v>
      </c>
      <c r="I88" s="751">
        <v>5</v>
      </c>
      <c r="J88" s="751">
        <v>3</v>
      </c>
      <c r="K88" s="317">
        <f t="shared" si="19"/>
        <v>13</v>
      </c>
      <c r="L88" s="750"/>
      <c r="M88" s="751"/>
      <c r="N88" s="751"/>
      <c r="O88" s="317">
        <f t="shared" si="20"/>
        <v>0</v>
      </c>
      <c r="P88" s="752">
        <f t="shared" si="21"/>
        <v>49</v>
      </c>
      <c r="Q88" s="962">
        <f t="shared" si="22"/>
        <v>30</v>
      </c>
      <c r="R88" s="962">
        <f t="shared" si="23"/>
        <v>14</v>
      </c>
      <c r="S88" s="962">
        <f t="shared" si="24"/>
        <v>5</v>
      </c>
      <c r="T88" s="752">
        <f t="shared" si="25"/>
        <v>49</v>
      </c>
      <c r="W88" s="753">
        <f t="shared" si="26"/>
        <v>0.16666666666666666</v>
      </c>
      <c r="X88" s="754">
        <f t="shared" si="27"/>
        <v>0.35714285714285715</v>
      </c>
      <c r="Y88" s="755">
        <f t="shared" si="28"/>
        <v>0.6</v>
      </c>
      <c r="Z88" s="756">
        <f t="shared" si="29"/>
        <v>0.26530612244897961</v>
      </c>
    </row>
    <row r="89" spans="1:26" x14ac:dyDescent="0.25">
      <c r="A89" s="521" t="s">
        <v>214</v>
      </c>
      <c r="B89" s="455" t="s">
        <v>215</v>
      </c>
      <c r="C89" s="481" t="s">
        <v>268</v>
      </c>
      <c r="D89" s="750">
        <v>37</v>
      </c>
      <c r="E89" s="751">
        <v>16</v>
      </c>
      <c r="F89" s="751">
        <v>1</v>
      </c>
      <c r="G89" s="317">
        <f t="shared" si="18"/>
        <v>54</v>
      </c>
      <c r="H89" s="750">
        <v>16</v>
      </c>
      <c r="I89" s="751">
        <v>9</v>
      </c>
      <c r="J89" s="751"/>
      <c r="K89" s="317">
        <f t="shared" si="19"/>
        <v>25</v>
      </c>
      <c r="L89" s="750">
        <v>4</v>
      </c>
      <c r="M89" s="751"/>
      <c r="N89" s="751"/>
      <c r="O89" s="317">
        <f t="shared" si="20"/>
        <v>4</v>
      </c>
      <c r="P89" s="752">
        <f t="shared" si="21"/>
        <v>83</v>
      </c>
      <c r="Q89" s="962">
        <f t="shared" si="22"/>
        <v>53</v>
      </c>
      <c r="R89" s="962">
        <f t="shared" si="23"/>
        <v>25</v>
      </c>
      <c r="S89" s="962">
        <f t="shared" si="24"/>
        <v>1</v>
      </c>
      <c r="T89" s="752">
        <f t="shared" si="25"/>
        <v>79</v>
      </c>
      <c r="W89" s="753">
        <f t="shared" si="26"/>
        <v>0.30188679245283018</v>
      </c>
      <c r="X89" s="754">
        <f t="shared" si="27"/>
        <v>0.36</v>
      </c>
      <c r="Y89" s="755">
        <f t="shared" si="28"/>
        <v>0</v>
      </c>
      <c r="Z89" s="756">
        <f t="shared" si="29"/>
        <v>0.31645569620253167</v>
      </c>
    </row>
    <row r="90" spans="1:26" x14ac:dyDescent="0.25">
      <c r="A90" s="521" t="s">
        <v>216</v>
      </c>
      <c r="B90" s="455" t="s">
        <v>217</v>
      </c>
      <c r="C90" s="481" t="s">
        <v>264</v>
      </c>
      <c r="D90" s="750">
        <v>17</v>
      </c>
      <c r="E90" s="751">
        <v>11</v>
      </c>
      <c r="F90" s="751"/>
      <c r="G90" s="317">
        <f t="shared" si="18"/>
        <v>28</v>
      </c>
      <c r="H90" s="750">
        <v>5</v>
      </c>
      <c r="I90" s="751">
        <v>1</v>
      </c>
      <c r="J90" s="751">
        <v>3</v>
      </c>
      <c r="K90" s="317">
        <f t="shared" si="19"/>
        <v>9</v>
      </c>
      <c r="L90" s="750"/>
      <c r="M90" s="751"/>
      <c r="N90" s="751"/>
      <c r="O90" s="317">
        <f t="shared" si="20"/>
        <v>0</v>
      </c>
      <c r="P90" s="752">
        <f t="shared" si="21"/>
        <v>37</v>
      </c>
      <c r="Q90" s="962">
        <f t="shared" si="22"/>
        <v>22</v>
      </c>
      <c r="R90" s="962">
        <f t="shared" si="23"/>
        <v>12</v>
      </c>
      <c r="S90" s="962">
        <f t="shared" si="24"/>
        <v>3</v>
      </c>
      <c r="T90" s="752">
        <f t="shared" si="25"/>
        <v>37</v>
      </c>
      <c r="W90" s="753">
        <f t="shared" si="26"/>
        <v>0.22727272727272727</v>
      </c>
      <c r="X90" s="754">
        <f t="shared" si="27"/>
        <v>8.3333333333333329E-2</v>
      </c>
      <c r="Y90" s="755">
        <f t="shared" si="28"/>
        <v>1</v>
      </c>
      <c r="Z90" s="756">
        <f t="shared" si="29"/>
        <v>0.24324324324324326</v>
      </c>
    </row>
    <row r="91" spans="1:26" x14ac:dyDescent="0.25">
      <c r="A91" s="521" t="s">
        <v>218</v>
      </c>
      <c r="B91" s="455" t="s">
        <v>219</v>
      </c>
      <c r="C91" s="481" t="s">
        <v>267</v>
      </c>
      <c r="D91" s="750">
        <v>62</v>
      </c>
      <c r="E91" s="751">
        <v>29</v>
      </c>
      <c r="F91" s="751">
        <v>2</v>
      </c>
      <c r="G91" s="317">
        <f t="shared" si="18"/>
        <v>93</v>
      </c>
      <c r="H91" s="750">
        <v>14</v>
      </c>
      <c r="I91" s="751">
        <v>2</v>
      </c>
      <c r="J91" s="751">
        <v>3</v>
      </c>
      <c r="K91" s="317">
        <f t="shared" si="19"/>
        <v>19</v>
      </c>
      <c r="L91" s="750"/>
      <c r="M91" s="751"/>
      <c r="N91" s="751"/>
      <c r="O91" s="317">
        <f t="shared" si="20"/>
        <v>0</v>
      </c>
      <c r="P91" s="752">
        <f t="shared" si="21"/>
        <v>112</v>
      </c>
      <c r="Q91" s="962">
        <f t="shared" si="22"/>
        <v>76</v>
      </c>
      <c r="R91" s="962">
        <f t="shared" si="23"/>
        <v>31</v>
      </c>
      <c r="S91" s="962">
        <f t="shared" si="24"/>
        <v>5</v>
      </c>
      <c r="T91" s="752">
        <f t="shared" si="25"/>
        <v>112</v>
      </c>
      <c r="W91" s="753">
        <f t="shared" si="26"/>
        <v>0.18421052631578946</v>
      </c>
      <c r="X91" s="754">
        <f t="shared" si="27"/>
        <v>6.4516129032258063E-2</v>
      </c>
      <c r="Y91" s="755">
        <f t="shared" si="28"/>
        <v>0.6</v>
      </c>
      <c r="Z91" s="756">
        <f t="shared" si="29"/>
        <v>0.16964285714285715</v>
      </c>
    </row>
    <row r="92" spans="1:26" x14ac:dyDescent="0.25">
      <c r="A92" s="521" t="s">
        <v>220</v>
      </c>
      <c r="B92" s="455" t="s">
        <v>221</v>
      </c>
      <c r="C92" s="481" t="s">
        <v>267</v>
      </c>
      <c r="D92" s="750">
        <v>44</v>
      </c>
      <c r="E92" s="751">
        <v>18</v>
      </c>
      <c r="F92" s="751"/>
      <c r="G92" s="317">
        <f t="shared" si="18"/>
        <v>62</v>
      </c>
      <c r="H92" s="750">
        <v>7</v>
      </c>
      <c r="I92" s="751"/>
      <c r="J92" s="751">
        <v>1</v>
      </c>
      <c r="K92" s="317">
        <f t="shared" si="19"/>
        <v>8</v>
      </c>
      <c r="L92" s="750"/>
      <c r="M92" s="751"/>
      <c r="N92" s="751"/>
      <c r="O92" s="317">
        <f t="shared" si="20"/>
        <v>0</v>
      </c>
      <c r="P92" s="752">
        <f t="shared" si="21"/>
        <v>70</v>
      </c>
      <c r="Q92" s="962">
        <f t="shared" si="22"/>
        <v>51</v>
      </c>
      <c r="R92" s="962">
        <f t="shared" si="23"/>
        <v>18</v>
      </c>
      <c r="S92" s="962">
        <f t="shared" si="24"/>
        <v>1</v>
      </c>
      <c r="T92" s="752">
        <f t="shared" si="25"/>
        <v>70</v>
      </c>
      <c r="W92" s="753">
        <f t="shared" si="26"/>
        <v>0.13725490196078433</v>
      </c>
      <c r="X92" s="754">
        <f t="shared" si="27"/>
        <v>0</v>
      </c>
      <c r="Y92" s="755">
        <f t="shared" si="28"/>
        <v>1</v>
      </c>
      <c r="Z92" s="756">
        <f t="shared" si="29"/>
        <v>0.11428571428571428</v>
      </c>
    </row>
    <row r="93" spans="1:26" x14ac:dyDescent="0.25">
      <c r="A93" s="521" t="s">
        <v>224</v>
      </c>
      <c r="B93" s="455" t="s">
        <v>225</v>
      </c>
      <c r="C93" s="481" t="s">
        <v>264</v>
      </c>
      <c r="D93" s="750">
        <v>15</v>
      </c>
      <c r="E93" s="751">
        <v>8</v>
      </c>
      <c r="F93" s="751"/>
      <c r="G93" s="317">
        <f t="shared" si="18"/>
        <v>23</v>
      </c>
      <c r="H93" s="750">
        <v>3</v>
      </c>
      <c r="I93" s="751">
        <v>1</v>
      </c>
      <c r="J93" s="751"/>
      <c r="K93" s="317">
        <f t="shared" si="19"/>
        <v>4</v>
      </c>
      <c r="L93" s="750"/>
      <c r="M93" s="751"/>
      <c r="N93" s="751"/>
      <c r="O93" s="317">
        <f t="shared" si="20"/>
        <v>0</v>
      </c>
      <c r="P93" s="752">
        <f t="shared" si="21"/>
        <v>27</v>
      </c>
      <c r="Q93" s="962">
        <f t="shared" si="22"/>
        <v>18</v>
      </c>
      <c r="R93" s="962">
        <f t="shared" si="23"/>
        <v>9</v>
      </c>
      <c r="S93" s="962">
        <f t="shared" si="24"/>
        <v>0</v>
      </c>
      <c r="T93" s="752">
        <f t="shared" si="25"/>
        <v>27</v>
      </c>
      <c r="W93" s="753">
        <f t="shared" si="26"/>
        <v>0.16666666666666666</v>
      </c>
      <c r="X93" s="754">
        <f t="shared" si="27"/>
        <v>0.1111111111111111</v>
      </c>
      <c r="Y93" s="755" t="str">
        <f t="shared" si="28"/>
        <v>NA</v>
      </c>
      <c r="Z93" s="756">
        <f t="shared" si="29"/>
        <v>0.14814814814814814</v>
      </c>
    </row>
    <row r="94" spans="1:26" x14ac:dyDescent="0.25">
      <c r="A94" s="521" t="s">
        <v>226</v>
      </c>
      <c r="B94" s="455" t="s">
        <v>227</v>
      </c>
      <c r="C94" s="481" t="s">
        <v>264</v>
      </c>
      <c r="D94" s="750">
        <v>17</v>
      </c>
      <c r="E94" s="751">
        <v>8</v>
      </c>
      <c r="F94" s="751"/>
      <c r="G94" s="317">
        <f t="shared" si="18"/>
        <v>25</v>
      </c>
      <c r="H94" s="750">
        <v>4</v>
      </c>
      <c r="I94" s="751">
        <v>1</v>
      </c>
      <c r="J94" s="751"/>
      <c r="K94" s="317">
        <f t="shared" si="19"/>
        <v>5</v>
      </c>
      <c r="L94" s="750">
        <v>1</v>
      </c>
      <c r="M94" s="751"/>
      <c r="N94" s="751"/>
      <c r="O94" s="317">
        <f t="shared" si="20"/>
        <v>1</v>
      </c>
      <c r="P94" s="752">
        <f t="shared" si="21"/>
        <v>31</v>
      </c>
      <c r="Q94" s="962">
        <f t="shared" si="22"/>
        <v>21</v>
      </c>
      <c r="R94" s="962">
        <f t="shared" si="23"/>
        <v>9</v>
      </c>
      <c r="S94" s="962">
        <f t="shared" si="24"/>
        <v>0</v>
      </c>
      <c r="T94" s="752">
        <f t="shared" si="25"/>
        <v>30</v>
      </c>
      <c r="W94" s="753">
        <f t="shared" si="26"/>
        <v>0.19047619047619047</v>
      </c>
      <c r="X94" s="754">
        <f t="shared" si="27"/>
        <v>0.1111111111111111</v>
      </c>
      <c r="Y94" s="755" t="str">
        <f t="shared" si="28"/>
        <v>NA</v>
      </c>
      <c r="Z94" s="756">
        <f t="shared" si="29"/>
        <v>0.16666666666666666</v>
      </c>
    </row>
    <row r="95" spans="1:26" x14ac:dyDescent="0.25">
      <c r="A95" s="521" t="s">
        <v>228</v>
      </c>
      <c r="B95" s="455" t="s">
        <v>229</v>
      </c>
      <c r="C95" s="481" t="s">
        <v>268</v>
      </c>
      <c r="D95" s="750">
        <v>55</v>
      </c>
      <c r="E95" s="751">
        <v>22</v>
      </c>
      <c r="F95" s="751"/>
      <c r="G95" s="317">
        <f t="shared" si="18"/>
        <v>77</v>
      </c>
      <c r="H95" s="750">
        <v>9</v>
      </c>
      <c r="I95" s="751">
        <v>6</v>
      </c>
      <c r="J95" s="751">
        <v>1</v>
      </c>
      <c r="K95" s="317">
        <f t="shared" si="19"/>
        <v>16</v>
      </c>
      <c r="L95" s="750"/>
      <c r="M95" s="751"/>
      <c r="N95" s="751"/>
      <c r="O95" s="317">
        <f t="shared" si="20"/>
        <v>0</v>
      </c>
      <c r="P95" s="752">
        <f t="shared" si="21"/>
        <v>93</v>
      </c>
      <c r="Q95" s="962">
        <f t="shared" si="22"/>
        <v>64</v>
      </c>
      <c r="R95" s="962">
        <f t="shared" si="23"/>
        <v>28</v>
      </c>
      <c r="S95" s="962">
        <f t="shared" si="24"/>
        <v>1</v>
      </c>
      <c r="T95" s="752">
        <f t="shared" si="25"/>
        <v>93</v>
      </c>
      <c r="W95" s="753">
        <f t="shared" si="26"/>
        <v>0.140625</v>
      </c>
      <c r="X95" s="754">
        <f t="shared" si="27"/>
        <v>0.21428571428571427</v>
      </c>
      <c r="Y95" s="755">
        <f t="shared" si="28"/>
        <v>1</v>
      </c>
      <c r="Z95" s="756">
        <f t="shared" si="29"/>
        <v>0.17204301075268819</v>
      </c>
    </row>
    <row r="96" spans="1:26" x14ac:dyDescent="0.25">
      <c r="A96" s="521" t="s">
        <v>232</v>
      </c>
      <c r="B96" s="455" t="s">
        <v>233</v>
      </c>
      <c r="C96" s="481" t="s">
        <v>267</v>
      </c>
      <c r="D96" s="750">
        <v>23</v>
      </c>
      <c r="E96" s="751">
        <v>11</v>
      </c>
      <c r="F96" s="751"/>
      <c r="G96" s="317">
        <f t="shared" si="18"/>
        <v>34</v>
      </c>
      <c r="H96" s="750">
        <v>13</v>
      </c>
      <c r="I96" s="751">
        <v>5</v>
      </c>
      <c r="J96" s="751"/>
      <c r="K96" s="317">
        <f t="shared" si="19"/>
        <v>18</v>
      </c>
      <c r="L96" s="750">
        <v>3</v>
      </c>
      <c r="M96" s="751"/>
      <c r="N96" s="751"/>
      <c r="O96" s="317">
        <f t="shared" si="20"/>
        <v>3</v>
      </c>
      <c r="P96" s="752">
        <f t="shared" si="21"/>
        <v>55</v>
      </c>
      <c r="Q96" s="962">
        <f t="shared" si="22"/>
        <v>36</v>
      </c>
      <c r="R96" s="962">
        <f t="shared" si="23"/>
        <v>16</v>
      </c>
      <c r="S96" s="962">
        <f t="shared" si="24"/>
        <v>0</v>
      </c>
      <c r="T96" s="752">
        <f t="shared" si="25"/>
        <v>52</v>
      </c>
      <c r="W96" s="753">
        <f t="shared" si="26"/>
        <v>0.3611111111111111</v>
      </c>
      <c r="X96" s="754">
        <f t="shared" si="27"/>
        <v>0.3125</v>
      </c>
      <c r="Y96" s="755" t="str">
        <f t="shared" si="28"/>
        <v>NA</v>
      </c>
      <c r="Z96" s="756">
        <f t="shared" si="29"/>
        <v>0.34615384615384615</v>
      </c>
    </row>
    <row r="97" spans="1:26" x14ac:dyDescent="0.25">
      <c r="A97" s="521" t="s">
        <v>234</v>
      </c>
      <c r="B97" s="455" t="s">
        <v>235</v>
      </c>
      <c r="C97" s="481" t="s">
        <v>268</v>
      </c>
      <c r="D97" s="750">
        <v>43</v>
      </c>
      <c r="E97" s="751">
        <v>14</v>
      </c>
      <c r="F97" s="751">
        <v>4</v>
      </c>
      <c r="G97" s="317">
        <f t="shared" si="18"/>
        <v>61</v>
      </c>
      <c r="H97" s="750">
        <v>9</v>
      </c>
      <c r="I97" s="751">
        <v>7</v>
      </c>
      <c r="J97" s="751"/>
      <c r="K97" s="317">
        <f t="shared" si="19"/>
        <v>16</v>
      </c>
      <c r="L97" s="750">
        <v>1</v>
      </c>
      <c r="M97" s="751"/>
      <c r="N97" s="751"/>
      <c r="O97" s="317">
        <f t="shared" si="20"/>
        <v>1</v>
      </c>
      <c r="P97" s="752">
        <f t="shared" si="21"/>
        <v>78</v>
      </c>
      <c r="Q97" s="962">
        <f t="shared" si="22"/>
        <v>52</v>
      </c>
      <c r="R97" s="962">
        <f t="shared" si="23"/>
        <v>21</v>
      </c>
      <c r="S97" s="962">
        <f t="shared" si="24"/>
        <v>4</v>
      </c>
      <c r="T97" s="752">
        <f t="shared" si="25"/>
        <v>77</v>
      </c>
      <c r="W97" s="753">
        <f t="shared" si="26"/>
        <v>0.17307692307692307</v>
      </c>
      <c r="X97" s="754">
        <f t="shared" si="27"/>
        <v>0.33333333333333331</v>
      </c>
      <c r="Y97" s="755">
        <f t="shared" si="28"/>
        <v>0</v>
      </c>
      <c r="Z97" s="756">
        <f t="shared" si="29"/>
        <v>0.20779220779220781</v>
      </c>
    </row>
    <row r="98" spans="1:26" x14ac:dyDescent="0.25">
      <c r="A98" s="521" t="s">
        <v>236</v>
      </c>
      <c r="B98" s="455" t="s">
        <v>237</v>
      </c>
      <c r="C98" s="481" t="s">
        <v>266</v>
      </c>
      <c r="D98" s="750">
        <v>16</v>
      </c>
      <c r="E98" s="751">
        <v>9</v>
      </c>
      <c r="F98" s="751"/>
      <c r="G98" s="317">
        <f t="shared" si="18"/>
        <v>25</v>
      </c>
      <c r="H98" s="750">
        <v>1</v>
      </c>
      <c r="I98" s="751">
        <v>3</v>
      </c>
      <c r="J98" s="751"/>
      <c r="K98" s="317">
        <f t="shared" si="19"/>
        <v>4</v>
      </c>
      <c r="L98" s="750"/>
      <c r="M98" s="751"/>
      <c r="N98" s="751"/>
      <c r="O98" s="317">
        <f t="shared" si="20"/>
        <v>0</v>
      </c>
      <c r="P98" s="752">
        <f t="shared" si="21"/>
        <v>29</v>
      </c>
      <c r="Q98" s="962">
        <f t="shared" si="22"/>
        <v>17</v>
      </c>
      <c r="R98" s="962">
        <f t="shared" si="23"/>
        <v>12</v>
      </c>
      <c r="S98" s="962">
        <f t="shared" si="24"/>
        <v>0</v>
      </c>
      <c r="T98" s="752">
        <f t="shared" si="25"/>
        <v>29</v>
      </c>
      <c r="W98" s="753">
        <f t="shared" si="26"/>
        <v>5.8823529411764705E-2</v>
      </c>
      <c r="X98" s="754">
        <f t="shared" si="27"/>
        <v>0.25</v>
      </c>
      <c r="Y98" s="755" t="str">
        <f t="shared" si="28"/>
        <v>NA</v>
      </c>
      <c r="Z98" s="756">
        <f t="shared" si="29"/>
        <v>0.13793103448275862</v>
      </c>
    </row>
    <row r="99" spans="1:26" x14ac:dyDescent="0.25">
      <c r="A99" s="521" t="s">
        <v>242</v>
      </c>
      <c r="B99" s="455" t="s">
        <v>243</v>
      </c>
      <c r="C99" s="481" t="s">
        <v>268</v>
      </c>
      <c r="D99" s="750">
        <v>54</v>
      </c>
      <c r="E99" s="751">
        <v>20</v>
      </c>
      <c r="F99" s="751"/>
      <c r="G99" s="317">
        <f t="shared" si="18"/>
        <v>74</v>
      </c>
      <c r="H99" s="750">
        <v>11</v>
      </c>
      <c r="I99" s="751">
        <v>6</v>
      </c>
      <c r="J99" s="751">
        <v>2</v>
      </c>
      <c r="K99" s="317">
        <f t="shared" si="19"/>
        <v>19</v>
      </c>
      <c r="L99" s="750"/>
      <c r="M99" s="751"/>
      <c r="N99" s="751"/>
      <c r="O99" s="317">
        <f t="shared" si="20"/>
        <v>0</v>
      </c>
      <c r="P99" s="752">
        <f t="shared" si="21"/>
        <v>93</v>
      </c>
      <c r="Q99" s="962">
        <f t="shared" si="22"/>
        <v>65</v>
      </c>
      <c r="R99" s="962">
        <f t="shared" si="23"/>
        <v>26</v>
      </c>
      <c r="S99" s="962">
        <f t="shared" si="24"/>
        <v>2</v>
      </c>
      <c r="T99" s="752">
        <f t="shared" si="25"/>
        <v>93</v>
      </c>
      <c r="W99" s="753">
        <f t="shared" si="26"/>
        <v>0.16923076923076924</v>
      </c>
      <c r="X99" s="754">
        <f t="shared" si="27"/>
        <v>0.23076923076923078</v>
      </c>
      <c r="Y99" s="755">
        <f t="shared" si="28"/>
        <v>1</v>
      </c>
      <c r="Z99" s="756">
        <f t="shared" si="29"/>
        <v>0.20430107526881722</v>
      </c>
    </row>
    <row r="100" spans="1:26" x14ac:dyDescent="0.25">
      <c r="A100" s="521" t="s">
        <v>244</v>
      </c>
      <c r="B100" s="455" t="s">
        <v>245</v>
      </c>
      <c r="C100" s="481" t="s">
        <v>268</v>
      </c>
      <c r="D100" s="750">
        <v>37</v>
      </c>
      <c r="E100" s="751">
        <v>12</v>
      </c>
      <c r="F100" s="751">
        <v>1</v>
      </c>
      <c r="G100" s="317">
        <f t="shared" si="18"/>
        <v>50</v>
      </c>
      <c r="H100" s="750">
        <v>5</v>
      </c>
      <c r="I100" s="751">
        <v>1</v>
      </c>
      <c r="J100" s="751"/>
      <c r="K100" s="317">
        <f t="shared" si="19"/>
        <v>6</v>
      </c>
      <c r="L100" s="750"/>
      <c r="M100" s="751"/>
      <c r="N100" s="751"/>
      <c r="O100" s="317">
        <f t="shared" si="20"/>
        <v>0</v>
      </c>
      <c r="P100" s="752">
        <f t="shared" si="21"/>
        <v>56</v>
      </c>
      <c r="Q100" s="962">
        <f t="shared" si="22"/>
        <v>42</v>
      </c>
      <c r="R100" s="962">
        <f t="shared" si="23"/>
        <v>13</v>
      </c>
      <c r="S100" s="962">
        <f t="shared" si="24"/>
        <v>1</v>
      </c>
      <c r="T100" s="752">
        <f t="shared" si="25"/>
        <v>56</v>
      </c>
      <c r="W100" s="753">
        <f t="shared" si="26"/>
        <v>0.11904761904761904</v>
      </c>
      <c r="X100" s="754">
        <f t="shared" si="27"/>
        <v>7.6923076923076927E-2</v>
      </c>
      <c r="Y100" s="755">
        <f t="shared" si="28"/>
        <v>0</v>
      </c>
      <c r="Z100" s="756">
        <f t="shared" si="29"/>
        <v>0.10714285714285714</v>
      </c>
    </row>
    <row r="101" spans="1:26" x14ac:dyDescent="0.25">
      <c r="A101" s="521" t="s">
        <v>246</v>
      </c>
      <c r="B101" s="455" t="s">
        <v>247</v>
      </c>
      <c r="C101" s="481" t="s">
        <v>264</v>
      </c>
      <c r="D101" s="750">
        <v>33</v>
      </c>
      <c r="E101" s="751">
        <v>27</v>
      </c>
      <c r="F101" s="751"/>
      <c r="G101" s="317">
        <f t="shared" si="18"/>
        <v>60</v>
      </c>
      <c r="H101" s="750">
        <v>21</v>
      </c>
      <c r="I101" s="751">
        <v>6</v>
      </c>
      <c r="J101" s="751"/>
      <c r="K101" s="317">
        <f t="shared" si="19"/>
        <v>27</v>
      </c>
      <c r="L101" s="750"/>
      <c r="M101" s="751"/>
      <c r="N101" s="751"/>
      <c r="O101" s="317">
        <f t="shared" si="20"/>
        <v>0</v>
      </c>
      <c r="P101" s="752">
        <f t="shared" si="21"/>
        <v>87</v>
      </c>
      <c r="Q101" s="962">
        <f t="shared" si="22"/>
        <v>54</v>
      </c>
      <c r="R101" s="962">
        <f t="shared" si="23"/>
        <v>33</v>
      </c>
      <c r="S101" s="962">
        <f t="shared" si="24"/>
        <v>0</v>
      </c>
      <c r="T101" s="752">
        <f t="shared" si="25"/>
        <v>87</v>
      </c>
      <c r="W101" s="753">
        <f t="shared" si="26"/>
        <v>0.3888888888888889</v>
      </c>
      <c r="X101" s="754">
        <f t="shared" si="27"/>
        <v>0.18181818181818182</v>
      </c>
      <c r="Y101" s="755" t="str">
        <f t="shared" si="28"/>
        <v>NA</v>
      </c>
      <c r="Z101" s="756">
        <f t="shared" si="29"/>
        <v>0.31034482758620691</v>
      </c>
    </row>
    <row r="102" spans="1:26" x14ac:dyDescent="0.25">
      <c r="A102" s="521" t="s">
        <v>14</v>
      </c>
      <c r="B102" s="455" t="s">
        <v>15</v>
      </c>
      <c r="C102" s="481" t="s">
        <v>267</v>
      </c>
      <c r="D102" s="750">
        <v>109</v>
      </c>
      <c r="E102" s="751">
        <v>85</v>
      </c>
      <c r="F102" s="751">
        <v>21</v>
      </c>
      <c r="G102" s="317">
        <f t="shared" ref="G102:G126" si="30">SUM(D102:F102)</f>
        <v>215</v>
      </c>
      <c r="H102" s="750">
        <v>24</v>
      </c>
      <c r="I102" s="751">
        <v>18</v>
      </c>
      <c r="J102" s="751">
        <v>8</v>
      </c>
      <c r="K102" s="317">
        <f t="shared" ref="K102:K126" si="31">SUM(H102:J102)</f>
        <v>50</v>
      </c>
      <c r="L102" s="750"/>
      <c r="M102" s="751"/>
      <c r="N102" s="751"/>
      <c r="O102" s="317">
        <f t="shared" ref="O102:O126" si="32">SUM(L102:N102)</f>
        <v>0</v>
      </c>
      <c r="P102" s="752">
        <f t="shared" ref="P102:P126" si="33">G102+K102+O102</f>
        <v>265</v>
      </c>
      <c r="Q102" s="962">
        <f t="shared" si="22"/>
        <v>133</v>
      </c>
      <c r="R102" s="962">
        <f t="shared" si="23"/>
        <v>103</v>
      </c>
      <c r="S102" s="962">
        <f t="shared" si="24"/>
        <v>29</v>
      </c>
      <c r="T102" s="752">
        <f t="shared" si="25"/>
        <v>265</v>
      </c>
      <c r="W102" s="753">
        <f t="shared" si="26"/>
        <v>0.18045112781954886</v>
      </c>
      <c r="X102" s="754">
        <f t="shared" si="27"/>
        <v>0.17475728155339806</v>
      </c>
      <c r="Y102" s="755">
        <f t="shared" si="28"/>
        <v>0.27586206896551724</v>
      </c>
      <c r="Z102" s="756">
        <f t="shared" si="29"/>
        <v>0.18867924528301888</v>
      </c>
    </row>
    <row r="103" spans="1:26" x14ac:dyDescent="0.25">
      <c r="A103" s="521" t="s">
        <v>34</v>
      </c>
      <c r="B103" s="455" t="s">
        <v>35</v>
      </c>
      <c r="C103" s="481" t="s">
        <v>268</v>
      </c>
      <c r="D103" s="750">
        <v>33</v>
      </c>
      <c r="E103" s="751">
        <v>12</v>
      </c>
      <c r="F103" s="751"/>
      <c r="G103" s="317">
        <f t="shared" si="30"/>
        <v>45</v>
      </c>
      <c r="H103" s="750">
        <v>3</v>
      </c>
      <c r="I103" s="751">
        <v>4</v>
      </c>
      <c r="J103" s="751"/>
      <c r="K103" s="317">
        <f t="shared" si="31"/>
        <v>7</v>
      </c>
      <c r="L103" s="750"/>
      <c r="M103" s="751"/>
      <c r="N103" s="751"/>
      <c r="O103" s="317">
        <f t="shared" si="32"/>
        <v>0</v>
      </c>
      <c r="P103" s="752">
        <f t="shared" si="33"/>
        <v>52</v>
      </c>
      <c r="Q103" s="962">
        <f t="shared" si="22"/>
        <v>36</v>
      </c>
      <c r="R103" s="962">
        <f t="shared" si="23"/>
        <v>16</v>
      </c>
      <c r="S103" s="962">
        <f t="shared" si="24"/>
        <v>0</v>
      </c>
      <c r="T103" s="752">
        <f t="shared" ref="T103:T126" si="34">G103+K103</f>
        <v>52</v>
      </c>
      <c r="W103" s="753">
        <f t="shared" si="26"/>
        <v>8.3333333333333329E-2</v>
      </c>
      <c r="X103" s="754">
        <f t="shared" si="27"/>
        <v>0.25</v>
      </c>
      <c r="Y103" s="755" t="str">
        <f t="shared" si="28"/>
        <v>NA</v>
      </c>
      <c r="Z103" s="756">
        <f t="shared" si="29"/>
        <v>0.13461538461538461</v>
      </c>
    </row>
    <row r="104" spans="1:26" x14ac:dyDescent="0.25">
      <c r="A104" s="521" t="s">
        <v>52</v>
      </c>
      <c r="B104" s="455" t="s">
        <v>53</v>
      </c>
      <c r="C104" s="481" t="s">
        <v>265</v>
      </c>
      <c r="D104" s="750">
        <v>69</v>
      </c>
      <c r="E104" s="751">
        <v>29</v>
      </c>
      <c r="F104" s="751">
        <v>2</v>
      </c>
      <c r="G104" s="317">
        <f t="shared" si="30"/>
        <v>100</v>
      </c>
      <c r="H104" s="750">
        <v>10</v>
      </c>
      <c r="I104" s="751">
        <v>1</v>
      </c>
      <c r="J104" s="751">
        <v>4</v>
      </c>
      <c r="K104" s="317">
        <f t="shared" si="31"/>
        <v>15</v>
      </c>
      <c r="L104" s="750">
        <v>1</v>
      </c>
      <c r="M104" s="751"/>
      <c r="N104" s="751"/>
      <c r="O104" s="317">
        <f t="shared" si="32"/>
        <v>1</v>
      </c>
      <c r="P104" s="752">
        <f t="shared" si="33"/>
        <v>116</v>
      </c>
      <c r="Q104" s="962">
        <f t="shared" si="22"/>
        <v>79</v>
      </c>
      <c r="R104" s="962">
        <f t="shared" si="23"/>
        <v>30</v>
      </c>
      <c r="S104" s="962">
        <f t="shared" si="24"/>
        <v>6</v>
      </c>
      <c r="T104" s="752">
        <f t="shared" si="34"/>
        <v>115</v>
      </c>
      <c r="W104" s="753">
        <f t="shared" si="26"/>
        <v>0.12658227848101267</v>
      </c>
      <c r="X104" s="754">
        <f t="shared" si="27"/>
        <v>3.3333333333333333E-2</v>
      </c>
      <c r="Y104" s="755">
        <f t="shared" si="28"/>
        <v>0.66666666666666663</v>
      </c>
      <c r="Z104" s="756">
        <f t="shared" si="29"/>
        <v>0.13043478260869565</v>
      </c>
    </row>
    <row r="105" spans="1:26" x14ac:dyDescent="0.25">
      <c r="A105" s="521" t="s">
        <v>54</v>
      </c>
      <c r="B105" s="455" t="s">
        <v>55</v>
      </c>
      <c r="C105" s="481" t="s">
        <v>264</v>
      </c>
      <c r="D105" s="750">
        <v>164</v>
      </c>
      <c r="E105" s="751">
        <v>84</v>
      </c>
      <c r="F105" s="751">
        <v>3</v>
      </c>
      <c r="G105" s="317">
        <f t="shared" si="30"/>
        <v>251</v>
      </c>
      <c r="H105" s="750">
        <v>46</v>
      </c>
      <c r="I105" s="751">
        <v>15</v>
      </c>
      <c r="J105" s="751">
        <v>1</v>
      </c>
      <c r="K105" s="317">
        <f t="shared" si="31"/>
        <v>62</v>
      </c>
      <c r="L105" s="750"/>
      <c r="M105" s="751"/>
      <c r="N105" s="751"/>
      <c r="O105" s="317">
        <f t="shared" si="32"/>
        <v>0</v>
      </c>
      <c r="P105" s="752">
        <f t="shared" si="33"/>
        <v>313</v>
      </c>
      <c r="Q105" s="962">
        <f t="shared" si="22"/>
        <v>210</v>
      </c>
      <c r="R105" s="962">
        <f t="shared" si="23"/>
        <v>99</v>
      </c>
      <c r="S105" s="962">
        <f t="shared" si="24"/>
        <v>4</v>
      </c>
      <c r="T105" s="752">
        <f t="shared" si="34"/>
        <v>313</v>
      </c>
      <c r="W105" s="753">
        <f t="shared" si="26"/>
        <v>0.21904761904761905</v>
      </c>
      <c r="X105" s="754">
        <f t="shared" si="27"/>
        <v>0.15151515151515152</v>
      </c>
      <c r="Y105" s="755">
        <f t="shared" si="28"/>
        <v>0.25</v>
      </c>
      <c r="Z105" s="756">
        <f t="shared" si="29"/>
        <v>0.19808306709265175</v>
      </c>
    </row>
    <row r="106" spans="1:26" x14ac:dyDescent="0.25">
      <c r="A106" s="521" t="s">
        <v>66</v>
      </c>
      <c r="B106" s="455" t="s">
        <v>67</v>
      </c>
      <c r="C106" s="481" t="s">
        <v>265</v>
      </c>
      <c r="D106" s="750">
        <v>71</v>
      </c>
      <c r="E106" s="751">
        <v>28</v>
      </c>
      <c r="F106" s="751">
        <v>1</v>
      </c>
      <c r="G106" s="317">
        <f t="shared" si="30"/>
        <v>100</v>
      </c>
      <c r="H106" s="750">
        <v>5</v>
      </c>
      <c r="I106" s="751">
        <v>1</v>
      </c>
      <c r="J106" s="751"/>
      <c r="K106" s="317">
        <f t="shared" si="31"/>
        <v>6</v>
      </c>
      <c r="L106" s="750"/>
      <c r="M106" s="751"/>
      <c r="N106" s="751"/>
      <c r="O106" s="317">
        <f t="shared" si="32"/>
        <v>0</v>
      </c>
      <c r="P106" s="752">
        <f t="shared" si="33"/>
        <v>106</v>
      </c>
      <c r="Q106" s="962">
        <f t="shared" si="22"/>
        <v>76</v>
      </c>
      <c r="R106" s="962">
        <f t="shared" si="23"/>
        <v>29</v>
      </c>
      <c r="S106" s="962">
        <f t="shared" si="24"/>
        <v>1</v>
      </c>
      <c r="T106" s="752">
        <f t="shared" si="34"/>
        <v>106</v>
      </c>
      <c r="W106" s="753">
        <f t="shared" si="26"/>
        <v>6.5789473684210523E-2</v>
      </c>
      <c r="X106" s="754">
        <f t="shared" si="27"/>
        <v>3.4482758620689655E-2</v>
      </c>
      <c r="Y106" s="755">
        <f t="shared" si="28"/>
        <v>0</v>
      </c>
      <c r="Z106" s="756">
        <f t="shared" si="29"/>
        <v>5.6603773584905662E-2</v>
      </c>
    </row>
    <row r="107" spans="1:26" x14ac:dyDescent="0.25">
      <c r="A107" s="521" t="s">
        <v>82</v>
      </c>
      <c r="B107" s="455" t="s">
        <v>311</v>
      </c>
      <c r="C107" s="481" t="s">
        <v>264</v>
      </c>
      <c r="D107" s="750">
        <v>14</v>
      </c>
      <c r="E107" s="751">
        <v>4</v>
      </c>
      <c r="F107" s="751"/>
      <c r="G107" s="317">
        <f t="shared" si="30"/>
        <v>18</v>
      </c>
      <c r="H107" s="750">
        <v>4</v>
      </c>
      <c r="I107" s="751">
        <v>3</v>
      </c>
      <c r="J107" s="751"/>
      <c r="K107" s="317">
        <f t="shared" si="31"/>
        <v>7</v>
      </c>
      <c r="L107" s="750"/>
      <c r="M107" s="751"/>
      <c r="N107" s="751"/>
      <c r="O107" s="317">
        <f t="shared" si="32"/>
        <v>0</v>
      </c>
      <c r="P107" s="752">
        <f t="shared" si="33"/>
        <v>25</v>
      </c>
      <c r="Q107" s="962">
        <f t="shared" si="22"/>
        <v>18</v>
      </c>
      <c r="R107" s="962">
        <f t="shared" si="23"/>
        <v>7</v>
      </c>
      <c r="S107" s="962">
        <f t="shared" si="24"/>
        <v>0</v>
      </c>
      <c r="T107" s="752">
        <f t="shared" si="34"/>
        <v>25</v>
      </c>
      <c r="W107" s="753">
        <f t="shared" si="26"/>
        <v>0.22222222222222221</v>
      </c>
      <c r="X107" s="754">
        <f t="shared" si="27"/>
        <v>0.42857142857142855</v>
      </c>
      <c r="Y107" s="755" t="str">
        <f t="shared" si="28"/>
        <v>NA</v>
      </c>
      <c r="Z107" s="756">
        <f t="shared" si="29"/>
        <v>0.28000000000000003</v>
      </c>
    </row>
    <row r="108" spans="1:26" x14ac:dyDescent="0.25">
      <c r="A108" s="521" t="s">
        <v>88</v>
      </c>
      <c r="B108" s="455" t="s">
        <v>89</v>
      </c>
      <c r="C108" s="481" t="s">
        <v>267</v>
      </c>
      <c r="D108" s="750">
        <v>25</v>
      </c>
      <c r="E108" s="751">
        <v>12</v>
      </c>
      <c r="F108" s="751">
        <v>1</v>
      </c>
      <c r="G108" s="317">
        <f t="shared" si="30"/>
        <v>38</v>
      </c>
      <c r="H108" s="750">
        <v>2</v>
      </c>
      <c r="I108" s="751">
        <v>1</v>
      </c>
      <c r="J108" s="751">
        <v>1</v>
      </c>
      <c r="K108" s="317">
        <f t="shared" si="31"/>
        <v>4</v>
      </c>
      <c r="L108" s="750"/>
      <c r="M108" s="751"/>
      <c r="N108" s="751"/>
      <c r="O108" s="317">
        <f t="shared" si="32"/>
        <v>0</v>
      </c>
      <c r="P108" s="752">
        <f t="shared" si="33"/>
        <v>42</v>
      </c>
      <c r="Q108" s="962">
        <f t="shared" si="22"/>
        <v>27</v>
      </c>
      <c r="R108" s="962">
        <f t="shared" si="23"/>
        <v>13</v>
      </c>
      <c r="S108" s="962">
        <f t="shared" si="24"/>
        <v>2</v>
      </c>
      <c r="T108" s="752">
        <f t="shared" si="34"/>
        <v>42</v>
      </c>
      <c r="W108" s="753">
        <f t="shared" si="26"/>
        <v>7.407407407407407E-2</v>
      </c>
      <c r="X108" s="754">
        <f t="shared" si="27"/>
        <v>7.6923076923076927E-2</v>
      </c>
      <c r="Y108" s="755">
        <f t="shared" si="28"/>
        <v>0.5</v>
      </c>
      <c r="Z108" s="756">
        <f t="shared" si="29"/>
        <v>9.5238095238095233E-2</v>
      </c>
    </row>
    <row r="109" spans="1:26" x14ac:dyDescent="0.25">
      <c r="A109" s="521" t="s">
        <v>90</v>
      </c>
      <c r="B109" s="455" t="s">
        <v>91</v>
      </c>
      <c r="C109" s="481" t="s">
        <v>268</v>
      </c>
      <c r="D109" s="750">
        <v>11</v>
      </c>
      <c r="E109" s="751">
        <v>6</v>
      </c>
      <c r="F109" s="751"/>
      <c r="G109" s="317">
        <f t="shared" si="30"/>
        <v>17</v>
      </c>
      <c r="H109" s="750"/>
      <c r="I109" s="751"/>
      <c r="J109" s="751"/>
      <c r="K109" s="317">
        <f t="shared" si="31"/>
        <v>0</v>
      </c>
      <c r="L109" s="750"/>
      <c r="M109" s="751"/>
      <c r="N109" s="751"/>
      <c r="O109" s="317">
        <f t="shared" si="32"/>
        <v>0</v>
      </c>
      <c r="P109" s="752">
        <f t="shared" si="33"/>
        <v>17</v>
      </c>
      <c r="Q109" s="962">
        <f t="shared" si="22"/>
        <v>11</v>
      </c>
      <c r="R109" s="962">
        <f t="shared" si="23"/>
        <v>6</v>
      </c>
      <c r="S109" s="962">
        <f t="shared" si="24"/>
        <v>0</v>
      </c>
      <c r="T109" s="752">
        <f t="shared" si="34"/>
        <v>17</v>
      </c>
      <c r="W109" s="753">
        <f t="shared" si="26"/>
        <v>0</v>
      </c>
      <c r="X109" s="754">
        <f t="shared" si="27"/>
        <v>0</v>
      </c>
      <c r="Y109" s="755" t="str">
        <f t="shared" si="28"/>
        <v>NA</v>
      </c>
      <c r="Z109" s="756">
        <f t="shared" si="29"/>
        <v>0</v>
      </c>
    </row>
    <row r="110" spans="1:26" x14ac:dyDescent="0.25">
      <c r="A110" s="521" t="s">
        <v>106</v>
      </c>
      <c r="B110" s="455" t="s">
        <v>107</v>
      </c>
      <c r="C110" s="481" t="s">
        <v>264</v>
      </c>
      <c r="D110" s="750">
        <v>142</v>
      </c>
      <c r="E110" s="751">
        <v>38</v>
      </c>
      <c r="F110" s="751">
        <v>7</v>
      </c>
      <c r="G110" s="317">
        <f t="shared" si="30"/>
        <v>187</v>
      </c>
      <c r="H110" s="750">
        <v>28</v>
      </c>
      <c r="I110" s="751">
        <v>20</v>
      </c>
      <c r="J110" s="751">
        <v>3</v>
      </c>
      <c r="K110" s="317">
        <f t="shared" si="31"/>
        <v>51</v>
      </c>
      <c r="L110" s="750"/>
      <c r="M110" s="751"/>
      <c r="N110" s="751"/>
      <c r="O110" s="317">
        <f t="shared" si="32"/>
        <v>0</v>
      </c>
      <c r="P110" s="752">
        <f t="shared" si="33"/>
        <v>238</v>
      </c>
      <c r="Q110" s="962">
        <f t="shared" si="22"/>
        <v>170</v>
      </c>
      <c r="R110" s="962">
        <f t="shared" si="23"/>
        <v>58</v>
      </c>
      <c r="S110" s="962">
        <f t="shared" si="24"/>
        <v>10</v>
      </c>
      <c r="T110" s="752">
        <f t="shared" si="34"/>
        <v>238</v>
      </c>
      <c r="W110" s="753">
        <f t="shared" si="26"/>
        <v>0.16470588235294117</v>
      </c>
      <c r="X110" s="754">
        <f t="shared" si="27"/>
        <v>0.34482758620689657</v>
      </c>
      <c r="Y110" s="755">
        <f t="shared" si="28"/>
        <v>0.3</v>
      </c>
      <c r="Z110" s="756">
        <f t="shared" si="29"/>
        <v>0.21428571428571427</v>
      </c>
    </row>
    <row r="111" spans="1:26" x14ac:dyDescent="0.25">
      <c r="A111" s="521" t="s">
        <v>116</v>
      </c>
      <c r="B111" s="455" t="s">
        <v>117</v>
      </c>
      <c r="C111" s="481" t="s">
        <v>266</v>
      </c>
      <c r="D111" s="750">
        <v>35</v>
      </c>
      <c r="E111" s="751">
        <v>16</v>
      </c>
      <c r="F111" s="751"/>
      <c r="G111" s="317">
        <f t="shared" si="30"/>
        <v>51</v>
      </c>
      <c r="H111" s="750">
        <v>5</v>
      </c>
      <c r="I111" s="751">
        <v>1</v>
      </c>
      <c r="J111" s="751"/>
      <c r="K111" s="317">
        <f t="shared" si="31"/>
        <v>6</v>
      </c>
      <c r="L111" s="750"/>
      <c r="M111" s="751"/>
      <c r="N111" s="751"/>
      <c r="O111" s="317">
        <f t="shared" si="32"/>
        <v>0</v>
      </c>
      <c r="P111" s="752">
        <f t="shared" si="33"/>
        <v>57</v>
      </c>
      <c r="Q111" s="962">
        <f t="shared" si="22"/>
        <v>40</v>
      </c>
      <c r="R111" s="962">
        <f t="shared" si="23"/>
        <v>17</v>
      </c>
      <c r="S111" s="962">
        <f t="shared" si="24"/>
        <v>0</v>
      </c>
      <c r="T111" s="752">
        <f t="shared" si="34"/>
        <v>57</v>
      </c>
      <c r="W111" s="753">
        <f t="shared" si="26"/>
        <v>0.125</v>
      </c>
      <c r="X111" s="754">
        <f t="shared" si="27"/>
        <v>5.8823529411764705E-2</v>
      </c>
      <c r="Y111" s="755" t="str">
        <f t="shared" si="28"/>
        <v>NA</v>
      </c>
      <c r="Z111" s="756">
        <f t="shared" si="29"/>
        <v>0.10526315789473684</v>
      </c>
    </row>
    <row r="112" spans="1:26" x14ac:dyDescent="0.25">
      <c r="A112" s="521" t="s">
        <v>138</v>
      </c>
      <c r="B112" s="455" t="s">
        <v>139</v>
      </c>
      <c r="C112" s="481" t="s">
        <v>265</v>
      </c>
      <c r="D112" s="750">
        <v>93</v>
      </c>
      <c r="E112" s="751">
        <v>39</v>
      </c>
      <c r="F112" s="751">
        <v>1</v>
      </c>
      <c r="G112" s="317">
        <f t="shared" si="30"/>
        <v>133</v>
      </c>
      <c r="H112" s="750">
        <v>52</v>
      </c>
      <c r="I112" s="751">
        <v>8</v>
      </c>
      <c r="J112" s="751">
        <v>1</v>
      </c>
      <c r="K112" s="317">
        <f t="shared" si="31"/>
        <v>61</v>
      </c>
      <c r="L112" s="750"/>
      <c r="M112" s="751"/>
      <c r="N112" s="751"/>
      <c r="O112" s="317">
        <f t="shared" si="32"/>
        <v>0</v>
      </c>
      <c r="P112" s="752">
        <f t="shared" si="33"/>
        <v>194</v>
      </c>
      <c r="Q112" s="962">
        <f t="shared" si="22"/>
        <v>145</v>
      </c>
      <c r="R112" s="962">
        <f t="shared" si="23"/>
        <v>47</v>
      </c>
      <c r="S112" s="962">
        <f t="shared" si="24"/>
        <v>2</v>
      </c>
      <c r="T112" s="752">
        <f t="shared" si="34"/>
        <v>194</v>
      </c>
      <c r="W112" s="753">
        <f t="shared" si="26"/>
        <v>0.35862068965517241</v>
      </c>
      <c r="X112" s="754">
        <f t="shared" si="27"/>
        <v>0.1702127659574468</v>
      </c>
      <c r="Y112" s="755">
        <f t="shared" si="28"/>
        <v>0.5</v>
      </c>
      <c r="Z112" s="756">
        <f t="shared" si="29"/>
        <v>0.31443298969072164</v>
      </c>
    </row>
    <row r="113" spans="1:26" x14ac:dyDescent="0.25">
      <c r="A113" s="521" t="s">
        <v>142</v>
      </c>
      <c r="B113" s="455" t="s">
        <v>143</v>
      </c>
      <c r="C113" s="481" t="s">
        <v>267</v>
      </c>
      <c r="D113" s="750">
        <v>21</v>
      </c>
      <c r="E113" s="751">
        <v>13</v>
      </c>
      <c r="F113" s="751">
        <v>3</v>
      </c>
      <c r="G113" s="317">
        <f t="shared" si="30"/>
        <v>37</v>
      </c>
      <c r="H113" s="750">
        <v>1</v>
      </c>
      <c r="I113" s="751">
        <v>1</v>
      </c>
      <c r="J113" s="751">
        <v>1</v>
      </c>
      <c r="K113" s="317">
        <f t="shared" si="31"/>
        <v>3</v>
      </c>
      <c r="L113" s="750"/>
      <c r="M113" s="751"/>
      <c r="N113" s="751"/>
      <c r="O113" s="317">
        <f t="shared" si="32"/>
        <v>0</v>
      </c>
      <c r="P113" s="752">
        <f t="shared" si="33"/>
        <v>40</v>
      </c>
      <c r="Q113" s="962">
        <f t="shared" si="22"/>
        <v>22</v>
      </c>
      <c r="R113" s="962">
        <f t="shared" si="23"/>
        <v>14</v>
      </c>
      <c r="S113" s="962">
        <f t="shared" si="24"/>
        <v>4</v>
      </c>
      <c r="T113" s="752">
        <f t="shared" si="34"/>
        <v>40</v>
      </c>
      <c r="W113" s="753">
        <f t="shared" si="26"/>
        <v>4.5454545454545456E-2</v>
      </c>
      <c r="X113" s="754">
        <f t="shared" si="27"/>
        <v>7.1428571428571425E-2</v>
      </c>
      <c r="Y113" s="755">
        <f t="shared" si="28"/>
        <v>0.25</v>
      </c>
      <c r="Z113" s="756">
        <f t="shared" si="29"/>
        <v>7.4999999999999997E-2</v>
      </c>
    </row>
    <row r="114" spans="1:26" x14ac:dyDescent="0.25">
      <c r="A114" s="521" t="s">
        <v>144</v>
      </c>
      <c r="B114" s="455" t="s">
        <v>145</v>
      </c>
      <c r="C114" s="481" t="s">
        <v>267</v>
      </c>
      <c r="D114" s="750">
        <v>11</v>
      </c>
      <c r="E114" s="751">
        <v>6</v>
      </c>
      <c r="F114" s="751"/>
      <c r="G114" s="317">
        <f t="shared" si="30"/>
        <v>17</v>
      </c>
      <c r="H114" s="750">
        <v>4</v>
      </c>
      <c r="I114" s="751">
        <v>1</v>
      </c>
      <c r="J114" s="751"/>
      <c r="K114" s="317">
        <f t="shared" si="31"/>
        <v>5</v>
      </c>
      <c r="L114" s="750"/>
      <c r="M114" s="751"/>
      <c r="N114" s="751"/>
      <c r="O114" s="317">
        <f t="shared" si="32"/>
        <v>0</v>
      </c>
      <c r="P114" s="752">
        <f t="shared" si="33"/>
        <v>22</v>
      </c>
      <c r="Q114" s="962">
        <f t="shared" si="22"/>
        <v>15</v>
      </c>
      <c r="R114" s="962">
        <f t="shared" si="23"/>
        <v>7</v>
      </c>
      <c r="S114" s="962">
        <f t="shared" si="24"/>
        <v>0</v>
      </c>
      <c r="T114" s="752">
        <f t="shared" si="34"/>
        <v>22</v>
      </c>
      <c r="W114" s="753">
        <f t="shared" si="26"/>
        <v>0.26666666666666666</v>
      </c>
      <c r="X114" s="754">
        <f t="shared" si="27"/>
        <v>0.14285714285714285</v>
      </c>
      <c r="Y114" s="755" t="str">
        <f t="shared" si="28"/>
        <v>NA</v>
      </c>
      <c r="Z114" s="756">
        <f t="shared" si="29"/>
        <v>0.22727272727272727</v>
      </c>
    </row>
    <row r="115" spans="1:26" x14ac:dyDescent="0.25">
      <c r="A115" s="521" t="s">
        <v>158</v>
      </c>
      <c r="B115" s="455" t="s">
        <v>159</v>
      </c>
      <c r="C115" s="481" t="s">
        <v>264</v>
      </c>
      <c r="D115" s="750">
        <v>188</v>
      </c>
      <c r="E115" s="751">
        <v>124</v>
      </c>
      <c r="F115" s="751">
        <v>7</v>
      </c>
      <c r="G115" s="317">
        <f t="shared" si="30"/>
        <v>319</v>
      </c>
      <c r="H115" s="750">
        <v>49</v>
      </c>
      <c r="I115" s="751">
        <v>40</v>
      </c>
      <c r="J115" s="751">
        <v>3</v>
      </c>
      <c r="K115" s="317">
        <f t="shared" si="31"/>
        <v>92</v>
      </c>
      <c r="L115" s="750"/>
      <c r="M115" s="751"/>
      <c r="N115" s="751"/>
      <c r="O115" s="317">
        <f t="shared" si="32"/>
        <v>0</v>
      </c>
      <c r="P115" s="752">
        <f t="shared" si="33"/>
        <v>411</v>
      </c>
      <c r="Q115" s="962">
        <f t="shared" si="22"/>
        <v>237</v>
      </c>
      <c r="R115" s="962">
        <f t="shared" si="23"/>
        <v>164</v>
      </c>
      <c r="S115" s="962">
        <f t="shared" si="24"/>
        <v>10</v>
      </c>
      <c r="T115" s="752">
        <f t="shared" si="34"/>
        <v>411</v>
      </c>
      <c r="W115" s="753">
        <f t="shared" si="26"/>
        <v>0.20675105485232068</v>
      </c>
      <c r="X115" s="754">
        <f t="shared" si="27"/>
        <v>0.24390243902439024</v>
      </c>
      <c r="Y115" s="755">
        <f t="shared" si="28"/>
        <v>0.3</v>
      </c>
      <c r="Z115" s="756">
        <f t="shared" si="29"/>
        <v>0.22384428223844283</v>
      </c>
    </row>
    <row r="116" spans="1:26" x14ac:dyDescent="0.25">
      <c r="A116" s="521" t="s">
        <v>160</v>
      </c>
      <c r="B116" s="455" t="s">
        <v>161</v>
      </c>
      <c r="C116" s="481" t="s">
        <v>264</v>
      </c>
      <c r="D116" s="750">
        <v>272</v>
      </c>
      <c r="E116" s="751">
        <v>147</v>
      </c>
      <c r="F116" s="751">
        <v>7</v>
      </c>
      <c r="G116" s="317">
        <f t="shared" si="30"/>
        <v>426</v>
      </c>
      <c r="H116" s="750">
        <v>105</v>
      </c>
      <c r="I116" s="751">
        <v>52</v>
      </c>
      <c r="J116" s="751">
        <v>5</v>
      </c>
      <c r="K116" s="317">
        <f t="shared" si="31"/>
        <v>162</v>
      </c>
      <c r="L116" s="750">
        <v>2</v>
      </c>
      <c r="M116" s="751"/>
      <c r="N116" s="751"/>
      <c r="O116" s="317">
        <f t="shared" si="32"/>
        <v>2</v>
      </c>
      <c r="P116" s="752">
        <f t="shared" si="33"/>
        <v>590</v>
      </c>
      <c r="Q116" s="962">
        <f t="shared" si="22"/>
        <v>377</v>
      </c>
      <c r="R116" s="962">
        <f t="shared" si="23"/>
        <v>199</v>
      </c>
      <c r="S116" s="962">
        <f t="shared" si="24"/>
        <v>12</v>
      </c>
      <c r="T116" s="752">
        <f t="shared" si="34"/>
        <v>588</v>
      </c>
      <c r="W116" s="753">
        <f t="shared" si="26"/>
        <v>0.27851458885941643</v>
      </c>
      <c r="X116" s="754">
        <f t="shared" si="27"/>
        <v>0.2613065326633166</v>
      </c>
      <c r="Y116" s="755">
        <f t="shared" si="28"/>
        <v>0.41666666666666669</v>
      </c>
      <c r="Z116" s="756">
        <f t="shared" si="29"/>
        <v>0.27551020408163263</v>
      </c>
    </row>
    <row r="117" spans="1:26" x14ac:dyDescent="0.25">
      <c r="A117" s="521" t="s">
        <v>166</v>
      </c>
      <c r="B117" s="455" t="s">
        <v>167</v>
      </c>
      <c r="C117" s="481" t="s">
        <v>268</v>
      </c>
      <c r="D117" s="750">
        <v>9</v>
      </c>
      <c r="E117" s="751">
        <v>5</v>
      </c>
      <c r="F117" s="751">
        <v>1</v>
      </c>
      <c r="G117" s="317">
        <f t="shared" si="30"/>
        <v>15</v>
      </c>
      <c r="H117" s="750">
        <v>1</v>
      </c>
      <c r="I117" s="751"/>
      <c r="J117" s="751"/>
      <c r="K117" s="317">
        <f t="shared" si="31"/>
        <v>1</v>
      </c>
      <c r="L117" s="750"/>
      <c r="M117" s="751"/>
      <c r="N117" s="751"/>
      <c r="O117" s="317">
        <f t="shared" si="32"/>
        <v>0</v>
      </c>
      <c r="P117" s="752">
        <f t="shared" si="33"/>
        <v>16</v>
      </c>
      <c r="Q117" s="962">
        <f t="shared" si="22"/>
        <v>10</v>
      </c>
      <c r="R117" s="962">
        <f t="shared" si="23"/>
        <v>5</v>
      </c>
      <c r="S117" s="962">
        <f t="shared" si="24"/>
        <v>1</v>
      </c>
      <c r="T117" s="752">
        <f t="shared" si="34"/>
        <v>16</v>
      </c>
      <c r="W117" s="753">
        <f t="shared" si="26"/>
        <v>0.1</v>
      </c>
      <c r="X117" s="754">
        <f t="shared" si="27"/>
        <v>0</v>
      </c>
      <c r="Y117" s="755">
        <f t="shared" si="28"/>
        <v>0</v>
      </c>
      <c r="Z117" s="756">
        <f t="shared" si="29"/>
        <v>6.25E-2</v>
      </c>
    </row>
    <row r="118" spans="1:26" x14ac:dyDescent="0.25">
      <c r="A118" s="521" t="s">
        <v>176</v>
      </c>
      <c r="B118" s="455" t="s">
        <v>177</v>
      </c>
      <c r="C118" s="481" t="s">
        <v>266</v>
      </c>
      <c r="D118" s="750">
        <v>46</v>
      </c>
      <c r="E118" s="751">
        <v>24</v>
      </c>
      <c r="F118" s="751"/>
      <c r="G118" s="317">
        <f t="shared" si="30"/>
        <v>70</v>
      </c>
      <c r="H118" s="750">
        <v>59</v>
      </c>
      <c r="I118" s="751">
        <v>24</v>
      </c>
      <c r="J118" s="751"/>
      <c r="K118" s="317">
        <f t="shared" si="31"/>
        <v>83</v>
      </c>
      <c r="L118" s="750"/>
      <c r="M118" s="751"/>
      <c r="N118" s="751"/>
      <c r="O118" s="317">
        <f t="shared" si="32"/>
        <v>0</v>
      </c>
      <c r="P118" s="752">
        <f t="shared" si="33"/>
        <v>153</v>
      </c>
      <c r="Q118" s="962">
        <f t="shared" si="22"/>
        <v>105</v>
      </c>
      <c r="R118" s="962">
        <f t="shared" si="23"/>
        <v>48</v>
      </c>
      <c r="S118" s="962">
        <f t="shared" si="24"/>
        <v>0</v>
      </c>
      <c r="T118" s="752">
        <f t="shared" si="34"/>
        <v>153</v>
      </c>
      <c r="W118" s="753">
        <f t="shared" si="26"/>
        <v>0.56190476190476191</v>
      </c>
      <c r="X118" s="754">
        <f t="shared" si="27"/>
        <v>0.5</v>
      </c>
      <c r="Y118" s="755" t="str">
        <f t="shared" si="28"/>
        <v>NA</v>
      </c>
      <c r="Z118" s="756">
        <f t="shared" si="29"/>
        <v>0.54248366013071891</v>
      </c>
    </row>
    <row r="119" spans="1:26" x14ac:dyDescent="0.25">
      <c r="A119" s="521" t="s">
        <v>180</v>
      </c>
      <c r="B119" s="455" t="s">
        <v>181</v>
      </c>
      <c r="C119" s="481" t="s">
        <v>264</v>
      </c>
      <c r="D119" s="750">
        <v>117</v>
      </c>
      <c r="E119" s="751">
        <v>65</v>
      </c>
      <c r="F119" s="751">
        <v>1</v>
      </c>
      <c r="G119" s="317">
        <f t="shared" si="30"/>
        <v>183</v>
      </c>
      <c r="H119" s="750">
        <v>63</v>
      </c>
      <c r="I119" s="751">
        <v>36</v>
      </c>
      <c r="J119" s="751">
        <v>1</v>
      </c>
      <c r="K119" s="317">
        <f t="shared" si="31"/>
        <v>100</v>
      </c>
      <c r="L119" s="750"/>
      <c r="M119" s="751"/>
      <c r="N119" s="751"/>
      <c r="O119" s="317">
        <f t="shared" si="32"/>
        <v>0</v>
      </c>
      <c r="P119" s="752">
        <f t="shared" si="33"/>
        <v>283</v>
      </c>
      <c r="Q119" s="962">
        <f t="shared" si="22"/>
        <v>180</v>
      </c>
      <c r="R119" s="962">
        <f t="shared" si="23"/>
        <v>101</v>
      </c>
      <c r="S119" s="962">
        <f t="shared" si="24"/>
        <v>2</v>
      </c>
      <c r="T119" s="752">
        <f t="shared" si="34"/>
        <v>283</v>
      </c>
      <c r="W119" s="753">
        <f t="shared" si="26"/>
        <v>0.35</v>
      </c>
      <c r="X119" s="754">
        <f t="shared" si="27"/>
        <v>0.35643564356435642</v>
      </c>
      <c r="Y119" s="755">
        <f t="shared" si="28"/>
        <v>0.5</v>
      </c>
      <c r="Z119" s="756">
        <f t="shared" si="29"/>
        <v>0.35335689045936397</v>
      </c>
    </row>
    <row r="120" spans="1:26" x14ac:dyDescent="0.25">
      <c r="A120" s="521" t="s">
        <v>192</v>
      </c>
      <c r="B120" s="455" t="s">
        <v>193</v>
      </c>
      <c r="C120" s="481" t="s">
        <v>268</v>
      </c>
      <c r="D120" s="750">
        <v>11</v>
      </c>
      <c r="E120" s="751">
        <v>6</v>
      </c>
      <c r="F120" s="751"/>
      <c r="G120" s="317">
        <f t="shared" si="30"/>
        <v>17</v>
      </c>
      <c r="H120" s="750">
        <v>3</v>
      </c>
      <c r="I120" s="751">
        <v>3</v>
      </c>
      <c r="J120" s="751"/>
      <c r="K120" s="317">
        <f t="shared" si="31"/>
        <v>6</v>
      </c>
      <c r="L120" s="750"/>
      <c r="M120" s="751"/>
      <c r="N120" s="751"/>
      <c r="O120" s="317">
        <f t="shared" si="32"/>
        <v>0</v>
      </c>
      <c r="P120" s="752">
        <f t="shared" si="33"/>
        <v>23</v>
      </c>
      <c r="Q120" s="962">
        <f t="shared" si="22"/>
        <v>14</v>
      </c>
      <c r="R120" s="962">
        <f t="shared" si="23"/>
        <v>9</v>
      </c>
      <c r="S120" s="962">
        <f t="shared" si="24"/>
        <v>0</v>
      </c>
      <c r="T120" s="752">
        <f t="shared" si="34"/>
        <v>23</v>
      </c>
      <c r="W120" s="753">
        <f t="shared" si="26"/>
        <v>0.21428571428571427</v>
      </c>
      <c r="X120" s="754">
        <f t="shared" si="27"/>
        <v>0.33333333333333331</v>
      </c>
      <c r="Y120" s="755" t="str">
        <f t="shared" si="28"/>
        <v>NA</v>
      </c>
      <c r="Z120" s="756">
        <f t="shared" si="29"/>
        <v>0.2608695652173913</v>
      </c>
    </row>
    <row r="121" spans="1:26" x14ac:dyDescent="0.25">
      <c r="A121" s="521" t="s">
        <v>196</v>
      </c>
      <c r="B121" s="455" t="s">
        <v>312</v>
      </c>
      <c r="C121" s="481" t="s">
        <v>266</v>
      </c>
      <c r="D121" s="750">
        <v>227</v>
      </c>
      <c r="E121" s="751">
        <v>151</v>
      </c>
      <c r="F121" s="751">
        <v>18</v>
      </c>
      <c r="G121" s="317">
        <f t="shared" si="30"/>
        <v>396</v>
      </c>
      <c r="H121" s="750">
        <v>76</v>
      </c>
      <c r="I121" s="751">
        <v>35</v>
      </c>
      <c r="J121" s="751">
        <v>6</v>
      </c>
      <c r="K121" s="317">
        <f t="shared" si="31"/>
        <v>117</v>
      </c>
      <c r="L121" s="750"/>
      <c r="M121" s="751"/>
      <c r="N121" s="751">
        <v>1</v>
      </c>
      <c r="O121" s="317">
        <f t="shared" si="32"/>
        <v>1</v>
      </c>
      <c r="P121" s="752">
        <f t="shared" si="33"/>
        <v>514</v>
      </c>
      <c r="Q121" s="962">
        <f t="shared" si="22"/>
        <v>303</v>
      </c>
      <c r="R121" s="962">
        <f t="shared" si="23"/>
        <v>186</v>
      </c>
      <c r="S121" s="962">
        <f t="shared" si="24"/>
        <v>24</v>
      </c>
      <c r="T121" s="752">
        <f t="shared" si="34"/>
        <v>513</v>
      </c>
      <c r="W121" s="753">
        <f t="shared" si="26"/>
        <v>0.25082508250825081</v>
      </c>
      <c r="X121" s="754">
        <f t="shared" si="27"/>
        <v>0.18817204301075269</v>
      </c>
      <c r="Y121" s="755">
        <f t="shared" si="28"/>
        <v>0.25</v>
      </c>
      <c r="Z121" s="756">
        <f t="shared" si="29"/>
        <v>0.22807017543859648</v>
      </c>
    </row>
    <row r="122" spans="1:26" x14ac:dyDescent="0.25">
      <c r="A122" s="521" t="s">
        <v>200</v>
      </c>
      <c r="B122" s="455" t="s">
        <v>313</v>
      </c>
      <c r="C122" s="481" t="s">
        <v>265</v>
      </c>
      <c r="D122" s="750">
        <v>143</v>
      </c>
      <c r="E122" s="751">
        <v>69</v>
      </c>
      <c r="F122" s="751">
        <v>1</v>
      </c>
      <c r="G122" s="317">
        <f t="shared" si="30"/>
        <v>213</v>
      </c>
      <c r="H122" s="750">
        <v>25</v>
      </c>
      <c r="I122" s="751">
        <v>7</v>
      </c>
      <c r="J122" s="751">
        <v>7</v>
      </c>
      <c r="K122" s="317">
        <f t="shared" si="31"/>
        <v>39</v>
      </c>
      <c r="L122" s="750">
        <v>3</v>
      </c>
      <c r="M122" s="751"/>
      <c r="N122" s="751"/>
      <c r="O122" s="317">
        <f t="shared" si="32"/>
        <v>3</v>
      </c>
      <c r="P122" s="752">
        <f t="shared" si="33"/>
        <v>255</v>
      </c>
      <c r="Q122" s="962">
        <f t="shared" si="22"/>
        <v>168</v>
      </c>
      <c r="R122" s="962">
        <f t="shared" si="23"/>
        <v>76</v>
      </c>
      <c r="S122" s="962">
        <f t="shared" si="24"/>
        <v>8</v>
      </c>
      <c r="T122" s="752">
        <f t="shared" si="34"/>
        <v>252</v>
      </c>
      <c r="W122" s="753">
        <f t="shared" si="26"/>
        <v>0.14880952380952381</v>
      </c>
      <c r="X122" s="754">
        <f t="shared" si="27"/>
        <v>9.2105263157894732E-2</v>
      </c>
      <c r="Y122" s="755">
        <f t="shared" si="28"/>
        <v>0.875</v>
      </c>
      <c r="Z122" s="756">
        <f t="shared" si="29"/>
        <v>0.15476190476190477</v>
      </c>
    </row>
    <row r="123" spans="1:26" x14ac:dyDescent="0.25">
      <c r="A123" s="521" t="s">
        <v>222</v>
      </c>
      <c r="B123" s="455" t="s">
        <v>223</v>
      </c>
      <c r="C123" s="481" t="s">
        <v>264</v>
      </c>
      <c r="D123" s="750">
        <v>86</v>
      </c>
      <c r="E123" s="751">
        <v>32</v>
      </c>
      <c r="F123" s="751">
        <v>1</v>
      </c>
      <c r="G123" s="317">
        <f t="shared" si="30"/>
        <v>119</v>
      </c>
      <c r="H123" s="750">
        <v>4</v>
      </c>
      <c r="I123" s="751"/>
      <c r="J123" s="751">
        <v>1</v>
      </c>
      <c r="K123" s="317">
        <f t="shared" si="31"/>
        <v>5</v>
      </c>
      <c r="L123" s="750"/>
      <c r="M123" s="751"/>
      <c r="N123" s="751"/>
      <c r="O123" s="317">
        <f t="shared" si="32"/>
        <v>0</v>
      </c>
      <c r="P123" s="752">
        <f t="shared" si="33"/>
        <v>124</v>
      </c>
      <c r="Q123" s="962">
        <f t="shared" si="22"/>
        <v>90</v>
      </c>
      <c r="R123" s="962">
        <f t="shared" si="23"/>
        <v>32</v>
      </c>
      <c r="S123" s="962">
        <f t="shared" si="24"/>
        <v>2</v>
      </c>
      <c r="T123" s="752">
        <f t="shared" si="34"/>
        <v>124</v>
      </c>
      <c r="W123" s="753">
        <f t="shared" si="26"/>
        <v>4.4444444444444446E-2</v>
      </c>
      <c r="X123" s="754">
        <f t="shared" si="27"/>
        <v>0</v>
      </c>
      <c r="Y123" s="755">
        <f t="shared" si="28"/>
        <v>0.5</v>
      </c>
      <c r="Z123" s="756">
        <f t="shared" si="29"/>
        <v>4.0322580645161289E-2</v>
      </c>
    </row>
    <row r="124" spans="1:26" x14ac:dyDescent="0.25">
      <c r="A124" s="521" t="s">
        <v>230</v>
      </c>
      <c r="B124" s="455" t="s">
        <v>231</v>
      </c>
      <c r="C124" s="481" t="s">
        <v>264</v>
      </c>
      <c r="D124" s="750">
        <v>239</v>
      </c>
      <c r="E124" s="751">
        <v>101</v>
      </c>
      <c r="F124" s="751"/>
      <c r="G124" s="317">
        <f t="shared" si="30"/>
        <v>340</v>
      </c>
      <c r="H124" s="750">
        <v>78</v>
      </c>
      <c r="I124" s="751">
        <v>25</v>
      </c>
      <c r="J124" s="751"/>
      <c r="K124" s="317">
        <f t="shared" si="31"/>
        <v>103</v>
      </c>
      <c r="L124" s="750"/>
      <c r="M124" s="751"/>
      <c r="N124" s="751"/>
      <c r="O124" s="317">
        <f t="shared" si="32"/>
        <v>0</v>
      </c>
      <c r="P124" s="752">
        <f t="shared" si="33"/>
        <v>443</v>
      </c>
      <c r="Q124" s="962">
        <f t="shared" si="22"/>
        <v>317</v>
      </c>
      <c r="R124" s="962">
        <f t="shared" si="23"/>
        <v>126</v>
      </c>
      <c r="S124" s="962">
        <f t="shared" si="24"/>
        <v>0</v>
      </c>
      <c r="T124" s="752">
        <f t="shared" si="34"/>
        <v>443</v>
      </c>
      <c r="W124" s="753">
        <f t="shared" si="26"/>
        <v>0.24605678233438485</v>
      </c>
      <c r="X124" s="754">
        <f t="shared" si="27"/>
        <v>0.1984126984126984</v>
      </c>
      <c r="Y124" s="755" t="str">
        <f t="shared" si="28"/>
        <v>NA</v>
      </c>
      <c r="Z124" s="756">
        <f t="shared" si="29"/>
        <v>0.2325056433408578</v>
      </c>
    </row>
    <row r="125" spans="1:26" x14ac:dyDescent="0.25">
      <c r="A125" s="521" t="s">
        <v>238</v>
      </c>
      <c r="B125" s="455" t="s">
        <v>239</v>
      </c>
      <c r="C125" s="481" t="s">
        <v>264</v>
      </c>
      <c r="D125" s="750">
        <v>8</v>
      </c>
      <c r="E125" s="751">
        <v>5</v>
      </c>
      <c r="F125" s="751"/>
      <c r="G125" s="317">
        <f t="shared" si="30"/>
        <v>13</v>
      </c>
      <c r="H125" s="750">
        <v>2</v>
      </c>
      <c r="I125" s="751"/>
      <c r="J125" s="751"/>
      <c r="K125" s="317">
        <f t="shared" si="31"/>
        <v>2</v>
      </c>
      <c r="L125" s="750"/>
      <c r="M125" s="751"/>
      <c r="N125" s="751"/>
      <c r="O125" s="317">
        <f t="shared" si="32"/>
        <v>0</v>
      </c>
      <c r="P125" s="752">
        <f t="shared" si="33"/>
        <v>15</v>
      </c>
      <c r="Q125" s="962">
        <f t="shared" si="22"/>
        <v>10</v>
      </c>
      <c r="R125" s="962">
        <f t="shared" si="23"/>
        <v>5</v>
      </c>
      <c r="S125" s="962">
        <f t="shared" si="24"/>
        <v>0</v>
      </c>
      <c r="T125" s="752">
        <f t="shared" si="34"/>
        <v>15</v>
      </c>
      <c r="W125" s="753">
        <f t="shared" si="26"/>
        <v>0.2</v>
      </c>
      <c r="X125" s="754">
        <f t="shared" si="27"/>
        <v>0</v>
      </c>
      <c r="Y125" s="755" t="str">
        <f t="shared" si="28"/>
        <v>NA</v>
      </c>
      <c r="Z125" s="756">
        <f t="shared" si="29"/>
        <v>0.13333333333333333</v>
      </c>
    </row>
    <row r="126" spans="1:26" x14ac:dyDescent="0.25">
      <c r="A126" s="758" t="s">
        <v>240</v>
      </c>
      <c r="B126" s="759" t="s">
        <v>241</v>
      </c>
      <c r="C126" s="760" t="s">
        <v>267</v>
      </c>
      <c r="D126" s="873">
        <v>29</v>
      </c>
      <c r="E126" s="874">
        <v>16</v>
      </c>
      <c r="F126" s="874"/>
      <c r="G126" s="875">
        <f t="shared" si="30"/>
        <v>45</v>
      </c>
      <c r="H126" s="873">
        <v>3</v>
      </c>
      <c r="I126" s="874">
        <v>1</v>
      </c>
      <c r="J126" s="874"/>
      <c r="K126" s="875">
        <f t="shared" si="31"/>
        <v>4</v>
      </c>
      <c r="L126" s="873"/>
      <c r="M126" s="874"/>
      <c r="N126" s="874"/>
      <c r="O126" s="875">
        <f t="shared" si="32"/>
        <v>0</v>
      </c>
      <c r="P126" s="876">
        <f t="shared" si="33"/>
        <v>49</v>
      </c>
      <c r="Q126" s="964">
        <f t="shared" si="22"/>
        <v>32</v>
      </c>
      <c r="R126" s="964">
        <f t="shared" si="23"/>
        <v>17</v>
      </c>
      <c r="S126" s="964">
        <f t="shared" si="24"/>
        <v>0</v>
      </c>
      <c r="T126" s="876">
        <f t="shared" si="34"/>
        <v>49</v>
      </c>
      <c r="W126" s="877">
        <f t="shared" si="26"/>
        <v>9.375E-2</v>
      </c>
      <c r="X126" s="878">
        <f t="shared" si="27"/>
        <v>5.8823529411764705E-2</v>
      </c>
      <c r="Y126" s="879" t="str">
        <f t="shared" si="28"/>
        <v>NA</v>
      </c>
      <c r="Z126" s="880">
        <f t="shared" si="29"/>
        <v>8.1632653061224483E-2</v>
      </c>
    </row>
    <row r="127" spans="1:26" x14ac:dyDescent="0.25">
      <c r="A127" s="508"/>
      <c r="B127" s="508"/>
      <c r="C127" s="508"/>
    </row>
    <row r="128" spans="1:26" ht="16.5" customHeight="1" x14ac:dyDescent="0.25">
      <c r="A128" s="919" t="s">
        <v>1300</v>
      </c>
      <c r="B128" s="508"/>
      <c r="C128" s="508"/>
      <c r="D128" s="508"/>
    </row>
    <row r="129" spans="1:4" x14ac:dyDescent="0.25">
      <c r="A129" s="762" t="s">
        <v>798</v>
      </c>
      <c r="B129" s="762"/>
      <c r="C129" s="762"/>
      <c r="D129" s="762"/>
    </row>
    <row r="130" spans="1:4" x14ac:dyDescent="0.25">
      <c r="A130" s="761" t="s">
        <v>656</v>
      </c>
      <c r="B130" s="508"/>
      <c r="C130" s="508"/>
      <c r="D130" s="508"/>
    </row>
    <row r="131" spans="1:4" x14ac:dyDescent="0.25">
      <c r="A131" s="761" t="s">
        <v>1301</v>
      </c>
      <c r="B131" s="508"/>
      <c r="C131" s="508"/>
      <c r="D131" s="508"/>
    </row>
    <row r="132" spans="1:4" x14ac:dyDescent="0.25">
      <c r="A132" s="270" t="s">
        <v>248</v>
      </c>
      <c r="B132" s="763"/>
      <c r="C132" s="763"/>
    </row>
    <row r="133" spans="1:4" x14ac:dyDescent="0.25">
      <c r="A133" s="270" t="s">
        <v>249</v>
      </c>
      <c r="B133" s="414" t="s">
        <v>250</v>
      </c>
      <c r="C133" s="764"/>
    </row>
  </sheetData>
  <autoFilter ref="A5:C5"/>
  <mergeCells count="7">
    <mergeCell ref="W4:Z4"/>
    <mergeCell ref="D4:G4"/>
    <mergeCell ref="H4:K4"/>
    <mergeCell ref="L4:O4"/>
    <mergeCell ref="P4:P5"/>
    <mergeCell ref="T4:T5"/>
    <mergeCell ref="Q4:S4"/>
  </mergeCells>
  <hyperlinks>
    <hyperlink ref="B133"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102" workbookViewId="0">
      <selection activeCell="A128" sqref="A128:IV133"/>
    </sheetView>
  </sheetViews>
  <sheetFormatPr defaultColWidth="9.125" defaultRowHeight="12.75" x14ac:dyDescent="0.2"/>
  <cols>
    <col min="1" max="1" width="8.5" style="96" customWidth="1"/>
    <col min="2" max="2" width="26.375" style="97" customWidth="1"/>
    <col min="3" max="3" width="9.25" style="97" customWidth="1"/>
    <col min="4" max="5" width="9.75" style="97" customWidth="1"/>
    <col min="6" max="6" width="1.75" style="97" customWidth="1"/>
    <col min="7" max="7" width="9.875" style="97" bestFit="1" customWidth="1"/>
    <col min="8" max="8" width="9.625" style="97" customWidth="1"/>
    <col min="9" max="9" width="1.5" style="97" customWidth="1"/>
    <col min="10" max="10" width="9.875" style="97" bestFit="1" customWidth="1"/>
    <col min="11" max="11" width="9" style="97" bestFit="1" customWidth="1"/>
    <col min="12" max="12" width="1.125" style="97" customWidth="1"/>
    <col min="13" max="13" width="9.875" style="97" bestFit="1" customWidth="1"/>
    <col min="14" max="14" width="9" style="97" bestFit="1" customWidth="1"/>
    <col min="15" max="15" width="1.5" style="97" customWidth="1"/>
    <col min="16" max="16" width="11" style="117" customWidth="1"/>
    <col min="17" max="18" width="9.25" style="95" customWidth="1"/>
    <col min="19" max="19" width="11.125" style="95" bestFit="1" customWidth="1"/>
    <col min="20" max="16384" width="9.125" style="96"/>
  </cols>
  <sheetData>
    <row r="1" spans="1:22" ht="17.25" customHeight="1" x14ac:dyDescent="0.25">
      <c r="A1" s="2326" t="s">
        <v>621</v>
      </c>
      <c r="B1" s="2326"/>
      <c r="C1" s="2326"/>
      <c r="D1" s="2326"/>
      <c r="E1" s="2326"/>
      <c r="F1" s="2326"/>
      <c r="G1" s="2326"/>
      <c r="H1" s="2326"/>
      <c r="I1" s="2326"/>
      <c r="J1" s="2326"/>
      <c r="K1" s="2326"/>
      <c r="L1" s="194"/>
      <c r="M1" s="194"/>
      <c r="N1" s="194"/>
      <c r="O1" s="194"/>
      <c r="P1" s="180"/>
      <c r="Q1" s="180"/>
      <c r="R1" s="180"/>
    </row>
    <row r="2" spans="1:22" ht="17.25" customHeight="1" x14ac:dyDescent="0.25">
      <c r="A2" s="319"/>
      <c r="B2" s="319"/>
      <c r="C2" s="319"/>
      <c r="D2" s="319"/>
      <c r="E2" s="319"/>
      <c r="F2" s="319"/>
      <c r="G2" s="319"/>
      <c r="H2" s="319"/>
      <c r="I2" s="319"/>
      <c r="J2" s="319"/>
      <c r="K2" s="319"/>
      <c r="L2" s="194"/>
      <c r="M2" s="194"/>
      <c r="N2" s="194"/>
      <c r="O2" s="194"/>
      <c r="P2" s="180"/>
      <c r="Q2" s="180"/>
      <c r="R2" s="180"/>
    </row>
    <row r="3" spans="1:22" ht="17.25" customHeight="1" x14ac:dyDescent="0.25">
      <c r="A3" s="195"/>
      <c r="B3" s="195"/>
      <c r="C3" s="195"/>
      <c r="D3" s="182"/>
      <c r="E3" s="182"/>
      <c r="F3" s="195"/>
      <c r="G3" s="182"/>
      <c r="H3" s="182"/>
      <c r="I3" s="195"/>
      <c r="J3" s="182"/>
      <c r="K3" s="182"/>
      <c r="L3" s="194"/>
      <c r="M3" s="94"/>
      <c r="N3" s="94"/>
      <c r="O3" s="194"/>
      <c r="P3" s="180"/>
      <c r="Q3" s="180"/>
      <c r="R3" s="180"/>
    </row>
    <row r="4" spans="1:22" ht="25.5" customHeight="1" x14ac:dyDescent="0.2">
      <c r="D4" s="2323" t="s">
        <v>622</v>
      </c>
      <c r="E4" s="2323"/>
      <c r="F4" s="180"/>
      <c r="G4" s="2323" t="s">
        <v>2</v>
      </c>
      <c r="H4" s="2323"/>
      <c r="I4" s="180"/>
      <c r="J4" s="2323" t="s">
        <v>623</v>
      </c>
      <c r="K4" s="2323"/>
      <c r="L4" s="98"/>
      <c r="M4" s="2323" t="s">
        <v>624</v>
      </c>
      <c r="N4" s="2323"/>
      <c r="O4" s="180"/>
      <c r="P4" s="2323" t="s">
        <v>625</v>
      </c>
      <c r="Q4" s="2323"/>
      <c r="R4" s="2323"/>
      <c r="S4" s="2323"/>
    </row>
    <row r="5" spans="1:22" ht="38.25" x14ac:dyDescent="0.2">
      <c r="A5" s="99" t="s">
        <v>4</v>
      </c>
      <c r="B5" s="100" t="s">
        <v>5</v>
      </c>
      <c r="C5" s="100" t="s">
        <v>251</v>
      </c>
      <c r="D5" s="209" t="s">
        <v>626</v>
      </c>
      <c r="E5" s="209" t="s">
        <v>281</v>
      </c>
      <c r="F5" s="98"/>
      <c r="G5" s="209" t="s">
        <v>626</v>
      </c>
      <c r="H5" s="209" t="s">
        <v>281</v>
      </c>
      <c r="I5" s="98"/>
      <c r="J5" s="209" t="s">
        <v>626</v>
      </c>
      <c r="K5" s="209" t="s">
        <v>281</v>
      </c>
      <c r="L5" s="98"/>
      <c r="M5" s="209" t="s">
        <v>626</v>
      </c>
      <c r="N5" s="209" t="s">
        <v>281</v>
      </c>
      <c r="O5" s="98"/>
      <c r="P5" s="201" t="s">
        <v>622</v>
      </c>
      <c r="Q5" s="201" t="s">
        <v>2</v>
      </c>
      <c r="R5" s="201" t="s">
        <v>3</v>
      </c>
      <c r="S5" s="201" t="s">
        <v>624</v>
      </c>
    </row>
    <row r="6" spans="1:22" x14ac:dyDescent="0.2">
      <c r="A6" s="196" t="s">
        <v>8</v>
      </c>
      <c r="B6" s="197" t="s">
        <v>9</v>
      </c>
      <c r="C6" s="197"/>
      <c r="D6" s="213">
        <v>444292</v>
      </c>
      <c r="E6" s="214">
        <v>1635360</v>
      </c>
      <c r="F6" s="198"/>
      <c r="G6" s="210">
        <v>203435</v>
      </c>
      <c r="H6" s="210">
        <v>1044656</v>
      </c>
      <c r="I6" s="200"/>
      <c r="J6" s="210">
        <v>178609</v>
      </c>
      <c r="K6" s="210">
        <v>322077</v>
      </c>
      <c r="L6" s="200"/>
      <c r="M6" s="210">
        <v>49259</v>
      </c>
      <c r="N6" s="210">
        <v>173510</v>
      </c>
      <c r="O6" s="199"/>
      <c r="P6" s="202">
        <f>(D6/E6)*100</f>
        <v>27.167840720086094</v>
      </c>
      <c r="Q6" s="202">
        <f>(G6/H6)*100</f>
        <v>19.473874653474446</v>
      </c>
      <c r="R6" s="202">
        <f>(J6/K6)*100</f>
        <v>55.455372473042161</v>
      </c>
      <c r="S6" s="202">
        <f>IF(N6&lt;1,"NA", ((M6/N6)*100))</f>
        <v>28.389718171863294</v>
      </c>
    </row>
    <row r="7" spans="1:22" x14ac:dyDescent="0.2">
      <c r="A7" s="101" t="s">
        <v>10</v>
      </c>
      <c r="B7" s="102" t="s">
        <v>11</v>
      </c>
      <c r="C7" s="103" t="s">
        <v>264</v>
      </c>
      <c r="D7" s="215">
        <v>2089</v>
      </c>
      <c r="E7" s="216">
        <v>5645</v>
      </c>
      <c r="F7" s="104"/>
      <c r="G7" s="211">
        <v>869</v>
      </c>
      <c r="H7" s="211">
        <v>3396</v>
      </c>
      <c r="I7" s="106"/>
      <c r="J7" s="211">
        <v>1026</v>
      </c>
      <c r="K7" s="211">
        <v>1557</v>
      </c>
      <c r="L7" s="107"/>
      <c r="M7" s="211">
        <v>245</v>
      </c>
      <c r="N7" s="211">
        <v>921</v>
      </c>
      <c r="O7" s="105"/>
      <c r="P7" s="203">
        <f t="shared" ref="P7:P70" si="0">(D7/E7)*100</f>
        <v>37.006200177147917</v>
      </c>
      <c r="Q7" s="204">
        <f t="shared" ref="Q7:Q70" si="1">(G7/H7)*100</f>
        <v>25.588928150765604</v>
      </c>
      <c r="R7" s="204">
        <f t="shared" ref="R7:R70" si="2">(J7/K7)*100</f>
        <v>65.895953757225428</v>
      </c>
      <c r="S7" s="203">
        <f t="shared" ref="S7:S70" si="3">IF(N7&lt;1,"NA", ((M7/N7)*100))</f>
        <v>26.601520086862106</v>
      </c>
      <c r="T7" s="108"/>
      <c r="U7" s="109"/>
      <c r="V7" s="109"/>
    </row>
    <row r="8" spans="1:22" x14ac:dyDescent="0.2">
      <c r="A8" s="101" t="s">
        <v>12</v>
      </c>
      <c r="B8" s="102" t="s">
        <v>13</v>
      </c>
      <c r="C8" s="103" t="s">
        <v>265</v>
      </c>
      <c r="D8" s="215">
        <v>4442</v>
      </c>
      <c r="E8" s="216">
        <v>19580</v>
      </c>
      <c r="F8" s="104"/>
      <c r="G8" s="211">
        <v>2663</v>
      </c>
      <c r="H8" s="211">
        <v>15250</v>
      </c>
      <c r="I8" s="107"/>
      <c r="J8" s="211">
        <v>1081</v>
      </c>
      <c r="K8" s="211">
        <v>1788</v>
      </c>
      <c r="L8" s="107"/>
      <c r="M8" s="211">
        <v>461</v>
      </c>
      <c r="N8" s="211">
        <v>1462</v>
      </c>
      <c r="O8" s="105"/>
      <c r="P8" s="203">
        <f t="shared" si="0"/>
        <v>22.68641470888662</v>
      </c>
      <c r="Q8" s="204">
        <f t="shared" si="1"/>
        <v>17.462295081967213</v>
      </c>
      <c r="R8" s="204">
        <f t="shared" si="2"/>
        <v>60.458612975391503</v>
      </c>
      <c r="S8" s="203">
        <f t="shared" si="3"/>
        <v>31.532147742818058</v>
      </c>
      <c r="T8" s="108"/>
      <c r="U8" s="109"/>
      <c r="V8" s="109"/>
    </row>
    <row r="9" spans="1:22" x14ac:dyDescent="0.2">
      <c r="A9" s="101" t="s">
        <v>16</v>
      </c>
      <c r="B9" s="102" t="s">
        <v>600</v>
      </c>
      <c r="C9" s="103" t="s">
        <v>265</v>
      </c>
      <c r="D9" s="215">
        <v>1246</v>
      </c>
      <c r="E9" s="216">
        <v>4119</v>
      </c>
      <c r="F9" s="104"/>
      <c r="G9" s="211">
        <v>970</v>
      </c>
      <c r="H9" s="211">
        <v>3662</v>
      </c>
      <c r="I9" s="107"/>
      <c r="J9" s="211">
        <v>167</v>
      </c>
      <c r="K9" s="211">
        <v>244</v>
      </c>
      <c r="L9" s="107"/>
      <c r="M9" s="211">
        <v>24</v>
      </c>
      <c r="N9" s="211">
        <v>71</v>
      </c>
      <c r="O9" s="105"/>
      <c r="P9" s="203">
        <f t="shared" si="0"/>
        <v>30.25006069434329</v>
      </c>
      <c r="Q9" s="204">
        <f t="shared" si="1"/>
        <v>26.488257782632441</v>
      </c>
      <c r="R9" s="204">
        <f t="shared" si="2"/>
        <v>68.442622950819683</v>
      </c>
      <c r="S9" s="203">
        <f t="shared" si="3"/>
        <v>33.802816901408448</v>
      </c>
      <c r="T9" s="108"/>
      <c r="U9" s="109"/>
      <c r="V9" s="109"/>
    </row>
    <row r="10" spans="1:22" x14ac:dyDescent="0.2">
      <c r="A10" s="101" t="s">
        <v>18</v>
      </c>
      <c r="B10" s="102" t="s">
        <v>19</v>
      </c>
      <c r="C10" s="103" t="s">
        <v>266</v>
      </c>
      <c r="D10" s="215">
        <v>628</v>
      </c>
      <c r="E10" s="216">
        <v>2321</v>
      </c>
      <c r="F10" s="104"/>
      <c r="G10" s="211">
        <v>381</v>
      </c>
      <c r="H10" s="211">
        <v>1778</v>
      </c>
      <c r="I10" s="107"/>
      <c r="J10" s="211">
        <v>210</v>
      </c>
      <c r="K10" s="211">
        <v>413</v>
      </c>
      <c r="L10" s="107"/>
      <c r="M10" s="211">
        <v>19</v>
      </c>
      <c r="N10" s="211">
        <v>79</v>
      </c>
      <c r="O10" s="105"/>
      <c r="P10" s="203">
        <f t="shared" si="0"/>
        <v>27.057302886686774</v>
      </c>
      <c r="Q10" s="204">
        <f t="shared" si="1"/>
        <v>21.428571428571427</v>
      </c>
      <c r="R10" s="204">
        <f t="shared" si="2"/>
        <v>50.847457627118644</v>
      </c>
      <c r="S10" s="203">
        <f t="shared" si="3"/>
        <v>24.050632911392405</v>
      </c>
      <c r="T10" s="108"/>
      <c r="U10" s="109"/>
      <c r="V10" s="109"/>
    </row>
    <row r="11" spans="1:22" x14ac:dyDescent="0.2">
      <c r="A11" s="101" t="s">
        <v>20</v>
      </c>
      <c r="B11" s="102" t="s">
        <v>21</v>
      </c>
      <c r="C11" s="103" t="s">
        <v>265</v>
      </c>
      <c r="D11" s="215">
        <v>1922</v>
      </c>
      <c r="E11" s="216">
        <v>5977</v>
      </c>
      <c r="F11" s="104"/>
      <c r="G11" s="211">
        <v>1150</v>
      </c>
      <c r="H11" s="211">
        <v>4492</v>
      </c>
      <c r="I11" s="107"/>
      <c r="J11" s="211">
        <v>576</v>
      </c>
      <c r="K11" s="211">
        <v>1038</v>
      </c>
      <c r="L11" s="107"/>
      <c r="M11" s="211">
        <v>54</v>
      </c>
      <c r="N11" s="211">
        <v>169</v>
      </c>
      <c r="O11" s="105"/>
      <c r="P11" s="203">
        <f t="shared" si="0"/>
        <v>32.156600301154427</v>
      </c>
      <c r="Q11" s="204">
        <f t="shared" si="1"/>
        <v>25.601068566340164</v>
      </c>
      <c r="R11" s="204">
        <f t="shared" si="2"/>
        <v>55.49132947976878</v>
      </c>
      <c r="S11" s="203">
        <f t="shared" si="3"/>
        <v>31.952662721893493</v>
      </c>
      <c r="T11" s="108"/>
      <c r="U11" s="109"/>
      <c r="V11" s="109"/>
    </row>
    <row r="12" spans="1:22" x14ac:dyDescent="0.2">
      <c r="A12" s="101" t="s">
        <v>22</v>
      </c>
      <c r="B12" s="102" t="s">
        <v>23</v>
      </c>
      <c r="C12" s="103" t="s">
        <v>265</v>
      </c>
      <c r="D12" s="215">
        <v>845</v>
      </c>
      <c r="E12" s="216">
        <v>2826</v>
      </c>
      <c r="F12" s="104"/>
      <c r="G12" s="211">
        <v>448</v>
      </c>
      <c r="H12" s="211">
        <v>2111</v>
      </c>
      <c r="I12" s="107"/>
      <c r="J12" s="211">
        <v>342</v>
      </c>
      <c r="K12" s="211">
        <v>581</v>
      </c>
      <c r="L12" s="107"/>
      <c r="M12" s="211">
        <v>20</v>
      </c>
      <c r="N12" s="211">
        <v>48</v>
      </c>
      <c r="O12" s="105"/>
      <c r="P12" s="203">
        <f t="shared" si="0"/>
        <v>29.900920028308565</v>
      </c>
      <c r="Q12" s="204">
        <f t="shared" si="1"/>
        <v>21.222169587873047</v>
      </c>
      <c r="R12" s="204">
        <f t="shared" si="2"/>
        <v>58.86402753872634</v>
      </c>
      <c r="S12" s="203">
        <f t="shared" si="3"/>
        <v>41.666666666666671</v>
      </c>
      <c r="T12" s="108"/>
      <c r="U12" s="109"/>
      <c r="V12" s="109"/>
    </row>
    <row r="13" spans="1:22" x14ac:dyDescent="0.2">
      <c r="A13" s="101" t="s">
        <v>24</v>
      </c>
      <c r="B13" s="102" t="s">
        <v>25</v>
      </c>
      <c r="C13" s="103" t="s">
        <v>267</v>
      </c>
      <c r="D13" s="215">
        <v>5359</v>
      </c>
      <c r="E13" s="216">
        <v>30162</v>
      </c>
      <c r="F13" s="104"/>
      <c r="G13" s="211">
        <v>2466</v>
      </c>
      <c r="H13" s="211">
        <v>19885</v>
      </c>
      <c r="I13" s="107"/>
      <c r="J13" s="211">
        <v>1226</v>
      </c>
      <c r="K13" s="211">
        <v>2625</v>
      </c>
      <c r="L13" s="107"/>
      <c r="M13" s="211">
        <v>1695</v>
      </c>
      <c r="N13" s="211">
        <v>6108</v>
      </c>
      <c r="O13" s="105"/>
      <c r="P13" s="203">
        <f t="shared" si="0"/>
        <v>17.767389430409125</v>
      </c>
      <c r="Q13" s="204">
        <f t="shared" si="1"/>
        <v>12.401307518229823</v>
      </c>
      <c r="R13" s="204">
        <f t="shared" si="2"/>
        <v>46.704761904761902</v>
      </c>
      <c r="S13" s="203">
        <f t="shared" si="3"/>
        <v>27.75049115913556</v>
      </c>
      <c r="T13" s="108"/>
      <c r="U13" s="109"/>
      <c r="V13" s="109"/>
    </row>
    <row r="14" spans="1:22" x14ac:dyDescent="0.2">
      <c r="A14" s="101" t="s">
        <v>26</v>
      </c>
      <c r="B14" s="102" t="s">
        <v>686</v>
      </c>
      <c r="C14" s="103" t="s">
        <v>265</v>
      </c>
      <c r="D14" s="215">
        <v>6433</v>
      </c>
      <c r="E14" s="216">
        <v>22064</v>
      </c>
      <c r="F14" s="104"/>
      <c r="G14" s="211">
        <v>4824</v>
      </c>
      <c r="H14" s="211">
        <v>19009</v>
      </c>
      <c r="I14" s="107"/>
      <c r="J14" s="211">
        <v>876</v>
      </c>
      <c r="K14" s="211">
        <v>1361</v>
      </c>
      <c r="L14" s="107"/>
      <c r="M14" s="211">
        <v>359</v>
      </c>
      <c r="N14" s="211">
        <v>1159</v>
      </c>
      <c r="O14" s="105"/>
      <c r="P14" s="203">
        <f t="shared" si="0"/>
        <v>29.156091370558375</v>
      </c>
      <c r="Q14" s="204">
        <f t="shared" si="1"/>
        <v>25.377452785522646</v>
      </c>
      <c r="R14" s="204">
        <f t="shared" si="2"/>
        <v>64.364437913299042</v>
      </c>
      <c r="S14" s="203">
        <f t="shared" si="3"/>
        <v>30.97497842968076</v>
      </c>
      <c r="T14" s="108"/>
      <c r="U14" s="109"/>
      <c r="V14" s="109"/>
    </row>
    <row r="15" spans="1:22" x14ac:dyDescent="0.2">
      <c r="A15" s="101" t="s">
        <v>27</v>
      </c>
      <c r="B15" s="102" t="s">
        <v>28</v>
      </c>
      <c r="C15" s="103" t="s">
        <v>265</v>
      </c>
      <c r="D15" s="215">
        <v>162</v>
      </c>
      <c r="E15" s="216">
        <v>710</v>
      </c>
      <c r="F15" s="104"/>
      <c r="G15" s="211">
        <v>142</v>
      </c>
      <c r="H15" s="211">
        <v>664</v>
      </c>
      <c r="I15" s="107"/>
      <c r="J15" s="211">
        <v>7</v>
      </c>
      <c r="K15" s="211">
        <v>24</v>
      </c>
      <c r="L15" s="107"/>
      <c r="M15" s="211">
        <v>8</v>
      </c>
      <c r="N15" s="211">
        <v>29</v>
      </c>
      <c r="O15" s="105"/>
      <c r="P15" s="203">
        <f t="shared" si="0"/>
        <v>22.816901408450704</v>
      </c>
      <c r="Q15" s="204">
        <f t="shared" si="1"/>
        <v>21.385542168674696</v>
      </c>
      <c r="R15" s="204">
        <f t="shared" si="2"/>
        <v>29.166666666666668</v>
      </c>
      <c r="S15" s="203">
        <f t="shared" si="3"/>
        <v>27.586206896551722</v>
      </c>
      <c r="T15" s="108"/>
      <c r="U15" s="109"/>
      <c r="V15" s="109"/>
    </row>
    <row r="16" spans="1:22" x14ac:dyDescent="0.2">
      <c r="A16" s="101" t="s">
        <v>29</v>
      </c>
      <c r="B16" s="102" t="s">
        <v>610</v>
      </c>
      <c r="C16" s="103" t="s">
        <v>265</v>
      </c>
      <c r="D16" s="215">
        <v>3036</v>
      </c>
      <c r="E16" s="216">
        <v>14897</v>
      </c>
      <c r="F16" s="104"/>
      <c r="G16" s="211">
        <v>2416</v>
      </c>
      <c r="H16" s="211">
        <v>13271</v>
      </c>
      <c r="I16" s="107"/>
      <c r="J16" s="211">
        <v>392</v>
      </c>
      <c r="K16" s="211">
        <v>843</v>
      </c>
      <c r="L16" s="107"/>
      <c r="M16" s="211">
        <v>117</v>
      </c>
      <c r="N16" s="211">
        <v>408</v>
      </c>
      <c r="O16" s="105"/>
      <c r="P16" s="203">
        <f t="shared" si="0"/>
        <v>20.379942270255757</v>
      </c>
      <c r="Q16" s="204">
        <f t="shared" si="1"/>
        <v>18.205108884032853</v>
      </c>
      <c r="R16" s="204">
        <f t="shared" si="2"/>
        <v>46.500593119810205</v>
      </c>
      <c r="S16" s="203">
        <f t="shared" si="3"/>
        <v>28.676470588235293</v>
      </c>
      <c r="T16" s="108"/>
      <c r="U16" s="109"/>
      <c r="V16" s="109"/>
    </row>
    <row r="17" spans="1:22" x14ac:dyDescent="0.2">
      <c r="A17" s="101" t="s">
        <v>30</v>
      </c>
      <c r="B17" s="102" t="s">
        <v>31</v>
      </c>
      <c r="C17" s="103" t="s">
        <v>268</v>
      </c>
      <c r="D17" s="215">
        <v>216</v>
      </c>
      <c r="E17" s="216">
        <v>1053</v>
      </c>
      <c r="F17" s="104"/>
      <c r="G17" s="211">
        <v>211</v>
      </c>
      <c r="H17" s="211">
        <v>1023</v>
      </c>
      <c r="I17" s="107"/>
      <c r="J17" s="211">
        <v>3</v>
      </c>
      <c r="K17" s="211">
        <v>9</v>
      </c>
      <c r="L17" s="107"/>
      <c r="M17" s="211">
        <v>2</v>
      </c>
      <c r="N17" s="211">
        <v>7</v>
      </c>
      <c r="O17" s="105"/>
      <c r="P17" s="203">
        <f t="shared" si="0"/>
        <v>20.512820512820511</v>
      </c>
      <c r="Q17" s="204">
        <f t="shared" si="1"/>
        <v>20.625610948191593</v>
      </c>
      <c r="R17" s="204">
        <f t="shared" si="2"/>
        <v>33.333333333333329</v>
      </c>
      <c r="S17" s="203">
        <f t="shared" si="3"/>
        <v>28.571428571428569</v>
      </c>
      <c r="T17" s="108"/>
      <c r="U17" s="109"/>
      <c r="V17" s="109"/>
    </row>
    <row r="18" spans="1:22" x14ac:dyDescent="0.2">
      <c r="A18" s="101" t="s">
        <v>32</v>
      </c>
      <c r="B18" s="102" t="s">
        <v>33</v>
      </c>
      <c r="C18" s="103" t="s">
        <v>265</v>
      </c>
      <c r="D18" s="215">
        <v>1217</v>
      </c>
      <c r="E18" s="216">
        <v>6697</v>
      </c>
      <c r="F18" s="104"/>
      <c r="G18" s="211">
        <v>1121</v>
      </c>
      <c r="H18" s="211">
        <v>6321</v>
      </c>
      <c r="I18" s="107"/>
      <c r="J18" s="211">
        <v>39</v>
      </c>
      <c r="K18" s="211">
        <v>149</v>
      </c>
      <c r="L18" s="107"/>
      <c r="M18" s="211">
        <v>27</v>
      </c>
      <c r="N18" s="211">
        <v>113</v>
      </c>
      <c r="O18" s="105"/>
      <c r="P18" s="203">
        <f t="shared" si="0"/>
        <v>18.172315962371211</v>
      </c>
      <c r="Q18" s="204">
        <f t="shared" si="1"/>
        <v>17.73453567473501</v>
      </c>
      <c r="R18" s="204">
        <f t="shared" si="2"/>
        <v>26.174496644295303</v>
      </c>
      <c r="S18" s="203">
        <f t="shared" si="3"/>
        <v>23.893805309734514</v>
      </c>
      <c r="T18" s="108"/>
      <c r="U18" s="109"/>
      <c r="V18" s="109"/>
    </row>
    <row r="19" spans="1:22" x14ac:dyDescent="0.2">
      <c r="A19" s="101" t="s">
        <v>36</v>
      </c>
      <c r="B19" s="102" t="s">
        <v>37</v>
      </c>
      <c r="C19" s="103" t="s">
        <v>264</v>
      </c>
      <c r="D19" s="215">
        <v>1326</v>
      </c>
      <c r="E19" s="216">
        <v>2644</v>
      </c>
      <c r="F19" s="104"/>
      <c r="G19" s="211">
        <v>310</v>
      </c>
      <c r="H19" s="211">
        <v>965</v>
      </c>
      <c r="I19" s="107"/>
      <c r="J19" s="211">
        <v>970</v>
      </c>
      <c r="K19" s="211">
        <v>1569</v>
      </c>
      <c r="L19" s="107"/>
      <c r="M19" s="211">
        <v>28</v>
      </c>
      <c r="N19" s="211">
        <v>82</v>
      </c>
      <c r="O19" s="105"/>
      <c r="P19" s="203">
        <f t="shared" si="0"/>
        <v>50.151285930408477</v>
      </c>
      <c r="Q19" s="204">
        <f t="shared" si="1"/>
        <v>32.124352331606218</v>
      </c>
      <c r="R19" s="204">
        <f t="shared" si="2"/>
        <v>61.822817080943274</v>
      </c>
      <c r="S19" s="203">
        <f t="shared" si="3"/>
        <v>34.146341463414636</v>
      </c>
      <c r="T19" s="108"/>
      <c r="U19" s="109"/>
      <c r="V19" s="109"/>
    </row>
    <row r="20" spans="1:22" x14ac:dyDescent="0.2">
      <c r="A20" s="101" t="s">
        <v>38</v>
      </c>
      <c r="B20" s="102" t="s">
        <v>39</v>
      </c>
      <c r="C20" s="103" t="s">
        <v>268</v>
      </c>
      <c r="D20" s="215">
        <v>990</v>
      </c>
      <c r="E20" s="216">
        <v>3681</v>
      </c>
      <c r="F20" s="104"/>
      <c r="G20" s="211">
        <v>972</v>
      </c>
      <c r="H20" s="211">
        <v>3643</v>
      </c>
      <c r="I20" s="107"/>
      <c r="J20" s="211">
        <v>5</v>
      </c>
      <c r="K20" s="211">
        <v>6</v>
      </c>
      <c r="L20" s="107"/>
      <c r="M20" s="211">
        <v>9</v>
      </c>
      <c r="N20" s="211">
        <v>14</v>
      </c>
      <c r="O20" s="105"/>
      <c r="P20" s="203">
        <f t="shared" si="0"/>
        <v>26.894865525672373</v>
      </c>
      <c r="Q20" s="204">
        <f t="shared" si="1"/>
        <v>26.681306615426848</v>
      </c>
      <c r="R20" s="204">
        <f t="shared" si="2"/>
        <v>83.333333333333343</v>
      </c>
      <c r="S20" s="203">
        <f t="shared" si="3"/>
        <v>64.285714285714292</v>
      </c>
      <c r="T20" s="108"/>
      <c r="U20" s="109"/>
      <c r="V20" s="109"/>
    </row>
    <row r="21" spans="1:22" x14ac:dyDescent="0.2">
      <c r="A21" s="101" t="s">
        <v>40</v>
      </c>
      <c r="B21" s="102" t="s">
        <v>41</v>
      </c>
      <c r="C21" s="103" t="s">
        <v>266</v>
      </c>
      <c r="D21" s="215">
        <v>1017</v>
      </c>
      <c r="E21" s="216">
        <v>2708</v>
      </c>
      <c r="F21" s="104"/>
      <c r="G21" s="211">
        <v>480</v>
      </c>
      <c r="H21" s="211">
        <v>1752</v>
      </c>
      <c r="I21" s="107"/>
      <c r="J21" s="211">
        <v>454</v>
      </c>
      <c r="K21" s="211">
        <v>786</v>
      </c>
      <c r="L21" s="107"/>
      <c r="M21" s="211">
        <v>29</v>
      </c>
      <c r="N21" s="211">
        <v>68</v>
      </c>
      <c r="O21" s="105"/>
      <c r="P21" s="203">
        <f t="shared" si="0"/>
        <v>37.55539143279173</v>
      </c>
      <c r="Q21" s="204">
        <f t="shared" si="1"/>
        <v>27.397260273972602</v>
      </c>
      <c r="R21" s="204">
        <f t="shared" si="2"/>
        <v>57.760814249363868</v>
      </c>
      <c r="S21" s="203">
        <f t="shared" si="3"/>
        <v>42.647058823529413</v>
      </c>
      <c r="T21" s="108"/>
      <c r="U21" s="109"/>
      <c r="V21" s="109"/>
    </row>
    <row r="22" spans="1:22" x14ac:dyDescent="0.2">
      <c r="A22" s="101" t="s">
        <v>42</v>
      </c>
      <c r="B22" s="102" t="s">
        <v>43</v>
      </c>
      <c r="C22" s="103" t="s">
        <v>265</v>
      </c>
      <c r="D22" s="215">
        <v>2981</v>
      </c>
      <c r="E22" s="216">
        <v>10559</v>
      </c>
      <c r="F22" s="104"/>
      <c r="G22" s="211">
        <v>1998</v>
      </c>
      <c r="H22" s="211">
        <v>8538</v>
      </c>
      <c r="I22" s="107"/>
      <c r="J22" s="211">
        <v>714</v>
      </c>
      <c r="K22" s="211">
        <v>1322</v>
      </c>
      <c r="L22" s="107"/>
      <c r="M22" s="211">
        <v>93</v>
      </c>
      <c r="N22" s="211">
        <v>248</v>
      </c>
      <c r="O22" s="105"/>
      <c r="P22" s="203">
        <f t="shared" si="0"/>
        <v>28.231840136376551</v>
      </c>
      <c r="Q22" s="204">
        <f t="shared" si="1"/>
        <v>23.401264933239634</v>
      </c>
      <c r="R22" s="204">
        <f t="shared" si="2"/>
        <v>54.0090771558245</v>
      </c>
      <c r="S22" s="203">
        <f t="shared" si="3"/>
        <v>37.5</v>
      </c>
      <c r="T22" s="108"/>
      <c r="U22" s="109"/>
      <c r="V22" s="109"/>
    </row>
    <row r="23" spans="1:22" x14ac:dyDescent="0.2">
      <c r="A23" s="101" t="s">
        <v>44</v>
      </c>
      <c r="B23" s="102" t="s">
        <v>45</v>
      </c>
      <c r="C23" s="103" t="s">
        <v>266</v>
      </c>
      <c r="D23" s="215">
        <v>1585</v>
      </c>
      <c r="E23" s="216">
        <v>5526</v>
      </c>
      <c r="F23" s="104"/>
      <c r="G23" s="211">
        <v>825</v>
      </c>
      <c r="H23" s="211">
        <v>3670</v>
      </c>
      <c r="I23" s="107"/>
      <c r="J23" s="211">
        <v>590</v>
      </c>
      <c r="K23" s="211">
        <v>1349</v>
      </c>
      <c r="L23" s="107"/>
      <c r="M23" s="211">
        <v>81</v>
      </c>
      <c r="N23" s="211">
        <v>311</v>
      </c>
      <c r="O23" s="105"/>
      <c r="P23" s="203">
        <f t="shared" si="0"/>
        <v>28.682591386174451</v>
      </c>
      <c r="Q23" s="204">
        <f t="shared" si="1"/>
        <v>22.479564032697546</v>
      </c>
      <c r="R23" s="204">
        <f t="shared" si="2"/>
        <v>43.73610081541883</v>
      </c>
      <c r="S23" s="203">
        <f t="shared" si="3"/>
        <v>26.04501607717042</v>
      </c>
      <c r="T23" s="108"/>
      <c r="U23" s="109"/>
      <c r="V23" s="109"/>
    </row>
    <row r="24" spans="1:22" x14ac:dyDescent="0.2">
      <c r="A24" s="101" t="s">
        <v>46</v>
      </c>
      <c r="B24" s="102" t="s">
        <v>47</v>
      </c>
      <c r="C24" s="103" t="s">
        <v>268</v>
      </c>
      <c r="D24" s="215">
        <v>1519</v>
      </c>
      <c r="E24" s="216">
        <v>5425</v>
      </c>
      <c r="F24" s="104"/>
      <c r="G24" s="211">
        <v>1414</v>
      </c>
      <c r="H24" s="211">
        <v>5157</v>
      </c>
      <c r="I24" s="107"/>
      <c r="J24" s="211">
        <v>22</v>
      </c>
      <c r="K24" s="211">
        <v>37</v>
      </c>
      <c r="L24" s="107"/>
      <c r="M24" s="211">
        <v>94</v>
      </c>
      <c r="N24" s="211">
        <v>262</v>
      </c>
      <c r="O24" s="105"/>
      <c r="P24" s="203">
        <f t="shared" si="0"/>
        <v>28.000000000000004</v>
      </c>
      <c r="Q24" s="204">
        <f t="shared" si="1"/>
        <v>27.419042078727941</v>
      </c>
      <c r="R24" s="204">
        <f t="shared" si="2"/>
        <v>59.45945945945946</v>
      </c>
      <c r="S24" s="203">
        <f t="shared" si="3"/>
        <v>35.877862595419849</v>
      </c>
      <c r="T24" s="108"/>
      <c r="U24" s="109"/>
      <c r="V24" s="109"/>
    </row>
    <row r="25" spans="1:22" x14ac:dyDescent="0.2">
      <c r="A25" s="101" t="s">
        <v>48</v>
      </c>
      <c r="B25" s="102" t="s">
        <v>269</v>
      </c>
      <c r="C25" s="103" t="s">
        <v>266</v>
      </c>
      <c r="D25" s="215">
        <v>299</v>
      </c>
      <c r="E25" s="216">
        <v>948</v>
      </c>
      <c r="F25" s="104"/>
      <c r="G25" s="211">
        <v>85</v>
      </c>
      <c r="H25" s="211">
        <v>426</v>
      </c>
      <c r="I25" s="107"/>
      <c r="J25" s="211">
        <v>184</v>
      </c>
      <c r="K25" s="211">
        <v>381</v>
      </c>
      <c r="L25" s="107"/>
      <c r="M25" s="211">
        <v>5</v>
      </c>
      <c r="N25" s="211">
        <v>17</v>
      </c>
      <c r="O25" s="105"/>
      <c r="P25" s="203">
        <f t="shared" si="0"/>
        <v>31.540084388185651</v>
      </c>
      <c r="Q25" s="204">
        <f t="shared" si="1"/>
        <v>19.953051643192488</v>
      </c>
      <c r="R25" s="204">
        <f t="shared" si="2"/>
        <v>48.293963254593173</v>
      </c>
      <c r="S25" s="203">
        <f t="shared" si="3"/>
        <v>29.411764705882355</v>
      </c>
      <c r="T25" s="108"/>
      <c r="U25" s="109"/>
      <c r="V25" s="109"/>
    </row>
    <row r="26" spans="1:22" x14ac:dyDescent="0.2">
      <c r="A26" s="101" t="s">
        <v>50</v>
      </c>
      <c r="B26" s="102" t="s">
        <v>51</v>
      </c>
      <c r="C26" s="103" t="s">
        <v>265</v>
      </c>
      <c r="D26" s="215">
        <v>821</v>
      </c>
      <c r="E26" s="216">
        <v>2418</v>
      </c>
      <c r="F26" s="104"/>
      <c r="G26" s="211">
        <v>398</v>
      </c>
      <c r="H26" s="211">
        <v>1615</v>
      </c>
      <c r="I26" s="107"/>
      <c r="J26" s="211">
        <v>375</v>
      </c>
      <c r="K26" s="211">
        <v>687</v>
      </c>
      <c r="L26" s="107"/>
      <c r="M26" s="211">
        <v>34</v>
      </c>
      <c r="N26" s="211">
        <v>66</v>
      </c>
      <c r="O26" s="105"/>
      <c r="P26" s="203">
        <f t="shared" si="0"/>
        <v>33.953680727874271</v>
      </c>
      <c r="Q26" s="204">
        <f t="shared" si="1"/>
        <v>24.643962848297214</v>
      </c>
      <c r="R26" s="204">
        <f t="shared" si="2"/>
        <v>54.585152838427952</v>
      </c>
      <c r="S26" s="203">
        <f t="shared" si="3"/>
        <v>51.515151515151516</v>
      </c>
      <c r="T26" s="108"/>
      <c r="U26" s="109"/>
      <c r="V26" s="109"/>
    </row>
    <row r="27" spans="1:22" x14ac:dyDescent="0.2">
      <c r="A27" s="101" t="s">
        <v>56</v>
      </c>
      <c r="B27" s="102" t="s">
        <v>295</v>
      </c>
      <c r="C27" s="103" t="s">
        <v>266</v>
      </c>
      <c r="D27" s="215">
        <v>20205</v>
      </c>
      <c r="E27" s="216">
        <v>77370</v>
      </c>
      <c r="F27" s="104"/>
      <c r="G27" s="211">
        <v>9324</v>
      </c>
      <c r="H27" s="211">
        <v>49962</v>
      </c>
      <c r="I27" s="107"/>
      <c r="J27" s="211">
        <v>8120</v>
      </c>
      <c r="K27" s="211">
        <v>17070</v>
      </c>
      <c r="L27" s="107"/>
      <c r="M27" s="211">
        <v>2199</v>
      </c>
      <c r="N27" s="211">
        <v>7351</v>
      </c>
      <c r="O27" s="105"/>
      <c r="P27" s="203">
        <f t="shared" si="0"/>
        <v>26.114773167894533</v>
      </c>
      <c r="Q27" s="204">
        <f t="shared" si="1"/>
        <v>18.66218325927705</v>
      </c>
      <c r="R27" s="204">
        <f t="shared" si="2"/>
        <v>47.568834212067955</v>
      </c>
      <c r="S27" s="203">
        <f t="shared" si="3"/>
        <v>29.914297374506869</v>
      </c>
      <c r="T27" s="108"/>
      <c r="U27" s="109"/>
      <c r="V27" s="109"/>
    </row>
    <row r="28" spans="1:22" x14ac:dyDescent="0.2">
      <c r="A28" s="101" t="s">
        <v>58</v>
      </c>
      <c r="B28" s="102" t="s">
        <v>59</v>
      </c>
      <c r="C28" s="103" t="s">
        <v>267</v>
      </c>
      <c r="D28" s="215">
        <v>537</v>
      </c>
      <c r="E28" s="216">
        <v>2896</v>
      </c>
      <c r="F28" s="104"/>
      <c r="G28" s="211">
        <v>447</v>
      </c>
      <c r="H28" s="211">
        <v>2583</v>
      </c>
      <c r="I28" s="107"/>
      <c r="J28" s="211">
        <v>40</v>
      </c>
      <c r="K28" s="211">
        <v>89</v>
      </c>
      <c r="L28" s="107"/>
      <c r="M28" s="211">
        <v>32</v>
      </c>
      <c r="N28" s="211">
        <v>168</v>
      </c>
      <c r="O28" s="105"/>
      <c r="P28" s="203">
        <f t="shared" si="0"/>
        <v>18.542817679558009</v>
      </c>
      <c r="Q28" s="204">
        <f t="shared" si="1"/>
        <v>17.305458768873404</v>
      </c>
      <c r="R28" s="204">
        <f t="shared" si="2"/>
        <v>44.943820224719097</v>
      </c>
      <c r="S28" s="203">
        <f t="shared" si="3"/>
        <v>19.047619047619047</v>
      </c>
      <c r="T28" s="108"/>
      <c r="U28" s="109"/>
      <c r="V28" s="109"/>
    </row>
    <row r="29" spans="1:22" x14ac:dyDescent="0.2">
      <c r="A29" s="101" t="s">
        <v>60</v>
      </c>
      <c r="B29" s="102" t="s">
        <v>61</v>
      </c>
      <c r="C29" s="103" t="s">
        <v>265</v>
      </c>
      <c r="D29" s="215">
        <v>220</v>
      </c>
      <c r="E29" s="216">
        <v>966</v>
      </c>
      <c r="F29" s="104"/>
      <c r="G29" s="211">
        <v>217</v>
      </c>
      <c r="H29" s="211">
        <v>946</v>
      </c>
      <c r="I29" s="107"/>
      <c r="J29" s="211">
        <v>0</v>
      </c>
      <c r="K29" s="211">
        <v>2</v>
      </c>
      <c r="L29" s="107"/>
      <c r="M29" s="211">
        <v>2</v>
      </c>
      <c r="N29" s="211">
        <v>11</v>
      </c>
      <c r="O29" s="105"/>
      <c r="P29" s="203">
        <f t="shared" si="0"/>
        <v>22.77432712215321</v>
      </c>
      <c r="Q29" s="204">
        <f t="shared" si="1"/>
        <v>22.938689217758984</v>
      </c>
      <c r="R29" s="204">
        <f t="shared" si="2"/>
        <v>0</v>
      </c>
      <c r="S29" s="203">
        <f t="shared" si="3"/>
        <v>18.181818181818183</v>
      </c>
      <c r="T29" s="108"/>
      <c r="U29" s="109"/>
      <c r="V29" s="109"/>
    </row>
    <row r="30" spans="1:22" x14ac:dyDescent="0.2">
      <c r="A30" s="101" t="s">
        <v>62</v>
      </c>
      <c r="B30" s="102" t="s">
        <v>63</v>
      </c>
      <c r="C30" s="103" t="s">
        <v>267</v>
      </c>
      <c r="D30" s="215">
        <v>2536</v>
      </c>
      <c r="E30" s="216">
        <v>10317</v>
      </c>
      <c r="F30" s="104"/>
      <c r="G30" s="211">
        <v>1365</v>
      </c>
      <c r="H30" s="211">
        <v>7457</v>
      </c>
      <c r="I30" s="107"/>
      <c r="J30" s="211">
        <v>679</v>
      </c>
      <c r="K30" s="211">
        <v>1310</v>
      </c>
      <c r="L30" s="107"/>
      <c r="M30" s="211">
        <v>341</v>
      </c>
      <c r="N30" s="211">
        <v>1258</v>
      </c>
      <c r="O30" s="105"/>
      <c r="P30" s="203">
        <f t="shared" si="0"/>
        <v>24.580788989047203</v>
      </c>
      <c r="Q30" s="204">
        <f t="shared" si="1"/>
        <v>18.30494837065844</v>
      </c>
      <c r="R30" s="204">
        <f t="shared" si="2"/>
        <v>51.832061068702295</v>
      </c>
      <c r="S30" s="203">
        <f t="shared" si="3"/>
        <v>27.106518282988873</v>
      </c>
      <c r="T30" s="108"/>
      <c r="U30" s="109"/>
      <c r="V30" s="109"/>
    </row>
    <row r="31" spans="1:22" x14ac:dyDescent="0.2">
      <c r="A31" s="101" t="s">
        <v>64</v>
      </c>
      <c r="B31" s="102" t="s">
        <v>65</v>
      </c>
      <c r="C31" s="103" t="s">
        <v>266</v>
      </c>
      <c r="D31" s="215">
        <v>595</v>
      </c>
      <c r="E31" s="216">
        <v>1853</v>
      </c>
      <c r="F31" s="104"/>
      <c r="G31" s="211">
        <v>275</v>
      </c>
      <c r="H31" s="211">
        <v>1211</v>
      </c>
      <c r="I31" s="107"/>
      <c r="J31" s="211">
        <v>287</v>
      </c>
      <c r="K31" s="211">
        <v>529</v>
      </c>
      <c r="L31" s="107"/>
      <c r="M31" s="211">
        <v>16</v>
      </c>
      <c r="N31" s="211">
        <v>67</v>
      </c>
      <c r="O31" s="105"/>
      <c r="P31" s="203">
        <f t="shared" si="0"/>
        <v>32.11009174311927</v>
      </c>
      <c r="Q31" s="204">
        <f t="shared" si="1"/>
        <v>22.708505367464905</v>
      </c>
      <c r="R31" s="204">
        <f t="shared" si="2"/>
        <v>54.253308128544418</v>
      </c>
      <c r="S31" s="203">
        <f t="shared" si="3"/>
        <v>23.880597014925371</v>
      </c>
      <c r="T31" s="108"/>
      <c r="U31" s="109"/>
      <c r="V31" s="109"/>
    </row>
    <row r="32" spans="1:22" x14ac:dyDescent="0.2">
      <c r="A32" s="101" t="s">
        <v>68</v>
      </c>
      <c r="B32" s="102" t="s">
        <v>69</v>
      </c>
      <c r="C32" s="103" t="s">
        <v>268</v>
      </c>
      <c r="D32" s="215">
        <v>713</v>
      </c>
      <c r="E32" s="216">
        <v>2891</v>
      </c>
      <c r="F32" s="104"/>
      <c r="G32" s="211">
        <v>695</v>
      </c>
      <c r="H32" s="211">
        <v>2845</v>
      </c>
      <c r="I32" s="107"/>
      <c r="J32" s="211">
        <v>8</v>
      </c>
      <c r="K32" s="211">
        <v>14</v>
      </c>
      <c r="L32" s="107"/>
      <c r="M32" s="211">
        <v>9</v>
      </c>
      <c r="N32" s="211">
        <v>27</v>
      </c>
      <c r="O32" s="105"/>
      <c r="P32" s="203">
        <f t="shared" si="0"/>
        <v>24.662746454514011</v>
      </c>
      <c r="Q32" s="204">
        <f t="shared" si="1"/>
        <v>24.42882249560633</v>
      </c>
      <c r="R32" s="204">
        <f t="shared" si="2"/>
        <v>57.142857142857139</v>
      </c>
      <c r="S32" s="203">
        <f t="shared" si="3"/>
        <v>33.333333333333329</v>
      </c>
      <c r="T32" s="108"/>
      <c r="U32" s="109"/>
      <c r="V32" s="109"/>
    </row>
    <row r="33" spans="1:22" x14ac:dyDescent="0.2">
      <c r="A33" s="101" t="s">
        <v>70</v>
      </c>
      <c r="B33" s="102" t="s">
        <v>71</v>
      </c>
      <c r="C33" s="103" t="s">
        <v>264</v>
      </c>
      <c r="D33" s="215">
        <v>1785</v>
      </c>
      <c r="E33" s="216">
        <v>5303</v>
      </c>
      <c r="F33" s="104"/>
      <c r="G33" s="211">
        <v>834</v>
      </c>
      <c r="H33" s="211">
        <v>3388</v>
      </c>
      <c r="I33" s="107"/>
      <c r="J33" s="211">
        <v>859</v>
      </c>
      <c r="K33" s="211">
        <v>1628</v>
      </c>
      <c r="L33" s="107"/>
      <c r="M33" s="211">
        <v>50</v>
      </c>
      <c r="N33" s="211">
        <v>239</v>
      </c>
      <c r="O33" s="105"/>
      <c r="P33" s="203">
        <f t="shared" si="0"/>
        <v>33.660192343956254</v>
      </c>
      <c r="Q33" s="204">
        <f t="shared" si="1"/>
        <v>24.61629279811098</v>
      </c>
      <c r="R33" s="204">
        <f t="shared" si="2"/>
        <v>52.764127764127764</v>
      </c>
      <c r="S33" s="203">
        <f t="shared" si="3"/>
        <v>20.920502092050206</v>
      </c>
      <c r="T33" s="108"/>
      <c r="U33" s="109"/>
      <c r="V33" s="109"/>
    </row>
    <row r="34" spans="1:22" x14ac:dyDescent="0.2">
      <c r="A34" s="101" t="s">
        <v>72</v>
      </c>
      <c r="B34" s="102" t="s">
        <v>73</v>
      </c>
      <c r="C34" s="103" t="s">
        <v>266</v>
      </c>
      <c r="D34" s="215">
        <v>825</v>
      </c>
      <c r="E34" s="216">
        <v>1937</v>
      </c>
      <c r="F34" s="104"/>
      <c r="G34" s="211">
        <v>245</v>
      </c>
      <c r="H34" s="211">
        <v>978</v>
      </c>
      <c r="I34" s="107"/>
      <c r="J34" s="211">
        <v>511</v>
      </c>
      <c r="K34" s="211">
        <v>808</v>
      </c>
      <c r="L34" s="107"/>
      <c r="M34" s="211">
        <v>32</v>
      </c>
      <c r="N34" s="211">
        <v>86</v>
      </c>
      <c r="O34" s="105"/>
      <c r="P34" s="203">
        <f t="shared" si="0"/>
        <v>42.591636551368097</v>
      </c>
      <c r="Q34" s="204">
        <f t="shared" si="1"/>
        <v>25.051124744376281</v>
      </c>
      <c r="R34" s="204">
        <f t="shared" si="2"/>
        <v>63.242574257425744</v>
      </c>
      <c r="S34" s="203">
        <f t="shared" si="3"/>
        <v>37.209302325581397</v>
      </c>
      <c r="T34" s="108"/>
      <c r="U34" s="109"/>
      <c r="V34" s="109"/>
    </row>
    <row r="35" spans="1:22" x14ac:dyDescent="0.2">
      <c r="A35" s="101" t="s">
        <v>74</v>
      </c>
      <c r="B35" s="102" t="s">
        <v>609</v>
      </c>
      <c r="C35" s="103" t="s">
        <v>267</v>
      </c>
      <c r="D35" s="215">
        <v>40722</v>
      </c>
      <c r="E35" s="216">
        <v>248438</v>
      </c>
      <c r="F35" s="104"/>
      <c r="G35" s="211">
        <v>19519</v>
      </c>
      <c r="H35" s="211">
        <v>146411</v>
      </c>
      <c r="I35" s="107"/>
      <c r="J35" s="211">
        <v>9151</v>
      </c>
      <c r="K35" s="211">
        <v>23526</v>
      </c>
      <c r="L35" s="107"/>
      <c r="M35" s="211">
        <v>10967</v>
      </c>
      <c r="N35" s="211">
        <v>42015</v>
      </c>
      <c r="O35" s="105"/>
      <c r="P35" s="203">
        <f t="shared" si="0"/>
        <v>16.391212294415507</v>
      </c>
      <c r="Q35" s="204">
        <f t="shared" si="1"/>
        <v>13.331648578317203</v>
      </c>
      <c r="R35" s="204">
        <f t="shared" si="2"/>
        <v>38.897390121567625</v>
      </c>
      <c r="S35" s="203">
        <f t="shared" si="3"/>
        <v>26.102582411043674</v>
      </c>
      <c r="T35" s="108"/>
      <c r="U35" s="109"/>
      <c r="V35" s="109"/>
    </row>
    <row r="36" spans="1:22" x14ac:dyDescent="0.2">
      <c r="A36" s="101" t="s">
        <v>76</v>
      </c>
      <c r="B36" s="102" t="s">
        <v>77</v>
      </c>
      <c r="C36" s="103" t="s">
        <v>267</v>
      </c>
      <c r="D36" s="215">
        <v>2535</v>
      </c>
      <c r="E36" s="216">
        <v>14530</v>
      </c>
      <c r="F36" s="104"/>
      <c r="G36" s="211">
        <v>1880</v>
      </c>
      <c r="H36" s="211">
        <v>12201</v>
      </c>
      <c r="I36" s="107"/>
      <c r="J36" s="211">
        <v>352</v>
      </c>
      <c r="K36" s="211">
        <v>898</v>
      </c>
      <c r="L36" s="107"/>
      <c r="M36" s="211">
        <v>201</v>
      </c>
      <c r="N36" s="211">
        <v>1361</v>
      </c>
      <c r="O36" s="105"/>
      <c r="P36" s="203">
        <f t="shared" si="0"/>
        <v>17.44666207845836</v>
      </c>
      <c r="Q36" s="204">
        <f t="shared" si="1"/>
        <v>15.408573067781328</v>
      </c>
      <c r="R36" s="204">
        <f t="shared" si="2"/>
        <v>39.198218262806236</v>
      </c>
      <c r="S36" s="203">
        <f t="shared" si="3"/>
        <v>14.768552534900808</v>
      </c>
      <c r="T36" s="108"/>
      <c r="U36" s="109"/>
      <c r="V36" s="109"/>
    </row>
    <row r="37" spans="1:22" x14ac:dyDescent="0.2">
      <c r="A37" s="101" t="s">
        <v>78</v>
      </c>
      <c r="B37" s="102" t="s">
        <v>79</v>
      </c>
      <c r="C37" s="103" t="s">
        <v>268</v>
      </c>
      <c r="D37" s="215">
        <v>695</v>
      </c>
      <c r="E37" s="216">
        <v>2996</v>
      </c>
      <c r="F37" s="104"/>
      <c r="G37" s="211">
        <v>644</v>
      </c>
      <c r="H37" s="211">
        <v>2859</v>
      </c>
      <c r="I37" s="107"/>
      <c r="J37" s="211">
        <v>18</v>
      </c>
      <c r="K37" s="211">
        <v>28</v>
      </c>
      <c r="L37" s="107"/>
      <c r="M37" s="211">
        <v>36</v>
      </c>
      <c r="N37" s="211">
        <v>119</v>
      </c>
      <c r="O37" s="105"/>
      <c r="P37" s="203">
        <f t="shared" si="0"/>
        <v>23.197596795727637</v>
      </c>
      <c r="Q37" s="204">
        <f t="shared" si="1"/>
        <v>22.525358516963973</v>
      </c>
      <c r="R37" s="204">
        <f t="shared" si="2"/>
        <v>64.285714285714292</v>
      </c>
      <c r="S37" s="203">
        <f t="shared" si="3"/>
        <v>30.252100840336134</v>
      </c>
      <c r="T37" s="108"/>
      <c r="U37" s="109"/>
      <c r="V37" s="109"/>
    </row>
    <row r="38" spans="1:22" x14ac:dyDescent="0.2">
      <c r="A38" s="101" t="s">
        <v>80</v>
      </c>
      <c r="B38" s="102" t="s">
        <v>81</v>
      </c>
      <c r="C38" s="103" t="s">
        <v>266</v>
      </c>
      <c r="D38" s="215">
        <v>1133</v>
      </c>
      <c r="E38" s="216">
        <v>5255</v>
      </c>
      <c r="F38" s="104"/>
      <c r="G38" s="211">
        <v>741</v>
      </c>
      <c r="H38" s="211">
        <v>4246</v>
      </c>
      <c r="I38" s="107"/>
      <c r="J38" s="211">
        <v>270</v>
      </c>
      <c r="K38" s="211">
        <v>607</v>
      </c>
      <c r="L38" s="107"/>
      <c r="M38" s="211">
        <v>53</v>
      </c>
      <c r="N38" s="211">
        <v>259</v>
      </c>
      <c r="O38" s="105"/>
      <c r="P38" s="203">
        <f t="shared" si="0"/>
        <v>21.560418648905806</v>
      </c>
      <c r="Q38" s="204">
        <f t="shared" si="1"/>
        <v>17.451719265190768</v>
      </c>
      <c r="R38" s="204">
        <f t="shared" si="2"/>
        <v>44.481054365733115</v>
      </c>
      <c r="S38" s="203">
        <f t="shared" si="3"/>
        <v>20.463320463320464</v>
      </c>
      <c r="T38" s="108"/>
      <c r="U38" s="109"/>
      <c r="V38" s="109"/>
    </row>
    <row r="39" spans="1:22" x14ac:dyDescent="0.2">
      <c r="A39" s="101" t="s">
        <v>84</v>
      </c>
      <c r="B39" s="102" t="s">
        <v>308</v>
      </c>
      <c r="C39" s="103" t="s">
        <v>265</v>
      </c>
      <c r="D39" s="215">
        <v>2881</v>
      </c>
      <c r="E39" s="216">
        <v>10070</v>
      </c>
      <c r="F39" s="104"/>
      <c r="G39" s="211">
        <v>2240</v>
      </c>
      <c r="H39" s="211">
        <v>8784</v>
      </c>
      <c r="I39" s="107"/>
      <c r="J39" s="211">
        <v>401</v>
      </c>
      <c r="K39" s="211">
        <v>661</v>
      </c>
      <c r="L39" s="107"/>
      <c r="M39" s="211">
        <v>131</v>
      </c>
      <c r="N39" s="211">
        <v>461</v>
      </c>
      <c r="O39" s="105"/>
      <c r="P39" s="203">
        <f t="shared" si="0"/>
        <v>28.609731876861964</v>
      </c>
      <c r="Q39" s="204">
        <f t="shared" si="1"/>
        <v>25.500910746812387</v>
      </c>
      <c r="R39" s="204">
        <f t="shared" si="2"/>
        <v>60.665658093797283</v>
      </c>
      <c r="S39" s="203">
        <f t="shared" si="3"/>
        <v>28.416485900216919</v>
      </c>
      <c r="T39" s="108"/>
      <c r="U39" s="109"/>
      <c r="V39" s="109"/>
    </row>
    <row r="40" spans="1:22" x14ac:dyDescent="0.2">
      <c r="A40" s="101" t="s">
        <v>86</v>
      </c>
      <c r="B40" s="102" t="s">
        <v>87</v>
      </c>
      <c r="C40" s="103" t="s">
        <v>267</v>
      </c>
      <c r="D40" s="215">
        <v>3866</v>
      </c>
      <c r="E40" s="216">
        <v>17412</v>
      </c>
      <c r="F40" s="104"/>
      <c r="G40" s="211">
        <v>3103</v>
      </c>
      <c r="H40" s="211">
        <v>14783</v>
      </c>
      <c r="I40" s="107"/>
      <c r="J40" s="211">
        <v>311</v>
      </c>
      <c r="K40" s="211">
        <v>793</v>
      </c>
      <c r="L40" s="107"/>
      <c r="M40" s="211">
        <v>412</v>
      </c>
      <c r="N40" s="211">
        <v>1766</v>
      </c>
      <c r="O40" s="105"/>
      <c r="P40" s="203">
        <f t="shared" si="0"/>
        <v>22.203078336779232</v>
      </c>
      <c r="Q40" s="204">
        <f t="shared" si="1"/>
        <v>20.990326726645474</v>
      </c>
      <c r="R40" s="204">
        <f t="shared" si="2"/>
        <v>39.218158890290042</v>
      </c>
      <c r="S40" s="203">
        <f t="shared" si="3"/>
        <v>23.32955832389581</v>
      </c>
      <c r="T40" s="108"/>
      <c r="U40" s="109"/>
      <c r="V40" s="109"/>
    </row>
    <row r="41" spans="1:22" x14ac:dyDescent="0.2">
      <c r="A41" s="101" t="s">
        <v>92</v>
      </c>
      <c r="B41" s="102" t="s">
        <v>93</v>
      </c>
      <c r="C41" s="103" t="s">
        <v>268</v>
      </c>
      <c r="D41" s="215">
        <v>847</v>
      </c>
      <c r="E41" s="216">
        <v>3246</v>
      </c>
      <c r="F41" s="104"/>
      <c r="G41" s="211">
        <v>781</v>
      </c>
      <c r="H41" s="211">
        <v>3112</v>
      </c>
      <c r="I41" s="107"/>
      <c r="J41" s="211">
        <v>22</v>
      </c>
      <c r="K41" s="211">
        <v>36</v>
      </c>
      <c r="L41" s="107"/>
      <c r="M41" s="211">
        <v>27</v>
      </c>
      <c r="N41" s="211">
        <v>70</v>
      </c>
      <c r="O41" s="105"/>
      <c r="P41" s="203">
        <f t="shared" si="0"/>
        <v>26.093653727664819</v>
      </c>
      <c r="Q41" s="204">
        <f t="shared" si="1"/>
        <v>25.096401028277636</v>
      </c>
      <c r="R41" s="204">
        <f t="shared" si="2"/>
        <v>61.111111111111114</v>
      </c>
      <c r="S41" s="203">
        <f t="shared" si="3"/>
        <v>38.571428571428577</v>
      </c>
      <c r="T41" s="108"/>
      <c r="U41" s="109"/>
      <c r="V41" s="109"/>
    </row>
    <row r="42" spans="1:22" x14ac:dyDescent="0.2">
      <c r="A42" s="101" t="s">
        <v>94</v>
      </c>
      <c r="B42" s="102" t="s">
        <v>95</v>
      </c>
      <c r="C42" s="103" t="s">
        <v>264</v>
      </c>
      <c r="D42" s="215">
        <v>1686</v>
      </c>
      <c r="E42" s="216">
        <v>7025</v>
      </c>
      <c r="F42" s="104"/>
      <c r="G42" s="211">
        <v>1328</v>
      </c>
      <c r="H42" s="211">
        <v>6082</v>
      </c>
      <c r="I42" s="107"/>
      <c r="J42" s="211">
        <v>196</v>
      </c>
      <c r="K42" s="211">
        <v>458</v>
      </c>
      <c r="L42" s="107"/>
      <c r="M42" s="211">
        <v>58</v>
      </c>
      <c r="N42" s="211">
        <v>278</v>
      </c>
      <c r="O42" s="105"/>
      <c r="P42" s="203">
        <f t="shared" si="0"/>
        <v>24</v>
      </c>
      <c r="Q42" s="204">
        <f t="shared" si="1"/>
        <v>21.834922722788555</v>
      </c>
      <c r="R42" s="204">
        <f t="shared" si="2"/>
        <v>42.79475982532751</v>
      </c>
      <c r="S42" s="203">
        <f t="shared" si="3"/>
        <v>20.863309352517987</v>
      </c>
      <c r="T42" s="108"/>
      <c r="U42" s="109"/>
      <c r="V42" s="109"/>
    </row>
    <row r="43" spans="1:22" x14ac:dyDescent="0.2">
      <c r="A43" s="101" t="s">
        <v>96</v>
      </c>
      <c r="B43" s="102" t="s">
        <v>97</v>
      </c>
      <c r="C43" s="103" t="s">
        <v>266</v>
      </c>
      <c r="D43" s="215">
        <v>632</v>
      </c>
      <c r="E43" s="216">
        <v>3924</v>
      </c>
      <c r="F43" s="104"/>
      <c r="G43" s="211">
        <v>424</v>
      </c>
      <c r="H43" s="211">
        <v>3245</v>
      </c>
      <c r="I43" s="107"/>
      <c r="J43" s="211">
        <v>179</v>
      </c>
      <c r="K43" s="211">
        <v>468</v>
      </c>
      <c r="L43" s="107"/>
      <c r="M43" s="211">
        <v>17</v>
      </c>
      <c r="N43" s="211">
        <v>133</v>
      </c>
      <c r="O43" s="105"/>
      <c r="P43" s="203">
        <f t="shared" si="0"/>
        <v>16.106014271151885</v>
      </c>
      <c r="Q43" s="204">
        <f t="shared" si="1"/>
        <v>13.066255778120183</v>
      </c>
      <c r="R43" s="204">
        <f t="shared" si="2"/>
        <v>38.247863247863243</v>
      </c>
      <c r="S43" s="203">
        <f t="shared" si="3"/>
        <v>12.781954887218044</v>
      </c>
      <c r="T43" s="108"/>
      <c r="U43" s="109"/>
      <c r="V43" s="109"/>
    </row>
    <row r="44" spans="1:22" x14ac:dyDescent="0.2">
      <c r="A44" s="101" t="s">
        <v>98</v>
      </c>
      <c r="B44" s="102" t="s">
        <v>99</v>
      </c>
      <c r="C44" s="103" t="s">
        <v>268</v>
      </c>
      <c r="D44" s="215">
        <v>750</v>
      </c>
      <c r="E44" s="216">
        <v>2547</v>
      </c>
      <c r="F44" s="104"/>
      <c r="G44" s="211">
        <v>663</v>
      </c>
      <c r="H44" s="211">
        <v>2360</v>
      </c>
      <c r="I44" s="107"/>
      <c r="J44" s="211">
        <v>40</v>
      </c>
      <c r="K44" s="211">
        <v>62</v>
      </c>
      <c r="L44" s="107"/>
      <c r="M44" s="211">
        <v>46</v>
      </c>
      <c r="N44" s="211">
        <v>134</v>
      </c>
      <c r="O44" s="105"/>
      <c r="P44" s="203">
        <f t="shared" si="0"/>
        <v>29.446407538280329</v>
      </c>
      <c r="Q44" s="204">
        <f t="shared" si="1"/>
        <v>28.093220338983048</v>
      </c>
      <c r="R44" s="204">
        <f t="shared" si="2"/>
        <v>64.516129032258064</v>
      </c>
      <c r="S44" s="203">
        <f t="shared" si="3"/>
        <v>34.328358208955223</v>
      </c>
      <c r="T44" s="108"/>
      <c r="U44" s="109"/>
      <c r="V44" s="109"/>
    </row>
    <row r="45" spans="1:22" x14ac:dyDescent="0.2">
      <c r="A45" s="101" t="s">
        <v>100</v>
      </c>
      <c r="B45" s="102" t="s">
        <v>101</v>
      </c>
      <c r="C45" s="103" t="s">
        <v>267</v>
      </c>
      <c r="D45" s="215">
        <v>910</v>
      </c>
      <c r="E45" s="216">
        <v>4007</v>
      </c>
      <c r="F45" s="104"/>
      <c r="G45" s="211">
        <v>665</v>
      </c>
      <c r="H45" s="211">
        <v>3341</v>
      </c>
      <c r="I45" s="107"/>
      <c r="J45" s="211">
        <v>135</v>
      </c>
      <c r="K45" s="211">
        <v>241</v>
      </c>
      <c r="L45" s="107"/>
      <c r="M45" s="211">
        <v>52</v>
      </c>
      <c r="N45" s="211">
        <v>275</v>
      </c>
      <c r="O45" s="105"/>
      <c r="P45" s="203">
        <f t="shared" si="0"/>
        <v>22.710257050162216</v>
      </c>
      <c r="Q45" s="204">
        <f t="shared" si="1"/>
        <v>19.904220293325352</v>
      </c>
      <c r="R45" s="204">
        <f t="shared" si="2"/>
        <v>56.016597510373444</v>
      </c>
      <c r="S45" s="203">
        <f t="shared" si="3"/>
        <v>18.90909090909091</v>
      </c>
      <c r="T45" s="108"/>
      <c r="U45" s="109"/>
      <c r="V45" s="109"/>
    </row>
    <row r="46" spans="1:22" x14ac:dyDescent="0.2">
      <c r="A46" s="101" t="s">
        <v>102</v>
      </c>
      <c r="B46" s="102" t="s">
        <v>282</v>
      </c>
      <c r="C46" s="103" t="s">
        <v>264</v>
      </c>
      <c r="D46" s="215">
        <v>1510</v>
      </c>
      <c r="E46" s="216">
        <v>2790</v>
      </c>
      <c r="F46" s="104"/>
      <c r="G46" s="211">
        <v>235</v>
      </c>
      <c r="H46" s="211">
        <v>856</v>
      </c>
      <c r="I46" s="107"/>
      <c r="J46" s="211">
        <v>1206</v>
      </c>
      <c r="K46" s="211">
        <v>1787</v>
      </c>
      <c r="L46" s="107"/>
      <c r="M46" s="211">
        <v>36</v>
      </c>
      <c r="N46" s="211">
        <v>102</v>
      </c>
      <c r="O46" s="105"/>
      <c r="P46" s="203">
        <f t="shared" si="0"/>
        <v>54.121863799283155</v>
      </c>
      <c r="Q46" s="204">
        <f t="shared" si="1"/>
        <v>27.453271028037385</v>
      </c>
      <c r="R46" s="204">
        <f t="shared" si="2"/>
        <v>67.48740906547286</v>
      </c>
      <c r="S46" s="203">
        <f t="shared" si="3"/>
        <v>35.294117647058826</v>
      </c>
      <c r="T46" s="108"/>
      <c r="U46" s="109"/>
      <c r="V46" s="109"/>
    </row>
    <row r="47" spans="1:22" x14ac:dyDescent="0.2">
      <c r="A47" s="101" t="s">
        <v>104</v>
      </c>
      <c r="B47" s="102" t="s">
        <v>602</v>
      </c>
      <c r="C47" s="103" t="s">
        <v>265</v>
      </c>
      <c r="D47" s="215">
        <v>2563</v>
      </c>
      <c r="E47" s="216">
        <v>6631</v>
      </c>
      <c r="F47" s="104"/>
      <c r="G47" s="211">
        <v>994</v>
      </c>
      <c r="H47" s="211">
        <v>3899</v>
      </c>
      <c r="I47" s="107"/>
      <c r="J47" s="211">
        <v>1411</v>
      </c>
      <c r="K47" s="211">
        <v>2392</v>
      </c>
      <c r="L47" s="107"/>
      <c r="M47" s="211">
        <v>62</v>
      </c>
      <c r="N47" s="211">
        <v>206</v>
      </c>
      <c r="O47" s="105"/>
      <c r="P47" s="203">
        <f t="shared" si="0"/>
        <v>38.651787060775142</v>
      </c>
      <c r="Q47" s="204">
        <f t="shared" si="1"/>
        <v>25.493716337522443</v>
      </c>
      <c r="R47" s="204">
        <f t="shared" si="2"/>
        <v>58.988294314381271</v>
      </c>
      <c r="S47" s="203">
        <f t="shared" si="3"/>
        <v>30.097087378640776</v>
      </c>
      <c r="T47" s="108"/>
      <c r="U47" s="109"/>
      <c r="V47" s="109"/>
    </row>
    <row r="48" spans="1:22" x14ac:dyDescent="0.2">
      <c r="A48" s="101" t="s">
        <v>108</v>
      </c>
      <c r="B48" s="102" t="s">
        <v>109</v>
      </c>
      <c r="C48" s="103" t="s">
        <v>266</v>
      </c>
      <c r="D48" s="215">
        <v>4332</v>
      </c>
      <c r="E48" s="216">
        <v>22831</v>
      </c>
      <c r="F48" s="104"/>
      <c r="G48" s="211">
        <v>3249</v>
      </c>
      <c r="H48" s="211">
        <v>19794</v>
      </c>
      <c r="I48" s="107"/>
      <c r="J48" s="211">
        <v>789</v>
      </c>
      <c r="K48" s="211">
        <v>1668</v>
      </c>
      <c r="L48" s="107"/>
      <c r="M48" s="211">
        <v>140</v>
      </c>
      <c r="N48" s="211">
        <v>662</v>
      </c>
      <c r="O48" s="105"/>
      <c r="P48" s="203">
        <f t="shared" si="0"/>
        <v>18.974201743243835</v>
      </c>
      <c r="Q48" s="204">
        <f t="shared" si="1"/>
        <v>16.41406486814186</v>
      </c>
      <c r="R48" s="204">
        <f t="shared" si="2"/>
        <v>47.302158273381295</v>
      </c>
      <c r="S48" s="203">
        <f t="shared" si="3"/>
        <v>21.148036253776432</v>
      </c>
      <c r="T48" s="108"/>
      <c r="U48" s="109"/>
      <c r="V48" s="109"/>
    </row>
    <row r="49" spans="1:22" x14ac:dyDescent="0.2">
      <c r="A49" s="101" t="s">
        <v>110</v>
      </c>
      <c r="B49" s="102" t="s">
        <v>111</v>
      </c>
      <c r="C49" s="103" t="s">
        <v>266</v>
      </c>
      <c r="D49" s="215">
        <v>21007</v>
      </c>
      <c r="E49" s="216">
        <v>66860</v>
      </c>
      <c r="F49" s="104"/>
      <c r="G49" s="211">
        <v>6461</v>
      </c>
      <c r="H49" s="211">
        <v>35579</v>
      </c>
      <c r="I49" s="107"/>
      <c r="J49" s="211">
        <v>12349</v>
      </c>
      <c r="K49" s="211">
        <v>21013</v>
      </c>
      <c r="L49" s="110"/>
      <c r="M49" s="211">
        <v>1505</v>
      </c>
      <c r="N49" s="211">
        <v>4354</v>
      </c>
      <c r="O49" s="105"/>
      <c r="P49" s="205">
        <f t="shared" si="0"/>
        <v>31.419383787017647</v>
      </c>
      <c r="Q49" s="204">
        <f t="shared" si="1"/>
        <v>18.159588521318756</v>
      </c>
      <c r="R49" s="204">
        <f t="shared" si="2"/>
        <v>58.768381478132582</v>
      </c>
      <c r="S49" s="203">
        <f t="shared" si="3"/>
        <v>34.565916398713824</v>
      </c>
      <c r="T49" s="108"/>
      <c r="U49" s="109"/>
      <c r="V49" s="109"/>
    </row>
    <row r="50" spans="1:22" x14ac:dyDescent="0.2">
      <c r="A50" s="101" t="s">
        <v>112</v>
      </c>
      <c r="B50" s="102" t="s">
        <v>300</v>
      </c>
      <c r="C50" s="103" t="s">
        <v>265</v>
      </c>
      <c r="D50" s="215">
        <v>4636</v>
      </c>
      <c r="E50" s="216">
        <v>11572</v>
      </c>
      <c r="F50" s="104"/>
      <c r="G50" s="211">
        <v>2149</v>
      </c>
      <c r="H50" s="211">
        <v>7196</v>
      </c>
      <c r="I50" s="107"/>
      <c r="J50" s="211">
        <v>1907</v>
      </c>
      <c r="K50" s="211">
        <v>3041</v>
      </c>
      <c r="L50" s="110"/>
      <c r="M50" s="211">
        <v>415</v>
      </c>
      <c r="N50" s="211">
        <v>1164</v>
      </c>
      <c r="O50" s="105"/>
      <c r="P50" s="205">
        <f t="shared" si="0"/>
        <v>40.06221914967162</v>
      </c>
      <c r="Q50" s="204">
        <f t="shared" si="1"/>
        <v>29.863813229571985</v>
      </c>
      <c r="R50" s="204">
        <f t="shared" si="2"/>
        <v>62.709634988490627</v>
      </c>
      <c r="S50" s="203">
        <f t="shared" si="3"/>
        <v>35.65292096219931</v>
      </c>
      <c r="T50" s="108"/>
      <c r="U50" s="109"/>
      <c r="V50" s="109"/>
    </row>
    <row r="51" spans="1:22" x14ac:dyDescent="0.2">
      <c r="A51" s="101" t="s">
        <v>114</v>
      </c>
      <c r="B51" s="102" t="s">
        <v>115</v>
      </c>
      <c r="C51" s="103" t="s">
        <v>265</v>
      </c>
      <c r="D51" s="215">
        <v>57</v>
      </c>
      <c r="E51" s="216">
        <v>311</v>
      </c>
      <c r="F51" s="104"/>
      <c r="G51" s="211">
        <v>55</v>
      </c>
      <c r="H51" s="211">
        <v>309</v>
      </c>
      <c r="I51" s="107"/>
      <c r="J51" s="211">
        <v>2</v>
      </c>
      <c r="K51" s="211">
        <v>2</v>
      </c>
      <c r="L51" s="110"/>
      <c r="M51" s="211">
        <v>0</v>
      </c>
      <c r="N51" s="211">
        <v>0</v>
      </c>
      <c r="O51" s="105"/>
      <c r="P51" s="205">
        <f t="shared" si="0"/>
        <v>18.327974276527332</v>
      </c>
      <c r="Q51" s="204">
        <f t="shared" si="1"/>
        <v>17.79935275080906</v>
      </c>
      <c r="R51" s="204">
        <f t="shared" si="2"/>
        <v>100</v>
      </c>
      <c r="S51" s="203" t="str">
        <f t="shared" si="3"/>
        <v>NA</v>
      </c>
      <c r="T51" s="108"/>
      <c r="U51" s="109"/>
      <c r="V51" s="109"/>
    </row>
    <row r="52" spans="1:22" x14ac:dyDescent="0.2">
      <c r="A52" s="101" t="s">
        <v>118</v>
      </c>
      <c r="B52" s="102" t="s">
        <v>119</v>
      </c>
      <c r="C52" s="103" t="s">
        <v>264</v>
      </c>
      <c r="D52" s="215">
        <v>1834</v>
      </c>
      <c r="E52" s="216">
        <v>6991</v>
      </c>
      <c r="F52" s="104"/>
      <c r="G52" s="211">
        <v>879</v>
      </c>
      <c r="H52" s="211">
        <v>4950</v>
      </c>
      <c r="I52" s="107"/>
      <c r="J52" s="211">
        <v>846</v>
      </c>
      <c r="K52" s="211">
        <v>1612</v>
      </c>
      <c r="L52" s="110"/>
      <c r="M52" s="211">
        <v>61</v>
      </c>
      <c r="N52" s="211">
        <v>221</v>
      </c>
      <c r="O52" s="105"/>
      <c r="P52" s="205">
        <f t="shared" si="0"/>
        <v>26.233729080246032</v>
      </c>
      <c r="Q52" s="204">
        <f t="shared" si="1"/>
        <v>17.757575757575758</v>
      </c>
      <c r="R52" s="204">
        <f t="shared" si="2"/>
        <v>52.481389578163771</v>
      </c>
      <c r="S52" s="203">
        <f t="shared" si="3"/>
        <v>27.601809954751133</v>
      </c>
      <c r="T52" s="108"/>
      <c r="U52" s="109"/>
      <c r="V52" s="109"/>
    </row>
    <row r="53" spans="1:22" x14ac:dyDescent="0.2">
      <c r="A53" s="101" t="s">
        <v>120</v>
      </c>
      <c r="B53" s="102" t="s">
        <v>121</v>
      </c>
      <c r="C53" s="103" t="s">
        <v>264</v>
      </c>
      <c r="D53" s="215">
        <v>3017</v>
      </c>
      <c r="E53" s="216">
        <v>13018</v>
      </c>
      <c r="F53" s="104"/>
      <c r="G53" s="211">
        <v>1657</v>
      </c>
      <c r="H53" s="211">
        <v>9918</v>
      </c>
      <c r="I53" s="107"/>
      <c r="J53" s="211">
        <v>936</v>
      </c>
      <c r="K53" s="211">
        <v>1676</v>
      </c>
      <c r="L53" s="110"/>
      <c r="M53" s="211">
        <v>291</v>
      </c>
      <c r="N53" s="211">
        <v>917</v>
      </c>
      <c r="O53" s="105"/>
      <c r="P53" s="205">
        <f t="shared" si="0"/>
        <v>23.175603011215241</v>
      </c>
      <c r="Q53" s="204">
        <f t="shared" si="1"/>
        <v>16.706997378503729</v>
      </c>
      <c r="R53" s="204">
        <f t="shared" si="2"/>
        <v>55.847255369928405</v>
      </c>
      <c r="S53" s="203">
        <f t="shared" si="3"/>
        <v>31.733914940021812</v>
      </c>
      <c r="T53" s="108"/>
      <c r="U53" s="109"/>
      <c r="V53" s="109"/>
    </row>
    <row r="54" spans="1:22" x14ac:dyDescent="0.2">
      <c r="A54" s="101" t="s">
        <v>122</v>
      </c>
      <c r="B54" s="102" t="s">
        <v>271</v>
      </c>
      <c r="C54" s="103" t="s">
        <v>266</v>
      </c>
      <c r="D54" s="215">
        <v>341</v>
      </c>
      <c r="E54" s="216">
        <v>1202</v>
      </c>
      <c r="F54" s="104"/>
      <c r="G54" s="211">
        <v>185</v>
      </c>
      <c r="H54" s="211">
        <v>850</v>
      </c>
      <c r="I54" s="107"/>
      <c r="J54" s="211">
        <v>123</v>
      </c>
      <c r="K54" s="211">
        <v>259</v>
      </c>
      <c r="L54" s="110"/>
      <c r="M54" s="211">
        <v>11</v>
      </c>
      <c r="N54" s="211">
        <v>72</v>
      </c>
      <c r="O54" s="105"/>
      <c r="P54" s="205">
        <f t="shared" si="0"/>
        <v>28.369384359401</v>
      </c>
      <c r="Q54" s="204">
        <f t="shared" si="1"/>
        <v>21.764705882352942</v>
      </c>
      <c r="R54" s="204">
        <f t="shared" si="2"/>
        <v>47.490347490347489</v>
      </c>
      <c r="S54" s="203">
        <f t="shared" si="3"/>
        <v>15.277777777777779</v>
      </c>
      <c r="T54" s="108"/>
      <c r="U54" s="109"/>
      <c r="V54" s="109"/>
    </row>
    <row r="55" spans="1:22" x14ac:dyDescent="0.2">
      <c r="A55" s="101" t="s">
        <v>124</v>
      </c>
      <c r="B55" s="102" t="s">
        <v>125</v>
      </c>
      <c r="C55" s="103" t="s">
        <v>267</v>
      </c>
      <c r="D55" s="215">
        <v>1214</v>
      </c>
      <c r="E55" s="216">
        <v>5771</v>
      </c>
      <c r="F55" s="104"/>
      <c r="G55" s="211">
        <v>732</v>
      </c>
      <c r="H55" s="211">
        <v>4347</v>
      </c>
      <c r="I55" s="107"/>
      <c r="J55" s="211">
        <v>375</v>
      </c>
      <c r="K55" s="211">
        <v>931</v>
      </c>
      <c r="L55" s="110"/>
      <c r="M55" s="211">
        <v>56</v>
      </c>
      <c r="N55" s="211">
        <v>292</v>
      </c>
      <c r="O55" s="105"/>
      <c r="P55" s="205">
        <f t="shared" si="0"/>
        <v>21.036215560561427</v>
      </c>
      <c r="Q55" s="204">
        <f t="shared" si="1"/>
        <v>16.839199447895101</v>
      </c>
      <c r="R55" s="204">
        <f t="shared" si="2"/>
        <v>40.27926960257787</v>
      </c>
      <c r="S55" s="203">
        <f t="shared" si="3"/>
        <v>19.17808219178082</v>
      </c>
      <c r="T55" s="108"/>
      <c r="U55" s="109"/>
      <c r="V55" s="109"/>
    </row>
    <row r="56" spans="1:22" x14ac:dyDescent="0.2">
      <c r="A56" s="101" t="s">
        <v>126</v>
      </c>
      <c r="B56" s="102" t="s">
        <v>127</v>
      </c>
      <c r="C56" s="103" t="s">
        <v>266</v>
      </c>
      <c r="D56" s="215">
        <v>814</v>
      </c>
      <c r="E56" s="216">
        <v>3459</v>
      </c>
      <c r="F56" s="104"/>
      <c r="G56" s="211">
        <v>571</v>
      </c>
      <c r="H56" s="211">
        <v>2797</v>
      </c>
      <c r="I56" s="107"/>
      <c r="J56" s="211">
        <v>169</v>
      </c>
      <c r="K56" s="211">
        <v>400</v>
      </c>
      <c r="L56" s="110"/>
      <c r="M56" s="211">
        <v>27</v>
      </c>
      <c r="N56" s="211">
        <v>99</v>
      </c>
      <c r="O56" s="105"/>
      <c r="P56" s="205">
        <f t="shared" si="0"/>
        <v>23.53281295172015</v>
      </c>
      <c r="Q56" s="204">
        <f t="shared" si="1"/>
        <v>20.414730067929927</v>
      </c>
      <c r="R56" s="204">
        <f t="shared" si="2"/>
        <v>42.25</v>
      </c>
      <c r="S56" s="203">
        <f t="shared" si="3"/>
        <v>27.27272727272727</v>
      </c>
      <c r="T56" s="108"/>
      <c r="U56" s="109"/>
      <c r="V56" s="109"/>
    </row>
    <row r="57" spans="1:22" x14ac:dyDescent="0.2">
      <c r="A57" s="101" t="s">
        <v>128</v>
      </c>
      <c r="B57" s="102" t="s">
        <v>129</v>
      </c>
      <c r="C57" s="103" t="s">
        <v>266</v>
      </c>
      <c r="D57" s="215">
        <v>634</v>
      </c>
      <c r="E57" s="216">
        <v>1540</v>
      </c>
      <c r="F57" s="104"/>
      <c r="G57" s="211">
        <v>197</v>
      </c>
      <c r="H57" s="211">
        <v>855</v>
      </c>
      <c r="I57" s="107"/>
      <c r="J57" s="211">
        <v>405</v>
      </c>
      <c r="K57" s="211">
        <v>607</v>
      </c>
      <c r="L57" s="110"/>
      <c r="M57" s="211">
        <v>12</v>
      </c>
      <c r="N57" s="211">
        <v>34</v>
      </c>
      <c r="O57" s="105"/>
      <c r="P57" s="205">
        <f t="shared" si="0"/>
        <v>41.168831168831169</v>
      </c>
      <c r="Q57" s="204">
        <f t="shared" si="1"/>
        <v>23.040935672514621</v>
      </c>
      <c r="R57" s="204">
        <f t="shared" si="2"/>
        <v>66.721581548599673</v>
      </c>
      <c r="S57" s="203">
        <f t="shared" si="3"/>
        <v>35.294117647058826</v>
      </c>
      <c r="T57" s="108"/>
      <c r="U57" s="109"/>
      <c r="V57" s="109"/>
    </row>
    <row r="58" spans="1:22" x14ac:dyDescent="0.2">
      <c r="A58" s="101" t="s">
        <v>130</v>
      </c>
      <c r="B58" s="102" t="s">
        <v>131</v>
      </c>
      <c r="C58" s="103" t="s">
        <v>268</v>
      </c>
      <c r="D58" s="215">
        <v>1233</v>
      </c>
      <c r="E58" s="216">
        <v>4423</v>
      </c>
      <c r="F58" s="104"/>
      <c r="G58" s="211">
        <v>1193</v>
      </c>
      <c r="H58" s="211">
        <v>4329</v>
      </c>
      <c r="I58" s="107"/>
      <c r="J58" s="211">
        <v>7</v>
      </c>
      <c r="K58" s="211">
        <v>21</v>
      </c>
      <c r="L58" s="110"/>
      <c r="M58" s="211">
        <v>25</v>
      </c>
      <c r="N58" s="211">
        <v>48</v>
      </c>
      <c r="O58" s="105"/>
      <c r="P58" s="205">
        <f t="shared" si="0"/>
        <v>27.87700655663577</v>
      </c>
      <c r="Q58" s="204">
        <f t="shared" si="1"/>
        <v>27.558327558327562</v>
      </c>
      <c r="R58" s="204">
        <f t="shared" si="2"/>
        <v>33.333333333333329</v>
      </c>
      <c r="S58" s="203">
        <f t="shared" si="3"/>
        <v>52.083333333333336</v>
      </c>
      <c r="T58" s="108"/>
      <c r="U58" s="109"/>
      <c r="V58" s="109"/>
    </row>
    <row r="59" spans="1:22" x14ac:dyDescent="0.2">
      <c r="A59" s="101" t="s">
        <v>132</v>
      </c>
      <c r="B59" s="102" t="s">
        <v>133</v>
      </c>
      <c r="C59" s="103" t="s">
        <v>267</v>
      </c>
      <c r="D59" s="215">
        <v>11869</v>
      </c>
      <c r="E59" s="216">
        <v>90189</v>
      </c>
      <c r="F59" s="104"/>
      <c r="G59" s="211">
        <v>7177</v>
      </c>
      <c r="H59" s="211">
        <v>59927</v>
      </c>
      <c r="I59" s="107"/>
      <c r="J59" s="211">
        <v>1805</v>
      </c>
      <c r="K59" s="211">
        <v>5736</v>
      </c>
      <c r="L59" s="110"/>
      <c r="M59" s="211">
        <v>2403</v>
      </c>
      <c r="N59" s="211">
        <v>11322</v>
      </c>
      <c r="O59" s="105"/>
      <c r="P59" s="205">
        <f t="shared" si="0"/>
        <v>13.160141480668376</v>
      </c>
      <c r="Q59" s="204">
        <f t="shared" si="1"/>
        <v>11.976237755936388</v>
      </c>
      <c r="R59" s="204">
        <f t="shared" si="2"/>
        <v>31.467921896792188</v>
      </c>
      <c r="S59" s="203">
        <f t="shared" si="3"/>
        <v>21.224165341812402</v>
      </c>
      <c r="T59" s="108"/>
      <c r="U59" s="109"/>
      <c r="V59" s="109"/>
    </row>
    <row r="60" spans="1:22" x14ac:dyDescent="0.2">
      <c r="A60" s="101" t="s">
        <v>134</v>
      </c>
      <c r="B60" s="102" t="s">
        <v>135</v>
      </c>
      <c r="C60" s="103" t="s">
        <v>267</v>
      </c>
      <c r="D60" s="215">
        <v>1576</v>
      </c>
      <c r="E60" s="216">
        <v>6209</v>
      </c>
      <c r="F60" s="104"/>
      <c r="G60" s="211">
        <v>969</v>
      </c>
      <c r="H60" s="211">
        <v>4816</v>
      </c>
      <c r="I60" s="107"/>
      <c r="J60" s="211">
        <v>447</v>
      </c>
      <c r="K60" s="211">
        <v>915</v>
      </c>
      <c r="L60" s="110"/>
      <c r="M60" s="211">
        <v>49</v>
      </c>
      <c r="N60" s="211">
        <v>238</v>
      </c>
      <c r="O60" s="105"/>
      <c r="P60" s="205">
        <f t="shared" si="0"/>
        <v>25.382509260750524</v>
      </c>
      <c r="Q60" s="204">
        <f t="shared" si="1"/>
        <v>20.120431893687709</v>
      </c>
      <c r="R60" s="204">
        <f t="shared" si="2"/>
        <v>48.852459016393439</v>
      </c>
      <c r="S60" s="203">
        <f t="shared" si="3"/>
        <v>20.588235294117645</v>
      </c>
      <c r="T60" s="108"/>
      <c r="U60" s="109"/>
      <c r="V60" s="109"/>
    </row>
    <row r="61" spans="1:22" x14ac:dyDescent="0.2">
      <c r="A61" s="101" t="s">
        <v>136</v>
      </c>
      <c r="B61" s="102" t="s">
        <v>137</v>
      </c>
      <c r="C61" s="103" t="s">
        <v>266</v>
      </c>
      <c r="D61" s="215">
        <v>702</v>
      </c>
      <c r="E61" s="216">
        <v>2032</v>
      </c>
      <c r="F61" s="104"/>
      <c r="G61" s="211">
        <v>310</v>
      </c>
      <c r="H61" s="211">
        <v>1308</v>
      </c>
      <c r="I61" s="107"/>
      <c r="J61" s="211">
        <v>310</v>
      </c>
      <c r="K61" s="211">
        <v>544</v>
      </c>
      <c r="L61" s="110"/>
      <c r="M61" s="211">
        <v>51</v>
      </c>
      <c r="N61" s="211">
        <v>125</v>
      </c>
      <c r="O61" s="105"/>
      <c r="P61" s="205">
        <f t="shared" si="0"/>
        <v>34.547244094488185</v>
      </c>
      <c r="Q61" s="204">
        <f t="shared" si="1"/>
        <v>23.700305810397555</v>
      </c>
      <c r="R61" s="204">
        <f t="shared" si="2"/>
        <v>56.985294117647058</v>
      </c>
      <c r="S61" s="203">
        <f t="shared" si="3"/>
        <v>40.799999999999997</v>
      </c>
      <c r="T61" s="108"/>
      <c r="U61" s="109"/>
      <c r="V61" s="109"/>
    </row>
    <row r="62" spans="1:22" x14ac:dyDescent="0.2">
      <c r="A62" s="101" t="s">
        <v>140</v>
      </c>
      <c r="B62" s="102" t="s">
        <v>141</v>
      </c>
      <c r="C62" s="103" t="s">
        <v>267</v>
      </c>
      <c r="D62" s="215">
        <v>551</v>
      </c>
      <c r="E62" s="216">
        <v>2527</v>
      </c>
      <c r="F62" s="104"/>
      <c r="G62" s="211">
        <v>442</v>
      </c>
      <c r="H62" s="211">
        <v>2181</v>
      </c>
      <c r="I62" s="107"/>
      <c r="J62" s="211">
        <v>60</v>
      </c>
      <c r="K62" s="211">
        <v>180</v>
      </c>
      <c r="L62" s="110"/>
      <c r="M62" s="211">
        <v>17</v>
      </c>
      <c r="N62" s="211">
        <v>78</v>
      </c>
      <c r="O62" s="105"/>
      <c r="P62" s="205">
        <f t="shared" si="0"/>
        <v>21.804511278195488</v>
      </c>
      <c r="Q62" s="204">
        <f t="shared" si="1"/>
        <v>20.265933058230171</v>
      </c>
      <c r="R62" s="204">
        <f t="shared" si="2"/>
        <v>33.333333333333329</v>
      </c>
      <c r="S62" s="203">
        <f t="shared" si="3"/>
        <v>21.794871794871796</v>
      </c>
      <c r="T62" s="108"/>
      <c r="U62" s="109"/>
      <c r="V62" s="109"/>
    </row>
    <row r="63" spans="1:22" x14ac:dyDescent="0.2">
      <c r="A63" s="101" t="s">
        <v>146</v>
      </c>
      <c r="B63" s="102" t="s">
        <v>147</v>
      </c>
      <c r="C63" s="103" t="s">
        <v>264</v>
      </c>
      <c r="D63" s="215">
        <v>306</v>
      </c>
      <c r="E63" s="216">
        <v>1399</v>
      </c>
      <c r="F63" s="104"/>
      <c r="G63" s="211">
        <v>236</v>
      </c>
      <c r="H63" s="211">
        <v>1218</v>
      </c>
      <c r="I63" s="107"/>
      <c r="J63" s="211">
        <v>51</v>
      </c>
      <c r="K63" s="211">
        <v>119</v>
      </c>
      <c r="L63" s="110"/>
      <c r="M63" s="211">
        <v>5</v>
      </c>
      <c r="N63" s="211">
        <v>33</v>
      </c>
      <c r="O63" s="105"/>
      <c r="P63" s="205">
        <f t="shared" si="0"/>
        <v>21.872766261615439</v>
      </c>
      <c r="Q63" s="204">
        <f t="shared" si="1"/>
        <v>19.376026272577999</v>
      </c>
      <c r="R63" s="204">
        <f t="shared" si="2"/>
        <v>42.857142857142854</v>
      </c>
      <c r="S63" s="203">
        <f t="shared" si="3"/>
        <v>15.151515151515152</v>
      </c>
      <c r="T63" s="108"/>
      <c r="U63" s="109"/>
      <c r="V63" s="109"/>
    </row>
    <row r="64" spans="1:22" x14ac:dyDescent="0.2">
      <c r="A64" s="101" t="s">
        <v>148</v>
      </c>
      <c r="B64" s="102" t="s">
        <v>149</v>
      </c>
      <c r="C64" s="103" t="s">
        <v>265</v>
      </c>
      <c r="D64" s="215">
        <v>2155</v>
      </c>
      <c r="E64" s="216">
        <v>5216</v>
      </c>
      <c r="F64" s="104"/>
      <c r="G64" s="211">
        <v>756</v>
      </c>
      <c r="H64" s="211">
        <v>2955</v>
      </c>
      <c r="I64" s="107"/>
      <c r="J64" s="211">
        <v>1255</v>
      </c>
      <c r="K64" s="211">
        <v>1903</v>
      </c>
      <c r="L64" s="110"/>
      <c r="M64" s="211">
        <v>52</v>
      </c>
      <c r="N64" s="211">
        <v>199</v>
      </c>
      <c r="O64" s="105"/>
      <c r="P64" s="205">
        <f t="shared" si="0"/>
        <v>41.315184049079754</v>
      </c>
      <c r="Q64" s="204">
        <f t="shared" si="1"/>
        <v>25.583756345177665</v>
      </c>
      <c r="R64" s="204">
        <f t="shared" si="2"/>
        <v>65.948502364687329</v>
      </c>
      <c r="S64" s="203">
        <f t="shared" si="3"/>
        <v>26.13065326633166</v>
      </c>
      <c r="T64" s="108"/>
      <c r="U64" s="109"/>
      <c r="V64" s="109"/>
    </row>
    <row r="65" spans="1:22" x14ac:dyDescent="0.2">
      <c r="A65" s="101" t="s">
        <v>150</v>
      </c>
      <c r="B65" s="102" t="s">
        <v>151</v>
      </c>
      <c r="C65" s="103" t="s">
        <v>266</v>
      </c>
      <c r="D65" s="215">
        <v>430</v>
      </c>
      <c r="E65" s="216">
        <v>1466</v>
      </c>
      <c r="F65" s="104"/>
      <c r="G65" s="211">
        <v>300</v>
      </c>
      <c r="H65" s="211">
        <v>1152</v>
      </c>
      <c r="I65" s="107"/>
      <c r="J65" s="211">
        <v>108</v>
      </c>
      <c r="K65" s="211">
        <v>232</v>
      </c>
      <c r="L65" s="110"/>
      <c r="M65" s="211">
        <v>6</v>
      </c>
      <c r="N65" s="211">
        <v>42</v>
      </c>
      <c r="O65" s="105"/>
      <c r="P65" s="205">
        <f t="shared" si="0"/>
        <v>29.331514324693043</v>
      </c>
      <c r="Q65" s="204">
        <f t="shared" si="1"/>
        <v>26.041666666666668</v>
      </c>
      <c r="R65" s="204">
        <f t="shared" si="2"/>
        <v>46.551724137931032</v>
      </c>
      <c r="S65" s="203">
        <f t="shared" si="3"/>
        <v>14.285714285714285</v>
      </c>
      <c r="T65" s="108"/>
      <c r="U65" s="109"/>
      <c r="V65" s="109"/>
    </row>
    <row r="66" spans="1:22" x14ac:dyDescent="0.2">
      <c r="A66" s="101" t="s">
        <v>152</v>
      </c>
      <c r="B66" s="102" t="s">
        <v>153</v>
      </c>
      <c r="C66" s="103" t="s">
        <v>268</v>
      </c>
      <c r="D66" s="215">
        <v>3395</v>
      </c>
      <c r="E66" s="216">
        <v>13668</v>
      </c>
      <c r="F66" s="104"/>
      <c r="G66" s="211">
        <v>2763</v>
      </c>
      <c r="H66" s="211">
        <v>11839</v>
      </c>
      <c r="I66" s="107"/>
      <c r="J66" s="211">
        <v>331</v>
      </c>
      <c r="K66" s="211">
        <v>574</v>
      </c>
      <c r="L66" s="110"/>
      <c r="M66" s="211">
        <v>146</v>
      </c>
      <c r="N66" s="211">
        <v>478</v>
      </c>
      <c r="O66" s="105"/>
      <c r="P66" s="205">
        <f t="shared" si="0"/>
        <v>24.839040093649402</v>
      </c>
      <c r="Q66" s="204">
        <f t="shared" si="1"/>
        <v>23.338119773629529</v>
      </c>
      <c r="R66" s="204">
        <f t="shared" si="2"/>
        <v>57.665505226480839</v>
      </c>
      <c r="S66" s="203">
        <f t="shared" si="3"/>
        <v>30.543933054393307</v>
      </c>
      <c r="T66" s="108"/>
      <c r="U66" s="109"/>
      <c r="V66" s="109"/>
    </row>
    <row r="67" spans="1:22" x14ac:dyDescent="0.2">
      <c r="A67" s="101" t="s">
        <v>154</v>
      </c>
      <c r="B67" s="102" t="s">
        <v>155</v>
      </c>
      <c r="C67" s="103" t="s">
        <v>265</v>
      </c>
      <c r="D67" s="215">
        <v>697</v>
      </c>
      <c r="E67" s="216">
        <v>2438</v>
      </c>
      <c r="F67" s="104"/>
      <c r="G67" s="211">
        <v>477</v>
      </c>
      <c r="H67" s="211">
        <v>1992</v>
      </c>
      <c r="I67" s="107"/>
      <c r="J67" s="211">
        <v>149</v>
      </c>
      <c r="K67" s="211">
        <v>263</v>
      </c>
      <c r="L67" s="110"/>
      <c r="M67" s="211">
        <v>33</v>
      </c>
      <c r="N67" s="211">
        <v>141</v>
      </c>
      <c r="O67" s="105"/>
      <c r="P67" s="205">
        <f t="shared" si="0"/>
        <v>28.589007383100899</v>
      </c>
      <c r="Q67" s="204">
        <f t="shared" si="1"/>
        <v>23.945783132530121</v>
      </c>
      <c r="R67" s="204">
        <f t="shared" si="2"/>
        <v>56.653992395437257</v>
      </c>
      <c r="S67" s="203">
        <f t="shared" si="3"/>
        <v>23.404255319148938</v>
      </c>
      <c r="T67" s="108"/>
      <c r="U67" s="109"/>
      <c r="V67" s="109"/>
    </row>
    <row r="68" spans="1:22" x14ac:dyDescent="0.2">
      <c r="A68" s="101" t="s">
        <v>156</v>
      </c>
      <c r="B68" s="102" t="s">
        <v>157</v>
      </c>
      <c r="C68" s="103" t="s">
        <v>266</v>
      </c>
      <c r="D68" s="215">
        <v>700</v>
      </c>
      <c r="E68" s="216">
        <v>3565</v>
      </c>
      <c r="F68" s="104"/>
      <c r="G68" s="211">
        <v>550</v>
      </c>
      <c r="H68" s="211">
        <v>2983</v>
      </c>
      <c r="I68" s="107"/>
      <c r="J68" s="211">
        <v>102</v>
      </c>
      <c r="K68" s="211">
        <v>317</v>
      </c>
      <c r="L68" s="110"/>
      <c r="M68" s="211">
        <v>19</v>
      </c>
      <c r="N68" s="211">
        <v>136</v>
      </c>
      <c r="O68" s="105"/>
      <c r="P68" s="205">
        <f t="shared" si="0"/>
        <v>19.635343618513325</v>
      </c>
      <c r="Q68" s="204">
        <f t="shared" si="1"/>
        <v>18.437814280925245</v>
      </c>
      <c r="R68" s="204">
        <f t="shared" si="2"/>
        <v>32.176656151419557</v>
      </c>
      <c r="S68" s="203">
        <f t="shared" si="3"/>
        <v>13.970588235294118</v>
      </c>
      <c r="T68" s="108"/>
      <c r="U68" s="109"/>
      <c r="V68" s="109"/>
    </row>
    <row r="69" spans="1:22" x14ac:dyDescent="0.2">
      <c r="A69" s="101" t="s">
        <v>162</v>
      </c>
      <c r="B69" s="102" t="s">
        <v>163</v>
      </c>
      <c r="C69" s="103" t="s">
        <v>264</v>
      </c>
      <c r="D69" s="215">
        <v>887</v>
      </c>
      <c r="E69" s="216">
        <v>2010</v>
      </c>
      <c r="F69" s="104"/>
      <c r="G69" s="211">
        <v>283</v>
      </c>
      <c r="H69" s="211">
        <v>1078</v>
      </c>
      <c r="I69" s="107"/>
      <c r="J69" s="211">
        <v>508</v>
      </c>
      <c r="K69" s="211">
        <v>710</v>
      </c>
      <c r="L69" s="110"/>
      <c r="M69" s="211">
        <v>113</v>
      </c>
      <c r="N69" s="211">
        <v>283</v>
      </c>
      <c r="O69" s="105"/>
      <c r="P69" s="205">
        <f t="shared" si="0"/>
        <v>44.129353233830848</v>
      </c>
      <c r="Q69" s="204">
        <f t="shared" si="1"/>
        <v>26.252319109461968</v>
      </c>
      <c r="R69" s="204">
        <f t="shared" si="2"/>
        <v>71.549295774647888</v>
      </c>
      <c r="S69" s="203">
        <f t="shared" si="3"/>
        <v>39.929328621908127</v>
      </c>
      <c r="T69" s="108"/>
      <c r="U69" s="109"/>
      <c r="V69" s="109"/>
    </row>
    <row r="70" spans="1:22" x14ac:dyDescent="0.2">
      <c r="A70" s="101" t="s">
        <v>164</v>
      </c>
      <c r="B70" s="102" t="s">
        <v>165</v>
      </c>
      <c r="C70" s="103" t="s">
        <v>266</v>
      </c>
      <c r="D70" s="215">
        <v>579</v>
      </c>
      <c r="E70" s="216">
        <v>1628</v>
      </c>
      <c r="F70" s="104"/>
      <c r="G70" s="211">
        <v>237</v>
      </c>
      <c r="H70" s="211">
        <v>999</v>
      </c>
      <c r="I70" s="107"/>
      <c r="J70" s="211">
        <v>297</v>
      </c>
      <c r="K70" s="211">
        <v>521</v>
      </c>
      <c r="L70" s="110"/>
      <c r="M70" s="211">
        <v>34</v>
      </c>
      <c r="N70" s="211">
        <v>112</v>
      </c>
      <c r="O70" s="105"/>
      <c r="P70" s="205">
        <f t="shared" si="0"/>
        <v>35.565110565110565</v>
      </c>
      <c r="Q70" s="204">
        <f t="shared" si="1"/>
        <v>23.723723723723726</v>
      </c>
      <c r="R70" s="204">
        <f t="shared" si="2"/>
        <v>57.005758157389629</v>
      </c>
      <c r="S70" s="203">
        <f t="shared" si="3"/>
        <v>30.357142857142854</v>
      </c>
      <c r="T70" s="108"/>
      <c r="U70" s="109"/>
      <c r="V70" s="109"/>
    </row>
    <row r="71" spans="1:22" x14ac:dyDescent="0.2">
      <c r="A71" s="101" t="s">
        <v>168</v>
      </c>
      <c r="B71" s="102" t="s">
        <v>169</v>
      </c>
      <c r="C71" s="103" t="s">
        <v>266</v>
      </c>
      <c r="D71" s="215">
        <v>997</v>
      </c>
      <c r="E71" s="216">
        <v>2678</v>
      </c>
      <c r="F71" s="104"/>
      <c r="G71" s="211">
        <v>421</v>
      </c>
      <c r="H71" s="211">
        <v>1585</v>
      </c>
      <c r="I71" s="107"/>
      <c r="J71" s="211">
        <v>506</v>
      </c>
      <c r="K71" s="211">
        <v>908</v>
      </c>
      <c r="L71" s="110"/>
      <c r="M71" s="211">
        <v>33</v>
      </c>
      <c r="N71" s="211">
        <v>158</v>
      </c>
      <c r="O71" s="105"/>
      <c r="P71" s="205">
        <f t="shared" ref="P71:P126" si="4">(D71/E71)*100</f>
        <v>37.229275578790144</v>
      </c>
      <c r="Q71" s="204">
        <f t="shared" ref="Q71:Q126" si="5">(G71/H71)*100</f>
        <v>26.561514195583598</v>
      </c>
      <c r="R71" s="204">
        <f t="shared" ref="R71:R126" si="6">(J71/K71)*100</f>
        <v>55.726872246696033</v>
      </c>
      <c r="S71" s="203">
        <f t="shared" ref="S71:S126" si="7">IF(N71&lt;1,"NA", ((M71/N71)*100))</f>
        <v>20.88607594936709</v>
      </c>
      <c r="T71" s="108"/>
      <c r="U71" s="109"/>
      <c r="V71" s="109"/>
    </row>
    <row r="72" spans="1:22" x14ac:dyDescent="0.2">
      <c r="A72" s="101" t="s">
        <v>170</v>
      </c>
      <c r="B72" s="102" t="s">
        <v>171</v>
      </c>
      <c r="C72" s="103" t="s">
        <v>267</v>
      </c>
      <c r="D72" s="215">
        <v>1664</v>
      </c>
      <c r="E72" s="216">
        <v>6621</v>
      </c>
      <c r="F72" s="104"/>
      <c r="G72" s="211">
        <v>1104</v>
      </c>
      <c r="H72" s="211">
        <v>5261</v>
      </c>
      <c r="I72" s="107"/>
      <c r="J72" s="211">
        <v>363</v>
      </c>
      <c r="K72" s="211">
        <v>777</v>
      </c>
      <c r="L72" s="110"/>
      <c r="M72" s="211">
        <v>99</v>
      </c>
      <c r="N72" s="211">
        <v>366</v>
      </c>
      <c r="O72" s="105"/>
      <c r="P72" s="205">
        <f t="shared" si="4"/>
        <v>25.132155263555354</v>
      </c>
      <c r="Q72" s="204">
        <f t="shared" si="5"/>
        <v>20.984603687511878</v>
      </c>
      <c r="R72" s="204">
        <f t="shared" si="6"/>
        <v>46.71814671814672</v>
      </c>
      <c r="S72" s="203">
        <f t="shared" si="7"/>
        <v>27.049180327868854</v>
      </c>
      <c r="T72" s="108"/>
      <c r="U72" s="109"/>
      <c r="V72" s="109"/>
    </row>
    <row r="73" spans="1:22" x14ac:dyDescent="0.2">
      <c r="A73" s="101" t="s">
        <v>172</v>
      </c>
      <c r="B73" s="102" t="s">
        <v>173</v>
      </c>
      <c r="C73" s="103" t="s">
        <v>267</v>
      </c>
      <c r="D73" s="215">
        <v>1301</v>
      </c>
      <c r="E73" s="216">
        <v>4462</v>
      </c>
      <c r="F73" s="104"/>
      <c r="G73" s="211">
        <v>1205</v>
      </c>
      <c r="H73" s="211">
        <v>4233</v>
      </c>
      <c r="I73" s="107"/>
      <c r="J73" s="211">
        <v>40</v>
      </c>
      <c r="K73" s="211">
        <v>69</v>
      </c>
      <c r="L73" s="110"/>
      <c r="M73" s="211">
        <v>54</v>
      </c>
      <c r="N73" s="211">
        <v>128</v>
      </c>
      <c r="O73" s="105"/>
      <c r="P73" s="205">
        <f t="shared" si="4"/>
        <v>29.157328552218736</v>
      </c>
      <c r="Q73" s="204">
        <f t="shared" si="5"/>
        <v>28.466808410111032</v>
      </c>
      <c r="R73" s="204">
        <f t="shared" si="6"/>
        <v>57.971014492753625</v>
      </c>
      <c r="S73" s="203">
        <f t="shared" si="7"/>
        <v>42.1875</v>
      </c>
      <c r="T73" s="108"/>
      <c r="U73" s="109"/>
      <c r="V73" s="109"/>
    </row>
    <row r="74" spans="1:22" x14ac:dyDescent="0.2">
      <c r="A74" s="101" t="s">
        <v>174</v>
      </c>
      <c r="B74" s="102" t="s">
        <v>175</v>
      </c>
      <c r="C74" s="103" t="s">
        <v>268</v>
      </c>
      <c r="D74" s="215">
        <v>892</v>
      </c>
      <c r="E74" s="216">
        <v>3154</v>
      </c>
      <c r="F74" s="104"/>
      <c r="G74" s="211">
        <v>738</v>
      </c>
      <c r="H74" s="211">
        <v>2803</v>
      </c>
      <c r="I74" s="107"/>
      <c r="J74" s="211">
        <v>97</v>
      </c>
      <c r="K74" s="211">
        <v>159</v>
      </c>
      <c r="L74" s="110"/>
      <c r="M74" s="211">
        <v>48</v>
      </c>
      <c r="N74" s="211">
        <v>159</v>
      </c>
      <c r="O74" s="105"/>
      <c r="P74" s="205">
        <f t="shared" si="4"/>
        <v>28.28154724159797</v>
      </c>
      <c r="Q74" s="204">
        <f t="shared" si="5"/>
        <v>26.328933285765249</v>
      </c>
      <c r="R74" s="204">
        <f t="shared" si="6"/>
        <v>61.0062893081761</v>
      </c>
      <c r="S74" s="203">
        <f t="shared" si="7"/>
        <v>30.188679245283019</v>
      </c>
      <c r="T74" s="108"/>
      <c r="U74" s="109"/>
      <c r="V74" s="109"/>
    </row>
    <row r="75" spans="1:22" x14ac:dyDescent="0.2">
      <c r="A75" s="101" t="s">
        <v>178</v>
      </c>
      <c r="B75" s="102" t="s">
        <v>179</v>
      </c>
      <c r="C75" s="103" t="s">
        <v>265</v>
      </c>
      <c r="D75" s="215">
        <v>3561</v>
      </c>
      <c r="E75" s="216">
        <v>11424</v>
      </c>
      <c r="F75" s="104"/>
      <c r="G75" s="211">
        <v>2288</v>
      </c>
      <c r="H75" s="211">
        <v>8821</v>
      </c>
      <c r="I75" s="107"/>
      <c r="J75" s="211">
        <v>1066</v>
      </c>
      <c r="K75" s="211">
        <v>2044</v>
      </c>
      <c r="L75" s="110"/>
      <c r="M75" s="211">
        <v>164</v>
      </c>
      <c r="N75" s="211">
        <v>419</v>
      </c>
      <c r="O75" s="105"/>
      <c r="P75" s="205">
        <f t="shared" si="4"/>
        <v>31.17121848739496</v>
      </c>
      <c r="Q75" s="204">
        <f t="shared" si="5"/>
        <v>25.938102255980048</v>
      </c>
      <c r="R75" s="204">
        <f t="shared" si="6"/>
        <v>52.152641878669279</v>
      </c>
      <c r="S75" s="203">
        <f t="shared" si="7"/>
        <v>39.140811455847256</v>
      </c>
      <c r="T75" s="108"/>
      <c r="U75" s="109"/>
      <c r="V75" s="109"/>
    </row>
    <row r="76" spans="1:22" x14ac:dyDescent="0.2">
      <c r="A76" s="101" t="s">
        <v>182</v>
      </c>
      <c r="B76" s="102" t="s">
        <v>183</v>
      </c>
      <c r="C76" s="103" t="s">
        <v>266</v>
      </c>
      <c r="D76" s="215">
        <v>894</v>
      </c>
      <c r="E76" s="216">
        <v>5676</v>
      </c>
      <c r="F76" s="104"/>
      <c r="G76" s="211">
        <v>705</v>
      </c>
      <c r="H76" s="211">
        <v>5098</v>
      </c>
      <c r="I76" s="107"/>
      <c r="J76" s="211">
        <v>126</v>
      </c>
      <c r="K76" s="211">
        <v>331</v>
      </c>
      <c r="L76" s="110"/>
      <c r="M76" s="211">
        <v>31</v>
      </c>
      <c r="N76" s="211">
        <v>150</v>
      </c>
      <c r="O76" s="105"/>
      <c r="P76" s="205">
        <f t="shared" si="4"/>
        <v>15.750528541226217</v>
      </c>
      <c r="Q76" s="204">
        <f t="shared" si="5"/>
        <v>13.828952530404079</v>
      </c>
      <c r="R76" s="204">
        <f t="shared" si="6"/>
        <v>38.066465256797585</v>
      </c>
      <c r="S76" s="203">
        <f t="shared" si="7"/>
        <v>20.666666666666668</v>
      </c>
      <c r="T76" s="108"/>
      <c r="U76" s="109"/>
      <c r="V76" s="109"/>
    </row>
    <row r="77" spans="1:22" x14ac:dyDescent="0.2">
      <c r="A77" s="101" t="s">
        <v>184</v>
      </c>
      <c r="B77" s="102" t="s">
        <v>185</v>
      </c>
      <c r="C77" s="103" t="s">
        <v>266</v>
      </c>
      <c r="D77" s="215">
        <v>1369</v>
      </c>
      <c r="E77" s="216">
        <v>3375</v>
      </c>
      <c r="F77" s="104"/>
      <c r="G77" s="211">
        <v>434</v>
      </c>
      <c r="H77" s="211">
        <v>1775</v>
      </c>
      <c r="I77" s="107"/>
      <c r="J77" s="211">
        <v>840</v>
      </c>
      <c r="K77" s="211">
        <v>1364</v>
      </c>
      <c r="L77" s="110"/>
      <c r="M77" s="211">
        <v>27</v>
      </c>
      <c r="N77" s="211">
        <v>99</v>
      </c>
      <c r="O77" s="105"/>
      <c r="P77" s="205">
        <f t="shared" si="4"/>
        <v>40.562962962962963</v>
      </c>
      <c r="Q77" s="204">
        <f t="shared" si="5"/>
        <v>24.450704225352112</v>
      </c>
      <c r="R77" s="204">
        <f t="shared" si="6"/>
        <v>61.583577712609973</v>
      </c>
      <c r="S77" s="203">
        <f t="shared" si="7"/>
        <v>27.27272727272727</v>
      </c>
      <c r="T77" s="108"/>
      <c r="U77" s="109"/>
      <c r="V77" s="109"/>
    </row>
    <row r="78" spans="1:22" x14ac:dyDescent="0.2">
      <c r="A78" s="101" t="s">
        <v>186</v>
      </c>
      <c r="B78" s="102" t="s">
        <v>187</v>
      </c>
      <c r="C78" s="103" t="s">
        <v>264</v>
      </c>
      <c r="D78" s="215">
        <v>1977</v>
      </c>
      <c r="E78" s="216">
        <v>7077</v>
      </c>
      <c r="F78" s="104"/>
      <c r="G78" s="211">
        <v>897</v>
      </c>
      <c r="H78" s="211">
        <v>4149</v>
      </c>
      <c r="I78" s="107"/>
      <c r="J78" s="211">
        <v>877</v>
      </c>
      <c r="K78" s="211">
        <v>2141</v>
      </c>
      <c r="L78" s="110"/>
      <c r="M78" s="211">
        <v>144</v>
      </c>
      <c r="N78" s="211">
        <v>601</v>
      </c>
      <c r="O78" s="105"/>
      <c r="P78" s="205">
        <f t="shared" si="4"/>
        <v>27.935565917761764</v>
      </c>
      <c r="Q78" s="204">
        <f t="shared" si="5"/>
        <v>21.619667389732466</v>
      </c>
      <c r="R78" s="204">
        <f t="shared" si="6"/>
        <v>40.96216721158337</v>
      </c>
      <c r="S78" s="203">
        <f t="shared" si="7"/>
        <v>23.960066555740433</v>
      </c>
      <c r="T78" s="108"/>
      <c r="U78" s="109"/>
      <c r="V78" s="109"/>
    </row>
    <row r="79" spans="1:22" x14ac:dyDescent="0.2">
      <c r="A79" s="101" t="s">
        <v>188</v>
      </c>
      <c r="B79" s="102" t="s">
        <v>189</v>
      </c>
      <c r="C79" s="103" t="s">
        <v>267</v>
      </c>
      <c r="D79" s="215">
        <v>21749</v>
      </c>
      <c r="E79" s="216">
        <v>103118</v>
      </c>
      <c r="F79" s="104"/>
      <c r="G79" s="211">
        <v>8234</v>
      </c>
      <c r="H79" s="211">
        <v>55019</v>
      </c>
      <c r="I79" s="107"/>
      <c r="J79" s="211">
        <v>8089</v>
      </c>
      <c r="K79" s="211">
        <v>20838</v>
      </c>
      <c r="L79" s="110"/>
      <c r="M79" s="211">
        <v>5636</v>
      </c>
      <c r="N79" s="211">
        <v>24344</v>
      </c>
      <c r="O79" s="105"/>
      <c r="P79" s="205">
        <f t="shared" si="4"/>
        <v>21.091371050641015</v>
      </c>
      <c r="Q79" s="204">
        <f t="shared" si="5"/>
        <v>14.965739108308037</v>
      </c>
      <c r="R79" s="204">
        <f t="shared" si="6"/>
        <v>38.818504654957295</v>
      </c>
      <c r="S79" s="203">
        <f t="shared" si="7"/>
        <v>23.151495234965495</v>
      </c>
      <c r="T79" s="108"/>
      <c r="U79" s="109"/>
      <c r="V79" s="109"/>
    </row>
    <row r="80" spans="1:22" x14ac:dyDescent="0.2">
      <c r="A80" s="101" t="s">
        <v>190</v>
      </c>
      <c r="B80" s="102" t="s">
        <v>191</v>
      </c>
      <c r="C80" s="103" t="s">
        <v>268</v>
      </c>
      <c r="D80" s="215">
        <v>1787</v>
      </c>
      <c r="E80" s="216">
        <v>5721</v>
      </c>
      <c r="F80" s="104"/>
      <c r="G80" s="211">
        <v>1480</v>
      </c>
      <c r="H80" s="211">
        <v>5198</v>
      </c>
      <c r="I80" s="107"/>
      <c r="J80" s="211">
        <v>152</v>
      </c>
      <c r="K80" s="211">
        <v>245</v>
      </c>
      <c r="L80" s="110"/>
      <c r="M80" s="211">
        <v>43</v>
      </c>
      <c r="N80" s="211">
        <v>127</v>
      </c>
      <c r="O80" s="105"/>
      <c r="P80" s="205">
        <f t="shared" si="4"/>
        <v>31.235797937423527</v>
      </c>
      <c r="Q80" s="204">
        <f t="shared" si="5"/>
        <v>28.472489419007314</v>
      </c>
      <c r="R80" s="204">
        <f t="shared" si="6"/>
        <v>62.04081632653061</v>
      </c>
      <c r="S80" s="203">
        <f t="shared" si="7"/>
        <v>33.858267716535437</v>
      </c>
      <c r="T80" s="108"/>
      <c r="U80" s="109"/>
      <c r="V80" s="109"/>
    </row>
    <row r="81" spans="1:22" x14ac:dyDescent="0.2">
      <c r="A81" s="101" t="s">
        <v>194</v>
      </c>
      <c r="B81" s="102" t="s">
        <v>195</v>
      </c>
      <c r="C81" s="103" t="s">
        <v>267</v>
      </c>
      <c r="D81" s="215">
        <v>320</v>
      </c>
      <c r="E81" s="216">
        <v>1265</v>
      </c>
      <c r="F81" s="104"/>
      <c r="G81" s="211">
        <v>269</v>
      </c>
      <c r="H81" s="211">
        <v>1157</v>
      </c>
      <c r="I81" s="107"/>
      <c r="J81" s="211">
        <v>23</v>
      </c>
      <c r="K81" s="211">
        <v>42</v>
      </c>
      <c r="L81" s="110"/>
      <c r="M81" s="211">
        <v>22</v>
      </c>
      <c r="N81" s="211">
        <v>71</v>
      </c>
      <c r="O81" s="105"/>
      <c r="P81" s="205">
        <f t="shared" si="4"/>
        <v>25.296442687747035</v>
      </c>
      <c r="Q81" s="204">
        <f t="shared" si="5"/>
        <v>23.249783923941227</v>
      </c>
      <c r="R81" s="204">
        <f t="shared" si="6"/>
        <v>54.761904761904766</v>
      </c>
      <c r="S81" s="203">
        <f t="shared" si="7"/>
        <v>30.985915492957744</v>
      </c>
      <c r="T81" s="108"/>
      <c r="U81" s="109"/>
      <c r="V81" s="109"/>
    </row>
    <row r="82" spans="1:22" x14ac:dyDescent="0.2">
      <c r="A82" s="101" t="s">
        <v>198</v>
      </c>
      <c r="B82" s="102" t="s">
        <v>199</v>
      </c>
      <c r="C82" s="103" t="s">
        <v>266</v>
      </c>
      <c r="D82" s="215">
        <v>416</v>
      </c>
      <c r="E82" s="216">
        <v>1302</v>
      </c>
      <c r="F82" s="104"/>
      <c r="G82" s="211">
        <v>202</v>
      </c>
      <c r="H82" s="211">
        <v>875</v>
      </c>
      <c r="I82" s="107"/>
      <c r="J82" s="211">
        <v>175</v>
      </c>
      <c r="K82" s="211">
        <v>276</v>
      </c>
      <c r="L82" s="110"/>
      <c r="M82" s="211">
        <v>24</v>
      </c>
      <c r="N82" s="211">
        <v>125</v>
      </c>
      <c r="O82" s="105"/>
      <c r="P82" s="205">
        <f t="shared" si="4"/>
        <v>31.95084485407066</v>
      </c>
      <c r="Q82" s="204">
        <f t="shared" si="5"/>
        <v>23.085714285714285</v>
      </c>
      <c r="R82" s="204">
        <f t="shared" si="6"/>
        <v>63.405797101449281</v>
      </c>
      <c r="S82" s="203">
        <f t="shared" si="7"/>
        <v>19.2</v>
      </c>
      <c r="T82" s="108"/>
      <c r="U82" s="109"/>
      <c r="V82" s="109"/>
    </row>
    <row r="83" spans="1:22" x14ac:dyDescent="0.2">
      <c r="A83" s="101" t="s">
        <v>202</v>
      </c>
      <c r="B83" s="102" t="s">
        <v>611</v>
      </c>
      <c r="C83" s="103" t="s">
        <v>265</v>
      </c>
      <c r="D83" s="215">
        <v>5421</v>
      </c>
      <c r="E83" s="216">
        <v>22594</v>
      </c>
      <c r="F83" s="104"/>
      <c r="G83" s="211">
        <v>4101</v>
      </c>
      <c r="H83" s="211">
        <v>19297</v>
      </c>
      <c r="I83" s="107"/>
      <c r="J83" s="211">
        <v>784</v>
      </c>
      <c r="K83" s="211">
        <v>1384</v>
      </c>
      <c r="L83" s="110"/>
      <c r="M83" s="211">
        <v>238</v>
      </c>
      <c r="N83" s="211">
        <v>833</v>
      </c>
      <c r="O83" s="105"/>
      <c r="P83" s="205">
        <f t="shared" si="4"/>
        <v>23.993095512082853</v>
      </c>
      <c r="Q83" s="204">
        <f t="shared" si="5"/>
        <v>21.25200808415816</v>
      </c>
      <c r="R83" s="204">
        <f t="shared" si="6"/>
        <v>56.647398843930638</v>
      </c>
      <c r="S83" s="203">
        <f t="shared" si="7"/>
        <v>28.571428571428569</v>
      </c>
      <c r="T83" s="108"/>
      <c r="U83" s="109"/>
      <c r="V83" s="109"/>
    </row>
    <row r="84" spans="1:22" x14ac:dyDescent="0.2">
      <c r="A84" s="101" t="s">
        <v>204</v>
      </c>
      <c r="B84" s="102" t="s">
        <v>293</v>
      </c>
      <c r="C84" s="103" t="s">
        <v>265</v>
      </c>
      <c r="D84" s="215">
        <v>1602</v>
      </c>
      <c r="E84" s="216">
        <v>5638</v>
      </c>
      <c r="F84" s="104"/>
      <c r="G84" s="211">
        <v>1357</v>
      </c>
      <c r="H84" s="211">
        <v>5119</v>
      </c>
      <c r="I84" s="107"/>
      <c r="J84" s="211">
        <v>137</v>
      </c>
      <c r="K84" s="211">
        <v>227</v>
      </c>
      <c r="L84" s="110"/>
      <c r="M84" s="211">
        <v>53</v>
      </c>
      <c r="N84" s="211">
        <v>160</v>
      </c>
      <c r="O84" s="105"/>
      <c r="P84" s="205">
        <f t="shared" si="4"/>
        <v>28.414331323164244</v>
      </c>
      <c r="Q84" s="204">
        <f t="shared" si="5"/>
        <v>26.509083805430748</v>
      </c>
      <c r="R84" s="204">
        <f t="shared" si="6"/>
        <v>60.352422907488986</v>
      </c>
      <c r="S84" s="203">
        <f t="shared" si="7"/>
        <v>33.125</v>
      </c>
      <c r="T84" s="108"/>
      <c r="U84" s="109"/>
      <c r="V84" s="109"/>
    </row>
    <row r="85" spans="1:22" x14ac:dyDescent="0.2">
      <c r="A85" s="101" t="s">
        <v>206</v>
      </c>
      <c r="B85" s="102" t="s">
        <v>294</v>
      </c>
      <c r="C85" s="103" t="s">
        <v>267</v>
      </c>
      <c r="D85" s="215">
        <v>5746</v>
      </c>
      <c r="E85" s="216">
        <v>22670</v>
      </c>
      <c r="F85" s="104"/>
      <c r="G85" s="211">
        <v>4074</v>
      </c>
      <c r="H85" s="211">
        <v>18481</v>
      </c>
      <c r="I85" s="107"/>
      <c r="J85" s="211">
        <v>513</v>
      </c>
      <c r="K85" s="211">
        <v>877</v>
      </c>
      <c r="L85" s="110"/>
      <c r="M85" s="211">
        <v>1366</v>
      </c>
      <c r="N85" s="211">
        <v>3697</v>
      </c>
      <c r="O85" s="105"/>
      <c r="P85" s="205">
        <f t="shared" si="4"/>
        <v>25.34627260696956</v>
      </c>
      <c r="Q85" s="204">
        <f t="shared" si="5"/>
        <v>22.044261674151834</v>
      </c>
      <c r="R85" s="204">
        <f t="shared" si="6"/>
        <v>58.494868871151652</v>
      </c>
      <c r="S85" s="203">
        <f t="shared" si="7"/>
        <v>36.948877468217475</v>
      </c>
      <c r="T85" s="108"/>
      <c r="U85" s="109"/>
      <c r="V85" s="109"/>
    </row>
    <row r="86" spans="1:22" x14ac:dyDescent="0.2">
      <c r="A86" s="101" t="s">
        <v>208</v>
      </c>
      <c r="B86" s="102" t="s">
        <v>209</v>
      </c>
      <c r="C86" s="103" t="s">
        <v>268</v>
      </c>
      <c r="D86" s="215">
        <v>1191</v>
      </c>
      <c r="E86" s="216">
        <v>5014</v>
      </c>
      <c r="F86" s="104"/>
      <c r="G86" s="211">
        <v>1138</v>
      </c>
      <c r="H86" s="211">
        <v>4887</v>
      </c>
      <c r="I86" s="107"/>
      <c r="J86" s="211">
        <v>6</v>
      </c>
      <c r="K86" s="211">
        <v>24</v>
      </c>
      <c r="L86" s="110"/>
      <c r="M86" s="211">
        <v>34</v>
      </c>
      <c r="N86" s="211">
        <v>83</v>
      </c>
      <c r="O86" s="105"/>
      <c r="P86" s="205">
        <f t="shared" si="4"/>
        <v>23.753490227363383</v>
      </c>
      <c r="Q86" s="204">
        <f t="shared" si="5"/>
        <v>23.286269695109475</v>
      </c>
      <c r="R86" s="204">
        <f t="shared" si="6"/>
        <v>25</v>
      </c>
      <c r="S86" s="203">
        <f t="shared" si="7"/>
        <v>40.963855421686745</v>
      </c>
      <c r="T86" s="108"/>
      <c r="U86" s="109"/>
      <c r="V86" s="109"/>
    </row>
    <row r="87" spans="1:22" x14ac:dyDescent="0.2">
      <c r="A87" s="101" t="s">
        <v>210</v>
      </c>
      <c r="B87" s="102" t="s">
        <v>211</v>
      </c>
      <c r="C87" s="103" t="s">
        <v>268</v>
      </c>
      <c r="D87" s="215">
        <v>959</v>
      </c>
      <c r="E87" s="216">
        <v>3843</v>
      </c>
      <c r="F87" s="104"/>
      <c r="G87" s="211">
        <v>910</v>
      </c>
      <c r="H87" s="211">
        <v>3735</v>
      </c>
      <c r="I87" s="107"/>
      <c r="J87" s="211">
        <v>6</v>
      </c>
      <c r="K87" s="211">
        <v>16</v>
      </c>
      <c r="L87" s="110"/>
      <c r="M87" s="211">
        <v>36</v>
      </c>
      <c r="N87" s="211">
        <v>76</v>
      </c>
      <c r="O87" s="105"/>
      <c r="P87" s="205">
        <f t="shared" si="4"/>
        <v>24.954462659380692</v>
      </c>
      <c r="Q87" s="204">
        <f t="shared" si="5"/>
        <v>24.364123159303883</v>
      </c>
      <c r="R87" s="204">
        <f t="shared" si="6"/>
        <v>37.5</v>
      </c>
      <c r="S87" s="203">
        <f t="shared" si="7"/>
        <v>47.368421052631575</v>
      </c>
      <c r="T87" s="108"/>
      <c r="U87" s="109"/>
      <c r="V87" s="109"/>
    </row>
    <row r="88" spans="1:22" x14ac:dyDescent="0.2">
      <c r="A88" s="101" t="s">
        <v>212</v>
      </c>
      <c r="B88" s="102" t="s">
        <v>213</v>
      </c>
      <c r="C88" s="103" t="s">
        <v>267</v>
      </c>
      <c r="D88" s="215">
        <v>2330</v>
      </c>
      <c r="E88" s="216">
        <v>8141</v>
      </c>
      <c r="F88" s="104"/>
      <c r="G88" s="211">
        <v>2035</v>
      </c>
      <c r="H88" s="211">
        <v>7261</v>
      </c>
      <c r="I88" s="107"/>
      <c r="J88" s="211">
        <v>66</v>
      </c>
      <c r="K88" s="211">
        <v>133</v>
      </c>
      <c r="L88" s="110"/>
      <c r="M88" s="211">
        <v>300</v>
      </c>
      <c r="N88" s="211">
        <v>869</v>
      </c>
      <c r="O88" s="105"/>
      <c r="P88" s="205">
        <f t="shared" si="4"/>
        <v>28.620562584449083</v>
      </c>
      <c r="Q88" s="204">
        <f t="shared" si="5"/>
        <v>28.026442638754993</v>
      </c>
      <c r="R88" s="204">
        <f t="shared" si="6"/>
        <v>49.624060150375939</v>
      </c>
      <c r="S88" s="203">
        <f t="shared" si="7"/>
        <v>34.522439585730723</v>
      </c>
      <c r="T88" s="108"/>
      <c r="U88" s="109"/>
      <c r="V88" s="109"/>
    </row>
    <row r="89" spans="1:22" x14ac:dyDescent="0.2">
      <c r="A89" s="101" t="s">
        <v>214</v>
      </c>
      <c r="B89" s="102" t="s">
        <v>215</v>
      </c>
      <c r="C89" s="103" t="s">
        <v>268</v>
      </c>
      <c r="D89" s="215">
        <v>1901</v>
      </c>
      <c r="E89" s="216">
        <v>5684</v>
      </c>
      <c r="F89" s="104"/>
      <c r="G89" s="211">
        <v>1714</v>
      </c>
      <c r="H89" s="211">
        <v>5361</v>
      </c>
      <c r="I89" s="107"/>
      <c r="J89" s="211">
        <v>65</v>
      </c>
      <c r="K89" s="211">
        <v>92</v>
      </c>
      <c r="L89" s="110"/>
      <c r="M89" s="211">
        <v>83</v>
      </c>
      <c r="N89" s="211">
        <v>166</v>
      </c>
      <c r="O89" s="105"/>
      <c r="P89" s="205">
        <f t="shared" si="4"/>
        <v>33.444757213230119</v>
      </c>
      <c r="Q89" s="204">
        <f t="shared" si="5"/>
        <v>31.971647080768513</v>
      </c>
      <c r="R89" s="204">
        <f t="shared" si="6"/>
        <v>70.652173913043484</v>
      </c>
      <c r="S89" s="203">
        <f t="shared" si="7"/>
        <v>50</v>
      </c>
      <c r="T89" s="108"/>
      <c r="U89" s="109"/>
      <c r="V89" s="109"/>
    </row>
    <row r="90" spans="1:22" x14ac:dyDescent="0.2">
      <c r="A90" s="101" t="s">
        <v>216</v>
      </c>
      <c r="B90" s="102" t="s">
        <v>217</v>
      </c>
      <c r="C90" s="103" t="s">
        <v>264</v>
      </c>
      <c r="D90" s="215">
        <v>1022</v>
      </c>
      <c r="E90" s="216">
        <v>3228</v>
      </c>
      <c r="F90" s="104"/>
      <c r="G90" s="211">
        <v>421</v>
      </c>
      <c r="H90" s="211">
        <v>2128</v>
      </c>
      <c r="I90" s="107"/>
      <c r="J90" s="211">
        <v>534</v>
      </c>
      <c r="K90" s="211">
        <v>937</v>
      </c>
      <c r="L90" s="110"/>
      <c r="M90" s="211">
        <v>29</v>
      </c>
      <c r="N90" s="211">
        <v>75</v>
      </c>
      <c r="O90" s="105"/>
      <c r="P90" s="205">
        <f t="shared" si="4"/>
        <v>31.660470879801732</v>
      </c>
      <c r="Q90" s="204">
        <f t="shared" si="5"/>
        <v>19.783834586466163</v>
      </c>
      <c r="R90" s="204">
        <f t="shared" si="6"/>
        <v>56.990394877267882</v>
      </c>
      <c r="S90" s="203">
        <f t="shared" si="7"/>
        <v>38.666666666666664</v>
      </c>
      <c r="T90" s="108"/>
      <c r="U90" s="109"/>
      <c r="V90" s="109"/>
    </row>
    <row r="91" spans="1:22" x14ac:dyDescent="0.2">
      <c r="A91" s="101" t="s">
        <v>218</v>
      </c>
      <c r="B91" s="102" t="s">
        <v>219</v>
      </c>
      <c r="C91" s="103" t="s">
        <v>267</v>
      </c>
      <c r="D91" s="215">
        <v>6530</v>
      </c>
      <c r="E91" s="216">
        <v>29736</v>
      </c>
      <c r="F91" s="104"/>
      <c r="G91" s="211">
        <v>3861</v>
      </c>
      <c r="H91" s="211">
        <v>21338</v>
      </c>
      <c r="I91" s="107"/>
      <c r="J91" s="211">
        <v>1756</v>
      </c>
      <c r="K91" s="211">
        <v>4503</v>
      </c>
      <c r="L91" s="110"/>
      <c r="M91" s="211">
        <v>686</v>
      </c>
      <c r="N91" s="211">
        <v>2924</v>
      </c>
      <c r="O91" s="105"/>
      <c r="P91" s="205">
        <f t="shared" si="4"/>
        <v>21.959913909066451</v>
      </c>
      <c r="Q91" s="204">
        <f t="shared" si="5"/>
        <v>18.094479332645982</v>
      </c>
      <c r="R91" s="204">
        <f t="shared" si="6"/>
        <v>38.996224739062846</v>
      </c>
      <c r="S91" s="203">
        <f t="shared" si="7"/>
        <v>23.461012311901506</v>
      </c>
      <c r="T91" s="108"/>
      <c r="U91" s="109"/>
      <c r="V91" s="109"/>
    </row>
    <row r="92" spans="1:22" x14ac:dyDescent="0.2">
      <c r="A92" s="101" t="s">
        <v>220</v>
      </c>
      <c r="B92" s="102" t="s">
        <v>221</v>
      </c>
      <c r="C92" s="103" t="s">
        <v>267</v>
      </c>
      <c r="D92" s="215">
        <v>6789</v>
      </c>
      <c r="E92" s="216">
        <v>33357</v>
      </c>
      <c r="F92" s="104"/>
      <c r="G92" s="211">
        <v>3655</v>
      </c>
      <c r="H92" s="211">
        <v>22763</v>
      </c>
      <c r="I92" s="107"/>
      <c r="J92" s="211">
        <v>2028</v>
      </c>
      <c r="K92" s="211">
        <v>5715</v>
      </c>
      <c r="L92" s="110"/>
      <c r="M92" s="211">
        <v>841</v>
      </c>
      <c r="N92" s="211">
        <v>4030</v>
      </c>
      <c r="O92" s="105"/>
      <c r="P92" s="205">
        <f t="shared" si="4"/>
        <v>20.352549689720298</v>
      </c>
      <c r="Q92" s="204">
        <f t="shared" si="5"/>
        <v>16.056758775205378</v>
      </c>
      <c r="R92" s="204">
        <f t="shared" si="6"/>
        <v>35.485564304461938</v>
      </c>
      <c r="S92" s="203">
        <f t="shared" si="7"/>
        <v>20.868486352357323</v>
      </c>
      <c r="T92" s="108"/>
      <c r="U92" s="109"/>
      <c r="V92" s="109"/>
    </row>
    <row r="93" spans="1:22" x14ac:dyDescent="0.2">
      <c r="A93" s="101" t="s">
        <v>224</v>
      </c>
      <c r="B93" s="102" t="s">
        <v>225</v>
      </c>
      <c r="C93" s="103" t="s">
        <v>264</v>
      </c>
      <c r="D93" s="215">
        <v>346</v>
      </c>
      <c r="E93" s="216">
        <v>1149</v>
      </c>
      <c r="F93" s="104"/>
      <c r="G93" s="211">
        <v>122</v>
      </c>
      <c r="H93" s="211">
        <v>613</v>
      </c>
      <c r="I93" s="107"/>
      <c r="J93" s="211">
        <v>194</v>
      </c>
      <c r="K93" s="211">
        <v>484</v>
      </c>
      <c r="L93" s="110"/>
      <c r="M93" s="211">
        <v>12</v>
      </c>
      <c r="N93" s="211">
        <v>19</v>
      </c>
      <c r="O93" s="105"/>
      <c r="P93" s="205">
        <f t="shared" si="4"/>
        <v>30.113141862489123</v>
      </c>
      <c r="Q93" s="204">
        <f t="shared" si="5"/>
        <v>19.902120717781401</v>
      </c>
      <c r="R93" s="204">
        <f t="shared" si="6"/>
        <v>40.082644628099175</v>
      </c>
      <c r="S93" s="203">
        <f t="shared" si="7"/>
        <v>63.157894736842103</v>
      </c>
      <c r="T93" s="108"/>
      <c r="U93" s="109"/>
      <c r="V93" s="109"/>
    </row>
    <row r="94" spans="1:22" x14ac:dyDescent="0.2">
      <c r="A94" s="101" t="s">
        <v>226</v>
      </c>
      <c r="B94" s="102" t="s">
        <v>227</v>
      </c>
      <c r="C94" s="103" t="s">
        <v>264</v>
      </c>
      <c r="D94" s="215">
        <v>725</v>
      </c>
      <c r="E94" s="216">
        <v>1634</v>
      </c>
      <c r="F94" s="104"/>
      <c r="G94" s="211">
        <v>174</v>
      </c>
      <c r="H94" s="211">
        <v>692</v>
      </c>
      <c r="I94" s="107"/>
      <c r="J94" s="211">
        <v>530</v>
      </c>
      <c r="K94" s="211">
        <v>881</v>
      </c>
      <c r="L94" s="110"/>
      <c r="M94" s="211">
        <v>18</v>
      </c>
      <c r="N94" s="211">
        <v>56</v>
      </c>
      <c r="O94" s="105"/>
      <c r="P94" s="205">
        <f t="shared" si="4"/>
        <v>44.369645042839657</v>
      </c>
      <c r="Q94" s="204">
        <f t="shared" si="5"/>
        <v>25.144508670520231</v>
      </c>
      <c r="R94" s="204">
        <f t="shared" si="6"/>
        <v>60.158910329171398</v>
      </c>
      <c r="S94" s="203">
        <f t="shared" si="7"/>
        <v>32.142857142857146</v>
      </c>
      <c r="T94" s="108"/>
      <c r="U94" s="109"/>
      <c r="V94" s="109"/>
    </row>
    <row r="95" spans="1:22" x14ac:dyDescent="0.2">
      <c r="A95" s="101" t="s">
        <v>228</v>
      </c>
      <c r="B95" s="102" t="s">
        <v>229</v>
      </c>
      <c r="C95" s="103" t="s">
        <v>268</v>
      </c>
      <c r="D95" s="215">
        <v>2116</v>
      </c>
      <c r="E95" s="216">
        <v>7837</v>
      </c>
      <c r="F95" s="104"/>
      <c r="G95" s="211">
        <v>1916</v>
      </c>
      <c r="H95" s="211">
        <v>7392</v>
      </c>
      <c r="I95" s="107"/>
      <c r="J95" s="211">
        <v>88</v>
      </c>
      <c r="K95" s="211">
        <v>160</v>
      </c>
      <c r="L95" s="110"/>
      <c r="M95" s="211">
        <v>19</v>
      </c>
      <c r="N95" s="211">
        <v>75</v>
      </c>
      <c r="O95" s="105"/>
      <c r="P95" s="205">
        <f t="shared" si="4"/>
        <v>27.000127599846881</v>
      </c>
      <c r="Q95" s="204">
        <f t="shared" si="5"/>
        <v>25.919913419913421</v>
      </c>
      <c r="R95" s="204">
        <f t="shared" si="6"/>
        <v>55.000000000000007</v>
      </c>
      <c r="S95" s="203">
        <f t="shared" si="7"/>
        <v>25.333333333333336</v>
      </c>
      <c r="T95" s="108"/>
      <c r="U95" s="109"/>
      <c r="V95" s="109"/>
    </row>
    <row r="96" spans="1:22" x14ac:dyDescent="0.2">
      <c r="A96" s="101" t="s">
        <v>232</v>
      </c>
      <c r="B96" s="102" t="s">
        <v>233</v>
      </c>
      <c r="C96" s="103" t="s">
        <v>267</v>
      </c>
      <c r="D96" s="215">
        <v>2070</v>
      </c>
      <c r="E96" s="216">
        <v>7925</v>
      </c>
      <c r="F96" s="104"/>
      <c r="G96" s="211">
        <v>1704</v>
      </c>
      <c r="H96" s="211">
        <v>7018</v>
      </c>
      <c r="I96" s="107"/>
      <c r="J96" s="211">
        <v>144</v>
      </c>
      <c r="K96" s="211">
        <v>291</v>
      </c>
      <c r="L96" s="110"/>
      <c r="M96" s="211">
        <v>143</v>
      </c>
      <c r="N96" s="211">
        <v>441</v>
      </c>
      <c r="O96" s="105"/>
      <c r="P96" s="205">
        <f t="shared" si="4"/>
        <v>26.119873817034701</v>
      </c>
      <c r="Q96" s="204">
        <f t="shared" si="5"/>
        <v>24.280421772584781</v>
      </c>
      <c r="R96" s="204">
        <f t="shared" si="6"/>
        <v>49.484536082474229</v>
      </c>
      <c r="S96" s="203">
        <f t="shared" si="7"/>
        <v>32.426303854875286</v>
      </c>
      <c r="T96" s="108"/>
      <c r="U96" s="109"/>
      <c r="V96" s="109"/>
    </row>
    <row r="97" spans="1:22" x14ac:dyDescent="0.2">
      <c r="A97" s="101" t="s">
        <v>234</v>
      </c>
      <c r="B97" s="102" t="s">
        <v>235</v>
      </c>
      <c r="C97" s="103" t="s">
        <v>268</v>
      </c>
      <c r="D97" s="215">
        <v>2248</v>
      </c>
      <c r="E97" s="216">
        <v>9297</v>
      </c>
      <c r="F97" s="104"/>
      <c r="G97" s="211">
        <v>2095</v>
      </c>
      <c r="H97" s="211">
        <v>8962</v>
      </c>
      <c r="I97" s="107"/>
      <c r="J97" s="211">
        <v>53</v>
      </c>
      <c r="K97" s="211">
        <v>84</v>
      </c>
      <c r="L97" s="110"/>
      <c r="M97" s="211">
        <v>79</v>
      </c>
      <c r="N97" s="211">
        <v>201</v>
      </c>
      <c r="O97" s="105"/>
      <c r="P97" s="205">
        <f t="shared" si="4"/>
        <v>24.179842960094653</v>
      </c>
      <c r="Q97" s="204">
        <f t="shared" si="5"/>
        <v>23.37647846462843</v>
      </c>
      <c r="R97" s="204">
        <f t="shared" si="6"/>
        <v>63.095238095238095</v>
      </c>
      <c r="S97" s="203">
        <f t="shared" si="7"/>
        <v>39.303482587064678</v>
      </c>
      <c r="T97" s="108"/>
      <c r="U97" s="109"/>
      <c r="V97" s="109"/>
    </row>
    <row r="98" spans="1:22" x14ac:dyDescent="0.2">
      <c r="A98" s="101" t="s">
        <v>236</v>
      </c>
      <c r="B98" s="102" t="s">
        <v>237</v>
      </c>
      <c r="C98" s="103" t="s">
        <v>266</v>
      </c>
      <c r="D98" s="215">
        <v>1006</v>
      </c>
      <c r="E98" s="216">
        <v>2739</v>
      </c>
      <c r="F98" s="104"/>
      <c r="G98" s="211">
        <v>433</v>
      </c>
      <c r="H98" s="211">
        <v>1603</v>
      </c>
      <c r="I98" s="107"/>
      <c r="J98" s="211">
        <v>458</v>
      </c>
      <c r="K98" s="211">
        <v>793</v>
      </c>
      <c r="L98" s="110"/>
      <c r="M98" s="211">
        <v>68</v>
      </c>
      <c r="N98" s="211">
        <v>302</v>
      </c>
      <c r="O98" s="105"/>
      <c r="P98" s="205">
        <f t="shared" si="4"/>
        <v>36.728733114275279</v>
      </c>
      <c r="Q98" s="204">
        <f t="shared" si="5"/>
        <v>27.011852776044915</v>
      </c>
      <c r="R98" s="204">
        <f t="shared" si="6"/>
        <v>57.755359394703653</v>
      </c>
      <c r="S98" s="203">
        <f t="shared" si="7"/>
        <v>22.516556291390728</v>
      </c>
      <c r="T98" s="108"/>
      <c r="U98" s="109"/>
      <c r="V98" s="109"/>
    </row>
    <row r="99" spans="1:22" x14ac:dyDescent="0.2">
      <c r="A99" s="101" t="s">
        <v>242</v>
      </c>
      <c r="B99" s="102" t="s">
        <v>243</v>
      </c>
      <c r="C99" s="103" t="s">
        <v>268</v>
      </c>
      <c r="D99" s="215">
        <v>2271</v>
      </c>
      <c r="E99" s="216">
        <v>7274</v>
      </c>
      <c r="F99" s="104"/>
      <c r="G99" s="211">
        <v>2128</v>
      </c>
      <c r="H99" s="211">
        <v>6976</v>
      </c>
      <c r="I99" s="107"/>
      <c r="J99" s="211">
        <v>47</v>
      </c>
      <c r="K99" s="211">
        <v>89</v>
      </c>
      <c r="L99" s="110"/>
      <c r="M99" s="211">
        <v>41</v>
      </c>
      <c r="N99" s="211">
        <v>121</v>
      </c>
      <c r="O99" s="105"/>
      <c r="P99" s="205">
        <f t="shared" si="4"/>
        <v>31.220786362386583</v>
      </c>
      <c r="Q99" s="204">
        <f t="shared" si="5"/>
        <v>30.504587155963304</v>
      </c>
      <c r="R99" s="204">
        <f t="shared" si="6"/>
        <v>52.80898876404494</v>
      </c>
      <c r="S99" s="203">
        <f t="shared" si="7"/>
        <v>33.884297520661157</v>
      </c>
      <c r="T99" s="108"/>
      <c r="U99" s="109"/>
      <c r="V99" s="109"/>
    </row>
    <row r="100" spans="1:22" x14ac:dyDescent="0.2">
      <c r="A100" s="101" t="s">
        <v>244</v>
      </c>
      <c r="B100" s="102" t="s">
        <v>245</v>
      </c>
      <c r="C100" s="103" t="s">
        <v>268</v>
      </c>
      <c r="D100" s="215">
        <v>1508</v>
      </c>
      <c r="E100" s="216">
        <v>5325</v>
      </c>
      <c r="F100" s="104"/>
      <c r="G100" s="211">
        <v>1326</v>
      </c>
      <c r="H100" s="211">
        <v>4963</v>
      </c>
      <c r="I100" s="107"/>
      <c r="J100" s="211">
        <v>94</v>
      </c>
      <c r="K100" s="211">
        <v>149</v>
      </c>
      <c r="L100" s="110"/>
      <c r="M100" s="211">
        <v>22</v>
      </c>
      <c r="N100" s="211">
        <v>83</v>
      </c>
      <c r="O100" s="105"/>
      <c r="P100" s="205">
        <f t="shared" si="4"/>
        <v>28.319248826291084</v>
      </c>
      <c r="Q100" s="204">
        <f t="shared" si="5"/>
        <v>26.717711061857745</v>
      </c>
      <c r="R100" s="204">
        <f t="shared" si="6"/>
        <v>63.087248322147651</v>
      </c>
      <c r="S100" s="203">
        <f t="shared" si="7"/>
        <v>26.506024096385545</v>
      </c>
      <c r="T100" s="108"/>
      <c r="U100" s="109"/>
      <c r="V100" s="109"/>
    </row>
    <row r="101" spans="1:22" x14ac:dyDescent="0.2">
      <c r="A101" s="101" t="s">
        <v>246</v>
      </c>
      <c r="B101" s="102" t="s">
        <v>247</v>
      </c>
      <c r="C101" s="103" t="s">
        <v>264</v>
      </c>
      <c r="D101" s="215">
        <v>3643</v>
      </c>
      <c r="E101" s="216">
        <v>18746</v>
      </c>
      <c r="F101" s="104"/>
      <c r="G101" s="211">
        <v>2415</v>
      </c>
      <c r="H101" s="211">
        <v>14197</v>
      </c>
      <c r="I101" s="107"/>
      <c r="J101" s="211">
        <v>762</v>
      </c>
      <c r="K101" s="211">
        <v>1988</v>
      </c>
      <c r="L101" s="110"/>
      <c r="M101" s="211">
        <v>268</v>
      </c>
      <c r="N101" s="211">
        <v>1170</v>
      </c>
      <c r="O101" s="105"/>
      <c r="P101" s="205">
        <f t="shared" si="4"/>
        <v>19.433479142217006</v>
      </c>
      <c r="Q101" s="204">
        <f t="shared" si="5"/>
        <v>17.010636049869689</v>
      </c>
      <c r="R101" s="204">
        <f t="shared" si="6"/>
        <v>38.329979879275655</v>
      </c>
      <c r="S101" s="203">
        <f t="shared" si="7"/>
        <v>22.905982905982906</v>
      </c>
      <c r="T101" s="108"/>
      <c r="U101" s="109"/>
      <c r="V101" s="109"/>
    </row>
    <row r="102" spans="1:22" x14ac:dyDescent="0.2">
      <c r="A102" s="101" t="s">
        <v>14</v>
      </c>
      <c r="B102" s="102" t="s">
        <v>15</v>
      </c>
      <c r="C102" s="103" t="s">
        <v>267</v>
      </c>
      <c r="D102" s="215">
        <v>6099</v>
      </c>
      <c r="E102" s="216">
        <v>21259</v>
      </c>
      <c r="F102" s="104"/>
      <c r="G102" s="211">
        <v>1819</v>
      </c>
      <c r="H102" s="211">
        <v>11110</v>
      </c>
      <c r="I102" s="107"/>
      <c r="J102" s="211">
        <v>2819</v>
      </c>
      <c r="K102" s="211">
        <v>5285</v>
      </c>
      <c r="L102" s="110"/>
      <c r="M102" s="211">
        <v>1768</v>
      </c>
      <c r="N102" s="211">
        <v>4639</v>
      </c>
      <c r="O102" s="105"/>
      <c r="P102" s="205">
        <f t="shared" si="4"/>
        <v>28.689025824356744</v>
      </c>
      <c r="Q102" s="204">
        <f t="shared" si="5"/>
        <v>16.372637263726372</v>
      </c>
      <c r="R102" s="204">
        <f t="shared" si="6"/>
        <v>53.33964049195837</v>
      </c>
      <c r="S102" s="203">
        <f t="shared" si="7"/>
        <v>38.111661996119857</v>
      </c>
      <c r="T102" s="108"/>
      <c r="U102" s="109"/>
      <c r="V102" s="109"/>
    </row>
    <row r="103" spans="1:22" x14ac:dyDescent="0.2">
      <c r="A103" s="101" t="s">
        <v>34</v>
      </c>
      <c r="B103" s="102" t="s">
        <v>35</v>
      </c>
      <c r="C103" s="103" t="s">
        <v>268</v>
      </c>
      <c r="D103" s="215">
        <v>1324</v>
      </c>
      <c r="E103" s="216">
        <v>3160</v>
      </c>
      <c r="F103" s="104"/>
      <c r="G103" s="211">
        <v>1051</v>
      </c>
      <c r="H103" s="211">
        <v>2720</v>
      </c>
      <c r="I103" s="107"/>
      <c r="J103" s="211">
        <v>138</v>
      </c>
      <c r="K103" s="211">
        <v>212</v>
      </c>
      <c r="L103" s="110"/>
      <c r="M103" s="211">
        <v>44</v>
      </c>
      <c r="N103" s="211">
        <v>67</v>
      </c>
      <c r="O103" s="105"/>
      <c r="P103" s="205">
        <f t="shared" si="4"/>
        <v>41.898734177215189</v>
      </c>
      <c r="Q103" s="204">
        <f t="shared" si="5"/>
        <v>38.639705882352942</v>
      </c>
      <c r="R103" s="204">
        <f t="shared" si="6"/>
        <v>65.094339622641513</v>
      </c>
      <c r="S103" s="203">
        <f t="shared" si="7"/>
        <v>65.671641791044777</v>
      </c>
      <c r="T103" s="108"/>
      <c r="U103" s="109"/>
      <c r="V103" s="109"/>
    </row>
    <row r="104" spans="1:22" x14ac:dyDescent="0.2">
      <c r="A104" s="101" t="s">
        <v>52</v>
      </c>
      <c r="B104" s="102" t="s">
        <v>53</v>
      </c>
      <c r="C104" s="103" t="s">
        <v>265</v>
      </c>
      <c r="D104" s="215">
        <v>2163</v>
      </c>
      <c r="E104" s="216">
        <v>5586</v>
      </c>
      <c r="F104" s="104"/>
      <c r="G104" s="211">
        <v>660</v>
      </c>
      <c r="H104" s="211">
        <v>3177</v>
      </c>
      <c r="I104" s="107"/>
      <c r="J104" s="211">
        <v>1258</v>
      </c>
      <c r="K104" s="211">
        <v>1629</v>
      </c>
      <c r="L104" s="110"/>
      <c r="M104" s="211">
        <v>160</v>
      </c>
      <c r="N104" s="211">
        <v>429</v>
      </c>
      <c r="O104" s="105"/>
      <c r="P104" s="205">
        <f t="shared" si="4"/>
        <v>38.721804511278194</v>
      </c>
      <c r="Q104" s="204">
        <f t="shared" si="5"/>
        <v>20.774315391879131</v>
      </c>
      <c r="R104" s="204">
        <f t="shared" si="6"/>
        <v>77.225291589932482</v>
      </c>
      <c r="S104" s="203">
        <f t="shared" si="7"/>
        <v>37.296037296037298</v>
      </c>
      <c r="T104" s="108"/>
      <c r="U104" s="109"/>
      <c r="V104" s="109"/>
    </row>
    <row r="105" spans="1:22" x14ac:dyDescent="0.2">
      <c r="A105" s="101" t="s">
        <v>54</v>
      </c>
      <c r="B105" s="102" t="s">
        <v>55</v>
      </c>
      <c r="C105" s="103" t="s">
        <v>264</v>
      </c>
      <c r="D105" s="215">
        <v>14601</v>
      </c>
      <c r="E105" s="216">
        <v>50056</v>
      </c>
      <c r="F105" s="104"/>
      <c r="G105" s="211">
        <v>5508</v>
      </c>
      <c r="H105" s="211">
        <v>29895</v>
      </c>
      <c r="I105" s="107"/>
      <c r="J105" s="211">
        <v>7658</v>
      </c>
      <c r="K105" s="211">
        <v>14588</v>
      </c>
      <c r="L105" s="110"/>
      <c r="M105" s="211">
        <v>917</v>
      </c>
      <c r="N105" s="211">
        <v>3205</v>
      </c>
      <c r="O105" s="105"/>
      <c r="P105" s="205">
        <f t="shared" si="4"/>
        <v>29.169330350007993</v>
      </c>
      <c r="Q105" s="204">
        <f t="shared" si="5"/>
        <v>18.424485699949823</v>
      </c>
      <c r="R105" s="204">
        <f t="shared" si="6"/>
        <v>52.495201535508642</v>
      </c>
      <c r="S105" s="203">
        <f t="shared" si="7"/>
        <v>28.611544461778472</v>
      </c>
      <c r="T105" s="108"/>
      <c r="U105" s="109"/>
      <c r="V105" s="109"/>
    </row>
    <row r="106" spans="1:22" x14ac:dyDescent="0.2">
      <c r="A106" s="101" t="s">
        <v>66</v>
      </c>
      <c r="B106" s="102" t="s">
        <v>67</v>
      </c>
      <c r="C106" s="103" t="s">
        <v>265</v>
      </c>
      <c r="D106" s="215">
        <v>4439</v>
      </c>
      <c r="E106" s="216">
        <v>7583</v>
      </c>
      <c r="F106" s="104"/>
      <c r="G106" s="211">
        <v>870</v>
      </c>
      <c r="H106" s="211">
        <v>2468</v>
      </c>
      <c r="I106" s="107"/>
      <c r="J106" s="211">
        <v>3318</v>
      </c>
      <c r="K106" s="211">
        <v>4519</v>
      </c>
      <c r="L106" s="110"/>
      <c r="M106" s="211">
        <v>139</v>
      </c>
      <c r="N106" s="211">
        <v>421</v>
      </c>
      <c r="O106" s="105"/>
      <c r="P106" s="205">
        <f t="shared" si="4"/>
        <v>58.538836871950416</v>
      </c>
      <c r="Q106" s="204">
        <f t="shared" si="5"/>
        <v>35.25121555915721</v>
      </c>
      <c r="R106" s="204">
        <f t="shared" si="6"/>
        <v>73.423323744191194</v>
      </c>
      <c r="S106" s="203">
        <f t="shared" si="7"/>
        <v>33.016627078384801</v>
      </c>
      <c r="T106" s="108"/>
      <c r="U106" s="109"/>
      <c r="V106" s="109"/>
    </row>
    <row r="107" spans="1:22" x14ac:dyDescent="0.2">
      <c r="A107" s="101" t="s">
        <v>82</v>
      </c>
      <c r="B107" s="102" t="s">
        <v>311</v>
      </c>
      <c r="C107" s="103" t="s">
        <v>264</v>
      </c>
      <c r="D107" s="215">
        <v>919</v>
      </c>
      <c r="E107" s="216">
        <v>1745</v>
      </c>
      <c r="F107" s="104"/>
      <c r="G107" s="211">
        <v>104</v>
      </c>
      <c r="H107" s="211">
        <v>535</v>
      </c>
      <c r="I107" s="107"/>
      <c r="J107" s="211">
        <v>767</v>
      </c>
      <c r="K107" s="211">
        <v>1085</v>
      </c>
      <c r="L107" s="110"/>
      <c r="M107" s="211">
        <v>17</v>
      </c>
      <c r="N107" s="211">
        <v>51</v>
      </c>
      <c r="O107" s="105"/>
      <c r="P107" s="205">
        <f t="shared" si="4"/>
        <v>52.664756446991404</v>
      </c>
      <c r="Q107" s="204">
        <f t="shared" si="5"/>
        <v>19.439252336448597</v>
      </c>
      <c r="R107" s="204">
        <f t="shared" si="6"/>
        <v>70.691244239631331</v>
      </c>
      <c r="S107" s="203">
        <f t="shared" si="7"/>
        <v>33.333333333333329</v>
      </c>
      <c r="T107" s="108"/>
      <c r="U107" s="109"/>
      <c r="V107" s="109"/>
    </row>
    <row r="108" spans="1:22" x14ac:dyDescent="0.2">
      <c r="A108" s="101" t="s">
        <v>88</v>
      </c>
      <c r="B108" s="102" t="s">
        <v>89</v>
      </c>
      <c r="C108" s="103" t="s">
        <v>267</v>
      </c>
      <c r="D108" s="215">
        <v>1818</v>
      </c>
      <c r="E108" s="216">
        <v>4129</v>
      </c>
      <c r="F108" s="104"/>
      <c r="G108" s="211">
        <v>613</v>
      </c>
      <c r="H108" s="211">
        <v>1974</v>
      </c>
      <c r="I108" s="107"/>
      <c r="J108" s="211">
        <v>857</v>
      </c>
      <c r="K108" s="211">
        <v>1294</v>
      </c>
      <c r="L108" s="110"/>
      <c r="M108" s="211">
        <v>282</v>
      </c>
      <c r="N108" s="211">
        <v>689</v>
      </c>
      <c r="O108" s="105"/>
      <c r="P108" s="205">
        <f t="shared" si="4"/>
        <v>44.030031484620977</v>
      </c>
      <c r="Q108" s="204">
        <f t="shared" si="5"/>
        <v>31.053698074974672</v>
      </c>
      <c r="R108" s="204">
        <f t="shared" si="6"/>
        <v>66.228748068006183</v>
      </c>
      <c r="S108" s="203">
        <f t="shared" si="7"/>
        <v>40.9288824383164</v>
      </c>
      <c r="T108" s="108"/>
      <c r="U108" s="109"/>
      <c r="V108" s="109"/>
    </row>
    <row r="109" spans="1:22" x14ac:dyDescent="0.2">
      <c r="A109" s="101" t="s">
        <v>90</v>
      </c>
      <c r="B109" s="102" t="s">
        <v>91</v>
      </c>
      <c r="C109" s="103" t="s">
        <v>268</v>
      </c>
      <c r="D109" s="215">
        <v>524</v>
      </c>
      <c r="E109" s="216">
        <v>1339</v>
      </c>
      <c r="F109" s="104"/>
      <c r="G109" s="211">
        <v>356</v>
      </c>
      <c r="H109" s="211">
        <v>1010</v>
      </c>
      <c r="I109" s="107"/>
      <c r="J109" s="211">
        <v>67</v>
      </c>
      <c r="K109" s="211">
        <v>104</v>
      </c>
      <c r="L109" s="110"/>
      <c r="M109" s="211">
        <v>156</v>
      </c>
      <c r="N109" s="211">
        <v>385</v>
      </c>
      <c r="O109" s="105"/>
      <c r="P109" s="205">
        <f t="shared" si="4"/>
        <v>39.133681852128454</v>
      </c>
      <c r="Q109" s="204">
        <f t="shared" si="5"/>
        <v>35.247524752475243</v>
      </c>
      <c r="R109" s="204">
        <f t="shared" si="6"/>
        <v>64.423076923076934</v>
      </c>
      <c r="S109" s="203">
        <f t="shared" si="7"/>
        <v>40.519480519480524</v>
      </c>
      <c r="T109" s="108"/>
      <c r="U109" s="109"/>
      <c r="V109" s="109"/>
    </row>
    <row r="110" spans="1:22" x14ac:dyDescent="0.2">
      <c r="A110" s="101" t="s">
        <v>106</v>
      </c>
      <c r="B110" s="102" t="s">
        <v>107</v>
      </c>
      <c r="C110" s="103" t="s">
        <v>264</v>
      </c>
      <c r="D110" s="215">
        <v>11547</v>
      </c>
      <c r="E110" s="216">
        <v>26282</v>
      </c>
      <c r="F110" s="104"/>
      <c r="G110" s="211">
        <v>2332</v>
      </c>
      <c r="H110" s="211">
        <v>9333</v>
      </c>
      <c r="I110" s="107"/>
      <c r="J110" s="211">
        <v>8024</v>
      </c>
      <c r="K110" s="211">
        <v>13815</v>
      </c>
      <c r="L110" s="110"/>
      <c r="M110" s="211">
        <v>695</v>
      </c>
      <c r="N110" s="211">
        <v>1857</v>
      </c>
      <c r="O110" s="105"/>
      <c r="P110" s="205">
        <f t="shared" si="4"/>
        <v>43.935012556122061</v>
      </c>
      <c r="Q110" s="204">
        <f t="shared" si="5"/>
        <v>24.986606664523734</v>
      </c>
      <c r="R110" s="204">
        <f t="shared" si="6"/>
        <v>58.081795150199056</v>
      </c>
      <c r="S110" s="203">
        <f t="shared" si="7"/>
        <v>37.425955842757133</v>
      </c>
      <c r="T110" s="108"/>
      <c r="U110" s="109"/>
      <c r="V110" s="109"/>
    </row>
    <row r="111" spans="1:22" x14ac:dyDescent="0.2">
      <c r="A111" s="101" t="s">
        <v>116</v>
      </c>
      <c r="B111" s="102" t="s">
        <v>117</v>
      </c>
      <c r="C111" s="103" t="s">
        <v>266</v>
      </c>
      <c r="D111" s="215">
        <v>2546</v>
      </c>
      <c r="E111" s="216">
        <v>4601</v>
      </c>
      <c r="F111" s="104"/>
      <c r="G111" s="211">
        <v>722</v>
      </c>
      <c r="H111" s="211">
        <v>1938</v>
      </c>
      <c r="I111" s="107"/>
      <c r="J111" s="211">
        <v>1574</v>
      </c>
      <c r="K111" s="211">
        <v>2141</v>
      </c>
      <c r="L111" s="110"/>
      <c r="M111" s="211">
        <v>162</v>
      </c>
      <c r="N111" s="211">
        <v>417</v>
      </c>
      <c r="O111" s="105"/>
      <c r="P111" s="205">
        <f t="shared" si="4"/>
        <v>55.335796565963925</v>
      </c>
      <c r="Q111" s="204">
        <f t="shared" si="5"/>
        <v>37.254901960784316</v>
      </c>
      <c r="R111" s="204">
        <f t="shared" si="6"/>
        <v>73.517048108360584</v>
      </c>
      <c r="S111" s="203">
        <f t="shared" si="7"/>
        <v>38.848920863309353</v>
      </c>
      <c r="T111" s="108"/>
      <c r="U111" s="109"/>
      <c r="V111" s="109"/>
    </row>
    <row r="112" spans="1:22" x14ac:dyDescent="0.2">
      <c r="A112" s="101" t="s">
        <v>138</v>
      </c>
      <c r="B112" s="102" t="s">
        <v>139</v>
      </c>
      <c r="C112" s="103" t="s">
        <v>265</v>
      </c>
      <c r="D112" s="215">
        <v>5474</v>
      </c>
      <c r="E112" s="216">
        <v>12801</v>
      </c>
      <c r="F112" s="104"/>
      <c r="G112" s="211">
        <v>1492</v>
      </c>
      <c r="H112" s="211">
        <v>6542</v>
      </c>
      <c r="I112" s="107"/>
      <c r="J112" s="211">
        <v>3493</v>
      </c>
      <c r="K112" s="211">
        <v>4881</v>
      </c>
      <c r="L112" s="110"/>
      <c r="M112" s="211">
        <v>194</v>
      </c>
      <c r="N112" s="211">
        <v>518</v>
      </c>
      <c r="O112" s="105"/>
      <c r="P112" s="205">
        <f t="shared" si="4"/>
        <v>42.762284196547142</v>
      </c>
      <c r="Q112" s="204">
        <f t="shared" si="5"/>
        <v>22.806481198410271</v>
      </c>
      <c r="R112" s="204">
        <f t="shared" si="6"/>
        <v>71.563204261421845</v>
      </c>
      <c r="S112" s="203">
        <f t="shared" si="7"/>
        <v>37.451737451737451</v>
      </c>
      <c r="T112" s="108"/>
      <c r="U112" s="109"/>
      <c r="V112" s="109"/>
    </row>
    <row r="113" spans="1:22" x14ac:dyDescent="0.2">
      <c r="A113" s="101" t="s">
        <v>142</v>
      </c>
      <c r="B113" s="102" t="s">
        <v>143</v>
      </c>
      <c r="C113" s="103" t="s">
        <v>267</v>
      </c>
      <c r="D113" s="215">
        <v>2509</v>
      </c>
      <c r="E113" s="216">
        <v>9107</v>
      </c>
      <c r="F113" s="104"/>
      <c r="G113" s="211">
        <v>1103</v>
      </c>
      <c r="H113" s="211">
        <v>5076</v>
      </c>
      <c r="I113" s="107"/>
      <c r="J113" s="211">
        <v>606</v>
      </c>
      <c r="K113" s="211">
        <v>1202</v>
      </c>
      <c r="L113" s="110"/>
      <c r="M113" s="211">
        <v>956</v>
      </c>
      <c r="N113" s="211">
        <v>3653</v>
      </c>
      <c r="O113" s="105"/>
      <c r="P113" s="205">
        <f t="shared" si="4"/>
        <v>27.550236082134621</v>
      </c>
      <c r="Q113" s="204">
        <f t="shared" si="5"/>
        <v>21.729708431836091</v>
      </c>
      <c r="R113" s="204">
        <f t="shared" si="6"/>
        <v>50.415973377703828</v>
      </c>
      <c r="S113" s="203">
        <f t="shared" si="7"/>
        <v>26.170271010128658</v>
      </c>
      <c r="T113" s="108"/>
      <c r="U113" s="109"/>
      <c r="V113" s="109"/>
    </row>
    <row r="114" spans="1:22" x14ac:dyDescent="0.2">
      <c r="A114" s="101" t="s">
        <v>144</v>
      </c>
      <c r="B114" s="102" t="s">
        <v>145</v>
      </c>
      <c r="C114" s="103" t="s">
        <v>267</v>
      </c>
      <c r="D114" s="215">
        <v>818</v>
      </c>
      <c r="E114" s="216">
        <v>3427</v>
      </c>
      <c r="F114" s="104"/>
      <c r="G114" s="211">
        <v>394</v>
      </c>
      <c r="H114" s="211">
        <v>1745</v>
      </c>
      <c r="I114" s="107"/>
      <c r="J114" s="211">
        <v>165</v>
      </c>
      <c r="K114" s="211">
        <v>437</v>
      </c>
      <c r="L114" s="110"/>
      <c r="M114" s="211">
        <v>319</v>
      </c>
      <c r="N114" s="211">
        <v>1325</v>
      </c>
      <c r="O114" s="105"/>
      <c r="P114" s="205">
        <f t="shared" si="4"/>
        <v>23.869273416982782</v>
      </c>
      <c r="Q114" s="204">
        <f t="shared" si="5"/>
        <v>22.578796561604584</v>
      </c>
      <c r="R114" s="204">
        <f t="shared" si="6"/>
        <v>37.757437070938217</v>
      </c>
      <c r="S114" s="203">
        <f t="shared" si="7"/>
        <v>24.075471698113208</v>
      </c>
      <c r="T114" s="108"/>
      <c r="U114" s="109"/>
      <c r="V114" s="109"/>
    </row>
    <row r="115" spans="1:22" x14ac:dyDescent="0.2">
      <c r="A115" s="101" t="s">
        <v>158</v>
      </c>
      <c r="B115" s="102" t="s">
        <v>159</v>
      </c>
      <c r="C115" s="103" t="s">
        <v>264</v>
      </c>
      <c r="D115" s="215">
        <v>16909</v>
      </c>
      <c r="E115" s="216">
        <v>38118</v>
      </c>
      <c r="F115" s="104"/>
      <c r="G115" s="211">
        <v>3558</v>
      </c>
      <c r="H115" s="211">
        <v>14677</v>
      </c>
      <c r="I115" s="107"/>
      <c r="J115" s="211">
        <v>11205</v>
      </c>
      <c r="K115" s="211">
        <v>17808</v>
      </c>
      <c r="L115" s="110"/>
      <c r="M115" s="211">
        <v>1543</v>
      </c>
      <c r="N115" s="211">
        <v>4095</v>
      </c>
      <c r="O115" s="105"/>
      <c r="P115" s="205">
        <f t="shared" si="4"/>
        <v>44.359620126974129</v>
      </c>
      <c r="Q115" s="204">
        <f t="shared" si="5"/>
        <v>24.242011310213261</v>
      </c>
      <c r="R115" s="204">
        <f t="shared" si="6"/>
        <v>62.921159029649601</v>
      </c>
      <c r="S115" s="203">
        <f t="shared" si="7"/>
        <v>37.680097680097681</v>
      </c>
      <c r="T115" s="108"/>
      <c r="U115" s="109"/>
      <c r="V115" s="109"/>
    </row>
    <row r="116" spans="1:22" x14ac:dyDescent="0.2">
      <c r="A116" s="101" t="s">
        <v>160</v>
      </c>
      <c r="B116" s="102" t="s">
        <v>161</v>
      </c>
      <c r="C116" s="103" t="s">
        <v>264</v>
      </c>
      <c r="D116" s="215">
        <v>20474</v>
      </c>
      <c r="E116" s="216">
        <v>42273</v>
      </c>
      <c r="F116" s="104"/>
      <c r="G116" s="211">
        <v>4007</v>
      </c>
      <c r="H116" s="211">
        <v>15462</v>
      </c>
      <c r="I116" s="107"/>
      <c r="J116" s="211">
        <v>14354</v>
      </c>
      <c r="K116" s="211">
        <v>21188</v>
      </c>
      <c r="L116" s="110"/>
      <c r="M116" s="211">
        <v>1485</v>
      </c>
      <c r="N116" s="211">
        <v>3750</v>
      </c>
      <c r="O116" s="105"/>
      <c r="P116" s="205">
        <f t="shared" si="4"/>
        <v>48.43280580985499</v>
      </c>
      <c r="Q116" s="204">
        <f t="shared" si="5"/>
        <v>25.915146811537966</v>
      </c>
      <c r="R116" s="204">
        <f t="shared" si="6"/>
        <v>67.745893902208792</v>
      </c>
      <c r="S116" s="203">
        <f t="shared" si="7"/>
        <v>39.6</v>
      </c>
      <c r="T116" s="108"/>
      <c r="U116" s="109"/>
      <c r="V116" s="109"/>
    </row>
    <row r="117" spans="1:22" x14ac:dyDescent="0.2">
      <c r="A117" s="101" t="s">
        <v>166</v>
      </c>
      <c r="B117" s="102" t="s">
        <v>167</v>
      </c>
      <c r="C117" s="103" t="s">
        <v>268</v>
      </c>
      <c r="D117" s="215">
        <v>345</v>
      </c>
      <c r="E117" s="216">
        <v>733</v>
      </c>
      <c r="F117" s="104"/>
      <c r="G117" s="211">
        <v>258</v>
      </c>
      <c r="H117" s="211">
        <v>598</v>
      </c>
      <c r="I117" s="107"/>
      <c r="J117" s="211">
        <v>39</v>
      </c>
      <c r="K117" s="211">
        <v>57</v>
      </c>
      <c r="L117" s="110"/>
      <c r="M117" s="211">
        <v>14</v>
      </c>
      <c r="N117" s="211">
        <v>18</v>
      </c>
      <c r="O117" s="105"/>
      <c r="P117" s="205">
        <f t="shared" si="4"/>
        <v>47.066848567530698</v>
      </c>
      <c r="Q117" s="204">
        <f t="shared" si="5"/>
        <v>43.143812709030101</v>
      </c>
      <c r="R117" s="204">
        <f t="shared" si="6"/>
        <v>68.421052631578945</v>
      </c>
      <c r="S117" s="203">
        <f t="shared" si="7"/>
        <v>77.777777777777786</v>
      </c>
      <c r="T117" s="108"/>
      <c r="U117" s="109"/>
      <c r="V117" s="109"/>
    </row>
    <row r="118" spans="1:22" x14ac:dyDescent="0.2">
      <c r="A118" s="101" t="s">
        <v>176</v>
      </c>
      <c r="B118" s="102" t="s">
        <v>177</v>
      </c>
      <c r="C118" s="103" t="s">
        <v>266</v>
      </c>
      <c r="D118" s="215">
        <v>3407</v>
      </c>
      <c r="E118" s="216">
        <v>4980</v>
      </c>
      <c r="F118" s="104"/>
      <c r="G118" s="211">
        <v>162</v>
      </c>
      <c r="H118" s="211">
        <v>403</v>
      </c>
      <c r="I118" s="107"/>
      <c r="J118" s="211">
        <v>3058</v>
      </c>
      <c r="K118" s="211">
        <v>4173</v>
      </c>
      <c r="L118" s="110"/>
      <c r="M118" s="211">
        <v>125</v>
      </c>
      <c r="N118" s="211">
        <v>319</v>
      </c>
      <c r="O118" s="105"/>
      <c r="P118" s="205">
        <f t="shared" si="4"/>
        <v>68.413654618473899</v>
      </c>
      <c r="Q118" s="204">
        <f t="shared" si="5"/>
        <v>40.198511166253105</v>
      </c>
      <c r="R118" s="204">
        <f t="shared" si="6"/>
        <v>73.280613467529349</v>
      </c>
      <c r="S118" s="203">
        <f t="shared" si="7"/>
        <v>39.184952978056423</v>
      </c>
      <c r="T118" s="108"/>
      <c r="U118" s="109"/>
      <c r="V118" s="109"/>
    </row>
    <row r="119" spans="1:22" x14ac:dyDescent="0.2">
      <c r="A119" s="101" t="s">
        <v>180</v>
      </c>
      <c r="B119" s="102" t="s">
        <v>181</v>
      </c>
      <c r="C119" s="103" t="s">
        <v>264</v>
      </c>
      <c r="D119" s="215">
        <v>9017</v>
      </c>
      <c r="E119" s="216">
        <v>18131</v>
      </c>
      <c r="F119" s="104"/>
      <c r="G119" s="211">
        <v>1561</v>
      </c>
      <c r="H119" s="211">
        <v>6070</v>
      </c>
      <c r="I119" s="107"/>
      <c r="J119" s="211">
        <v>6830</v>
      </c>
      <c r="K119" s="211">
        <v>10644</v>
      </c>
      <c r="L119" s="110"/>
      <c r="M119" s="211">
        <v>330</v>
      </c>
      <c r="N119" s="211">
        <v>793</v>
      </c>
      <c r="O119" s="105"/>
      <c r="P119" s="205">
        <f t="shared" si="4"/>
        <v>49.732502344051625</v>
      </c>
      <c r="Q119" s="204">
        <f t="shared" si="5"/>
        <v>25.716639209225701</v>
      </c>
      <c r="R119" s="204">
        <f t="shared" si="6"/>
        <v>64.167606163096579</v>
      </c>
      <c r="S119" s="203">
        <f t="shared" si="7"/>
        <v>41.614123581336699</v>
      </c>
      <c r="T119" s="108"/>
      <c r="U119" s="109"/>
      <c r="V119" s="109"/>
    </row>
    <row r="120" spans="1:22" x14ac:dyDescent="0.2">
      <c r="A120" s="101" t="s">
        <v>192</v>
      </c>
      <c r="B120" s="102" t="s">
        <v>193</v>
      </c>
      <c r="C120" s="103" t="s">
        <v>268</v>
      </c>
      <c r="D120" s="215">
        <v>721</v>
      </c>
      <c r="E120" s="216">
        <v>1931</v>
      </c>
      <c r="F120" s="104"/>
      <c r="G120" s="211">
        <v>509</v>
      </c>
      <c r="H120" s="211">
        <v>1578</v>
      </c>
      <c r="I120" s="107"/>
      <c r="J120" s="211">
        <v>123</v>
      </c>
      <c r="K120" s="211">
        <v>175</v>
      </c>
      <c r="L120" s="110"/>
      <c r="M120" s="211">
        <v>26</v>
      </c>
      <c r="N120" s="211">
        <v>45</v>
      </c>
      <c r="O120" s="105"/>
      <c r="P120" s="205">
        <f t="shared" si="4"/>
        <v>37.338166752977727</v>
      </c>
      <c r="Q120" s="204">
        <f t="shared" si="5"/>
        <v>32.256020278833972</v>
      </c>
      <c r="R120" s="204">
        <f t="shared" si="6"/>
        <v>70.285714285714278</v>
      </c>
      <c r="S120" s="203">
        <f t="shared" si="7"/>
        <v>57.777777777777771</v>
      </c>
      <c r="T120" s="108"/>
      <c r="U120" s="109"/>
      <c r="V120" s="109"/>
    </row>
    <row r="121" spans="1:22" x14ac:dyDescent="0.2">
      <c r="A121" s="101" t="s">
        <v>196</v>
      </c>
      <c r="B121" s="102" t="s">
        <v>312</v>
      </c>
      <c r="C121" s="103" t="s">
        <v>266</v>
      </c>
      <c r="D121" s="215">
        <v>18322</v>
      </c>
      <c r="E121" s="216">
        <v>31305</v>
      </c>
      <c r="F121" s="104"/>
      <c r="G121" s="211">
        <v>1555</v>
      </c>
      <c r="H121" s="211">
        <v>8307</v>
      </c>
      <c r="I121" s="107"/>
      <c r="J121" s="211">
        <v>15392</v>
      </c>
      <c r="K121" s="211">
        <v>19914</v>
      </c>
      <c r="L121" s="110"/>
      <c r="M121" s="211">
        <v>1145</v>
      </c>
      <c r="N121" s="211">
        <v>2711</v>
      </c>
      <c r="O121" s="105"/>
      <c r="P121" s="205">
        <f t="shared" si="4"/>
        <v>58.52739179044881</v>
      </c>
      <c r="Q121" s="204">
        <f t="shared" si="5"/>
        <v>18.719152521969423</v>
      </c>
      <c r="R121" s="204">
        <f t="shared" si="6"/>
        <v>77.292357135683446</v>
      </c>
      <c r="S121" s="203">
        <f t="shared" si="7"/>
        <v>42.235337513832533</v>
      </c>
      <c r="T121" s="108"/>
      <c r="U121" s="109"/>
      <c r="V121" s="109"/>
    </row>
    <row r="122" spans="1:22" x14ac:dyDescent="0.2">
      <c r="A122" s="101" t="s">
        <v>200</v>
      </c>
      <c r="B122" s="102" t="s">
        <v>313</v>
      </c>
      <c r="C122" s="103" t="s">
        <v>265</v>
      </c>
      <c r="D122" s="215">
        <v>8836</v>
      </c>
      <c r="E122" s="216">
        <v>17849</v>
      </c>
      <c r="F122" s="104"/>
      <c r="G122" s="211">
        <v>3165</v>
      </c>
      <c r="H122" s="211">
        <v>9224</v>
      </c>
      <c r="I122" s="107"/>
      <c r="J122" s="211">
        <v>4457</v>
      </c>
      <c r="K122" s="211">
        <v>6273</v>
      </c>
      <c r="L122" s="110"/>
      <c r="M122" s="211">
        <v>699</v>
      </c>
      <c r="N122" s="211">
        <v>1535</v>
      </c>
      <c r="O122" s="105"/>
      <c r="P122" s="205">
        <f t="shared" si="4"/>
        <v>49.5041739032999</v>
      </c>
      <c r="Q122" s="204">
        <f t="shared" si="5"/>
        <v>34.31266261925412</v>
      </c>
      <c r="R122" s="204">
        <f t="shared" si="6"/>
        <v>71.050534034752104</v>
      </c>
      <c r="S122" s="203">
        <f t="shared" si="7"/>
        <v>45.537459283387619</v>
      </c>
      <c r="T122" s="108"/>
      <c r="U122" s="109"/>
      <c r="V122" s="109"/>
    </row>
    <row r="123" spans="1:22" x14ac:dyDescent="0.2">
      <c r="A123" s="101" t="s">
        <v>222</v>
      </c>
      <c r="B123" s="102" t="s">
        <v>223</v>
      </c>
      <c r="C123" s="103" t="s">
        <v>264</v>
      </c>
      <c r="D123" s="215">
        <v>5891</v>
      </c>
      <c r="E123" s="216">
        <v>19024</v>
      </c>
      <c r="F123" s="104"/>
      <c r="G123" s="211">
        <v>1476</v>
      </c>
      <c r="H123" s="211">
        <v>9054</v>
      </c>
      <c r="I123" s="107"/>
      <c r="J123" s="211">
        <v>4058</v>
      </c>
      <c r="K123" s="211">
        <v>8404</v>
      </c>
      <c r="L123" s="110"/>
      <c r="M123" s="211">
        <v>217</v>
      </c>
      <c r="N123" s="211">
        <v>828</v>
      </c>
      <c r="O123" s="105"/>
      <c r="P123" s="205">
        <f t="shared" si="4"/>
        <v>30.966148023549202</v>
      </c>
      <c r="Q123" s="204">
        <f t="shared" si="5"/>
        <v>16.302186878727635</v>
      </c>
      <c r="R123" s="204">
        <f t="shared" si="6"/>
        <v>48.286530223703004</v>
      </c>
      <c r="S123" s="203">
        <f t="shared" si="7"/>
        <v>26.207729468599034</v>
      </c>
      <c r="T123" s="108"/>
      <c r="U123" s="109"/>
      <c r="V123" s="109"/>
    </row>
    <row r="124" spans="1:22" x14ac:dyDescent="0.2">
      <c r="A124" s="101" t="s">
        <v>230</v>
      </c>
      <c r="B124" s="102" t="s">
        <v>231</v>
      </c>
      <c r="C124" s="103" t="s">
        <v>264</v>
      </c>
      <c r="D124" s="215">
        <v>27662</v>
      </c>
      <c r="E124" s="216">
        <v>93307</v>
      </c>
      <c r="F124" s="104"/>
      <c r="G124" s="211">
        <v>12802</v>
      </c>
      <c r="H124" s="211">
        <v>57570</v>
      </c>
      <c r="I124" s="107"/>
      <c r="J124" s="211">
        <v>10389</v>
      </c>
      <c r="K124" s="211">
        <v>19927</v>
      </c>
      <c r="L124" s="110"/>
      <c r="M124" s="211">
        <v>3040</v>
      </c>
      <c r="N124" s="211">
        <v>9133</v>
      </c>
      <c r="O124" s="105"/>
      <c r="P124" s="205">
        <f t="shared" si="4"/>
        <v>29.646221612526389</v>
      </c>
      <c r="Q124" s="204">
        <f t="shared" si="5"/>
        <v>22.237276359214871</v>
      </c>
      <c r="R124" s="204">
        <f t="shared" si="6"/>
        <v>52.135293822451942</v>
      </c>
      <c r="S124" s="203">
        <f t="shared" si="7"/>
        <v>33.285886346217012</v>
      </c>
      <c r="T124" s="108"/>
      <c r="U124" s="109"/>
      <c r="V124" s="109"/>
    </row>
    <row r="125" spans="1:22" x14ac:dyDescent="0.2">
      <c r="A125" s="101" t="s">
        <v>238</v>
      </c>
      <c r="B125" s="102" t="s">
        <v>239</v>
      </c>
      <c r="C125" s="103" t="s">
        <v>264</v>
      </c>
      <c r="D125" s="215">
        <v>464</v>
      </c>
      <c r="E125" s="216">
        <v>1231</v>
      </c>
      <c r="F125" s="104"/>
      <c r="G125" s="211">
        <v>179</v>
      </c>
      <c r="H125" s="211">
        <v>722</v>
      </c>
      <c r="I125" s="107"/>
      <c r="J125" s="211">
        <v>200</v>
      </c>
      <c r="K125" s="211">
        <v>295</v>
      </c>
      <c r="L125" s="110"/>
      <c r="M125" s="211">
        <v>57</v>
      </c>
      <c r="N125" s="211">
        <v>146</v>
      </c>
      <c r="O125" s="105"/>
      <c r="P125" s="205">
        <f t="shared" si="4"/>
        <v>37.692932575142166</v>
      </c>
      <c r="Q125" s="204">
        <f t="shared" si="5"/>
        <v>24.792243767313018</v>
      </c>
      <c r="R125" s="204">
        <f t="shared" si="6"/>
        <v>67.796610169491515</v>
      </c>
      <c r="S125" s="203">
        <f t="shared" si="7"/>
        <v>39.041095890410958</v>
      </c>
      <c r="T125" s="108"/>
      <c r="U125" s="109"/>
      <c r="V125" s="109"/>
    </row>
    <row r="126" spans="1:22" x14ac:dyDescent="0.2">
      <c r="A126" s="168" t="s">
        <v>240</v>
      </c>
      <c r="B126" s="169" t="s">
        <v>241</v>
      </c>
      <c r="C126" s="111" t="s">
        <v>267</v>
      </c>
      <c r="D126" s="217">
        <v>1867</v>
      </c>
      <c r="E126" s="218">
        <v>5010</v>
      </c>
      <c r="F126" s="112"/>
      <c r="G126" s="212">
        <v>1033</v>
      </c>
      <c r="H126" s="212">
        <v>3159</v>
      </c>
      <c r="I126" s="106"/>
      <c r="J126" s="212">
        <v>355</v>
      </c>
      <c r="K126" s="212">
        <v>586</v>
      </c>
      <c r="L126" s="113"/>
      <c r="M126" s="212">
        <v>454</v>
      </c>
      <c r="N126" s="212">
        <v>1275</v>
      </c>
      <c r="O126" s="114"/>
      <c r="P126" s="206">
        <f t="shared" si="4"/>
        <v>37.265469061876253</v>
      </c>
      <c r="Q126" s="207">
        <f t="shared" si="5"/>
        <v>32.700221589110477</v>
      </c>
      <c r="R126" s="207">
        <f t="shared" si="6"/>
        <v>60.580204778156997</v>
      </c>
      <c r="S126" s="208">
        <f t="shared" si="7"/>
        <v>35.607843137254903</v>
      </c>
      <c r="T126" s="108"/>
      <c r="U126" s="109"/>
      <c r="V126" s="109"/>
    </row>
    <row r="127" spans="1:22" x14ac:dyDescent="0.2">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x14ac:dyDescent="0.2">
      <c r="A128" s="115" t="s">
        <v>251</v>
      </c>
      <c r="B128" s="96"/>
      <c r="C128" s="318"/>
      <c r="D128" s="318"/>
      <c r="E128" s="318"/>
      <c r="F128" s="318"/>
      <c r="G128" s="105"/>
      <c r="H128" s="105"/>
      <c r="I128" s="107"/>
      <c r="J128" s="105"/>
      <c r="K128" s="105"/>
      <c r="L128" s="110"/>
      <c r="M128" s="105"/>
      <c r="N128" s="105"/>
      <c r="O128" s="105"/>
      <c r="Q128" s="118"/>
      <c r="R128" s="118"/>
      <c r="S128" s="107"/>
      <c r="T128" s="108"/>
      <c r="U128" s="109"/>
      <c r="V128" s="109"/>
    </row>
    <row r="129" spans="1:22" x14ac:dyDescent="0.2">
      <c r="A129" s="318" t="s">
        <v>266</v>
      </c>
      <c r="B129" s="96"/>
      <c r="C129" s="318"/>
      <c r="D129" s="320">
        <f>D10+D21+D23+D25+D27+D31+D34+D38+D43+D48+D49+D54+D56+D57+D61+D65+D68+D70+D71+D76+D77+D82+D98+D111+D118+D121</f>
        <v>85415</v>
      </c>
      <c r="E129" s="320">
        <f>E10+E21+E23+E25+E27+E31+E34+E38+E43+E48+E49+E54+E56+E57+E61+E65+E68+E70+E71+E76+E77+E82+E98+E111+E118+E121</f>
        <v>263081</v>
      </c>
      <c r="F129" s="318"/>
      <c r="G129" s="320">
        <f>G10+G21+G23+G25+G27+G31+G34+G38+G43+G48+G49+G54+G56+G57+G61+G65+G68+G70+G71+G76+G77+G82+G98+G111+G118+G121</f>
        <v>29474</v>
      </c>
      <c r="H129" s="320">
        <f>H10+H21+H23+H25+H27+H31+H34+H38+H43+H48+H49+H54+H56+H57+H61+H65+H68+H70+H71+H76+H77+H82+H98+H111+H118+H121</f>
        <v>155169</v>
      </c>
      <c r="I129" s="107"/>
      <c r="J129" s="320">
        <f>J10+J21+J23+J25+J27+J31+J34+J38+J43+J48+J49+J54+J56+J57+J61+J65+J68+J70+J71+J76+J77+J82+J98+J111+J118+J121</f>
        <v>47586</v>
      </c>
      <c r="K129" s="320">
        <f>K10+K21+K23+K25+K27+K31+K34+K38+K43+K48+K49+K54+K56+K57+K61+K65+K68+K70+K71+K76+K77+K82+K98+K111+K118+K121</f>
        <v>77872</v>
      </c>
      <c r="L129" s="110"/>
      <c r="M129" s="320">
        <f>M10+M21+M23+M25+M27+M31+M34+M38+M43+M48+M49+M54+M56+M57+M61+M65+M68+M70+M71+M76+M77+M82+M98+M111+M118+M121</f>
        <v>5871</v>
      </c>
      <c r="N129" s="320">
        <f>N10+N21+N23+N25+N27+N31+N34+N38+N43+N48+N49+N54+N56+N57+N61+N65+N68+N70+N71+N76+N77+N82+N98+N111+N118+N121</f>
        <v>18288</v>
      </c>
      <c r="O129" s="105"/>
      <c r="P129" s="321">
        <f>(D129/E129)*100</f>
        <v>32.467186912015691</v>
      </c>
      <c r="Q129" s="322">
        <f>(G129/H129)*100</f>
        <v>18.994773440571247</v>
      </c>
      <c r="R129" s="322">
        <f>(J129/K129)*100</f>
        <v>61.107972056708448</v>
      </c>
      <c r="S129" s="323">
        <f>IF(N129&lt;1,"NA", ((M129/N129)*100))</f>
        <v>32.10301837270341</v>
      </c>
      <c r="T129" s="108"/>
      <c r="U129" s="109"/>
      <c r="V129" s="109"/>
    </row>
    <row r="130" spans="1:22" x14ac:dyDescent="0.2">
      <c r="A130" s="318" t="s">
        <v>264</v>
      </c>
      <c r="B130" s="96"/>
      <c r="C130" s="318"/>
      <c r="D130" s="320">
        <f>D7+D19+D33+D42+D46+D52+D53+D63+D69+D78+D90+D93+D94+D124+D101+D105+D107+D110+D115+D116+D119+D123+D125</f>
        <v>129637</v>
      </c>
      <c r="E130" s="320">
        <f>E7+E19+E33+E42+E46+E52+E53+E63+E69+E78+E90+E93+E94+E124+E101+E105+E107+E110+E115+E116+E119+E123+E125</f>
        <v>368826</v>
      </c>
      <c r="F130" s="318"/>
      <c r="G130" s="320">
        <f>G7+G19+G33+G42+G46+G52+G53+G63+G69+G78+G90+G93+G94+G124+G101+G105+G107+G110+G115+G116+G119+G123+G125</f>
        <v>42187</v>
      </c>
      <c r="H130" s="320">
        <f>H7+H19+H33+H42+H46+H52+H53+H63+H69+H78+H90+H93+H94+H124+H101+H105+H107+H110+H115+H116+H119+H123+H125</f>
        <v>196948</v>
      </c>
      <c r="I130" s="107"/>
      <c r="J130" s="320">
        <f>J7+J19+J33+J42+J46+J52+J53+J63+J69+J78+J90+J93+J94+J124+J101+J105+J107+J110+J115+J116+J119+J123+J125</f>
        <v>72980</v>
      </c>
      <c r="K130" s="320">
        <f>K7+K19+K33+K42+K46+K52+K53+K63+K69+K78+K90+K93+K94+K124+K101+K105+K107+K110+K115+K116+K119+K123+K125</f>
        <v>125301</v>
      </c>
      <c r="L130" s="110"/>
      <c r="M130" s="320">
        <f>M7+M19+M33+M42+M46+M52+M53+M63+M69+M78+M90+M93+M94+M124+M101+M105+M107+M110+M115+M116+M119+M123+M125</f>
        <v>9659</v>
      </c>
      <c r="N130" s="320">
        <f>N7+N19+N33+N42+N46+N52+N53+N63+N69+N78+N90+N93+N94+N124+N101+N105+N107+N110+N115+N116+N119+N123+N125</f>
        <v>28855</v>
      </c>
      <c r="O130" s="105"/>
      <c r="P130" s="321">
        <f>(D130/E130)*100</f>
        <v>35.148552433939038</v>
      </c>
      <c r="Q130" s="322">
        <f>(G130/H130)*100</f>
        <v>21.420374921299022</v>
      </c>
      <c r="R130" s="322">
        <f>(J130/K130)*100</f>
        <v>58.243749052282098</v>
      </c>
      <c r="S130" s="323">
        <f>IF(N130&lt;1,"NA", ((M130/N130)*100))</f>
        <v>33.474267891180034</v>
      </c>
      <c r="T130" s="108"/>
      <c r="U130" s="109"/>
      <c r="V130" s="109"/>
    </row>
    <row r="131" spans="1:22" x14ac:dyDescent="0.2">
      <c r="A131" s="318" t="s">
        <v>267</v>
      </c>
      <c r="B131" s="96"/>
      <c r="C131" s="318"/>
      <c r="D131" s="320">
        <f>D13+D28+D30+D35+D36+D40+D45+D55+D59+D60+D62+D72+D73+D79+D81+D85+D88+D91+D92+D96+D102+D108+D113+D114+D126</f>
        <v>133285</v>
      </c>
      <c r="E131" s="320">
        <f>E13+E28+E30+E35+E36+E40+E45+E55+E59+E60+E62+E72+E73+E79+E81+E85+E88+E91+E92+E96+E102+E108+E113+E114+E126</f>
        <v>692685</v>
      </c>
      <c r="F131" s="318"/>
      <c r="G131" s="320">
        <f>G13+G28+G30+G35+G36+G40+G45+G55+G59+G60+G62+G72+G73+G79+G81+G85+G88+G91+G92+G96+G102+G108+G113+G114+G126</f>
        <v>69868</v>
      </c>
      <c r="H131" s="320">
        <f>H13+H28+H30+H35+H36+H40+H45+H55+H59+H60+H62+H72+H73+H79+H81+H85+H88+H91+H92+H96+H102+H108+H113+H114+H126</f>
        <v>443527</v>
      </c>
      <c r="I131" s="107"/>
      <c r="J131" s="320">
        <f>J13+J28+J30+J35+J36+J40+J45+J55+J59+J60+J62+J72+J73+J79+J81+J85+J88+J91+J92+J96+J102+J108+J113+J114+J126</f>
        <v>32405</v>
      </c>
      <c r="K131" s="320">
        <f>K13+K28+K30+K35+K36+K40+K45+K55+K59+K60+K62+K72+K73+K79+K81+K85+K88+K91+K92+K96+K102+K108+K113+K114+K126</f>
        <v>79293</v>
      </c>
      <c r="L131" s="110"/>
      <c r="M131" s="320">
        <f>M13+M28+M30+M35+M36+M40+M45+M55+M59+M60+M62+M72+M73+M79+M81+M85+M88+M91+M92+M96+M102+M108+M113+M114+M126</f>
        <v>29151</v>
      </c>
      <c r="N131" s="320">
        <f>N13+N28+N30+N35+N36+N40+N45+N55+N59+N60+N62+N72+N73+N79+N81+N85+N88+N91+N92+N96+N102+N108+N113+N114+N126</f>
        <v>113332</v>
      </c>
      <c r="O131" s="105"/>
      <c r="P131" s="321">
        <f>(D131/E131)*100</f>
        <v>19.241791001681861</v>
      </c>
      <c r="Q131" s="322">
        <f>(G131/H131)*100</f>
        <v>15.752817754048795</v>
      </c>
      <c r="R131" s="322">
        <f>(J131/K131)*100</f>
        <v>40.867415787017769</v>
      </c>
      <c r="S131" s="323">
        <f>IF(N131&lt;1,"NA", ((M131/N131)*100))</f>
        <v>25.721773197331732</v>
      </c>
      <c r="T131" s="108"/>
      <c r="U131" s="109"/>
      <c r="V131" s="109"/>
    </row>
    <row r="132" spans="1:22" x14ac:dyDescent="0.2">
      <c r="A132" s="318" t="s">
        <v>265</v>
      </c>
      <c r="B132" s="96"/>
      <c r="C132" s="318"/>
      <c r="D132" s="320">
        <f>D8+D9+D11+D12+D14+D15+D16+D18+D22+D26+D29+D39+D47+D50+D51+D64+D67+D75+D83+D84+D104+D106+D112+D122</f>
        <v>67810</v>
      </c>
      <c r="E132" s="320">
        <f>E8+E9+E11+E12+E14+E15+E16+E18+E22+E26+E29+E39+E47+E50+E51+E64+E67+E75+E83+E84+E104+E106+E112+E122</f>
        <v>210526</v>
      </c>
      <c r="F132" s="318"/>
      <c r="G132" s="320">
        <f>G8+G9+G11+G12+G14+G15+G16+G18+G22+G26+G29+G39+G47+G50+G51+G64+G67+G75+G83+G84+G104+G106+G112+G122</f>
        <v>36951</v>
      </c>
      <c r="H132" s="320">
        <f>H8+H9+H11+H12+H14+H15+H16+H18+H22+H26+H29+H39+H47+H50+H51+H64+H67+H75+H83+H84+H104+H106+H112+H122</f>
        <v>155662</v>
      </c>
      <c r="I132" s="107"/>
      <c r="J132" s="320">
        <f>J8+J9+J11+J12+J14+J15+J16+J18+J22+J26+J29+J39+J47+J50+J51+J64+J67+J75+J83+J84+J104+J106+J112+J122</f>
        <v>24207</v>
      </c>
      <c r="K132" s="320">
        <f>K8+K9+K11+K12+K14+K15+K16+K18+K22+K26+K29+K39+K47+K50+K51+K64+K67+K75+K83+K84+K104+K106+K112+K122</f>
        <v>37258</v>
      </c>
      <c r="L132" s="110"/>
      <c r="M132" s="320">
        <f>M8+M9+M11+M12+M14+M15+M16+M18+M22+M26+M29+M39+M47+M50+M51+M64+M67+M75+M83+M84+M104+M106+M112+M122</f>
        <v>3539</v>
      </c>
      <c r="N132" s="320">
        <f>N8+N9+N11+N12+N14+N15+N16+N18+N22+N26+N29+N39+N47+N50+N51+N64+N67+N75+N83+N84+N104+N106+N112+N122</f>
        <v>10270</v>
      </c>
      <c r="O132" s="105"/>
      <c r="P132" s="321">
        <f>(D132/E132)*100</f>
        <v>32.209798314697473</v>
      </c>
      <c r="Q132" s="322">
        <f>(G132/H132)*100</f>
        <v>23.737970731456617</v>
      </c>
      <c r="R132" s="322">
        <f>(J132/K132)*100</f>
        <v>64.971281335552106</v>
      </c>
      <c r="S132" s="323">
        <f>IF(N132&lt;1,"NA", ((M132/N132)*100))</f>
        <v>34.459591041869523</v>
      </c>
      <c r="T132" s="108"/>
      <c r="U132" s="109"/>
      <c r="V132" s="109"/>
    </row>
    <row r="133" spans="1:22" x14ac:dyDescent="0.2">
      <c r="A133" s="318" t="s">
        <v>268</v>
      </c>
      <c r="B133" s="96"/>
      <c r="C133" s="318"/>
      <c r="D133" s="320">
        <f>D17+D20+D24+D32+D37+D41+D44+D58+D66+D74+D80+D86+D87+D89+D95+D97+D99+D100+D103+D109+D117+D120</f>
        <v>28145</v>
      </c>
      <c r="E133" s="320">
        <f>E17+E20+E24+E32+E37+E41+E44+E58+E66+E74+E80+E86+E87+E89+E95+E97+E99+E100+E103+E109+E117+E120</f>
        <v>100242</v>
      </c>
      <c r="F133" s="318"/>
      <c r="G133" s="320">
        <f>G17+G20+G24+G32+G37+G41+G44+G58+G66+G74+G80+G86+G87+G89+G95+G97+G99+G100+G103+G109+G117+G120</f>
        <v>24955</v>
      </c>
      <c r="H133" s="320">
        <f>H17+H20+H24+H32+H37+H41+H44+H58+H66+H74+H80+H86+H87+H89+H95+H97+H99+H100+H103+H109+H117+H120</f>
        <v>93350</v>
      </c>
      <c r="I133" s="107"/>
      <c r="J133" s="320">
        <f>J17+J20+J24+J32+J37+J41+J44+J58+J66+J74+J80+J86+J87+J89+J95+J97+J99+J100+J103+J109+J117+J120</f>
        <v>1431</v>
      </c>
      <c r="K133" s="320">
        <f>K17+K20+K24+K32+K37+K41+K44+K58+K66+K74+K80+K86+K87+K89+K95+K97+K99+K100+K103+K109+K117+K120</f>
        <v>2353</v>
      </c>
      <c r="L133" s="110"/>
      <c r="M133" s="320">
        <f>M17+M20+M24+M32+M37+M41+M44+M58+M66+M74+M80+M86+M87+M89+M95+M97+M99+M100+M103+M109+M117+M120</f>
        <v>1039</v>
      </c>
      <c r="N133" s="320">
        <f>N17+N20+N24+N32+N37+N41+N44+N58+N66+N74+N80+N86+N87+N89+N95+N97+N99+N100+N103+N109+N117+N120</f>
        <v>2765</v>
      </c>
      <c r="O133" s="105"/>
      <c r="P133" s="321">
        <f>(D133/E133)*100</f>
        <v>28.077053530456297</v>
      </c>
      <c r="Q133" s="322">
        <f>(G133/H133)*100</f>
        <v>26.732726298875203</v>
      </c>
      <c r="R133" s="322">
        <f>(J133/K133)*100</f>
        <v>60.815979600509984</v>
      </c>
      <c r="S133" s="323">
        <f>IF(N133&lt;1,"NA", ((M133/N133)*100))</f>
        <v>37.576853526220617</v>
      </c>
      <c r="T133" s="108"/>
      <c r="U133" s="109"/>
      <c r="V133" s="109"/>
    </row>
    <row r="134" spans="1:22" x14ac:dyDescent="0.2">
      <c r="A134" s="115"/>
      <c r="B134" s="318"/>
      <c r="C134" s="318"/>
      <c r="D134" s="318"/>
      <c r="E134" s="318"/>
      <c r="F134" s="318"/>
      <c r="G134" s="105"/>
      <c r="H134" s="105"/>
      <c r="I134" s="107"/>
      <c r="J134" s="105"/>
      <c r="K134" s="105"/>
      <c r="L134" s="110"/>
      <c r="M134" s="105"/>
      <c r="N134" s="105"/>
      <c r="O134" s="105"/>
      <c r="Q134" s="118"/>
      <c r="R134" s="118"/>
      <c r="S134" s="107"/>
      <c r="T134" s="108"/>
      <c r="U134" s="109"/>
      <c r="V134" s="109"/>
    </row>
    <row r="135" spans="1:22" ht="68.25" customHeight="1" x14ac:dyDescent="0.2">
      <c r="A135" s="181"/>
      <c r="B135" s="181"/>
      <c r="C135" s="181"/>
      <c r="D135" s="2252" t="s">
        <v>627</v>
      </c>
      <c r="E135" s="2252"/>
      <c r="F135" s="2252"/>
      <c r="G135" s="2252"/>
      <c r="H135" s="2252"/>
      <c r="I135" s="2252"/>
      <c r="J135" s="2252"/>
      <c r="K135" s="2252"/>
      <c r="L135" s="2252"/>
      <c r="M135" s="2252"/>
      <c r="N135" s="119"/>
      <c r="O135" s="119"/>
      <c r="P135" s="120"/>
      <c r="Q135" s="120"/>
      <c r="R135" s="120"/>
    </row>
    <row r="136" spans="1:22" ht="18" customHeight="1" x14ac:dyDescent="0.2">
      <c r="B136" s="121"/>
      <c r="C136" s="121"/>
      <c r="D136" s="2324" t="s">
        <v>248</v>
      </c>
      <c r="E136" s="2324"/>
      <c r="F136" s="2324"/>
      <c r="G136" s="2324"/>
      <c r="H136" s="2324"/>
      <c r="I136" s="2324"/>
      <c r="J136" s="2324"/>
      <c r="K136" s="2324"/>
      <c r="L136" s="2324"/>
      <c r="M136" s="2324"/>
      <c r="N136" s="121"/>
      <c r="O136" s="121"/>
      <c r="P136" s="122"/>
      <c r="Q136" s="122"/>
      <c r="R136" s="122"/>
    </row>
    <row r="137" spans="1:22" ht="18.75" customHeight="1" x14ac:dyDescent="0.2">
      <c r="B137" s="96"/>
      <c r="C137" s="123"/>
      <c r="D137" s="124" t="s">
        <v>249</v>
      </c>
      <c r="E137" s="2325" t="s">
        <v>250</v>
      </c>
      <c r="F137" s="2325"/>
      <c r="G137" s="2325"/>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pane ySplit="6" topLeftCell="A7" activePane="bottomLeft" state="frozen"/>
      <selection pane="bottomLeft" activeCell="A129" sqref="A129:A133"/>
    </sheetView>
  </sheetViews>
  <sheetFormatPr defaultRowHeight="12.75" x14ac:dyDescent="0.2"/>
  <cols>
    <col min="1" max="1" width="7.625" style="222" customWidth="1"/>
    <col min="2" max="2" width="26.375" style="220" customWidth="1"/>
    <col min="3" max="3" width="9.25" style="220" customWidth="1"/>
    <col min="4" max="4" width="1.75" style="220" customWidth="1"/>
    <col min="5" max="7" width="10.875" style="221" customWidth="1"/>
    <col min="8" max="8" width="1.375" style="221" customWidth="1"/>
    <col min="9" max="10" width="13.5" style="222" customWidth="1"/>
    <col min="11" max="11" width="2.625" style="222" customWidth="1"/>
    <col min="12" max="14" width="10.375" style="222" customWidth="1"/>
    <col min="15" max="15" width="2.125" style="222" customWidth="1"/>
    <col min="16" max="17" width="10.375" style="222" customWidth="1"/>
    <col min="18" max="16384" width="9" style="222"/>
  </cols>
  <sheetData>
    <row r="1" spans="1:17" ht="15.75" x14ac:dyDescent="0.25">
      <c r="A1" s="64" t="s">
        <v>642</v>
      </c>
    </row>
    <row r="3" spans="1:17" x14ac:dyDescent="0.2">
      <c r="B3" s="222"/>
      <c r="C3" s="222"/>
      <c r="D3" s="222"/>
    </row>
    <row r="4" spans="1:17" ht="44.25" customHeight="1" x14ac:dyDescent="0.2">
      <c r="E4" s="2327" t="s">
        <v>643</v>
      </c>
      <c r="F4" s="2327"/>
      <c r="G4" s="2327"/>
      <c r="H4" s="167"/>
      <c r="I4" s="2327" t="s">
        <v>644</v>
      </c>
      <c r="J4" s="2327"/>
      <c r="L4" s="2327" t="s">
        <v>651</v>
      </c>
      <c r="M4" s="2327"/>
      <c r="N4" s="2327"/>
      <c r="O4" s="167"/>
      <c r="P4" s="2327" t="s">
        <v>652</v>
      </c>
      <c r="Q4" s="2327"/>
    </row>
    <row r="5" spans="1:17" x14ac:dyDescent="0.2">
      <c r="A5" s="223" t="s">
        <v>4</v>
      </c>
      <c r="B5" s="224" t="s">
        <v>645</v>
      </c>
      <c r="C5" s="224" t="s">
        <v>251</v>
      </c>
      <c r="D5" s="225"/>
      <c r="E5" s="178" t="s">
        <v>281</v>
      </c>
      <c r="F5" s="179" t="s">
        <v>638</v>
      </c>
      <c r="G5" s="177" t="s">
        <v>646</v>
      </c>
      <c r="H5" s="167"/>
      <c r="I5" s="178" t="s">
        <v>638</v>
      </c>
      <c r="J5" s="177" t="s">
        <v>646</v>
      </c>
      <c r="L5" s="178" t="s">
        <v>281</v>
      </c>
      <c r="M5" s="179" t="s">
        <v>638</v>
      </c>
      <c r="N5" s="177" t="s">
        <v>646</v>
      </c>
      <c r="O5" s="167"/>
      <c r="P5" s="178" t="s">
        <v>638</v>
      </c>
      <c r="Q5" s="177" t="s">
        <v>646</v>
      </c>
    </row>
    <row r="6" spans="1:17" x14ac:dyDescent="0.2">
      <c r="A6" s="226" t="s">
        <v>8</v>
      </c>
      <c r="B6" s="227" t="s">
        <v>9</v>
      </c>
      <c r="C6" s="227"/>
      <c r="D6" s="228"/>
      <c r="E6" s="229">
        <v>1688168</v>
      </c>
      <c r="F6" s="230">
        <v>1534844</v>
      </c>
      <c r="G6" s="231">
        <v>153324</v>
      </c>
      <c r="H6" s="167"/>
      <c r="I6" s="232">
        <f>F6/E6</f>
        <v>0.90917728567298994</v>
      </c>
      <c r="J6" s="233">
        <f>G6/E6</f>
        <v>9.0822714327010112E-2</v>
      </c>
      <c r="K6" s="65"/>
      <c r="L6" s="229">
        <v>698173</v>
      </c>
      <c r="M6" s="230">
        <v>644610</v>
      </c>
      <c r="N6" s="231">
        <v>53563</v>
      </c>
      <c r="O6" s="234"/>
      <c r="P6" s="232">
        <f>M6/L6</f>
        <v>0.92328119248381135</v>
      </c>
      <c r="Q6" s="233">
        <f>N6/L6</f>
        <v>7.6718807516188675E-2</v>
      </c>
    </row>
    <row r="7" spans="1:17" x14ac:dyDescent="0.2">
      <c r="A7" s="235" t="s">
        <v>10</v>
      </c>
      <c r="B7" s="236" t="s">
        <v>11</v>
      </c>
      <c r="C7" s="237" t="s">
        <v>264</v>
      </c>
      <c r="D7" s="237"/>
      <c r="E7" s="238">
        <v>7353</v>
      </c>
      <c r="F7" s="239">
        <v>6603</v>
      </c>
      <c r="G7" s="240">
        <v>750</v>
      </c>
      <c r="I7" s="241">
        <f t="shared" ref="I7:I70" si="0">F7/E7</f>
        <v>0.89800081599347203</v>
      </c>
      <c r="J7" s="242">
        <f t="shared" ref="J7:J70" si="1">G7/E7</f>
        <v>0.10199918400652795</v>
      </c>
      <c r="L7" s="243">
        <v>2269</v>
      </c>
      <c r="M7" s="243">
        <v>1955</v>
      </c>
      <c r="N7" s="243">
        <v>314</v>
      </c>
      <c r="P7" s="244">
        <f t="shared" ref="P7:P70" si="2">M7/L7</f>
        <v>0.86161304539444694</v>
      </c>
      <c r="Q7" s="244">
        <f t="shared" ref="Q7:Q70" si="3">N7/L7</f>
        <v>0.13838695460555311</v>
      </c>
    </row>
    <row r="8" spans="1:17" x14ac:dyDescent="0.2">
      <c r="A8" s="235" t="s">
        <v>12</v>
      </c>
      <c r="B8" s="236" t="s">
        <v>13</v>
      </c>
      <c r="C8" s="237" t="s">
        <v>265</v>
      </c>
      <c r="D8" s="237"/>
      <c r="E8" s="238">
        <v>21565</v>
      </c>
      <c r="F8" s="239">
        <v>19600</v>
      </c>
      <c r="G8" s="240">
        <v>1965</v>
      </c>
      <c r="I8" s="241">
        <f t="shared" si="0"/>
        <v>0.90888012984001854</v>
      </c>
      <c r="J8" s="242">
        <f t="shared" si="1"/>
        <v>9.111987015998145E-2</v>
      </c>
      <c r="L8" s="243">
        <v>8644</v>
      </c>
      <c r="M8" s="243">
        <v>8018</v>
      </c>
      <c r="N8" s="243">
        <v>626</v>
      </c>
      <c r="P8" s="244">
        <f t="shared" si="2"/>
        <v>0.92757982415548357</v>
      </c>
      <c r="Q8" s="244">
        <f t="shared" si="3"/>
        <v>7.2420175844516432E-2</v>
      </c>
    </row>
    <row r="9" spans="1:17" x14ac:dyDescent="0.2">
      <c r="A9" s="235" t="s">
        <v>16</v>
      </c>
      <c r="B9" s="236" t="s">
        <v>297</v>
      </c>
      <c r="C9" s="237" t="s">
        <v>265</v>
      </c>
      <c r="D9" s="237"/>
      <c r="E9" s="238">
        <v>5221</v>
      </c>
      <c r="F9" s="239">
        <v>4691</v>
      </c>
      <c r="G9" s="240">
        <v>530</v>
      </c>
      <c r="I9" s="241">
        <f t="shared" si="0"/>
        <v>0.89848687990806364</v>
      </c>
      <c r="J9" s="242">
        <f t="shared" si="1"/>
        <v>0.10151312009193642</v>
      </c>
      <c r="L9" s="243">
        <v>1779</v>
      </c>
      <c r="M9" s="243">
        <v>1555</v>
      </c>
      <c r="N9" s="243">
        <v>224</v>
      </c>
      <c r="P9" s="244">
        <f t="shared" si="2"/>
        <v>0.87408656548622821</v>
      </c>
      <c r="Q9" s="244">
        <f t="shared" si="3"/>
        <v>0.12591343451377179</v>
      </c>
    </row>
    <row r="10" spans="1:17" x14ac:dyDescent="0.2">
      <c r="A10" s="235" t="s">
        <v>18</v>
      </c>
      <c r="B10" s="236" t="s">
        <v>19</v>
      </c>
      <c r="C10" s="237" t="s">
        <v>266</v>
      </c>
      <c r="D10" s="237"/>
      <c r="E10" s="238">
        <v>3038</v>
      </c>
      <c r="F10" s="239">
        <v>2770</v>
      </c>
      <c r="G10" s="240">
        <v>268</v>
      </c>
      <c r="I10" s="241">
        <f t="shared" si="0"/>
        <v>0.91178406846609616</v>
      </c>
      <c r="J10" s="242">
        <f t="shared" si="1"/>
        <v>8.8215931533903891E-2</v>
      </c>
      <c r="L10" s="243">
        <v>1040</v>
      </c>
      <c r="M10" s="243">
        <v>937</v>
      </c>
      <c r="N10" s="243">
        <v>103</v>
      </c>
      <c r="P10" s="244">
        <f t="shared" si="2"/>
        <v>0.90096153846153848</v>
      </c>
      <c r="Q10" s="244">
        <f t="shared" si="3"/>
        <v>9.9038461538461534E-2</v>
      </c>
    </row>
    <row r="11" spans="1:17" x14ac:dyDescent="0.2">
      <c r="A11" s="235" t="s">
        <v>20</v>
      </c>
      <c r="B11" s="236" t="s">
        <v>21</v>
      </c>
      <c r="C11" s="237" t="s">
        <v>265</v>
      </c>
      <c r="D11" s="237"/>
      <c r="E11" s="238">
        <v>7187</v>
      </c>
      <c r="F11" s="239">
        <v>6499</v>
      </c>
      <c r="G11" s="240">
        <v>688</v>
      </c>
      <c r="I11" s="241">
        <f t="shared" si="0"/>
        <v>0.90427160150271324</v>
      </c>
      <c r="J11" s="242">
        <f t="shared" si="1"/>
        <v>9.5728398497286774E-2</v>
      </c>
      <c r="L11" s="243">
        <v>2536</v>
      </c>
      <c r="M11" s="243">
        <v>2238</v>
      </c>
      <c r="N11" s="243">
        <v>298</v>
      </c>
      <c r="P11" s="244">
        <f t="shared" si="2"/>
        <v>0.88249211356466872</v>
      </c>
      <c r="Q11" s="244">
        <f t="shared" si="3"/>
        <v>0.11750788643533124</v>
      </c>
    </row>
    <row r="12" spans="1:17" x14ac:dyDescent="0.2">
      <c r="A12" s="235" t="s">
        <v>22</v>
      </c>
      <c r="B12" s="236" t="s">
        <v>23</v>
      </c>
      <c r="C12" s="237" t="s">
        <v>265</v>
      </c>
      <c r="D12" s="237"/>
      <c r="E12" s="238">
        <v>3614</v>
      </c>
      <c r="F12" s="239">
        <v>3301</v>
      </c>
      <c r="G12" s="240">
        <v>313</v>
      </c>
      <c r="I12" s="241">
        <f t="shared" si="0"/>
        <v>0.91339236303265081</v>
      </c>
      <c r="J12" s="242">
        <f t="shared" si="1"/>
        <v>8.6607636967349202E-2</v>
      </c>
      <c r="L12" s="243">
        <v>1230</v>
      </c>
      <c r="M12" s="243">
        <v>1092</v>
      </c>
      <c r="N12" s="243">
        <v>138</v>
      </c>
      <c r="P12" s="244">
        <f t="shared" si="2"/>
        <v>0.8878048780487805</v>
      </c>
      <c r="Q12" s="244">
        <f t="shared" si="3"/>
        <v>0.11219512195121951</v>
      </c>
    </row>
    <row r="13" spans="1:17" x14ac:dyDescent="0.2">
      <c r="A13" s="235" t="s">
        <v>24</v>
      </c>
      <c r="B13" s="236" t="s">
        <v>25</v>
      </c>
      <c r="C13" s="237" t="s">
        <v>267</v>
      </c>
      <c r="D13" s="237"/>
      <c r="E13" s="238">
        <v>38502</v>
      </c>
      <c r="F13" s="239">
        <v>33218</v>
      </c>
      <c r="G13" s="240">
        <v>5284</v>
      </c>
      <c r="I13" s="241">
        <f t="shared" si="0"/>
        <v>0.86276037608435929</v>
      </c>
      <c r="J13" s="242">
        <f t="shared" si="1"/>
        <v>0.13723962391564073</v>
      </c>
      <c r="L13" s="243">
        <v>14733</v>
      </c>
      <c r="M13" s="243">
        <v>14228</v>
      </c>
      <c r="N13" s="243">
        <v>505</v>
      </c>
      <c r="P13" s="244">
        <f t="shared" si="2"/>
        <v>0.96572320640738474</v>
      </c>
      <c r="Q13" s="244">
        <f t="shared" si="3"/>
        <v>3.4276793592615221E-2</v>
      </c>
    </row>
    <row r="14" spans="1:17" x14ac:dyDescent="0.2">
      <c r="A14" s="235" t="s">
        <v>26</v>
      </c>
      <c r="B14" s="236" t="s">
        <v>686</v>
      </c>
      <c r="C14" s="237" t="s">
        <v>265</v>
      </c>
      <c r="D14" s="237"/>
      <c r="E14" s="238">
        <v>27621</v>
      </c>
      <c r="F14" s="239">
        <v>24834</v>
      </c>
      <c r="G14" s="240">
        <v>2787</v>
      </c>
      <c r="I14" s="241">
        <f t="shared" si="0"/>
        <v>0.89909851200173785</v>
      </c>
      <c r="J14" s="242">
        <f t="shared" si="1"/>
        <v>0.10090148799826219</v>
      </c>
      <c r="L14" s="243">
        <v>9620</v>
      </c>
      <c r="M14" s="243">
        <v>8571</v>
      </c>
      <c r="N14" s="243">
        <v>1049</v>
      </c>
      <c r="P14" s="244">
        <f t="shared" si="2"/>
        <v>0.89095634095634091</v>
      </c>
      <c r="Q14" s="244">
        <f t="shared" si="3"/>
        <v>0.10904365904365905</v>
      </c>
    </row>
    <row r="15" spans="1:17" x14ac:dyDescent="0.2">
      <c r="A15" s="235" t="s">
        <v>27</v>
      </c>
      <c r="B15" s="236" t="s">
        <v>28</v>
      </c>
      <c r="C15" s="237" t="s">
        <v>265</v>
      </c>
      <c r="D15" s="237"/>
      <c r="E15" s="238">
        <v>1205</v>
      </c>
      <c r="F15" s="239">
        <v>1090</v>
      </c>
      <c r="G15" s="240">
        <v>115</v>
      </c>
      <c r="I15" s="241">
        <f t="shared" si="0"/>
        <v>0.9045643153526971</v>
      </c>
      <c r="J15" s="242">
        <f t="shared" si="1"/>
        <v>9.5435684647302899E-2</v>
      </c>
      <c r="L15" s="243">
        <v>355</v>
      </c>
      <c r="M15" s="243">
        <v>322</v>
      </c>
      <c r="N15" s="243">
        <v>33</v>
      </c>
      <c r="P15" s="244">
        <f t="shared" si="2"/>
        <v>0.90704225352112677</v>
      </c>
      <c r="Q15" s="244">
        <f t="shared" si="3"/>
        <v>9.295774647887324E-2</v>
      </c>
    </row>
    <row r="16" spans="1:17" x14ac:dyDescent="0.2">
      <c r="A16" s="235" t="s">
        <v>29</v>
      </c>
      <c r="B16" s="236" t="s">
        <v>610</v>
      </c>
      <c r="C16" s="237" t="s">
        <v>265</v>
      </c>
      <c r="D16" s="237"/>
      <c r="E16" s="238">
        <v>19414</v>
      </c>
      <c r="F16" s="239">
        <v>18072</v>
      </c>
      <c r="G16" s="240">
        <v>1342</v>
      </c>
      <c r="I16" s="241">
        <f t="shared" si="0"/>
        <v>0.93087462655815389</v>
      </c>
      <c r="J16" s="242">
        <f t="shared" si="1"/>
        <v>6.9125373441846091E-2</v>
      </c>
      <c r="L16" s="243">
        <v>6823</v>
      </c>
      <c r="M16" s="243">
        <v>6351</v>
      </c>
      <c r="N16" s="243">
        <v>472</v>
      </c>
      <c r="P16" s="244">
        <f t="shared" si="2"/>
        <v>0.93082221896526451</v>
      </c>
      <c r="Q16" s="244">
        <f t="shared" si="3"/>
        <v>6.9177781034735458E-2</v>
      </c>
    </row>
    <row r="17" spans="1:17" x14ac:dyDescent="0.2">
      <c r="A17" s="235" t="s">
        <v>30</v>
      </c>
      <c r="B17" s="236" t="s">
        <v>31</v>
      </c>
      <c r="C17" s="237" t="s">
        <v>268</v>
      </c>
      <c r="D17" s="237"/>
      <c r="E17" s="238">
        <v>1613</v>
      </c>
      <c r="F17" s="239">
        <v>1499</v>
      </c>
      <c r="G17" s="240">
        <v>114</v>
      </c>
      <c r="I17" s="241">
        <f t="shared" si="0"/>
        <v>0.92932424054556728</v>
      </c>
      <c r="J17" s="242">
        <f t="shared" si="1"/>
        <v>7.0675759454432732E-2</v>
      </c>
      <c r="L17" s="243">
        <v>486</v>
      </c>
      <c r="M17" s="243">
        <v>451</v>
      </c>
      <c r="N17" s="243">
        <v>35</v>
      </c>
      <c r="P17" s="244">
        <f t="shared" si="2"/>
        <v>0.92798353909465026</v>
      </c>
      <c r="Q17" s="244">
        <f t="shared" si="3"/>
        <v>7.2016460905349799E-2</v>
      </c>
    </row>
    <row r="18" spans="1:17" x14ac:dyDescent="0.2">
      <c r="A18" s="235" t="s">
        <v>32</v>
      </c>
      <c r="B18" s="236" t="s">
        <v>33</v>
      </c>
      <c r="C18" s="237" t="s">
        <v>265</v>
      </c>
      <c r="D18" s="237"/>
      <c r="E18" s="238">
        <v>8784</v>
      </c>
      <c r="F18" s="239">
        <v>8271</v>
      </c>
      <c r="G18" s="240">
        <v>513</v>
      </c>
      <c r="I18" s="241">
        <f t="shared" si="0"/>
        <v>0.94159836065573765</v>
      </c>
      <c r="J18" s="242">
        <f t="shared" si="1"/>
        <v>5.8401639344262297E-2</v>
      </c>
      <c r="L18" s="243">
        <v>3140</v>
      </c>
      <c r="M18" s="243">
        <v>2972</v>
      </c>
      <c r="N18" s="243">
        <v>168</v>
      </c>
      <c r="P18" s="244">
        <f t="shared" si="2"/>
        <v>0.94649681528662422</v>
      </c>
      <c r="Q18" s="244">
        <f t="shared" si="3"/>
        <v>5.3503184713375798E-2</v>
      </c>
    </row>
    <row r="19" spans="1:17" x14ac:dyDescent="0.2">
      <c r="A19" s="235" t="s">
        <v>36</v>
      </c>
      <c r="B19" s="236" t="s">
        <v>37</v>
      </c>
      <c r="C19" s="237" t="s">
        <v>264</v>
      </c>
      <c r="D19" s="237"/>
      <c r="E19" s="238">
        <v>3029</v>
      </c>
      <c r="F19" s="239">
        <v>2666</v>
      </c>
      <c r="G19" s="240">
        <v>363</v>
      </c>
      <c r="I19" s="241">
        <f t="shared" si="0"/>
        <v>0.88015846814130072</v>
      </c>
      <c r="J19" s="242">
        <f t="shared" si="1"/>
        <v>0.11984153185869924</v>
      </c>
      <c r="L19" s="243">
        <v>913</v>
      </c>
      <c r="M19" s="243">
        <v>741</v>
      </c>
      <c r="N19" s="243">
        <v>172</v>
      </c>
      <c r="P19" s="244">
        <f t="shared" si="2"/>
        <v>0.81161007667031759</v>
      </c>
      <c r="Q19" s="244">
        <f t="shared" si="3"/>
        <v>0.18838992332968238</v>
      </c>
    </row>
    <row r="20" spans="1:17" x14ac:dyDescent="0.2">
      <c r="A20" s="235" t="s">
        <v>38</v>
      </c>
      <c r="B20" s="236" t="s">
        <v>39</v>
      </c>
      <c r="C20" s="237" t="s">
        <v>268</v>
      </c>
      <c r="D20" s="237"/>
      <c r="E20" s="238">
        <v>5701</v>
      </c>
      <c r="F20" s="239">
        <v>5346</v>
      </c>
      <c r="G20" s="240">
        <v>355</v>
      </c>
      <c r="I20" s="241">
        <f t="shared" si="0"/>
        <v>0.9377302227679355</v>
      </c>
      <c r="J20" s="242">
        <f t="shared" si="1"/>
        <v>6.2269777232064553E-2</v>
      </c>
      <c r="L20" s="243">
        <v>1790</v>
      </c>
      <c r="M20" s="243">
        <v>1644</v>
      </c>
      <c r="N20" s="243">
        <v>146</v>
      </c>
      <c r="P20" s="244">
        <f t="shared" si="2"/>
        <v>0.91843575418994416</v>
      </c>
      <c r="Q20" s="244">
        <f t="shared" si="3"/>
        <v>8.1564245810055863E-2</v>
      </c>
    </row>
    <row r="21" spans="1:17" x14ac:dyDescent="0.2">
      <c r="A21" s="235" t="s">
        <v>40</v>
      </c>
      <c r="B21" s="236" t="s">
        <v>41</v>
      </c>
      <c r="C21" s="237" t="s">
        <v>266</v>
      </c>
      <c r="D21" s="237"/>
      <c r="E21" s="238">
        <v>3271</v>
      </c>
      <c r="F21" s="239">
        <v>2867</v>
      </c>
      <c r="G21" s="240">
        <v>404</v>
      </c>
      <c r="I21" s="241">
        <f t="shared" si="0"/>
        <v>0.87649036991745644</v>
      </c>
      <c r="J21" s="242">
        <f t="shared" si="1"/>
        <v>0.12350963008254356</v>
      </c>
      <c r="L21" s="243">
        <v>1127</v>
      </c>
      <c r="M21" s="243">
        <v>949</v>
      </c>
      <c r="N21" s="243">
        <v>178</v>
      </c>
      <c r="P21" s="244">
        <f t="shared" si="2"/>
        <v>0.84205856255545697</v>
      </c>
      <c r="Q21" s="244">
        <f t="shared" si="3"/>
        <v>0.15794143744454303</v>
      </c>
    </row>
    <row r="22" spans="1:17" x14ac:dyDescent="0.2">
      <c r="A22" s="235" t="s">
        <v>42</v>
      </c>
      <c r="B22" s="236" t="s">
        <v>43</v>
      </c>
      <c r="C22" s="237" t="s">
        <v>265</v>
      </c>
      <c r="D22" s="237"/>
      <c r="E22" s="238">
        <v>12666</v>
      </c>
      <c r="F22" s="239">
        <v>11598</v>
      </c>
      <c r="G22" s="240">
        <v>1068</v>
      </c>
      <c r="I22" s="241">
        <f t="shared" si="0"/>
        <v>0.91567977261961153</v>
      </c>
      <c r="J22" s="242">
        <f t="shared" si="1"/>
        <v>8.4320227380388441E-2</v>
      </c>
      <c r="L22" s="243">
        <v>4621</v>
      </c>
      <c r="M22" s="243">
        <v>4181</v>
      </c>
      <c r="N22" s="243">
        <v>440</v>
      </c>
      <c r="P22" s="244">
        <f t="shared" si="2"/>
        <v>0.90478251460722792</v>
      </c>
      <c r="Q22" s="244">
        <f t="shared" si="3"/>
        <v>9.5217485392772125E-2</v>
      </c>
    </row>
    <row r="23" spans="1:17" x14ac:dyDescent="0.2">
      <c r="A23" s="235" t="s">
        <v>44</v>
      </c>
      <c r="B23" s="236" t="s">
        <v>45</v>
      </c>
      <c r="C23" s="237" t="s">
        <v>266</v>
      </c>
      <c r="D23" s="237"/>
      <c r="E23" s="238">
        <v>6213</v>
      </c>
      <c r="F23" s="239">
        <v>5487</v>
      </c>
      <c r="G23" s="240">
        <v>726</v>
      </c>
      <c r="I23" s="241">
        <f t="shared" si="0"/>
        <v>0.88314823756639305</v>
      </c>
      <c r="J23" s="242">
        <f t="shared" si="1"/>
        <v>0.11685176243360695</v>
      </c>
      <c r="L23" s="243">
        <v>2422</v>
      </c>
      <c r="M23" s="243">
        <v>2104</v>
      </c>
      <c r="N23" s="243">
        <v>318</v>
      </c>
      <c r="P23" s="244">
        <f t="shared" si="2"/>
        <v>0.86870355078447559</v>
      </c>
      <c r="Q23" s="244">
        <f t="shared" si="3"/>
        <v>0.13129644921552436</v>
      </c>
    </row>
    <row r="24" spans="1:17" x14ac:dyDescent="0.2">
      <c r="A24" s="235" t="s">
        <v>46</v>
      </c>
      <c r="B24" s="236" t="s">
        <v>47</v>
      </c>
      <c r="C24" s="237" t="s">
        <v>268</v>
      </c>
      <c r="D24" s="237"/>
      <c r="E24" s="238">
        <v>7489</v>
      </c>
      <c r="F24" s="239">
        <v>6888</v>
      </c>
      <c r="G24" s="240">
        <v>601</v>
      </c>
      <c r="I24" s="241">
        <f t="shared" si="0"/>
        <v>0.91974896514888504</v>
      </c>
      <c r="J24" s="242">
        <f t="shared" si="1"/>
        <v>8.0251034851114969E-2</v>
      </c>
      <c r="L24" s="243">
        <v>2421</v>
      </c>
      <c r="M24" s="243">
        <v>2165</v>
      </c>
      <c r="N24" s="243">
        <v>256</v>
      </c>
      <c r="P24" s="244">
        <f t="shared" si="2"/>
        <v>0.89425857083849647</v>
      </c>
      <c r="Q24" s="244">
        <f t="shared" si="3"/>
        <v>0.10574142916150352</v>
      </c>
    </row>
    <row r="25" spans="1:17" x14ac:dyDescent="0.2">
      <c r="A25" s="235" t="s">
        <v>48</v>
      </c>
      <c r="B25" s="236" t="s">
        <v>269</v>
      </c>
      <c r="C25" s="237" t="s">
        <v>266</v>
      </c>
      <c r="D25" s="237"/>
      <c r="E25" s="238">
        <v>1642</v>
      </c>
      <c r="F25" s="239">
        <v>1485</v>
      </c>
      <c r="G25" s="240">
        <v>157</v>
      </c>
      <c r="I25" s="241">
        <f t="shared" si="0"/>
        <v>0.90438489646772224</v>
      </c>
      <c r="J25" s="242">
        <f t="shared" si="1"/>
        <v>9.5615103532277715E-2</v>
      </c>
      <c r="L25" s="243">
        <v>444</v>
      </c>
      <c r="M25" s="243">
        <v>392</v>
      </c>
      <c r="N25" s="243">
        <v>52</v>
      </c>
      <c r="P25" s="244">
        <f t="shared" si="2"/>
        <v>0.88288288288288286</v>
      </c>
      <c r="Q25" s="244">
        <f t="shared" si="3"/>
        <v>0.11711711711711711</v>
      </c>
    </row>
    <row r="26" spans="1:17" x14ac:dyDescent="0.2">
      <c r="A26" s="235" t="s">
        <v>50</v>
      </c>
      <c r="B26" s="236" t="s">
        <v>51</v>
      </c>
      <c r="C26" s="237" t="s">
        <v>265</v>
      </c>
      <c r="D26" s="237"/>
      <c r="E26" s="238">
        <v>2715</v>
      </c>
      <c r="F26" s="239">
        <v>2463</v>
      </c>
      <c r="G26" s="240">
        <v>252</v>
      </c>
      <c r="I26" s="241">
        <f t="shared" si="0"/>
        <v>0.90718232044198899</v>
      </c>
      <c r="J26" s="242">
        <f t="shared" si="1"/>
        <v>9.2817679558011054E-2</v>
      </c>
      <c r="L26" s="243">
        <v>903</v>
      </c>
      <c r="M26" s="243">
        <v>811</v>
      </c>
      <c r="N26" s="243">
        <v>92</v>
      </c>
      <c r="P26" s="244">
        <f t="shared" si="2"/>
        <v>0.89811738648947947</v>
      </c>
      <c r="Q26" s="244">
        <f t="shared" si="3"/>
        <v>0.10188261351052048</v>
      </c>
    </row>
    <row r="27" spans="1:17" x14ac:dyDescent="0.2">
      <c r="A27" s="235" t="s">
        <v>56</v>
      </c>
      <c r="B27" s="236" t="s">
        <v>295</v>
      </c>
      <c r="C27" s="237" t="s">
        <v>266</v>
      </c>
      <c r="D27" s="237"/>
      <c r="E27" s="238">
        <v>75033</v>
      </c>
      <c r="F27" s="239">
        <v>69143</v>
      </c>
      <c r="G27" s="240">
        <v>5890</v>
      </c>
      <c r="I27" s="241">
        <f t="shared" si="0"/>
        <v>0.92150120613596687</v>
      </c>
      <c r="J27" s="242">
        <f t="shared" si="1"/>
        <v>7.8498793864033162E-2</v>
      </c>
      <c r="L27" s="243">
        <v>33204</v>
      </c>
      <c r="M27" s="243">
        <v>30858</v>
      </c>
      <c r="N27" s="243">
        <v>2346</v>
      </c>
      <c r="P27" s="244">
        <f t="shared" si="2"/>
        <v>0.9293458619443441</v>
      </c>
      <c r="Q27" s="244">
        <f t="shared" si="3"/>
        <v>7.0654138055655943E-2</v>
      </c>
    </row>
    <row r="28" spans="1:17" x14ac:dyDescent="0.2">
      <c r="A28" s="235" t="s">
        <v>58</v>
      </c>
      <c r="B28" s="236" t="s">
        <v>59</v>
      </c>
      <c r="C28" s="237" t="s">
        <v>267</v>
      </c>
      <c r="D28" s="237"/>
      <c r="E28" s="238">
        <v>3385</v>
      </c>
      <c r="F28" s="239">
        <v>3091</v>
      </c>
      <c r="G28" s="240">
        <v>294</v>
      </c>
      <c r="I28" s="241">
        <f t="shared" si="0"/>
        <v>0.91314623338257017</v>
      </c>
      <c r="J28" s="242">
        <f t="shared" si="1"/>
        <v>8.6853766617429842E-2</v>
      </c>
      <c r="L28" s="243">
        <v>1282</v>
      </c>
      <c r="M28" s="243">
        <v>1196</v>
      </c>
      <c r="N28" s="243">
        <v>86</v>
      </c>
      <c r="P28" s="244">
        <f t="shared" si="2"/>
        <v>0.93291731669266775</v>
      </c>
      <c r="Q28" s="244">
        <f t="shared" si="3"/>
        <v>6.7082683307332289E-2</v>
      </c>
    </row>
    <row r="29" spans="1:17" x14ac:dyDescent="0.2">
      <c r="A29" s="235" t="s">
        <v>60</v>
      </c>
      <c r="B29" s="236" t="s">
        <v>61</v>
      </c>
      <c r="C29" s="237" t="s">
        <v>265</v>
      </c>
      <c r="D29" s="237"/>
      <c r="E29" s="238">
        <v>1331</v>
      </c>
      <c r="F29" s="239">
        <v>1222</v>
      </c>
      <c r="G29" s="240">
        <v>109</v>
      </c>
      <c r="I29" s="241">
        <f t="shared" si="0"/>
        <v>0.91810668670172801</v>
      </c>
      <c r="J29" s="242">
        <f t="shared" si="1"/>
        <v>8.1893313298271972E-2</v>
      </c>
      <c r="L29" s="243">
        <v>444</v>
      </c>
      <c r="M29" s="243">
        <v>410</v>
      </c>
      <c r="N29" s="243">
        <v>34</v>
      </c>
      <c r="P29" s="244">
        <f t="shared" si="2"/>
        <v>0.92342342342342343</v>
      </c>
      <c r="Q29" s="244">
        <f t="shared" si="3"/>
        <v>7.6576576576576572E-2</v>
      </c>
    </row>
    <row r="30" spans="1:17" x14ac:dyDescent="0.2">
      <c r="A30" s="235" t="s">
        <v>62</v>
      </c>
      <c r="B30" s="236" t="s">
        <v>63</v>
      </c>
      <c r="C30" s="237" t="s">
        <v>267</v>
      </c>
      <c r="D30" s="237"/>
      <c r="E30" s="238">
        <v>10145</v>
      </c>
      <c r="F30" s="239">
        <v>9169</v>
      </c>
      <c r="G30" s="240">
        <v>976</v>
      </c>
      <c r="I30" s="241">
        <f t="shared" si="0"/>
        <v>0.90379497289305077</v>
      </c>
      <c r="J30" s="242">
        <f t="shared" si="1"/>
        <v>9.620502710694924E-2</v>
      </c>
      <c r="L30" s="243">
        <v>4330</v>
      </c>
      <c r="M30" s="243">
        <v>3917</v>
      </c>
      <c r="N30" s="243">
        <v>413</v>
      </c>
      <c r="P30" s="244">
        <f t="shared" si="2"/>
        <v>0.90461893764434176</v>
      </c>
      <c r="Q30" s="244">
        <f t="shared" si="3"/>
        <v>9.53810623556582E-2</v>
      </c>
    </row>
    <row r="31" spans="1:17" x14ac:dyDescent="0.2">
      <c r="A31" s="235" t="s">
        <v>64</v>
      </c>
      <c r="B31" s="236" t="s">
        <v>65</v>
      </c>
      <c r="C31" s="237" t="s">
        <v>266</v>
      </c>
      <c r="D31" s="237"/>
      <c r="E31" s="238">
        <v>2180</v>
      </c>
      <c r="F31" s="239">
        <v>1954</v>
      </c>
      <c r="G31" s="240">
        <v>226</v>
      </c>
      <c r="I31" s="241">
        <f t="shared" si="0"/>
        <v>0.89633027522935782</v>
      </c>
      <c r="J31" s="242">
        <f t="shared" si="1"/>
        <v>0.10366972477064221</v>
      </c>
      <c r="L31" s="243">
        <v>747</v>
      </c>
      <c r="M31" s="243">
        <v>654</v>
      </c>
      <c r="N31" s="243">
        <v>93</v>
      </c>
      <c r="P31" s="244">
        <f t="shared" si="2"/>
        <v>0.87550200803212852</v>
      </c>
      <c r="Q31" s="244">
        <f t="shared" si="3"/>
        <v>0.12449799196787148</v>
      </c>
    </row>
    <row r="32" spans="1:17" x14ac:dyDescent="0.2">
      <c r="A32" s="235" t="s">
        <v>68</v>
      </c>
      <c r="B32" s="236" t="s">
        <v>69</v>
      </c>
      <c r="C32" s="237" t="s">
        <v>268</v>
      </c>
      <c r="D32" s="237"/>
      <c r="E32" s="238">
        <v>3825</v>
      </c>
      <c r="F32" s="239">
        <v>3568</v>
      </c>
      <c r="G32" s="240">
        <v>257</v>
      </c>
      <c r="I32" s="241">
        <f t="shared" si="0"/>
        <v>0.93281045751633984</v>
      </c>
      <c r="J32" s="242">
        <f t="shared" si="1"/>
        <v>6.7189542483660131E-2</v>
      </c>
      <c r="L32" s="243">
        <v>1341</v>
      </c>
      <c r="M32" s="243">
        <v>1233</v>
      </c>
      <c r="N32" s="243">
        <v>108</v>
      </c>
      <c r="P32" s="244">
        <f t="shared" si="2"/>
        <v>0.91946308724832215</v>
      </c>
      <c r="Q32" s="244">
        <f t="shared" si="3"/>
        <v>8.0536912751677847E-2</v>
      </c>
    </row>
    <row r="33" spans="1:17" x14ac:dyDescent="0.2">
      <c r="A33" s="235" t="s">
        <v>70</v>
      </c>
      <c r="B33" s="236" t="s">
        <v>71</v>
      </c>
      <c r="C33" s="237" t="s">
        <v>264</v>
      </c>
      <c r="D33" s="237"/>
      <c r="E33" s="238">
        <v>6031</v>
      </c>
      <c r="F33" s="239">
        <v>5383</v>
      </c>
      <c r="G33" s="240">
        <v>648</v>
      </c>
      <c r="I33" s="241">
        <f t="shared" si="0"/>
        <v>0.89255513181893553</v>
      </c>
      <c r="J33" s="242">
        <f t="shared" si="1"/>
        <v>0.1074448681810645</v>
      </c>
      <c r="L33" s="243">
        <v>2234</v>
      </c>
      <c r="M33" s="243">
        <v>1975</v>
      </c>
      <c r="N33" s="243">
        <v>259</v>
      </c>
      <c r="P33" s="244">
        <f t="shared" si="2"/>
        <v>0.88406445837063563</v>
      </c>
      <c r="Q33" s="244">
        <f t="shared" si="3"/>
        <v>0.11593554162936437</v>
      </c>
    </row>
    <row r="34" spans="1:17" x14ac:dyDescent="0.2">
      <c r="A34" s="235" t="s">
        <v>72</v>
      </c>
      <c r="B34" s="236" t="s">
        <v>73</v>
      </c>
      <c r="C34" s="237" t="s">
        <v>266</v>
      </c>
      <c r="D34" s="237"/>
      <c r="E34" s="238">
        <v>2428</v>
      </c>
      <c r="F34" s="239">
        <v>2093</v>
      </c>
      <c r="G34" s="240">
        <v>335</v>
      </c>
      <c r="I34" s="241">
        <f t="shared" si="0"/>
        <v>0.86202635914332781</v>
      </c>
      <c r="J34" s="242">
        <f t="shared" si="1"/>
        <v>0.13797364085667216</v>
      </c>
      <c r="L34" s="243">
        <v>766</v>
      </c>
      <c r="M34" s="243">
        <v>641</v>
      </c>
      <c r="N34" s="243">
        <v>125</v>
      </c>
      <c r="P34" s="244">
        <f t="shared" si="2"/>
        <v>0.83681462140992169</v>
      </c>
      <c r="Q34" s="244">
        <f t="shared" si="3"/>
        <v>0.16318537859007834</v>
      </c>
    </row>
    <row r="35" spans="1:17" x14ac:dyDescent="0.2">
      <c r="A35" s="235" t="s">
        <v>74</v>
      </c>
      <c r="B35" s="236" t="s">
        <v>609</v>
      </c>
      <c r="C35" s="237" t="s">
        <v>267</v>
      </c>
      <c r="D35" s="237"/>
      <c r="E35" s="238">
        <v>246380</v>
      </c>
      <c r="F35" s="239">
        <v>231762</v>
      </c>
      <c r="G35" s="240">
        <v>14618</v>
      </c>
      <c r="I35" s="241">
        <f t="shared" si="0"/>
        <v>0.94066888546148231</v>
      </c>
      <c r="J35" s="242">
        <f t="shared" si="1"/>
        <v>5.9331114538517735E-2</v>
      </c>
      <c r="L35" s="243">
        <v>116691</v>
      </c>
      <c r="M35" s="243">
        <v>112931</v>
      </c>
      <c r="N35" s="243">
        <v>3760</v>
      </c>
      <c r="P35" s="244">
        <f t="shared" si="2"/>
        <v>0.96777814912889593</v>
      </c>
      <c r="Q35" s="244">
        <f t="shared" si="3"/>
        <v>3.2221850871104026E-2</v>
      </c>
    </row>
    <row r="36" spans="1:17" x14ac:dyDescent="0.2">
      <c r="A36" s="235" t="s">
        <v>76</v>
      </c>
      <c r="B36" s="236" t="s">
        <v>77</v>
      </c>
      <c r="C36" s="237" t="s">
        <v>267</v>
      </c>
      <c r="D36" s="237"/>
      <c r="E36" s="238">
        <v>15535</v>
      </c>
      <c r="F36" s="239">
        <v>14399</v>
      </c>
      <c r="G36" s="240">
        <v>1136</v>
      </c>
      <c r="I36" s="241">
        <f t="shared" si="0"/>
        <v>0.92687479884132606</v>
      </c>
      <c r="J36" s="242">
        <f t="shared" si="1"/>
        <v>7.3125201158673964E-2</v>
      </c>
      <c r="L36" s="243">
        <v>6485</v>
      </c>
      <c r="M36" s="243">
        <v>6125</v>
      </c>
      <c r="N36" s="243">
        <v>360</v>
      </c>
      <c r="P36" s="244">
        <f t="shared" si="2"/>
        <v>0.94448727833461832</v>
      </c>
      <c r="Q36" s="244">
        <f t="shared" si="3"/>
        <v>5.5512721665381647E-2</v>
      </c>
    </row>
    <row r="37" spans="1:17" x14ac:dyDescent="0.2">
      <c r="A37" s="235" t="s">
        <v>78</v>
      </c>
      <c r="B37" s="236" t="s">
        <v>79</v>
      </c>
      <c r="C37" s="237" t="s">
        <v>268</v>
      </c>
      <c r="D37" s="237"/>
      <c r="E37" s="238">
        <v>3869</v>
      </c>
      <c r="F37" s="239">
        <v>3548</v>
      </c>
      <c r="G37" s="240">
        <v>321</v>
      </c>
      <c r="I37" s="241">
        <f t="shared" si="0"/>
        <v>0.91703282501938488</v>
      </c>
      <c r="J37" s="242">
        <f t="shared" si="1"/>
        <v>8.2967174980615149E-2</v>
      </c>
      <c r="L37" s="243">
        <v>1322</v>
      </c>
      <c r="M37" s="243">
        <v>1210</v>
      </c>
      <c r="N37" s="243">
        <v>112</v>
      </c>
      <c r="P37" s="244">
        <f t="shared" si="2"/>
        <v>0.91527987897125562</v>
      </c>
      <c r="Q37" s="244">
        <f t="shared" si="3"/>
        <v>8.4720121028744322E-2</v>
      </c>
    </row>
    <row r="38" spans="1:17" x14ac:dyDescent="0.2">
      <c r="A38" s="235" t="s">
        <v>80</v>
      </c>
      <c r="B38" s="236" t="s">
        <v>81</v>
      </c>
      <c r="C38" s="237" t="s">
        <v>266</v>
      </c>
      <c r="D38" s="237"/>
      <c r="E38" s="238">
        <v>6232</v>
      </c>
      <c r="F38" s="239">
        <v>5755</v>
      </c>
      <c r="G38" s="240">
        <v>477</v>
      </c>
      <c r="I38" s="241">
        <f t="shared" si="0"/>
        <v>0.92345956354300385</v>
      </c>
      <c r="J38" s="242">
        <f t="shared" si="1"/>
        <v>7.6540436456996153E-2</v>
      </c>
      <c r="L38" s="243">
        <v>2395</v>
      </c>
      <c r="M38" s="243">
        <v>2200</v>
      </c>
      <c r="N38" s="243">
        <v>195</v>
      </c>
      <c r="P38" s="244">
        <f t="shared" si="2"/>
        <v>0.91858037578288099</v>
      </c>
      <c r="Q38" s="244">
        <f t="shared" si="3"/>
        <v>8.1419624217118999E-2</v>
      </c>
    </row>
    <row r="39" spans="1:17" x14ac:dyDescent="0.2">
      <c r="A39" s="235" t="s">
        <v>84</v>
      </c>
      <c r="B39" s="236" t="s">
        <v>308</v>
      </c>
      <c r="C39" s="237" t="s">
        <v>265</v>
      </c>
      <c r="D39" s="237"/>
      <c r="E39" s="238">
        <v>13879</v>
      </c>
      <c r="F39" s="239">
        <v>12622</v>
      </c>
      <c r="G39" s="240">
        <v>1257</v>
      </c>
      <c r="I39" s="241">
        <f t="shared" si="0"/>
        <v>0.90943151523885002</v>
      </c>
      <c r="J39" s="242">
        <f t="shared" si="1"/>
        <v>9.0568484761149939E-2</v>
      </c>
      <c r="L39" s="243">
        <v>4374</v>
      </c>
      <c r="M39" s="243">
        <v>3876</v>
      </c>
      <c r="N39" s="243">
        <v>498</v>
      </c>
      <c r="P39" s="244">
        <f t="shared" si="2"/>
        <v>0.88614540466392322</v>
      </c>
      <c r="Q39" s="244">
        <f t="shared" si="3"/>
        <v>0.11385459533607682</v>
      </c>
    </row>
    <row r="40" spans="1:17" x14ac:dyDescent="0.2">
      <c r="A40" s="235" t="s">
        <v>86</v>
      </c>
      <c r="B40" s="236" t="s">
        <v>87</v>
      </c>
      <c r="C40" s="237" t="s">
        <v>267</v>
      </c>
      <c r="D40" s="237"/>
      <c r="E40" s="238">
        <v>18784</v>
      </c>
      <c r="F40" s="239">
        <v>16992</v>
      </c>
      <c r="G40" s="240">
        <v>1792</v>
      </c>
      <c r="I40" s="241">
        <f t="shared" si="0"/>
        <v>0.90459965928449748</v>
      </c>
      <c r="J40" s="242">
        <f t="shared" si="1"/>
        <v>9.540034071550256E-2</v>
      </c>
      <c r="L40" s="243">
        <v>7847</v>
      </c>
      <c r="M40" s="243">
        <v>7146</v>
      </c>
      <c r="N40" s="243">
        <v>701</v>
      </c>
      <c r="P40" s="244">
        <f t="shared" si="2"/>
        <v>0.9106664967503505</v>
      </c>
      <c r="Q40" s="244">
        <f t="shared" si="3"/>
        <v>8.9333503249649546E-2</v>
      </c>
    </row>
    <row r="41" spans="1:17" x14ac:dyDescent="0.2">
      <c r="A41" s="235" t="s">
        <v>92</v>
      </c>
      <c r="B41" s="236" t="s">
        <v>93</v>
      </c>
      <c r="C41" s="237" t="s">
        <v>268</v>
      </c>
      <c r="D41" s="237"/>
      <c r="E41" s="238">
        <v>4201</v>
      </c>
      <c r="F41" s="239">
        <v>3785</v>
      </c>
      <c r="G41" s="240">
        <v>416</v>
      </c>
      <c r="I41" s="241">
        <f t="shared" si="0"/>
        <v>0.90097595810521303</v>
      </c>
      <c r="J41" s="242">
        <f t="shared" si="1"/>
        <v>9.902404189478696E-2</v>
      </c>
      <c r="L41" s="243">
        <v>1456</v>
      </c>
      <c r="M41" s="243">
        <v>1284</v>
      </c>
      <c r="N41" s="243">
        <v>172</v>
      </c>
      <c r="P41" s="244">
        <f t="shared" si="2"/>
        <v>0.88186813186813184</v>
      </c>
      <c r="Q41" s="244">
        <f t="shared" si="3"/>
        <v>0.11813186813186813</v>
      </c>
    </row>
    <row r="42" spans="1:17" x14ac:dyDescent="0.2">
      <c r="A42" s="235" t="s">
        <v>94</v>
      </c>
      <c r="B42" s="236" t="s">
        <v>95</v>
      </c>
      <c r="C42" s="237" t="s">
        <v>264</v>
      </c>
      <c r="D42" s="237"/>
      <c r="E42" s="238">
        <v>9117</v>
      </c>
      <c r="F42" s="239">
        <v>8306</v>
      </c>
      <c r="G42" s="240">
        <v>811</v>
      </c>
      <c r="I42" s="241">
        <f t="shared" si="0"/>
        <v>0.9110452999890315</v>
      </c>
      <c r="J42" s="242">
        <f t="shared" si="1"/>
        <v>8.8954700010968515E-2</v>
      </c>
      <c r="L42" s="243">
        <v>3312</v>
      </c>
      <c r="M42" s="243">
        <v>3009</v>
      </c>
      <c r="N42" s="243">
        <v>303</v>
      </c>
      <c r="P42" s="244">
        <f t="shared" si="2"/>
        <v>0.90851449275362317</v>
      </c>
      <c r="Q42" s="244">
        <f t="shared" si="3"/>
        <v>9.1485507246376815E-2</v>
      </c>
    </row>
    <row r="43" spans="1:17" x14ac:dyDescent="0.2">
      <c r="A43" s="235" t="s">
        <v>96</v>
      </c>
      <c r="B43" s="236" t="s">
        <v>97</v>
      </c>
      <c r="C43" s="237" t="s">
        <v>266</v>
      </c>
      <c r="D43" s="237"/>
      <c r="E43" s="238">
        <v>5533</v>
      </c>
      <c r="F43" s="239">
        <v>5256</v>
      </c>
      <c r="G43" s="240">
        <v>277</v>
      </c>
      <c r="I43" s="241">
        <f t="shared" si="0"/>
        <v>0.94993674317729981</v>
      </c>
      <c r="J43" s="242">
        <f t="shared" si="1"/>
        <v>5.0063256822700165E-2</v>
      </c>
      <c r="L43" s="243">
        <v>1877</v>
      </c>
      <c r="M43" s="243">
        <v>1797</v>
      </c>
      <c r="N43" s="243">
        <v>80</v>
      </c>
      <c r="P43" s="244">
        <f t="shared" si="2"/>
        <v>0.95737879595098563</v>
      </c>
      <c r="Q43" s="244">
        <f t="shared" si="3"/>
        <v>4.2621204049014386E-2</v>
      </c>
    </row>
    <row r="44" spans="1:17" x14ac:dyDescent="0.2">
      <c r="A44" s="235" t="s">
        <v>98</v>
      </c>
      <c r="B44" s="236" t="s">
        <v>99</v>
      </c>
      <c r="C44" s="237" t="s">
        <v>268</v>
      </c>
      <c r="D44" s="237"/>
      <c r="E44" s="238">
        <v>3931</v>
      </c>
      <c r="F44" s="239">
        <v>3633</v>
      </c>
      <c r="G44" s="240">
        <v>298</v>
      </c>
      <c r="I44" s="241">
        <f t="shared" si="0"/>
        <v>0.92419231747646913</v>
      </c>
      <c r="J44" s="242">
        <f t="shared" si="1"/>
        <v>7.5807682523530914E-2</v>
      </c>
      <c r="L44" s="243">
        <v>1146</v>
      </c>
      <c r="M44" s="243">
        <v>1021</v>
      </c>
      <c r="N44" s="243">
        <v>125</v>
      </c>
      <c r="P44" s="244">
        <f t="shared" si="2"/>
        <v>0.89092495636998259</v>
      </c>
      <c r="Q44" s="244">
        <f t="shared" si="3"/>
        <v>0.10907504363001745</v>
      </c>
    </row>
    <row r="45" spans="1:17" x14ac:dyDescent="0.2">
      <c r="A45" s="235" t="s">
        <v>100</v>
      </c>
      <c r="B45" s="236" t="s">
        <v>101</v>
      </c>
      <c r="C45" s="237" t="s">
        <v>267</v>
      </c>
      <c r="D45" s="237"/>
      <c r="E45" s="238">
        <v>4414</v>
      </c>
      <c r="F45" s="239">
        <v>4003</v>
      </c>
      <c r="G45" s="240">
        <v>411</v>
      </c>
      <c r="I45" s="241">
        <f t="shared" si="0"/>
        <v>0.90688717716357048</v>
      </c>
      <c r="J45" s="242">
        <f t="shared" si="1"/>
        <v>9.3112822836429548E-2</v>
      </c>
      <c r="L45" s="243">
        <v>1796</v>
      </c>
      <c r="M45" s="243">
        <v>1628</v>
      </c>
      <c r="N45" s="243">
        <v>168</v>
      </c>
      <c r="P45" s="244">
        <f t="shared" si="2"/>
        <v>0.90645879732739421</v>
      </c>
      <c r="Q45" s="244">
        <f t="shared" si="3"/>
        <v>9.3541202672605794E-2</v>
      </c>
    </row>
    <row r="46" spans="1:17" x14ac:dyDescent="0.2">
      <c r="A46" s="235" t="s">
        <v>102</v>
      </c>
      <c r="B46" s="236" t="s">
        <v>282</v>
      </c>
      <c r="C46" s="237" t="s">
        <v>264</v>
      </c>
      <c r="D46" s="237"/>
      <c r="E46" s="238">
        <v>2719</v>
      </c>
      <c r="F46" s="239">
        <v>2329</v>
      </c>
      <c r="G46" s="240">
        <v>390</v>
      </c>
      <c r="I46" s="241">
        <f t="shared" si="0"/>
        <v>0.85656491357116582</v>
      </c>
      <c r="J46" s="242">
        <f t="shared" si="1"/>
        <v>0.14343508642883412</v>
      </c>
      <c r="L46" s="243">
        <v>902</v>
      </c>
      <c r="M46" s="243">
        <v>709</v>
      </c>
      <c r="N46" s="243">
        <v>193</v>
      </c>
      <c r="P46" s="244">
        <f t="shared" si="2"/>
        <v>0.78603104212860309</v>
      </c>
      <c r="Q46" s="244">
        <f t="shared" si="3"/>
        <v>0.21396895787139689</v>
      </c>
    </row>
    <row r="47" spans="1:17" x14ac:dyDescent="0.2">
      <c r="A47" s="235" t="s">
        <v>104</v>
      </c>
      <c r="B47" s="236" t="s">
        <v>602</v>
      </c>
      <c r="C47" s="237" t="s">
        <v>265</v>
      </c>
      <c r="D47" s="237"/>
      <c r="E47" s="238">
        <v>7601</v>
      </c>
      <c r="F47" s="239">
        <v>6980</v>
      </c>
      <c r="G47" s="240">
        <v>621</v>
      </c>
      <c r="I47" s="241">
        <f t="shared" si="0"/>
        <v>0.91830022365478225</v>
      </c>
      <c r="J47" s="242">
        <f t="shared" si="1"/>
        <v>8.1699776345217731E-2</v>
      </c>
      <c r="L47" s="243">
        <v>2470</v>
      </c>
      <c r="M47" s="243">
        <v>2191</v>
      </c>
      <c r="N47" s="243">
        <v>279</v>
      </c>
      <c r="P47" s="244">
        <f t="shared" si="2"/>
        <v>0.8870445344129555</v>
      </c>
      <c r="Q47" s="244">
        <f t="shared" si="3"/>
        <v>0.11295546558704453</v>
      </c>
    </row>
    <row r="48" spans="1:17" x14ac:dyDescent="0.2">
      <c r="A48" s="235" t="s">
        <v>108</v>
      </c>
      <c r="B48" s="236" t="s">
        <v>109</v>
      </c>
      <c r="C48" s="237" t="s">
        <v>266</v>
      </c>
      <c r="D48" s="237"/>
      <c r="E48" s="238">
        <v>24235</v>
      </c>
      <c r="F48" s="239">
        <v>22810</v>
      </c>
      <c r="G48" s="240">
        <v>1425</v>
      </c>
      <c r="I48" s="241">
        <f t="shared" si="0"/>
        <v>0.94120074272746024</v>
      </c>
      <c r="J48" s="242">
        <f t="shared" si="1"/>
        <v>5.8799257272539714E-2</v>
      </c>
      <c r="L48" s="243">
        <v>10521</v>
      </c>
      <c r="M48" s="243">
        <v>10021</v>
      </c>
      <c r="N48" s="243">
        <v>500</v>
      </c>
      <c r="P48" s="244">
        <f t="shared" si="2"/>
        <v>0.95247600038019198</v>
      </c>
      <c r="Q48" s="244">
        <f t="shared" si="3"/>
        <v>4.7523999619808001E-2</v>
      </c>
    </row>
    <row r="49" spans="1:17" x14ac:dyDescent="0.2">
      <c r="A49" s="235" t="s">
        <v>110</v>
      </c>
      <c r="B49" s="236" t="s">
        <v>111</v>
      </c>
      <c r="C49" s="237" t="s">
        <v>266</v>
      </c>
      <c r="D49" s="237"/>
      <c r="E49" s="238">
        <v>63078</v>
      </c>
      <c r="F49" s="239">
        <v>56537</v>
      </c>
      <c r="G49" s="240">
        <v>6541</v>
      </c>
      <c r="I49" s="241">
        <f t="shared" si="0"/>
        <v>0.89630298994895208</v>
      </c>
      <c r="J49" s="242">
        <f t="shared" si="1"/>
        <v>0.10369701005104791</v>
      </c>
      <c r="L49" s="243">
        <v>27549</v>
      </c>
      <c r="M49" s="243">
        <v>25239</v>
      </c>
      <c r="N49" s="243">
        <v>2310</v>
      </c>
      <c r="P49" s="244">
        <f t="shared" si="2"/>
        <v>0.91614940651203314</v>
      </c>
      <c r="Q49" s="244">
        <f t="shared" si="3"/>
        <v>8.385059348796689E-2</v>
      </c>
    </row>
    <row r="50" spans="1:17" x14ac:dyDescent="0.2">
      <c r="A50" s="235" t="s">
        <v>112</v>
      </c>
      <c r="B50" s="236" t="s">
        <v>300</v>
      </c>
      <c r="C50" s="237" t="s">
        <v>265</v>
      </c>
      <c r="D50" s="237"/>
      <c r="E50" s="238">
        <v>14517</v>
      </c>
      <c r="F50" s="239">
        <v>13130</v>
      </c>
      <c r="G50" s="240">
        <v>1387</v>
      </c>
      <c r="I50" s="241">
        <f t="shared" si="0"/>
        <v>0.90445684370048907</v>
      </c>
      <c r="J50" s="242">
        <f t="shared" si="1"/>
        <v>9.554315629951092E-2</v>
      </c>
      <c r="L50" s="243">
        <v>4598</v>
      </c>
      <c r="M50" s="243">
        <v>3985</v>
      </c>
      <c r="N50" s="243">
        <v>613</v>
      </c>
      <c r="P50" s="244">
        <f t="shared" si="2"/>
        <v>0.86668116572422793</v>
      </c>
      <c r="Q50" s="244">
        <f t="shared" si="3"/>
        <v>0.13331883427577207</v>
      </c>
    </row>
    <row r="51" spans="1:17" x14ac:dyDescent="0.2">
      <c r="A51" s="235" t="s">
        <v>114</v>
      </c>
      <c r="B51" s="236" t="s">
        <v>115</v>
      </c>
      <c r="C51" s="237" t="s">
        <v>265</v>
      </c>
      <c r="D51" s="237"/>
      <c r="E51" s="238">
        <v>667</v>
      </c>
      <c r="F51" s="239">
        <v>621</v>
      </c>
      <c r="G51" s="240">
        <v>46</v>
      </c>
      <c r="I51" s="241">
        <f t="shared" si="0"/>
        <v>0.93103448275862066</v>
      </c>
      <c r="J51" s="242">
        <f t="shared" si="1"/>
        <v>6.8965517241379309E-2</v>
      </c>
      <c r="L51" s="243">
        <v>157</v>
      </c>
      <c r="M51" s="243">
        <v>144</v>
      </c>
      <c r="N51" s="243">
        <v>13</v>
      </c>
      <c r="P51" s="244">
        <f t="shared" si="2"/>
        <v>0.91719745222929938</v>
      </c>
      <c r="Q51" s="244">
        <f t="shared" si="3"/>
        <v>8.2802547770700632E-2</v>
      </c>
    </row>
    <row r="52" spans="1:17" x14ac:dyDescent="0.2">
      <c r="A52" s="235" t="s">
        <v>118</v>
      </c>
      <c r="B52" s="236" t="s">
        <v>119</v>
      </c>
      <c r="C52" s="237" t="s">
        <v>264</v>
      </c>
      <c r="D52" s="237"/>
      <c r="E52" s="238">
        <v>8522</v>
      </c>
      <c r="F52" s="239">
        <v>7966</v>
      </c>
      <c r="G52" s="240">
        <v>556</v>
      </c>
      <c r="I52" s="241">
        <f t="shared" si="0"/>
        <v>0.9347570992724713</v>
      </c>
      <c r="J52" s="242">
        <f t="shared" si="1"/>
        <v>6.5242900727528752E-2</v>
      </c>
      <c r="L52" s="243">
        <v>3096</v>
      </c>
      <c r="M52" s="243">
        <v>2886</v>
      </c>
      <c r="N52" s="243">
        <v>210</v>
      </c>
      <c r="P52" s="244">
        <f t="shared" si="2"/>
        <v>0.93217054263565891</v>
      </c>
      <c r="Q52" s="244">
        <f t="shared" si="3"/>
        <v>6.7829457364341081E-2</v>
      </c>
    </row>
    <row r="53" spans="1:17" x14ac:dyDescent="0.2">
      <c r="A53" s="235" t="s">
        <v>120</v>
      </c>
      <c r="B53" s="236" t="s">
        <v>121</v>
      </c>
      <c r="C53" s="237" t="s">
        <v>264</v>
      </c>
      <c r="D53" s="237"/>
      <c r="E53" s="238">
        <v>17151</v>
      </c>
      <c r="F53" s="239">
        <v>16192</v>
      </c>
      <c r="G53" s="240">
        <v>959</v>
      </c>
      <c r="I53" s="241">
        <f t="shared" si="0"/>
        <v>0.94408489300915399</v>
      </c>
      <c r="J53" s="242">
        <f t="shared" si="1"/>
        <v>5.5915106990846015E-2</v>
      </c>
      <c r="L53" s="243">
        <v>5736</v>
      </c>
      <c r="M53" s="243">
        <v>5418</v>
      </c>
      <c r="N53" s="243">
        <v>318</v>
      </c>
      <c r="P53" s="244">
        <f t="shared" si="2"/>
        <v>0.94456066945606698</v>
      </c>
      <c r="Q53" s="244">
        <f t="shared" si="3"/>
        <v>5.5439330543933053E-2</v>
      </c>
    </row>
    <row r="54" spans="1:17" x14ac:dyDescent="0.2">
      <c r="A54" s="235" t="s">
        <v>122</v>
      </c>
      <c r="B54" s="236" t="s">
        <v>271</v>
      </c>
      <c r="C54" s="237" t="s">
        <v>266</v>
      </c>
      <c r="D54" s="237"/>
      <c r="E54" s="238">
        <v>1580</v>
      </c>
      <c r="F54" s="239">
        <v>1427</v>
      </c>
      <c r="G54" s="240">
        <v>153</v>
      </c>
      <c r="I54" s="241">
        <f t="shared" si="0"/>
        <v>0.90316455696202536</v>
      </c>
      <c r="J54" s="242">
        <f t="shared" si="1"/>
        <v>9.6835443037974686E-2</v>
      </c>
      <c r="L54" s="243">
        <v>513</v>
      </c>
      <c r="M54" s="243">
        <v>449</v>
      </c>
      <c r="N54" s="243">
        <v>64</v>
      </c>
      <c r="P54" s="244">
        <f t="shared" si="2"/>
        <v>0.87524366471734893</v>
      </c>
      <c r="Q54" s="244">
        <f t="shared" si="3"/>
        <v>0.12475633528265107</v>
      </c>
    </row>
    <row r="55" spans="1:17" x14ac:dyDescent="0.2">
      <c r="A55" s="235" t="s">
        <v>124</v>
      </c>
      <c r="B55" s="236" t="s">
        <v>125</v>
      </c>
      <c r="C55" s="237" t="s">
        <v>267</v>
      </c>
      <c r="D55" s="237"/>
      <c r="E55" s="238">
        <v>5512</v>
      </c>
      <c r="F55" s="239">
        <v>5032</v>
      </c>
      <c r="G55" s="240">
        <v>480</v>
      </c>
      <c r="I55" s="241">
        <f t="shared" si="0"/>
        <v>0.91291727140783741</v>
      </c>
      <c r="J55" s="242">
        <f t="shared" si="1"/>
        <v>8.7082728592162553E-2</v>
      </c>
      <c r="L55" s="243">
        <v>2485</v>
      </c>
      <c r="M55" s="243">
        <v>2298</v>
      </c>
      <c r="N55" s="243">
        <v>187</v>
      </c>
      <c r="P55" s="244">
        <f t="shared" si="2"/>
        <v>0.92474849094567402</v>
      </c>
      <c r="Q55" s="244">
        <f t="shared" si="3"/>
        <v>7.5251509054325955E-2</v>
      </c>
    </row>
    <row r="56" spans="1:17" x14ac:dyDescent="0.2">
      <c r="A56" s="235" t="s">
        <v>126</v>
      </c>
      <c r="B56" s="236" t="s">
        <v>127</v>
      </c>
      <c r="C56" s="237" t="s">
        <v>266</v>
      </c>
      <c r="D56" s="237"/>
      <c r="E56" s="238">
        <v>3882</v>
      </c>
      <c r="F56" s="239">
        <v>3561</v>
      </c>
      <c r="G56" s="240">
        <v>321</v>
      </c>
      <c r="I56" s="241">
        <f t="shared" si="0"/>
        <v>0.91731066460587329</v>
      </c>
      <c r="J56" s="242">
        <f t="shared" si="1"/>
        <v>8.2689335394126734E-2</v>
      </c>
      <c r="L56" s="243">
        <v>1605</v>
      </c>
      <c r="M56" s="243">
        <v>1483</v>
      </c>
      <c r="N56" s="243">
        <v>122</v>
      </c>
      <c r="P56" s="244">
        <f t="shared" si="2"/>
        <v>0.92398753894080998</v>
      </c>
      <c r="Q56" s="244">
        <f t="shared" si="3"/>
        <v>7.6012461059190031E-2</v>
      </c>
    </row>
    <row r="57" spans="1:17" x14ac:dyDescent="0.2">
      <c r="A57" s="235" t="s">
        <v>128</v>
      </c>
      <c r="B57" s="236" t="s">
        <v>129</v>
      </c>
      <c r="C57" s="237" t="s">
        <v>266</v>
      </c>
      <c r="D57" s="237"/>
      <c r="E57" s="238">
        <v>2835</v>
      </c>
      <c r="F57" s="239">
        <v>2584</v>
      </c>
      <c r="G57" s="240">
        <v>251</v>
      </c>
      <c r="I57" s="241">
        <f t="shared" si="0"/>
        <v>0.91146384479717812</v>
      </c>
      <c r="J57" s="242">
        <f t="shared" si="1"/>
        <v>8.8536155202821876E-2</v>
      </c>
      <c r="L57" s="243">
        <v>587</v>
      </c>
      <c r="M57" s="243">
        <v>498</v>
      </c>
      <c r="N57" s="243">
        <v>89</v>
      </c>
      <c r="P57" s="244">
        <f t="shared" si="2"/>
        <v>0.848381601362862</v>
      </c>
      <c r="Q57" s="244">
        <f t="shared" si="3"/>
        <v>0.151618398637138</v>
      </c>
    </row>
    <row r="58" spans="1:17" x14ac:dyDescent="0.2">
      <c r="A58" s="235" t="s">
        <v>130</v>
      </c>
      <c r="B58" s="236" t="s">
        <v>131</v>
      </c>
      <c r="C58" s="237" t="s">
        <v>268</v>
      </c>
      <c r="D58" s="237"/>
      <c r="E58" s="238">
        <v>5554</v>
      </c>
      <c r="F58" s="239">
        <v>5116</v>
      </c>
      <c r="G58" s="240">
        <v>438</v>
      </c>
      <c r="I58" s="241">
        <f t="shared" si="0"/>
        <v>0.92113791861721284</v>
      </c>
      <c r="J58" s="242">
        <f t="shared" si="1"/>
        <v>7.8862081382787177E-2</v>
      </c>
      <c r="L58" s="243">
        <v>1970</v>
      </c>
      <c r="M58" s="243">
        <v>1793</v>
      </c>
      <c r="N58" s="243">
        <v>177</v>
      </c>
      <c r="P58" s="244">
        <f t="shared" si="2"/>
        <v>0.91015228426395944</v>
      </c>
      <c r="Q58" s="244">
        <f t="shared" si="3"/>
        <v>8.9847715736040612E-2</v>
      </c>
    </row>
    <row r="59" spans="1:17" x14ac:dyDescent="0.2">
      <c r="A59" s="235" t="s">
        <v>132</v>
      </c>
      <c r="B59" s="236" t="s">
        <v>133</v>
      </c>
      <c r="C59" s="237" t="s">
        <v>267</v>
      </c>
      <c r="D59" s="237"/>
      <c r="E59" s="238">
        <v>72122</v>
      </c>
      <c r="F59" s="239">
        <v>68056</v>
      </c>
      <c r="G59" s="240">
        <v>4066</v>
      </c>
      <c r="I59" s="241">
        <f t="shared" si="0"/>
        <v>0.94362330495549207</v>
      </c>
      <c r="J59" s="242">
        <f t="shared" si="1"/>
        <v>5.6376695044507916E-2</v>
      </c>
      <c r="L59" s="243">
        <v>42139</v>
      </c>
      <c r="M59" s="243">
        <v>40889</v>
      </c>
      <c r="N59" s="243">
        <v>1250</v>
      </c>
      <c r="P59" s="244">
        <f t="shared" si="2"/>
        <v>0.97033626806521278</v>
      </c>
      <c r="Q59" s="244">
        <f t="shared" si="3"/>
        <v>2.9663731934787253E-2</v>
      </c>
    </row>
    <row r="60" spans="1:17" x14ac:dyDescent="0.2">
      <c r="A60" s="235" t="s">
        <v>134</v>
      </c>
      <c r="B60" s="236" t="s">
        <v>135</v>
      </c>
      <c r="C60" s="237" t="s">
        <v>267</v>
      </c>
      <c r="D60" s="237"/>
      <c r="E60" s="238">
        <v>8200</v>
      </c>
      <c r="F60" s="239">
        <v>7362</v>
      </c>
      <c r="G60" s="240">
        <v>838</v>
      </c>
      <c r="I60" s="241">
        <f t="shared" si="0"/>
        <v>0.89780487804878051</v>
      </c>
      <c r="J60" s="242">
        <f t="shared" si="1"/>
        <v>0.10219512195121951</v>
      </c>
      <c r="L60" s="243">
        <v>2829</v>
      </c>
      <c r="M60" s="243">
        <v>2514</v>
      </c>
      <c r="N60" s="243">
        <v>315</v>
      </c>
      <c r="P60" s="244">
        <f t="shared" si="2"/>
        <v>0.88865323435843058</v>
      </c>
      <c r="Q60" s="244">
        <f t="shared" si="3"/>
        <v>0.11134676564156946</v>
      </c>
    </row>
    <row r="61" spans="1:17" x14ac:dyDescent="0.2">
      <c r="A61" s="235" t="s">
        <v>136</v>
      </c>
      <c r="B61" s="236" t="s">
        <v>137</v>
      </c>
      <c r="C61" s="237" t="s">
        <v>266</v>
      </c>
      <c r="D61" s="237"/>
      <c r="E61" s="238">
        <v>2533</v>
      </c>
      <c r="F61" s="239">
        <v>2294</v>
      </c>
      <c r="G61" s="240">
        <v>239</v>
      </c>
      <c r="I61" s="241">
        <f t="shared" si="0"/>
        <v>0.90564547966837738</v>
      </c>
      <c r="J61" s="242">
        <f t="shared" si="1"/>
        <v>9.4354520331622588E-2</v>
      </c>
      <c r="L61" s="243">
        <v>820</v>
      </c>
      <c r="M61" s="243">
        <v>714</v>
      </c>
      <c r="N61" s="243">
        <v>106</v>
      </c>
      <c r="P61" s="244">
        <f t="shared" si="2"/>
        <v>0.87073170731707317</v>
      </c>
      <c r="Q61" s="244">
        <f t="shared" si="3"/>
        <v>0.12926829268292683</v>
      </c>
    </row>
    <row r="62" spans="1:17" x14ac:dyDescent="0.2">
      <c r="A62" s="235" t="s">
        <v>140</v>
      </c>
      <c r="B62" s="236" t="s">
        <v>141</v>
      </c>
      <c r="C62" s="237" t="s">
        <v>267</v>
      </c>
      <c r="D62" s="237"/>
      <c r="E62" s="238">
        <v>3275</v>
      </c>
      <c r="F62" s="239">
        <v>3038</v>
      </c>
      <c r="G62" s="240">
        <v>237</v>
      </c>
      <c r="I62" s="241">
        <f t="shared" si="0"/>
        <v>0.92763358778625959</v>
      </c>
      <c r="J62" s="242">
        <f t="shared" si="1"/>
        <v>7.2366412213740461E-2</v>
      </c>
      <c r="L62" s="243">
        <v>1155</v>
      </c>
      <c r="M62" s="243">
        <v>1059</v>
      </c>
      <c r="N62" s="243">
        <v>96</v>
      </c>
      <c r="P62" s="244">
        <f t="shared" si="2"/>
        <v>0.91688311688311686</v>
      </c>
      <c r="Q62" s="244">
        <f t="shared" si="3"/>
        <v>8.3116883116883117E-2</v>
      </c>
    </row>
    <row r="63" spans="1:17" x14ac:dyDescent="0.2">
      <c r="A63" s="235" t="s">
        <v>146</v>
      </c>
      <c r="B63" s="236" t="s">
        <v>147</v>
      </c>
      <c r="C63" s="237" t="s">
        <v>264</v>
      </c>
      <c r="D63" s="237"/>
      <c r="E63" s="238">
        <v>2330</v>
      </c>
      <c r="F63" s="239">
        <v>2197</v>
      </c>
      <c r="G63" s="240">
        <v>133</v>
      </c>
      <c r="I63" s="241">
        <f t="shared" si="0"/>
        <v>0.94291845493562232</v>
      </c>
      <c r="J63" s="242">
        <f t="shared" si="1"/>
        <v>5.7081545064377681E-2</v>
      </c>
      <c r="L63" s="243">
        <v>638</v>
      </c>
      <c r="M63" s="243">
        <v>601</v>
      </c>
      <c r="N63" s="243">
        <v>37</v>
      </c>
      <c r="P63" s="244">
        <f t="shared" si="2"/>
        <v>0.94200626959247646</v>
      </c>
      <c r="Q63" s="244">
        <f t="shared" si="3"/>
        <v>5.7993730407523508E-2</v>
      </c>
    </row>
    <row r="64" spans="1:17" x14ac:dyDescent="0.2">
      <c r="A64" s="235" t="s">
        <v>148</v>
      </c>
      <c r="B64" s="236" t="s">
        <v>149</v>
      </c>
      <c r="C64" s="237" t="s">
        <v>265</v>
      </c>
      <c r="D64" s="237"/>
      <c r="E64" s="238">
        <v>6861</v>
      </c>
      <c r="F64" s="239">
        <v>6186</v>
      </c>
      <c r="G64" s="240">
        <v>675</v>
      </c>
      <c r="I64" s="241">
        <f t="shared" si="0"/>
        <v>0.90161783996501965</v>
      </c>
      <c r="J64" s="242">
        <f t="shared" si="1"/>
        <v>9.838216003498032E-2</v>
      </c>
      <c r="L64" s="243">
        <v>1992</v>
      </c>
      <c r="M64" s="243">
        <v>1717</v>
      </c>
      <c r="N64" s="243">
        <v>275</v>
      </c>
      <c r="P64" s="244">
        <f t="shared" si="2"/>
        <v>0.86194779116465858</v>
      </c>
      <c r="Q64" s="244">
        <f t="shared" si="3"/>
        <v>0.13805220883534136</v>
      </c>
    </row>
    <row r="65" spans="1:17" x14ac:dyDescent="0.2">
      <c r="A65" s="235" t="s">
        <v>150</v>
      </c>
      <c r="B65" s="236" t="s">
        <v>151</v>
      </c>
      <c r="C65" s="237" t="s">
        <v>266</v>
      </c>
      <c r="D65" s="237"/>
      <c r="E65" s="238">
        <v>2747</v>
      </c>
      <c r="F65" s="239">
        <v>2538</v>
      </c>
      <c r="G65" s="240">
        <v>209</v>
      </c>
      <c r="I65" s="241">
        <f t="shared" si="0"/>
        <v>0.92391700036403346</v>
      </c>
      <c r="J65" s="242">
        <f t="shared" si="1"/>
        <v>7.6082999635966514E-2</v>
      </c>
      <c r="L65" s="243">
        <v>658</v>
      </c>
      <c r="M65" s="243">
        <v>585</v>
      </c>
      <c r="N65" s="243">
        <v>73</v>
      </c>
      <c r="P65" s="244">
        <f t="shared" si="2"/>
        <v>0.88905775075987847</v>
      </c>
      <c r="Q65" s="244">
        <f t="shared" si="3"/>
        <v>0.11094224924012158</v>
      </c>
    </row>
    <row r="66" spans="1:17" x14ac:dyDescent="0.2">
      <c r="A66" s="235" t="s">
        <v>152</v>
      </c>
      <c r="B66" s="236" t="s">
        <v>153</v>
      </c>
      <c r="C66" s="237" t="s">
        <v>268</v>
      </c>
      <c r="D66" s="237"/>
      <c r="E66" s="238">
        <v>16873</v>
      </c>
      <c r="F66" s="239">
        <v>14910</v>
      </c>
      <c r="G66" s="240">
        <v>1963</v>
      </c>
      <c r="I66" s="241">
        <f t="shared" si="0"/>
        <v>0.88366028566348609</v>
      </c>
      <c r="J66" s="242">
        <f t="shared" si="1"/>
        <v>0.11633971433651395</v>
      </c>
      <c r="L66" s="243">
        <v>6218</v>
      </c>
      <c r="M66" s="243">
        <v>5687</v>
      </c>
      <c r="N66" s="243">
        <v>531</v>
      </c>
      <c r="P66" s="244">
        <f t="shared" si="2"/>
        <v>0.91460276616275327</v>
      </c>
      <c r="Q66" s="244">
        <f t="shared" si="3"/>
        <v>8.5397233837246705E-2</v>
      </c>
    </row>
    <row r="67" spans="1:17" x14ac:dyDescent="0.2">
      <c r="A67" s="235" t="s">
        <v>154</v>
      </c>
      <c r="B67" s="236" t="s">
        <v>155</v>
      </c>
      <c r="C67" s="237" t="s">
        <v>265</v>
      </c>
      <c r="D67" s="237"/>
      <c r="E67" s="238">
        <v>3674</v>
      </c>
      <c r="F67" s="239">
        <v>3298</v>
      </c>
      <c r="G67" s="240">
        <v>376</v>
      </c>
      <c r="I67" s="241">
        <f t="shared" si="0"/>
        <v>0.89765922700054435</v>
      </c>
      <c r="J67" s="242">
        <f t="shared" si="1"/>
        <v>0.10234077299945564</v>
      </c>
      <c r="L67" s="243">
        <v>1100</v>
      </c>
      <c r="M67" s="243">
        <v>953</v>
      </c>
      <c r="N67" s="243">
        <v>147</v>
      </c>
      <c r="P67" s="244">
        <f t="shared" si="2"/>
        <v>0.86636363636363634</v>
      </c>
      <c r="Q67" s="244">
        <f t="shared" si="3"/>
        <v>0.13363636363636364</v>
      </c>
    </row>
    <row r="68" spans="1:17" x14ac:dyDescent="0.2">
      <c r="A68" s="235" t="s">
        <v>156</v>
      </c>
      <c r="B68" s="236" t="s">
        <v>157</v>
      </c>
      <c r="C68" s="237" t="s">
        <v>266</v>
      </c>
      <c r="D68" s="237"/>
      <c r="E68" s="238">
        <v>4793</v>
      </c>
      <c r="F68" s="239">
        <v>4456</v>
      </c>
      <c r="G68" s="240">
        <v>337</v>
      </c>
      <c r="I68" s="241">
        <f t="shared" si="0"/>
        <v>0.92968912998122266</v>
      </c>
      <c r="J68" s="242">
        <f t="shared" si="1"/>
        <v>7.031087001877738E-2</v>
      </c>
      <c r="L68" s="243">
        <v>1749</v>
      </c>
      <c r="M68" s="243">
        <v>1625</v>
      </c>
      <c r="N68" s="243">
        <v>124</v>
      </c>
      <c r="P68" s="244">
        <f t="shared" si="2"/>
        <v>0.9291023441966838</v>
      </c>
      <c r="Q68" s="244">
        <f t="shared" si="3"/>
        <v>7.0897655803316181E-2</v>
      </c>
    </row>
    <row r="69" spans="1:17" x14ac:dyDescent="0.2">
      <c r="A69" s="235" t="s">
        <v>162</v>
      </c>
      <c r="B69" s="236" t="s">
        <v>163</v>
      </c>
      <c r="C69" s="237" t="s">
        <v>264</v>
      </c>
      <c r="D69" s="237"/>
      <c r="E69" s="238">
        <v>2588</v>
      </c>
      <c r="F69" s="239">
        <v>2305</v>
      </c>
      <c r="G69" s="240">
        <v>283</v>
      </c>
      <c r="I69" s="241">
        <f t="shared" si="0"/>
        <v>0.89064914992272026</v>
      </c>
      <c r="J69" s="242">
        <f t="shared" si="1"/>
        <v>0.10935085007727975</v>
      </c>
      <c r="L69" s="243">
        <v>711</v>
      </c>
      <c r="M69" s="243">
        <v>599</v>
      </c>
      <c r="N69" s="243">
        <v>112</v>
      </c>
      <c r="P69" s="244">
        <f t="shared" si="2"/>
        <v>0.84247538677918421</v>
      </c>
      <c r="Q69" s="244">
        <f t="shared" si="3"/>
        <v>0.15752461322081576</v>
      </c>
    </row>
    <row r="70" spans="1:17" x14ac:dyDescent="0.2">
      <c r="A70" s="235" t="s">
        <v>164</v>
      </c>
      <c r="B70" s="236" t="s">
        <v>165</v>
      </c>
      <c r="C70" s="237" t="s">
        <v>266</v>
      </c>
      <c r="D70" s="237"/>
      <c r="E70" s="238">
        <v>3261</v>
      </c>
      <c r="F70" s="239">
        <v>3009</v>
      </c>
      <c r="G70" s="240">
        <v>252</v>
      </c>
      <c r="I70" s="241">
        <f t="shared" si="0"/>
        <v>0.92272309107635697</v>
      </c>
      <c r="J70" s="242">
        <f t="shared" si="1"/>
        <v>7.7276908923643056E-2</v>
      </c>
      <c r="L70" s="243">
        <v>657</v>
      </c>
      <c r="M70" s="243">
        <v>584</v>
      </c>
      <c r="N70" s="243">
        <v>73</v>
      </c>
      <c r="P70" s="244">
        <f t="shared" si="2"/>
        <v>0.88888888888888884</v>
      </c>
      <c r="Q70" s="244">
        <f t="shared" si="3"/>
        <v>0.1111111111111111</v>
      </c>
    </row>
    <row r="71" spans="1:17" x14ac:dyDescent="0.2">
      <c r="A71" s="235" t="s">
        <v>168</v>
      </c>
      <c r="B71" s="236" t="s">
        <v>169</v>
      </c>
      <c r="C71" s="237" t="s">
        <v>266</v>
      </c>
      <c r="D71" s="237"/>
      <c r="E71" s="238">
        <v>2872</v>
      </c>
      <c r="F71" s="239">
        <v>2555</v>
      </c>
      <c r="G71" s="240">
        <v>317</v>
      </c>
      <c r="I71" s="241">
        <f t="shared" ref="I71:I126" si="4">F71/E71</f>
        <v>0.88962395543175488</v>
      </c>
      <c r="J71" s="242">
        <f t="shared" ref="J71:J126" si="5">G71/E71</f>
        <v>0.11037604456824512</v>
      </c>
      <c r="L71" s="243">
        <v>1023</v>
      </c>
      <c r="M71" s="243">
        <v>879</v>
      </c>
      <c r="N71" s="243">
        <v>144</v>
      </c>
      <c r="P71" s="244">
        <f t="shared" ref="P71:P126" si="6">M71/L71</f>
        <v>0.85923753665689151</v>
      </c>
      <c r="Q71" s="244">
        <f t="shared" ref="Q71:Q126" si="7">N71/L71</f>
        <v>0.14076246334310852</v>
      </c>
    </row>
    <row r="72" spans="1:17" x14ac:dyDescent="0.2">
      <c r="A72" s="235" t="s">
        <v>170</v>
      </c>
      <c r="B72" s="236" t="s">
        <v>171</v>
      </c>
      <c r="C72" s="237" t="s">
        <v>267</v>
      </c>
      <c r="D72" s="237"/>
      <c r="E72" s="238">
        <v>8029</v>
      </c>
      <c r="F72" s="239">
        <v>7323</v>
      </c>
      <c r="G72" s="240">
        <v>706</v>
      </c>
      <c r="I72" s="241">
        <f t="shared" si="4"/>
        <v>0.91206875077842819</v>
      </c>
      <c r="J72" s="242">
        <f t="shared" si="5"/>
        <v>8.7931249221571806E-2</v>
      </c>
      <c r="L72" s="243">
        <v>2859</v>
      </c>
      <c r="M72" s="243">
        <v>2581</v>
      </c>
      <c r="N72" s="243">
        <v>278</v>
      </c>
      <c r="P72" s="244">
        <f t="shared" si="6"/>
        <v>0.90276320391745368</v>
      </c>
      <c r="Q72" s="244">
        <f t="shared" si="7"/>
        <v>9.7236796082546345E-2</v>
      </c>
    </row>
    <row r="73" spans="1:17" x14ac:dyDescent="0.2">
      <c r="A73" s="235" t="s">
        <v>172</v>
      </c>
      <c r="B73" s="236" t="s">
        <v>173</v>
      </c>
      <c r="C73" s="237" t="s">
        <v>267</v>
      </c>
      <c r="D73" s="237"/>
      <c r="E73" s="238">
        <v>5801</v>
      </c>
      <c r="F73" s="239">
        <v>5126</v>
      </c>
      <c r="G73" s="240">
        <v>675</v>
      </c>
      <c r="I73" s="241">
        <f t="shared" si="4"/>
        <v>0.88364075159455269</v>
      </c>
      <c r="J73" s="242">
        <f t="shared" si="5"/>
        <v>0.11635924840544734</v>
      </c>
      <c r="L73" s="243">
        <v>2042</v>
      </c>
      <c r="M73" s="243">
        <v>1748</v>
      </c>
      <c r="N73" s="243">
        <v>294</v>
      </c>
      <c r="P73" s="244">
        <f t="shared" si="6"/>
        <v>0.85602350636630753</v>
      </c>
      <c r="Q73" s="244">
        <f t="shared" si="7"/>
        <v>0.14397649363369247</v>
      </c>
    </row>
    <row r="74" spans="1:17" x14ac:dyDescent="0.2">
      <c r="A74" s="235" t="s">
        <v>174</v>
      </c>
      <c r="B74" s="236" t="s">
        <v>175</v>
      </c>
      <c r="C74" s="237" t="s">
        <v>268</v>
      </c>
      <c r="D74" s="237"/>
      <c r="E74" s="238">
        <v>4631</v>
      </c>
      <c r="F74" s="239">
        <v>4305</v>
      </c>
      <c r="G74" s="240">
        <v>326</v>
      </c>
      <c r="I74" s="241">
        <f t="shared" si="4"/>
        <v>0.92960483696825735</v>
      </c>
      <c r="J74" s="242">
        <f t="shared" si="5"/>
        <v>7.0395163031742605E-2</v>
      </c>
      <c r="L74" s="243">
        <v>1404</v>
      </c>
      <c r="M74" s="243">
        <v>1272</v>
      </c>
      <c r="N74" s="243">
        <v>132</v>
      </c>
      <c r="P74" s="244">
        <f t="shared" si="6"/>
        <v>0.90598290598290598</v>
      </c>
      <c r="Q74" s="244">
        <f t="shared" si="7"/>
        <v>9.4017094017094016E-2</v>
      </c>
    </row>
    <row r="75" spans="1:17" x14ac:dyDescent="0.2">
      <c r="A75" s="235" t="s">
        <v>178</v>
      </c>
      <c r="B75" s="236" t="s">
        <v>179</v>
      </c>
      <c r="C75" s="237" t="s">
        <v>265</v>
      </c>
      <c r="D75" s="237"/>
      <c r="E75" s="238">
        <v>14710</v>
      </c>
      <c r="F75" s="239">
        <v>13591</v>
      </c>
      <c r="G75" s="240">
        <v>1119</v>
      </c>
      <c r="I75" s="241">
        <f t="shared" si="4"/>
        <v>0.92392929979605709</v>
      </c>
      <c r="J75" s="242">
        <f t="shared" si="5"/>
        <v>7.6070700203942895E-2</v>
      </c>
      <c r="L75" s="243">
        <v>4922</v>
      </c>
      <c r="M75" s="243">
        <v>4454</v>
      </c>
      <c r="N75" s="243">
        <v>468</v>
      </c>
      <c r="P75" s="244">
        <f t="shared" si="6"/>
        <v>0.90491670052824058</v>
      </c>
      <c r="Q75" s="244">
        <f t="shared" si="7"/>
        <v>9.5083299471759447E-2</v>
      </c>
    </row>
    <row r="76" spans="1:17" x14ac:dyDescent="0.2">
      <c r="A76" s="235" t="s">
        <v>182</v>
      </c>
      <c r="B76" s="236" t="s">
        <v>183</v>
      </c>
      <c r="C76" s="237" t="s">
        <v>266</v>
      </c>
      <c r="D76" s="237"/>
      <c r="E76" s="238">
        <v>6742</v>
      </c>
      <c r="F76" s="239">
        <v>6381</v>
      </c>
      <c r="G76" s="240">
        <v>361</v>
      </c>
      <c r="I76" s="241">
        <f t="shared" si="4"/>
        <v>0.94645505784633643</v>
      </c>
      <c r="J76" s="242">
        <f t="shared" si="5"/>
        <v>5.3544942153663601E-2</v>
      </c>
      <c r="L76" s="243">
        <v>2714</v>
      </c>
      <c r="M76" s="243">
        <v>2587</v>
      </c>
      <c r="N76" s="243">
        <v>127</v>
      </c>
      <c r="P76" s="244">
        <f t="shared" si="6"/>
        <v>0.95320560058953574</v>
      </c>
      <c r="Q76" s="244">
        <f t="shared" si="7"/>
        <v>4.679439941046426E-2</v>
      </c>
    </row>
    <row r="77" spans="1:17" x14ac:dyDescent="0.2">
      <c r="A77" s="235" t="s">
        <v>184</v>
      </c>
      <c r="B77" s="236" t="s">
        <v>185</v>
      </c>
      <c r="C77" s="237" t="s">
        <v>266</v>
      </c>
      <c r="D77" s="237"/>
      <c r="E77" s="238">
        <v>3707</v>
      </c>
      <c r="F77" s="239">
        <v>3275</v>
      </c>
      <c r="G77" s="240">
        <v>432</v>
      </c>
      <c r="I77" s="241">
        <f t="shared" si="4"/>
        <v>0.88346371729161044</v>
      </c>
      <c r="J77" s="242">
        <f t="shared" si="5"/>
        <v>0.11653628270838953</v>
      </c>
      <c r="L77" s="243">
        <v>1279</v>
      </c>
      <c r="M77" s="243">
        <v>1098</v>
      </c>
      <c r="N77" s="243">
        <v>181</v>
      </c>
      <c r="P77" s="244">
        <f t="shared" si="6"/>
        <v>0.85848318999218143</v>
      </c>
      <c r="Q77" s="244">
        <f t="shared" si="7"/>
        <v>0.1415168100078186</v>
      </c>
    </row>
    <row r="78" spans="1:17" x14ac:dyDescent="0.2">
      <c r="A78" s="235" t="s">
        <v>186</v>
      </c>
      <c r="B78" s="236" t="s">
        <v>187</v>
      </c>
      <c r="C78" s="237" t="s">
        <v>264</v>
      </c>
      <c r="D78" s="237"/>
      <c r="E78" s="238">
        <v>7326</v>
      </c>
      <c r="F78" s="239">
        <v>6849</v>
      </c>
      <c r="G78" s="240">
        <v>477</v>
      </c>
      <c r="I78" s="241">
        <f t="shared" si="4"/>
        <v>0.93488943488943488</v>
      </c>
      <c r="J78" s="242">
        <f t="shared" si="5"/>
        <v>6.5110565110565108E-2</v>
      </c>
      <c r="L78" s="243">
        <v>2939</v>
      </c>
      <c r="M78" s="243">
        <v>2743</v>
      </c>
      <c r="N78" s="243">
        <v>196</v>
      </c>
      <c r="P78" s="244">
        <f t="shared" si="6"/>
        <v>0.93331064988091184</v>
      </c>
      <c r="Q78" s="244">
        <f t="shared" si="7"/>
        <v>6.6689350119088123E-2</v>
      </c>
    </row>
    <row r="79" spans="1:17" x14ac:dyDescent="0.2">
      <c r="A79" s="235" t="s">
        <v>188</v>
      </c>
      <c r="B79" s="236" t="s">
        <v>189</v>
      </c>
      <c r="C79" s="237" t="s">
        <v>267</v>
      </c>
      <c r="D79" s="237"/>
      <c r="E79" s="238">
        <v>84487</v>
      </c>
      <c r="F79" s="239">
        <v>78037</v>
      </c>
      <c r="G79" s="240">
        <v>6450</v>
      </c>
      <c r="I79" s="241">
        <f t="shared" si="4"/>
        <v>0.92365689396001749</v>
      </c>
      <c r="J79" s="242">
        <f t="shared" si="5"/>
        <v>7.6343106039982483E-2</v>
      </c>
      <c r="L79" s="243">
        <v>44548</v>
      </c>
      <c r="M79" s="243">
        <v>41816</v>
      </c>
      <c r="N79" s="243">
        <v>2732</v>
      </c>
      <c r="P79" s="244">
        <f t="shared" si="6"/>
        <v>0.93867289216126426</v>
      </c>
      <c r="Q79" s="244">
        <f t="shared" si="7"/>
        <v>6.1327107838735746E-2</v>
      </c>
    </row>
    <row r="80" spans="1:17" x14ac:dyDescent="0.2">
      <c r="A80" s="235" t="s">
        <v>190</v>
      </c>
      <c r="B80" s="236" t="s">
        <v>191</v>
      </c>
      <c r="C80" s="237" t="s">
        <v>268</v>
      </c>
      <c r="D80" s="237"/>
      <c r="E80" s="238">
        <v>8123</v>
      </c>
      <c r="F80" s="239">
        <v>7332</v>
      </c>
      <c r="G80" s="240">
        <v>791</v>
      </c>
      <c r="I80" s="241">
        <f t="shared" si="4"/>
        <v>0.90262218392219629</v>
      </c>
      <c r="J80" s="242">
        <f t="shared" si="5"/>
        <v>9.7377816077803769E-2</v>
      </c>
      <c r="L80" s="243">
        <v>2499</v>
      </c>
      <c r="M80" s="243">
        <v>2197</v>
      </c>
      <c r="N80" s="243">
        <v>302</v>
      </c>
      <c r="P80" s="244">
        <f t="shared" si="6"/>
        <v>0.87915166066426575</v>
      </c>
      <c r="Q80" s="244">
        <f t="shared" si="7"/>
        <v>0.1208483393357343</v>
      </c>
    </row>
    <row r="81" spans="1:17" x14ac:dyDescent="0.2">
      <c r="A81" s="235" t="s">
        <v>194</v>
      </c>
      <c r="B81" s="236" t="s">
        <v>195</v>
      </c>
      <c r="C81" s="237" t="s">
        <v>267</v>
      </c>
      <c r="D81" s="237"/>
      <c r="E81" s="238">
        <v>1838</v>
      </c>
      <c r="F81" s="239">
        <v>1685</v>
      </c>
      <c r="G81" s="240">
        <v>153</v>
      </c>
      <c r="I81" s="241">
        <f t="shared" si="4"/>
        <v>0.91675734494015237</v>
      </c>
      <c r="J81" s="242">
        <f t="shared" si="5"/>
        <v>8.3242655059847667E-2</v>
      </c>
      <c r="L81" s="243">
        <v>573</v>
      </c>
      <c r="M81" s="243">
        <v>521</v>
      </c>
      <c r="N81" s="243">
        <v>52</v>
      </c>
      <c r="P81" s="244">
        <f t="shared" si="6"/>
        <v>0.90924956369982546</v>
      </c>
      <c r="Q81" s="244">
        <f t="shared" si="7"/>
        <v>9.0750436300174514E-2</v>
      </c>
    </row>
    <row r="82" spans="1:17" x14ac:dyDescent="0.2">
      <c r="A82" s="235" t="s">
        <v>198</v>
      </c>
      <c r="B82" s="236" t="s">
        <v>199</v>
      </c>
      <c r="C82" s="237" t="s">
        <v>266</v>
      </c>
      <c r="D82" s="237"/>
      <c r="E82" s="238">
        <v>1629</v>
      </c>
      <c r="F82" s="239">
        <v>1480</v>
      </c>
      <c r="G82" s="240">
        <v>149</v>
      </c>
      <c r="I82" s="241">
        <f t="shared" si="4"/>
        <v>0.9085328422344997</v>
      </c>
      <c r="J82" s="242">
        <f t="shared" si="5"/>
        <v>9.1467157765500309E-2</v>
      </c>
      <c r="L82" s="243">
        <v>553</v>
      </c>
      <c r="M82" s="243">
        <v>488</v>
      </c>
      <c r="N82" s="243">
        <v>65</v>
      </c>
      <c r="P82" s="244">
        <f t="shared" si="6"/>
        <v>0.88245931283905965</v>
      </c>
      <c r="Q82" s="244">
        <f t="shared" si="7"/>
        <v>0.11754068716094032</v>
      </c>
    </row>
    <row r="83" spans="1:17" x14ac:dyDescent="0.2">
      <c r="A83" s="235" t="s">
        <v>202</v>
      </c>
      <c r="B83" s="236" t="s">
        <v>611</v>
      </c>
      <c r="C83" s="237" t="s">
        <v>265</v>
      </c>
      <c r="D83" s="237"/>
      <c r="E83" s="238">
        <v>27391</v>
      </c>
      <c r="F83" s="239">
        <v>25544</v>
      </c>
      <c r="G83" s="240">
        <v>1847</v>
      </c>
      <c r="I83" s="241">
        <f t="shared" si="4"/>
        <v>0.93256909203753058</v>
      </c>
      <c r="J83" s="242">
        <f t="shared" si="5"/>
        <v>6.7430907962469422E-2</v>
      </c>
      <c r="L83" s="243">
        <v>10136</v>
      </c>
      <c r="M83" s="243">
        <v>9529</v>
      </c>
      <c r="N83" s="243">
        <v>607</v>
      </c>
      <c r="P83" s="244">
        <f t="shared" si="6"/>
        <v>0.94011444356748219</v>
      </c>
      <c r="Q83" s="244">
        <f t="shared" si="7"/>
        <v>5.9885556432517757E-2</v>
      </c>
    </row>
    <row r="84" spans="1:17" x14ac:dyDescent="0.2">
      <c r="A84" s="235" t="s">
        <v>204</v>
      </c>
      <c r="B84" s="236" t="s">
        <v>293</v>
      </c>
      <c r="C84" s="237" t="s">
        <v>265</v>
      </c>
      <c r="D84" s="237"/>
      <c r="E84" s="238">
        <v>7830</v>
      </c>
      <c r="F84" s="239">
        <v>7065</v>
      </c>
      <c r="G84" s="240">
        <v>765</v>
      </c>
      <c r="I84" s="241">
        <f t="shared" si="4"/>
        <v>0.9022988505747126</v>
      </c>
      <c r="J84" s="242">
        <f t="shared" si="5"/>
        <v>9.7701149425287362E-2</v>
      </c>
      <c r="L84" s="243">
        <v>2523</v>
      </c>
      <c r="M84" s="243">
        <v>2233</v>
      </c>
      <c r="N84" s="243">
        <v>290</v>
      </c>
      <c r="P84" s="244">
        <f t="shared" si="6"/>
        <v>0.88505747126436785</v>
      </c>
      <c r="Q84" s="244">
        <f t="shared" si="7"/>
        <v>0.11494252873563218</v>
      </c>
    </row>
    <row r="85" spans="1:17" x14ac:dyDescent="0.2">
      <c r="A85" s="235" t="s">
        <v>206</v>
      </c>
      <c r="B85" s="236" t="s">
        <v>294</v>
      </c>
      <c r="C85" s="237" t="s">
        <v>267</v>
      </c>
      <c r="D85" s="237"/>
      <c r="E85" s="238">
        <v>24868</v>
      </c>
      <c r="F85" s="239">
        <v>22377</v>
      </c>
      <c r="G85" s="240">
        <v>2491</v>
      </c>
      <c r="I85" s="241">
        <f t="shared" si="4"/>
        <v>0.89983110825156831</v>
      </c>
      <c r="J85" s="242">
        <f t="shared" si="5"/>
        <v>0.10016889174843172</v>
      </c>
      <c r="L85" s="243">
        <v>9709</v>
      </c>
      <c r="M85" s="243">
        <v>8763</v>
      </c>
      <c r="N85" s="243">
        <v>946</v>
      </c>
      <c r="P85" s="244">
        <f t="shared" si="6"/>
        <v>0.90256463075496962</v>
      </c>
      <c r="Q85" s="244">
        <f t="shared" si="7"/>
        <v>9.7435369245030379E-2</v>
      </c>
    </row>
    <row r="86" spans="1:17" x14ac:dyDescent="0.2">
      <c r="A86" s="235" t="s">
        <v>208</v>
      </c>
      <c r="B86" s="236" t="s">
        <v>209</v>
      </c>
      <c r="C86" s="237" t="s">
        <v>268</v>
      </c>
      <c r="D86" s="237"/>
      <c r="E86" s="238">
        <v>7121</v>
      </c>
      <c r="F86" s="239">
        <v>6663</v>
      </c>
      <c r="G86" s="240">
        <v>458</v>
      </c>
      <c r="I86" s="241">
        <f t="shared" si="4"/>
        <v>0.9356831905631231</v>
      </c>
      <c r="J86" s="242">
        <f t="shared" si="5"/>
        <v>6.4316809436876843E-2</v>
      </c>
      <c r="L86" s="243">
        <v>2435</v>
      </c>
      <c r="M86" s="243">
        <v>2264</v>
      </c>
      <c r="N86" s="243">
        <v>171</v>
      </c>
      <c r="P86" s="244">
        <f t="shared" si="6"/>
        <v>0.92977412731006159</v>
      </c>
      <c r="Q86" s="244">
        <f t="shared" si="7"/>
        <v>7.0225872689938393E-2</v>
      </c>
    </row>
    <row r="87" spans="1:17" x14ac:dyDescent="0.2">
      <c r="A87" s="235" t="s">
        <v>210</v>
      </c>
      <c r="B87" s="236" t="s">
        <v>211</v>
      </c>
      <c r="C87" s="237" t="s">
        <v>268</v>
      </c>
      <c r="D87" s="237"/>
      <c r="E87" s="238">
        <v>5615</v>
      </c>
      <c r="F87" s="239">
        <v>5267</v>
      </c>
      <c r="G87" s="240">
        <v>348</v>
      </c>
      <c r="I87" s="241">
        <f t="shared" si="4"/>
        <v>0.93802315227070343</v>
      </c>
      <c r="J87" s="242">
        <f t="shared" si="5"/>
        <v>6.1976847729296528E-2</v>
      </c>
      <c r="L87" s="243">
        <v>1805</v>
      </c>
      <c r="M87" s="243">
        <v>1674</v>
      </c>
      <c r="N87" s="243">
        <v>131</v>
      </c>
      <c r="P87" s="244">
        <f t="shared" si="6"/>
        <v>0.92742382271468149</v>
      </c>
      <c r="Q87" s="244">
        <f t="shared" si="7"/>
        <v>7.2576177285318566E-2</v>
      </c>
    </row>
    <row r="88" spans="1:17" x14ac:dyDescent="0.2">
      <c r="A88" s="235" t="s">
        <v>212</v>
      </c>
      <c r="B88" s="236" t="s">
        <v>213</v>
      </c>
      <c r="C88" s="237" t="s">
        <v>267</v>
      </c>
      <c r="D88" s="237"/>
      <c r="E88" s="238">
        <v>10226</v>
      </c>
      <c r="F88" s="239">
        <v>9052</v>
      </c>
      <c r="G88" s="240">
        <v>1174</v>
      </c>
      <c r="I88" s="241">
        <f t="shared" si="4"/>
        <v>0.88519460199491495</v>
      </c>
      <c r="J88" s="242">
        <f t="shared" si="5"/>
        <v>0.11480539800508507</v>
      </c>
      <c r="L88" s="243">
        <v>3535</v>
      </c>
      <c r="M88" s="243">
        <v>3074</v>
      </c>
      <c r="N88" s="243">
        <v>461</v>
      </c>
      <c r="P88" s="244">
        <f t="shared" si="6"/>
        <v>0.86958981612446962</v>
      </c>
      <c r="Q88" s="244">
        <f t="shared" si="7"/>
        <v>0.13041018387553041</v>
      </c>
    </row>
    <row r="89" spans="1:17" x14ac:dyDescent="0.2">
      <c r="A89" s="235" t="s">
        <v>214</v>
      </c>
      <c r="B89" s="236" t="s">
        <v>215</v>
      </c>
      <c r="C89" s="237" t="s">
        <v>268</v>
      </c>
      <c r="D89" s="237"/>
      <c r="E89" s="238">
        <v>7375</v>
      </c>
      <c r="F89" s="239">
        <v>6640</v>
      </c>
      <c r="G89" s="240">
        <v>735</v>
      </c>
      <c r="I89" s="241">
        <f t="shared" si="4"/>
        <v>0.90033898305084747</v>
      </c>
      <c r="J89" s="242">
        <f t="shared" si="5"/>
        <v>9.9661016949152539E-2</v>
      </c>
      <c r="L89" s="243">
        <v>2466</v>
      </c>
      <c r="M89" s="243">
        <v>2168</v>
      </c>
      <c r="N89" s="243">
        <v>298</v>
      </c>
      <c r="P89" s="244">
        <f t="shared" si="6"/>
        <v>0.87915652879156525</v>
      </c>
      <c r="Q89" s="244">
        <f t="shared" si="7"/>
        <v>0.12084347120843471</v>
      </c>
    </row>
    <row r="90" spans="1:17" x14ac:dyDescent="0.2">
      <c r="A90" s="235" t="s">
        <v>216</v>
      </c>
      <c r="B90" s="236" t="s">
        <v>217</v>
      </c>
      <c r="C90" s="237" t="s">
        <v>264</v>
      </c>
      <c r="D90" s="237"/>
      <c r="E90" s="238">
        <v>3804</v>
      </c>
      <c r="F90" s="239">
        <v>3501</v>
      </c>
      <c r="G90" s="240">
        <v>303</v>
      </c>
      <c r="I90" s="241">
        <f t="shared" si="4"/>
        <v>0.92034700315457418</v>
      </c>
      <c r="J90" s="242">
        <f t="shared" si="5"/>
        <v>7.9652996845425872E-2</v>
      </c>
      <c r="L90" s="243">
        <v>1348</v>
      </c>
      <c r="M90" s="243">
        <v>1235</v>
      </c>
      <c r="N90" s="243">
        <v>113</v>
      </c>
      <c r="P90" s="244">
        <f t="shared" si="6"/>
        <v>0.91617210682492578</v>
      </c>
      <c r="Q90" s="244">
        <f t="shared" si="7"/>
        <v>8.3827893175074178E-2</v>
      </c>
    </row>
    <row r="91" spans="1:17" x14ac:dyDescent="0.2">
      <c r="A91" s="235" t="s">
        <v>218</v>
      </c>
      <c r="B91" s="236" t="s">
        <v>219</v>
      </c>
      <c r="C91" s="237" t="s">
        <v>267</v>
      </c>
      <c r="D91" s="237"/>
      <c r="E91" s="238">
        <v>27740</v>
      </c>
      <c r="F91" s="239">
        <v>25473</v>
      </c>
      <c r="G91" s="240">
        <v>2267</v>
      </c>
      <c r="I91" s="241">
        <f t="shared" si="4"/>
        <v>0.91827685652487379</v>
      </c>
      <c r="J91" s="242">
        <f t="shared" si="5"/>
        <v>8.1723143475126173E-2</v>
      </c>
      <c r="L91" s="243">
        <v>12842</v>
      </c>
      <c r="M91" s="243">
        <v>11937</v>
      </c>
      <c r="N91" s="243">
        <v>905</v>
      </c>
      <c r="P91" s="244">
        <f t="shared" si="6"/>
        <v>0.92952811088615483</v>
      </c>
      <c r="Q91" s="244">
        <f t="shared" si="7"/>
        <v>7.0471889113845193E-2</v>
      </c>
    </row>
    <row r="92" spans="1:17" x14ac:dyDescent="0.2">
      <c r="A92" s="235" t="s">
        <v>220</v>
      </c>
      <c r="B92" s="236" t="s">
        <v>221</v>
      </c>
      <c r="C92" s="237" t="s">
        <v>267</v>
      </c>
      <c r="D92" s="237"/>
      <c r="E92" s="238">
        <v>28707</v>
      </c>
      <c r="F92" s="239">
        <v>26742</v>
      </c>
      <c r="G92" s="240">
        <v>1965</v>
      </c>
      <c r="I92" s="241">
        <f t="shared" si="4"/>
        <v>0.93154979621695055</v>
      </c>
      <c r="J92" s="242">
        <f t="shared" si="5"/>
        <v>6.8450203783049432E-2</v>
      </c>
      <c r="L92" s="243">
        <v>14418</v>
      </c>
      <c r="M92" s="243">
        <v>13579</v>
      </c>
      <c r="N92" s="243">
        <v>839</v>
      </c>
      <c r="P92" s="244">
        <f t="shared" si="6"/>
        <v>0.94180885004855042</v>
      </c>
      <c r="Q92" s="244">
        <f t="shared" si="7"/>
        <v>5.8191149951449576E-2</v>
      </c>
    </row>
    <row r="93" spans="1:17" x14ac:dyDescent="0.2">
      <c r="A93" s="235" t="s">
        <v>224</v>
      </c>
      <c r="B93" s="236" t="s">
        <v>225</v>
      </c>
      <c r="C93" s="237" t="s">
        <v>264</v>
      </c>
      <c r="D93" s="237"/>
      <c r="E93" s="238">
        <v>1585</v>
      </c>
      <c r="F93" s="239">
        <v>1455</v>
      </c>
      <c r="G93" s="240">
        <v>130</v>
      </c>
      <c r="I93" s="241">
        <f t="shared" si="4"/>
        <v>0.917981072555205</v>
      </c>
      <c r="J93" s="242">
        <f t="shared" si="5"/>
        <v>8.2018927444794956E-2</v>
      </c>
      <c r="L93" s="243">
        <v>492</v>
      </c>
      <c r="M93" s="243">
        <v>446</v>
      </c>
      <c r="N93" s="243">
        <v>46</v>
      </c>
      <c r="P93" s="244">
        <f t="shared" si="6"/>
        <v>0.9065040650406504</v>
      </c>
      <c r="Q93" s="244">
        <f t="shared" si="7"/>
        <v>9.3495934959349589E-2</v>
      </c>
    </row>
    <row r="94" spans="1:17" x14ac:dyDescent="0.2">
      <c r="A94" s="235" t="s">
        <v>226</v>
      </c>
      <c r="B94" s="236" t="s">
        <v>227</v>
      </c>
      <c r="C94" s="237" t="s">
        <v>264</v>
      </c>
      <c r="D94" s="237"/>
      <c r="E94" s="238">
        <v>1927</v>
      </c>
      <c r="F94" s="239">
        <v>1700</v>
      </c>
      <c r="G94" s="240">
        <v>227</v>
      </c>
      <c r="I94" s="241">
        <f t="shared" si="4"/>
        <v>0.8822003113648158</v>
      </c>
      <c r="J94" s="242">
        <f t="shared" si="5"/>
        <v>0.11779968863518422</v>
      </c>
      <c r="L94" s="243">
        <v>596</v>
      </c>
      <c r="M94" s="243">
        <v>516</v>
      </c>
      <c r="N94" s="243">
        <v>80</v>
      </c>
      <c r="P94" s="244">
        <f t="shared" si="6"/>
        <v>0.86577181208053688</v>
      </c>
      <c r="Q94" s="244">
        <f t="shared" si="7"/>
        <v>0.13422818791946309</v>
      </c>
    </row>
    <row r="95" spans="1:17" x14ac:dyDescent="0.2">
      <c r="A95" s="235" t="s">
        <v>228</v>
      </c>
      <c r="B95" s="236" t="s">
        <v>229</v>
      </c>
      <c r="C95" s="237" t="s">
        <v>268</v>
      </c>
      <c r="D95" s="237"/>
      <c r="E95" s="238">
        <v>10694</v>
      </c>
      <c r="F95" s="239">
        <v>9927</v>
      </c>
      <c r="G95" s="240">
        <v>767</v>
      </c>
      <c r="I95" s="241">
        <f t="shared" si="4"/>
        <v>0.92827753880680752</v>
      </c>
      <c r="J95" s="242">
        <f t="shared" si="5"/>
        <v>7.1722461193192449E-2</v>
      </c>
      <c r="L95" s="243">
        <v>3630</v>
      </c>
      <c r="M95" s="243">
        <v>3309</v>
      </c>
      <c r="N95" s="243">
        <v>321</v>
      </c>
      <c r="P95" s="244">
        <f t="shared" si="6"/>
        <v>0.9115702479338843</v>
      </c>
      <c r="Q95" s="244">
        <f t="shared" si="7"/>
        <v>8.8429752066115697E-2</v>
      </c>
    </row>
    <row r="96" spans="1:17" x14ac:dyDescent="0.2">
      <c r="A96" s="235" t="s">
        <v>232</v>
      </c>
      <c r="B96" s="236" t="s">
        <v>233</v>
      </c>
      <c r="C96" s="237" t="s">
        <v>267</v>
      </c>
      <c r="D96" s="237"/>
      <c r="E96" s="238">
        <v>8466</v>
      </c>
      <c r="F96" s="239">
        <v>7448</v>
      </c>
      <c r="G96" s="240">
        <v>1018</v>
      </c>
      <c r="I96" s="241">
        <f t="shared" si="4"/>
        <v>0.87975431136309945</v>
      </c>
      <c r="J96" s="242">
        <f t="shared" si="5"/>
        <v>0.12024568863690055</v>
      </c>
      <c r="L96" s="243">
        <v>3365</v>
      </c>
      <c r="M96" s="243">
        <v>2964</v>
      </c>
      <c r="N96" s="243">
        <v>401</v>
      </c>
      <c r="P96" s="244">
        <f t="shared" si="6"/>
        <v>0.88083209509658245</v>
      </c>
      <c r="Q96" s="244">
        <f t="shared" si="7"/>
        <v>0.11916790490341754</v>
      </c>
    </row>
    <row r="97" spans="1:17" x14ac:dyDescent="0.2">
      <c r="A97" s="235" t="s">
        <v>234</v>
      </c>
      <c r="B97" s="236" t="s">
        <v>235</v>
      </c>
      <c r="C97" s="237" t="s">
        <v>268</v>
      </c>
      <c r="D97" s="237"/>
      <c r="E97" s="238">
        <v>13451</v>
      </c>
      <c r="F97" s="239">
        <v>12472</v>
      </c>
      <c r="G97" s="240">
        <v>979</v>
      </c>
      <c r="I97" s="241">
        <f t="shared" si="4"/>
        <v>0.92721730726340046</v>
      </c>
      <c r="J97" s="242">
        <f t="shared" si="5"/>
        <v>7.2782692736599514E-2</v>
      </c>
      <c r="L97" s="243">
        <v>4316</v>
      </c>
      <c r="M97" s="243">
        <v>3992</v>
      </c>
      <c r="N97" s="243">
        <v>324</v>
      </c>
      <c r="P97" s="244">
        <f t="shared" si="6"/>
        <v>0.92493049119555149</v>
      </c>
      <c r="Q97" s="244">
        <f t="shared" si="7"/>
        <v>7.506950880444857E-2</v>
      </c>
    </row>
    <row r="98" spans="1:17" x14ac:dyDescent="0.2">
      <c r="A98" s="235" t="s">
        <v>236</v>
      </c>
      <c r="B98" s="236" t="s">
        <v>237</v>
      </c>
      <c r="C98" s="237" t="s">
        <v>266</v>
      </c>
      <c r="D98" s="237"/>
      <c r="E98" s="238">
        <v>3942</v>
      </c>
      <c r="F98" s="239">
        <v>3509</v>
      </c>
      <c r="G98" s="240">
        <v>433</v>
      </c>
      <c r="I98" s="241">
        <f t="shared" si="4"/>
        <v>0.89015728056823951</v>
      </c>
      <c r="J98" s="242">
        <f t="shared" si="5"/>
        <v>0.10984271943176052</v>
      </c>
      <c r="L98" s="243">
        <v>1096</v>
      </c>
      <c r="M98" s="243">
        <v>949</v>
      </c>
      <c r="N98" s="243">
        <v>147</v>
      </c>
      <c r="P98" s="244">
        <f t="shared" si="6"/>
        <v>0.86587591240875916</v>
      </c>
      <c r="Q98" s="244">
        <f t="shared" si="7"/>
        <v>0.13412408759124086</v>
      </c>
    </row>
    <row r="99" spans="1:17" x14ac:dyDescent="0.2">
      <c r="A99" s="235" t="s">
        <v>242</v>
      </c>
      <c r="B99" s="236" t="s">
        <v>243</v>
      </c>
      <c r="C99" s="237" t="s">
        <v>268</v>
      </c>
      <c r="D99" s="237"/>
      <c r="E99" s="238">
        <v>8806</v>
      </c>
      <c r="F99" s="239">
        <v>8036</v>
      </c>
      <c r="G99" s="240">
        <v>770</v>
      </c>
      <c r="I99" s="241">
        <f t="shared" si="4"/>
        <v>0.91255961844197142</v>
      </c>
      <c r="J99" s="242">
        <f t="shared" si="5"/>
        <v>8.7440381558028621E-2</v>
      </c>
      <c r="L99" s="243">
        <v>3189</v>
      </c>
      <c r="M99" s="243">
        <v>2847</v>
      </c>
      <c r="N99" s="243">
        <v>342</v>
      </c>
      <c r="P99" s="244">
        <f t="shared" si="6"/>
        <v>0.89275634995296327</v>
      </c>
      <c r="Q99" s="244">
        <f t="shared" si="7"/>
        <v>0.10724365004703669</v>
      </c>
    </row>
    <row r="100" spans="1:17" x14ac:dyDescent="0.2">
      <c r="A100" s="235" t="s">
        <v>244</v>
      </c>
      <c r="B100" s="236" t="s">
        <v>245</v>
      </c>
      <c r="C100" s="237" t="s">
        <v>268</v>
      </c>
      <c r="D100" s="237"/>
      <c r="E100" s="238">
        <v>7017</v>
      </c>
      <c r="F100" s="239">
        <v>6427</v>
      </c>
      <c r="G100" s="240">
        <v>590</v>
      </c>
      <c r="I100" s="241">
        <f t="shared" si="4"/>
        <v>0.91591848368248541</v>
      </c>
      <c r="J100" s="242">
        <f t="shared" si="5"/>
        <v>8.4081516317514607E-2</v>
      </c>
      <c r="L100" s="243">
        <v>2359</v>
      </c>
      <c r="M100" s="243">
        <v>2122</v>
      </c>
      <c r="N100" s="243">
        <v>237</v>
      </c>
      <c r="P100" s="244">
        <f t="shared" si="6"/>
        <v>0.89953370072064431</v>
      </c>
      <c r="Q100" s="244">
        <f t="shared" si="7"/>
        <v>0.10046629927935566</v>
      </c>
    </row>
    <row r="101" spans="1:17" x14ac:dyDescent="0.2">
      <c r="A101" s="235" t="s">
        <v>246</v>
      </c>
      <c r="B101" s="236" t="s">
        <v>247</v>
      </c>
      <c r="C101" s="237" t="s">
        <v>264</v>
      </c>
      <c r="D101" s="237"/>
      <c r="E101" s="238">
        <v>19258</v>
      </c>
      <c r="F101" s="239">
        <v>18334</v>
      </c>
      <c r="G101" s="240">
        <v>924</v>
      </c>
      <c r="I101" s="241">
        <f t="shared" si="4"/>
        <v>0.95201993976529231</v>
      </c>
      <c r="J101" s="242">
        <f t="shared" si="5"/>
        <v>4.7980060234707654E-2</v>
      </c>
      <c r="L101" s="243">
        <v>8546</v>
      </c>
      <c r="M101" s="243">
        <v>8213</v>
      </c>
      <c r="N101" s="243">
        <v>333</v>
      </c>
      <c r="P101" s="244">
        <f t="shared" si="6"/>
        <v>0.96103440205944302</v>
      </c>
      <c r="Q101" s="244">
        <f t="shared" si="7"/>
        <v>3.8965597940556984E-2</v>
      </c>
    </row>
    <row r="102" spans="1:17" x14ac:dyDescent="0.2">
      <c r="A102" s="235" t="s">
        <v>14</v>
      </c>
      <c r="B102" s="236" t="s">
        <v>15</v>
      </c>
      <c r="C102" s="237" t="s">
        <v>267</v>
      </c>
      <c r="D102" s="237"/>
      <c r="E102" s="238">
        <v>26684</v>
      </c>
      <c r="F102" s="239">
        <v>22819</v>
      </c>
      <c r="G102" s="240">
        <v>3865</v>
      </c>
      <c r="I102" s="241">
        <f t="shared" si="4"/>
        <v>0.85515664817868386</v>
      </c>
      <c r="J102" s="242">
        <f t="shared" si="5"/>
        <v>0.14484335182131614</v>
      </c>
      <c r="L102" s="243">
        <v>9744</v>
      </c>
      <c r="M102" s="243">
        <v>8972</v>
      </c>
      <c r="N102" s="243">
        <v>772</v>
      </c>
      <c r="P102" s="244">
        <f t="shared" si="6"/>
        <v>0.92077175697865354</v>
      </c>
      <c r="Q102" s="244">
        <f t="shared" si="7"/>
        <v>7.922824302134647E-2</v>
      </c>
    </row>
    <row r="103" spans="1:17" x14ac:dyDescent="0.2">
      <c r="A103" s="235" t="s">
        <v>34</v>
      </c>
      <c r="B103" s="236" t="s">
        <v>35</v>
      </c>
      <c r="C103" s="237" t="s">
        <v>268</v>
      </c>
      <c r="D103" s="237"/>
      <c r="E103" s="238">
        <v>3682</v>
      </c>
      <c r="F103" s="239">
        <v>3261</v>
      </c>
      <c r="G103" s="240">
        <v>421</v>
      </c>
      <c r="I103" s="241">
        <f t="shared" si="4"/>
        <v>0.88565996740901687</v>
      </c>
      <c r="J103" s="242">
        <f t="shared" si="5"/>
        <v>0.11434003259098316</v>
      </c>
      <c r="L103" s="243">
        <v>1243</v>
      </c>
      <c r="M103" s="243">
        <v>1037</v>
      </c>
      <c r="N103" s="243">
        <v>206</v>
      </c>
      <c r="P103" s="244">
        <f t="shared" si="6"/>
        <v>0.83427192276749795</v>
      </c>
      <c r="Q103" s="244">
        <f t="shared" si="7"/>
        <v>0.16572807723250202</v>
      </c>
    </row>
    <row r="104" spans="1:17" x14ac:dyDescent="0.2">
      <c r="A104" s="235" t="s">
        <v>52</v>
      </c>
      <c r="B104" s="236" t="s">
        <v>53</v>
      </c>
      <c r="C104" s="237" t="s">
        <v>265</v>
      </c>
      <c r="D104" s="237"/>
      <c r="E104" s="238">
        <v>6044</v>
      </c>
      <c r="F104" s="239">
        <v>4996</v>
      </c>
      <c r="G104" s="240">
        <v>1048</v>
      </c>
      <c r="I104" s="241">
        <f t="shared" si="4"/>
        <v>0.82660489741892784</v>
      </c>
      <c r="J104" s="242">
        <f t="shared" si="5"/>
        <v>0.17339510258107213</v>
      </c>
      <c r="L104" s="243">
        <v>2127</v>
      </c>
      <c r="M104" s="243">
        <v>1907</v>
      </c>
      <c r="N104" s="243">
        <v>220</v>
      </c>
      <c r="P104" s="244">
        <f t="shared" si="6"/>
        <v>0.89656793606017871</v>
      </c>
      <c r="Q104" s="244">
        <f t="shared" si="7"/>
        <v>0.10343206393982135</v>
      </c>
    </row>
    <row r="105" spans="1:17" x14ac:dyDescent="0.2">
      <c r="A105" s="235" t="s">
        <v>54</v>
      </c>
      <c r="B105" s="236" t="s">
        <v>55</v>
      </c>
      <c r="C105" s="237" t="s">
        <v>264</v>
      </c>
      <c r="D105" s="237"/>
      <c r="E105" s="238">
        <v>47445</v>
      </c>
      <c r="F105" s="239">
        <v>43872</v>
      </c>
      <c r="G105" s="240">
        <v>3573</v>
      </c>
      <c r="I105" s="241">
        <f t="shared" si="4"/>
        <v>0.92469174834018342</v>
      </c>
      <c r="J105" s="242">
        <f t="shared" si="5"/>
        <v>7.5308251659816625E-2</v>
      </c>
      <c r="L105" s="243">
        <v>20777</v>
      </c>
      <c r="M105" s="243">
        <v>19371</v>
      </c>
      <c r="N105" s="243">
        <v>1406</v>
      </c>
      <c r="P105" s="244">
        <f t="shared" si="6"/>
        <v>0.93232901766376286</v>
      </c>
      <c r="Q105" s="244">
        <f t="shared" si="7"/>
        <v>6.7670982336237182E-2</v>
      </c>
    </row>
    <row r="106" spans="1:17" x14ac:dyDescent="0.2">
      <c r="A106" s="235" t="s">
        <v>66</v>
      </c>
      <c r="B106" s="236" t="s">
        <v>67</v>
      </c>
      <c r="C106" s="237" t="s">
        <v>265</v>
      </c>
      <c r="D106" s="237"/>
      <c r="E106" s="238">
        <v>7064</v>
      </c>
      <c r="F106" s="239">
        <v>6212</v>
      </c>
      <c r="G106" s="240">
        <v>852</v>
      </c>
      <c r="I106" s="241">
        <f t="shared" si="4"/>
        <v>0.87938844847112119</v>
      </c>
      <c r="J106" s="242">
        <f t="shared" si="5"/>
        <v>0.12061155152887883</v>
      </c>
      <c r="L106" s="243">
        <v>2114</v>
      </c>
      <c r="M106" s="243">
        <v>1728</v>
      </c>
      <c r="N106" s="243">
        <v>386</v>
      </c>
      <c r="P106" s="244">
        <f t="shared" si="6"/>
        <v>0.81740775780510877</v>
      </c>
      <c r="Q106" s="244">
        <f t="shared" si="7"/>
        <v>0.1825922421948912</v>
      </c>
    </row>
    <row r="107" spans="1:17" x14ac:dyDescent="0.2">
      <c r="A107" s="235" t="s">
        <v>82</v>
      </c>
      <c r="B107" s="236" t="s">
        <v>311</v>
      </c>
      <c r="C107" s="237" t="s">
        <v>264</v>
      </c>
      <c r="D107" s="237"/>
      <c r="E107" s="238">
        <v>1509</v>
      </c>
      <c r="F107" s="239">
        <v>1349</v>
      </c>
      <c r="G107" s="240">
        <v>160</v>
      </c>
      <c r="I107" s="241">
        <f t="shared" si="4"/>
        <v>0.8939695162359178</v>
      </c>
      <c r="J107" s="242">
        <f t="shared" si="5"/>
        <v>0.10603048376408217</v>
      </c>
      <c r="L107" s="243">
        <v>507</v>
      </c>
      <c r="M107" s="243">
        <v>438</v>
      </c>
      <c r="N107" s="243">
        <v>69</v>
      </c>
      <c r="P107" s="244">
        <f t="shared" si="6"/>
        <v>0.86390532544378695</v>
      </c>
      <c r="Q107" s="244">
        <f t="shared" si="7"/>
        <v>0.13609467455621302</v>
      </c>
    </row>
    <row r="108" spans="1:17" x14ac:dyDescent="0.2">
      <c r="A108" s="235" t="s">
        <v>88</v>
      </c>
      <c r="B108" s="236" t="s">
        <v>89</v>
      </c>
      <c r="C108" s="237" t="s">
        <v>267</v>
      </c>
      <c r="D108" s="237"/>
      <c r="E108" s="238">
        <v>3709</v>
      </c>
      <c r="F108" s="239">
        <v>3044</v>
      </c>
      <c r="G108" s="240">
        <v>665</v>
      </c>
      <c r="I108" s="241">
        <f t="shared" si="4"/>
        <v>0.82070638986249667</v>
      </c>
      <c r="J108" s="242">
        <f t="shared" si="5"/>
        <v>0.17929361013750336</v>
      </c>
      <c r="L108" s="243">
        <v>1483</v>
      </c>
      <c r="M108" s="243">
        <v>1250</v>
      </c>
      <c r="N108" s="243">
        <v>233</v>
      </c>
      <c r="P108" s="244">
        <f t="shared" si="6"/>
        <v>0.84288604180714766</v>
      </c>
      <c r="Q108" s="244">
        <f t="shared" si="7"/>
        <v>0.15711395819285232</v>
      </c>
    </row>
    <row r="109" spans="1:17" x14ac:dyDescent="0.2">
      <c r="A109" s="235" t="s">
        <v>90</v>
      </c>
      <c r="B109" s="236" t="s">
        <v>91</v>
      </c>
      <c r="C109" s="237" t="s">
        <v>268</v>
      </c>
      <c r="D109" s="237"/>
      <c r="E109" s="238">
        <v>1355</v>
      </c>
      <c r="F109" s="239">
        <v>1218</v>
      </c>
      <c r="G109" s="240">
        <v>137</v>
      </c>
      <c r="I109" s="241">
        <f t="shared" si="4"/>
        <v>0.89889298892988934</v>
      </c>
      <c r="J109" s="242">
        <f t="shared" si="5"/>
        <v>0.10110701107011071</v>
      </c>
      <c r="L109" s="243">
        <v>489</v>
      </c>
      <c r="M109" s="243">
        <v>432</v>
      </c>
      <c r="N109" s="243">
        <v>57</v>
      </c>
      <c r="P109" s="244">
        <f t="shared" si="6"/>
        <v>0.8834355828220859</v>
      </c>
      <c r="Q109" s="244">
        <f t="shared" si="7"/>
        <v>0.1165644171779141</v>
      </c>
    </row>
    <row r="110" spans="1:17" x14ac:dyDescent="0.2">
      <c r="A110" s="235" t="s">
        <v>106</v>
      </c>
      <c r="B110" s="236" t="s">
        <v>107</v>
      </c>
      <c r="C110" s="237" t="s">
        <v>264</v>
      </c>
      <c r="D110" s="237"/>
      <c r="E110" s="238">
        <v>25384</v>
      </c>
      <c r="F110" s="239">
        <v>22545</v>
      </c>
      <c r="G110" s="240">
        <v>2839</v>
      </c>
      <c r="I110" s="241">
        <f t="shared" si="4"/>
        <v>0.88815789473684215</v>
      </c>
      <c r="J110" s="242">
        <f t="shared" si="5"/>
        <v>0.1118421052631579</v>
      </c>
      <c r="L110" s="243">
        <v>9354</v>
      </c>
      <c r="M110" s="243">
        <v>8280</v>
      </c>
      <c r="N110" s="243">
        <v>1074</v>
      </c>
      <c r="P110" s="244">
        <f t="shared" si="6"/>
        <v>0.88518280949326489</v>
      </c>
      <c r="Q110" s="244">
        <f t="shared" si="7"/>
        <v>0.11481719050673508</v>
      </c>
    </row>
    <row r="111" spans="1:17" x14ac:dyDescent="0.2">
      <c r="A111" s="235" t="s">
        <v>116</v>
      </c>
      <c r="B111" s="236" t="s">
        <v>117</v>
      </c>
      <c r="C111" s="237" t="s">
        <v>266</v>
      </c>
      <c r="D111" s="237"/>
      <c r="E111" s="238">
        <v>3847</v>
      </c>
      <c r="F111" s="239">
        <v>3220</v>
      </c>
      <c r="G111" s="240">
        <v>627</v>
      </c>
      <c r="I111" s="241">
        <f t="shared" si="4"/>
        <v>0.8370158565115674</v>
      </c>
      <c r="J111" s="242">
        <f t="shared" si="5"/>
        <v>0.16298414348843254</v>
      </c>
      <c r="L111" s="243">
        <v>1388</v>
      </c>
      <c r="M111" s="243">
        <v>1087</v>
      </c>
      <c r="N111" s="243">
        <v>301</v>
      </c>
      <c r="P111" s="244">
        <f t="shared" si="6"/>
        <v>0.7831412103746398</v>
      </c>
      <c r="Q111" s="244">
        <f t="shared" si="7"/>
        <v>0.21685878962536023</v>
      </c>
    </row>
    <row r="112" spans="1:17" x14ac:dyDescent="0.2">
      <c r="A112" s="235" t="s">
        <v>138</v>
      </c>
      <c r="B112" s="236" t="s">
        <v>139</v>
      </c>
      <c r="C112" s="237" t="s">
        <v>265</v>
      </c>
      <c r="D112" s="237"/>
      <c r="E112" s="238">
        <v>11948</v>
      </c>
      <c r="F112" s="239">
        <v>10598</v>
      </c>
      <c r="G112" s="240">
        <v>1350</v>
      </c>
      <c r="I112" s="241">
        <f t="shared" si="4"/>
        <v>0.88701037830599261</v>
      </c>
      <c r="J112" s="242">
        <f t="shared" si="5"/>
        <v>0.11298962169400736</v>
      </c>
      <c r="L112" s="243">
        <v>4394</v>
      </c>
      <c r="M112" s="243">
        <v>3862</v>
      </c>
      <c r="N112" s="243">
        <v>532</v>
      </c>
      <c r="P112" s="244">
        <f t="shared" si="6"/>
        <v>0.87892580791989072</v>
      </c>
      <c r="Q112" s="244">
        <f t="shared" si="7"/>
        <v>0.12107419208010924</v>
      </c>
    </row>
    <row r="113" spans="1:17" x14ac:dyDescent="0.2">
      <c r="A113" s="235" t="s">
        <v>142</v>
      </c>
      <c r="B113" s="236" t="s">
        <v>143</v>
      </c>
      <c r="C113" s="237" t="s">
        <v>267</v>
      </c>
      <c r="D113" s="237"/>
      <c r="E113" s="238">
        <v>7239</v>
      </c>
      <c r="F113" s="239">
        <v>6439</v>
      </c>
      <c r="G113" s="240">
        <v>800</v>
      </c>
      <c r="I113" s="241">
        <f t="shared" si="4"/>
        <v>0.88948749827324214</v>
      </c>
      <c r="J113" s="242">
        <f t="shared" si="5"/>
        <v>0.11051250172675783</v>
      </c>
      <c r="L113" s="243">
        <v>3701</v>
      </c>
      <c r="M113" s="243">
        <v>3336</v>
      </c>
      <c r="N113" s="243">
        <v>365</v>
      </c>
      <c r="P113" s="244">
        <f t="shared" si="6"/>
        <v>0.90137800594433937</v>
      </c>
      <c r="Q113" s="244">
        <f t="shared" si="7"/>
        <v>9.8621994055660633E-2</v>
      </c>
    </row>
    <row r="114" spans="1:17" x14ac:dyDescent="0.2">
      <c r="A114" s="235" t="s">
        <v>144</v>
      </c>
      <c r="B114" s="236" t="s">
        <v>145</v>
      </c>
      <c r="C114" s="237" t="s">
        <v>267</v>
      </c>
      <c r="D114" s="237"/>
      <c r="E114" s="238">
        <v>2654</v>
      </c>
      <c r="F114" s="239">
        <v>2314</v>
      </c>
      <c r="G114" s="240">
        <v>340</v>
      </c>
      <c r="I114" s="241">
        <f t="shared" si="4"/>
        <v>0.87189148455162024</v>
      </c>
      <c r="J114" s="242">
        <f t="shared" si="5"/>
        <v>0.12810851544837981</v>
      </c>
      <c r="L114" s="243">
        <v>1470</v>
      </c>
      <c r="M114" s="243">
        <v>1327</v>
      </c>
      <c r="N114" s="243">
        <v>143</v>
      </c>
      <c r="P114" s="244">
        <f t="shared" si="6"/>
        <v>0.90272108843537413</v>
      </c>
      <c r="Q114" s="244">
        <f t="shared" si="7"/>
        <v>9.7278911564625856E-2</v>
      </c>
    </row>
    <row r="115" spans="1:17" x14ac:dyDescent="0.2">
      <c r="A115" s="235" t="s">
        <v>158</v>
      </c>
      <c r="B115" s="236" t="s">
        <v>159</v>
      </c>
      <c r="C115" s="237" t="s">
        <v>264</v>
      </c>
      <c r="D115" s="237"/>
      <c r="E115" s="238">
        <v>32304</v>
      </c>
      <c r="F115" s="239">
        <v>28003</v>
      </c>
      <c r="G115" s="240">
        <v>4301</v>
      </c>
      <c r="I115" s="241">
        <f t="shared" si="4"/>
        <v>0.86685859336305104</v>
      </c>
      <c r="J115" s="242">
        <f t="shared" si="5"/>
        <v>0.13314140663694898</v>
      </c>
      <c r="L115" s="243">
        <v>13357</v>
      </c>
      <c r="M115" s="243">
        <v>11608</v>
      </c>
      <c r="N115" s="243">
        <v>1749</v>
      </c>
      <c r="P115" s="244">
        <f t="shared" si="6"/>
        <v>0.86905742307404354</v>
      </c>
      <c r="Q115" s="244">
        <f t="shared" si="7"/>
        <v>0.13094257692595643</v>
      </c>
    </row>
    <row r="116" spans="1:17" x14ac:dyDescent="0.2">
      <c r="A116" s="235" t="s">
        <v>160</v>
      </c>
      <c r="B116" s="236" t="s">
        <v>161</v>
      </c>
      <c r="C116" s="237" t="s">
        <v>264</v>
      </c>
      <c r="D116" s="237"/>
      <c r="E116" s="238">
        <v>35173</v>
      </c>
      <c r="F116" s="239">
        <v>29572</v>
      </c>
      <c r="G116" s="240">
        <v>5601</v>
      </c>
      <c r="I116" s="241">
        <f t="shared" si="4"/>
        <v>0.84075853637733489</v>
      </c>
      <c r="J116" s="242">
        <f t="shared" si="5"/>
        <v>0.15924146362266511</v>
      </c>
      <c r="L116" s="243">
        <v>13805</v>
      </c>
      <c r="M116" s="243">
        <v>11821</v>
      </c>
      <c r="N116" s="243">
        <v>1984</v>
      </c>
      <c r="P116" s="244">
        <f t="shared" si="6"/>
        <v>0.856283955088736</v>
      </c>
      <c r="Q116" s="244">
        <f t="shared" si="7"/>
        <v>0.14371604491126402</v>
      </c>
    </row>
    <row r="117" spans="1:17" x14ac:dyDescent="0.2">
      <c r="A117" s="235" t="s">
        <v>166</v>
      </c>
      <c r="B117" s="236" t="s">
        <v>167</v>
      </c>
      <c r="C117" s="237" t="s">
        <v>268</v>
      </c>
      <c r="D117" s="237"/>
      <c r="E117" s="238">
        <v>747</v>
      </c>
      <c r="F117" s="239">
        <v>648</v>
      </c>
      <c r="G117" s="240">
        <v>99</v>
      </c>
      <c r="I117" s="241">
        <f t="shared" si="4"/>
        <v>0.86746987951807231</v>
      </c>
      <c r="J117" s="242">
        <f t="shared" si="5"/>
        <v>0.13253012048192772</v>
      </c>
      <c r="L117" s="243">
        <v>270</v>
      </c>
      <c r="M117" s="243">
        <v>229</v>
      </c>
      <c r="N117" s="243">
        <v>41</v>
      </c>
      <c r="P117" s="244">
        <f t="shared" si="6"/>
        <v>0.8481481481481481</v>
      </c>
      <c r="Q117" s="244">
        <f t="shared" si="7"/>
        <v>0.15185185185185185</v>
      </c>
    </row>
    <row r="118" spans="1:17" x14ac:dyDescent="0.2">
      <c r="A118" s="235" t="s">
        <v>176</v>
      </c>
      <c r="B118" s="236" t="s">
        <v>177</v>
      </c>
      <c r="C118" s="237" t="s">
        <v>266</v>
      </c>
      <c r="D118" s="237"/>
      <c r="E118" s="238">
        <v>4395</v>
      </c>
      <c r="F118" s="239">
        <v>3408</v>
      </c>
      <c r="G118" s="240">
        <v>987</v>
      </c>
      <c r="I118" s="241">
        <f t="shared" si="4"/>
        <v>0.7754266211604095</v>
      </c>
      <c r="J118" s="242">
        <f t="shared" si="5"/>
        <v>0.22457337883959044</v>
      </c>
      <c r="L118" s="243">
        <v>1322</v>
      </c>
      <c r="M118" s="243">
        <v>895</v>
      </c>
      <c r="N118" s="243">
        <v>427</v>
      </c>
      <c r="P118" s="244">
        <f t="shared" si="6"/>
        <v>0.67700453857791221</v>
      </c>
      <c r="Q118" s="244">
        <f t="shared" si="7"/>
        <v>0.32299546142208774</v>
      </c>
    </row>
    <row r="119" spans="1:17" x14ac:dyDescent="0.2">
      <c r="A119" s="235" t="s">
        <v>180</v>
      </c>
      <c r="B119" s="236" t="s">
        <v>181</v>
      </c>
      <c r="C119" s="237" t="s">
        <v>264</v>
      </c>
      <c r="D119" s="237"/>
      <c r="E119" s="238">
        <v>16082</v>
      </c>
      <c r="F119" s="239">
        <v>13929</v>
      </c>
      <c r="G119" s="240">
        <v>2153</v>
      </c>
      <c r="I119" s="241">
        <f t="shared" si="4"/>
        <v>0.86612361646561375</v>
      </c>
      <c r="J119" s="242">
        <f t="shared" si="5"/>
        <v>0.13387638353438627</v>
      </c>
      <c r="L119" s="243">
        <v>5886</v>
      </c>
      <c r="M119" s="243">
        <v>5014</v>
      </c>
      <c r="N119" s="243">
        <v>872</v>
      </c>
      <c r="P119" s="244">
        <f t="shared" si="6"/>
        <v>0.85185185185185186</v>
      </c>
      <c r="Q119" s="244">
        <f t="shared" si="7"/>
        <v>0.14814814814814814</v>
      </c>
    </row>
    <row r="120" spans="1:17" x14ac:dyDescent="0.2">
      <c r="A120" s="235" t="s">
        <v>192</v>
      </c>
      <c r="B120" s="236" t="s">
        <v>193</v>
      </c>
      <c r="C120" s="237" t="s">
        <v>268</v>
      </c>
      <c r="D120" s="237"/>
      <c r="E120" s="238">
        <v>2056</v>
      </c>
      <c r="F120" s="239">
        <v>1742</v>
      </c>
      <c r="G120" s="240">
        <v>314</v>
      </c>
      <c r="I120" s="241">
        <f t="shared" si="4"/>
        <v>0.84727626459143968</v>
      </c>
      <c r="J120" s="242">
        <f t="shared" si="5"/>
        <v>0.15272373540856032</v>
      </c>
      <c r="L120" s="243">
        <v>738</v>
      </c>
      <c r="M120" s="243">
        <v>646</v>
      </c>
      <c r="N120" s="243">
        <v>92</v>
      </c>
      <c r="P120" s="244">
        <f t="shared" si="6"/>
        <v>0.87533875338753386</v>
      </c>
      <c r="Q120" s="244">
        <f t="shared" si="7"/>
        <v>0.12466124661246612</v>
      </c>
    </row>
    <row r="121" spans="1:17" x14ac:dyDescent="0.2">
      <c r="A121" s="235" t="s">
        <v>196</v>
      </c>
      <c r="B121" s="236" t="s">
        <v>312</v>
      </c>
      <c r="C121" s="237" t="s">
        <v>266</v>
      </c>
      <c r="D121" s="237"/>
      <c r="E121" s="238">
        <v>27273</v>
      </c>
      <c r="F121" s="239">
        <v>20914</v>
      </c>
      <c r="G121" s="240">
        <v>6359</v>
      </c>
      <c r="I121" s="241">
        <f t="shared" si="4"/>
        <v>0.76683899827668389</v>
      </c>
      <c r="J121" s="242">
        <f t="shared" si="5"/>
        <v>0.23316100172331611</v>
      </c>
      <c r="L121" s="243">
        <v>9095</v>
      </c>
      <c r="M121" s="243">
        <v>7239</v>
      </c>
      <c r="N121" s="243">
        <v>1856</v>
      </c>
      <c r="P121" s="244">
        <f t="shared" si="6"/>
        <v>0.79593183067619566</v>
      </c>
      <c r="Q121" s="244">
        <f t="shared" si="7"/>
        <v>0.20406816932380428</v>
      </c>
    </row>
    <row r="122" spans="1:17" x14ac:dyDescent="0.2">
      <c r="A122" s="235" t="s">
        <v>200</v>
      </c>
      <c r="B122" s="236" t="s">
        <v>313</v>
      </c>
      <c r="C122" s="237" t="s">
        <v>265</v>
      </c>
      <c r="D122" s="237"/>
      <c r="E122" s="238">
        <v>17064</v>
      </c>
      <c r="F122" s="239">
        <v>14014</v>
      </c>
      <c r="G122" s="240">
        <v>3050</v>
      </c>
      <c r="I122" s="241">
        <f t="shared" si="4"/>
        <v>0.82126113455227379</v>
      </c>
      <c r="J122" s="242">
        <f t="shared" si="5"/>
        <v>0.17873886544772621</v>
      </c>
      <c r="L122" s="243">
        <v>6061</v>
      </c>
      <c r="M122" s="243">
        <v>4916</v>
      </c>
      <c r="N122" s="243">
        <v>1145</v>
      </c>
      <c r="P122" s="244">
        <f t="shared" si="6"/>
        <v>0.81108727932684377</v>
      </c>
      <c r="Q122" s="244">
        <f t="shared" si="7"/>
        <v>0.18891272067315623</v>
      </c>
    </row>
    <row r="123" spans="1:17" x14ac:dyDescent="0.2">
      <c r="A123" s="235" t="s">
        <v>222</v>
      </c>
      <c r="B123" s="236" t="s">
        <v>223</v>
      </c>
      <c r="C123" s="237" t="s">
        <v>264</v>
      </c>
      <c r="D123" s="237"/>
      <c r="E123" s="238">
        <v>18140</v>
      </c>
      <c r="F123" s="239">
        <v>16818</v>
      </c>
      <c r="G123" s="240">
        <v>1322</v>
      </c>
      <c r="I123" s="241">
        <f t="shared" si="4"/>
        <v>0.92712238147739801</v>
      </c>
      <c r="J123" s="242">
        <f t="shared" si="5"/>
        <v>7.2877618522601981E-2</v>
      </c>
      <c r="L123" s="243">
        <v>7711</v>
      </c>
      <c r="M123" s="243">
        <v>7175</v>
      </c>
      <c r="N123" s="243">
        <v>536</v>
      </c>
      <c r="P123" s="244">
        <f t="shared" si="6"/>
        <v>0.93048891194397609</v>
      </c>
      <c r="Q123" s="244">
        <f t="shared" si="7"/>
        <v>6.9511088056023865E-2</v>
      </c>
    </row>
    <row r="124" spans="1:17" x14ac:dyDescent="0.2">
      <c r="A124" s="235" t="s">
        <v>230</v>
      </c>
      <c r="B124" s="236" t="s">
        <v>231</v>
      </c>
      <c r="C124" s="237" t="s">
        <v>264</v>
      </c>
      <c r="D124" s="237"/>
      <c r="E124" s="238">
        <v>92701</v>
      </c>
      <c r="F124" s="239">
        <v>83732</v>
      </c>
      <c r="G124" s="240">
        <v>8969</v>
      </c>
      <c r="I124" s="241">
        <f t="shared" si="4"/>
        <v>0.90324807715127131</v>
      </c>
      <c r="J124" s="242">
        <f t="shared" si="5"/>
        <v>9.6751922848728703E-2</v>
      </c>
      <c r="L124" s="243">
        <v>39373</v>
      </c>
      <c r="M124" s="243">
        <v>36360</v>
      </c>
      <c r="N124" s="243">
        <v>3013</v>
      </c>
      <c r="P124" s="244">
        <f t="shared" si="6"/>
        <v>0.92347547811952357</v>
      </c>
      <c r="Q124" s="244">
        <f t="shared" si="7"/>
        <v>7.6524521880476468E-2</v>
      </c>
    </row>
    <row r="125" spans="1:17" x14ac:dyDescent="0.2">
      <c r="A125" s="235" t="s">
        <v>238</v>
      </c>
      <c r="B125" s="236" t="s">
        <v>239</v>
      </c>
      <c r="C125" s="237" t="s">
        <v>264</v>
      </c>
      <c r="D125" s="237"/>
      <c r="E125" s="238">
        <v>1929</v>
      </c>
      <c r="F125" s="239">
        <v>1680</v>
      </c>
      <c r="G125" s="240">
        <v>249</v>
      </c>
      <c r="I125" s="241">
        <f t="shared" si="4"/>
        <v>0.87091757387247282</v>
      </c>
      <c r="J125" s="242">
        <f t="shared" si="5"/>
        <v>0.12908242612752721</v>
      </c>
      <c r="L125" s="243">
        <v>484</v>
      </c>
      <c r="M125" s="243">
        <v>439</v>
      </c>
      <c r="N125" s="243">
        <v>45</v>
      </c>
      <c r="P125" s="244">
        <f t="shared" si="6"/>
        <v>0.90702479338842978</v>
      </c>
      <c r="Q125" s="244">
        <f t="shared" si="7"/>
        <v>9.2975206611570244E-2</v>
      </c>
    </row>
    <row r="126" spans="1:17" x14ac:dyDescent="0.2">
      <c r="A126" s="245" t="s">
        <v>240</v>
      </c>
      <c r="B126" s="246" t="s">
        <v>241</v>
      </c>
      <c r="C126" s="247" t="s">
        <v>267</v>
      </c>
      <c r="D126" s="237"/>
      <c r="E126" s="248">
        <v>4836</v>
      </c>
      <c r="F126" s="249">
        <v>4060</v>
      </c>
      <c r="G126" s="250">
        <v>776</v>
      </c>
      <c r="I126" s="251">
        <f t="shared" si="4"/>
        <v>0.8395368072787428</v>
      </c>
      <c r="J126" s="252">
        <f t="shared" si="5"/>
        <v>0.16046319272125723</v>
      </c>
      <c r="L126" s="243">
        <v>1919</v>
      </c>
      <c r="M126" s="243">
        <v>1614</v>
      </c>
      <c r="N126" s="243">
        <v>305</v>
      </c>
      <c r="P126" s="244">
        <f t="shared" si="6"/>
        <v>0.84106305367378842</v>
      </c>
      <c r="Q126" s="244">
        <f t="shared" si="7"/>
        <v>0.15893694632621158</v>
      </c>
    </row>
    <row r="127" spans="1:17" x14ac:dyDescent="0.2">
      <c r="A127" s="235"/>
      <c r="B127" s="236"/>
      <c r="C127" s="237"/>
      <c r="D127" s="237"/>
      <c r="E127" s="304"/>
      <c r="F127" s="304"/>
      <c r="G127" s="304"/>
      <c r="I127" s="305"/>
      <c r="J127" s="305"/>
      <c r="L127" s="243"/>
      <c r="M127" s="243"/>
      <c r="N127" s="243"/>
      <c r="P127" s="244"/>
      <c r="Q127" s="244"/>
    </row>
    <row r="128" spans="1:17" x14ac:dyDescent="0.2">
      <c r="A128" s="306" t="s">
        <v>725</v>
      </c>
      <c r="B128" s="236"/>
      <c r="C128" s="237"/>
      <c r="D128" s="237"/>
      <c r="E128" s="304"/>
      <c r="F128" s="304"/>
      <c r="G128" s="304"/>
      <c r="I128" s="305"/>
      <c r="J128" s="305"/>
      <c r="L128" s="243"/>
      <c r="M128" s="243"/>
      <c r="N128" s="243"/>
      <c r="P128" s="244"/>
      <c r="Q128" s="244"/>
    </row>
    <row r="129" spans="1:17" x14ac:dyDescent="0.2">
      <c r="A129" s="235" t="s">
        <v>266</v>
      </c>
      <c r="C129" s="237"/>
      <c r="D129" s="237"/>
      <c r="E129" s="304">
        <f>E10+E21+E23+E25+E27+E31+E34+E38+E43+E48+E49+E54+E56+E57+E61+E65+E68+E70+E71+E76+E77+E82+E98+E111+E118+E121</f>
        <v>268921</v>
      </c>
      <c r="F129" s="304">
        <f>F10+F21+F23+F25+F27+F31+F34+F38+F43+F48+F49+F54+F56+F57+F61+F65+F68+F70+F71+F76+F77+F82+F98+F111+F118+F121</f>
        <v>240768</v>
      </c>
      <c r="G129" s="304">
        <f>G10+G21+G23+G25+G27+G31+G34+G38+G43+G48+G49+G54+G56+G57+G61+G65+G68+G70+G71+G76+G77+G82+G98+G111+G118+G121</f>
        <v>28153</v>
      </c>
      <c r="I129" s="305">
        <f>F129/E129</f>
        <v>0.89531126241535619</v>
      </c>
      <c r="J129" s="305">
        <f>G129/E129</f>
        <v>0.10468873758464382</v>
      </c>
      <c r="L129" s="243">
        <f>L10+L21+L23+L25+L27+L31+L34+L38+L43+L48+L49+L54+L56+L57+L61+L65+L68+L70+L71+L76+L77+L82+L98+L111+L118+L121</f>
        <v>107151</v>
      </c>
      <c r="M129" s="243">
        <f>M10+M21+M23+M25+M27+M31+M34+M38+M43+M48+M49+M54+M56+M57+M61+M65+M68+M70+M71+M76+M77+M82+M98+M111+M118+M121</f>
        <v>96952</v>
      </c>
      <c r="N129" s="243">
        <f>N10+N21+N23+N25+N27+N31+N34+N38+N43+N48+N49+N54+N56+N57+N61+N65+N68+N70+N71+N76+N77+N82+N98+N111+N118+N121</f>
        <v>10199</v>
      </c>
      <c r="P129" s="244">
        <f>M129/L129</f>
        <v>0.90481656727422044</v>
      </c>
      <c r="Q129" s="244">
        <f>N129/L129</f>
        <v>9.5183432725779504E-2</v>
      </c>
    </row>
    <row r="130" spans="1:17" x14ac:dyDescent="0.2">
      <c r="A130" s="235" t="s">
        <v>264</v>
      </c>
      <c r="C130" s="237"/>
      <c r="D130" s="237"/>
      <c r="E130" s="304">
        <f>E7+E19+E33+E42+E46+E52+E53+E63+E69+E78+E90+E93+E94+E124+E101+E105+E107+E110+E115+E116+E119+E123+E125</f>
        <v>363407</v>
      </c>
      <c r="F130" s="304">
        <f>F7+F19+F33+F42+F46+F52+F53+F63+F69+F78+F90+F93+F94+F124+F101+F105+F107+F110+F115+F116+F119+F123+F125</f>
        <v>327286</v>
      </c>
      <c r="G130" s="304">
        <f>G7+G19+G33+G42+G46+G52+G53+G63+G69+G78+G90+G93+G94+G124+G101+G105+G107+G110+G115+G116+G119+G123+G125</f>
        <v>36121</v>
      </c>
      <c r="I130" s="305">
        <f>F130/E130</f>
        <v>0.90060455632390135</v>
      </c>
      <c r="J130" s="305">
        <f>G130/E130</f>
        <v>9.9395443676098705E-2</v>
      </c>
      <c r="L130" s="243">
        <f>L7+L19+L33+L42+L46+L52+L53+L63+L69+L78+L90+L93+L94+L124+L101+L105+L107+L110+L115+L116+L119+L123+L125</f>
        <v>144986</v>
      </c>
      <c r="M130" s="243">
        <f>M7+M19+M33+M42+M46+M52+M53+M63+M69+M78+M90+M93+M94+M124+M101+M105+M107+M110+M115+M116+M119+M123+M125</f>
        <v>131552</v>
      </c>
      <c r="N130" s="243">
        <f>N7+N19+N33+N42+N46+N52+N53+N63+N69+N78+N90+N93+N94+N124+N101+N105+N107+N110+N115+N116+N119+N123+N125</f>
        <v>13434</v>
      </c>
      <c r="P130" s="244">
        <f>M130/L130</f>
        <v>0.90734277792338569</v>
      </c>
      <c r="Q130" s="244">
        <f>N130/L130</f>
        <v>9.2657222076614296E-2</v>
      </c>
    </row>
    <row r="131" spans="1:17" x14ac:dyDescent="0.2">
      <c r="A131" s="235" t="s">
        <v>267</v>
      </c>
      <c r="C131" s="237"/>
      <c r="D131" s="237"/>
      <c r="E131" s="304">
        <f>E13+E28+E30+E35+E36+E40+E45+E55+E59+E60+E62+E72+E73+E79+E81+E85+E88+E91+E92+E96+E102+E108+E113+E114+E126</f>
        <v>671538</v>
      </c>
      <c r="F131" s="304">
        <f>F13+F28+F30+F35+F36+F40+F45+F55+F59+F60+F62+F72+F73+F79+F81+F85+F88+F91+F92+F96+F102+F108+F113+F114+F126</f>
        <v>618061</v>
      </c>
      <c r="G131" s="304">
        <f>G13+G28+G30+G35+G36+G40+G45+G55+G59+G60+G62+G72+G73+G79+G81+G85+G88+G91+G92+G96+G102+G108+G113+G114+G126</f>
        <v>53477</v>
      </c>
      <c r="I131" s="305">
        <f>F131/E131</f>
        <v>0.92036638284058381</v>
      </c>
      <c r="J131" s="305">
        <f>G131/E131</f>
        <v>7.9633617159416151E-2</v>
      </c>
      <c r="L131" s="243">
        <f>L13+L28+L30+L35+L36+L40+L45+L55+L59+L60+L62+L72+L73+L79+L81+L85+L88+L91+L92+L96+L102+L108+L113+L114+L126</f>
        <v>313980</v>
      </c>
      <c r="M131" s="243">
        <f>M13+M28+M30+M35+M36+M40+M45+M55+M59+M60+M62+M72+M73+M79+M81+M85+M88+M91+M92+M96+M102+M108+M113+M114+M126</f>
        <v>297413</v>
      </c>
      <c r="N131" s="243">
        <f>N13+N28+N30+N35+N36+N40+N45+N55+N59+N60+N62+N72+N73+N79+N81+N85+N88+N91+N92+N96+N102+N108+N113+N114+N126</f>
        <v>16567</v>
      </c>
      <c r="P131" s="244">
        <f>M131/L131</f>
        <v>0.94723549270654184</v>
      </c>
      <c r="Q131" s="244">
        <f>N131/L131</f>
        <v>5.2764507293458184E-2</v>
      </c>
    </row>
    <row r="132" spans="1:17" x14ac:dyDescent="0.2">
      <c r="A132" s="235" t="s">
        <v>265</v>
      </c>
      <c r="C132" s="237"/>
      <c r="D132" s="237"/>
      <c r="E132" s="304">
        <f>E8+E9+E11+E12+E14+E15+E16+E18+E22+E26+E29+E39+E47+E50+E51+E64+E67+E75+E83+E84+E104+E106+E112+E122</f>
        <v>250573</v>
      </c>
      <c r="F132" s="304">
        <f>F8+F9+F11+F12+F14+F15+F16+F18+F22+F26+F29+F39+F47+F50+F51+F64+F67+F75+F83+F84+F104+F106+F112+F122</f>
        <v>226498</v>
      </c>
      <c r="G132" s="304">
        <f>G8+G9+G11+G12+G14+G15+G16+G18+G22+G26+G29+G39+G47+G50+G51+G64+G67+G75+G83+G84+G104+G106+G112+G122</f>
        <v>24075</v>
      </c>
      <c r="I132" s="305">
        <f>F132/E132</f>
        <v>0.90392021486752361</v>
      </c>
      <c r="J132" s="305">
        <f>G132/E132</f>
        <v>9.6079785132476364E-2</v>
      </c>
      <c r="L132" s="243">
        <f>L8+L9+L11+L12+L14+L15+L16+L18+L22+L26+L29+L39+L47+L50+L51+L64+L67+L75+L83+L84+L104+L106+L112+L122</f>
        <v>87063</v>
      </c>
      <c r="M132" s="243">
        <f>M8+M9+M11+M12+M14+M15+M16+M18+M22+M26+M29+M39+M47+M50+M51+M64+M67+M75+M83+M84+M104+M106+M112+M122</f>
        <v>78016</v>
      </c>
      <c r="N132" s="243">
        <f>N8+N9+N11+N12+N14+N15+N16+N18+N22+N26+N29+N39+N47+N50+N51+N64+N67+N75+N83+N84+N104+N106+N112+N122</f>
        <v>9047</v>
      </c>
      <c r="P132" s="244">
        <f>M132/L132</f>
        <v>0.89608674178468462</v>
      </c>
      <c r="Q132" s="244">
        <f>N132/L132</f>
        <v>0.10391325821531534</v>
      </c>
    </row>
    <row r="133" spans="1:17" x14ac:dyDescent="0.2">
      <c r="A133" s="235" t="s">
        <v>268</v>
      </c>
      <c r="C133" s="237"/>
      <c r="D133" s="237"/>
      <c r="E133" s="304">
        <f>E17+E20+E24+E32+E37+E41+E44+E58+E66+E74+E80+E86+E87+E89+E95+E97+E99+E100+E103+E109+E117+E120</f>
        <v>133729</v>
      </c>
      <c r="F133" s="304">
        <f>F17+F20+F24+F32+F37+F41+F44+F58+F66+F74+F80+F86+F87+F89+F95+F97+F99+F100+F103+F109+F117+F120</f>
        <v>122231</v>
      </c>
      <c r="G133" s="304">
        <f>G17+G20+G24+G32+G37+G41+G44+G58+G66+G74+G80+G86+G87+G89+G95+G97+G99+G100+G103+G109+G117+G120</f>
        <v>11498</v>
      </c>
      <c r="I133" s="305">
        <f>F133/E133</f>
        <v>0.91402014521906239</v>
      </c>
      <c r="J133" s="305">
        <f>G133/E133</f>
        <v>8.5979854780937573E-2</v>
      </c>
      <c r="L133" s="243">
        <f>L17+L20+L24+L32+L37+L41+L44+L58+L66+L74+L80+L86+L87+L89+L95+L97+L99+L100+L103+L109+L117+L120</f>
        <v>44993</v>
      </c>
      <c r="M133" s="243">
        <f>M17+M20+M24+M32+M37+M41+M44+M58+M66+M74+M80+M86+M87+M89+M95+M97+M99+M100+M103+M109+M117+M120</f>
        <v>40677</v>
      </c>
      <c r="N133" s="243">
        <f>N17+N20+N24+N32+N37+N41+N44+N58+N66+N74+N80+N86+N87+N89+N95+N97+N99+N100+N103+N109+N117+N120</f>
        <v>4316</v>
      </c>
      <c r="P133" s="244">
        <f>M133/L133</f>
        <v>0.90407396706154286</v>
      </c>
      <c r="Q133" s="244">
        <f>N133/L133</f>
        <v>9.5926032938457098E-2</v>
      </c>
    </row>
    <row r="134" spans="1:17" x14ac:dyDescent="0.2">
      <c r="A134" s="235"/>
      <c r="B134" s="236"/>
      <c r="C134" s="237"/>
      <c r="D134" s="237"/>
      <c r="E134" s="304"/>
      <c r="F134" s="304"/>
      <c r="G134" s="304"/>
      <c r="I134" s="305"/>
      <c r="J134" s="305"/>
      <c r="L134" s="243"/>
      <c r="M134" s="243"/>
      <c r="N134" s="243"/>
      <c r="P134" s="244"/>
      <c r="Q134" s="244"/>
    </row>
    <row r="135" spans="1:17" x14ac:dyDescent="0.2">
      <c r="A135" s="253" t="s">
        <v>647</v>
      </c>
      <c r="B135" s="254"/>
      <c r="C135" s="254"/>
      <c r="D135" s="254"/>
      <c r="E135" s="222"/>
      <c r="F135" s="222"/>
      <c r="G135" s="222"/>
      <c r="H135" s="222"/>
    </row>
    <row r="136" spans="1:17" x14ac:dyDescent="0.2">
      <c r="A136" s="254"/>
      <c r="B136" s="254"/>
      <c r="C136" s="254"/>
      <c r="D136" s="254"/>
      <c r="E136" s="222"/>
      <c r="F136" s="222"/>
      <c r="G136" s="222"/>
      <c r="H136" s="222"/>
    </row>
    <row r="137" spans="1:17" x14ac:dyDescent="0.2">
      <c r="A137" s="222" t="s">
        <v>248</v>
      </c>
      <c r="B137" s="255"/>
      <c r="C137" s="255"/>
      <c r="D137" s="255"/>
      <c r="E137" s="222"/>
      <c r="F137" s="222"/>
      <c r="G137" s="222"/>
      <c r="H137" s="222"/>
    </row>
    <row r="138" spans="1:17" x14ac:dyDescent="0.2">
      <c r="A138" s="222" t="s">
        <v>249</v>
      </c>
      <c r="B138" s="170" t="s">
        <v>250</v>
      </c>
      <c r="C138" s="256"/>
      <c r="D138" s="256"/>
      <c r="E138" s="222"/>
      <c r="F138" s="222"/>
      <c r="G138" s="222"/>
      <c r="H138" s="222"/>
    </row>
  </sheetData>
  <mergeCells count="4">
    <mergeCell ref="E4:G4"/>
    <mergeCell ref="I4:J4"/>
    <mergeCell ref="L4:N4"/>
    <mergeCell ref="P4:Q4"/>
  </mergeCells>
  <hyperlinks>
    <hyperlink ref="B138"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4" topLeftCell="A5" activePane="bottomLeft" state="frozen"/>
      <selection pane="bottomLeft" activeCell="B15" sqref="B15"/>
    </sheetView>
  </sheetViews>
  <sheetFormatPr defaultRowHeight="15.75" x14ac:dyDescent="0.25"/>
  <cols>
    <col min="1" max="1" width="9.125" style="844" customWidth="1"/>
    <col min="2" max="2" width="29.75" style="844" customWidth="1"/>
    <col min="3" max="3" width="12.5" style="844" customWidth="1"/>
    <col min="4" max="10" width="5.875" style="844" customWidth="1"/>
    <col min="11" max="16384" width="9" style="844"/>
  </cols>
  <sheetData>
    <row r="1" spans="1:10" x14ac:dyDescent="0.25">
      <c r="A1" s="861" t="s">
        <v>288</v>
      </c>
      <c r="B1" s="862"/>
      <c r="C1" s="862"/>
      <c r="D1" s="862"/>
      <c r="E1" s="862"/>
      <c r="F1" s="862"/>
      <c r="G1" s="862"/>
      <c r="H1" s="862"/>
      <c r="I1" s="862"/>
      <c r="J1" s="862"/>
    </row>
    <row r="2" spans="1:10" x14ac:dyDescent="0.25">
      <c r="A2" s="859"/>
      <c r="B2" s="860"/>
      <c r="C2" s="860"/>
      <c r="D2" s="860"/>
      <c r="E2" s="860"/>
      <c r="F2" s="860"/>
      <c r="G2" s="860"/>
      <c r="H2" s="860"/>
      <c r="I2" s="860"/>
      <c r="J2" s="860"/>
    </row>
    <row r="3" spans="1:10" s="846" customFormat="1" ht="18" x14ac:dyDescent="0.25">
      <c r="A3" s="855" t="s">
        <v>4</v>
      </c>
      <c r="B3" s="858" t="s">
        <v>5</v>
      </c>
      <c r="C3" s="855" t="s">
        <v>251</v>
      </c>
      <c r="D3" s="856" t="s">
        <v>274</v>
      </c>
      <c r="E3" s="856" t="s">
        <v>275</v>
      </c>
      <c r="F3" s="856" t="s">
        <v>276</v>
      </c>
      <c r="G3" s="856" t="s">
        <v>277</v>
      </c>
      <c r="H3" s="856" t="s">
        <v>278</v>
      </c>
      <c r="I3" s="856" t="s">
        <v>279</v>
      </c>
      <c r="J3" s="856" t="s">
        <v>801</v>
      </c>
    </row>
    <row r="4" spans="1:10" s="846" customFormat="1" x14ac:dyDescent="0.25">
      <c r="A4" s="864">
        <v>999</v>
      </c>
      <c r="B4" s="863" t="s">
        <v>9</v>
      </c>
      <c r="C4" s="864"/>
      <c r="D4" s="865">
        <v>0.46586525895923542</v>
      </c>
      <c r="E4" s="865">
        <v>0.51433899357406598</v>
      </c>
      <c r="F4" s="865">
        <v>0.52770533252457774</v>
      </c>
      <c r="G4" s="865">
        <v>0.48474833730191313</v>
      </c>
      <c r="H4" s="865">
        <v>0.54354690633463587</v>
      </c>
      <c r="I4" s="865">
        <v>0.65914620694302894</v>
      </c>
      <c r="J4" s="865">
        <v>0.74632806565018006</v>
      </c>
    </row>
    <row r="5" spans="1:10" ht="16.5" customHeight="1" x14ac:dyDescent="0.25">
      <c r="A5" s="866" t="s">
        <v>10</v>
      </c>
      <c r="B5" s="867" t="s">
        <v>11</v>
      </c>
      <c r="C5" s="867" t="s">
        <v>264</v>
      </c>
      <c r="D5" s="868">
        <v>0.45034688609228785</v>
      </c>
      <c r="E5" s="868">
        <v>0.41541191654119164</v>
      </c>
      <c r="F5" s="868">
        <v>0.49280769390208512</v>
      </c>
      <c r="G5" s="868">
        <v>0.44929031790861035</v>
      </c>
      <c r="H5" s="868">
        <v>0.41868038512365491</v>
      </c>
      <c r="I5" s="868">
        <v>0.48250582090491473</v>
      </c>
      <c r="J5" s="868">
        <v>0.54831036435718328</v>
      </c>
    </row>
    <row r="6" spans="1:10" ht="16.5" customHeight="1" x14ac:dyDescent="0.25">
      <c r="A6" s="866" t="s">
        <v>12</v>
      </c>
      <c r="B6" s="867" t="s">
        <v>13</v>
      </c>
      <c r="C6" s="867" t="s">
        <v>265</v>
      </c>
      <c r="D6" s="868">
        <v>0.28974198918019145</v>
      </c>
      <c r="E6" s="868">
        <v>0.36215757106609897</v>
      </c>
      <c r="F6" s="868">
        <v>0.36683244379750929</v>
      </c>
      <c r="G6" s="868">
        <v>0.29816299888101455</v>
      </c>
      <c r="H6" s="868">
        <v>0.4403373425667193</v>
      </c>
      <c r="I6" s="868">
        <v>0.5727736605515733</v>
      </c>
      <c r="J6" s="868">
        <v>0.66737941926861866</v>
      </c>
    </row>
    <row r="7" spans="1:10" ht="16.5" customHeight="1" x14ac:dyDescent="0.25">
      <c r="A7" s="866" t="s">
        <v>16</v>
      </c>
      <c r="B7" s="867" t="s">
        <v>289</v>
      </c>
      <c r="C7" s="867" t="s">
        <v>265</v>
      </c>
      <c r="D7" s="868">
        <v>0.62072503419972636</v>
      </c>
      <c r="E7" s="868">
        <v>0.66097366694780246</v>
      </c>
      <c r="F7" s="868">
        <v>0.63330286410725167</v>
      </c>
      <c r="G7" s="868">
        <v>0.62403965303593556</v>
      </c>
      <c r="H7" s="868">
        <v>0.79528931381336521</v>
      </c>
      <c r="I7" s="868">
        <v>0.75589098532494758</v>
      </c>
      <c r="J7" s="868">
        <v>0.8105157232704403</v>
      </c>
    </row>
    <row r="8" spans="1:10" ht="16.5" customHeight="1" x14ac:dyDescent="0.25">
      <c r="A8" s="866" t="s">
        <v>18</v>
      </c>
      <c r="B8" s="867" t="s">
        <v>19</v>
      </c>
      <c r="C8" s="867" t="s">
        <v>266</v>
      </c>
      <c r="D8" s="868">
        <v>0.54383460236886638</v>
      </c>
      <c r="E8" s="868">
        <v>0.64199873497786208</v>
      </c>
      <c r="F8" s="868">
        <v>0.69769330734243018</v>
      </c>
      <c r="G8" s="868">
        <v>0.62956827309236951</v>
      </c>
      <c r="H8" s="868">
        <v>0.72102102102102106</v>
      </c>
      <c r="I8" s="868">
        <v>1.0326826826826827</v>
      </c>
      <c r="J8" s="868">
        <v>1.1711711711711712</v>
      </c>
    </row>
    <row r="9" spans="1:10" ht="16.5" customHeight="1" x14ac:dyDescent="0.25">
      <c r="A9" s="866" t="s">
        <v>20</v>
      </c>
      <c r="B9" s="867" t="s">
        <v>21</v>
      </c>
      <c r="C9" s="867" t="s">
        <v>265</v>
      </c>
      <c r="D9" s="868">
        <v>0.53661899897854959</v>
      </c>
      <c r="E9" s="868">
        <v>0.59540025146689024</v>
      </c>
      <c r="F9" s="868">
        <v>0.56495648034815726</v>
      </c>
      <c r="G9" s="868">
        <v>0.49520328212721326</v>
      </c>
      <c r="H9" s="868">
        <v>0.51880858023526455</v>
      </c>
      <c r="I9" s="868">
        <v>0.64603384286343335</v>
      </c>
      <c r="J9" s="868">
        <v>0.73221362521230415</v>
      </c>
    </row>
    <row r="10" spans="1:10" ht="16.5" customHeight="1" x14ac:dyDescent="0.25">
      <c r="A10" s="866" t="s">
        <v>22</v>
      </c>
      <c r="B10" s="867" t="s">
        <v>23</v>
      </c>
      <c r="C10" s="867" t="s">
        <v>265</v>
      </c>
      <c r="D10" s="868">
        <v>0.61866638200967838</v>
      </c>
      <c r="E10" s="868">
        <v>0.68785181804351136</v>
      </c>
      <c r="F10" s="868">
        <v>0.62509960159362554</v>
      </c>
      <c r="G10" s="868">
        <v>0.62384844946152851</v>
      </c>
      <c r="H10" s="868">
        <v>0.69308385579937304</v>
      </c>
      <c r="I10" s="868">
        <v>0.80005877742946707</v>
      </c>
      <c r="J10" s="868">
        <v>0.9050156739811912</v>
      </c>
    </row>
    <row r="11" spans="1:10" ht="16.5" customHeight="1" x14ac:dyDescent="0.25">
      <c r="A11" s="866" t="s">
        <v>24</v>
      </c>
      <c r="B11" s="867" t="s">
        <v>25</v>
      </c>
      <c r="C11" s="867" t="s">
        <v>267</v>
      </c>
      <c r="D11" s="868">
        <v>0.20834828216561599</v>
      </c>
      <c r="E11" s="868">
        <v>0.20396186766439445</v>
      </c>
      <c r="F11" s="868">
        <v>0.20425436229537686</v>
      </c>
      <c r="G11" s="868">
        <v>0.19807410157147656</v>
      </c>
      <c r="H11" s="868">
        <v>0.21975252874174062</v>
      </c>
      <c r="I11" s="868">
        <v>0.27225824166090945</v>
      </c>
      <c r="J11" s="868">
        <v>0.31860551628846256</v>
      </c>
    </row>
    <row r="12" spans="1:10" ht="16.5" customHeight="1" x14ac:dyDescent="0.25">
      <c r="A12" s="866" t="s">
        <v>26</v>
      </c>
      <c r="B12" s="869" t="s">
        <v>686</v>
      </c>
      <c r="C12" s="867" t="s">
        <v>265</v>
      </c>
      <c r="D12" s="868">
        <v>0.47039166039371338</v>
      </c>
      <c r="E12" s="868">
        <v>0.52842846727345427</v>
      </c>
      <c r="F12" s="868">
        <v>0.51882973369220331</v>
      </c>
      <c r="G12" s="868">
        <v>0.50106524898950677</v>
      </c>
      <c r="H12" s="868">
        <v>0.67554376786319814</v>
      </c>
      <c r="I12" s="868">
        <v>0.74325394311775517</v>
      </c>
      <c r="J12" s="868">
        <v>0.83376195603977954</v>
      </c>
    </row>
    <row r="13" spans="1:10" ht="16.5" customHeight="1" x14ac:dyDescent="0.25">
      <c r="A13" s="866" t="s">
        <v>27</v>
      </c>
      <c r="B13" s="867" t="s">
        <v>28</v>
      </c>
      <c r="C13" s="867" t="s">
        <v>265</v>
      </c>
      <c r="D13" s="868">
        <v>0.30604288499025339</v>
      </c>
      <c r="E13" s="868">
        <v>0.31868898186889821</v>
      </c>
      <c r="F13" s="868">
        <v>0.33193407960199006</v>
      </c>
      <c r="G13" s="868">
        <v>0.35159010600706714</v>
      </c>
      <c r="H13" s="868">
        <v>0.45288624787775894</v>
      </c>
      <c r="I13" s="868">
        <v>0.55333899264289754</v>
      </c>
      <c r="J13" s="868">
        <v>0.59932088285229201</v>
      </c>
    </row>
    <row r="14" spans="1:10" ht="16.5" customHeight="1" x14ac:dyDescent="0.25">
      <c r="A14" s="866" t="s">
        <v>29</v>
      </c>
      <c r="B14" s="867" t="s">
        <v>924</v>
      </c>
      <c r="C14" s="867" t="s">
        <v>265</v>
      </c>
      <c r="D14" s="868">
        <v>0.41019570707070707</v>
      </c>
      <c r="E14" s="868">
        <v>0.46042944785276074</v>
      </c>
      <c r="F14" s="868">
        <v>0.48036295766817566</v>
      </c>
      <c r="G14" s="868">
        <v>0.41342153436511897</v>
      </c>
      <c r="H14" s="868">
        <v>0.55485123452817642</v>
      </c>
      <c r="I14" s="868">
        <v>0.64231493468282919</v>
      </c>
      <c r="J14" s="868">
        <v>0.74007296692950453</v>
      </c>
    </row>
    <row r="15" spans="1:10" ht="16.5" customHeight="1" x14ac:dyDescent="0.25">
      <c r="A15" s="866" t="s">
        <v>30</v>
      </c>
      <c r="B15" s="867" t="s">
        <v>31</v>
      </c>
      <c r="C15" s="867" t="s">
        <v>268</v>
      </c>
      <c r="D15" s="868">
        <v>0.41518136335209505</v>
      </c>
      <c r="E15" s="868">
        <v>0.39920919128618321</v>
      </c>
      <c r="F15" s="868">
        <v>0.46311600857055402</v>
      </c>
      <c r="G15" s="868">
        <v>0.4013104013104013</v>
      </c>
      <c r="H15" s="868">
        <v>0.39938370846730975</v>
      </c>
      <c r="I15" s="868">
        <v>0.41579581993569131</v>
      </c>
      <c r="J15" s="868">
        <v>0.47877813504823152</v>
      </c>
    </row>
    <row r="16" spans="1:10" ht="16.5" customHeight="1" x14ac:dyDescent="0.25">
      <c r="A16" s="866" t="s">
        <v>32</v>
      </c>
      <c r="B16" s="867" t="s">
        <v>33</v>
      </c>
      <c r="C16" s="867" t="s">
        <v>265</v>
      </c>
      <c r="D16" s="868">
        <v>0.29975908080059305</v>
      </c>
      <c r="E16" s="868">
        <v>0.32346189164370981</v>
      </c>
      <c r="F16" s="868">
        <v>0.31836191218498311</v>
      </c>
      <c r="G16" s="868">
        <v>0.31581740976645434</v>
      </c>
      <c r="H16" s="868">
        <v>0.34562989752863171</v>
      </c>
      <c r="I16" s="868">
        <v>0.47510548523206753</v>
      </c>
      <c r="J16" s="868">
        <v>0.56810126582278486</v>
      </c>
    </row>
    <row r="17" spans="1:10" ht="16.5" customHeight="1" x14ac:dyDescent="0.25">
      <c r="A17" s="866" t="s">
        <v>36</v>
      </c>
      <c r="B17" s="867" t="s">
        <v>37</v>
      </c>
      <c r="C17" s="867" t="s">
        <v>264</v>
      </c>
      <c r="D17" s="868">
        <v>0.62984946236559136</v>
      </c>
      <c r="E17" s="868">
        <v>0.64689051586299751</v>
      </c>
      <c r="F17" s="868">
        <v>0.70859442993907751</v>
      </c>
      <c r="G17" s="868">
        <v>0.61184065327742221</v>
      </c>
      <c r="H17" s="868">
        <v>0.66252915068080942</v>
      </c>
      <c r="I17" s="868">
        <v>0.75161739261265326</v>
      </c>
      <c r="J17" s="868">
        <v>0.81313473256601221</v>
      </c>
    </row>
    <row r="18" spans="1:10" ht="16.5" customHeight="1" x14ac:dyDescent="0.25">
      <c r="A18" s="866" t="s">
        <v>38</v>
      </c>
      <c r="B18" s="867" t="s">
        <v>39</v>
      </c>
      <c r="C18" s="867" t="s">
        <v>268</v>
      </c>
      <c r="D18" s="868">
        <v>0.63551368896415472</v>
      </c>
      <c r="E18" s="868">
        <v>0.54313809059912321</v>
      </c>
      <c r="F18" s="868">
        <v>0.60614453325854256</v>
      </c>
      <c r="G18" s="868">
        <v>0.59252760621373757</v>
      </c>
      <c r="H18" s="868">
        <v>0.60020406226271827</v>
      </c>
      <c r="I18" s="868">
        <v>0.63570140470766889</v>
      </c>
      <c r="J18" s="868">
        <v>0.66289863325740317</v>
      </c>
    </row>
    <row r="19" spans="1:10" ht="16.5" customHeight="1" x14ac:dyDescent="0.25">
      <c r="A19" s="866" t="s">
        <v>40</v>
      </c>
      <c r="B19" s="867" t="s">
        <v>41</v>
      </c>
      <c r="C19" s="867" t="s">
        <v>266</v>
      </c>
      <c r="D19" s="868">
        <v>0.54798572406375279</v>
      </c>
      <c r="E19" s="868">
        <v>0.51311605723370435</v>
      </c>
      <c r="F19" s="868">
        <v>0.6006150249059673</v>
      </c>
      <c r="G19" s="868">
        <v>0.53811708169506334</v>
      </c>
      <c r="H19" s="868">
        <v>0.60386139526310945</v>
      </c>
      <c r="I19" s="868">
        <v>0.75218873836512767</v>
      </c>
      <c r="J19" s="868">
        <v>0.84672380425767213</v>
      </c>
    </row>
    <row r="20" spans="1:10" ht="16.5" customHeight="1" x14ac:dyDescent="0.25">
      <c r="A20" s="866" t="s">
        <v>42</v>
      </c>
      <c r="B20" s="867" t="s">
        <v>43</v>
      </c>
      <c r="C20" s="867" t="s">
        <v>265</v>
      </c>
      <c r="D20" s="868">
        <v>0.54</v>
      </c>
      <c r="E20" s="868">
        <v>0.61437543767507008</v>
      </c>
      <c r="F20" s="868">
        <v>0.57307846678707608</v>
      </c>
      <c r="G20" s="868">
        <v>0.55848873126644549</v>
      </c>
      <c r="H20" s="868">
        <v>0.58974802181762309</v>
      </c>
      <c r="I20" s="868">
        <v>0.72430283475455171</v>
      </c>
      <c r="J20" s="868">
        <v>0.81011753860336488</v>
      </c>
    </row>
    <row r="21" spans="1:10" ht="16.5" customHeight="1" x14ac:dyDescent="0.25">
      <c r="A21" s="866" t="s">
        <v>44</v>
      </c>
      <c r="B21" s="867" t="s">
        <v>45</v>
      </c>
      <c r="C21" s="867" t="s">
        <v>266</v>
      </c>
      <c r="D21" s="868">
        <v>0.6696306094454243</v>
      </c>
      <c r="E21" s="868">
        <v>0.73873735825927056</v>
      </c>
      <c r="F21" s="868">
        <v>0.74314377898769912</v>
      </c>
      <c r="G21" s="868">
        <v>0.76818438116718357</v>
      </c>
      <c r="H21" s="868">
        <v>0.90231884057971012</v>
      </c>
      <c r="I21" s="868">
        <v>1.1741062801932367</v>
      </c>
      <c r="J21" s="868">
        <v>1.2823188405797101</v>
      </c>
    </row>
    <row r="22" spans="1:10" ht="16.5" customHeight="1" x14ac:dyDescent="0.25">
      <c r="A22" s="866" t="s">
        <v>46</v>
      </c>
      <c r="B22" s="867" t="s">
        <v>47</v>
      </c>
      <c r="C22" s="867" t="s">
        <v>268</v>
      </c>
      <c r="D22" s="868">
        <v>0.57748118953780003</v>
      </c>
      <c r="E22" s="868">
        <v>0.5329052969502408</v>
      </c>
      <c r="F22" s="868">
        <v>0.63190779496511984</v>
      </c>
      <c r="G22" s="868">
        <v>0.63223894208846332</v>
      </c>
      <c r="H22" s="868">
        <v>0.64257060333761229</v>
      </c>
      <c r="I22" s="868">
        <v>0.75583012409071459</v>
      </c>
      <c r="J22" s="868">
        <v>0.83080872913992299</v>
      </c>
    </row>
    <row r="23" spans="1:10" ht="16.5" customHeight="1" x14ac:dyDescent="0.25">
      <c r="A23" s="866" t="s">
        <v>48</v>
      </c>
      <c r="B23" s="867" t="s">
        <v>269</v>
      </c>
      <c r="C23" s="867" t="s">
        <v>266</v>
      </c>
      <c r="D23" s="868">
        <v>0.49942301351796903</v>
      </c>
      <c r="E23" s="868">
        <v>0.52976774615636246</v>
      </c>
      <c r="F23" s="868">
        <v>0.57137004260898061</v>
      </c>
      <c r="G23" s="868">
        <v>0.56529680365296808</v>
      </c>
      <c r="H23" s="868">
        <v>0.61650120336943437</v>
      </c>
      <c r="I23" s="868">
        <v>0.76022864019253911</v>
      </c>
      <c r="J23" s="868">
        <v>0.85451263537906141</v>
      </c>
    </row>
    <row r="24" spans="1:10" ht="16.5" customHeight="1" x14ac:dyDescent="0.25">
      <c r="A24" s="866" t="s">
        <v>50</v>
      </c>
      <c r="B24" s="867" t="s">
        <v>51</v>
      </c>
      <c r="C24" s="867" t="s">
        <v>265</v>
      </c>
      <c r="D24" s="868">
        <v>0.53851461548111901</v>
      </c>
      <c r="E24" s="868">
        <v>0.546844894026975</v>
      </c>
      <c r="F24" s="868">
        <v>0.58021452722397104</v>
      </c>
      <c r="G24" s="868">
        <v>0.53463681278250819</v>
      </c>
      <c r="H24" s="868">
        <v>0.65291975091058629</v>
      </c>
      <c r="I24" s="868">
        <v>0.76362942074961815</v>
      </c>
      <c r="J24" s="868">
        <v>0.79689813182939728</v>
      </c>
    </row>
    <row r="25" spans="1:10" ht="16.5" customHeight="1" x14ac:dyDescent="0.25">
      <c r="A25" s="866" t="s">
        <v>56</v>
      </c>
      <c r="B25" s="867" t="s">
        <v>295</v>
      </c>
      <c r="C25" s="867" t="s">
        <v>266</v>
      </c>
      <c r="D25" s="868">
        <v>0.42259082341095616</v>
      </c>
      <c r="E25" s="868">
        <v>0.51769905743894185</v>
      </c>
      <c r="F25" s="868">
        <v>0.59980428423950449</v>
      </c>
      <c r="G25" s="868">
        <v>0.53899600648945467</v>
      </c>
      <c r="H25" s="868">
        <v>0.65745087280781966</v>
      </c>
      <c r="I25" s="868">
        <v>0.86218112161508387</v>
      </c>
      <c r="J25" s="868">
        <v>1.021684383948535</v>
      </c>
    </row>
    <row r="26" spans="1:10" ht="16.5" customHeight="1" x14ac:dyDescent="0.25">
      <c r="A26" s="866" t="s">
        <v>58</v>
      </c>
      <c r="B26" s="867" t="s">
        <v>59</v>
      </c>
      <c r="C26" s="867" t="s">
        <v>267</v>
      </c>
      <c r="D26" s="868">
        <v>0.26273623664749385</v>
      </c>
      <c r="E26" s="868">
        <v>0.26749311294765843</v>
      </c>
      <c r="F26" s="868">
        <v>0.31091814754981151</v>
      </c>
      <c r="G26" s="868">
        <v>0.32128125805620006</v>
      </c>
      <c r="H26" s="868">
        <v>0.32996859578286225</v>
      </c>
      <c r="I26" s="868">
        <v>0.44599596231493943</v>
      </c>
      <c r="J26" s="868">
        <v>0.50107671601615078</v>
      </c>
    </row>
    <row r="27" spans="1:10" ht="16.5" customHeight="1" x14ac:dyDescent="0.25">
      <c r="A27" s="866" t="s">
        <v>60</v>
      </c>
      <c r="B27" s="867" t="s">
        <v>61</v>
      </c>
      <c r="C27" s="867" t="s">
        <v>265</v>
      </c>
      <c r="D27" s="868">
        <v>0.419157947184853</v>
      </c>
      <c r="E27" s="868">
        <v>0.45292439372325249</v>
      </c>
      <c r="F27" s="868">
        <v>0.46559945504087191</v>
      </c>
      <c r="G27" s="868">
        <v>0.45931244560487378</v>
      </c>
      <c r="H27" s="868">
        <v>0.47545219638242892</v>
      </c>
      <c r="I27" s="868">
        <v>0.64804048234280798</v>
      </c>
      <c r="J27" s="868">
        <v>0.68682170542635657</v>
      </c>
    </row>
    <row r="28" spans="1:10" ht="16.5" customHeight="1" x14ac:dyDescent="0.25">
      <c r="A28" s="866" t="s">
        <v>62</v>
      </c>
      <c r="B28" s="867" t="s">
        <v>63</v>
      </c>
      <c r="C28" s="867" t="s">
        <v>267</v>
      </c>
      <c r="D28" s="868">
        <v>0.38213125406107862</v>
      </c>
      <c r="E28" s="868">
        <v>0.42691159508786214</v>
      </c>
      <c r="F28" s="868">
        <v>0.45232248823409044</v>
      </c>
      <c r="G28" s="868">
        <v>0.47933333333333333</v>
      </c>
      <c r="H28" s="868">
        <v>0.61356440312584204</v>
      </c>
      <c r="I28" s="868">
        <v>0.89283548908649957</v>
      </c>
      <c r="J28" s="868">
        <v>1.0588520614389652</v>
      </c>
    </row>
    <row r="29" spans="1:10" ht="16.5" customHeight="1" x14ac:dyDescent="0.25">
      <c r="A29" s="866" t="s">
        <v>64</v>
      </c>
      <c r="B29" s="867" t="s">
        <v>65</v>
      </c>
      <c r="C29" s="867" t="s">
        <v>266</v>
      </c>
      <c r="D29" s="868">
        <v>0.65049415992812221</v>
      </c>
      <c r="E29" s="868">
        <v>0.64267103714910068</v>
      </c>
      <c r="F29" s="868">
        <v>0.67856517935258098</v>
      </c>
      <c r="G29" s="868">
        <v>0.64125722543352603</v>
      </c>
      <c r="H29" s="868">
        <v>0.70461095100864557</v>
      </c>
      <c r="I29" s="868">
        <v>0.87307877041306436</v>
      </c>
      <c r="J29" s="868">
        <v>0.94380403458213258</v>
      </c>
    </row>
    <row r="30" spans="1:10" ht="16.5" customHeight="1" x14ac:dyDescent="0.25">
      <c r="A30" s="866" t="s">
        <v>68</v>
      </c>
      <c r="B30" s="867" t="s">
        <v>69</v>
      </c>
      <c r="C30" s="867" t="s">
        <v>268</v>
      </c>
      <c r="D30" s="868">
        <v>0.63736176935229072</v>
      </c>
      <c r="E30" s="868">
        <v>0.56630824372759858</v>
      </c>
      <c r="F30" s="868">
        <v>0.65258724428399517</v>
      </c>
      <c r="G30" s="868">
        <v>0.55255913539967372</v>
      </c>
      <c r="H30" s="868">
        <v>0.55871133305590237</v>
      </c>
      <c r="I30" s="868">
        <v>0.60682827021778329</v>
      </c>
      <c r="J30" s="868">
        <v>0.64565126924677485</v>
      </c>
    </row>
    <row r="31" spans="1:10" ht="16.5" customHeight="1" x14ac:dyDescent="0.25">
      <c r="A31" s="866" t="s">
        <v>70</v>
      </c>
      <c r="B31" s="867" t="s">
        <v>71</v>
      </c>
      <c r="C31" s="867" t="s">
        <v>264</v>
      </c>
      <c r="D31" s="868">
        <v>0.68108209304502476</v>
      </c>
      <c r="E31" s="868">
        <v>0.80683540466808124</v>
      </c>
      <c r="F31" s="868">
        <v>0.73746766568548749</v>
      </c>
      <c r="G31" s="868">
        <v>0.68707653701380178</v>
      </c>
      <c r="H31" s="868">
        <v>0.75497225778915922</v>
      </c>
      <c r="I31" s="868">
        <v>0.94291506615450282</v>
      </c>
      <c r="J31" s="868">
        <v>1.0813316261203585</v>
      </c>
    </row>
    <row r="32" spans="1:10" ht="16.5" customHeight="1" x14ac:dyDescent="0.25">
      <c r="A32" s="866" t="s">
        <v>72</v>
      </c>
      <c r="B32" s="867" t="s">
        <v>73</v>
      </c>
      <c r="C32" s="867" t="s">
        <v>266</v>
      </c>
      <c r="D32" s="868">
        <v>0.7468507751937985</v>
      </c>
      <c r="E32" s="868">
        <v>0.79479655712050079</v>
      </c>
      <c r="F32" s="868">
        <v>0.80371112383132992</v>
      </c>
      <c r="G32" s="868">
        <v>0.80954916577919778</v>
      </c>
      <c r="H32" s="868">
        <v>0.8646156497759393</v>
      </c>
      <c r="I32" s="868">
        <v>1.0512754222681835</v>
      </c>
      <c r="J32" s="868">
        <v>1.1600827300930714</v>
      </c>
    </row>
    <row r="33" spans="1:10" ht="16.5" customHeight="1" x14ac:dyDescent="0.25">
      <c r="A33" s="866" t="s">
        <v>74</v>
      </c>
      <c r="B33" s="867" t="s">
        <v>290</v>
      </c>
      <c r="C33" s="867" t="s">
        <v>267</v>
      </c>
      <c r="D33" s="868">
        <v>0.22789937768203655</v>
      </c>
      <c r="E33" s="868">
        <v>0.27073690798474659</v>
      </c>
      <c r="F33" s="868">
        <v>0.26392918528704024</v>
      </c>
      <c r="G33" s="868">
        <v>0.2674672735564918</v>
      </c>
      <c r="H33" s="868">
        <v>0.32990066014825237</v>
      </c>
      <c r="I33" s="868">
        <v>0.42057192157767492</v>
      </c>
      <c r="J33" s="868">
        <v>0.50337846606393566</v>
      </c>
    </row>
    <row r="34" spans="1:10" ht="16.5" customHeight="1" x14ac:dyDescent="0.25">
      <c r="A34" s="866" t="s">
        <v>76</v>
      </c>
      <c r="B34" s="867" t="s">
        <v>77</v>
      </c>
      <c r="C34" s="867" t="s">
        <v>267</v>
      </c>
      <c r="D34" s="868">
        <v>0.30197351907630521</v>
      </c>
      <c r="E34" s="868">
        <v>0.38968432919954904</v>
      </c>
      <c r="F34" s="868">
        <v>0.37904883407753914</v>
      </c>
      <c r="G34" s="868">
        <v>0.3783305642729678</v>
      </c>
      <c r="H34" s="868">
        <v>0.47087991345113595</v>
      </c>
      <c r="I34" s="868">
        <v>0.61717153504026923</v>
      </c>
      <c r="J34" s="868">
        <v>0.71381175622069959</v>
      </c>
    </row>
    <row r="35" spans="1:10" ht="16.5" customHeight="1" x14ac:dyDescent="0.25">
      <c r="A35" s="866" t="s">
        <v>78</v>
      </c>
      <c r="B35" s="867" t="s">
        <v>79</v>
      </c>
      <c r="C35" s="867" t="s">
        <v>268</v>
      </c>
      <c r="D35" s="868">
        <v>0.46488908476568236</v>
      </c>
      <c r="E35" s="868">
        <v>0.4847810734463277</v>
      </c>
      <c r="F35" s="868">
        <v>0.44654913728432111</v>
      </c>
      <c r="G35" s="868">
        <v>0.45091575091575092</v>
      </c>
      <c r="H35" s="868">
        <v>0.5319577601778519</v>
      </c>
      <c r="I35" s="868">
        <v>0.66805613450048629</v>
      </c>
      <c r="J35" s="868">
        <v>0.786494372655273</v>
      </c>
    </row>
    <row r="36" spans="1:10" ht="16.5" customHeight="1" x14ac:dyDescent="0.25">
      <c r="A36" s="866" t="s">
        <v>80</v>
      </c>
      <c r="B36" s="867" t="s">
        <v>81</v>
      </c>
      <c r="C36" s="867" t="s">
        <v>266</v>
      </c>
      <c r="D36" s="868">
        <v>0.31521220791607057</v>
      </c>
      <c r="E36" s="868">
        <v>0.28280324934600026</v>
      </c>
      <c r="F36" s="868">
        <v>0.34771181199752627</v>
      </c>
      <c r="G36" s="868">
        <v>0.32341024584535094</v>
      </c>
      <c r="H36" s="868">
        <v>0.3794756554307116</v>
      </c>
      <c r="I36" s="868">
        <v>0.54580524344569292</v>
      </c>
      <c r="J36" s="868">
        <v>0.65734831460674159</v>
      </c>
    </row>
    <row r="37" spans="1:10" ht="16.5" customHeight="1" x14ac:dyDescent="0.25">
      <c r="A37" s="866" t="s">
        <v>84</v>
      </c>
      <c r="B37" s="867" t="s">
        <v>85</v>
      </c>
      <c r="C37" s="867" t="s">
        <v>265</v>
      </c>
      <c r="D37" s="868">
        <v>0.54455090600964673</v>
      </c>
      <c r="E37" s="868">
        <v>0.66176184216931988</v>
      </c>
      <c r="F37" s="868">
        <v>0.66591475163306546</v>
      </c>
      <c r="G37" s="868">
        <v>0.61595736106073429</v>
      </c>
      <c r="H37" s="868">
        <v>0.65246797703180215</v>
      </c>
      <c r="I37" s="868">
        <v>0.7977123822143698</v>
      </c>
      <c r="J37" s="868">
        <v>0.86515017667844518</v>
      </c>
    </row>
    <row r="38" spans="1:10" ht="16.5" customHeight="1" x14ac:dyDescent="0.25">
      <c r="A38" s="866" t="s">
        <v>86</v>
      </c>
      <c r="B38" s="867" t="s">
        <v>87</v>
      </c>
      <c r="C38" s="867" t="s">
        <v>267</v>
      </c>
      <c r="D38" s="868">
        <v>0.34761946798493409</v>
      </c>
      <c r="E38" s="868">
        <v>0.38027426160337552</v>
      </c>
      <c r="F38" s="868">
        <v>0.36097152428810719</v>
      </c>
      <c r="G38" s="868">
        <v>0.40743167807387992</v>
      </c>
      <c r="H38" s="868">
        <v>0.50113402061855672</v>
      </c>
      <c r="I38" s="868">
        <v>0.7163802978235968</v>
      </c>
      <c r="J38" s="868">
        <v>0.85569759450171823</v>
      </c>
    </row>
    <row r="39" spans="1:10" ht="16.5" customHeight="1" x14ac:dyDescent="0.25">
      <c r="A39" s="866" t="s">
        <v>92</v>
      </c>
      <c r="B39" s="867" t="s">
        <v>93</v>
      </c>
      <c r="C39" s="867" t="s">
        <v>268</v>
      </c>
      <c r="D39" s="868">
        <v>0.55524605385329617</v>
      </c>
      <c r="E39" s="868">
        <v>0.56483516483516483</v>
      </c>
      <c r="F39" s="868">
        <v>0.59449869791666665</v>
      </c>
      <c r="G39" s="868">
        <v>0.58280367231638419</v>
      </c>
      <c r="H39" s="868">
        <v>0.60637454710144922</v>
      </c>
      <c r="I39" s="868">
        <v>0.72342051630434778</v>
      </c>
      <c r="J39" s="868">
        <v>0.81032608695652175</v>
      </c>
    </row>
    <row r="40" spans="1:10" ht="16.5" customHeight="1" x14ac:dyDescent="0.25">
      <c r="A40" s="866" t="s">
        <v>94</v>
      </c>
      <c r="B40" s="867" t="s">
        <v>95</v>
      </c>
      <c r="C40" s="867" t="s">
        <v>264</v>
      </c>
      <c r="D40" s="868">
        <v>0.38352983208288677</v>
      </c>
      <c r="E40" s="868">
        <v>0.46572688914461069</v>
      </c>
      <c r="F40" s="868">
        <v>0.42652073104200766</v>
      </c>
      <c r="G40" s="868">
        <v>0.47151120751988429</v>
      </c>
      <c r="H40" s="868">
        <v>0.51505477635894215</v>
      </c>
      <c r="I40" s="868">
        <v>0.70129439676226357</v>
      </c>
      <c r="J40" s="868">
        <v>0.82558090851999166</v>
      </c>
    </row>
    <row r="41" spans="1:10" ht="16.5" customHeight="1" x14ac:dyDescent="0.25">
      <c r="A41" s="866" t="s">
        <v>96</v>
      </c>
      <c r="B41" s="867" t="s">
        <v>97</v>
      </c>
      <c r="C41" s="867" t="s">
        <v>266</v>
      </c>
      <c r="D41" s="868">
        <v>0.34383202099737531</v>
      </c>
      <c r="E41" s="868">
        <v>0.39076075439711805</v>
      </c>
      <c r="F41" s="868">
        <v>0.35978169605373633</v>
      </c>
      <c r="G41" s="868">
        <v>0.25571165034766569</v>
      </c>
      <c r="H41" s="868">
        <v>0.44202472042377872</v>
      </c>
      <c r="I41" s="868">
        <v>0.59510496370413968</v>
      </c>
      <c r="J41" s="868">
        <v>0.69864626250735729</v>
      </c>
    </row>
    <row r="42" spans="1:10" ht="16.5" customHeight="1" x14ac:dyDescent="0.25">
      <c r="A42" s="866" t="s">
        <v>98</v>
      </c>
      <c r="B42" s="867" t="s">
        <v>99</v>
      </c>
      <c r="C42" s="867" t="s">
        <v>268</v>
      </c>
      <c r="D42" s="868">
        <v>0.55992171032821436</v>
      </c>
      <c r="E42" s="868">
        <v>0.54519616065604326</v>
      </c>
      <c r="F42" s="868">
        <v>0.59518960333624282</v>
      </c>
      <c r="G42" s="868">
        <v>0.51073216777476815</v>
      </c>
      <c r="H42" s="868">
        <v>0.57500436071864647</v>
      </c>
      <c r="I42" s="868">
        <v>0.64226844583987441</v>
      </c>
      <c r="J42" s="868">
        <v>0.69539508110936687</v>
      </c>
    </row>
    <row r="43" spans="1:10" ht="16.5" customHeight="1" x14ac:dyDescent="0.25">
      <c r="A43" s="866" t="s">
        <v>100</v>
      </c>
      <c r="B43" s="867" t="s">
        <v>101</v>
      </c>
      <c r="C43" s="867" t="s">
        <v>267</v>
      </c>
      <c r="D43" s="868">
        <v>0.49800762300762302</v>
      </c>
      <c r="E43" s="868">
        <v>0.5680686220254566</v>
      </c>
      <c r="F43" s="868">
        <v>0.56412024269167127</v>
      </c>
      <c r="G43" s="868">
        <v>0.52823147172462237</v>
      </c>
      <c r="H43" s="868">
        <v>0.61614025192705391</v>
      </c>
      <c r="I43" s="868">
        <v>0.8715454032712916</v>
      </c>
      <c r="J43" s="868">
        <v>1.0486181613085166</v>
      </c>
    </row>
    <row r="44" spans="1:10" ht="16.5" customHeight="1" x14ac:dyDescent="0.25">
      <c r="A44" s="866" t="s">
        <v>102</v>
      </c>
      <c r="B44" s="867" t="s">
        <v>103</v>
      </c>
      <c r="C44" s="867" t="s">
        <v>264</v>
      </c>
      <c r="D44" s="868">
        <v>0.54634988323687683</v>
      </c>
      <c r="E44" s="868">
        <v>0.60678147499513524</v>
      </c>
      <c r="F44" s="868">
        <v>0.66488756048961006</v>
      </c>
      <c r="G44" s="868">
        <v>0.63596157101743689</v>
      </c>
      <c r="H44" s="868">
        <v>0.77053073269700745</v>
      </c>
      <c r="I44" s="868">
        <v>0.73525714285714283</v>
      </c>
      <c r="J44" s="868">
        <v>0.81421714285714286</v>
      </c>
    </row>
    <row r="45" spans="1:10" ht="16.5" customHeight="1" x14ac:dyDescent="0.25">
      <c r="A45" s="866" t="s">
        <v>104</v>
      </c>
      <c r="B45" s="867" t="s">
        <v>105</v>
      </c>
      <c r="C45" s="867" t="s">
        <v>265</v>
      </c>
      <c r="D45" s="868">
        <v>0.55333744095296777</v>
      </c>
      <c r="E45" s="868">
        <v>0.65888139790864064</v>
      </c>
      <c r="F45" s="868">
        <v>0.57568685488767457</v>
      </c>
      <c r="G45" s="868">
        <v>0.5659284951974386</v>
      </c>
      <c r="H45" s="868">
        <v>0.60348223643789078</v>
      </c>
      <c r="I45" s="868">
        <v>0.68521630705844083</v>
      </c>
      <c r="J45" s="868">
        <v>0.727854277350103</v>
      </c>
    </row>
    <row r="46" spans="1:10" ht="16.5" customHeight="1" x14ac:dyDescent="0.25">
      <c r="A46" s="866" t="s">
        <v>108</v>
      </c>
      <c r="B46" s="867" t="s">
        <v>109</v>
      </c>
      <c r="C46" s="867" t="s">
        <v>266</v>
      </c>
      <c r="D46" s="868">
        <v>0.34209212778094694</v>
      </c>
      <c r="E46" s="868">
        <v>0.42799555184876287</v>
      </c>
      <c r="F46" s="868">
        <v>0.4947381530605891</v>
      </c>
      <c r="G46" s="868">
        <v>0.38194249320970308</v>
      </c>
      <c r="H46" s="868">
        <v>0.51615508885298866</v>
      </c>
      <c r="I46" s="868">
        <v>0.68275444264943452</v>
      </c>
      <c r="J46" s="868">
        <v>0.79987075928917606</v>
      </c>
    </row>
    <row r="47" spans="1:10" ht="16.5" customHeight="1" x14ac:dyDescent="0.25">
      <c r="A47" s="866" t="s">
        <v>110</v>
      </c>
      <c r="B47" s="867" t="s">
        <v>111</v>
      </c>
      <c r="C47" s="867" t="s">
        <v>266</v>
      </c>
      <c r="D47" s="868">
        <v>0.42148109528930017</v>
      </c>
      <c r="E47" s="868">
        <v>0.50962638200533739</v>
      </c>
      <c r="F47" s="868">
        <v>0.52768534391000865</v>
      </c>
      <c r="G47" s="868">
        <v>0.45286276972257106</v>
      </c>
      <c r="H47" s="868">
        <v>0.52185204272390129</v>
      </c>
      <c r="I47" s="868">
        <v>0.70806428795181942</v>
      </c>
      <c r="J47" s="868">
        <v>0.85082002000788193</v>
      </c>
    </row>
    <row r="48" spans="1:10" ht="16.5" customHeight="1" x14ac:dyDescent="0.25">
      <c r="A48" s="866" t="s">
        <v>112</v>
      </c>
      <c r="B48" s="867" t="s">
        <v>291</v>
      </c>
      <c r="C48" s="867" t="s">
        <v>265</v>
      </c>
      <c r="D48" s="868">
        <v>0.60370395916678166</v>
      </c>
      <c r="E48" s="868">
        <v>0.63152583271316776</v>
      </c>
      <c r="F48" s="868">
        <v>0.68898120403159901</v>
      </c>
      <c r="G48" s="868">
        <v>0.62113096999467365</v>
      </c>
      <c r="H48" s="868">
        <v>0.81689184483599131</v>
      </c>
      <c r="I48" s="868">
        <v>0.85080807470917363</v>
      </c>
      <c r="J48" s="868">
        <v>0.90632773819587009</v>
      </c>
    </row>
    <row r="49" spans="1:10" ht="16.5" customHeight="1" x14ac:dyDescent="0.25">
      <c r="A49" s="866" t="s">
        <v>114</v>
      </c>
      <c r="B49" s="867" t="s">
        <v>115</v>
      </c>
      <c r="C49" s="867" t="s">
        <v>265</v>
      </c>
      <c r="D49" s="868">
        <v>0.31288076588337688</v>
      </c>
      <c r="E49" s="868">
        <v>0.34752198241406873</v>
      </c>
      <c r="F49" s="868">
        <v>0.33352402745995424</v>
      </c>
      <c r="G49" s="868">
        <v>0.30121145374449337</v>
      </c>
      <c r="H49" s="868">
        <v>0.34859154929577463</v>
      </c>
      <c r="I49" s="868">
        <v>0.39632237871674492</v>
      </c>
      <c r="J49" s="868">
        <v>0.40375586854460094</v>
      </c>
    </row>
    <row r="50" spans="1:10" ht="16.5" customHeight="1" x14ac:dyDescent="0.25">
      <c r="A50" s="866" t="s">
        <v>118</v>
      </c>
      <c r="B50" s="867" t="s">
        <v>270</v>
      </c>
      <c r="C50" s="867" t="s">
        <v>264</v>
      </c>
      <c r="D50" s="868">
        <v>0.54821442226810435</v>
      </c>
      <c r="E50" s="868">
        <v>0.63340886874611213</v>
      </c>
      <c r="F50" s="868">
        <v>0.64290390154490706</v>
      </c>
      <c r="G50" s="868">
        <v>0.57824382129277563</v>
      </c>
      <c r="H50" s="868">
        <v>0.71734594210619784</v>
      </c>
      <c r="I50" s="868">
        <v>0.86734150239744268</v>
      </c>
      <c r="J50" s="868">
        <v>0.97639850825785823</v>
      </c>
    </row>
    <row r="51" spans="1:10" ht="16.5" customHeight="1" x14ac:dyDescent="0.25">
      <c r="A51" s="866" t="s">
        <v>120</v>
      </c>
      <c r="B51" s="867" t="s">
        <v>121</v>
      </c>
      <c r="C51" s="867" t="s">
        <v>264</v>
      </c>
      <c r="D51" s="868">
        <v>0.36924056135121708</v>
      </c>
      <c r="E51" s="868">
        <v>0.47360897294919729</v>
      </c>
      <c r="F51" s="868">
        <v>0.42863222680547369</v>
      </c>
      <c r="G51" s="868">
        <v>0.42326583801122697</v>
      </c>
      <c r="H51" s="868">
        <v>0.49310616505810517</v>
      </c>
      <c r="I51" s="868">
        <v>0.66371216597728322</v>
      </c>
      <c r="J51" s="868">
        <v>0.77340949379554857</v>
      </c>
    </row>
    <row r="52" spans="1:10" ht="16.5" customHeight="1" x14ac:dyDescent="0.25">
      <c r="A52" s="866" t="s">
        <v>122</v>
      </c>
      <c r="B52" s="867" t="s">
        <v>271</v>
      </c>
      <c r="C52" s="867" t="s">
        <v>266</v>
      </c>
      <c r="D52" s="868">
        <v>0.63043478260869568</v>
      </c>
      <c r="E52" s="868">
        <v>0.57482566248256628</v>
      </c>
      <c r="F52" s="868">
        <v>0.64423359811709324</v>
      </c>
      <c r="G52" s="868">
        <v>0.57591514143094846</v>
      </c>
      <c r="H52" s="868">
        <v>0.63792354474370117</v>
      </c>
      <c r="I52" s="868">
        <v>0.76122212568780767</v>
      </c>
      <c r="J52" s="868">
        <v>0.87350130321459596</v>
      </c>
    </row>
    <row r="53" spans="1:10" ht="16.5" customHeight="1" x14ac:dyDescent="0.25">
      <c r="A53" s="866" t="s">
        <v>124</v>
      </c>
      <c r="B53" s="867" t="s">
        <v>125</v>
      </c>
      <c r="C53" s="867" t="s">
        <v>267</v>
      </c>
      <c r="D53" s="868">
        <v>0.55162280701754385</v>
      </c>
      <c r="E53" s="868">
        <v>0.65107300441235461</v>
      </c>
      <c r="F53" s="868">
        <v>0.65636486747920297</v>
      </c>
      <c r="G53" s="868">
        <v>0.61343630626141832</v>
      </c>
      <c r="H53" s="868">
        <v>0.7824291427577813</v>
      </c>
      <c r="I53" s="868">
        <v>1.0382976873587202</v>
      </c>
      <c r="J53" s="868">
        <v>1.2200312989045383</v>
      </c>
    </row>
    <row r="54" spans="1:10" ht="16.5" customHeight="1" x14ac:dyDescent="0.25">
      <c r="A54" s="866" t="s">
        <v>126</v>
      </c>
      <c r="B54" s="867" t="s">
        <v>127</v>
      </c>
      <c r="C54" s="867" t="s">
        <v>266</v>
      </c>
      <c r="D54" s="868">
        <v>0.51124708624708626</v>
      </c>
      <c r="E54" s="868">
        <v>0.62792174796747968</v>
      </c>
      <c r="F54" s="868">
        <v>0.59643605870020966</v>
      </c>
      <c r="G54" s="868">
        <v>0.60179324894514763</v>
      </c>
      <c r="H54" s="868">
        <v>0.6783863368669022</v>
      </c>
      <c r="I54" s="868">
        <v>0.95441696113074204</v>
      </c>
      <c r="J54" s="868">
        <v>1.125512367491166</v>
      </c>
    </row>
    <row r="55" spans="1:10" ht="16.5" customHeight="1" x14ac:dyDescent="0.25">
      <c r="A55" s="866" t="s">
        <v>128</v>
      </c>
      <c r="B55" s="867" t="s">
        <v>129</v>
      </c>
      <c r="C55" s="867" t="s">
        <v>266</v>
      </c>
      <c r="D55" s="868">
        <v>0.61568231532895845</v>
      </c>
      <c r="E55" s="868">
        <v>0.64562541583499666</v>
      </c>
      <c r="F55" s="868">
        <v>0.60898066207800716</v>
      </c>
      <c r="G55" s="868">
        <v>0.57010582010582012</v>
      </c>
      <c r="H55" s="868">
        <v>0.58965402528276778</v>
      </c>
      <c r="I55" s="868">
        <v>0.69357119095143049</v>
      </c>
      <c r="J55" s="868">
        <v>0.77035928143712573</v>
      </c>
    </row>
    <row r="56" spans="1:10" ht="16.5" customHeight="1" x14ac:dyDescent="0.25">
      <c r="A56" s="866" t="s">
        <v>130</v>
      </c>
      <c r="B56" s="867" t="s">
        <v>131</v>
      </c>
      <c r="C56" s="867" t="s">
        <v>268</v>
      </c>
      <c r="D56" s="868">
        <v>0.69147133578085285</v>
      </c>
      <c r="E56" s="868">
        <v>0.60752919483712353</v>
      </c>
      <c r="F56" s="868">
        <v>0.69933426769446394</v>
      </c>
      <c r="G56" s="868">
        <v>0.64706768211350629</v>
      </c>
      <c r="H56" s="868">
        <v>0.69349276725334763</v>
      </c>
      <c r="I56" s="868">
        <v>0.7495857405168167</v>
      </c>
      <c r="J56" s="868">
        <v>0.79575440010748355</v>
      </c>
    </row>
    <row r="57" spans="1:10" ht="16.5" customHeight="1" x14ac:dyDescent="0.25">
      <c r="A57" s="866" t="s">
        <v>132</v>
      </c>
      <c r="B57" s="867" t="s">
        <v>133</v>
      </c>
      <c r="C57" s="867" t="s">
        <v>267</v>
      </c>
      <c r="D57" s="868">
        <v>0.23964927745278736</v>
      </c>
      <c r="E57" s="868">
        <v>0.36041326808047852</v>
      </c>
      <c r="F57" s="868">
        <v>0.32113666603307356</v>
      </c>
      <c r="G57" s="868">
        <v>0.29947829947829946</v>
      </c>
      <c r="H57" s="868">
        <v>0.34582491582491581</v>
      </c>
      <c r="I57" s="868">
        <v>0.48074074074074075</v>
      </c>
      <c r="J57" s="868">
        <v>0.57452929292929289</v>
      </c>
    </row>
    <row r="58" spans="1:10" ht="16.5" customHeight="1" x14ac:dyDescent="0.25">
      <c r="A58" s="866" t="s">
        <v>134</v>
      </c>
      <c r="B58" s="867" t="s">
        <v>135</v>
      </c>
      <c r="C58" s="867" t="s">
        <v>267</v>
      </c>
      <c r="D58" s="868">
        <v>0.4172714078374456</v>
      </c>
      <c r="E58" s="868">
        <v>0.45056306306306304</v>
      </c>
      <c r="F58" s="868">
        <v>0.49929258630447088</v>
      </c>
      <c r="G58" s="868">
        <v>0.45967681743543815</v>
      </c>
      <c r="H58" s="868">
        <v>0.54409470317497466</v>
      </c>
      <c r="I58" s="868">
        <v>0.75249629456275846</v>
      </c>
      <c r="J58" s="868">
        <v>0.88233091504797567</v>
      </c>
    </row>
    <row r="59" spans="1:10" ht="16.5" customHeight="1" x14ac:dyDescent="0.25">
      <c r="A59" s="866" t="s">
        <v>136</v>
      </c>
      <c r="B59" s="867" t="s">
        <v>137</v>
      </c>
      <c r="C59" s="867" t="s">
        <v>266</v>
      </c>
      <c r="D59" s="868">
        <v>0.52998629198080882</v>
      </c>
      <c r="E59" s="868">
        <v>0.47584541062801933</v>
      </c>
      <c r="F59" s="868">
        <v>0.53896882494004794</v>
      </c>
      <c r="G59" s="868">
        <v>0.52234848484848484</v>
      </c>
      <c r="H59" s="868">
        <v>0.52122618702253165</v>
      </c>
      <c r="I59" s="868">
        <v>0.60685620346194757</v>
      </c>
      <c r="J59" s="868">
        <v>0.66910356832027851</v>
      </c>
    </row>
    <row r="60" spans="1:10" ht="16.5" customHeight="1" x14ac:dyDescent="0.25">
      <c r="A60" s="866" t="s">
        <v>140</v>
      </c>
      <c r="B60" s="867" t="s">
        <v>141</v>
      </c>
      <c r="C60" s="867" t="s">
        <v>267</v>
      </c>
      <c r="D60" s="868">
        <v>0.34643758493496407</v>
      </c>
      <c r="E60" s="868">
        <v>0.35471587580550673</v>
      </c>
      <c r="F60" s="868">
        <v>0.32169913419913421</v>
      </c>
      <c r="G60" s="868">
        <v>0.34409304756926296</v>
      </c>
      <c r="H60" s="868">
        <v>0.42841391009329943</v>
      </c>
      <c r="I60" s="868">
        <v>0.58422391857506362</v>
      </c>
      <c r="J60" s="868">
        <v>0.71531806615776083</v>
      </c>
    </row>
    <row r="61" spans="1:10" ht="16.5" customHeight="1" x14ac:dyDescent="0.25">
      <c r="A61" s="866" t="s">
        <v>146</v>
      </c>
      <c r="B61" s="867" t="s">
        <v>147</v>
      </c>
      <c r="C61" s="867" t="s">
        <v>264</v>
      </c>
      <c r="D61" s="868">
        <v>0.47104779411764708</v>
      </c>
      <c r="E61" s="868">
        <v>0.55953608247422681</v>
      </c>
      <c r="F61" s="868">
        <v>0.5566438132549788</v>
      </c>
      <c r="G61" s="868">
        <v>0.53435114503816794</v>
      </c>
      <c r="H61" s="868">
        <v>0.57393483709273185</v>
      </c>
      <c r="I61" s="868">
        <v>0.73394423558897248</v>
      </c>
      <c r="J61" s="868">
        <v>0.83496240601503757</v>
      </c>
    </row>
    <row r="62" spans="1:10" ht="16.5" customHeight="1" x14ac:dyDescent="0.25">
      <c r="A62" s="866" t="s">
        <v>148</v>
      </c>
      <c r="B62" s="867" t="s">
        <v>149</v>
      </c>
      <c r="C62" s="867" t="s">
        <v>265</v>
      </c>
      <c r="D62" s="868">
        <v>0.47630506748153806</v>
      </c>
      <c r="E62" s="868">
        <v>0.49595929362466329</v>
      </c>
      <c r="F62" s="868">
        <v>0.55201242571582931</v>
      </c>
      <c r="G62" s="868">
        <v>0.47403253867494238</v>
      </c>
      <c r="H62" s="868">
        <v>0.49380391619882241</v>
      </c>
      <c r="I62" s="868">
        <v>0.59016842393536906</v>
      </c>
      <c r="J62" s="868">
        <v>0.66832808434889768</v>
      </c>
    </row>
    <row r="63" spans="1:10" ht="16.5" customHeight="1" x14ac:dyDescent="0.25">
      <c r="A63" s="866" t="s">
        <v>150</v>
      </c>
      <c r="B63" s="867" t="s">
        <v>151</v>
      </c>
      <c r="C63" s="867" t="s">
        <v>266</v>
      </c>
      <c r="D63" s="868">
        <v>0.47603550295857988</v>
      </c>
      <c r="E63" s="868">
        <v>0.47234657713113226</v>
      </c>
      <c r="F63" s="868">
        <v>0.49069349962207104</v>
      </c>
      <c r="G63" s="868">
        <v>0.47371303395399783</v>
      </c>
      <c r="H63" s="868">
        <v>0.51467775865366228</v>
      </c>
      <c r="I63" s="868">
        <v>0.64386115892139983</v>
      </c>
      <c r="J63" s="868">
        <v>0.76695352839931152</v>
      </c>
    </row>
    <row r="64" spans="1:10" ht="16.5" customHeight="1" x14ac:dyDescent="0.25">
      <c r="A64" s="866" t="s">
        <v>152</v>
      </c>
      <c r="B64" s="867" t="s">
        <v>153</v>
      </c>
      <c r="C64" s="867" t="s">
        <v>268</v>
      </c>
      <c r="D64" s="868">
        <v>0.27314207137946123</v>
      </c>
      <c r="E64" s="868">
        <v>0.22520464726546136</v>
      </c>
      <c r="F64" s="868">
        <v>0.23875706214689266</v>
      </c>
      <c r="G64" s="868">
        <v>0.22827933106872222</v>
      </c>
      <c r="H64" s="868">
        <v>0.24522534878919269</v>
      </c>
      <c r="I64" s="868">
        <v>0.28958720467215293</v>
      </c>
      <c r="J64" s="868">
        <v>0.32091850278736395</v>
      </c>
    </row>
    <row r="65" spans="1:10" ht="16.5" customHeight="1" x14ac:dyDescent="0.25">
      <c r="A65" s="866" t="s">
        <v>154</v>
      </c>
      <c r="B65" s="867" t="s">
        <v>155</v>
      </c>
      <c r="C65" s="867" t="s">
        <v>265</v>
      </c>
      <c r="D65" s="868">
        <v>0.42102908277404921</v>
      </c>
      <c r="E65" s="868">
        <v>0.43767836757990869</v>
      </c>
      <c r="F65" s="868">
        <v>0.49836956521739129</v>
      </c>
      <c r="G65" s="868">
        <v>0.52630530091669991</v>
      </c>
      <c r="H65" s="868">
        <v>0.5422117248062015</v>
      </c>
      <c r="I65" s="868">
        <v>0.6881661821705426</v>
      </c>
      <c r="J65" s="868">
        <v>0.73546511627906974</v>
      </c>
    </row>
    <row r="66" spans="1:10" ht="16.5" customHeight="1" x14ac:dyDescent="0.25">
      <c r="A66" s="866" t="s">
        <v>156</v>
      </c>
      <c r="B66" s="867" t="s">
        <v>157</v>
      </c>
      <c r="C66" s="867" t="s">
        <v>266</v>
      </c>
      <c r="D66" s="868">
        <v>0.34270578647106764</v>
      </c>
      <c r="E66" s="868">
        <v>0.43957564575645758</v>
      </c>
      <c r="F66" s="868">
        <v>0.38345608292416805</v>
      </c>
      <c r="G66" s="868">
        <v>0.35886886102403343</v>
      </c>
      <c r="H66" s="868">
        <v>0.40131912734652458</v>
      </c>
      <c r="I66" s="868">
        <v>0.56532217148655506</v>
      </c>
      <c r="J66" s="868">
        <v>0.70639269406392691</v>
      </c>
    </row>
    <row r="67" spans="1:10" ht="16.5" customHeight="1" x14ac:dyDescent="0.25">
      <c r="A67" s="866" t="s">
        <v>162</v>
      </c>
      <c r="B67" s="867" t="s">
        <v>163</v>
      </c>
      <c r="C67" s="867" t="s">
        <v>264</v>
      </c>
      <c r="D67" s="868">
        <v>0.56711442786069655</v>
      </c>
      <c r="E67" s="868">
        <v>0.5955555555555555</v>
      </c>
      <c r="F67" s="868">
        <v>0.63383172090296103</v>
      </c>
      <c r="G67" s="868">
        <v>0.54354960868467561</v>
      </c>
      <c r="H67" s="868">
        <v>0.61724170706206638</v>
      </c>
      <c r="I67" s="868">
        <v>0.69596521243227827</v>
      </c>
      <c r="J67" s="868">
        <v>0.77507841459937266</v>
      </c>
    </row>
    <row r="68" spans="1:10" ht="16.5" customHeight="1" x14ac:dyDescent="0.25">
      <c r="A68" s="866" t="s">
        <v>164</v>
      </c>
      <c r="B68" s="867" t="s">
        <v>165</v>
      </c>
      <c r="C68" s="867" t="s">
        <v>266</v>
      </c>
      <c r="D68" s="868">
        <v>0.47064262598243178</v>
      </c>
      <c r="E68" s="868">
        <v>0.51964285714285718</v>
      </c>
      <c r="F68" s="868">
        <v>0.45697876029475509</v>
      </c>
      <c r="G68" s="868">
        <v>0.39378764074365019</v>
      </c>
      <c r="H68" s="868">
        <v>0.45155797101449274</v>
      </c>
      <c r="I68" s="868">
        <v>0.55586956521739128</v>
      </c>
      <c r="J68" s="868">
        <v>0.62295652173913041</v>
      </c>
    </row>
    <row r="69" spans="1:10" ht="16.5" customHeight="1" x14ac:dyDescent="0.25">
      <c r="A69" s="866" t="s">
        <v>168</v>
      </c>
      <c r="B69" s="867" t="s">
        <v>169</v>
      </c>
      <c r="C69" s="867" t="s">
        <v>266</v>
      </c>
      <c r="D69" s="868">
        <v>0.58268868392343554</v>
      </c>
      <c r="E69" s="868">
        <v>0.5798766816143498</v>
      </c>
      <c r="F69" s="868">
        <v>0.57680007309941517</v>
      </c>
      <c r="G69" s="868">
        <v>0.53485636453689944</v>
      </c>
      <c r="H69" s="868">
        <v>0.59582708645677163</v>
      </c>
      <c r="I69" s="868">
        <v>0.71355988672330506</v>
      </c>
      <c r="J69" s="868">
        <v>0.79445277361319344</v>
      </c>
    </row>
    <row r="70" spans="1:10" ht="16.5" customHeight="1" x14ac:dyDescent="0.25">
      <c r="A70" s="866" t="s">
        <v>170</v>
      </c>
      <c r="B70" s="867" t="s">
        <v>171</v>
      </c>
      <c r="C70" s="867" t="s">
        <v>267</v>
      </c>
      <c r="D70" s="868">
        <v>0.42210198636228874</v>
      </c>
      <c r="E70" s="868">
        <v>0.44937126052124532</v>
      </c>
      <c r="F70" s="868">
        <v>0.45549242424242425</v>
      </c>
      <c r="G70" s="868">
        <v>0.39823474890461746</v>
      </c>
      <c r="H70" s="868">
        <v>0.53717843832378875</v>
      </c>
      <c r="I70" s="868">
        <v>0.71475320425415867</v>
      </c>
      <c r="J70" s="868">
        <v>0.81788928279247342</v>
      </c>
    </row>
    <row r="71" spans="1:10" ht="16.5" customHeight="1" x14ac:dyDescent="0.25">
      <c r="A71" s="866" t="s">
        <v>172</v>
      </c>
      <c r="B71" s="867" t="s">
        <v>173</v>
      </c>
      <c r="C71" s="867" t="s">
        <v>267</v>
      </c>
      <c r="D71" s="868">
        <v>0.44782070965540771</v>
      </c>
      <c r="E71" s="868">
        <v>0.4700745603371424</v>
      </c>
      <c r="F71" s="868">
        <v>0.51029693486590033</v>
      </c>
      <c r="G71" s="868">
        <v>0.54516027159324176</v>
      </c>
      <c r="H71" s="868">
        <v>0.54644069020287345</v>
      </c>
      <c r="I71" s="868">
        <v>0.70364955598873724</v>
      </c>
      <c r="J71" s="868">
        <v>0.79358891054797487</v>
      </c>
    </row>
    <row r="72" spans="1:10" ht="16.5" customHeight="1" x14ac:dyDescent="0.25">
      <c r="A72" s="866" t="s">
        <v>174</v>
      </c>
      <c r="B72" s="867" t="s">
        <v>175</v>
      </c>
      <c r="C72" s="867" t="s">
        <v>268</v>
      </c>
      <c r="D72" s="868">
        <v>0.6116055846422338</v>
      </c>
      <c r="E72" s="868">
        <v>0.62341062079281973</v>
      </c>
      <c r="F72" s="868">
        <v>0.70886192314763741</v>
      </c>
      <c r="G72" s="868">
        <v>0.66450936883629186</v>
      </c>
      <c r="H72" s="868">
        <v>0.67203376881350751</v>
      </c>
      <c r="I72" s="868">
        <v>0.76669340667736263</v>
      </c>
      <c r="J72" s="868">
        <v>0.79990831996332801</v>
      </c>
    </row>
    <row r="73" spans="1:10" ht="16.5" customHeight="1" x14ac:dyDescent="0.25">
      <c r="A73" s="866" t="s">
        <v>178</v>
      </c>
      <c r="B73" s="867" t="s">
        <v>179</v>
      </c>
      <c r="C73" s="867" t="s">
        <v>265</v>
      </c>
      <c r="D73" s="868">
        <v>0.50069666228317367</v>
      </c>
      <c r="E73" s="868">
        <v>0.52316332988148662</v>
      </c>
      <c r="F73" s="868">
        <v>0.62148227879695495</v>
      </c>
      <c r="G73" s="868">
        <v>0.65652331786176632</v>
      </c>
      <c r="H73" s="868">
        <v>0.62257934185962271</v>
      </c>
      <c r="I73" s="868">
        <v>0.72372453955250915</v>
      </c>
      <c r="J73" s="868">
        <v>0.77883474044972001</v>
      </c>
    </row>
    <row r="74" spans="1:10" ht="16.5" customHeight="1" x14ac:dyDescent="0.25">
      <c r="A74" s="866" t="s">
        <v>182</v>
      </c>
      <c r="B74" s="867" t="s">
        <v>183</v>
      </c>
      <c r="C74" s="867" t="s">
        <v>266</v>
      </c>
      <c r="D74" s="868">
        <v>0.25861921829663764</v>
      </c>
      <c r="E74" s="868">
        <v>0.30095340888649036</v>
      </c>
      <c r="F74" s="868">
        <v>0.31518024944472922</v>
      </c>
      <c r="G74" s="868">
        <v>0.32521387832699622</v>
      </c>
      <c r="H74" s="868">
        <v>0.37258986928104576</v>
      </c>
      <c r="I74" s="868">
        <v>0.50318627450980391</v>
      </c>
      <c r="J74" s="868">
        <v>0.60411764705882354</v>
      </c>
    </row>
    <row r="75" spans="1:10" ht="16.5" customHeight="1" x14ac:dyDescent="0.25">
      <c r="A75" s="866" t="s">
        <v>184</v>
      </c>
      <c r="B75" s="867" t="s">
        <v>185</v>
      </c>
      <c r="C75" s="867" t="s">
        <v>266</v>
      </c>
      <c r="D75" s="868">
        <v>0.46958978965491427</v>
      </c>
      <c r="E75" s="868">
        <v>0.47032697359325315</v>
      </c>
      <c r="F75" s="868">
        <v>0.55119505390937196</v>
      </c>
      <c r="G75" s="868">
        <v>0.48951876291408386</v>
      </c>
      <c r="H75" s="868">
        <v>0.46931306306306309</v>
      </c>
      <c r="I75" s="868">
        <v>0.54748992413466102</v>
      </c>
      <c r="J75" s="868">
        <v>0.58403271692745373</v>
      </c>
    </row>
    <row r="76" spans="1:10" ht="16.5" customHeight="1" x14ac:dyDescent="0.25">
      <c r="A76" s="866" t="s">
        <v>186</v>
      </c>
      <c r="B76" s="867" t="s">
        <v>187</v>
      </c>
      <c r="C76" s="867" t="s">
        <v>264</v>
      </c>
      <c r="D76" s="868">
        <v>0.34425778022583309</v>
      </c>
      <c r="E76" s="868">
        <v>0.38302538260544977</v>
      </c>
      <c r="F76" s="868">
        <v>0.44177540529853698</v>
      </c>
      <c r="G76" s="868">
        <v>0.41351549684883016</v>
      </c>
      <c r="H76" s="868">
        <v>0.40390971382507052</v>
      </c>
      <c r="I76" s="868">
        <v>0.47849657396211204</v>
      </c>
      <c r="J76" s="868">
        <v>0.55380894800483671</v>
      </c>
    </row>
    <row r="77" spans="1:10" ht="16.5" customHeight="1" x14ac:dyDescent="0.25">
      <c r="A77" s="866" t="s">
        <v>188</v>
      </c>
      <c r="B77" s="867" t="s">
        <v>189</v>
      </c>
      <c r="C77" s="867" t="s">
        <v>267</v>
      </c>
      <c r="D77" s="868">
        <v>0.35699662596208109</v>
      </c>
      <c r="E77" s="868">
        <v>0.47611355311355313</v>
      </c>
      <c r="F77" s="868">
        <v>0.46271313090143334</v>
      </c>
      <c r="G77" s="868">
        <v>0.47040204137286223</v>
      </c>
      <c r="H77" s="868">
        <v>0.53381058396028458</v>
      </c>
      <c r="I77" s="868">
        <v>0.728424561134142</v>
      </c>
      <c r="J77" s="868">
        <v>0.88352525717795183</v>
      </c>
    </row>
    <row r="78" spans="1:10" ht="16.5" customHeight="1" x14ac:dyDescent="0.25">
      <c r="A78" s="866" t="s">
        <v>190</v>
      </c>
      <c r="B78" s="867" t="s">
        <v>191</v>
      </c>
      <c r="C78" s="867" t="s">
        <v>268</v>
      </c>
      <c r="D78" s="868">
        <v>0.55726947556677708</v>
      </c>
      <c r="E78" s="868">
        <v>0.54145800543711542</v>
      </c>
      <c r="F78" s="868">
        <v>0.62223261615216718</v>
      </c>
      <c r="G78" s="868">
        <v>0.60429967111627003</v>
      </c>
      <c r="H78" s="868">
        <v>0.61825274107393868</v>
      </c>
      <c r="I78" s="868">
        <v>0.74305360322369041</v>
      </c>
      <c r="J78" s="868">
        <v>0.81700871520944618</v>
      </c>
    </row>
    <row r="79" spans="1:10" ht="16.5" customHeight="1" x14ac:dyDescent="0.25">
      <c r="A79" s="866" t="s">
        <v>194</v>
      </c>
      <c r="B79" s="867" t="s">
        <v>195</v>
      </c>
      <c r="C79" s="867" t="s">
        <v>267</v>
      </c>
      <c r="D79" s="868">
        <v>0.21503411306042886</v>
      </c>
      <c r="E79" s="868">
        <v>0.25735294117647056</v>
      </c>
      <c r="F79" s="868">
        <v>0.27492211838006231</v>
      </c>
      <c r="G79" s="868">
        <v>0.25112751127511274</v>
      </c>
      <c r="H79" s="868">
        <v>0.314070351758794</v>
      </c>
      <c r="I79" s="868">
        <v>0.46398659966499162</v>
      </c>
      <c r="J79" s="868">
        <v>0.54798994974874371</v>
      </c>
    </row>
    <row r="80" spans="1:10" ht="16.5" customHeight="1" x14ac:dyDescent="0.25">
      <c r="A80" s="866" t="s">
        <v>198</v>
      </c>
      <c r="B80" s="867" t="s">
        <v>272</v>
      </c>
      <c r="C80" s="867" t="s">
        <v>266</v>
      </c>
      <c r="D80" s="868">
        <v>0.49176954732510286</v>
      </c>
      <c r="E80" s="868">
        <v>0.52760513776672879</v>
      </c>
      <c r="F80" s="868">
        <v>0.54588771493681376</v>
      </c>
      <c r="G80" s="868">
        <v>0.48061279826464209</v>
      </c>
      <c r="H80" s="868">
        <v>0.52099519052904175</v>
      </c>
      <c r="I80" s="868">
        <v>0.64729004809470958</v>
      </c>
      <c r="J80" s="868">
        <v>0.74472807991120982</v>
      </c>
    </row>
    <row r="81" spans="1:10" ht="16.5" customHeight="1" x14ac:dyDescent="0.25">
      <c r="A81" s="866" t="s">
        <v>202</v>
      </c>
      <c r="B81" s="867" t="s">
        <v>292</v>
      </c>
      <c r="C81" s="867" t="s">
        <v>265</v>
      </c>
      <c r="D81" s="868">
        <v>0.34811001366629396</v>
      </c>
      <c r="E81" s="868">
        <v>0.45952010087524109</v>
      </c>
      <c r="F81" s="868">
        <v>0.48775808020754513</v>
      </c>
      <c r="G81" s="868">
        <v>0.42996665078608859</v>
      </c>
      <c r="H81" s="868">
        <v>0.4955533070614549</v>
      </c>
      <c r="I81" s="868">
        <v>0.66582598912432023</v>
      </c>
      <c r="J81" s="868">
        <v>0.72221190166573779</v>
      </c>
    </row>
    <row r="82" spans="1:10" ht="16.5" customHeight="1" x14ac:dyDescent="0.25">
      <c r="A82" s="866" t="s">
        <v>204</v>
      </c>
      <c r="B82" s="867" t="s">
        <v>293</v>
      </c>
      <c r="C82" s="867" t="s">
        <v>265</v>
      </c>
      <c r="D82" s="868">
        <v>0.3775115110925073</v>
      </c>
      <c r="E82" s="868">
        <v>0.37772709242364139</v>
      </c>
      <c r="F82" s="868">
        <v>0.34263654477262073</v>
      </c>
      <c r="G82" s="868">
        <v>0.34949761580381472</v>
      </c>
      <c r="H82" s="868">
        <v>0.49797695169972184</v>
      </c>
      <c r="I82" s="868">
        <v>0.52190280629705676</v>
      </c>
      <c r="J82" s="868">
        <v>0.5958247775496236</v>
      </c>
    </row>
    <row r="83" spans="1:10" ht="16.5" customHeight="1" x14ac:dyDescent="0.25">
      <c r="A83" s="866" t="s">
        <v>206</v>
      </c>
      <c r="B83" s="867" t="s">
        <v>294</v>
      </c>
      <c r="C83" s="867" t="s">
        <v>267</v>
      </c>
      <c r="D83" s="868">
        <v>0.32555873813838387</v>
      </c>
      <c r="E83" s="868">
        <v>0.32212364052661707</v>
      </c>
      <c r="F83" s="868">
        <v>0.29783135182738879</v>
      </c>
      <c r="G83" s="868">
        <v>0.28247908102277036</v>
      </c>
      <c r="H83" s="868">
        <v>0.41238260763507745</v>
      </c>
      <c r="I83" s="868">
        <v>0.35787130944331758</v>
      </c>
      <c r="J83" s="868">
        <v>0.42431541582150101</v>
      </c>
    </row>
    <row r="84" spans="1:10" ht="16.5" customHeight="1" x14ac:dyDescent="0.25">
      <c r="A84" s="866" t="s">
        <v>208</v>
      </c>
      <c r="B84" s="867" t="s">
        <v>209</v>
      </c>
      <c r="C84" s="867" t="s">
        <v>268</v>
      </c>
      <c r="D84" s="868">
        <v>0.66974760918860299</v>
      </c>
      <c r="E84" s="868">
        <v>0.63450131052558978</v>
      </c>
      <c r="F84" s="868">
        <v>0.70323921097426656</v>
      </c>
      <c r="G84" s="868">
        <v>0.63408752082785236</v>
      </c>
      <c r="H84" s="868">
        <v>0.64393939393939392</v>
      </c>
      <c r="I84" s="868">
        <v>0.71540734859512156</v>
      </c>
      <c r="J84" s="868">
        <v>0.76988222839751219</v>
      </c>
    </row>
    <row r="85" spans="1:10" ht="16.5" customHeight="1" x14ac:dyDescent="0.25">
      <c r="A85" s="866" t="s">
        <v>210</v>
      </c>
      <c r="B85" s="867" t="s">
        <v>211</v>
      </c>
      <c r="C85" s="867" t="s">
        <v>268</v>
      </c>
      <c r="D85" s="868">
        <v>0.48228455116263025</v>
      </c>
      <c r="E85" s="868">
        <v>0.47335770985686604</v>
      </c>
      <c r="F85" s="868">
        <v>0.48652777777777778</v>
      </c>
      <c r="G85" s="868">
        <v>0.44274395804833561</v>
      </c>
      <c r="H85" s="868">
        <v>0.51118367089406269</v>
      </c>
      <c r="I85" s="868">
        <v>0.61104801564767497</v>
      </c>
      <c r="J85" s="868">
        <v>0.69123604012871476</v>
      </c>
    </row>
    <row r="86" spans="1:10" ht="16.5" customHeight="1" x14ac:dyDescent="0.25">
      <c r="A86" s="866" t="s">
        <v>212</v>
      </c>
      <c r="B86" s="867" t="s">
        <v>213</v>
      </c>
      <c r="C86" s="867" t="s">
        <v>267</v>
      </c>
      <c r="D86" s="868">
        <v>0.41473927670311184</v>
      </c>
      <c r="E86" s="868">
        <v>0.492583918813427</v>
      </c>
      <c r="F86" s="868">
        <v>0.51546468958286529</v>
      </c>
      <c r="G86" s="868">
        <v>0.48623077414002169</v>
      </c>
      <c r="H86" s="868">
        <v>0.55140692640692646</v>
      </c>
      <c r="I86" s="868">
        <v>0.77510822510822508</v>
      </c>
      <c r="J86" s="868">
        <v>0.89717996289424862</v>
      </c>
    </row>
    <row r="87" spans="1:10" ht="16.5" customHeight="1" x14ac:dyDescent="0.25">
      <c r="A87" s="866" t="s">
        <v>214</v>
      </c>
      <c r="B87" s="867" t="s">
        <v>215</v>
      </c>
      <c r="C87" s="867" t="s">
        <v>268</v>
      </c>
      <c r="D87" s="868">
        <v>0.59406753165546344</v>
      </c>
      <c r="E87" s="868">
        <v>0.74790871067466813</v>
      </c>
      <c r="F87" s="868">
        <v>0.66579026442307687</v>
      </c>
      <c r="G87" s="868">
        <v>0.60338070628768303</v>
      </c>
      <c r="H87" s="868">
        <v>0.64303321224701604</v>
      </c>
      <c r="I87" s="868">
        <v>0.75527590382286802</v>
      </c>
      <c r="J87" s="868">
        <v>0.82021276595744685</v>
      </c>
    </row>
    <row r="88" spans="1:10" ht="16.5" customHeight="1" x14ac:dyDescent="0.25">
      <c r="A88" s="866" t="s">
        <v>216</v>
      </c>
      <c r="B88" s="867" t="s">
        <v>217</v>
      </c>
      <c r="C88" s="867" t="s">
        <v>264</v>
      </c>
      <c r="D88" s="868">
        <v>0.5863830925628678</v>
      </c>
      <c r="E88" s="868">
        <v>0.59913345786633454</v>
      </c>
      <c r="F88" s="868">
        <v>0.60061637080867847</v>
      </c>
      <c r="G88" s="868">
        <v>0.60047281323877066</v>
      </c>
      <c r="H88" s="868">
        <v>0.55761660248181433</v>
      </c>
      <c r="I88" s="868">
        <v>0.63380402225074883</v>
      </c>
      <c r="J88" s="868">
        <v>0.67969191270860074</v>
      </c>
    </row>
    <row r="89" spans="1:10" ht="16.5" customHeight="1" x14ac:dyDescent="0.25">
      <c r="A89" s="866" t="s">
        <v>218</v>
      </c>
      <c r="B89" s="867" t="s">
        <v>219</v>
      </c>
      <c r="C89" s="867" t="s">
        <v>267</v>
      </c>
      <c r="D89" s="868">
        <v>0.40452350518392272</v>
      </c>
      <c r="E89" s="868">
        <v>0.47466276710039396</v>
      </c>
      <c r="F89" s="868">
        <v>0.49932569116655429</v>
      </c>
      <c r="G89" s="868">
        <v>0.48859122178083519</v>
      </c>
      <c r="H89" s="868">
        <v>0.61021841624170114</v>
      </c>
      <c r="I89" s="868">
        <v>0.82611693768241445</v>
      </c>
      <c r="J89" s="868">
        <v>0.95106321562590201</v>
      </c>
    </row>
    <row r="90" spans="1:10" ht="16.5" customHeight="1" x14ac:dyDescent="0.25">
      <c r="A90" s="866" t="s">
        <v>220</v>
      </c>
      <c r="B90" s="867" t="s">
        <v>221</v>
      </c>
      <c r="C90" s="867" t="s">
        <v>267</v>
      </c>
      <c r="D90" s="868">
        <v>0.39855823979176835</v>
      </c>
      <c r="E90" s="868">
        <v>0.50820038590051297</v>
      </c>
      <c r="F90" s="868">
        <v>0.58420800383417204</v>
      </c>
      <c r="G90" s="868">
        <v>0.62454174207619839</v>
      </c>
      <c r="H90" s="868">
        <v>0.65068566074698697</v>
      </c>
      <c r="I90" s="868">
        <v>0.85953536902176231</v>
      </c>
      <c r="J90" s="868">
        <v>1.0119074996805928</v>
      </c>
    </row>
    <row r="91" spans="1:10" ht="16.5" customHeight="1" x14ac:dyDescent="0.25">
      <c r="A91" s="866" t="s">
        <v>224</v>
      </c>
      <c r="B91" s="867" t="s">
        <v>225</v>
      </c>
      <c r="C91" s="867" t="s">
        <v>264</v>
      </c>
      <c r="D91" s="868">
        <v>0.5353133769878391</v>
      </c>
      <c r="E91" s="868">
        <v>0.54364716636197441</v>
      </c>
      <c r="F91" s="868">
        <v>0.61371782339524272</v>
      </c>
      <c r="G91" s="868">
        <v>0.50607947805456699</v>
      </c>
      <c r="H91" s="868">
        <v>0.53523936170212771</v>
      </c>
      <c r="I91" s="868">
        <v>0.7021276595744681</v>
      </c>
      <c r="J91" s="868">
        <v>0.8117021276595745</v>
      </c>
    </row>
    <row r="92" spans="1:10" ht="16.5" customHeight="1" x14ac:dyDescent="0.25">
      <c r="A92" s="866" t="s">
        <v>226</v>
      </c>
      <c r="B92" s="867" t="s">
        <v>227</v>
      </c>
      <c r="C92" s="867" t="s">
        <v>264</v>
      </c>
      <c r="D92" s="868">
        <v>0.49636312771016927</v>
      </c>
      <c r="E92" s="868">
        <v>0.53732423490488002</v>
      </c>
      <c r="F92" s="868">
        <v>0.44718849141231815</v>
      </c>
      <c r="G92" s="868">
        <v>0.47089384815208407</v>
      </c>
      <c r="H92" s="868">
        <v>0.4855715871254162</v>
      </c>
      <c r="I92" s="868">
        <v>0.5631088913552843</v>
      </c>
      <c r="J92" s="868">
        <v>0.63706992230854609</v>
      </c>
    </row>
    <row r="93" spans="1:10" ht="16.5" customHeight="1" x14ac:dyDescent="0.25">
      <c r="A93" s="866" t="s">
        <v>228</v>
      </c>
      <c r="B93" s="867" t="s">
        <v>229</v>
      </c>
      <c r="C93" s="867" t="s">
        <v>268</v>
      </c>
      <c r="D93" s="868">
        <v>0.57800431717764511</v>
      </c>
      <c r="E93" s="868">
        <v>0.59208592236253088</v>
      </c>
      <c r="F93" s="868">
        <v>0.62505576718487255</v>
      </c>
      <c r="G93" s="868">
        <v>0.52772010591562857</v>
      </c>
      <c r="H93" s="868">
        <v>0.54298194806448496</v>
      </c>
      <c r="I93" s="868">
        <v>0.61547929336808571</v>
      </c>
      <c r="J93" s="868">
        <v>0.68043247417704411</v>
      </c>
    </row>
    <row r="94" spans="1:10" ht="16.5" customHeight="1" x14ac:dyDescent="0.25">
      <c r="A94" s="866" t="s">
        <v>232</v>
      </c>
      <c r="B94" s="867" t="s">
        <v>233</v>
      </c>
      <c r="C94" s="867" t="s">
        <v>267</v>
      </c>
      <c r="D94" s="868">
        <v>0.47227875772651889</v>
      </c>
      <c r="E94" s="868">
        <v>0.4538110095832405</v>
      </c>
      <c r="F94" s="868">
        <v>0.43354869323988904</v>
      </c>
      <c r="G94" s="868">
        <v>0.48687920190847972</v>
      </c>
      <c r="H94" s="868">
        <v>0.53723654181769365</v>
      </c>
      <c r="I94" s="868">
        <v>0.76137736608940798</v>
      </c>
      <c r="J94" s="868">
        <v>0.88453483689085788</v>
      </c>
    </row>
    <row r="95" spans="1:10" ht="16.5" customHeight="1" x14ac:dyDescent="0.25">
      <c r="A95" s="866" t="s">
        <v>234</v>
      </c>
      <c r="B95" s="867" t="s">
        <v>235</v>
      </c>
      <c r="C95" s="867" t="s">
        <v>268</v>
      </c>
      <c r="D95" s="868">
        <v>0.46882400828892834</v>
      </c>
      <c r="E95" s="868">
        <v>0.62364346365163692</v>
      </c>
      <c r="F95" s="868">
        <v>0.53939513403919803</v>
      </c>
      <c r="G95" s="868">
        <v>0.455614624984854</v>
      </c>
      <c r="H95" s="868">
        <v>0.52944655471144875</v>
      </c>
      <c r="I95" s="868">
        <v>0.63682027189124346</v>
      </c>
      <c r="J95" s="868">
        <v>0.71223510595761697</v>
      </c>
    </row>
    <row r="96" spans="1:10" ht="16.5" customHeight="1" x14ac:dyDescent="0.25">
      <c r="A96" s="866" t="s">
        <v>236</v>
      </c>
      <c r="B96" s="867" t="s">
        <v>237</v>
      </c>
      <c r="C96" s="867" t="s">
        <v>266</v>
      </c>
      <c r="D96" s="868">
        <v>0.5462735462735463</v>
      </c>
      <c r="E96" s="868">
        <v>0.513265965300849</v>
      </c>
      <c r="F96" s="868">
        <v>0.5342257453385183</v>
      </c>
      <c r="G96" s="868">
        <v>0.5818137414522957</v>
      </c>
      <c r="H96" s="868">
        <v>0.56161601681957185</v>
      </c>
      <c r="I96" s="868">
        <v>0.6993262614678899</v>
      </c>
      <c r="J96" s="868">
        <v>0.80183486238532109</v>
      </c>
    </row>
    <row r="97" spans="1:10" ht="16.5" customHeight="1" x14ac:dyDescent="0.25">
      <c r="A97" s="866" t="s">
        <v>242</v>
      </c>
      <c r="B97" s="867" t="s">
        <v>243</v>
      </c>
      <c r="C97" s="867" t="s">
        <v>268</v>
      </c>
      <c r="D97" s="868">
        <v>0.69689191711778986</v>
      </c>
      <c r="E97" s="868">
        <v>0.62440060570370992</v>
      </c>
      <c r="F97" s="868">
        <v>0.71126604692341744</v>
      </c>
      <c r="G97" s="868">
        <v>0.60497530966371482</v>
      </c>
      <c r="H97" s="868">
        <v>0.64847764173933464</v>
      </c>
      <c r="I97" s="868">
        <v>0.69858921283654829</v>
      </c>
      <c r="J97" s="868">
        <v>0.74560028186382454</v>
      </c>
    </row>
    <row r="98" spans="1:10" ht="16.5" customHeight="1" x14ac:dyDescent="0.25">
      <c r="A98" s="866" t="s">
        <v>244</v>
      </c>
      <c r="B98" s="867" t="s">
        <v>245</v>
      </c>
      <c r="C98" s="867" t="s">
        <v>268</v>
      </c>
      <c r="D98" s="868">
        <v>0.54605997210599722</v>
      </c>
      <c r="E98" s="868">
        <v>0.54923417178319134</v>
      </c>
      <c r="F98" s="868">
        <v>0.52853000956480156</v>
      </c>
      <c r="G98" s="868">
        <v>0.6088541666666667</v>
      </c>
      <c r="H98" s="868">
        <v>0.59619748543391593</v>
      </c>
      <c r="I98" s="868">
        <v>0.73888377798221405</v>
      </c>
      <c r="J98" s="868">
        <v>0.82211591536338546</v>
      </c>
    </row>
    <row r="99" spans="1:10" ht="16.5" customHeight="1" x14ac:dyDescent="0.25">
      <c r="A99" s="866" t="s">
        <v>246</v>
      </c>
      <c r="B99" s="867" t="s">
        <v>247</v>
      </c>
      <c r="C99" s="867" t="s">
        <v>264</v>
      </c>
      <c r="D99" s="868">
        <v>0.2849618780096308</v>
      </c>
      <c r="E99" s="868">
        <v>0.35629376323074419</v>
      </c>
      <c r="F99" s="868">
        <v>0.35438656876242924</v>
      </c>
      <c r="G99" s="868">
        <v>0.35473352822127274</v>
      </c>
      <c r="H99" s="868">
        <v>0.42803125261134789</v>
      </c>
      <c r="I99" s="868">
        <v>0.52887712839392542</v>
      </c>
      <c r="J99" s="868">
        <v>0.58421537045559135</v>
      </c>
    </row>
    <row r="100" spans="1:10" ht="16.5" customHeight="1" x14ac:dyDescent="0.25">
      <c r="A100" s="866" t="s">
        <v>14</v>
      </c>
      <c r="B100" s="867" t="s">
        <v>15</v>
      </c>
      <c r="C100" s="867" t="s">
        <v>267</v>
      </c>
      <c r="D100" s="868">
        <v>0.33114145746604434</v>
      </c>
      <c r="E100" s="868">
        <v>0.37817501101159889</v>
      </c>
      <c r="F100" s="868">
        <v>0.38753983428935629</v>
      </c>
      <c r="G100" s="868">
        <v>0.31247364934048066</v>
      </c>
      <c r="H100" s="868">
        <v>0.35414131710961683</v>
      </c>
      <c r="I100" s="868">
        <v>0.43976945244956772</v>
      </c>
      <c r="J100" s="868">
        <v>0.49606147934678196</v>
      </c>
    </row>
    <row r="101" spans="1:10" ht="16.5" customHeight="1" x14ac:dyDescent="0.25">
      <c r="A101" s="866" t="s">
        <v>34</v>
      </c>
      <c r="B101" s="867" t="s">
        <v>35</v>
      </c>
      <c r="C101" s="867" t="s">
        <v>268</v>
      </c>
      <c r="D101" s="868">
        <v>0.70840656121851198</v>
      </c>
      <c r="E101" s="868">
        <v>0.77620611265471073</v>
      </c>
      <c r="F101" s="868">
        <v>0.68836984980019289</v>
      </c>
      <c r="G101" s="868">
        <v>0.76550905313149298</v>
      </c>
      <c r="H101" s="868">
        <v>0.7749038266855639</v>
      </c>
      <c r="I101" s="868">
        <v>0.86660592562597016</v>
      </c>
      <c r="J101" s="868">
        <v>0.90730917189714522</v>
      </c>
    </row>
    <row r="102" spans="1:10" ht="16.5" customHeight="1" x14ac:dyDescent="0.25">
      <c r="A102" s="866" t="s">
        <v>52</v>
      </c>
      <c r="B102" s="867" t="s">
        <v>53</v>
      </c>
      <c r="C102" s="867" t="s">
        <v>265</v>
      </c>
      <c r="D102" s="868">
        <v>0.41685879969258716</v>
      </c>
      <c r="E102" s="868">
        <v>0.33503288104553403</v>
      </c>
      <c r="F102" s="868">
        <v>0.31238309016086796</v>
      </c>
      <c r="G102" s="868">
        <v>0.28185874616829826</v>
      </c>
      <c r="H102" s="868">
        <v>0.3432035144039875</v>
      </c>
      <c r="I102" s="868">
        <v>0.41021092055982655</v>
      </c>
      <c r="J102" s="868">
        <v>0.45381431105854525</v>
      </c>
    </row>
    <row r="103" spans="1:10" ht="16.5" customHeight="1" x14ac:dyDescent="0.25">
      <c r="A103" s="866" t="s">
        <v>54</v>
      </c>
      <c r="B103" s="867" t="s">
        <v>55</v>
      </c>
      <c r="C103" s="867" t="s">
        <v>264</v>
      </c>
      <c r="D103" s="868">
        <v>0.42821986001422313</v>
      </c>
      <c r="E103" s="868">
        <v>0.64449672455027551</v>
      </c>
      <c r="F103" s="868">
        <v>0.60965658081186969</v>
      </c>
      <c r="G103" s="868">
        <v>0.49046600285253461</v>
      </c>
      <c r="H103" s="868">
        <v>0.57360500049834129</v>
      </c>
      <c r="I103" s="868">
        <v>0.73518502698161836</v>
      </c>
      <c r="J103" s="868">
        <v>0.83347998803981038</v>
      </c>
    </row>
    <row r="104" spans="1:10" ht="16.5" customHeight="1" x14ac:dyDescent="0.25">
      <c r="A104" s="866" t="s">
        <v>66</v>
      </c>
      <c r="B104" s="867" t="s">
        <v>67</v>
      </c>
      <c r="C104" s="867" t="s">
        <v>265</v>
      </c>
      <c r="D104" s="868">
        <v>0.68400000000000005</v>
      </c>
      <c r="E104" s="868">
        <v>0.63773896542029795</v>
      </c>
      <c r="F104" s="868">
        <v>0.72739879025173804</v>
      </c>
      <c r="G104" s="868">
        <v>0.69586429613167577</v>
      </c>
      <c r="H104" s="868">
        <v>0.86617822157276614</v>
      </c>
      <c r="I104" s="868">
        <v>0.9767210586134113</v>
      </c>
      <c r="J104" s="868">
        <v>1.0337230069816528</v>
      </c>
    </row>
    <row r="105" spans="1:10" ht="16.5" customHeight="1" x14ac:dyDescent="0.25">
      <c r="A105" s="866" t="s">
        <v>82</v>
      </c>
      <c r="B105" s="867" t="s">
        <v>83</v>
      </c>
      <c r="C105" s="867" t="s">
        <v>264</v>
      </c>
      <c r="D105" s="868">
        <v>0.81553357009978011</v>
      </c>
      <c r="E105" s="868">
        <v>0.79458068422646078</v>
      </c>
      <c r="F105" s="868">
        <v>0.8303571428571429</v>
      </c>
      <c r="G105" s="868">
        <v>0.70039855072463764</v>
      </c>
      <c r="H105" s="868">
        <v>0.73646473514779043</v>
      </c>
      <c r="I105" s="868">
        <v>0.88458443078724025</v>
      </c>
      <c r="J105" s="868">
        <v>0.99122036874451269</v>
      </c>
    </row>
    <row r="106" spans="1:10" ht="16.5" customHeight="1" x14ac:dyDescent="0.25">
      <c r="A106" s="866" t="s">
        <v>88</v>
      </c>
      <c r="B106" s="867" t="s">
        <v>89</v>
      </c>
      <c r="C106" s="867" t="s">
        <v>267</v>
      </c>
      <c r="D106" s="868">
        <v>0.5725568942436412</v>
      </c>
      <c r="E106" s="868">
        <v>0.54702765358503058</v>
      </c>
      <c r="F106" s="868">
        <v>0.59358087126253212</v>
      </c>
      <c r="G106" s="868">
        <v>0.61054784774101745</v>
      </c>
      <c r="H106" s="868">
        <v>0.61038935705368291</v>
      </c>
      <c r="I106" s="868">
        <v>0.75813436329588013</v>
      </c>
      <c r="J106" s="868">
        <v>0.86671348314606744</v>
      </c>
    </row>
    <row r="107" spans="1:10" ht="16.5" customHeight="1" x14ac:dyDescent="0.25">
      <c r="A107" s="866" t="s">
        <v>90</v>
      </c>
      <c r="B107" s="867" t="s">
        <v>91</v>
      </c>
      <c r="C107" s="867" t="s">
        <v>268</v>
      </c>
      <c r="D107" s="868">
        <v>0.76820948782535681</v>
      </c>
      <c r="E107" s="868">
        <v>0.71312932809283169</v>
      </c>
      <c r="F107" s="868">
        <v>0.66785714285714282</v>
      </c>
      <c r="G107" s="868">
        <v>0.78565596080566136</v>
      </c>
      <c r="H107" s="868">
        <v>0.82949329096045199</v>
      </c>
      <c r="I107" s="868">
        <v>0.90841278248587576</v>
      </c>
      <c r="J107" s="868">
        <v>0.94671610169491527</v>
      </c>
    </row>
    <row r="108" spans="1:10" ht="16.5" customHeight="1" x14ac:dyDescent="0.25">
      <c r="A108" s="866" t="s">
        <v>106</v>
      </c>
      <c r="B108" s="867" t="s">
        <v>107</v>
      </c>
      <c r="C108" s="867" t="s">
        <v>264</v>
      </c>
      <c r="D108" s="868">
        <v>0.53503918856615951</v>
      </c>
      <c r="E108" s="868">
        <v>0.57655243985089799</v>
      </c>
      <c r="F108" s="868">
        <v>0.61185690027077888</v>
      </c>
      <c r="G108" s="868">
        <v>0.43562073576301985</v>
      </c>
      <c r="H108" s="868">
        <v>0.50907545975006141</v>
      </c>
      <c r="I108" s="868">
        <v>0.60921244782176043</v>
      </c>
      <c r="J108" s="868">
        <v>0.67985112239754975</v>
      </c>
    </row>
    <row r="109" spans="1:10" ht="16.5" customHeight="1" x14ac:dyDescent="0.25">
      <c r="A109" s="866" t="s">
        <v>116</v>
      </c>
      <c r="B109" s="867" t="s">
        <v>117</v>
      </c>
      <c r="C109" s="867" t="s">
        <v>266</v>
      </c>
      <c r="D109" s="868">
        <v>0.80158410524902668</v>
      </c>
      <c r="E109" s="868">
        <v>0.84147294725394239</v>
      </c>
      <c r="F109" s="868">
        <v>0.83261980618611442</v>
      </c>
      <c r="G109" s="868">
        <v>0.87963713764443541</v>
      </c>
      <c r="H109" s="868">
        <v>0.83398950131233596</v>
      </c>
      <c r="I109" s="868">
        <v>0.99469100453352421</v>
      </c>
      <c r="J109" s="868">
        <v>1.1075876879026485</v>
      </c>
    </row>
    <row r="110" spans="1:10" ht="16.5" customHeight="1" x14ac:dyDescent="0.25">
      <c r="A110" s="866" t="s">
        <v>138</v>
      </c>
      <c r="B110" s="867" t="s">
        <v>139</v>
      </c>
      <c r="C110" s="867" t="s">
        <v>265</v>
      </c>
      <c r="D110" s="868">
        <v>0.54354032833690225</v>
      </c>
      <c r="E110" s="868">
        <v>0.58127704892030907</v>
      </c>
      <c r="F110" s="868">
        <v>0.58389488605386541</v>
      </c>
      <c r="G110" s="868">
        <v>0.5148619346420279</v>
      </c>
      <c r="H110" s="868">
        <v>0.5520962687008456</v>
      </c>
      <c r="I110" s="868">
        <v>0.64487611613742535</v>
      </c>
      <c r="J110" s="868">
        <v>0.71736739400390281</v>
      </c>
    </row>
    <row r="111" spans="1:10" ht="16.5" customHeight="1" x14ac:dyDescent="0.25">
      <c r="A111" s="866" t="s">
        <v>142</v>
      </c>
      <c r="B111" s="867" t="s">
        <v>273</v>
      </c>
      <c r="C111" s="867" t="s">
        <v>267</v>
      </c>
      <c r="D111" s="868">
        <v>0.36495060466700735</v>
      </c>
      <c r="E111" s="868">
        <v>0.43618549297219655</v>
      </c>
      <c r="F111" s="868">
        <v>0.41141014858424446</v>
      </c>
      <c r="G111" s="868">
        <v>0.38660527103923331</v>
      </c>
      <c r="H111" s="868">
        <v>0.50482973149967258</v>
      </c>
      <c r="I111" s="868">
        <v>0.74433120497707927</v>
      </c>
      <c r="J111" s="868">
        <v>0.8598231827111984</v>
      </c>
    </row>
    <row r="112" spans="1:10" ht="16.5" customHeight="1" x14ac:dyDescent="0.25">
      <c r="A112" s="866" t="s">
        <v>144</v>
      </c>
      <c r="B112" s="867" t="s">
        <v>145</v>
      </c>
      <c r="C112" s="867" t="s">
        <v>267</v>
      </c>
      <c r="D112" s="868">
        <v>0.3795736824437731</v>
      </c>
      <c r="E112" s="868">
        <v>0.46124239169351949</v>
      </c>
      <c r="F112" s="868">
        <v>0.50808457711442789</v>
      </c>
      <c r="G112" s="868">
        <v>0.59380111220150478</v>
      </c>
      <c r="H112" s="868">
        <v>0.7590412828386216</v>
      </c>
      <c r="I112" s="868">
        <v>1.0617536676902082</v>
      </c>
      <c r="J112" s="868">
        <v>1.1977482088024565</v>
      </c>
    </row>
    <row r="113" spans="1:10" ht="16.5" customHeight="1" x14ac:dyDescent="0.25">
      <c r="A113" s="866" t="s">
        <v>158</v>
      </c>
      <c r="B113" s="867" t="s">
        <v>159</v>
      </c>
      <c r="C113" s="867" t="s">
        <v>264</v>
      </c>
      <c r="D113" s="868">
        <v>0.58625972595193832</v>
      </c>
      <c r="E113" s="868">
        <v>0.62731924326622335</v>
      </c>
      <c r="F113" s="868">
        <v>0.68828830342540936</v>
      </c>
      <c r="G113" s="868">
        <v>0.54461297491231353</v>
      </c>
      <c r="H113" s="868">
        <v>0.69319518164192861</v>
      </c>
      <c r="I113" s="868">
        <v>0.84594073461950015</v>
      </c>
      <c r="J113" s="868">
        <v>0.96594094650859741</v>
      </c>
    </row>
    <row r="114" spans="1:10" ht="16.5" customHeight="1" x14ac:dyDescent="0.25">
      <c r="A114" s="866" t="s">
        <v>160</v>
      </c>
      <c r="B114" s="867" t="s">
        <v>161</v>
      </c>
      <c r="C114" s="867" t="s">
        <v>264</v>
      </c>
      <c r="D114" s="868">
        <v>0.55881218781820696</v>
      </c>
      <c r="E114" s="868">
        <v>0.62203083062005682</v>
      </c>
      <c r="F114" s="868">
        <v>0.65347444006095146</v>
      </c>
      <c r="G114" s="868">
        <v>0.58223755086462159</v>
      </c>
      <c r="H114" s="868">
        <v>0.5902594626491805</v>
      </c>
      <c r="I114" s="868">
        <v>0.70016528776328624</v>
      </c>
      <c r="J114" s="868">
        <v>0.77657429820441493</v>
      </c>
    </row>
    <row r="115" spans="1:10" ht="16.5" customHeight="1" x14ac:dyDescent="0.25">
      <c r="A115" s="866" t="s">
        <v>166</v>
      </c>
      <c r="B115" s="867" t="s">
        <v>167</v>
      </c>
      <c r="C115" s="867" t="s">
        <v>268</v>
      </c>
      <c r="D115" s="868">
        <v>0.89052462526766596</v>
      </c>
      <c r="E115" s="868">
        <v>0.8070009460737938</v>
      </c>
      <c r="F115" s="868">
        <v>0.90500338066260988</v>
      </c>
      <c r="G115" s="868">
        <v>0.82953855494839102</v>
      </c>
      <c r="H115" s="868">
        <v>0.88517628205128207</v>
      </c>
      <c r="I115" s="868">
        <v>0.92940705128205126</v>
      </c>
      <c r="J115" s="868">
        <v>0.9736538461538462</v>
      </c>
    </row>
    <row r="116" spans="1:10" ht="16.5" customHeight="1" x14ac:dyDescent="0.25">
      <c r="A116" s="866" t="s">
        <v>176</v>
      </c>
      <c r="B116" s="867" t="s">
        <v>177</v>
      </c>
      <c r="C116" s="867" t="s">
        <v>266</v>
      </c>
      <c r="D116" s="868">
        <v>0.7949986012868161</v>
      </c>
      <c r="E116" s="868">
        <v>0.75586750672414427</v>
      </c>
      <c r="F116" s="868">
        <v>0.8542577745383868</v>
      </c>
      <c r="G116" s="868">
        <v>0.79937195350581181</v>
      </c>
      <c r="H116" s="868">
        <v>0.83724882629107977</v>
      </c>
      <c r="I116" s="868">
        <v>0.99456338028169011</v>
      </c>
      <c r="J116" s="868">
        <v>1.0993126760563381</v>
      </c>
    </row>
    <row r="117" spans="1:10" ht="16.5" customHeight="1" x14ac:dyDescent="0.25">
      <c r="A117" s="866" t="s">
        <v>180</v>
      </c>
      <c r="B117" s="867" t="s">
        <v>181</v>
      </c>
      <c r="C117" s="867" t="s">
        <v>264</v>
      </c>
      <c r="D117" s="868">
        <v>0.61106485978138536</v>
      </c>
      <c r="E117" s="868">
        <v>0.66628996178581412</v>
      </c>
      <c r="F117" s="868">
        <v>0.75725375524341632</v>
      </c>
      <c r="G117" s="868">
        <v>0.66542077505159369</v>
      </c>
      <c r="H117" s="868">
        <v>0.63847596952511887</v>
      </c>
      <c r="I117" s="868">
        <v>0.76133141433235951</v>
      </c>
      <c r="J117" s="868">
        <v>0.84777453170647876</v>
      </c>
    </row>
    <row r="118" spans="1:10" ht="16.5" customHeight="1" x14ac:dyDescent="0.25">
      <c r="A118" s="866" t="s">
        <v>192</v>
      </c>
      <c r="B118" s="867" t="s">
        <v>193</v>
      </c>
      <c r="C118" s="867" t="s">
        <v>268</v>
      </c>
      <c r="D118" s="868">
        <v>0.30696784073506889</v>
      </c>
      <c r="E118" s="868">
        <v>0.25727826675693977</v>
      </c>
      <c r="F118" s="868">
        <v>0.31304554489672459</v>
      </c>
      <c r="G118" s="868">
        <v>0.20295520070969172</v>
      </c>
      <c r="H118" s="868">
        <v>0.27385086823289073</v>
      </c>
      <c r="I118" s="868">
        <v>0.31847122914538645</v>
      </c>
      <c r="J118" s="868">
        <v>0.34606741573033706</v>
      </c>
    </row>
    <row r="119" spans="1:10" ht="16.5" customHeight="1" x14ac:dyDescent="0.25">
      <c r="A119" s="866" t="s">
        <v>196</v>
      </c>
      <c r="B119" s="867" t="s">
        <v>197</v>
      </c>
      <c r="C119" s="867" t="s">
        <v>266</v>
      </c>
      <c r="D119" s="868">
        <v>0.63020319462446717</v>
      </c>
      <c r="E119" s="868">
        <v>0.72582216292908119</v>
      </c>
      <c r="F119" s="868">
        <v>0.68280742978628173</v>
      </c>
      <c r="G119" s="868">
        <v>0.56104123161924646</v>
      </c>
      <c r="H119" s="868">
        <v>0.5408664480207459</v>
      </c>
      <c r="I119" s="868">
        <v>0.61187298197442352</v>
      </c>
      <c r="J119" s="868">
        <v>0.68735870642971553</v>
      </c>
    </row>
    <row r="120" spans="1:10" ht="16.5" customHeight="1" x14ac:dyDescent="0.25">
      <c r="A120" s="866" t="s">
        <v>200</v>
      </c>
      <c r="B120" s="867" t="s">
        <v>201</v>
      </c>
      <c r="C120" s="867" t="s">
        <v>265</v>
      </c>
      <c r="D120" s="868">
        <v>0.56488408061486983</v>
      </c>
      <c r="E120" s="868">
        <v>0.63448695339799488</v>
      </c>
      <c r="F120" s="868">
        <v>0.66952366756103221</v>
      </c>
      <c r="G120" s="868">
        <v>0.64317729083665343</v>
      </c>
      <c r="H120" s="868">
        <v>0.69297988233346874</v>
      </c>
      <c r="I120" s="868">
        <v>0.83221234144359679</v>
      </c>
      <c r="J120" s="868">
        <v>0.93290299282264255</v>
      </c>
    </row>
    <row r="121" spans="1:10" ht="16.5" customHeight="1" x14ac:dyDescent="0.25">
      <c r="A121" s="866" t="s">
        <v>222</v>
      </c>
      <c r="B121" s="867" t="s">
        <v>223</v>
      </c>
      <c r="C121" s="867" t="s">
        <v>264</v>
      </c>
      <c r="D121" s="868">
        <v>0.62066855776183327</v>
      </c>
      <c r="E121" s="868">
        <v>0.64036893683603724</v>
      </c>
      <c r="F121" s="868">
        <v>0.66446627997575969</v>
      </c>
      <c r="G121" s="868">
        <v>0.60240908129823445</v>
      </c>
      <c r="H121" s="868">
        <v>0.65524980483996875</v>
      </c>
      <c r="I121" s="868">
        <v>0.80273502843760458</v>
      </c>
      <c r="J121" s="868">
        <v>0.90807962529274</v>
      </c>
    </row>
    <row r="122" spans="1:10" ht="16.5" customHeight="1" x14ac:dyDescent="0.25">
      <c r="A122" s="866" t="s">
        <v>230</v>
      </c>
      <c r="B122" s="867" t="s">
        <v>231</v>
      </c>
      <c r="C122" s="867" t="s">
        <v>264</v>
      </c>
      <c r="D122" s="868">
        <v>0.33338861593106262</v>
      </c>
      <c r="E122" s="868">
        <v>0.39706846825490894</v>
      </c>
      <c r="F122" s="868">
        <v>0.397593649417676</v>
      </c>
      <c r="G122" s="868">
        <v>0.40719128191355158</v>
      </c>
      <c r="H122" s="868">
        <v>0.4476939617884772</v>
      </c>
      <c r="I122" s="868">
        <v>0.59181517091376457</v>
      </c>
      <c r="J122" s="868">
        <v>0.69770879161620403</v>
      </c>
    </row>
    <row r="123" spans="1:10" ht="16.5" customHeight="1" x14ac:dyDescent="0.25">
      <c r="A123" s="866" t="s">
        <v>238</v>
      </c>
      <c r="B123" s="867" t="s">
        <v>239</v>
      </c>
      <c r="C123" s="867" t="s">
        <v>264</v>
      </c>
      <c r="D123" s="868">
        <v>0.25940860215053763</v>
      </c>
      <c r="E123" s="868">
        <v>0.22802366682034733</v>
      </c>
      <c r="F123" s="868">
        <v>0.25445917198494516</v>
      </c>
      <c r="G123" s="868">
        <v>0.22870004391743523</v>
      </c>
      <c r="H123" s="868">
        <v>0.29020141984480768</v>
      </c>
      <c r="I123" s="868">
        <v>0.36346376093775795</v>
      </c>
      <c r="J123" s="868">
        <v>0.43704804358593363</v>
      </c>
    </row>
    <row r="124" spans="1:10" ht="16.5" customHeight="1" x14ac:dyDescent="0.25">
      <c r="A124" s="870" t="s">
        <v>240</v>
      </c>
      <c r="B124" s="871" t="s">
        <v>241</v>
      </c>
      <c r="C124" s="871" t="s">
        <v>267</v>
      </c>
      <c r="D124" s="872">
        <v>0.43303273213092852</v>
      </c>
      <c r="E124" s="872">
        <v>0.4561613363552422</v>
      </c>
      <c r="F124" s="872">
        <v>0.39335079295795139</v>
      </c>
      <c r="G124" s="872">
        <v>0.47347957288765086</v>
      </c>
      <c r="H124" s="872">
        <v>0.53933652895077222</v>
      </c>
      <c r="I124" s="872">
        <v>0.76238301757589588</v>
      </c>
      <c r="J124" s="872">
        <v>0.89915544396256564</v>
      </c>
    </row>
    <row r="126" spans="1:10" x14ac:dyDescent="0.25">
      <c r="A126" s="844" t="s">
        <v>803</v>
      </c>
    </row>
    <row r="127" spans="1:10" ht="18" x14ac:dyDescent="0.25">
      <c r="A127" s="857" t="s">
        <v>802</v>
      </c>
    </row>
    <row r="128" spans="1:10" ht="18" x14ac:dyDescent="0.25">
      <c r="A128" s="857"/>
    </row>
    <row r="129" spans="1:10" x14ac:dyDescent="0.25">
      <c r="A129" s="2328" t="s">
        <v>248</v>
      </c>
      <c r="B129" s="2328"/>
      <c r="C129" s="2328"/>
      <c r="D129" s="2328"/>
      <c r="E129" s="2328"/>
      <c r="F129" s="2328"/>
      <c r="G129" s="2328"/>
      <c r="H129" s="2328"/>
      <c r="I129" s="2328"/>
      <c r="J129" s="2328"/>
    </row>
    <row r="130" spans="1:10" x14ac:dyDescent="0.25">
      <c r="A130" s="845" t="s">
        <v>249</v>
      </c>
      <c r="B130" s="588" t="s">
        <v>250</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5" topLeftCell="A6" activePane="bottomLeft" state="frozen"/>
      <selection pane="bottomLeft" activeCell="C15" sqref="C15"/>
    </sheetView>
  </sheetViews>
  <sheetFormatPr defaultRowHeight="15.75" x14ac:dyDescent="0.25"/>
  <cols>
    <col min="1" max="1" width="9.125" style="684" customWidth="1"/>
    <col min="2" max="2" width="35" style="684" customWidth="1"/>
    <col min="3" max="3" width="11.25" style="684" customWidth="1"/>
    <col min="4" max="9" width="9" style="838"/>
    <col min="10" max="10" width="12.75" style="838" customWidth="1"/>
    <col min="11" max="16384" width="9" style="728"/>
  </cols>
  <sheetData>
    <row r="1" spans="1:10" x14ac:dyDescent="0.25">
      <c r="A1" s="64" t="s">
        <v>771</v>
      </c>
      <c r="B1" s="728"/>
      <c r="C1" s="728"/>
    </row>
    <row r="2" spans="1:10" x14ac:dyDescent="0.25">
      <c r="A2" s="728"/>
      <c r="B2" s="728"/>
      <c r="C2" s="728"/>
    </row>
    <row r="3" spans="1:10" x14ac:dyDescent="0.25">
      <c r="A3" s="728"/>
      <c r="B3" s="728"/>
      <c r="C3" s="728"/>
      <c r="E3" s="2329" t="s">
        <v>769</v>
      </c>
      <c r="F3" s="2329"/>
      <c r="G3" s="2329"/>
      <c r="H3" s="2330" t="s">
        <v>770</v>
      </c>
      <c r="I3" s="2330"/>
      <c r="J3" s="2330"/>
    </row>
    <row r="4" spans="1:10" x14ac:dyDescent="0.25">
      <c r="A4" s="685" t="s">
        <v>4</v>
      </c>
      <c r="B4" s="697" t="s">
        <v>5</v>
      </c>
      <c r="C4" s="685" t="s">
        <v>251</v>
      </c>
      <c r="D4" s="839" t="s">
        <v>281</v>
      </c>
      <c r="E4" s="839" t="s">
        <v>2</v>
      </c>
      <c r="F4" s="839" t="s">
        <v>445</v>
      </c>
      <c r="G4" s="839" t="s">
        <v>446</v>
      </c>
      <c r="H4" s="839" t="s">
        <v>768</v>
      </c>
      <c r="I4" s="840" t="s">
        <v>780</v>
      </c>
      <c r="J4" s="839" t="s">
        <v>781</v>
      </c>
    </row>
    <row r="5" spans="1:10" x14ac:dyDescent="0.25">
      <c r="A5" s="849">
        <v>999</v>
      </c>
      <c r="B5" s="850" t="s">
        <v>9</v>
      </c>
      <c r="C5" s="849"/>
      <c r="D5" s="918">
        <f t="shared" ref="D5:J5" si="0">SUM(D6:D125)</f>
        <v>6028</v>
      </c>
      <c r="E5" s="918">
        <f t="shared" si="0"/>
        <v>3741</v>
      </c>
      <c r="F5" s="918">
        <f t="shared" si="0"/>
        <v>2059</v>
      </c>
      <c r="G5" s="918">
        <f t="shared" si="0"/>
        <v>228</v>
      </c>
      <c r="H5" s="918">
        <f t="shared" si="0"/>
        <v>664</v>
      </c>
      <c r="I5" s="918">
        <f t="shared" si="0"/>
        <v>2489</v>
      </c>
      <c r="J5" s="918">
        <f t="shared" si="0"/>
        <v>2924</v>
      </c>
    </row>
    <row r="6" spans="1:10" x14ac:dyDescent="0.25">
      <c r="A6" s="676" t="s">
        <v>10</v>
      </c>
      <c r="B6" s="677" t="s">
        <v>11</v>
      </c>
      <c r="C6" s="678" t="s">
        <v>264</v>
      </c>
      <c r="D6" s="841">
        <v>46</v>
      </c>
      <c r="E6" s="841">
        <v>30</v>
      </c>
      <c r="F6" s="841">
        <v>16</v>
      </c>
      <c r="G6" s="841">
        <v>0</v>
      </c>
      <c r="H6" s="841">
        <v>4</v>
      </c>
      <c r="I6" s="841">
        <v>20</v>
      </c>
      <c r="J6" s="841">
        <v>22</v>
      </c>
    </row>
    <row r="7" spans="1:10" x14ac:dyDescent="0.25">
      <c r="A7" s="676" t="s">
        <v>12</v>
      </c>
      <c r="B7" s="677" t="s">
        <v>13</v>
      </c>
      <c r="C7" s="678" t="s">
        <v>265</v>
      </c>
      <c r="D7" s="841">
        <v>52</v>
      </c>
      <c r="E7" s="841">
        <v>38</v>
      </c>
      <c r="F7" s="841">
        <v>12</v>
      </c>
      <c r="G7" s="841">
        <v>2</v>
      </c>
      <c r="H7" s="841">
        <v>2</v>
      </c>
      <c r="I7" s="841">
        <v>8</v>
      </c>
      <c r="J7" s="841">
        <v>42</v>
      </c>
    </row>
    <row r="8" spans="1:10" x14ac:dyDescent="0.25">
      <c r="A8" s="676" t="s">
        <v>16</v>
      </c>
      <c r="B8" s="677" t="s">
        <v>297</v>
      </c>
      <c r="C8" s="678" t="s">
        <v>265</v>
      </c>
      <c r="D8" s="841">
        <v>13</v>
      </c>
      <c r="E8" s="841">
        <v>12</v>
      </c>
      <c r="F8" s="841">
        <v>1</v>
      </c>
      <c r="G8" s="841">
        <v>0</v>
      </c>
      <c r="H8" s="841">
        <v>2</v>
      </c>
      <c r="I8" s="841">
        <v>5</v>
      </c>
      <c r="J8" s="841">
        <v>7</v>
      </c>
    </row>
    <row r="9" spans="1:10" x14ac:dyDescent="0.25">
      <c r="A9" s="676" t="s">
        <v>18</v>
      </c>
      <c r="B9" s="677" t="s">
        <v>19</v>
      </c>
      <c r="C9" s="678" t="s">
        <v>266</v>
      </c>
      <c r="D9" s="841">
        <v>17</v>
      </c>
      <c r="E9" s="841">
        <v>10</v>
      </c>
      <c r="F9" s="841">
        <v>6</v>
      </c>
      <c r="G9" s="841">
        <v>1</v>
      </c>
      <c r="H9" s="841">
        <v>2</v>
      </c>
      <c r="I9" s="841">
        <v>3</v>
      </c>
      <c r="J9" s="841">
        <v>12</v>
      </c>
    </row>
    <row r="10" spans="1:10" x14ac:dyDescent="0.25">
      <c r="A10" s="676" t="s">
        <v>20</v>
      </c>
      <c r="B10" s="677" t="s">
        <v>21</v>
      </c>
      <c r="C10" s="678" t="s">
        <v>265</v>
      </c>
      <c r="D10" s="841">
        <v>31</v>
      </c>
      <c r="E10" s="841">
        <v>21</v>
      </c>
      <c r="F10" s="841">
        <v>10</v>
      </c>
      <c r="G10" s="841">
        <v>0</v>
      </c>
      <c r="H10" s="841">
        <v>2</v>
      </c>
      <c r="I10" s="841">
        <v>9</v>
      </c>
      <c r="J10" s="841">
        <v>20</v>
      </c>
    </row>
    <row r="11" spans="1:10" x14ac:dyDescent="0.25">
      <c r="A11" s="676" t="s">
        <v>22</v>
      </c>
      <c r="B11" s="677" t="s">
        <v>23</v>
      </c>
      <c r="C11" s="678" t="s">
        <v>265</v>
      </c>
      <c r="D11" s="841">
        <v>22</v>
      </c>
      <c r="E11" s="841">
        <v>10</v>
      </c>
      <c r="F11" s="841">
        <v>10</v>
      </c>
      <c r="G11" s="841">
        <v>2</v>
      </c>
      <c r="H11" s="841">
        <v>1</v>
      </c>
      <c r="I11" s="841">
        <v>9</v>
      </c>
      <c r="J11" s="841">
        <v>12</v>
      </c>
    </row>
    <row r="12" spans="1:10" x14ac:dyDescent="0.25">
      <c r="A12" s="676" t="s">
        <v>24</v>
      </c>
      <c r="B12" s="677" t="s">
        <v>25</v>
      </c>
      <c r="C12" s="678" t="s">
        <v>267</v>
      </c>
      <c r="D12" s="841">
        <v>84</v>
      </c>
      <c r="E12" s="841">
        <v>64</v>
      </c>
      <c r="F12" s="841">
        <v>12</v>
      </c>
      <c r="G12" s="841">
        <v>8</v>
      </c>
      <c r="H12" s="841">
        <v>3</v>
      </c>
      <c r="I12" s="841">
        <v>33</v>
      </c>
      <c r="J12" s="841">
        <v>48</v>
      </c>
    </row>
    <row r="13" spans="1:10" x14ac:dyDescent="0.25">
      <c r="A13" s="676" t="s">
        <v>26</v>
      </c>
      <c r="B13" s="677" t="s">
        <v>298</v>
      </c>
      <c r="C13" s="678" t="s">
        <v>265</v>
      </c>
      <c r="D13" s="841">
        <v>97</v>
      </c>
      <c r="E13" s="841">
        <v>84</v>
      </c>
      <c r="F13" s="841">
        <v>10</v>
      </c>
      <c r="G13" s="841">
        <v>3</v>
      </c>
      <c r="H13" s="841">
        <v>6</v>
      </c>
      <c r="I13" s="841">
        <v>30</v>
      </c>
      <c r="J13" s="841">
        <v>62</v>
      </c>
    </row>
    <row r="14" spans="1:10" x14ac:dyDescent="0.25">
      <c r="A14" s="676" t="s">
        <v>27</v>
      </c>
      <c r="B14" s="677" t="s">
        <v>28</v>
      </c>
      <c r="C14" s="678" t="s">
        <v>265</v>
      </c>
      <c r="D14" s="841">
        <v>1</v>
      </c>
      <c r="E14" s="841">
        <v>0</v>
      </c>
      <c r="F14" s="841">
        <v>1</v>
      </c>
      <c r="G14" s="841">
        <v>0</v>
      </c>
      <c r="H14" s="841">
        <v>0</v>
      </c>
      <c r="I14" s="841">
        <v>1</v>
      </c>
      <c r="J14" s="841">
        <v>0</v>
      </c>
    </row>
    <row r="15" spans="1:10" x14ac:dyDescent="0.25">
      <c r="A15" s="676" t="s">
        <v>29</v>
      </c>
      <c r="B15" s="677" t="s">
        <v>924</v>
      </c>
      <c r="C15" s="678" t="s">
        <v>265</v>
      </c>
      <c r="D15" s="841">
        <v>70</v>
      </c>
      <c r="E15" s="841">
        <v>55</v>
      </c>
      <c r="F15" s="841">
        <v>14</v>
      </c>
      <c r="G15" s="841">
        <v>1</v>
      </c>
      <c r="H15" s="841">
        <v>2</v>
      </c>
      <c r="I15" s="841">
        <v>23</v>
      </c>
      <c r="J15" s="841">
        <v>45</v>
      </c>
    </row>
    <row r="16" spans="1:10" x14ac:dyDescent="0.25">
      <c r="A16" s="676" t="s">
        <v>30</v>
      </c>
      <c r="B16" s="677" t="s">
        <v>31</v>
      </c>
      <c r="C16" s="678" t="s">
        <v>268</v>
      </c>
      <c r="D16" s="841">
        <v>3</v>
      </c>
      <c r="E16" s="841">
        <v>3</v>
      </c>
      <c r="F16" s="841">
        <v>0</v>
      </c>
      <c r="G16" s="841">
        <v>0</v>
      </c>
      <c r="H16" s="841">
        <v>0</v>
      </c>
      <c r="I16" s="841">
        <v>0</v>
      </c>
      <c r="J16" s="841">
        <v>3</v>
      </c>
    </row>
    <row r="17" spans="1:10" x14ac:dyDescent="0.25">
      <c r="A17" s="676" t="s">
        <v>32</v>
      </c>
      <c r="B17" s="677" t="s">
        <v>33</v>
      </c>
      <c r="C17" s="678" t="s">
        <v>265</v>
      </c>
      <c r="D17" s="841">
        <v>19</v>
      </c>
      <c r="E17" s="841">
        <v>19</v>
      </c>
      <c r="F17" s="841">
        <v>0</v>
      </c>
      <c r="G17" s="841">
        <v>0</v>
      </c>
      <c r="H17" s="841">
        <v>1</v>
      </c>
      <c r="I17" s="841">
        <v>6</v>
      </c>
      <c r="J17" s="841">
        <v>12</v>
      </c>
    </row>
    <row r="18" spans="1:10" x14ac:dyDescent="0.25">
      <c r="A18" s="676" t="s">
        <v>36</v>
      </c>
      <c r="B18" s="677" t="s">
        <v>37</v>
      </c>
      <c r="C18" s="678" t="s">
        <v>264</v>
      </c>
      <c r="D18" s="841">
        <v>31</v>
      </c>
      <c r="E18" s="841">
        <v>6</v>
      </c>
      <c r="F18" s="841">
        <v>25</v>
      </c>
      <c r="G18" s="841">
        <v>0</v>
      </c>
      <c r="H18" s="841">
        <v>2</v>
      </c>
      <c r="I18" s="841">
        <v>17</v>
      </c>
      <c r="J18" s="841">
        <v>12</v>
      </c>
    </row>
    <row r="19" spans="1:10" x14ac:dyDescent="0.25">
      <c r="A19" s="676" t="s">
        <v>38</v>
      </c>
      <c r="B19" s="677" t="s">
        <v>39</v>
      </c>
      <c r="C19" s="678" t="s">
        <v>268</v>
      </c>
      <c r="D19" s="841">
        <v>28</v>
      </c>
      <c r="E19" s="841">
        <v>28</v>
      </c>
      <c r="F19" s="841">
        <v>0</v>
      </c>
      <c r="G19" s="841">
        <v>0</v>
      </c>
      <c r="H19" s="841">
        <v>5</v>
      </c>
      <c r="I19" s="841">
        <v>13</v>
      </c>
      <c r="J19" s="841">
        <v>10</v>
      </c>
    </row>
    <row r="20" spans="1:10" x14ac:dyDescent="0.25">
      <c r="A20" s="676" t="s">
        <v>40</v>
      </c>
      <c r="B20" s="677" t="s">
        <v>41</v>
      </c>
      <c r="C20" s="678" t="s">
        <v>266</v>
      </c>
      <c r="D20" s="841">
        <v>15</v>
      </c>
      <c r="E20" s="841">
        <v>8</v>
      </c>
      <c r="F20" s="841">
        <v>7</v>
      </c>
      <c r="G20" s="841">
        <v>0</v>
      </c>
      <c r="H20" s="841">
        <v>3</v>
      </c>
      <c r="I20" s="841">
        <v>6</v>
      </c>
      <c r="J20" s="841">
        <v>6</v>
      </c>
    </row>
    <row r="21" spans="1:10" x14ac:dyDescent="0.25">
      <c r="A21" s="676" t="s">
        <v>42</v>
      </c>
      <c r="B21" s="677" t="s">
        <v>43</v>
      </c>
      <c r="C21" s="678" t="s">
        <v>265</v>
      </c>
      <c r="D21" s="841">
        <v>45</v>
      </c>
      <c r="E21" s="841">
        <v>36</v>
      </c>
      <c r="F21" s="841">
        <v>7</v>
      </c>
      <c r="G21" s="841">
        <v>2</v>
      </c>
      <c r="H21" s="841">
        <v>3</v>
      </c>
      <c r="I21" s="841">
        <v>5</v>
      </c>
      <c r="J21" s="841">
        <v>37</v>
      </c>
    </row>
    <row r="22" spans="1:10" x14ac:dyDescent="0.25">
      <c r="A22" s="676" t="s">
        <v>44</v>
      </c>
      <c r="B22" s="677" t="s">
        <v>45</v>
      </c>
      <c r="C22" s="678" t="s">
        <v>266</v>
      </c>
      <c r="D22" s="841">
        <v>7</v>
      </c>
      <c r="E22" s="841">
        <v>6</v>
      </c>
      <c r="F22" s="841">
        <v>1</v>
      </c>
      <c r="G22" s="841">
        <v>0</v>
      </c>
      <c r="H22" s="841">
        <v>0</v>
      </c>
      <c r="I22" s="841">
        <v>2</v>
      </c>
      <c r="J22" s="841">
        <v>5</v>
      </c>
    </row>
    <row r="23" spans="1:10" x14ac:dyDescent="0.25">
      <c r="A23" s="676" t="s">
        <v>46</v>
      </c>
      <c r="B23" s="677" t="s">
        <v>47</v>
      </c>
      <c r="C23" s="678" t="s">
        <v>268</v>
      </c>
      <c r="D23" s="841">
        <v>40</v>
      </c>
      <c r="E23" s="841">
        <v>39</v>
      </c>
      <c r="F23" s="841">
        <v>0</v>
      </c>
      <c r="G23" s="841">
        <v>1</v>
      </c>
      <c r="H23" s="841">
        <v>5</v>
      </c>
      <c r="I23" s="841">
        <v>19</v>
      </c>
      <c r="J23" s="841">
        <v>16</v>
      </c>
    </row>
    <row r="24" spans="1:10" x14ac:dyDescent="0.25">
      <c r="A24" s="676" t="s">
        <v>48</v>
      </c>
      <c r="B24" s="677" t="s">
        <v>269</v>
      </c>
      <c r="C24" s="678" t="s">
        <v>266</v>
      </c>
      <c r="D24" s="841">
        <v>8</v>
      </c>
      <c r="E24" s="841">
        <v>4</v>
      </c>
      <c r="F24" s="841">
        <v>4</v>
      </c>
      <c r="G24" s="841">
        <v>0</v>
      </c>
      <c r="H24" s="841">
        <v>1</v>
      </c>
      <c r="I24" s="841">
        <v>6</v>
      </c>
      <c r="J24" s="841">
        <v>1</v>
      </c>
    </row>
    <row r="25" spans="1:10" x14ac:dyDescent="0.25">
      <c r="A25" s="676" t="s">
        <v>50</v>
      </c>
      <c r="B25" s="677" t="s">
        <v>51</v>
      </c>
      <c r="C25" s="678" t="s">
        <v>265</v>
      </c>
      <c r="D25" s="841">
        <v>21</v>
      </c>
      <c r="E25" s="841">
        <v>14</v>
      </c>
      <c r="F25" s="841">
        <v>7</v>
      </c>
      <c r="G25" s="841">
        <v>0</v>
      </c>
      <c r="H25" s="841">
        <v>1</v>
      </c>
      <c r="I25" s="841">
        <v>7</v>
      </c>
      <c r="J25" s="841">
        <v>13</v>
      </c>
    </row>
    <row r="26" spans="1:10" x14ac:dyDescent="0.25">
      <c r="A26" s="676" t="s">
        <v>56</v>
      </c>
      <c r="B26" s="677" t="s">
        <v>295</v>
      </c>
      <c r="C26" s="678" t="s">
        <v>266</v>
      </c>
      <c r="D26" s="841">
        <v>146</v>
      </c>
      <c r="E26" s="841">
        <v>101</v>
      </c>
      <c r="F26" s="841">
        <v>41</v>
      </c>
      <c r="G26" s="841">
        <v>4</v>
      </c>
      <c r="H26" s="841">
        <v>32</v>
      </c>
      <c r="I26" s="841">
        <v>66</v>
      </c>
      <c r="J26" s="841">
        <v>49</v>
      </c>
    </row>
    <row r="27" spans="1:10" x14ac:dyDescent="0.25">
      <c r="A27" s="676" t="s">
        <v>58</v>
      </c>
      <c r="B27" s="677" t="s">
        <v>59</v>
      </c>
      <c r="C27" s="678" t="s">
        <v>267</v>
      </c>
      <c r="D27" s="841">
        <v>4</v>
      </c>
      <c r="E27" s="841">
        <v>4</v>
      </c>
      <c r="F27" s="841">
        <v>0</v>
      </c>
      <c r="G27" s="841">
        <v>0</v>
      </c>
      <c r="H27" s="841">
        <v>0</v>
      </c>
      <c r="I27" s="841">
        <v>1</v>
      </c>
      <c r="J27" s="841">
        <v>3</v>
      </c>
    </row>
    <row r="28" spans="1:10" x14ac:dyDescent="0.25">
      <c r="A28" s="676" t="s">
        <v>60</v>
      </c>
      <c r="B28" s="677" t="s">
        <v>61</v>
      </c>
      <c r="C28" s="678" t="s">
        <v>265</v>
      </c>
      <c r="D28" s="841">
        <v>5</v>
      </c>
      <c r="E28" s="841">
        <v>5</v>
      </c>
      <c r="F28" s="841">
        <v>0</v>
      </c>
      <c r="G28" s="841">
        <v>0</v>
      </c>
      <c r="H28" s="841">
        <v>0</v>
      </c>
      <c r="I28" s="841">
        <v>1</v>
      </c>
      <c r="J28" s="841">
        <v>4</v>
      </c>
    </row>
    <row r="29" spans="1:10" x14ac:dyDescent="0.25">
      <c r="A29" s="676" t="s">
        <v>62</v>
      </c>
      <c r="B29" s="677" t="s">
        <v>63</v>
      </c>
      <c r="C29" s="678" t="s">
        <v>267</v>
      </c>
      <c r="D29" s="841">
        <v>12</v>
      </c>
      <c r="E29" s="841">
        <v>10</v>
      </c>
      <c r="F29" s="841">
        <v>2</v>
      </c>
      <c r="G29" s="841">
        <v>0</v>
      </c>
      <c r="H29" s="841">
        <v>0</v>
      </c>
      <c r="I29" s="841">
        <v>6</v>
      </c>
      <c r="J29" s="841">
        <v>6</v>
      </c>
    </row>
    <row r="30" spans="1:10" x14ac:dyDescent="0.25">
      <c r="A30" s="676" t="s">
        <v>64</v>
      </c>
      <c r="B30" s="677" t="s">
        <v>65</v>
      </c>
      <c r="C30" s="678" t="s">
        <v>266</v>
      </c>
      <c r="D30" s="841">
        <v>14</v>
      </c>
      <c r="E30" s="841">
        <v>3</v>
      </c>
      <c r="F30" s="841">
        <v>11</v>
      </c>
      <c r="G30" s="841">
        <v>0</v>
      </c>
      <c r="H30" s="841">
        <v>1</v>
      </c>
      <c r="I30" s="841">
        <v>4</v>
      </c>
      <c r="J30" s="841">
        <v>9</v>
      </c>
    </row>
    <row r="31" spans="1:10" x14ac:dyDescent="0.25">
      <c r="A31" s="676" t="s">
        <v>68</v>
      </c>
      <c r="B31" s="677" t="s">
        <v>69</v>
      </c>
      <c r="C31" s="678" t="s">
        <v>268</v>
      </c>
      <c r="D31" s="841">
        <v>10</v>
      </c>
      <c r="E31" s="841">
        <v>10</v>
      </c>
      <c r="F31" s="841">
        <v>0</v>
      </c>
      <c r="G31" s="841">
        <v>0</v>
      </c>
      <c r="H31" s="841">
        <v>2</v>
      </c>
      <c r="I31" s="841">
        <v>3</v>
      </c>
      <c r="J31" s="841">
        <v>5</v>
      </c>
    </row>
    <row r="32" spans="1:10" x14ac:dyDescent="0.25">
      <c r="A32" s="676" t="s">
        <v>70</v>
      </c>
      <c r="B32" s="677" t="s">
        <v>71</v>
      </c>
      <c r="C32" s="678" t="s">
        <v>264</v>
      </c>
      <c r="D32" s="841">
        <v>52</v>
      </c>
      <c r="E32" s="841">
        <v>22</v>
      </c>
      <c r="F32" s="841">
        <v>28</v>
      </c>
      <c r="G32" s="841">
        <v>2</v>
      </c>
      <c r="H32" s="841">
        <v>12</v>
      </c>
      <c r="I32" s="841">
        <v>28</v>
      </c>
      <c r="J32" s="841">
        <v>13</v>
      </c>
    </row>
    <row r="33" spans="1:10" x14ac:dyDescent="0.25">
      <c r="A33" s="676" t="s">
        <v>72</v>
      </c>
      <c r="B33" s="677" t="s">
        <v>73</v>
      </c>
      <c r="C33" s="678" t="s">
        <v>266</v>
      </c>
      <c r="D33" s="841">
        <v>5</v>
      </c>
      <c r="E33" s="841">
        <v>0</v>
      </c>
      <c r="F33" s="841">
        <v>5</v>
      </c>
      <c r="G33" s="841">
        <v>0</v>
      </c>
      <c r="H33" s="841">
        <v>1</v>
      </c>
      <c r="I33" s="841">
        <v>3</v>
      </c>
      <c r="J33" s="841">
        <v>1</v>
      </c>
    </row>
    <row r="34" spans="1:10" x14ac:dyDescent="0.25">
      <c r="A34" s="676" t="s">
        <v>74</v>
      </c>
      <c r="B34" s="677" t="s">
        <v>640</v>
      </c>
      <c r="C34" s="678" t="s">
        <v>267</v>
      </c>
      <c r="D34" s="841">
        <v>248</v>
      </c>
      <c r="E34" s="841">
        <v>162</v>
      </c>
      <c r="F34" s="841">
        <v>41</v>
      </c>
      <c r="G34" s="841">
        <v>45</v>
      </c>
      <c r="H34" s="841">
        <v>20</v>
      </c>
      <c r="I34" s="841">
        <v>98</v>
      </c>
      <c r="J34" s="841">
        <v>132</v>
      </c>
    </row>
    <row r="35" spans="1:10" x14ac:dyDescent="0.25">
      <c r="A35" s="676" t="s">
        <v>76</v>
      </c>
      <c r="B35" s="677" t="s">
        <v>77</v>
      </c>
      <c r="C35" s="678" t="s">
        <v>267</v>
      </c>
      <c r="D35" s="841">
        <v>19</v>
      </c>
      <c r="E35" s="841">
        <v>16</v>
      </c>
      <c r="F35" s="841">
        <v>3</v>
      </c>
      <c r="G35" s="841">
        <v>0</v>
      </c>
      <c r="H35" s="841">
        <v>4</v>
      </c>
      <c r="I35" s="841">
        <v>2</v>
      </c>
      <c r="J35" s="841">
        <v>13</v>
      </c>
    </row>
    <row r="36" spans="1:10" x14ac:dyDescent="0.25">
      <c r="A36" s="676" t="s">
        <v>78</v>
      </c>
      <c r="B36" s="677" t="s">
        <v>79</v>
      </c>
      <c r="C36" s="678" t="s">
        <v>268</v>
      </c>
      <c r="D36" s="841">
        <v>14</v>
      </c>
      <c r="E36" s="841">
        <v>14</v>
      </c>
      <c r="F36" s="841">
        <v>0</v>
      </c>
      <c r="G36" s="841">
        <v>0</v>
      </c>
      <c r="H36" s="841">
        <v>2</v>
      </c>
      <c r="I36" s="841">
        <v>5</v>
      </c>
      <c r="J36" s="841">
        <v>8</v>
      </c>
    </row>
    <row r="37" spans="1:10" x14ac:dyDescent="0.25">
      <c r="A37" s="676" t="s">
        <v>80</v>
      </c>
      <c r="B37" s="677" t="s">
        <v>81</v>
      </c>
      <c r="C37" s="678" t="s">
        <v>266</v>
      </c>
      <c r="D37" s="841">
        <v>5</v>
      </c>
      <c r="E37" s="841">
        <v>1</v>
      </c>
      <c r="F37" s="841">
        <v>4</v>
      </c>
      <c r="G37" s="841">
        <v>0</v>
      </c>
      <c r="H37" s="841">
        <v>1</v>
      </c>
      <c r="I37" s="841">
        <v>1</v>
      </c>
      <c r="J37" s="841">
        <v>3</v>
      </c>
    </row>
    <row r="38" spans="1:10" x14ac:dyDescent="0.25">
      <c r="A38" s="676" t="s">
        <v>84</v>
      </c>
      <c r="B38" s="677" t="s">
        <v>85</v>
      </c>
      <c r="C38" s="678" t="s">
        <v>265</v>
      </c>
      <c r="D38" s="841">
        <v>46</v>
      </c>
      <c r="E38" s="841">
        <v>36</v>
      </c>
      <c r="F38" s="841">
        <v>4</v>
      </c>
      <c r="G38" s="841">
        <v>6</v>
      </c>
      <c r="H38" s="841">
        <v>3</v>
      </c>
      <c r="I38" s="841">
        <v>14</v>
      </c>
      <c r="J38" s="841">
        <v>29</v>
      </c>
    </row>
    <row r="39" spans="1:10" x14ac:dyDescent="0.25">
      <c r="A39" s="676" t="s">
        <v>86</v>
      </c>
      <c r="B39" s="677" t="s">
        <v>87</v>
      </c>
      <c r="C39" s="678" t="s">
        <v>267</v>
      </c>
      <c r="D39" s="841">
        <v>25</v>
      </c>
      <c r="E39" s="841">
        <v>21</v>
      </c>
      <c r="F39" s="841">
        <v>2</v>
      </c>
      <c r="G39" s="841">
        <v>2</v>
      </c>
      <c r="H39" s="841">
        <v>1</v>
      </c>
      <c r="I39" s="841">
        <v>9</v>
      </c>
      <c r="J39" s="841">
        <v>15</v>
      </c>
    </row>
    <row r="40" spans="1:10" x14ac:dyDescent="0.25">
      <c r="A40" s="676" t="s">
        <v>92</v>
      </c>
      <c r="B40" s="677" t="s">
        <v>93</v>
      </c>
      <c r="C40" s="678" t="s">
        <v>268</v>
      </c>
      <c r="D40" s="841">
        <v>8</v>
      </c>
      <c r="E40" s="841">
        <v>8</v>
      </c>
      <c r="F40" s="841">
        <v>0</v>
      </c>
      <c r="G40" s="841">
        <v>0</v>
      </c>
      <c r="H40" s="841">
        <v>1</v>
      </c>
      <c r="I40" s="841">
        <v>5</v>
      </c>
      <c r="J40" s="841">
        <v>2</v>
      </c>
    </row>
    <row r="41" spans="1:10" x14ac:dyDescent="0.25">
      <c r="A41" s="676" t="s">
        <v>94</v>
      </c>
      <c r="B41" s="677" t="s">
        <v>95</v>
      </c>
      <c r="C41" s="678" t="s">
        <v>264</v>
      </c>
      <c r="D41" s="841">
        <v>40</v>
      </c>
      <c r="E41" s="841">
        <v>28</v>
      </c>
      <c r="F41" s="841">
        <v>10</v>
      </c>
      <c r="G41" s="841">
        <v>2</v>
      </c>
      <c r="H41" s="841">
        <v>13</v>
      </c>
      <c r="I41" s="841">
        <v>17</v>
      </c>
      <c r="J41" s="841">
        <v>12</v>
      </c>
    </row>
    <row r="42" spans="1:10" x14ac:dyDescent="0.25">
      <c r="A42" s="676" t="s">
        <v>96</v>
      </c>
      <c r="B42" s="677" t="s">
        <v>97</v>
      </c>
      <c r="C42" s="678" t="s">
        <v>266</v>
      </c>
      <c r="D42" s="841">
        <v>10</v>
      </c>
      <c r="E42" s="841">
        <v>6</v>
      </c>
      <c r="F42" s="841">
        <v>4</v>
      </c>
      <c r="G42" s="841">
        <v>0</v>
      </c>
      <c r="H42" s="841">
        <v>1</v>
      </c>
      <c r="I42" s="841">
        <v>1</v>
      </c>
      <c r="J42" s="841">
        <v>8</v>
      </c>
    </row>
    <row r="43" spans="1:10" x14ac:dyDescent="0.25">
      <c r="A43" s="676" t="s">
        <v>98</v>
      </c>
      <c r="B43" s="677" t="s">
        <v>99</v>
      </c>
      <c r="C43" s="678" t="s">
        <v>268</v>
      </c>
      <c r="D43" s="841">
        <v>30</v>
      </c>
      <c r="E43" s="841">
        <v>27</v>
      </c>
      <c r="F43" s="841">
        <v>2</v>
      </c>
      <c r="G43" s="841">
        <v>1</v>
      </c>
      <c r="H43" s="841">
        <v>5</v>
      </c>
      <c r="I43" s="841">
        <v>12</v>
      </c>
      <c r="J43" s="841">
        <v>13</v>
      </c>
    </row>
    <row r="44" spans="1:10" x14ac:dyDescent="0.25">
      <c r="A44" s="676" t="s">
        <v>100</v>
      </c>
      <c r="B44" s="677" t="s">
        <v>101</v>
      </c>
      <c r="C44" s="678" t="s">
        <v>267</v>
      </c>
      <c r="D44" s="841">
        <v>10</v>
      </c>
      <c r="E44" s="841">
        <v>6</v>
      </c>
      <c r="F44" s="841">
        <v>1</v>
      </c>
      <c r="G44" s="841">
        <v>3</v>
      </c>
      <c r="H44" s="841">
        <v>0</v>
      </c>
      <c r="I44" s="841">
        <v>0</v>
      </c>
      <c r="J44" s="841">
        <v>10</v>
      </c>
    </row>
    <row r="45" spans="1:10" x14ac:dyDescent="0.25">
      <c r="A45" s="676" t="s">
        <v>102</v>
      </c>
      <c r="B45" s="677" t="s">
        <v>282</v>
      </c>
      <c r="C45" s="678" t="s">
        <v>264</v>
      </c>
      <c r="D45" s="841">
        <v>25</v>
      </c>
      <c r="E45" s="841">
        <v>13</v>
      </c>
      <c r="F45" s="841">
        <v>12</v>
      </c>
      <c r="G45" s="841">
        <v>0</v>
      </c>
      <c r="H45" s="841">
        <v>1</v>
      </c>
      <c r="I45" s="841">
        <v>4</v>
      </c>
      <c r="J45" s="841">
        <v>20</v>
      </c>
    </row>
    <row r="46" spans="1:10" x14ac:dyDescent="0.25">
      <c r="A46" s="676" t="s">
        <v>104</v>
      </c>
      <c r="B46" s="677" t="s">
        <v>105</v>
      </c>
      <c r="C46" s="678" t="s">
        <v>265</v>
      </c>
      <c r="D46" s="841">
        <v>52</v>
      </c>
      <c r="E46" s="841">
        <v>22</v>
      </c>
      <c r="F46" s="841">
        <v>29</v>
      </c>
      <c r="G46" s="841">
        <v>1</v>
      </c>
      <c r="H46" s="841">
        <v>4</v>
      </c>
      <c r="I46" s="841">
        <v>23</v>
      </c>
      <c r="J46" s="841">
        <v>25</v>
      </c>
    </row>
    <row r="47" spans="1:10" x14ac:dyDescent="0.25">
      <c r="A47" s="676" t="s">
        <v>108</v>
      </c>
      <c r="B47" s="677" t="s">
        <v>109</v>
      </c>
      <c r="C47" s="678" t="s">
        <v>266</v>
      </c>
      <c r="D47" s="841">
        <v>31</v>
      </c>
      <c r="E47" s="841">
        <v>20</v>
      </c>
      <c r="F47" s="841">
        <v>11</v>
      </c>
      <c r="G47" s="841">
        <v>0</v>
      </c>
      <c r="H47" s="841">
        <v>4</v>
      </c>
      <c r="I47" s="841">
        <v>12</v>
      </c>
      <c r="J47" s="841">
        <v>15</v>
      </c>
    </row>
    <row r="48" spans="1:10" x14ac:dyDescent="0.25">
      <c r="A48" s="676" t="s">
        <v>110</v>
      </c>
      <c r="B48" s="677" t="s">
        <v>111</v>
      </c>
      <c r="C48" s="678" t="s">
        <v>266</v>
      </c>
      <c r="D48" s="841">
        <v>162</v>
      </c>
      <c r="E48" s="841">
        <v>92</v>
      </c>
      <c r="F48" s="841">
        <v>60</v>
      </c>
      <c r="G48" s="841">
        <v>10</v>
      </c>
      <c r="H48" s="841">
        <v>23</v>
      </c>
      <c r="I48" s="841">
        <v>60</v>
      </c>
      <c r="J48" s="841">
        <v>80</v>
      </c>
    </row>
    <row r="49" spans="1:10" x14ac:dyDescent="0.25">
      <c r="A49" s="676" t="s">
        <v>112</v>
      </c>
      <c r="B49" s="677" t="s">
        <v>300</v>
      </c>
      <c r="C49" s="678" t="s">
        <v>265</v>
      </c>
      <c r="D49" s="841">
        <v>66</v>
      </c>
      <c r="E49" s="841">
        <v>46</v>
      </c>
      <c r="F49" s="841">
        <v>19</v>
      </c>
      <c r="G49" s="841">
        <v>1</v>
      </c>
      <c r="H49" s="841">
        <v>3</v>
      </c>
      <c r="I49" s="841">
        <v>30</v>
      </c>
      <c r="J49" s="841">
        <v>33</v>
      </c>
    </row>
    <row r="50" spans="1:10" x14ac:dyDescent="0.25">
      <c r="A50" s="676" t="s">
        <v>114</v>
      </c>
      <c r="B50" s="677" t="s">
        <v>115</v>
      </c>
      <c r="C50" s="678" t="s">
        <v>265</v>
      </c>
      <c r="D50" s="841">
        <v>3</v>
      </c>
      <c r="E50" s="841">
        <v>3</v>
      </c>
      <c r="F50" s="841">
        <v>0</v>
      </c>
      <c r="G50" s="841">
        <v>0</v>
      </c>
      <c r="H50" s="841">
        <v>0</v>
      </c>
      <c r="I50" s="841">
        <v>1</v>
      </c>
      <c r="J50" s="841">
        <v>2</v>
      </c>
    </row>
    <row r="51" spans="1:10" x14ac:dyDescent="0.25">
      <c r="A51" s="676" t="s">
        <v>118</v>
      </c>
      <c r="B51" s="677" t="s">
        <v>270</v>
      </c>
      <c r="C51" s="678" t="s">
        <v>264</v>
      </c>
      <c r="D51" s="841">
        <v>14</v>
      </c>
      <c r="E51" s="841">
        <v>5</v>
      </c>
      <c r="F51" s="841">
        <v>9</v>
      </c>
      <c r="G51" s="841">
        <v>0</v>
      </c>
      <c r="H51" s="841">
        <v>2</v>
      </c>
      <c r="I51" s="841">
        <v>7</v>
      </c>
      <c r="J51" s="841">
        <v>5</v>
      </c>
    </row>
    <row r="52" spans="1:10" x14ac:dyDescent="0.25">
      <c r="A52" s="676" t="s">
        <v>120</v>
      </c>
      <c r="B52" s="677" t="s">
        <v>121</v>
      </c>
      <c r="C52" s="678" t="s">
        <v>264</v>
      </c>
      <c r="D52" s="841">
        <v>31</v>
      </c>
      <c r="E52" s="841">
        <v>15</v>
      </c>
      <c r="F52" s="841">
        <v>15</v>
      </c>
      <c r="G52" s="841">
        <v>1</v>
      </c>
      <c r="H52" s="841">
        <v>6</v>
      </c>
      <c r="I52" s="841">
        <v>15</v>
      </c>
      <c r="J52" s="841">
        <v>10</v>
      </c>
    </row>
    <row r="53" spans="1:10" x14ac:dyDescent="0.25">
      <c r="A53" s="676" t="s">
        <v>122</v>
      </c>
      <c r="B53" s="677" t="s">
        <v>287</v>
      </c>
      <c r="C53" s="678" t="s">
        <v>266</v>
      </c>
      <c r="D53" s="841">
        <v>5</v>
      </c>
      <c r="E53" s="841">
        <v>1</v>
      </c>
      <c r="F53" s="841">
        <v>4</v>
      </c>
      <c r="G53" s="841">
        <v>0</v>
      </c>
      <c r="H53" s="841">
        <v>1</v>
      </c>
      <c r="I53" s="841">
        <v>3</v>
      </c>
      <c r="J53" s="841">
        <v>1</v>
      </c>
    </row>
    <row r="54" spans="1:10" x14ac:dyDescent="0.25">
      <c r="A54" s="676" t="s">
        <v>124</v>
      </c>
      <c r="B54" s="677" t="s">
        <v>125</v>
      </c>
      <c r="C54" s="678" t="s">
        <v>267</v>
      </c>
      <c r="D54" s="841">
        <v>2</v>
      </c>
      <c r="E54" s="841">
        <v>1</v>
      </c>
      <c r="F54" s="841">
        <v>1</v>
      </c>
      <c r="G54" s="841">
        <v>0</v>
      </c>
      <c r="H54" s="841">
        <v>0</v>
      </c>
      <c r="I54" s="841">
        <v>0</v>
      </c>
      <c r="J54" s="841">
        <v>2</v>
      </c>
    </row>
    <row r="55" spans="1:10" x14ac:dyDescent="0.25">
      <c r="A55" s="676" t="s">
        <v>126</v>
      </c>
      <c r="B55" s="677" t="s">
        <v>127</v>
      </c>
      <c r="C55" s="678" t="s">
        <v>266</v>
      </c>
      <c r="D55" s="841">
        <v>14</v>
      </c>
      <c r="E55" s="841">
        <v>6</v>
      </c>
      <c r="F55" s="841">
        <v>8</v>
      </c>
      <c r="G55" s="841">
        <v>0</v>
      </c>
      <c r="H55" s="841">
        <v>3</v>
      </c>
      <c r="I55" s="841">
        <v>7</v>
      </c>
      <c r="J55" s="841">
        <v>4</v>
      </c>
    </row>
    <row r="56" spans="1:10" x14ac:dyDescent="0.25">
      <c r="A56" s="676" t="s">
        <v>128</v>
      </c>
      <c r="B56" s="677" t="s">
        <v>129</v>
      </c>
      <c r="C56" s="678" t="s">
        <v>266</v>
      </c>
      <c r="D56" s="841">
        <v>8</v>
      </c>
      <c r="E56" s="841">
        <v>5</v>
      </c>
      <c r="F56" s="841">
        <v>3</v>
      </c>
      <c r="G56" s="841">
        <v>0</v>
      </c>
      <c r="H56" s="841">
        <v>0</v>
      </c>
      <c r="I56" s="841">
        <v>5</v>
      </c>
      <c r="J56" s="841">
        <v>3</v>
      </c>
    </row>
    <row r="57" spans="1:10" x14ac:dyDescent="0.25">
      <c r="A57" s="676" t="s">
        <v>130</v>
      </c>
      <c r="B57" s="677" t="s">
        <v>131</v>
      </c>
      <c r="C57" s="678" t="s">
        <v>268</v>
      </c>
      <c r="D57" s="841">
        <v>112</v>
      </c>
      <c r="E57" s="841">
        <v>110</v>
      </c>
      <c r="F57" s="841">
        <v>0</v>
      </c>
      <c r="G57" s="841">
        <v>2</v>
      </c>
      <c r="H57" s="841">
        <v>17</v>
      </c>
      <c r="I57" s="841">
        <v>65</v>
      </c>
      <c r="J57" s="841">
        <v>31</v>
      </c>
    </row>
    <row r="58" spans="1:10" x14ac:dyDescent="0.25">
      <c r="A58" s="676" t="s">
        <v>132</v>
      </c>
      <c r="B58" s="677" t="s">
        <v>133</v>
      </c>
      <c r="C58" s="678" t="s">
        <v>267</v>
      </c>
      <c r="D58" s="841">
        <v>23</v>
      </c>
      <c r="E58" s="841">
        <v>18</v>
      </c>
      <c r="F58" s="841">
        <v>4</v>
      </c>
      <c r="G58" s="841">
        <v>1</v>
      </c>
      <c r="H58" s="841">
        <v>2</v>
      </c>
      <c r="I58" s="841">
        <v>6</v>
      </c>
      <c r="J58" s="841">
        <v>16</v>
      </c>
    </row>
    <row r="59" spans="1:10" x14ac:dyDescent="0.25">
      <c r="A59" s="676" t="s">
        <v>134</v>
      </c>
      <c r="B59" s="677" t="s">
        <v>135</v>
      </c>
      <c r="C59" s="678" t="s">
        <v>267</v>
      </c>
      <c r="D59" s="841">
        <v>13</v>
      </c>
      <c r="E59" s="841">
        <v>7</v>
      </c>
      <c r="F59" s="841">
        <v>6</v>
      </c>
      <c r="G59" s="841">
        <v>0</v>
      </c>
      <c r="H59" s="841">
        <v>2</v>
      </c>
      <c r="I59" s="841">
        <v>5</v>
      </c>
      <c r="J59" s="841">
        <v>6</v>
      </c>
    </row>
    <row r="60" spans="1:10" x14ac:dyDescent="0.25">
      <c r="A60" s="676" t="s">
        <v>136</v>
      </c>
      <c r="B60" s="677" t="s">
        <v>137</v>
      </c>
      <c r="C60" s="678" t="s">
        <v>266</v>
      </c>
      <c r="D60" s="841">
        <v>15</v>
      </c>
      <c r="E60" s="841">
        <v>7</v>
      </c>
      <c r="F60" s="841">
        <v>8</v>
      </c>
      <c r="G60" s="841">
        <v>0</v>
      </c>
      <c r="H60" s="841">
        <v>3</v>
      </c>
      <c r="I60" s="841">
        <v>5</v>
      </c>
      <c r="J60" s="841">
        <v>7</v>
      </c>
    </row>
    <row r="61" spans="1:10" x14ac:dyDescent="0.25">
      <c r="A61" s="676" t="s">
        <v>140</v>
      </c>
      <c r="B61" s="677" t="s">
        <v>141</v>
      </c>
      <c r="C61" s="678" t="s">
        <v>267</v>
      </c>
      <c r="D61" s="841">
        <v>11</v>
      </c>
      <c r="E61" s="841">
        <v>9</v>
      </c>
      <c r="F61" s="841">
        <v>1</v>
      </c>
      <c r="G61" s="841">
        <v>1</v>
      </c>
      <c r="H61" s="841">
        <v>0</v>
      </c>
      <c r="I61" s="841">
        <v>2</v>
      </c>
      <c r="J61" s="841">
        <v>9</v>
      </c>
    </row>
    <row r="62" spans="1:10" x14ac:dyDescent="0.25">
      <c r="A62" s="676" t="s">
        <v>146</v>
      </c>
      <c r="B62" s="677" t="s">
        <v>147</v>
      </c>
      <c r="C62" s="678" t="s">
        <v>264</v>
      </c>
      <c r="D62" s="841">
        <v>4</v>
      </c>
      <c r="E62" s="841">
        <v>4</v>
      </c>
      <c r="F62" s="841">
        <v>0</v>
      </c>
      <c r="G62" s="841">
        <v>0</v>
      </c>
      <c r="H62" s="841">
        <v>0</v>
      </c>
      <c r="I62" s="841">
        <v>3</v>
      </c>
      <c r="J62" s="841">
        <v>1</v>
      </c>
    </row>
    <row r="63" spans="1:10" x14ac:dyDescent="0.25">
      <c r="A63" s="676" t="s">
        <v>148</v>
      </c>
      <c r="B63" s="677" t="s">
        <v>149</v>
      </c>
      <c r="C63" s="678" t="s">
        <v>265</v>
      </c>
      <c r="D63" s="841">
        <v>60</v>
      </c>
      <c r="E63" s="841">
        <v>26</v>
      </c>
      <c r="F63" s="841">
        <v>32</v>
      </c>
      <c r="G63" s="841">
        <v>2</v>
      </c>
      <c r="H63" s="841">
        <v>2</v>
      </c>
      <c r="I63" s="841">
        <v>25</v>
      </c>
      <c r="J63" s="841">
        <v>34</v>
      </c>
    </row>
    <row r="64" spans="1:10" x14ac:dyDescent="0.25">
      <c r="A64" s="676" t="s">
        <v>150</v>
      </c>
      <c r="B64" s="677" t="s">
        <v>151</v>
      </c>
      <c r="C64" s="678" t="s">
        <v>266</v>
      </c>
      <c r="D64" s="841">
        <v>9</v>
      </c>
      <c r="E64" s="841">
        <v>3</v>
      </c>
      <c r="F64" s="841">
        <v>5</v>
      </c>
      <c r="G64" s="841">
        <v>1</v>
      </c>
      <c r="H64" s="841">
        <v>0</v>
      </c>
      <c r="I64" s="841">
        <v>7</v>
      </c>
      <c r="J64" s="841">
        <v>2</v>
      </c>
    </row>
    <row r="65" spans="1:10" x14ac:dyDescent="0.25">
      <c r="A65" s="676" t="s">
        <v>152</v>
      </c>
      <c r="B65" s="677" t="s">
        <v>153</v>
      </c>
      <c r="C65" s="678" t="s">
        <v>268</v>
      </c>
      <c r="D65" s="841">
        <v>55</v>
      </c>
      <c r="E65" s="841">
        <v>51</v>
      </c>
      <c r="F65" s="841">
        <v>2</v>
      </c>
      <c r="G65" s="841">
        <v>2</v>
      </c>
      <c r="H65" s="841">
        <v>5</v>
      </c>
      <c r="I65" s="841">
        <v>18</v>
      </c>
      <c r="J65" s="841">
        <v>33</v>
      </c>
    </row>
    <row r="66" spans="1:10" x14ac:dyDescent="0.25">
      <c r="A66" s="676" t="s">
        <v>154</v>
      </c>
      <c r="B66" s="677" t="s">
        <v>155</v>
      </c>
      <c r="C66" s="678" t="s">
        <v>265</v>
      </c>
      <c r="D66" s="841">
        <v>24</v>
      </c>
      <c r="E66" s="841">
        <v>12</v>
      </c>
      <c r="F66" s="841">
        <v>11</v>
      </c>
      <c r="G66" s="841">
        <v>1</v>
      </c>
      <c r="H66" s="841">
        <v>3</v>
      </c>
      <c r="I66" s="841">
        <v>7</v>
      </c>
      <c r="J66" s="841">
        <v>14</v>
      </c>
    </row>
    <row r="67" spans="1:10" x14ac:dyDescent="0.25">
      <c r="A67" s="676" t="s">
        <v>156</v>
      </c>
      <c r="B67" s="677" t="s">
        <v>157</v>
      </c>
      <c r="C67" s="678" t="s">
        <v>266</v>
      </c>
      <c r="D67" s="841">
        <v>9</v>
      </c>
      <c r="E67" s="841">
        <v>7</v>
      </c>
      <c r="F67" s="841">
        <v>2</v>
      </c>
      <c r="G67" s="841">
        <v>0</v>
      </c>
      <c r="H67" s="841">
        <v>2</v>
      </c>
      <c r="I67" s="841">
        <v>7</v>
      </c>
      <c r="J67" s="841">
        <v>0</v>
      </c>
    </row>
    <row r="68" spans="1:10" x14ac:dyDescent="0.25">
      <c r="A68" s="676" t="s">
        <v>162</v>
      </c>
      <c r="B68" s="677" t="s">
        <v>163</v>
      </c>
      <c r="C68" s="678" t="s">
        <v>264</v>
      </c>
      <c r="D68" s="841">
        <v>21</v>
      </c>
      <c r="E68" s="841">
        <v>9</v>
      </c>
      <c r="F68" s="841">
        <v>12</v>
      </c>
      <c r="G68" s="841">
        <v>0</v>
      </c>
      <c r="H68" s="841">
        <v>1</v>
      </c>
      <c r="I68" s="841">
        <v>11</v>
      </c>
      <c r="J68" s="841">
        <v>9</v>
      </c>
    </row>
    <row r="69" spans="1:10" x14ac:dyDescent="0.25">
      <c r="A69" s="676" t="s">
        <v>164</v>
      </c>
      <c r="B69" s="677" t="s">
        <v>165</v>
      </c>
      <c r="C69" s="678" t="s">
        <v>266</v>
      </c>
      <c r="D69" s="841">
        <v>12</v>
      </c>
      <c r="E69" s="841">
        <v>10</v>
      </c>
      <c r="F69" s="841">
        <v>2</v>
      </c>
      <c r="G69" s="841">
        <v>0</v>
      </c>
      <c r="H69" s="841">
        <v>3</v>
      </c>
      <c r="I69" s="841">
        <v>6</v>
      </c>
      <c r="J69" s="841">
        <v>3</v>
      </c>
    </row>
    <row r="70" spans="1:10" x14ac:dyDescent="0.25">
      <c r="A70" s="676" t="s">
        <v>168</v>
      </c>
      <c r="B70" s="677" t="s">
        <v>169</v>
      </c>
      <c r="C70" s="678" t="s">
        <v>266</v>
      </c>
      <c r="D70" s="841">
        <v>15</v>
      </c>
      <c r="E70" s="841">
        <v>4</v>
      </c>
      <c r="F70" s="841">
        <v>11</v>
      </c>
      <c r="G70" s="841">
        <v>0</v>
      </c>
      <c r="H70" s="841">
        <v>0</v>
      </c>
      <c r="I70" s="841">
        <v>7</v>
      </c>
      <c r="J70" s="841">
        <v>8</v>
      </c>
    </row>
    <row r="71" spans="1:10" x14ac:dyDescent="0.25">
      <c r="A71" s="676" t="s">
        <v>170</v>
      </c>
      <c r="B71" s="677" t="s">
        <v>171</v>
      </c>
      <c r="C71" s="678" t="s">
        <v>267</v>
      </c>
      <c r="D71" s="841">
        <v>16</v>
      </c>
      <c r="E71" s="841">
        <v>7</v>
      </c>
      <c r="F71" s="841">
        <v>8</v>
      </c>
      <c r="G71" s="841">
        <v>1</v>
      </c>
      <c r="H71" s="841">
        <v>1</v>
      </c>
      <c r="I71" s="841">
        <v>8</v>
      </c>
      <c r="J71" s="841">
        <v>8</v>
      </c>
    </row>
    <row r="72" spans="1:10" x14ac:dyDescent="0.25">
      <c r="A72" s="676" t="s">
        <v>172</v>
      </c>
      <c r="B72" s="677" t="s">
        <v>173</v>
      </c>
      <c r="C72" s="678" t="s">
        <v>267</v>
      </c>
      <c r="D72" s="841">
        <v>23</v>
      </c>
      <c r="E72" s="841">
        <v>23</v>
      </c>
      <c r="F72" s="841">
        <v>0</v>
      </c>
      <c r="G72" s="841">
        <v>0</v>
      </c>
      <c r="H72" s="841">
        <v>0</v>
      </c>
      <c r="I72" s="841">
        <v>7</v>
      </c>
      <c r="J72" s="841">
        <v>16</v>
      </c>
    </row>
    <row r="73" spans="1:10" x14ac:dyDescent="0.25">
      <c r="A73" s="676" t="s">
        <v>174</v>
      </c>
      <c r="B73" s="677" t="s">
        <v>175</v>
      </c>
      <c r="C73" s="678" t="s">
        <v>268</v>
      </c>
      <c r="D73" s="841">
        <v>25</v>
      </c>
      <c r="E73" s="841">
        <v>21</v>
      </c>
      <c r="F73" s="841">
        <v>0</v>
      </c>
      <c r="G73" s="841">
        <v>4</v>
      </c>
      <c r="H73" s="841">
        <v>1</v>
      </c>
      <c r="I73" s="841">
        <v>7</v>
      </c>
      <c r="J73" s="841">
        <v>17</v>
      </c>
    </row>
    <row r="74" spans="1:10" x14ac:dyDescent="0.25">
      <c r="A74" s="676" t="s">
        <v>178</v>
      </c>
      <c r="B74" s="677" t="s">
        <v>179</v>
      </c>
      <c r="C74" s="678" t="s">
        <v>265</v>
      </c>
      <c r="D74" s="841">
        <v>43</v>
      </c>
      <c r="E74" s="841">
        <v>27</v>
      </c>
      <c r="F74" s="841">
        <v>14</v>
      </c>
      <c r="G74" s="841">
        <v>2</v>
      </c>
      <c r="H74" s="841">
        <v>1</v>
      </c>
      <c r="I74" s="841">
        <v>12</v>
      </c>
      <c r="J74" s="841">
        <v>30</v>
      </c>
    </row>
    <row r="75" spans="1:10" x14ac:dyDescent="0.25">
      <c r="A75" s="676" t="s">
        <v>182</v>
      </c>
      <c r="B75" s="677" t="s">
        <v>183</v>
      </c>
      <c r="C75" s="678" t="s">
        <v>266</v>
      </c>
      <c r="D75" s="841">
        <v>11</v>
      </c>
      <c r="E75" s="841">
        <v>6</v>
      </c>
      <c r="F75" s="841">
        <v>5</v>
      </c>
      <c r="G75" s="841">
        <v>0</v>
      </c>
      <c r="H75" s="841">
        <v>1</v>
      </c>
      <c r="I75" s="841">
        <v>7</v>
      </c>
      <c r="J75" s="841">
        <v>3</v>
      </c>
    </row>
    <row r="76" spans="1:10" x14ac:dyDescent="0.25">
      <c r="A76" s="676" t="s">
        <v>184</v>
      </c>
      <c r="B76" s="677" t="s">
        <v>185</v>
      </c>
      <c r="C76" s="678" t="s">
        <v>266</v>
      </c>
      <c r="D76" s="841">
        <v>28</v>
      </c>
      <c r="E76" s="841">
        <v>12</v>
      </c>
      <c r="F76" s="841">
        <v>16</v>
      </c>
      <c r="G76" s="841">
        <v>0</v>
      </c>
      <c r="H76" s="841">
        <v>4</v>
      </c>
      <c r="I76" s="841">
        <v>12</v>
      </c>
      <c r="J76" s="841">
        <v>12</v>
      </c>
    </row>
    <row r="77" spans="1:10" x14ac:dyDescent="0.25">
      <c r="A77" s="676" t="s">
        <v>186</v>
      </c>
      <c r="B77" s="677" t="s">
        <v>187</v>
      </c>
      <c r="C77" s="678" t="s">
        <v>264</v>
      </c>
      <c r="D77" s="841">
        <v>6</v>
      </c>
      <c r="E77" s="841">
        <v>4</v>
      </c>
      <c r="F77" s="841">
        <v>2</v>
      </c>
      <c r="G77" s="841">
        <v>0</v>
      </c>
      <c r="H77" s="841">
        <v>4</v>
      </c>
      <c r="I77" s="841">
        <v>2</v>
      </c>
      <c r="J77" s="841">
        <v>0</v>
      </c>
    </row>
    <row r="78" spans="1:10" x14ac:dyDescent="0.25">
      <c r="A78" s="676" t="s">
        <v>188</v>
      </c>
      <c r="B78" s="677" t="s">
        <v>189</v>
      </c>
      <c r="C78" s="678" t="s">
        <v>267</v>
      </c>
      <c r="D78" s="841">
        <v>80</v>
      </c>
      <c r="E78" s="841">
        <v>48</v>
      </c>
      <c r="F78" s="841">
        <v>22</v>
      </c>
      <c r="G78" s="841">
        <v>10</v>
      </c>
      <c r="H78" s="841">
        <v>9</v>
      </c>
      <c r="I78" s="841">
        <v>23</v>
      </c>
      <c r="J78" s="841">
        <v>48</v>
      </c>
    </row>
    <row r="79" spans="1:10" x14ac:dyDescent="0.25">
      <c r="A79" s="676" t="s">
        <v>190</v>
      </c>
      <c r="B79" s="677" t="s">
        <v>191</v>
      </c>
      <c r="C79" s="678" t="s">
        <v>268</v>
      </c>
      <c r="D79" s="841">
        <v>49</v>
      </c>
      <c r="E79" s="841">
        <v>44</v>
      </c>
      <c r="F79" s="841">
        <v>4</v>
      </c>
      <c r="G79" s="841">
        <v>1</v>
      </c>
      <c r="H79" s="841">
        <v>6</v>
      </c>
      <c r="I79" s="841">
        <v>19</v>
      </c>
      <c r="J79" s="841">
        <v>25</v>
      </c>
    </row>
    <row r="80" spans="1:10" x14ac:dyDescent="0.25">
      <c r="A80" s="676" t="s">
        <v>194</v>
      </c>
      <c r="B80" s="677" t="s">
        <v>195</v>
      </c>
      <c r="C80" s="678" t="s">
        <v>267</v>
      </c>
      <c r="D80" s="841">
        <v>2</v>
      </c>
      <c r="E80" s="841">
        <v>2</v>
      </c>
      <c r="F80" s="841">
        <v>0</v>
      </c>
      <c r="G80" s="841">
        <v>0</v>
      </c>
      <c r="H80" s="841">
        <v>0</v>
      </c>
      <c r="I80" s="841">
        <v>0</v>
      </c>
      <c r="J80" s="841">
        <v>2</v>
      </c>
    </row>
    <row r="81" spans="1:10" x14ac:dyDescent="0.25">
      <c r="A81" s="676" t="s">
        <v>198</v>
      </c>
      <c r="B81" s="677" t="s">
        <v>272</v>
      </c>
      <c r="C81" s="678" t="s">
        <v>266</v>
      </c>
      <c r="D81" s="841">
        <v>5</v>
      </c>
      <c r="E81" s="841">
        <v>4</v>
      </c>
      <c r="F81" s="841">
        <v>1</v>
      </c>
      <c r="G81" s="841">
        <v>0</v>
      </c>
      <c r="H81" s="841">
        <v>2</v>
      </c>
      <c r="I81" s="841">
        <v>1</v>
      </c>
      <c r="J81" s="841">
        <v>2</v>
      </c>
    </row>
    <row r="82" spans="1:10" x14ac:dyDescent="0.25">
      <c r="A82" s="676" t="s">
        <v>202</v>
      </c>
      <c r="B82" s="677" t="s">
        <v>301</v>
      </c>
      <c r="C82" s="678" t="s">
        <v>265</v>
      </c>
      <c r="D82" s="841">
        <v>103</v>
      </c>
      <c r="E82" s="841">
        <v>95</v>
      </c>
      <c r="F82" s="841">
        <v>4</v>
      </c>
      <c r="G82" s="841">
        <v>4</v>
      </c>
      <c r="H82" s="841">
        <v>5</v>
      </c>
      <c r="I82" s="841">
        <v>36</v>
      </c>
      <c r="J82" s="841">
        <v>63</v>
      </c>
    </row>
    <row r="83" spans="1:10" x14ac:dyDescent="0.25">
      <c r="A83" s="676" t="s">
        <v>204</v>
      </c>
      <c r="B83" s="677" t="s">
        <v>293</v>
      </c>
      <c r="C83" s="678" t="s">
        <v>265</v>
      </c>
      <c r="D83" s="841">
        <v>23</v>
      </c>
      <c r="E83" s="841">
        <v>20</v>
      </c>
      <c r="F83" s="841">
        <v>2</v>
      </c>
      <c r="G83" s="841">
        <v>1</v>
      </c>
      <c r="H83" s="841">
        <v>1</v>
      </c>
      <c r="I83" s="841">
        <v>8</v>
      </c>
      <c r="J83" s="841">
        <v>14</v>
      </c>
    </row>
    <row r="84" spans="1:10" x14ac:dyDescent="0.25">
      <c r="A84" s="676" t="s">
        <v>206</v>
      </c>
      <c r="B84" s="677" t="s">
        <v>294</v>
      </c>
      <c r="C84" s="678" t="s">
        <v>267</v>
      </c>
      <c r="D84" s="841">
        <v>83</v>
      </c>
      <c r="E84" s="841">
        <v>74</v>
      </c>
      <c r="F84" s="841">
        <v>0</v>
      </c>
      <c r="G84" s="841">
        <v>9</v>
      </c>
      <c r="H84" s="841">
        <v>2</v>
      </c>
      <c r="I84" s="841">
        <v>23</v>
      </c>
      <c r="J84" s="841">
        <v>58</v>
      </c>
    </row>
    <row r="85" spans="1:10" x14ac:dyDescent="0.25">
      <c r="A85" s="676" t="s">
        <v>208</v>
      </c>
      <c r="B85" s="677" t="s">
        <v>209</v>
      </c>
      <c r="C85" s="678" t="s">
        <v>268</v>
      </c>
      <c r="D85" s="841">
        <v>88</v>
      </c>
      <c r="E85" s="841">
        <v>82</v>
      </c>
      <c r="F85" s="841">
        <v>2</v>
      </c>
      <c r="G85" s="841">
        <v>4</v>
      </c>
      <c r="H85" s="841">
        <v>9</v>
      </c>
      <c r="I85" s="841">
        <v>32</v>
      </c>
      <c r="J85" s="841">
        <v>47</v>
      </c>
    </row>
    <row r="86" spans="1:10" x14ac:dyDescent="0.25">
      <c r="A86" s="676" t="s">
        <v>210</v>
      </c>
      <c r="B86" s="677" t="s">
        <v>211</v>
      </c>
      <c r="C86" s="678" t="s">
        <v>268</v>
      </c>
      <c r="D86" s="841">
        <v>55</v>
      </c>
      <c r="E86" s="841">
        <v>49</v>
      </c>
      <c r="F86" s="841">
        <v>0</v>
      </c>
      <c r="G86" s="841">
        <v>6</v>
      </c>
      <c r="H86" s="841">
        <v>3</v>
      </c>
      <c r="I86" s="841">
        <v>19</v>
      </c>
      <c r="J86" s="841">
        <v>34</v>
      </c>
    </row>
    <row r="87" spans="1:10" x14ac:dyDescent="0.25">
      <c r="A87" s="676" t="s">
        <v>212</v>
      </c>
      <c r="B87" s="677" t="s">
        <v>213</v>
      </c>
      <c r="C87" s="678" t="s">
        <v>267</v>
      </c>
      <c r="D87" s="841">
        <v>62</v>
      </c>
      <c r="E87" s="841">
        <v>59</v>
      </c>
      <c r="F87" s="841">
        <v>3</v>
      </c>
      <c r="G87" s="841">
        <v>0</v>
      </c>
      <c r="H87" s="841">
        <v>10</v>
      </c>
      <c r="I87" s="841">
        <v>24</v>
      </c>
      <c r="J87" s="841">
        <v>30</v>
      </c>
    </row>
    <row r="88" spans="1:10" x14ac:dyDescent="0.25">
      <c r="A88" s="676" t="s">
        <v>214</v>
      </c>
      <c r="B88" s="677" t="s">
        <v>215</v>
      </c>
      <c r="C88" s="678" t="s">
        <v>268</v>
      </c>
      <c r="D88" s="841">
        <v>74</v>
      </c>
      <c r="E88" s="841">
        <v>71</v>
      </c>
      <c r="F88" s="841">
        <v>1</v>
      </c>
      <c r="G88" s="841">
        <v>2</v>
      </c>
      <c r="H88" s="841">
        <v>15</v>
      </c>
      <c r="I88" s="841">
        <v>33</v>
      </c>
      <c r="J88" s="841">
        <v>27</v>
      </c>
    </row>
    <row r="89" spans="1:10" x14ac:dyDescent="0.25">
      <c r="A89" s="676" t="s">
        <v>216</v>
      </c>
      <c r="B89" s="677" t="s">
        <v>217</v>
      </c>
      <c r="C89" s="678" t="s">
        <v>264</v>
      </c>
      <c r="D89" s="841">
        <v>11</v>
      </c>
      <c r="E89" s="841">
        <v>4</v>
      </c>
      <c r="F89" s="841">
        <v>7</v>
      </c>
      <c r="G89" s="841">
        <v>0</v>
      </c>
      <c r="H89" s="841">
        <v>1</v>
      </c>
      <c r="I89" s="841">
        <v>2</v>
      </c>
      <c r="J89" s="841">
        <v>8</v>
      </c>
    </row>
    <row r="90" spans="1:10" x14ac:dyDescent="0.25">
      <c r="A90" s="676" t="s">
        <v>218</v>
      </c>
      <c r="B90" s="677" t="s">
        <v>219</v>
      </c>
      <c r="C90" s="678" t="s">
        <v>267</v>
      </c>
      <c r="D90" s="841">
        <v>43</v>
      </c>
      <c r="E90" s="841">
        <v>29</v>
      </c>
      <c r="F90" s="841">
        <v>12</v>
      </c>
      <c r="G90" s="841">
        <v>2</v>
      </c>
      <c r="H90" s="841">
        <v>4</v>
      </c>
      <c r="I90" s="841">
        <v>13</v>
      </c>
      <c r="J90" s="841">
        <v>26</v>
      </c>
    </row>
    <row r="91" spans="1:10" x14ac:dyDescent="0.25">
      <c r="A91" s="676" t="s">
        <v>220</v>
      </c>
      <c r="B91" s="677" t="s">
        <v>221</v>
      </c>
      <c r="C91" s="678" t="s">
        <v>267</v>
      </c>
      <c r="D91" s="841">
        <v>13</v>
      </c>
      <c r="E91" s="841">
        <v>10</v>
      </c>
      <c r="F91" s="841">
        <v>3</v>
      </c>
      <c r="G91" s="841">
        <v>0</v>
      </c>
      <c r="H91" s="841">
        <v>1</v>
      </c>
      <c r="I91" s="841">
        <v>7</v>
      </c>
      <c r="J91" s="841">
        <v>5</v>
      </c>
    </row>
    <row r="92" spans="1:10" x14ac:dyDescent="0.25">
      <c r="A92" s="676" t="s">
        <v>224</v>
      </c>
      <c r="B92" s="677" t="s">
        <v>225</v>
      </c>
      <c r="C92" s="678" t="s">
        <v>264</v>
      </c>
      <c r="D92" s="841">
        <v>10</v>
      </c>
      <c r="E92" s="841">
        <v>2</v>
      </c>
      <c r="F92" s="841">
        <v>8</v>
      </c>
      <c r="G92" s="841">
        <v>0</v>
      </c>
      <c r="H92" s="841">
        <v>2</v>
      </c>
      <c r="I92" s="841">
        <v>4</v>
      </c>
      <c r="J92" s="841">
        <v>4</v>
      </c>
    </row>
    <row r="93" spans="1:10" x14ac:dyDescent="0.25">
      <c r="A93" s="676" t="s">
        <v>226</v>
      </c>
      <c r="B93" s="677" t="s">
        <v>227</v>
      </c>
      <c r="C93" s="678" t="s">
        <v>264</v>
      </c>
      <c r="D93" s="841">
        <v>13</v>
      </c>
      <c r="E93" s="841">
        <v>5</v>
      </c>
      <c r="F93" s="841">
        <v>8</v>
      </c>
      <c r="G93" s="841">
        <v>0</v>
      </c>
      <c r="H93" s="841">
        <v>1</v>
      </c>
      <c r="I93" s="841">
        <v>5</v>
      </c>
      <c r="J93" s="841">
        <v>7</v>
      </c>
    </row>
    <row r="94" spans="1:10" x14ac:dyDescent="0.25">
      <c r="A94" s="676" t="s">
        <v>228</v>
      </c>
      <c r="B94" s="677" t="s">
        <v>229</v>
      </c>
      <c r="C94" s="678" t="s">
        <v>268</v>
      </c>
      <c r="D94" s="841">
        <v>80</v>
      </c>
      <c r="E94" s="841">
        <v>73</v>
      </c>
      <c r="F94" s="841">
        <v>6</v>
      </c>
      <c r="G94" s="841">
        <v>1</v>
      </c>
      <c r="H94" s="841">
        <v>8</v>
      </c>
      <c r="I94" s="841">
        <v>41</v>
      </c>
      <c r="J94" s="841">
        <v>31</v>
      </c>
    </row>
    <row r="95" spans="1:10" x14ac:dyDescent="0.25">
      <c r="A95" s="676" t="s">
        <v>232</v>
      </c>
      <c r="B95" s="677" t="s">
        <v>233</v>
      </c>
      <c r="C95" s="678" t="s">
        <v>267</v>
      </c>
      <c r="D95" s="841">
        <v>15</v>
      </c>
      <c r="E95" s="841">
        <v>14</v>
      </c>
      <c r="F95" s="841">
        <v>1</v>
      </c>
      <c r="G95" s="841">
        <v>0</v>
      </c>
      <c r="H95" s="841">
        <v>1</v>
      </c>
      <c r="I95" s="841">
        <v>7</v>
      </c>
      <c r="J95" s="841">
        <v>7</v>
      </c>
    </row>
    <row r="96" spans="1:10" x14ac:dyDescent="0.25">
      <c r="A96" s="676" t="s">
        <v>234</v>
      </c>
      <c r="B96" s="677" t="s">
        <v>235</v>
      </c>
      <c r="C96" s="678" t="s">
        <v>268</v>
      </c>
      <c r="D96" s="841">
        <v>233</v>
      </c>
      <c r="E96" s="841">
        <v>215</v>
      </c>
      <c r="F96" s="841">
        <v>5</v>
      </c>
      <c r="G96" s="841">
        <v>13</v>
      </c>
      <c r="H96" s="841">
        <v>45</v>
      </c>
      <c r="I96" s="841">
        <v>108</v>
      </c>
      <c r="J96" s="841">
        <v>85</v>
      </c>
    </row>
    <row r="97" spans="1:10" x14ac:dyDescent="0.25">
      <c r="A97" s="676" t="s">
        <v>236</v>
      </c>
      <c r="B97" s="677" t="s">
        <v>237</v>
      </c>
      <c r="C97" s="678" t="s">
        <v>266</v>
      </c>
      <c r="D97" s="841">
        <v>11</v>
      </c>
      <c r="E97" s="841">
        <v>4</v>
      </c>
      <c r="F97" s="841">
        <v>7</v>
      </c>
      <c r="G97" s="841">
        <v>0</v>
      </c>
      <c r="H97" s="841">
        <v>0</v>
      </c>
      <c r="I97" s="841">
        <v>6</v>
      </c>
      <c r="J97" s="841">
        <v>5</v>
      </c>
    </row>
    <row r="98" spans="1:10" x14ac:dyDescent="0.25">
      <c r="A98" s="676" t="s">
        <v>242</v>
      </c>
      <c r="B98" s="677" t="s">
        <v>243</v>
      </c>
      <c r="C98" s="678" t="s">
        <v>268</v>
      </c>
      <c r="D98" s="841">
        <v>53</v>
      </c>
      <c r="E98" s="841">
        <v>52</v>
      </c>
      <c r="F98" s="841">
        <v>1</v>
      </c>
      <c r="G98" s="841">
        <v>0</v>
      </c>
      <c r="H98" s="841">
        <v>7</v>
      </c>
      <c r="I98" s="841">
        <v>30</v>
      </c>
      <c r="J98" s="841">
        <v>17</v>
      </c>
    </row>
    <row r="99" spans="1:10" x14ac:dyDescent="0.25">
      <c r="A99" s="676" t="s">
        <v>244</v>
      </c>
      <c r="B99" s="677" t="s">
        <v>245</v>
      </c>
      <c r="C99" s="678" t="s">
        <v>268</v>
      </c>
      <c r="D99" s="841">
        <v>46</v>
      </c>
      <c r="E99" s="841">
        <v>44</v>
      </c>
      <c r="F99" s="841">
        <v>2</v>
      </c>
      <c r="G99" s="841">
        <v>0</v>
      </c>
      <c r="H99" s="841">
        <v>2</v>
      </c>
      <c r="I99" s="841">
        <v>9</v>
      </c>
      <c r="J99" s="841">
        <v>35</v>
      </c>
    </row>
    <row r="100" spans="1:10" x14ac:dyDescent="0.25">
      <c r="A100" s="676" t="s">
        <v>246</v>
      </c>
      <c r="B100" s="677" t="s">
        <v>247</v>
      </c>
      <c r="C100" s="678" t="s">
        <v>264</v>
      </c>
      <c r="D100" s="841">
        <v>30</v>
      </c>
      <c r="E100" s="841">
        <v>18</v>
      </c>
      <c r="F100" s="841">
        <v>11</v>
      </c>
      <c r="G100" s="841">
        <v>1</v>
      </c>
      <c r="H100" s="841">
        <v>12</v>
      </c>
      <c r="I100" s="841">
        <v>12</v>
      </c>
      <c r="J100" s="841">
        <v>7</v>
      </c>
    </row>
    <row r="101" spans="1:10" x14ac:dyDescent="0.25">
      <c r="A101" s="676" t="s">
        <v>14</v>
      </c>
      <c r="B101" s="677" t="s">
        <v>15</v>
      </c>
      <c r="C101" s="678" t="s">
        <v>267</v>
      </c>
      <c r="D101" s="841">
        <v>41</v>
      </c>
      <c r="E101" s="841">
        <v>19</v>
      </c>
      <c r="F101" s="841">
        <v>20</v>
      </c>
      <c r="G101" s="841">
        <v>2</v>
      </c>
      <c r="H101" s="841">
        <v>1</v>
      </c>
      <c r="I101" s="841">
        <v>10</v>
      </c>
      <c r="J101" s="841">
        <v>30</v>
      </c>
    </row>
    <row r="102" spans="1:10" x14ac:dyDescent="0.25">
      <c r="A102" s="676" t="s">
        <v>34</v>
      </c>
      <c r="B102" s="677" t="s">
        <v>35</v>
      </c>
      <c r="C102" s="678" t="s">
        <v>268</v>
      </c>
      <c r="D102" s="841">
        <v>72</v>
      </c>
      <c r="E102" s="841">
        <v>67</v>
      </c>
      <c r="F102" s="841">
        <v>3</v>
      </c>
      <c r="G102" s="841">
        <v>2</v>
      </c>
      <c r="H102" s="841">
        <v>6</v>
      </c>
      <c r="I102" s="841">
        <v>26</v>
      </c>
      <c r="J102" s="841">
        <v>40</v>
      </c>
    </row>
    <row r="103" spans="1:10" x14ac:dyDescent="0.25">
      <c r="A103" s="676" t="s">
        <v>52</v>
      </c>
      <c r="B103" s="677" t="s">
        <v>53</v>
      </c>
      <c r="C103" s="678" t="s">
        <v>265</v>
      </c>
      <c r="D103" s="841">
        <v>74</v>
      </c>
      <c r="E103" s="841">
        <v>39</v>
      </c>
      <c r="F103" s="841">
        <v>31</v>
      </c>
      <c r="G103" s="841">
        <v>4</v>
      </c>
      <c r="H103" s="841">
        <v>7</v>
      </c>
      <c r="I103" s="841">
        <v>29</v>
      </c>
      <c r="J103" s="841">
        <v>38</v>
      </c>
    </row>
    <row r="104" spans="1:10" x14ac:dyDescent="0.25">
      <c r="A104" s="676" t="s">
        <v>54</v>
      </c>
      <c r="B104" s="677" t="s">
        <v>55</v>
      </c>
      <c r="C104" s="678" t="s">
        <v>264</v>
      </c>
      <c r="D104" s="841">
        <v>161</v>
      </c>
      <c r="E104" s="841">
        <v>79</v>
      </c>
      <c r="F104" s="841">
        <v>78</v>
      </c>
      <c r="G104" s="841">
        <v>4</v>
      </c>
      <c r="H104" s="841">
        <v>23</v>
      </c>
      <c r="I104" s="841">
        <v>75</v>
      </c>
      <c r="J104" s="841">
        <v>65</v>
      </c>
    </row>
    <row r="105" spans="1:10" x14ac:dyDescent="0.25">
      <c r="A105" s="676" t="s">
        <v>66</v>
      </c>
      <c r="B105" s="677" t="s">
        <v>67</v>
      </c>
      <c r="C105" s="678" t="s">
        <v>265</v>
      </c>
      <c r="D105" s="841">
        <v>85</v>
      </c>
      <c r="E105" s="841">
        <v>51</v>
      </c>
      <c r="F105" s="841">
        <v>32</v>
      </c>
      <c r="G105" s="841">
        <v>2</v>
      </c>
      <c r="H105" s="841">
        <v>8</v>
      </c>
      <c r="I105" s="841">
        <v>29</v>
      </c>
      <c r="J105" s="841">
        <v>48</v>
      </c>
    </row>
    <row r="106" spans="1:10" x14ac:dyDescent="0.25">
      <c r="A106" s="676" t="s">
        <v>82</v>
      </c>
      <c r="B106" s="677" t="s">
        <v>83</v>
      </c>
      <c r="C106" s="678" t="s">
        <v>264</v>
      </c>
      <c r="D106" s="841">
        <v>9</v>
      </c>
      <c r="E106" s="841">
        <v>1</v>
      </c>
      <c r="F106" s="841">
        <v>8</v>
      </c>
      <c r="G106" s="841">
        <v>0</v>
      </c>
      <c r="H106" s="841">
        <v>1</v>
      </c>
      <c r="I106" s="841">
        <v>8</v>
      </c>
      <c r="J106" s="841">
        <v>1</v>
      </c>
    </row>
    <row r="107" spans="1:10" x14ac:dyDescent="0.25">
      <c r="A107" s="676" t="s">
        <v>88</v>
      </c>
      <c r="B107" s="677" t="s">
        <v>89</v>
      </c>
      <c r="C107" s="678" t="s">
        <v>267</v>
      </c>
      <c r="D107" s="841">
        <v>26</v>
      </c>
      <c r="E107" s="841">
        <v>20</v>
      </c>
      <c r="F107" s="841">
        <v>5</v>
      </c>
      <c r="G107" s="841">
        <v>1</v>
      </c>
      <c r="H107" s="841">
        <v>2</v>
      </c>
      <c r="I107" s="841">
        <v>8</v>
      </c>
      <c r="J107" s="841">
        <v>16</v>
      </c>
    </row>
    <row r="108" spans="1:10" x14ac:dyDescent="0.25">
      <c r="A108" s="676" t="s">
        <v>90</v>
      </c>
      <c r="B108" s="677" t="s">
        <v>91</v>
      </c>
      <c r="C108" s="678" t="s">
        <v>268</v>
      </c>
      <c r="D108" s="841">
        <v>13</v>
      </c>
      <c r="E108" s="841">
        <v>13</v>
      </c>
      <c r="F108" s="841">
        <v>0</v>
      </c>
      <c r="G108" s="841">
        <v>0</v>
      </c>
      <c r="H108" s="841">
        <v>0</v>
      </c>
      <c r="I108" s="841">
        <v>6</v>
      </c>
      <c r="J108" s="841">
        <v>7</v>
      </c>
    </row>
    <row r="109" spans="1:10" x14ac:dyDescent="0.25">
      <c r="A109" s="676" t="s">
        <v>106</v>
      </c>
      <c r="B109" s="677" t="s">
        <v>107</v>
      </c>
      <c r="C109" s="678" t="s">
        <v>264</v>
      </c>
      <c r="D109" s="841">
        <v>116</v>
      </c>
      <c r="E109" s="841">
        <v>39</v>
      </c>
      <c r="F109" s="841">
        <v>76</v>
      </c>
      <c r="G109" s="841">
        <v>1</v>
      </c>
      <c r="H109" s="841">
        <v>18</v>
      </c>
      <c r="I109" s="841">
        <v>51</v>
      </c>
      <c r="J109" s="841">
        <v>48</v>
      </c>
    </row>
    <row r="110" spans="1:10" x14ac:dyDescent="0.25">
      <c r="A110" s="676" t="s">
        <v>116</v>
      </c>
      <c r="B110" s="677" t="s">
        <v>117</v>
      </c>
      <c r="C110" s="678" t="s">
        <v>266</v>
      </c>
      <c r="D110" s="841">
        <v>20</v>
      </c>
      <c r="E110" s="841">
        <v>8</v>
      </c>
      <c r="F110" s="841">
        <v>12</v>
      </c>
      <c r="G110" s="841">
        <v>0</v>
      </c>
      <c r="H110" s="841">
        <v>8</v>
      </c>
      <c r="I110" s="841">
        <v>6</v>
      </c>
      <c r="J110" s="841">
        <v>6</v>
      </c>
    </row>
    <row r="111" spans="1:10" x14ac:dyDescent="0.25">
      <c r="A111" s="676" t="s">
        <v>138</v>
      </c>
      <c r="B111" s="677" t="s">
        <v>139</v>
      </c>
      <c r="C111" s="678" t="s">
        <v>265</v>
      </c>
      <c r="D111" s="841">
        <v>148</v>
      </c>
      <c r="E111" s="841">
        <v>94</v>
      </c>
      <c r="F111" s="841">
        <v>52</v>
      </c>
      <c r="G111" s="841">
        <v>2</v>
      </c>
      <c r="H111" s="841">
        <v>5</v>
      </c>
      <c r="I111" s="841">
        <v>53</v>
      </c>
      <c r="J111" s="841">
        <v>90</v>
      </c>
    </row>
    <row r="112" spans="1:10" x14ac:dyDescent="0.25">
      <c r="A112" s="676" t="s">
        <v>142</v>
      </c>
      <c r="B112" s="677" t="s">
        <v>143</v>
      </c>
      <c r="C112" s="678" t="s">
        <v>267</v>
      </c>
      <c r="D112" s="841">
        <v>5</v>
      </c>
      <c r="E112" s="841">
        <v>3</v>
      </c>
      <c r="F112" s="841">
        <v>2</v>
      </c>
      <c r="G112" s="841">
        <v>0</v>
      </c>
      <c r="H112" s="841">
        <v>1</v>
      </c>
      <c r="I112" s="841">
        <v>1</v>
      </c>
      <c r="J112" s="841">
        <v>3</v>
      </c>
    </row>
    <row r="113" spans="1:10" x14ac:dyDescent="0.25">
      <c r="A113" s="676" t="s">
        <v>144</v>
      </c>
      <c r="B113" s="677" t="s">
        <v>145</v>
      </c>
      <c r="C113" s="678" t="s">
        <v>267</v>
      </c>
      <c r="D113" s="841">
        <v>2</v>
      </c>
      <c r="E113" s="841">
        <v>2</v>
      </c>
      <c r="F113" s="841">
        <v>0</v>
      </c>
      <c r="G113" s="841">
        <v>0</v>
      </c>
      <c r="H113" s="841">
        <v>0</v>
      </c>
      <c r="I113" s="841">
        <v>0</v>
      </c>
      <c r="J113" s="841">
        <v>2</v>
      </c>
    </row>
    <row r="114" spans="1:10" x14ac:dyDescent="0.25">
      <c r="A114" s="676" t="s">
        <v>158</v>
      </c>
      <c r="B114" s="677" t="s">
        <v>159</v>
      </c>
      <c r="C114" s="678" t="s">
        <v>264</v>
      </c>
      <c r="D114" s="841">
        <v>139</v>
      </c>
      <c r="E114" s="841">
        <v>51</v>
      </c>
      <c r="F114" s="841">
        <v>86</v>
      </c>
      <c r="G114" s="841">
        <v>2</v>
      </c>
      <c r="H114" s="841">
        <v>13</v>
      </c>
      <c r="I114" s="841">
        <v>77</v>
      </c>
      <c r="J114" s="841">
        <v>49</v>
      </c>
    </row>
    <row r="115" spans="1:10" x14ac:dyDescent="0.25">
      <c r="A115" s="676" t="s">
        <v>160</v>
      </c>
      <c r="B115" s="677" t="s">
        <v>161</v>
      </c>
      <c r="C115" s="678" t="s">
        <v>264</v>
      </c>
      <c r="D115" s="841">
        <v>218</v>
      </c>
      <c r="E115" s="841">
        <v>66</v>
      </c>
      <c r="F115" s="841">
        <v>148</v>
      </c>
      <c r="G115" s="841">
        <v>4</v>
      </c>
      <c r="H115" s="841">
        <v>24</v>
      </c>
      <c r="I115" s="841">
        <v>90</v>
      </c>
      <c r="J115" s="841">
        <v>105</v>
      </c>
    </row>
    <row r="116" spans="1:10" x14ac:dyDescent="0.25">
      <c r="A116" s="676" t="s">
        <v>166</v>
      </c>
      <c r="B116" s="677" t="s">
        <v>167</v>
      </c>
      <c r="C116" s="678" t="s">
        <v>268</v>
      </c>
      <c r="D116" s="841">
        <v>7</v>
      </c>
      <c r="E116" s="841">
        <v>7</v>
      </c>
      <c r="F116" s="841">
        <v>0</v>
      </c>
      <c r="G116" s="841">
        <v>0</v>
      </c>
      <c r="H116" s="841">
        <v>1</v>
      </c>
      <c r="I116" s="841">
        <v>5</v>
      </c>
      <c r="J116" s="841">
        <v>1</v>
      </c>
    </row>
    <row r="117" spans="1:10" x14ac:dyDescent="0.25">
      <c r="A117" s="676" t="s">
        <v>176</v>
      </c>
      <c r="B117" s="677" t="s">
        <v>177</v>
      </c>
      <c r="C117" s="678" t="s">
        <v>266</v>
      </c>
      <c r="D117" s="841">
        <v>120</v>
      </c>
      <c r="E117" s="841">
        <v>34</v>
      </c>
      <c r="F117" s="841">
        <v>84</v>
      </c>
      <c r="G117" s="841">
        <v>2</v>
      </c>
      <c r="H117" s="841">
        <v>18</v>
      </c>
      <c r="I117" s="841">
        <v>57</v>
      </c>
      <c r="J117" s="841">
        <v>46</v>
      </c>
    </row>
    <row r="118" spans="1:10" x14ac:dyDescent="0.25">
      <c r="A118" s="676" t="s">
        <v>180</v>
      </c>
      <c r="B118" s="677" t="s">
        <v>181</v>
      </c>
      <c r="C118" s="678" t="s">
        <v>264</v>
      </c>
      <c r="D118" s="841">
        <v>103</v>
      </c>
      <c r="E118" s="841">
        <v>26</v>
      </c>
      <c r="F118" s="841">
        <v>77</v>
      </c>
      <c r="G118" s="841">
        <v>0</v>
      </c>
      <c r="H118" s="841">
        <v>10</v>
      </c>
      <c r="I118" s="841">
        <v>39</v>
      </c>
      <c r="J118" s="841">
        <v>54</v>
      </c>
    </row>
    <row r="119" spans="1:10" x14ac:dyDescent="0.25">
      <c r="A119" s="676" t="s">
        <v>192</v>
      </c>
      <c r="B119" s="677" t="s">
        <v>193</v>
      </c>
      <c r="C119" s="678" t="s">
        <v>268</v>
      </c>
      <c r="D119" s="841">
        <v>25</v>
      </c>
      <c r="E119" s="841">
        <v>22</v>
      </c>
      <c r="F119" s="841">
        <v>3</v>
      </c>
      <c r="G119" s="841">
        <v>0</v>
      </c>
      <c r="H119" s="841">
        <v>1</v>
      </c>
      <c r="I119" s="841">
        <v>14</v>
      </c>
      <c r="J119" s="841">
        <v>11</v>
      </c>
    </row>
    <row r="120" spans="1:10" x14ac:dyDescent="0.25">
      <c r="A120" s="676" t="s">
        <v>196</v>
      </c>
      <c r="B120" s="677" t="s">
        <v>197</v>
      </c>
      <c r="C120" s="678" t="s">
        <v>266</v>
      </c>
      <c r="D120" s="841">
        <v>609</v>
      </c>
      <c r="E120" s="841">
        <v>178</v>
      </c>
      <c r="F120" s="841">
        <v>417</v>
      </c>
      <c r="G120" s="841">
        <v>14</v>
      </c>
      <c r="H120" s="841">
        <v>67</v>
      </c>
      <c r="I120" s="841">
        <v>311</v>
      </c>
      <c r="J120" s="841">
        <v>240</v>
      </c>
    </row>
    <row r="121" spans="1:10" x14ac:dyDescent="0.25">
      <c r="A121" s="676" t="s">
        <v>200</v>
      </c>
      <c r="B121" s="677" t="s">
        <v>201</v>
      </c>
      <c r="C121" s="678" t="s">
        <v>265</v>
      </c>
      <c r="D121" s="841">
        <v>223</v>
      </c>
      <c r="E121" s="841">
        <v>140</v>
      </c>
      <c r="F121" s="841">
        <v>75</v>
      </c>
      <c r="G121" s="841">
        <v>8</v>
      </c>
      <c r="H121" s="841">
        <v>19</v>
      </c>
      <c r="I121" s="841">
        <v>98</v>
      </c>
      <c r="J121" s="841">
        <v>107</v>
      </c>
    </row>
    <row r="122" spans="1:10" x14ac:dyDescent="0.25">
      <c r="A122" s="676" t="s">
        <v>222</v>
      </c>
      <c r="B122" s="677" t="s">
        <v>223</v>
      </c>
      <c r="C122" s="678" t="s">
        <v>264</v>
      </c>
      <c r="D122" s="841">
        <v>68</v>
      </c>
      <c r="E122" s="841">
        <v>16</v>
      </c>
      <c r="F122" s="841">
        <v>52</v>
      </c>
      <c r="G122" s="841">
        <v>0</v>
      </c>
      <c r="H122" s="841">
        <v>10</v>
      </c>
      <c r="I122" s="841">
        <v>34</v>
      </c>
      <c r="J122" s="841">
        <v>25</v>
      </c>
    </row>
    <row r="123" spans="1:10" x14ac:dyDescent="0.25">
      <c r="A123" s="676" t="s">
        <v>230</v>
      </c>
      <c r="B123" s="677" t="s">
        <v>231</v>
      </c>
      <c r="C123" s="678" t="s">
        <v>264</v>
      </c>
      <c r="D123" s="841">
        <v>195</v>
      </c>
      <c r="E123" s="841">
        <v>129</v>
      </c>
      <c r="F123" s="841">
        <v>56</v>
      </c>
      <c r="G123" s="841">
        <v>10</v>
      </c>
      <c r="H123" s="841">
        <v>24</v>
      </c>
      <c r="I123" s="841">
        <v>74</v>
      </c>
      <c r="J123" s="841">
        <v>99</v>
      </c>
    </row>
    <row r="124" spans="1:10" x14ac:dyDescent="0.25">
      <c r="A124" s="676" t="s">
        <v>238</v>
      </c>
      <c r="B124" s="677" t="s">
        <v>239</v>
      </c>
      <c r="C124" s="678" t="s">
        <v>264</v>
      </c>
      <c r="D124" s="841">
        <v>33</v>
      </c>
      <c r="E124" s="841">
        <v>17</v>
      </c>
      <c r="F124" s="841">
        <v>15</v>
      </c>
      <c r="G124" s="841">
        <v>1</v>
      </c>
      <c r="H124" s="841">
        <v>7</v>
      </c>
      <c r="I124" s="841">
        <v>16</v>
      </c>
      <c r="J124" s="841">
        <v>11</v>
      </c>
    </row>
    <row r="125" spans="1:10" x14ac:dyDescent="0.25">
      <c r="A125" s="679" t="s">
        <v>240</v>
      </c>
      <c r="B125" s="680" t="s">
        <v>241</v>
      </c>
      <c r="C125" s="681" t="s">
        <v>267</v>
      </c>
      <c r="D125" s="842">
        <v>33</v>
      </c>
      <c r="E125" s="842">
        <v>29</v>
      </c>
      <c r="F125" s="842">
        <v>4</v>
      </c>
      <c r="G125" s="842">
        <v>0</v>
      </c>
      <c r="H125" s="842">
        <v>1</v>
      </c>
      <c r="I125" s="842">
        <v>16</v>
      </c>
      <c r="J125" s="842">
        <v>16</v>
      </c>
    </row>
    <row r="126" spans="1:10" x14ac:dyDescent="0.25">
      <c r="A126" s="682"/>
      <c r="B126" s="682"/>
      <c r="C126" s="682"/>
    </row>
    <row r="127" spans="1:10" ht="30" customHeight="1" x14ac:dyDescent="0.25">
      <c r="A127" s="2290" t="s">
        <v>800</v>
      </c>
      <c r="B127" s="2290"/>
      <c r="C127" s="2290"/>
      <c r="D127" s="2290"/>
      <c r="E127" s="2290"/>
      <c r="F127" s="2290"/>
    </row>
    <row r="128" spans="1:10" x14ac:dyDescent="0.25">
      <c r="A128" s="843"/>
      <c r="B128" s="843"/>
      <c r="C128" s="843"/>
      <c r="D128" s="843"/>
      <c r="E128" s="843"/>
      <c r="F128" s="843"/>
    </row>
    <row r="129" spans="1:10" s="412" customFormat="1" x14ac:dyDescent="0.25">
      <c r="A129" s="2291" t="s">
        <v>248</v>
      </c>
      <c r="B129" s="2291"/>
      <c r="C129" s="2291"/>
      <c r="D129" s="2291"/>
      <c r="E129" s="2291"/>
      <c r="F129" s="2291"/>
      <c r="G129" s="2291"/>
      <c r="H129" s="2291"/>
      <c r="I129" s="2291"/>
      <c r="J129" s="2291"/>
    </row>
    <row r="130" spans="1:10" s="270" customFormat="1" x14ac:dyDescent="0.25">
      <c r="A130" s="413" t="s">
        <v>249</v>
      </c>
      <c r="B130" s="414" t="s">
        <v>250</v>
      </c>
      <c r="C130" s="847"/>
      <c r="D130" s="841"/>
      <c r="E130" s="841"/>
      <c r="F130" s="841"/>
      <c r="G130" s="841"/>
      <c r="H130" s="841"/>
      <c r="I130" s="841"/>
      <c r="J130" s="841"/>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RowHeight="15.75" x14ac:dyDescent="0.25"/>
  <cols>
    <col min="1" max="1" width="8.125" style="881" bestFit="1" customWidth="1"/>
    <col min="2" max="2" width="6.125" style="881" customWidth="1"/>
    <col min="3" max="3" width="11.25" style="881" customWidth="1"/>
    <col min="4" max="4" width="34.375" style="882" customWidth="1"/>
    <col min="5" max="5" width="9.25" style="882" customWidth="1"/>
    <col min="6" max="6" width="14.375" style="881" customWidth="1"/>
    <col min="7" max="16384" width="9" style="881"/>
  </cols>
  <sheetData>
    <row r="2" spans="2:6" x14ac:dyDescent="0.25">
      <c r="B2" s="881">
        <v>1</v>
      </c>
      <c r="D2" s="882">
        <f>+B2+1</f>
        <v>2</v>
      </c>
      <c r="E2" s="882">
        <f>+D2+1</f>
        <v>3</v>
      </c>
      <c r="F2" s="881">
        <v>4</v>
      </c>
    </row>
    <row r="3" spans="2:6" x14ac:dyDescent="0.25">
      <c r="B3" s="883"/>
      <c r="C3" s="883"/>
      <c r="D3" s="886"/>
      <c r="E3" s="887"/>
    </row>
    <row r="4" spans="2:6" x14ac:dyDescent="0.25">
      <c r="B4" s="888"/>
      <c r="C4" s="888"/>
      <c r="D4" s="884"/>
      <c r="E4" s="885"/>
    </row>
    <row r="5" spans="2:6" x14ac:dyDescent="0.25">
      <c r="B5" s="888"/>
      <c r="C5" s="888"/>
      <c r="D5" s="889"/>
      <c r="E5" s="889"/>
    </row>
    <row r="7" spans="2:6" x14ac:dyDescent="0.25">
      <c r="B7" s="890" t="s">
        <v>4</v>
      </c>
      <c r="C7" s="890"/>
      <c r="D7" s="891" t="s">
        <v>5</v>
      </c>
      <c r="E7" s="891"/>
      <c r="F7" s="892" t="s">
        <v>251</v>
      </c>
    </row>
    <row r="8" spans="2:6" x14ac:dyDescent="0.25">
      <c r="B8" s="1262" t="s">
        <v>8</v>
      </c>
      <c r="C8" s="1261" t="s">
        <v>303</v>
      </c>
      <c r="D8" s="1263" t="s">
        <v>9</v>
      </c>
      <c r="E8" s="1263"/>
    </row>
    <row r="9" spans="2:6" x14ac:dyDescent="0.25">
      <c r="B9" s="893" t="s">
        <v>10</v>
      </c>
      <c r="C9" s="895">
        <v>1</v>
      </c>
      <c r="D9" s="882" t="s">
        <v>11</v>
      </c>
      <c r="E9" s="896" t="s">
        <v>10</v>
      </c>
      <c r="F9" s="511" t="s">
        <v>264</v>
      </c>
    </row>
    <row r="10" spans="2:6" x14ac:dyDescent="0.25">
      <c r="B10" s="894" t="s">
        <v>12</v>
      </c>
      <c r="C10" s="895">
        <v>3</v>
      </c>
      <c r="D10" s="882" t="s">
        <v>13</v>
      </c>
      <c r="E10" s="897" t="s">
        <v>12</v>
      </c>
      <c r="F10" s="511" t="s">
        <v>265</v>
      </c>
    </row>
    <row r="11" spans="2:6" x14ac:dyDescent="0.25">
      <c r="B11" s="894" t="s">
        <v>14</v>
      </c>
      <c r="C11" s="895">
        <v>510</v>
      </c>
      <c r="D11" s="882" t="s">
        <v>15</v>
      </c>
      <c r="E11" s="897" t="s">
        <v>14</v>
      </c>
      <c r="F11" s="511" t="s">
        <v>267</v>
      </c>
    </row>
    <row r="12" spans="2:6" x14ac:dyDescent="0.25">
      <c r="B12" s="894" t="s">
        <v>16</v>
      </c>
      <c r="C12" s="895">
        <v>5</v>
      </c>
      <c r="D12" s="882" t="s">
        <v>17</v>
      </c>
      <c r="E12" s="897" t="s">
        <v>16</v>
      </c>
      <c r="F12" s="511" t="s">
        <v>265</v>
      </c>
    </row>
    <row r="13" spans="2:6" x14ac:dyDescent="0.25">
      <c r="B13" s="894" t="s">
        <v>18</v>
      </c>
      <c r="C13" s="895">
        <v>7</v>
      </c>
      <c r="D13" s="882" t="s">
        <v>19</v>
      </c>
      <c r="E13" s="897" t="s">
        <v>18</v>
      </c>
      <c r="F13" s="511" t="s">
        <v>266</v>
      </c>
    </row>
    <row r="14" spans="2:6" x14ac:dyDescent="0.25">
      <c r="B14" s="894" t="s">
        <v>20</v>
      </c>
      <c r="C14" s="895">
        <v>9</v>
      </c>
      <c r="D14" s="882" t="s">
        <v>21</v>
      </c>
      <c r="E14" s="897" t="s">
        <v>20</v>
      </c>
      <c r="F14" s="511" t="s">
        <v>265</v>
      </c>
    </row>
    <row r="15" spans="2:6" x14ac:dyDescent="0.25">
      <c r="B15" s="894" t="s">
        <v>22</v>
      </c>
      <c r="C15" s="895">
        <v>11</v>
      </c>
      <c r="D15" s="882" t="s">
        <v>23</v>
      </c>
      <c r="E15" s="897" t="s">
        <v>22</v>
      </c>
      <c r="F15" s="511" t="s">
        <v>265</v>
      </c>
    </row>
    <row r="16" spans="2:6" x14ac:dyDescent="0.25">
      <c r="B16" s="894" t="s">
        <v>24</v>
      </c>
      <c r="C16" s="895">
        <v>13</v>
      </c>
      <c r="D16" s="882" t="s">
        <v>25</v>
      </c>
      <c r="E16" s="897" t="s">
        <v>24</v>
      </c>
      <c r="F16" s="511" t="s">
        <v>267</v>
      </c>
    </row>
    <row r="17" spans="2:6" x14ac:dyDescent="0.25">
      <c r="B17" s="894" t="s">
        <v>26</v>
      </c>
      <c r="C17" s="895">
        <v>15</v>
      </c>
      <c r="D17" s="882" t="s">
        <v>686</v>
      </c>
      <c r="E17" s="897" t="s">
        <v>26</v>
      </c>
      <c r="F17" s="511" t="s">
        <v>265</v>
      </c>
    </row>
    <row r="18" spans="2:6" x14ac:dyDescent="0.25">
      <c r="B18" s="894" t="s">
        <v>27</v>
      </c>
      <c r="C18" s="895">
        <v>17</v>
      </c>
      <c r="D18" s="882" t="s">
        <v>28</v>
      </c>
      <c r="E18" s="897" t="s">
        <v>27</v>
      </c>
      <c r="F18" s="511" t="s">
        <v>265</v>
      </c>
    </row>
    <row r="19" spans="2:6" x14ac:dyDescent="0.25">
      <c r="B19" s="894" t="s">
        <v>29</v>
      </c>
      <c r="C19" s="895">
        <v>19</v>
      </c>
      <c r="D19" s="882" t="s">
        <v>924</v>
      </c>
      <c r="E19" s="897" t="s">
        <v>29</v>
      </c>
      <c r="F19" s="511" t="s">
        <v>268</v>
      </c>
    </row>
    <row r="20" spans="2:6" x14ac:dyDescent="0.25">
      <c r="B20" s="894" t="s">
        <v>30</v>
      </c>
      <c r="C20" s="895">
        <v>21</v>
      </c>
      <c r="D20" s="882" t="s">
        <v>31</v>
      </c>
      <c r="E20" s="897" t="s">
        <v>30</v>
      </c>
      <c r="F20" s="511" t="s">
        <v>265</v>
      </c>
    </row>
    <row r="21" spans="2:6" x14ac:dyDescent="0.25">
      <c r="B21" s="894" t="s">
        <v>32</v>
      </c>
      <c r="C21" s="895">
        <v>23</v>
      </c>
      <c r="D21" s="882" t="s">
        <v>33</v>
      </c>
      <c r="E21" s="897" t="s">
        <v>32</v>
      </c>
      <c r="F21" s="511" t="s">
        <v>268</v>
      </c>
    </row>
    <row r="22" spans="2:6" x14ac:dyDescent="0.25">
      <c r="B22" s="894" t="s">
        <v>34</v>
      </c>
      <c r="C22" s="895">
        <v>520</v>
      </c>
      <c r="D22" s="882" t="s">
        <v>35</v>
      </c>
      <c r="E22" s="897" t="s">
        <v>34</v>
      </c>
      <c r="F22" s="511" t="s">
        <v>264</v>
      </c>
    </row>
    <row r="23" spans="2:6" x14ac:dyDescent="0.25">
      <c r="B23" s="894" t="s">
        <v>36</v>
      </c>
      <c r="C23" s="895">
        <v>25</v>
      </c>
      <c r="D23" s="882" t="s">
        <v>37</v>
      </c>
      <c r="E23" s="897" t="s">
        <v>36</v>
      </c>
      <c r="F23" s="511" t="s">
        <v>268</v>
      </c>
    </row>
    <row r="24" spans="2:6" x14ac:dyDescent="0.25">
      <c r="B24" s="894" t="s">
        <v>38</v>
      </c>
      <c r="C24" s="895">
        <v>27</v>
      </c>
      <c r="D24" s="882" t="s">
        <v>39</v>
      </c>
      <c r="E24" s="897" t="s">
        <v>38</v>
      </c>
      <c r="F24" s="511" t="s">
        <v>266</v>
      </c>
    </row>
    <row r="25" spans="2:6" x14ac:dyDescent="0.25">
      <c r="B25" s="894" t="s">
        <v>40</v>
      </c>
      <c r="C25" s="895">
        <v>29</v>
      </c>
      <c r="D25" s="882" t="s">
        <v>41</v>
      </c>
      <c r="E25" s="897" t="s">
        <v>40</v>
      </c>
      <c r="F25" s="511" t="s">
        <v>265</v>
      </c>
    </row>
    <row r="26" spans="2:6" x14ac:dyDescent="0.25">
      <c r="B26" s="894" t="s">
        <v>42</v>
      </c>
      <c r="C26" s="895">
        <v>31</v>
      </c>
      <c r="D26" s="882" t="s">
        <v>43</v>
      </c>
      <c r="E26" s="897" t="s">
        <v>42</v>
      </c>
      <c r="F26" s="511" t="s">
        <v>266</v>
      </c>
    </row>
    <row r="27" spans="2:6" x14ac:dyDescent="0.25">
      <c r="B27" s="894" t="s">
        <v>44</v>
      </c>
      <c r="C27" s="895">
        <v>33</v>
      </c>
      <c r="D27" s="882" t="s">
        <v>45</v>
      </c>
      <c r="E27" s="897" t="s">
        <v>44</v>
      </c>
      <c r="F27" s="511" t="s">
        <v>268</v>
      </c>
    </row>
    <row r="28" spans="2:6" x14ac:dyDescent="0.25">
      <c r="B28" s="894" t="s">
        <v>46</v>
      </c>
      <c r="C28" s="895">
        <v>35</v>
      </c>
      <c r="D28" s="882" t="s">
        <v>47</v>
      </c>
      <c r="E28" s="897" t="s">
        <v>46</v>
      </c>
      <c r="F28" s="511" t="s">
        <v>266</v>
      </c>
    </row>
    <row r="29" spans="2:6" x14ac:dyDescent="0.25">
      <c r="B29" s="894" t="s">
        <v>48</v>
      </c>
      <c r="C29" s="895">
        <v>36</v>
      </c>
      <c r="D29" s="882" t="s">
        <v>269</v>
      </c>
      <c r="E29" s="897" t="s">
        <v>48</v>
      </c>
      <c r="F29" s="511" t="s">
        <v>265</v>
      </c>
    </row>
    <row r="30" spans="2:6" x14ac:dyDescent="0.25">
      <c r="B30" s="894" t="s">
        <v>50</v>
      </c>
      <c r="C30" s="895">
        <v>37</v>
      </c>
      <c r="D30" s="882" t="s">
        <v>51</v>
      </c>
      <c r="E30" s="897" t="s">
        <v>50</v>
      </c>
      <c r="F30" s="511" t="s">
        <v>265</v>
      </c>
    </row>
    <row r="31" spans="2:6" x14ac:dyDescent="0.25">
      <c r="B31" s="894" t="s">
        <v>52</v>
      </c>
      <c r="C31" s="895">
        <v>540</v>
      </c>
      <c r="D31" s="882" t="s">
        <v>53</v>
      </c>
      <c r="E31" s="897" t="s">
        <v>52</v>
      </c>
      <c r="F31" s="511" t="s">
        <v>264</v>
      </c>
    </row>
    <row r="32" spans="2:6" x14ac:dyDescent="0.25">
      <c r="B32" s="894" t="s">
        <v>54</v>
      </c>
      <c r="C32" s="895">
        <v>550</v>
      </c>
      <c r="D32" s="882" t="s">
        <v>55</v>
      </c>
      <c r="E32" s="897" t="s">
        <v>54</v>
      </c>
      <c r="F32" s="511" t="s">
        <v>266</v>
      </c>
    </row>
    <row r="33" spans="2:6" x14ac:dyDescent="0.25">
      <c r="B33" s="894" t="s">
        <v>56</v>
      </c>
      <c r="C33" s="895">
        <v>41</v>
      </c>
      <c r="D33" s="882" t="s">
        <v>57</v>
      </c>
      <c r="E33" s="897" t="s">
        <v>56</v>
      </c>
      <c r="F33" s="511" t="s">
        <v>267</v>
      </c>
    </row>
    <row r="34" spans="2:6" x14ac:dyDescent="0.25">
      <c r="B34" s="894" t="s">
        <v>58</v>
      </c>
      <c r="C34" s="895">
        <v>43</v>
      </c>
      <c r="D34" s="882" t="s">
        <v>59</v>
      </c>
      <c r="E34" s="897" t="s">
        <v>58</v>
      </c>
      <c r="F34" s="511" t="s">
        <v>265</v>
      </c>
    </row>
    <row r="35" spans="2:6" x14ac:dyDescent="0.25">
      <c r="B35" s="894" t="s">
        <v>60</v>
      </c>
      <c r="C35" s="895">
        <v>45</v>
      </c>
      <c r="D35" s="882" t="s">
        <v>61</v>
      </c>
      <c r="E35" s="897" t="s">
        <v>60</v>
      </c>
      <c r="F35" s="511" t="s">
        <v>267</v>
      </c>
    </row>
    <row r="36" spans="2:6" x14ac:dyDescent="0.25">
      <c r="B36" s="894" t="s">
        <v>62</v>
      </c>
      <c r="C36" s="895">
        <v>47</v>
      </c>
      <c r="D36" s="882" t="s">
        <v>63</v>
      </c>
      <c r="E36" s="897" t="s">
        <v>62</v>
      </c>
      <c r="F36" s="511" t="s">
        <v>266</v>
      </c>
    </row>
    <row r="37" spans="2:6" x14ac:dyDescent="0.25">
      <c r="B37" s="894" t="s">
        <v>64</v>
      </c>
      <c r="C37" s="895">
        <v>49</v>
      </c>
      <c r="D37" s="882" t="s">
        <v>65</v>
      </c>
      <c r="E37" s="897" t="s">
        <v>64</v>
      </c>
      <c r="F37" s="511" t="s">
        <v>265</v>
      </c>
    </row>
    <row r="38" spans="2:6" x14ac:dyDescent="0.25">
      <c r="B38" s="894" t="s">
        <v>66</v>
      </c>
      <c r="C38" s="895">
        <v>590</v>
      </c>
      <c r="D38" s="882" t="s">
        <v>67</v>
      </c>
      <c r="E38" s="897" t="s">
        <v>66</v>
      </c>
      <c r="F38" s="511" t="s">
        <v>268</v>
      </c>
    </row>
    <row r="39" spans="2:6" x14ac:dyDescent="0.25">
      <c r="B39" s="894" t="s">
        <v>68</v>
      </c>
      <c r="C39" s="895">
        <v>51</v>
      </c>
      <c r="D39" s="882" t="s">
        <v>69</v>
      </c>
      <c r="E39" s="897" t="s">
        <v>68</v>
      </c>
      <c r="F39" s="511" t="s">
        <v>264</v>
      </c>
    </row>
    <row r="40" spans="2:6" x14ac:dyDescent="0.25">
      <c r="B40" s="894" t="s">
        <v>70</v>
      </c>
      <c r="C40" s="895">
        <v>53</v>
      </c>
      <c r="D40" s="882" t="s">
        <v>71</v>
      </c>
      <c r="E40" s="897" t="s">
        <v>70</v>
      </c>
      <c r="F40" s="511" t="s">
        <v>266</v>
      </c>
    </row>
    <row r="41" spans="2:6" x14ac:dyDescent="0.25">
      <c r="B41" s="894" t="s">
        <v>72</v>
      </c>
      <c r="C41" s="895">
        <v>57</v>
      </c>
      <c r="D41" s="882" t="s">
        <v>73</v>
      </c>
      <c r="E41" s="897" t="s">
        <v>72</v>
      </c>
      <c r="F41" s="511" t="s">
        <v>267</v>
      </c>
    </row>
    <row r="42" spans="2:6" x14ac:dyDescent="0.25">
      <c r="B42" s="894" t="s">
        <v>74</v>
      </c>
      <c r="C42" s="895">
        <v>59</v>
      </c>
      <c r="D42" s="882" t="s">
        <v>649</v>
      </c>
      <c r="E42" s="897" t="s">
        <v>74</v>
      </c>
      <c r="F42" s="511" t="s">
        <v>267</v>
      </c>
    </row>
    <row r="43" spans="2:6" x14ac:dyDescent="0.25">
      <c r="B43" s="894" t="s">
        <v>76</v>
      </c>
      <c r="C43" s="895">
        <v>61</v>
      </c>
      <c r="D43" s="882" t="s">
        <v>77</v>
      </c>
      <c r="E43" s="897" t="s">
        <v>76</v>
      </c>
      <c r="F43" s="511" t="s">
        <v>268</v>
      </c>
    </row>
    <row r="44" spans="2:6" x14ac:dyDescent="0.25">
      <c r="B44" s="894" t="s">
        <v>78</v>
      </c>
      <c r="C44" s="895">
        <v>63</v>
      </c>
      <c r="D44" s="882" t="s">
        <v>79</v>
      </c>
      <c r="E44" s="897" t="s">
        <v>78</v>
      </c>
      <c r="F44" s="511" t="s">
        <v>266</v>
      </c>
    </row>
    <row r="45" spans="2:6" x14ac:dyDescent="0.25">
      <c r="B45" s="894" t="s">
        <v>80</v>
      </c>
      <c r="C45" s="895">
        <v>65</v>
      </c>
      <c r="D45" s="882" t="s">
        <v>81</v>
      </c>
      <c r="E45" s="897" t="s">
        <v>80</v>
      </c>
      <c r="F45" s="511" t="s">
        <v>264</v>
      </c>
    </row>
    <row r="46" spans="2:6" x14ac:dyDescent="0.25">
      <c r="B46" s="894" t="s">
        <v>82</v>
      </c>
      <c r="C46" s="895">
        <v>620</v>
      </c>
      <c r="D46" s="882" t="s">
        <v>83</v>
      </c>
      <c r="E46" s="897" t="s">
        <v>82</v>
      </c>
      <c r="F46" s="511" t="s">
        <v>265</v>
      </c>
    </row>
    <row r="47" spans="2:6" x14ac:dyDescent="0.25">
      <c r="B47" s="894" t="s">
        <v>84</v>
      </c>
      <c r="C47" s="895">
        <v>67</v>
      </c>
      <c r="D47" s="882" t="s">
        <v>85</v>
      </c>
      <c r="E47" s="897" t="s">
        <v>84</v>
      </c>
      <c r="F47" s="511" t="s">
        <v>267</v>
      </c>
    </row>
    <row r="48" spans="2:6" x14ac:dyDescent="0.25">
      <c r="B48" s="894" t="s">
        <v>86</v>
      </c>
      <c r="C48" s="895">
        <v>69</v>
      </c>
      <c r="D48" s="882" t="s">
        <v>87</v>
      </c>
      <c r="E48" s="897" t="s">
        <v>86</v>
      </c>
      <c r="F48" s="511" t="s">
        <v>267</v>
      </c>
    </row>
    <row r="49" spans="2:6" x14ac:dyDescent="0.25">
      <c r="B49" s="894" t="s">
        <v>88</v>
      </c>
      <c r="C49" s="895">
        <v>630</v>
      </c>
      <c r="D49" s="882" t="s">
        <v>89</v>
      </c>
      <c r="E49" s="897" t="s">
        <v>88</v>
      </c>
      <c r="F49" s="511" t="s">
        <v>268</v>
      </c>
    </row>
    <row r="50" spans="2:6" x14ac:dyDescent="0.25">
      <c r="B50" s="894" t="s">
        <v>90</v>
      </c>
      <c r="C50" s="895">
        <v>640</v>
      </c>
      <c r="D50" s="882" t="s">
        <v>91</v>
      </c>
      <c r="E50" s="897" t="s">
        <v>90</v>
      </c>
      <c r="F50" s="511" t="s">
        <v>268</v>
      </c>
    </row>
    <row r="51" spans="2:6" x14ac:dyDescent="0.25">
      <c r="B51" s="894" t="s">
        <v>92</v>
      </c>
      <c r="C51" s="895">
        <v>71</v>
      </c>
      <c r="D51" s="882" t="s">
        <v>93</v>
      </c>
      <c r="E51" s="897" t="s">
        <v>92</v>
      </c>
      <c r="F51" s="511" t="s">
        <v>264</v>
      </c>
    </row>
    <row r="52" spans="2:6" x14ac:dyDescent="0.25">
      <c r="B52" s="894" t="s">
        <v>94</v>
      </c>
      <c r="C52" s="895">
        <v>73</v>
      </c>
      <c r="D52" s="882" t="s">
        <v>95</v>
      </c>
      <c r="E52" s="897" t="s">
        <v>94</v>
      </c>
      <c r="F52" s="511" t="s">
        <v>266</v>
      </c>
    </row>
    <row r="53" spans="2:6" x14ac:dyDescent="0.25">
      <c r="B53" s="894" t="s">
        <v>96</v>
      </c>
      <c r="C53" s="895">
        <v>75</v>
      </c>
      <c r="D53" s="882" t="s">
        <v>97</v>
      </c>
      <c r="E53" s="897" t="s">
        <v>96</v>
      </c>
      <c r="F53" s="511" t="s">
        <v>268</v>
      </c>
    </row>
    <row r="54" spans="2:6" x14ac:dyDescent="0.25">
      <c r="B54" s="894" t="s">
        <v>98</v>
      </c>
      <c r="C54" s="895">
        <v>77</v>
      </c>
      <c r="D54" s="882" t="s">
        <v>99</v>
      </c>
      <c r="E54" s="897" t="s">
        <v>98</v>
      </c>
      <c r="F54" s="511" t="s">
        <v>267</v>
      </c>
    </row>
    <row r="55" spans="2:6" x14ac:dyDescent="0.25">
      <c r="B55" s="894" t="s">
        <v>100</v>
      </c>
      <c r="C55" s="895">
        <v>79</v>
      </c>
      <c r="D55" s="882" t="s">
        <v>101</v>
      </c>
      <c r="E55" s="897" t="s">
        <v>100</v>
      </c>
      <c r="F55" s="511" t="s">
        <v>264</v>
      </c>
    </row>
    <row r="56" spans="2:6" x14ac:dyDescent="0.25">
      <c r="B56" s="894" t="s">
        <v>102</v>
      </c>
      <c r="C56" s="895">
        <v>81</v>
      </c>
      <c r="D56" s="882" t="s">
        <v>103</v>
      </c>
      <c r="E56" s="897" t="s">
        <v>102</v>
      </c>
      <c r="F56" s="511" t="s">
        <v>265</v>
      </c>
    </row>
    <row r="57" spans="2:6" x14ac:dyDescent="0.25">
      <c r="B57" s="894" t="s">
        <v>104</v>
      </c>
      <c r="C57" s="895">
        <v>83</v>
      </c>
      <c r="D57" s="882" t="s">
        <v>105</v>
      </c>
      <c r="E57" s="897" t="s">
        <v>104</v>
      </c>
      <c r="F57" s="511" t="s">
        <v>264</v>
      </c>
    </row>
    <row r="58" spans="2:6" x14ac:dyDescent="0.25">
      <c r="B58" s="894" t="s">
        <v>106</v>
      </c>
      <c r="C58" s="895">
        <v>650</v>
      </c>
      <c r="D58" s="882" t="s">
        <v>107</v>
      </c>
      <c r="E58" s="897" t="s">
        <v>106</v>
      </c>
      <c r="F58" s="511" t="s">
        <v>266</v>
      </c>
    </row>
    <row r="59" spans="2:6" x14ac:dyDescent="0.25">
      <c r="B59" s="894" t="s">
        <v>108</v>
      </c>
      <c r="C59" s="895">
        <v>85</v>
      </c>
      <c r="D59" s="882" t="s">
        <v>109</v>
      </c>
      <c r="E59" s="897" t="s">
        <v>108</v>
      </c>
      <c r="F59" s="511" t="s">
        <v>267</v>
      </c>
    </row>
    <row r="60" spans="2:6" x14ac:dyDescent="0.25">
      <c r="B60" s="894" t="s">
        <v>110</v>
      </c>
      <c r="C60" s="895">
        <v>87</v>
      </c>
      <c r="D60" s="882" t="s">
        <v>111</v>
      </c>
      <c r="E60" s="897" t="s">
        <v>110</v>
      </c>
      <c r="F60" s="511" t="s">
        <v>266</v>
      </c>
    </row>
    <row r="61" spans="2:6" x14ac:dyDescent="0.25">
      <c r="B61" s="894" t="s">
        <v>112</v>
      </c>
      <c r="C61" s="895">
        <v>89</v>
      </c>
      <c r="D61" s="882" t="s">
        <v>113</v>
      </c>
      <c r="E61" s="897" t="s">
        <v>112</v>
      </c>
      <c r="F61" s="511" t="s">
        <v>265</v>
      </c>
    </row>
    <row r="62" spans="2:6" x14ac:dyDescent="0.25">
      <c r="B62" s="894" t="s">
        <v>114</v>
      </c>
      <c r="C62" s="895">
        <v>91</v>
      </c>
      <c r="D62" s="882" t="s">
        <v>115</v>
      </c>
      <c r="E62" s="897" t="s">
        <v>114</v>
      </c>
      <c r="F62" s="511" t="s">
        <v>265</v>
      </c>
    </row>
    <row r="63" spans="2:6" x14ac:dyDescent="0.25">
      <c r="B63" s="894" t="s">
        <v>116</v>
      </c>
      <c r="C63" s="895">
        <v>670</v>
      </c>
      <c r="D63" s="882" t="s">
        <v>117</v>
      </c>
      <c r="E63" s="897" t="s">
        <v>116</v>
      </c>
      <c r="F63" s="511" t="s">
        <v>266</v>
      </c>
    </row>
    <row r="64" spans="2:6" x14ac:dyDescent="0.25">
      <c r="B64" s="894" t="s">
        <v>118</v>
      </c>
      <c r="C64" s="895">
        <v>93</v>
      </c>
      <c r="D64" s="882" t="s">
        <v>119</v>
      </c>
      <c r="E64" s="897" t="s">
        <v>118</v>
      </c>
      <c r="F64" s="511" t="s">
        <v>264</v>
      </c>
    </row>
    <row r="65" spans="2:6" x14ac:dyDescent="0.25">
      <c r="B65" s="894" t="s">
        <v>120</v>
      </c>
      <c r="C65" s="895">
        <v>95</v>
      </c>
      <c r="D65" s="882" t="s">
        <v>121</v>
      </c>
      <c r="E65" s="897" t="s">
        <v>120</v>
      </c>
      <c r="F65" s="511" t="s">
        <v>264</v>
      </c>
    </row>
    <row r="66" spans="2:6" x14ac:dyDescent="0.25">
      <c r="B66" s="894" t="s">
        <v>122</v>
      </c>
      <c r="C66" s="895">
        <v>97</v>
      </c>
      <c r="D66" s="882" t="s">
        <v>123</v>
      </c>
      <c r="E66" s="897" t="s">
        <v>122</v>
      </c>
      <c r="F66" s="511" t="s">
        <v>266</v>
      </c>
    </row>
    <row r="67" spans="2:6" x14ac:dyDescent="0.25">
      <c r="B67" s="894" t="s">
        <v>124</v>
      </c>
      <c r="C67" s="895">
        <v>99</v>
      </c>
      <c r="D67" s="882" t="s">
        <v>125</v>
      </c>
      <c r="E67" s="897" t="s">
        <v>124</v>
      </c>
      <c r="F67" s="511" t="s">
        <v>267</v>
      </c>
    </row>
    <row r="68" spans="2:6" x14ac:dyDescent="0.25">
      <c r="B68" s="894" t="s">
        <v>126</v>
      </c>
      <c r="C68" s="895">
        <v>101</v>
      </c>
      <c r="D68" s="882" t="s">
        <v>127</v>
      </c>
      <c r="E68" s="897" t="s">
        <v>126</v>
      </c>
      <c r="F68" s="511" t="s">
        <v>266</v>
      </c>
    </row>
    <row r="69" spans="2:6" x14ac:dyDescent="0.25">
      <c r="B69" s="894" t="s">
        <v>128</v>
      </c>
      <c r="C69" s="895">
        <v>103</v>
      </c>
      <c r="D69" s="882" t="s">
        <v>129</v>
      </c>
      <c r="E69" s="897" t="s">
        <v>128</v>
      </c>
      <c r="F69" s="511" t="s">
        <v>266</v>
      </c>
    </row>
    <row r="70" spans="2:6" x14ac:dyDescent="0.25">
      <c r="B70" s="894" t="s">
        <v>130</v>
      </c>
      <c r="C70" s="895">
        <v>105</v>
      </c>
      <c r="D70" s="882" t="s">
        <v>131</v>
      </c>
      <c r="E70" s="897" t="s">
        <v>130</v>
      </c>
      <c r="F70" s="511" t="s">
        <v>268</v>
      </c>
    </row>
    <row r="71" spans="2:6" x14ac:dyDescent="0.25">
      <c r="B71" s="894" t="s">
        <v>132</v>
      </c>
      <c r="C71" s="895">
        <v>107</v>
      </c>
      <c r="D71" s="882" t="s">
        <v>133</v>
      </c>
      <c r="E71" s="897" t="s">
        <v>132</v>
      </c>
      <c r="F71" s="511" t="s">
        <v>267</v>
      </c>
    </row>
    <row r="72" spans="2:6" x14ac:dyDescent="0.25">
      <c r="B72" s="894" t="s">
        <v>134</v>
      </c>
      <c r="C72" s="895">
        <v>109</v>
      </c>
      <c r="D72" s="882" t="s">
        <v>135</v>
      </c>
      <c r="E72" s="897" t="s">
        <v>134</v>
      </c>
      <c r="F72" s="511" t="s">
        <v>267</v>
      </c>
    </row>
    <row r="73" spans="2:6" x14ac:dyDescent="0.25">
      <c r="B73" s="894" t="s">
        <v>136</v>
      </c>
      <c r="C73" s="895">
        <v>111</v>
      </c>
      <c r="D73" s="882" t="s">
        <v>137</v>
      </c>
      <c r="E73" s="897" t="s">
        <v>136</v>
      </c>
      <c r="F73" s="511" t="s">
        <v>266</v>
      </c>
    </row>
    <row r="74" spans="2:6" x14ac:dyDescent="0.25">
      <c r="B74" s="894" t="s">
        <v>138</v>
      </c>
      <c r="C74" s="895">
        <v>680</v>
      </c>
      <c r="D74" s="882" t="s">
        <v>139</v>
      </c>
      <c r="E74" s="897" t="s">
        <v>138</v>
      </c>
      <c r="F74" s="511" t="s">
        <v>265</v>
      </c>
    </row>
    <row r="75" spans="2:6" x14ac:dyDescent="0.25">
      <c r="B75" s="894" t="s">
        <v>140</v>
      </c>
      <c r="C75" s="895">
        <v>113</v>
      </c>
      <c r="D75" s="882" t="s">
        <v>141</v>
      </c>
      <c r="E75" s="897" t="s">
        <v>140</v>
      </c>
      <c r="F75" s="511" t="s">
        <v>267</v>
      </c>
    </row>
    <row r="76" spans="2:6" x14ac:dyDescent="0.25">
      <c r="B76" s="894" t="s">
        <v>142</v>
      </c>
      <c r="C76" s="895">
        <v>683</v>
      </c>
      <c r="D76" s="882" t="s">
        <v>143</v>
      </c>
      <c r="E76" s="897" t="s">
        <v>142</v>
      </c>
      <c r="F76" s="511" t="s">
        <v>267</v>
      </c>
    </row>
    <row r="77" spans="2:6" x14ac:dyDescent="0.25">
      <c r="B77" s="894" t="s">
        <v>144</v>
      </c>
      <c r="C77" s="895">
        <v>685</v>
      </c>
      <c r="D77" s="882" t="s">
        <v>145</v>
      </c>
      <c r="E77" s="897" t="s">
        <v>144</v>
      </c>
      <c r="F77" s="511" t="s">
        <v>267</v>
      </c>
    </row>
    <row r="78" spans="2:6" x14ac:dyDescent="0.25">
      <c r="B78" s="894" t="s">
        <v>146</v>
      </c>
      <c r="C78" s="895">
        <v>115</v>
      </c>
      <c r="D78" s="882" t="s">
        <v>147</v>
      </c>
      <c r="E78" s="897" t="s">
        <v>146</v>
      </c>
      <c r="F78" s="511" t="s">
        <v>264</v>
      </c>
    </row>
    <row r="79" spans="2:6" x14ac:dyDescent="0.25">
      <c r="B79" s="894" t="s">
        <v>148</v>
      </c>
      <c r="C79" s="895">
        <v>117</v>
      </c>
      <c r="D79" s="882" t="s">
        <v>149</v>
      </c>
      <c r="E79" s="897" t="s">
        <v>148</v>
      </c>
      <c r="F79" s="511" t="s">
        <v>265</v>
      </c>
    </row>
    <row r="80" spans="2:6" x14ac:dyDescent="0.25">
      <c r="B80" s="894" t="s">
        <v>150</v>
      </c>
      <c r="C80" s="895">
        <v>119</v>
      </c>
      <c r="D80" s="882" t="s">
        <v>151</v>
      </c>
      <c r="E80" s="897" t="s">
        <v>150</v>
      </c>
      <c r="F80" s="511" t="s">
        <v>266</v>
      </c>
    </row>
    <row r="81" spans="2:6" x14ac:dyDescent="0.25">
      <c r="B81" s="894" t="s">
        <v>152</v>
      </c>
      <c r="C81" s="895">
        <v>121</v>
      </c>
      <c r="D81" s="882" t="s">
        <v>153</v>
      </c>
      <c r="E81" s="897" t="s">
        <v>152</v>
      </c>
      <c r="F81" s="511" t="s">
        <v>268</v>
      </c>
    </row>
    <row r="82" spans="2:6" x14ac:dyDescent="0.25">
      <c r="B82" s="894" t="s">
        <v>154</v>
      </c>
      <c r="C82" s="895">
        <v>125</v>
      </c>
      <c r="D82" s="882" t="s">
        <v>155</v>
      </c>
      <c r="E82" s="897" t="s">
        <v>154</v>
      </c>
      <c r="F82" s="511" t="s">
        <v>265</v>
      </c>
    </row>
    <row r="83" spans="2:6" x14ac:dyDescent="0.25">
      <c r="B83" s="894" t="s">
        <v>156</v>
      </c>
      <c r="C83" s="895">
        <v>127</v>
      </c>
      <c r="D83" s="882" t="s">
        <v>157</v>
      </c>
      <c r="E83" s="897" t="s">
        <v>156</v>
      </c>
      <c r="F83" s="511" t="s">
        <v>266</v>
      </c>
    </row>
    <row r="84" spans="2:6" x14ac:dyDescent="0.25">
      <c r="B84" s="898" t="s">
        <v>158</v>
      </c>
      <c r="C84" s="899">
        <v>700</v>
      </c>
      <c r="D84" s="882" t="s">
        <v>159</v>
      </c>
      <c r="E84" s="899" t="s">
        <v>158</v>
      </c>
      <c r="F84" s="511" t="s">
        <v>264</v>
      </c>
    </row>
    <row r="85" spans="2:6" x14ac:dyDescent="0.25">
      <c r="B85" s="894" t="s">
        <v>160</v>
      </c>
      <c r="C85" s="895">
        <v>710</v>
      </c>
      <c r="D85" s="882" t="s">
        <v>161</v>
      </c>
      <c r="E85" s="897" t="s">
        <v>160</v>
      </c>
      <c r="F85" s="511" t="s">
        <v>264</v>
      </c>
    </row>
    <row r="86" spans="2:6" x14ac:dyDescent="0.25">
      <c r="B86" s="894" t="s">
        <v>162</v>
      </c>
      <c r="C86" s="895">
        <v>131</v>
      </c>
      <c r="D86" s="882" t="s">
        <v>163</v>
      </c>
      <c r="E86" s="897" t="s">
        <v>162</v>
      </c>
      <c r="F86" s="511" t="s">
        <v>264</v>
      </c>
    </row>
    <row r="87" spans="2:6" x14ac:dyDescent="0.25">
      <c r="B87" s="894" t="s">
        <v>164</v>
      </c>
      <c r="C87" s="895">
        <v>133</v>
      </c>
      <c r="D87" s="882" t="s">
        <v>165</v>
      </c>
      <c r="E87" s="897" t="s">
        <v>164</v>
      </c>
      <c r="F87" s="511" t="s">
        <v>266</v>
      </c>
    </row>
    <row r="88" spans="2:6" x14ac:dyDescent="0.25">
      <c r="B88" s="894" t="s">
        <v>166</v>
      </c>
      <c r="C88" s="895">
        <v>720</v>
      </c>
      <c r="D88" s="882" t="s">
        <v>167</v>
      </c>
      <c r="E88" s="897" t="s">
        <v>166</v>
      </c>
      <c r="F88" s="511" t="s">
        <v>268</v>
      </c>
    </row>
    <row r="89" spans="2:6" x14ac:dyDescent="0.25">
      <c r="B89" s="894" t="s">
        <v>168</v>
      </c>
      <c r="C89" s="895">
        <v>135</v>
      </c>
      <c r="D89" s="882" t="s">
        <v>169</v>
      </c>
      <c r="E89" s="897" t="s">
        <v>168</v>
      </c>
      <c r="F89" s="511" t="s">
        <v>266</v>
      </c>
    </row>
    <row r="90" spans="2:6" x14ac:dyDescent="0.25">
      <c r="B90" s="894" t="s">
        <v>170</v>
      </c>
      <c r="C90" s="895">
        <v>137</v>
      </c>
      <c r="D90" s="882" t="s">
        <v>171</v>
      </c>
      <c r="E90" s="897" t="s">
        <v>170</v>
      </c>
      <c r="F90" s="511" t="s">
        <v>267</v>
      </c>
    </row>
    <row r="91" spans="2:6" x14ac:dyDescent="0.25">
      <c r="B91" s="894" t="s">
        <v>172</v>
      </c>
      <c r="C91" s="895">
        <v>139</v>
      </c>
      <c r="D91" s="882" t="s">
        <v>173</v>
      </c>
      <c r="E91" s="897" t="s">
        <v>172</v>
      </c>
      <c r="F91" s="511" t="s">
        <v>267</v>
      </c>
    </row>
    <row r="92" spans="2:6" x14ac:dyDescent="0.25">
      <c r="B92" s="894" t="s">
        <v>174</v>
      </c>
      <c r="C92" s="895">
        <v>141</v>
      </c>
      <c r="D92" s="882" t="s">
        <v>175</v>
      </c>
      <c r="E92" s="897" t="s">
        <v>174</v>
      </c>
      <c r="F92" s="511" t="s">
        <v>268</v>
      </c>
    </row>
    <row r="93" spans="2:6" x14ac:dyDescent="0.25">
      <c r="B93" s="894" t="s">
        <v>176</v>
      </c>
      <c r="C93" s="895">
        <v>730</v>
      </c>
      <c r="D93" s="882" t="s">
        <v>177</v>
      </c>
      <c r="E93" s="897" t="s">
        <v>176</v>
      </c>
      <c r="F93" s="511" t="s">
        <v>266</v>
      </c>
    </row>
    <row r="94" spans="2:6" x14ac:dyDescent="0.25">
      <c r="B94" s="894" t="s">
        <v>178</v>
      </c>
      <c r="C94" s="895">
        <v>143</v>
      </c>
      <c r="D94" s="882" t="s">
        <v>179</v>
      </c>
      <c r="E94" s="897" t="s">
        <v>178</v>
      </c>
      <c r="F94" s="511" t="s">
        <v>265</v>
      </c>
    </row>
    <row r="95" spans="2:6" x14ac:dyDescent="0.25">
      <c r="B95" s="894" t="s">
        <v>180</v>
      </c>
      <c r="C95" s="895">
        <v>740</v>
      </c>
      <c r="D95" s="882" t="s">
        <v>181</v>
      </c>
      <c r="E95" s="897" t="s">
        <v>180</v>
      </c>
      <c r="F95" s="511" t="s">
        <v>264</v>
      </c>
    </row>
    <row r="96" spans="2:6" x14ac:dyDescent="0.25">
      <c r="B96" s="894" t="s">
        <v>182</v>
      </c>
      <c r="C96" s="895">
        <v>145</v>
      </c>
      <c r="D96" s="882" t="s">
        <v>183</v>
      </c>
      <c r="E96" s="897" t="s">
        <v>182</v>
      </c>
      <c r="F96" s="511" t="s">
        <v>266</v>
      </c>
    </row>
    <row r="97" spans="2:6" x14ac:dyDescent="0.25">
      <c r="B97" s="894" t="s">
        <v>184</v>
      </c>
      <c r="C97" s="895">
        <v>147</v>
      </c>
      <c r="D97" s="882" t="s">
        <v>185</v>
      </c>
      <c r="E97" s="897" t="s">
        <v>184</v>
      </c>
      <c r="F97" s="511" t="s">
        <v>266</v>
      </c>
    </row>
    <row r="98" spans="2:6" x14ac:dyDescent="0.25">
      <c r="B98" s="894" t="s">
        <v>186</v>
      </c>
      <c r="C98" s="895">
        <v>149</v>
      </c>
      <c r="D98" s="882" t="s">
        <v>187</v>
      </c>
      <c r="E98" s="897" t="s">
        <v>186</v>
      </c>
      <c r="F98" s="511" t="s">
        <v>264</v>
      </c>
    </row>
    <row r="99" spans="2:6" x14ac:dyDescent="0.25">
      <c r="B99" s="894" t="s">
        <v>188</v>
      </c>
      <c r="C99" s="895">
        <v>153</v>
      </c>
      <c r="D99" s="882" t="s">
        <v>189</v>
      </c>
      <c r="E99" s="897" t="s">
        <v>188</v>
      </c>
      <c r="F99" s="511" t="s">
        <v>267</v>
      </c>
    </row>
    <row r="100" spans="2:6" x14ac:dyDescent="0.25">
      <c r="B100" s="894" t="s">
        <v>190</v>
      </c>
      <c r="C100" s="895">
        <v>155</v>
      </c>
      <c r="D100" s="882" t="s">
        <v>191</v>
      </c>
      <c r="E100" s="897" t="s">
        <v>190</v>
      </c>
      <c r="F100" s="511" t="s">
        <v>268</v>
      </c>
    </row>
    <row r="101" spans="2:6" x14ac:dyDescent="0.25">
      <c r="B101" s="894" t="s">
        <v>192</v>
      </c>
      <c r="C101" s="895">
        <v>750</v>
      </c>
      <c r="D101" s="882" t="s">
        <v>193</v>
      </c>
      <c r="E101" s="897" t="s">
        <v>192</v>
      </c>
      <c r="F101" s="511" t="s">
        <v>268</v>
      </c>
    </row>
    <row r="102" spans="2:6" x14ac:dyDescent="0.25">
      <c r="B102" s="894" t="s">
        <v>194</v>
      </c>
      <c r="C102" s="895">
        <v>157</v>
      </c>
      <c r="D102" s="882" t="s">
        <v>195</v>
      </c>
      <c r="E102" s="897" t="s">
        <v>194</v>
      </c>
      <c r="F102" s="511" t="s">
        <v>267</v>
      </c>
    </row>
    <row r="103" spans="2:6" x14ac:dyDescent="0.25">
      <c r="B103" s="894" t="s">
        <v>196</v>
      </c>
      <c r="C103" s="895">
        <v>760</v>
      </c>
      <c r="D103" s="882" t="s">
        <v>197</v>
      </c>
      <c r="E103" s="897" t="s">
        <v>196</v>
      </c>
      <c r="F103" s="511" t="s">
        <v>266</v>
      </c>
    </row>
    <row r="104" spans="2:6" x14ac:dyDescent="0.25">
      <c r="B104" s="894" t="s">
        <v>198</v>
      </c>
      <c r="C104" s="895">
        <v>159</v>
      </c>
      <c r="D104" s="882" t="s">
        <v>272</v>
      </c>
      <c r="E104" s="897" t="s">
        <v>198</v>
      </c>
      <c r="F104" s="511" t="s">
        <v>266</v>
      </c>
    </row>
    <row r="105" spans="2:6" x14ac:dyDescent="0.25">
      <c r="B105" s="894" t="s">
        <v>200</v>
      </c>
      <c r="C105" s="895">
        <v>770</v>
      </c>
      <c r="D105" s="882" t="s">
        <v>201</v>
      </c>
      <c r="E105" s="897" t="s">
        <v>200</v>
      </c>
      <c r="F105" s="511" t="s">
        <v>265</v>
      </c>
    </row>
    <row r="106" spans="2:6" x14ac:dyDescent="0.25">
      <c r="B106" s="894" t="s">
        <v>202</v>
      </c>
      <c r="C106" s="895">
        <v>161</v>
      </c>
      <c r="D106" s="882" t="s">
        <v>203</v>
      </c>
      <c r="E106" s="897" t="s">
        <v>202</v>
      </c>
      <c r="F106" s="511" t="s">
        <v>265</v>
      </c>
    </row>
    <row r="107" spans="2:6" x14ac:dyDescent="0.25">
      <c r="B107" s="894" t="s">
        <v>204</v>
      </c>
      <c r="C107" s="895">
        <v>163</v>
      </c>
      <c r="D107" s="882" t="s">
        <v>205</v>
      </c>
      <c r="E107" s="897" t="s">
        <v>204</v>
      </c>
      <c r="F107" s="511" t="s">
        <v>265</v>
      </c>
    </row>
    <row r="108" spans="2:6" x14ac:dyDescent="0.25">
      <c r="B108" s="894" t="s">
        <v>206</v>
      </c>
      <c r="C108" s="895">
        <v>165</v>
      </c>
      <c r="D108" s="882" t="s">
        <v>207</v>
      </c>
      <c r="E108" s="897" t="s">
        <v>206</v>
      </c>
      <c r="F108" s="511" t="s">
        <v>268</v>
      </c>
    </row>
    <row r="109" spans="2:6" x14ac:dyDescent="0.25">
      <c r="B109" s="894" t="s">
        <v>208</v>
      </c>
      <c r="C109" s="895">
        <v>167</v>
      </c>
      <c r="D109" s="882" t="s">
        <v>209</v>
      </c>
      <c r="E109" s="897" t="s">
        <v>208</v>
      </c>
      <c r="F109" s="511" t="s">
        <v>268</v>
      </c>
    </row>
    <row r="110" spans="2:6" x14ac:dyDescent="0.25">
      <c r="B110" s="894" t="s">
        <v>210</v>
      </c>
      <c r="C110" s="895">
        <v>169</v>
      </c>
      <c r="D110" s="882" t="s">
        <v>211</v>
      </c>
      <c r="E110" s="897" t="s">
        <v>210</v>
      </c>
      <c r="F110" s="511" t="s">
        <v>267</v>
      </c>
    </row>
    <row r="111" spans="2:6" x14ac:dyDescent="0.25">
      <c r="B111" s="894" t="s">
        <v>212</v>
      </c>
      <c r="C111" s="895">
        <v>171</v>
      </c>
      <c r="D111" s="882" t="s">
        <v>213</v>
      </c>
      <c r="E111" s="897" t="s">
        <v>212</v>
      </c>
      <c r="F111" s="511" t="s">
        <v>265</v>
      </c>
    </row>
    <row r="112" spans="2:6" x14ac:dyDescent="0.25">
      <c r="B112" s="894" t="s">
        <v>214</v>
      </c>
      <c r="C112" s="895">
        <v>173</v>
      </c>
      <c r="D112" s="882" t="s">
        <v>215</v>
      </c>
      <c r="E112" s="897" t="s">
        <v>214</v>
      </c>
      <c r="F112" s="511" t="s">
        <v>268</v>
      </c>
    </row>
    <row r="113" spans="2:6" x14ac:dyDescent="0.25">
      <c r="B113" s="894" t="s">
        <v>216</v>
      </c>
      <c r="C113" s="895">
        <v>175</v>
      </c>
      <c r="D113" s="882" t="s">
        <v>217</v>
      </c>
      <c r="E113" s="897" t="s">
        <v>216</v>
      </c>
      <c r="F113" s="511" t="s">
        <v>264</v>
      </c>
    </row>
    <row r="114" spans="2:6" x14ac:dyDescent="0.25">
      <c r="B114" s="894" t="s">
        <v>218</v>
      </c>
      <c r="C114" s="895">
        <v>177</v>
      </c>
      <c r="D114" s="882" t="s">
        <v>219</v>
      </c>
      <c r="E114" s="897" t="s">
        <v>218</v>
      </c>
      <c r="F114" s="511" t="s">
        <v>267</v>
      </c>
    </row>
    <row r="115" spans="2:6" x14ac:dyDescent="0.25">
      <c r="B115" s="894" t="s">
        <v>220</v>
      </c>
      <c r="C115" s="895">
        <v>179</v>
      </c>
      <c r="D115" s="882" t="s">
        <v>221</v>
      </c>
      <c r="E115" s="897" t="s">
        <v>220</v>
      </c>
      <c r="F115" s="511" t="s">
        <v>267</v>
      </c>
    </row>
    <row r="116" spans="2:6" x14ac:dyDescent="0.25">
      <c r="B116" s="894" t="s">
        <v>222</v>
      </c>
      <c r="C116" s="895">
        <v>800</v>
      </c>
      <c r="D116" s="882" t="s">
        <v>223</v>
      </c>
      <c r="E116" s="897" t="s">
        <v>222</v>
      </c>
      <c r="F116" s="511" t="s">
        <v>264</v>
      </c>
    </row>
    <row r="117" spans="2:6" x14ac:dyDescent="0.25">
      <c r="B117" s="894" t="s">
        <v>224</v>
      </c>
      <c r="C117" s="895">
        <v>181</v>
      </c>
      <c r="D117" s="882" t="s">
        <v>225</v>
      </c>
      <c r="E117" s="897" t="s">
        <v>224</v>
      </c>
      <c r="F117" s="511" t="s">
        <v>264</v>
      </c>
    </row>
    <row r="118" spans="2:6" x14ac:dyDescent="0.25">
      <c r="B118" s="894" t="s">
        <v>226</v>
      </c>
      <c r="C118" s="895">
        <v>183</v>
      </c>
      <c r="D118" s="882" t="s">
        <v>227</v>
      </c>
      <c r="E118" s="897" t="s">
        <v>226</v>
      </c>
      <c r="F118" s="511" t="s">
        <v>264</v>
      </c>
    </row>
    <row r="119" spans="2:6" x14ac:dyDescent="0.25">
      <c r="B119" s="894" t="s">
        <v>228</v>
      </c>
      <c r="C119" s="895">
        <v>185</v>
      </c>
      <c r="D119" s="882" t="s">
        <v>229</v>
      </c>
      <c r="E119" s="897" t="s">
        <v>228</v>
      </c>
      <c r="F119" s="511" t="s">
        <v>268</v>
      </c>
    </row>
    <row r="120" spans="2:6" x14ac:dyDescent="0.25">
      <c r="B120" s="894" t="s">
        <v>230</v>
      </c>
      <c r="C120" s="895">
        <v>810</v>
      </c>
      <c r="D120" s="882" t="s">
        <v>231</v>
      </c>
      <c r="E120" s="897" t="s">
        <v>230</v>
      </c>
      <c r="F120" s="511" t="s">
        <v>264</v>
      </c>
    </row>
    <row r="121" spans="2:6" x14ac:dyDescent="0.25">
      <c r="B121" s="894" t="s">
        <v>232</v>
      </c>
      <c r="C121" s="895">
        <v>187</v>
      </c>
      <c r="D121" s="882" t="s">
        <v>233</v>
      </c>
      <c r="E121" s="897" t="s">
        <v>232</v>
      </c>
      <c r="F121" s="511" t="s">
        <v>267</v>
      </c>
    </row>
    <row r="122" spans="2:6" x14ac:dyDescent="0.25">
      <c r="B122" s="894" t="s">
        <v>234</v>
      </c>
      <c r="C122" s="895">
        <v>191</v>
      </c>
      <c r="D122" s="882" t="s">
        <v>235</v>
      </c>
      <c r="E122" s="897" t="s">
        <v>234</v>
      </c>
      <c r="F122" s="511" t="s">
        <v>268</v>
      </c>
    </row>
    <row r="123" spans="2:6" x14ac:dyDescent="0.25">
      <c r="B123" s="894" t="s">
        <v>236</v>
      </c>
      <c r="C123" s="895">
        <v>193</v>
      </c>
      <c r="D123" s="882" t="s">
        <v>237</v>
      </c>
      <c r="E123" s="897" t="s">
        <v>236</v>
      </c>
      <c r="F123" s="511" t="s">
        <v>266</v>
      </c>
    </row>
    <row r="124" spans="2:6" x14ac:dyDescent="0.25">
      <c r="B124" s="894" t="s">
        <v>238</v>
      </c>
      <c r="C124" s="895">
        <v>830</v>
      </c>
      <c r="D124" s="882" t="s">
        <v>239</v>
      </c>
      <c r="E124" s="897" t="s">
        <v>238</v>
      </c>
      <c r="F124" s="511" t="s">
        <v>264</v>
      </c>
    </row>
    <row r="125" spans="2:6" x14ac:dyDescent="0.25">
      <c r="B125" s="894" t="s">
        <v>240</v>
      </c>
      <c r="C125" s="895">
        <v>840</v>
      </c>
      <c r="D125" s="882" t="s">
        <v>241</v>
      </c>
      <c r="E125" s="897" t="s">
        <v>240</v>
      </c>
      <c r="F125" s="511" t="s">
        <v>267</v>
      </c>
    </row>
    <row r="126" spans="2:6" x14ac:dyDescent="0.25">
      <c r="B126" s="894" t="s">
        <v>242</v>
      </c>
      <c r="C126" s="895">
        <v>195</v>
      </c>
      <c r="D126" s="882" t="s">
        <v>243</v>
      </c>
      <c r="E126" s="897" t="s">
        <v>242</v>
      </c>
      <c r="F126" s="511" t="s">
        <v>268</v>
      </c>
    </row>
    <row r="127" spans="2:6" x14ac:dyDescent="0.25">
      <c r="B127" s="894" t="s">
        <v>244</v>
      </c>
      <c r="C127" s="895">
        <v>197</v>
      </c>
      <c r="D127" s="882" t="s">
        <v>245</v>
      </c>
      <c r="E127" s="897" t="s">
        <v>244</v>
      </c>
      <c r="F127" s="511" t="s">
        <v>268</v>
      </c>
    </row>
    <row r="128" spans="2:6" x14ac:dyDescent="0.25">
      <c r="B128" s="900" t="s">
        <v>246</v>
      </c>
      <c r="C128" s="901">
        <v>199</v>
      </c>
      <c r="D128" s="902" t="s">
        <v>310</v>
      </c>
      <c r="E128" s="903" t="s">
        <v>246</v>
      </c>
      <c r="F128" s="511" t="s">
        <v>264</v>
      </c>
    </row>
    <row r="129" spans="2:5" x14ac:dyDescent="0.25">
      <c r="B129" s="2331" t="s">
        <v>804</v>
      </c>
      <c r="C129" s="2331"/>
      <c r="D129" s="2331"/>
      <c r="E129" s="2331"/>
    </row>
    <row r="130" spans="2:5" x14ac:dyDescent="0.25">
      <c r="B130" s="893"/>
      <c r="C130" s="893"/>
    </row>
    <row r="131" spans="2:5" x14ac:dyDescent="0.25">
      <c r="B131" s="2332" t="s">
        <v>248</v>
      </c>
      <c r="C131" s="2332"/>
      <c r="D131" s="2332"/>
      <c r="E131" s="2332"/>
    </row>
    <row r="132" spans="2:5" x14ac:dyDescent="0.25">
      <c r="B132" s="904" t="s">
        <v>249</v>
      </c>
      <c r="C132" s="904"/>
      <c r="D132" s="414" t="s">
        <v>250</v>
      </c>
      <c r="E132" s="905"/>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I23" sqref="I23"/>
    </sheetView>
  </sheetViews>
  <sheetFormatPr defaultRowHeight="15.75" x14ac:dyDescent="0.25"/>
  <sheetData>
    <row r="1" spans="1:4" x14ac:dyDescent="0.25">
      <c r="A1" t="s">
        <v>583</v>
      </c>
      <c r="D1" t="s">
        <v>584</v>
      </c>
    </row>
    <row r="2" spans="1:4" x14ac:dyDescent="0.25">
      <c r="D2" t="s">
        <v>585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75" x14ac:dyDescent="0.25"/>
  <sheetData>
    <row r="1" spans="1:1" x14ac:dyDescent="0.25">
      <c r="A1" t="s">
        <v>266</v>
      </c>
    </row>
    <row r="2" spans="1:1" x14ac:dyDescent="0.25">
      <c r="A2" t="s">
        <v>264</v>
      </c>
    </row>
    <row r="3" spans="1:1" x14ac:dyDescent="0.25">
      <c r="A3" t="s">
        <v>267</v>
      </c>
    </row>
    <row r="4" spans="1:1" x14ac:dyDescent="0.25">
      <c r="A4" t="s">
        <v>265</v>
      </c>
    </row>
    <row r="5" spans="1:1" x14ac:dyDescent="0.25">
      <c r="A5" t="s">
        <v>268</v>
      </c>
    </row>
    <row r="6" spans="1:1" x14ac:dyDescent="0.25">
      <c r="A6" t="s">
        <v>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99" activePane="bottomRight" state="frozen"/>
      <selection pane="topRight" activeCell="E1" sqref="E1"/>
      <selection pane="bottomLeft" activeCell="A6" sqref="A6"/>
      <selection pane="bottomRight" activeCell="L131" sqref="L131"/>
    </sheetView>
  </sheetViews>
  <sheetFormatPr defaultRowHeight="12.75" x14ac:dyDescent="0.2"/>
  <cols>
    <col min="1" max="1" width="9" style="222"/>
    <col min="2" max="2" width="26.75" style="222" customWidth="1"/>
    <col min="3" max="12" width="12.125" style="222" customWidth="1"/>
    <col min="13" max="16384" width="9" style="222"/>
  </cols>
  <sheetData>
    <row r="1" spans="1:12" ht="15" x14ac:dyDescent="0.25">
      <c r="A1" s="1336" t="s">
        <v>1347</v>
      </c>
    </row>
    <row r="3" spans="1:12" x14ac:dyDescent="0.2">
      <c r="D3" s="2244" t="s">
        <v>918</v>
      </c>
      <c r="E3" s="2244"/>
      <c r="F3" s="2244"/>
      <c r="G3" s="2244" t="s">
        <v>919</v>
      </c>
      <c r="H3" s="2244"/>
      <c r="I3" s="2244"/>
      <c r="J3" s="2244" t="s">
        <v>920</v>
      </c>
      <c r="K3" s="2244"/>
      <c r="L3" s="2244"/>
    </row>
    <row r="4" spans="1:12" ht="25.5" x14ac:dyDescent="0.2">
      <c r="A4" s="65" t="s">
        <v>4</v>
      </c>
      <c r="B4" s="65" t="s">
        <v>606</v>
      </c>
      <c r="C4" s="65" t="s">
        <v>251</v>
      </c>
      <c r="D4" s="977" t="s">
        <v>921</v>
      </c>
      <c r="E4" s="977" t="s">
        <v>922</v>
      </c>
      <c r="F4" s="977" t="s">
        <v>923</v>
      </c>
      <c r="G4" s="977" t="s">
        <v>921</v>
      </c>
      <c r="H4" s="977" t="s">
        <v>922</v>
      </c>
      <c r="I4" s="977" t="s">
        <v>923</v>
      </c>
      <c r="J4" s="977" t="s">
        <v>921</v>
      </c>
      <c r="K4" s="977" t="s">
        <v>922</v>
      </c>
      <c r="L4" s="977" t="s">
        <v>923</v>
      </c>
    </row>
    <row r="5" spans="1:12" x14ac:dyDescent="0.2">
      <c r="A5" s="1338">
        <v>999</v>
      </c>
      <c r="B5" s="1337" t="s">
        <v>823</v>
      </c>
      <c r="C5" s="1337"/>
      <c r="D5" s="1339">
        <v>8131331</v>
      </c>
      <c r="E5" s="1339">
        <v>914226</v>
      </c>
      <c r="F5" s="1340">
        <f t="shared" ref="F5:F36" si="0">E5/D5</f>
        <v>0.11243251566072024</v>
      </c>
      <c r="G5" s="1339">
        <v>1841596</v>
      </c>
      <c r="H5" s="1339">
        <v>275747</v>
      </c>
      <c r="I5" s="1340">
        <f t="shared" ref="I5:I36" si="1">H5/G5</f>
        <v>0.14973262322463776</v>
      </c>
      <c r="J5" s="1339">
        <v>1330273</v>
      </c>
      <c r="K5" s="1339">
        <v>186603</v>
      </c>
      <c r="L5" s="1340">
        <f t="shared" ref="L5:L36" si="2">K5/J5</f>
        <v>0.14027421439057997</v>
      </c>
    </row>
    <row r="6" spans="1:12" x14ac:dyDescent="0.2">
      <c r="A6" s="222" t="s">
        <v>10</v>
      </c>
      <c r="B6" s="222" t="s">
        <v>11</v>
      </c>
      <c r="C6" s="237" t="s">
        <v>264</v>
      </c>
      <c r="D6" s="978">
        <v>32568</v>
      </c>
      <c r="E6" s="978">
        <v>6639</v>
      </c>
      <c r="F6" s="244">
        <f t="shared" si="0"/>
        <v>0.20385040530582166</v>
      </c>
      <c r="G6" s="978">
        <v>6722</v>
      </c>
      <c r="H6" s="978">
        <v>2082</v>
      </c>
      <c r="I6" s="244">
        <f t="shared" si="1"/>
        <v>0.3097292472478429</v>
      </c>
      <c r="J6" s="978">
        <v>4809</v>
      </c>
      <c r="K6" s="978">
        <v>1606</v>
      </c>
      <c r="L6" s="244">
        <f t="shared" si="2"/>
        <v>0.33395716365148681</v>
      </c>
    </row>
    <row r="7" spans="1:12" x14ac:dyDescent="0.2">
      <c r="A7" s="222" t="s">
        <v>12</v>
      </c>
      <c r="B7" s="222" t="s">
        <v>13</v>
      </c>
      <c r="C7" s="237" t="s">
        <v>265</v>
      </c>
      <c r="D7" s="978">
        <v>99440</v>
      </c>
      <c r="E7" s="978">
        <v>9462</v>
      </c>
      <c r="F7" s="244">
        <f t="shared" si="0"/>
        <v>9.5152855993563962E-2</v>
      </c>
      <c r="G7" s="978">
        <v>21614</v>
      </c>
      <c r="H7" s="978">
        <v>2081</v>
      </c>
      <c r="I7" s="244">
        <f t="shared" si="1"/>
        <v>9.6280188766540209E-2</v>
      </c>
      <c r="J7" s="978">
        <v>15872</v>
      </c>
      <c r="K7" s="978">
        <v>1356</v>
      </c>
      <c r="L7" s="244">
        <f t="shared" si="2"/>
        <v>8.5433467741935484E-2</v>
      </c>
    </row>
    <row r="8" spans="1:12" x14ac:dyDescent="0.2">
      <c r="A8" s="222" t="s">
        <v>16</v>
      </c>
      <c r="B8" s="222" t="s">
        <v>297</v>
      </c>
      <c r="C8" s="237" t="s">
        <v>265</v>
      </c>
      <c r="D8" s="978">
        <v>20959</v>
      </c>
      <c r="E8" s="978">
        <v>3825</v>
      </c>
      <c r="F8" s="244">
        <f t="shared" si="0"/>
        <v>0.18249916503649982</v>
      </c>
      <c r="G8" s="978">
        <v>4079</v>
      </c>
      <c r="H8" s="222">
        <v>1033</v>
      </c>
      <c r="I8" s="244">
        <f t="shared" si="1"/>
        <v>0.25324834518264283</v>
      </c>
      <c r="J8" s="978">
        <v>3026</v>
      </c>
      <c r="K8" s="222">
        <v>701</v>
      </c>
      <c r="L8" s="244">
        <f t="shared" si="2"/>
        <v>0.23165895571711831</v>
      </c>
    </row>
    <row r="9" spans="1:12" x14ac:dyDescent="0.2">
      <c r="A9" s="222" t="s">
        <v>18</v>
      </c>
      <c r="B9" s="222" t="s">
        <v>19</v>
      </c>
      <c r="C9" s="237" t="s">
        <v>266</v>
      </c>
      <c r="D9" s="978">
        <v>12762</v>
      </c>
      <c r="E9" s="978">
        <v>1413</v>
      </c>
      <c r="F9" s="244">
        <f t="shared" si="0"/>
        <v>0.11071932299012693</v>
      </c>
      <c r="G9" s="978">
        <v>2672</v>
      </c>
      <c r="H9" s="222">
        <v>454</v>
      </c>
      <c r="I9" s="244">
        <f t="shared" si="1"/>
        <v>0.16991017964071856</v>
      </c>
      <c r="J9" s="978">
        <v>2007</v>
      </c>
      <c r="K9" s="222">
        <v>326</v>
      </c>
      <c r="L9" s="244">
        <f t="shared" si="2"/>
        <v>0.16243148978574987</v>
      </c>
    </row>
    <row r="10" spans="1:12" x14ac:dyDescent="0.2">
      <c r="A10" s="222" t="s">
        <v>20</v>
      </c>
      <c r="B10" s="222" t="s">
        <v>21</v>
      </c>
      <c r="C10" s="237" t="s">
        <v>265</v>
      </c>
      <c r="D10" s="978">
        <v>30535</v>
      </c>
      <c r="E10" s="978">
        <v>4573</v>
      </c>
      <c r="F10" s="244">
        <f t="shared" si="0"/>
        <v>0.14976256754543965</v>
      </c>
      <c r="G10" s="978">
        <v>6226</v>
      </c>
      <c r="H10" s="978">
        <v>1284</v>
      </c>
      <c r="I10" s="244">
        <f t="shared" si="1"/>
        <v>0.20623193061355605</v>
      </c>
      <c r="J10" s="978">
        <v>4621</v>
      </c>
      <c r="K10" s="222">
        <v>882</v>
      </c>
      <c r="L10" s="244">
        <f t="shared" si="2"/>
        <v>0.19086777753732959</v>
      </c>
    </row>
    <row r="11" spans="1:12" x14ac:dyDescent="0.2">
      <c r="A11" s="222" t="s">
        <v>22</v>
      </c>
      <c r="B11" s="222" t="s">
        <v>23</v>
      </c>
      <c r="C11" s="237" t="s">
        <v>265</v>
      </c>
      <c r="D11" s="978">
        <v>15301</v>
      </c>
      <c r="E11" s="978">
        <v>2174</v>
      </c>
      <c r="F11" s="244">
        <f t="shared" si="0"/>
        <v>0.142082216848572</v>
      </c>
      <c r="G11" s="978">
        <v>3298</v>
      </c>
      <c r="H11" s="222">
        <v>690</v>
      </c>
      <c r="I11" s="244">
        <f t="shared" si="1"/>
        <v>0.20921770770163736</v>
      </c>
      <c r="J11" s="978">
        <v>2373</v>
      </c>
      <c r="K11" s="222">
        <v>481</v>
      </c>
      <c r="L11" s="244">
        <f t="shared" si="2"/>
        <v>0.20269700800674251</v>
      </c>
    </row>
    <row r="12" spans="1:12" x14ac:dyDescent="0.2">
      <c r="A12" s="222" t="s">
        <v>24</v>
      </c>
      <c r="B12" s="222" t="s">
        <v>25</v>
      </c>
      <c r="C12" s="237" t="s">
        <v>267</v>
      </c>
      <c r="D12" s="978">
        <v>226361</v>
      </c>
      <c r="E12" s="978">
        <v>16031</v>
      </c>
      <c r="F12" s="244">
        <f t="shared" si="0"/>
        <v>7.0820503531968851E-2</v>
      </c>
      <c r="G12" s="978">
        <v>39568</v>
      </c>
      <c r="H12" s="978">
        <v>3476</v>
      </c>
      <c r="I12" s="244">
        <f t="shared" si="1"/>
        <v>8.7848766680145574E-2</v>
      </c>
      <c r="J12" s="978">
        <v>25425</v>
      </c>
      <c r="K12" s="978">
        <v>2260</v>
      </c>
      <c r="L12" s="244">
        <f t="shared" si="2"/>
        <v>8.8888888888888892E-2</v>
      </c>
    </row>
    <row r="13" spans="1:12" x14ac:dyDescent="0.2">
      <c r="A13" s="222" t="s">
        <v>26</v>
      </c>
      <c r="B13" s="222" t="s">
        <v>298</v>
      </c>
      <c r="C13" s="237" t="s">
        <v>265</v>
      </c>
      <c r="D13" s="978">
        <v>116087</v>
      </c>
      <c r="E13" s="978">
        <v>13610</v>
      </c>
      <c r="F13" s="244">
        <f t="shared" si="0"/>
        <v>0.11723965646454813</v>
      </c>
      <c r="G13" s="978">
        <v>23581</v>
      </c>
      <c r="H13" s="978">
        <v>4142</v>
      </c>
      <c r="I13" s="244">
        <f t="shared" si="1"/>
        <v>0.17564988762139011</v>
      </c>
      <c r="J13" s="978">
        <v>17473</v>
      </c>
      <c r="K13" s="978">
        <v>2800</v>
      </c>
      <c r="L13" s="244">
        <f t="shared" si="2"/>
        <v>0.16024723859669204</v>
      </c>
    </row>
    <row r="14" spans="1:12" x14ac:dyDescent="0.2">
      <c r="A14" s="222" t="s">
        <v>27</v>
      </c>
      <c r="B14" s="222" t="s">
        <v>28</v>
      </c>
      <c r="C14" s="237" t="s">
        <v>265</v>
      </c>
      <c r="D14" s="978">
        <v>4407</v>
      </c>
      <c r="E14" s="222">
        <v>455</v>
      </c>
      <c r="F14" s="244">
        <f t="shared" si="0"/>
        <v>0.10324483775811209</v>
      </c>
      <c r="G14" s="222">
        <v>692</v>
      </c>
      <c r="H14" s="222">
        <v>101</v>
      </c>
      <c r="I14" s="244">
        <f t="shared" si="1"/>
        <v>0.14595375722543352</v>
      </c>
      <c r="J14" s="222">
        <v>522</v>
      </c>
      <c r="K14" s="222">
        <v>70</v>
      </c>
      <c r="L14" s="244">
        <f t="shared" si="2"/>
        <v>0.13409961685823754</v>
      </c>
    </row>
    <row r="15" spans="1:12" x14ac:dyDescent="0.2">
      <c r="A15" s="222" t="s">
        <v>29</v>
      </c>
      <c r="B15" s="237" t="s">
        <v>924</v>
      </c>
      <c r="C15" s="237" t="s">
        <v>265</v>
      </c>
      <c r="D15" s="978">
        <v>77200</v>
      </c>
      <c r="E15" s="978">
        <v>7021</v>
      </c>
      <c r="F15" s="244">
        <f t="shared" si="0"/>
        <v>9.0945595854922276E-2</v>
      </c>
      <c r="G15" s="978">
        <v>15689</v>
      </c>
      <c r="H15" s="978">
        <v>2015</v>
      </c>
      <c r="I15" s="244">
        <f t="shared" si="1"/>
        <v>0.12843393460386257</v>
      </c>
      <c r="J15" s="978">
        <v>12005</v>
      </c>
      <c r="K15" s="978">
        <v>1358</v>
      </c>
      <c r="L15" s="244">
        <f t="shared" si="2"/>
        <v>0.1131195335276968</v>
      </c>
    </row>
    <row r="16" spans="1:12" x14ac:dyDescent="0.2">
      <c r="A16" s="222" t="s">
        <v>30</v>
      </c>
      <c r="B16" s="222" t="s">
        <v>31</v>
      </c>
      <c r="C16" s="237" t="s">
        <v>268</v>
      </c>
      <c r="D16" s="978">
        <v>5853</v>
      </c>
      <c r="E16" s="222">
        <v>794</v>
      </c>
      <c r="F16" s="244">
        <f t="shared" si="0"/>
        <v>0.13565692807107466</v>
      </c>
      <c r="G16" s="978">
        <v>1029</v>
      </c>
      <c r="H16" s="222">
        <v>183</v>
      </c>
      <c r="I16" s="244">
        <f t="shared" si="1"/>
        <v>0.17784256559766765</v>
      </c>
      <c r="J16" s="222">
        <v>778</v>
      </c>
      <c r="K16" s="222">
        <v>122</v>
      </c>
      <c r="L16" s="244">
        <f t="shared" si="2"/>
        <v>0.15681233933161953</v>
      </c>
    </row>
    <row r="17" spans="1:12" x14ac:dyDescent="0.2">
      <c r="A17" s="222" t="s">
        <v>32</v>
      </c>
      <c r="B17" s="222" t="s">
        <v>33</v>
      </c>
      <c r="C17" s="237" t="s">
        <v>265</v>
      </c>
      <c r="D17" s="978">
        <v>33018</v>
      </c>
      <c r="E17" s="978">
        <v>2442</v>
      </c>
      <c r="F17" s="244">
        <f t="shared" si="0"/>
        <v>7.3959658368162817E-2</v>
      </c>
      <c r="G17" s="978">
        <v>6475</v>
      </c>
      <c r="H17" s="222">
        <v>605</v>
      </c>
      <c r="I17" s="244">
        <f t="shared" si="1"/>
        <v>9.3436293436293436E-2</v>
      </c>
      <c r="J17" s="978">
        <v>5180</v>
      </c>
      <c r="K17" s="222">
        <v>407</v>
      </c>
      <c r="L17" s="244">
        <f t="shared" si="2"/>
        <v>7.857142857142857E-2</v>
      </c>
    </row>
    <row r="18" spans="1:12" x14ac:dyDescent="0.2">
      <c r="A18" s="222" t="s">
        <v>36</v>
      </c>
      <c r="B18" s="222" t="s">
        <v>37</v>
      </c>
      <c r="C18" s="237" t="s">
        <v>264</v>
      </c>
      <c r="D18" s="978">
        <v>14507</v>
      </c>
      <c r="E18" s="978">
        <v>3212</v>
      </c>
      <c r="F18" s="244">
        <f t="shared" si="0"/>
        <v>0.2214103536223892</v>
      </c>
      <c r="G18" s="978">
        <v>2810</v>
      </c>
      <c r="H18" s="222">
        <v>821</v>
      </c>
      <c r="I18" s="244">
        <f t="shared" si="1"/>
        <v>0.2921708185053381</v>
      </c>
      <c r="J18" s="978">
        <v>2152</v>
      </c>
      <c r="K18" s="222">
        <v>583</v>
      </c>
      <c r="L18" s="244">
        <f t="shared" si="2"/>
        <v>0.27091078066914498</v>
      </c>
    </row>
    <row r="19" spans="1:12" x14ac:dyDescent="0.2">
      <c r="A19" s="222" t="s">
        <v>38</v>
      </c>
      <c r="B19" s="222" t="s">
        <v>39</v>
      </c>
      <c r="C19" s="237" t="s">
        <v>268</v>
      </c>
      <c r="D19" s="978">
        <v>21674</v>
      </c>
      <c r="E19" s="978">
        <v>6235</v>
      </c>
      <c r="F19" s="244">
        <f t="shared" si="0"/>
        <v>0.28767186490726215</v>
      </c>
      <c r="G19" s="978">
        <v>3849</v>
      </c>
      <c r="H19" s="978">
        <v>1295</v>
      </c>
      <c r="I19" s="244">
        <f t="shared" si="1"/>
        <v>0.33645102624058199</v>
      </c>
      <c r="J19" s="978">
        <v>2853</v>
      </c>
      <c r="K19" s="222">
        <v>929</v>
      </c>
      <c r="L19" s="244">
        <f t="shared" si="2"/>
        <v>0.32562215212057483</v>
      </c>
    </row>
    <row r="20" spans="1:12" x14ac:dyDescent="0.2">
      <c r="A20" s="222" t="s">
        <v>40</v>
      </c>
      <c r="B20" s="222" t="s">
        <v>41</v>
      </c>
      <c r="C20" s="237" t="s">
        <v>266</v>
      </c>
      <c r="D20" s="978">
        <v>14835</v>
      </c>
      <c r="E20" s="978">
        <v>3000</v>
      </c>
      <c r="F20" s="244">
        <f t="shared" si="0"/>
        <v>0.20222446916076844</v>
      </c>
      <c r="G20" s="978">
        <v>3110</v>
      </c>
      <c r="H20" s="222">
        <v>854</v>
      </c>
      <c r="I20" s="244">
        <f t="shared" si="1"/>
        <v>0.27459807073954984</v>
      </c>
      <c r="J20" s="978">
        <v>2209</v>
      </c>
      <c r="K20" s="222">
        <v>595</v>
      </c>
      <c r="L20" s="244">
        <f t="shared" si="2"/>
        <v>0.2693526482571299</v>
      </c>
    </row>
    <row r="21" spans="1:12" x14ac:dyDescent="0.2">
      <c r="A21" s="222" t="s">
        <v>42</v>
      </c>
      <c r="B21" s="222" t="s">
        <v>43</v>
      </c>
      <c r="C21" s="237" t="s">
        <v>265</v>
      </c>
      <c r="D21" s="978">
        <v>54524</v>
      </c>
      <c r="E21" s="978">
        <v>6381</v>
      </c>
      <c r="F21" s="244">
        <f t="shared" si="0"/>
        <v>0.11703103220600103</v>
      </c>
      <c r="G21" s="978">
        <v>10836</v>
      </c>
      <c r="H21" s="978">
        <v>1762</v>
      </c>
      <c r="I21" s="244">
        <f t="shared" si="1"/>
        <v>0.16260612772240679</v>
      </c>
      <c r="J21" s="978">
        <v>8147</v>
      </c>
      <c r="K21" s="978">
        <v>1228</v>
      </c>
      <c r="L21" s="244">
        <f t="shared" si="2"/>
        <v>0.15073033018288939</v>
      </c>
    </row>
    <row r="22" spans="1:12" x14ac:dyDescent="0.2">
      <c r="A22" s="222" t="s">
        <v>44</v>
      </c>
      <c r="B22" s="222" t="s">
        <v>45</v>
      </c>
      <c r="C22" s="237" t="s">
        <v>266</v>
      </c>
      <c r="D22" s="978">
        <v>29353</v>
      </c>
      <c r="E22" s="978">
        <v>3531</v>
      </c>
      <c r="F22" s="244">
        <f t="shared" si="0"/>
        <v>0.12029434810751882</v>
      </c>
      <c r="G22" s="978">
        <v>6991</v>
      </c>
      <c r="H22" s="978">
        <v>1202</v>
      </c>
      <c r="I22" s="244">
        <f t="shared" si="1"/>
        <v>0.17193534544414246</v>
      </c>
      <c r="J22" s="978">
        <v>4929</v>
      </c>
      <c r="K22" s="222">
        <v>825</v>
      </c>
      <c r="L22" s="244">
        <f t="shared" si="2"/>
        <v>0.16737674984783932</v>
      </c>
    </row>
    <row r="23" spans="1:12" x14ac:dyDescent="0.2">
      <c r="A23" s="222" t="s">
        <v>46</v>
      </c>
      <c r="B23" s="222" t="s">
        <v>47</v>
      </c>
      <c r="C23" s="237" t="s">
        <v>268</v>
      </c>
      <c r="D23" s="978">
        <v>29505</v>
      </c>
      <c r="E23" s="978">
        <v>4432</v>
      </c>
      <c r="F23" s="244">
        <f t="shared" si="0"/>
        <v>0.15021182850364345</v>
      </c>
      <c r="G23" s="978">
        <v>5550</v>
      </c>
      <c r="H23" s="978">
        <v>1346</v>
      </c>
      <c r="I23" s="244">
        <f t="shared" si="1"/>
        <v>0.24252252252252252</v>
      </c>
      <c r="J23" s="978">
        <v>4252</v>
      </c>
      <c r="K23" s="222">
        <v>919</v>
      </c>
      <c r="L23" s="244">
        <f t="shared" si="2"/>
        <v>0.21613358419567263</v>
      </c>
    </row>
    <row r="24" spans="1:12" x14ac:dyDescent="0.2">
      <c r="A24" s="222" t="s">
        <v>48</v>
      </c>
      <c r="B24" s="222" t="s">
        <v>269</v>
      </c>
      <c r="C24" s="237" t="s">
        <v>266</v>
      </c>
      <c r="D24" s="978">
        <v>7020</v>
      </c>
      <c r="E24" s="222">
        <v>814</v>
      </c>
      <c r="F24" s="244">
        <f t="shared" si="0"/>
        <v>0.11595441595441595</v>
      </c>
      <c r="G24" s="978">
        <v>1080</v>
      </c>
      <c r="H24" s="222">
        <v>211</v>
      </c>
      <c r="I24" s="244">
        <f t="shared" si="1"/>
        <v>0.19537037037037036</v>
      </c>
      <c r="J24" s="222">
        <v>849</v>
      </c>
      <c r="K24" s="222">
        <v>149</v>
      </c>
      <c r="L24" s="244">
        <f t="shared" si="2"/>
        <v>0.17550058892815076</v>
      </c>
    </row>
    <row r="25" spans="1:12" x14ac:dyDescent="0.2">
      <c r="A25" s="222" t="s">
        <v>50</v>
      </c>
      <c r="B25" s="222" t="s">
        <v>51</v>
      </c>
      <c r="C25" s="237" t="s">
        <v>265</v>
      </c>
      <c r="D25" s="978">
        <v>12012</v>
      </c>
      <c r="E25" s="978">
        <v>2310</v>
      </c>
      <c r="F25" s="244">
        <f t="shared" si="0"/>
        <v>0.19230769230769232</v>
      </c>
      <c r="G25" s="978">
        <v>2540</v>
      </c>
      <c r="H25" s="222">
        <v>721</v>
      </c>
      <c r="I25" s="244">
        <f t="shared" si="1"/>
        <v>0.28385826771653544</v>
      </c>
      <c r="J25" s="978">
        <v>1866</v>
      </c>
      <c r="K25" s="222">
        <v>511</v>
      </c>
      <c r="L25" s="244">
        <f t="shared" si="2"/>
        <v>0.27384780278670956</v>
      </c>
    </row>
    <row r="26" spans="1:12" x14ac:dyDescent="0.2">
      <c r="A26" s="222" t="s">
        <v>56</v>
      </c>
      <c r="B26" s="222" t="s">
        <v>295</v>
      </c>
      <c r="C26" s="237" t="s">
        <v>266</v>
      </c>
      <c r="D26" s="978">
        <v>348199</v>
      </c>
      <c r="E26" s="978">
        <v>24809</v>
      </c>
      <c r="F26" s="244">
        <f t="shared" si="0"/>
        <v>7.1249486644131665E-2</v>
      </c>
      <c r="G26" s="978">
        <v>84298</v>
      </c>
      <c r="H26" s="978">
        <v>8313</v>
      </c>
      <c r="I26" s="244">
        <f t="shared" si="1"/>
        <v>9.8614439251227787E-2</v>
      </c>
      <c r="J26" s="978">
        <v>63421</v>
      </c>
      <c r="K26" s="978">
        <v>5766</v>
      </c>
      <c r="L26" s="244">
        <f t="shared" si="2"/>
        <v>9.0916258021790888E-2</v>
      </c>
    </row>
    <row r="27" spans="1:12" x14ac:dyDescent="0.2">
      <c r="A27" s="222" t="s">
        <v>58</v>
      </c>
      <c r="B27" s="222" t="s">
        <v>59</v>
      </c>
      <c r="C27" s="237" t="s">
        <v>267</v>
      </c>
      <c r="D27" s="978">
        <v>14163</v>
      </c>
      <c r="E27" s="978">
        <v>1183</v>
      </c>
      <c r="F27" s="244">
        <f t="shared" si="0"/>
        <v>8.3527501235613921E-2</v>
      </c>
      <c r="G27" s="978">
        <v>2971</v>
      </c>
      <c r="H27" s="222">
        <v>310</v>
      </c>
      <c r="I27" s="244">
        <f t="shared" si="1"/>
        <v>0.10434197239986537</v>
      </c>
      <c r="J27" s="978">
        <v>2223</v>
      </c>
      <c r="K27" s="222">
        <v>203</v>
      </c>
      <c r="L27" s="244">
        <f t="shared" si="2"/>
        <v>9.131803868645974E-2</v>
      </c>
    </row>
    <row r="28" spans="1:12" x14ac:dyDescent="0.2">
      <c r="A28" s="222" t="s">
        <v>60</v>
      </c>
      <c r="B28" s="222" t="s">
        <v>61</v>
      </c>
      <c r="C28" s="237" t="s">
        <v>265</v>
      </c>
      <c r="D28" s="978">
        <v>5187</v>
      </c>
      <c r="E28" s="222">
        <v>619</v>
      </c>
      <c r="F28" s="244">
        <f t="shared" si="0"/>
        <v>0.11933680354732987</v>
      </c>
      <c r="G28" s="978">
        <v>965</v>
      </c>
      <c r="H28" s="222">
        <v>209</v>
      </c>
      <c r="I28" s="244">
        <f t="shared" si="1"/>
        <v>0.21658031088082902</v>
      </c>
      <c r="J28" s="222">
        <v>731</v>
      </c>
      <c r="K28" s="222">
        <v>146</v>
      </c>
      <c r="L28" s="244">
        <f t="shared" si="2"/>
        <v>0.19972640218878249</v>
      </c>
    </row>
    <row r="29" spans="1:12" x14ac:dyDescent="0.2">
      <c r="A29" s="222" t="s">
        <v>62</v>
      </c>
      <c r="B29" s="222" t="s">
        <v>63</v>
      </c>
      <c r="C29" s="237" t="s">
        <v>267</v>
      </c>
      <c r="D29" s="978">
        <v>47888</v>
      </c>
      <c r="E29" s="978">
        <v>4897</v>
      </c>
      <c r="F29" s="244">
        <f t="shared" si="0"/>
        <v>0.10225943869027732</v>
      </c>
      <c r="G29" s="978">
        <v>12107</v>
      </c>
      <c r="H29" s="978">
        <v>1802</v>
      </c>
      <c r="I29" s="244">
        <f t="shared" si="1"/>
        <v>0.14883951433055256</v>
      </c>
      <c r="J29" s="978">
        <v>8981</v>
      </c>
      <c r="K29" s="978">
        <v>1211</v>
      </c>
      <c r="L29" s="244">
        <f t="shared" si="2"/>
        <v>0.13484021823850351</v>
      </c>
    </row>
    <row r="30" spans="1:12" x14ac:dyDescent="0.2">
      <c r="A30" s="222" t="s">
        <v>64</v>
      </c>
      <c r="B30" s="222" t="s">
        <v>65</v>
      </c>
      <c r="C30" s="237" t="s">
        <v>266</v>
      </c>
      <c r="D30" s="978">
        <v>9692</v>
      </c>
      <c r="E30" s="978">
        <v>1896</v>
      </c>
      <c r="F30" s="244">
        <f t="shared" si="0"/>
        <v>0.19562525794469665</v>
      </c>
      <c r="G30" s="978">
        <v>1981</v>
      </c>
      <c r="H30" s="222">
        <v>610</v>
      </c>
      <c r="I30" s="244">
        <f t="shared" si="1"/>
        <v>0.30792529025744575</v>
      </c>
      <c r="J30" s="978">
        <v>1446</v>
      </c>
      <c r="K30" s="222">
        <v>390</v>
      </c>
      <c r="L30" s="244">
        <f t="shared" si="2"/>
        <v>0.26970954356846472</v>
      </c>
    </row>
    <row r="31" spans="1:12" x14ac:dyDescent="0.2">
      <c r="A31" s="222" t="s">
        <v>68</v>
      </c>
      <c r="B31" s="222" t="s">
        <v>69</v>
      </c>
      <c r="C31" s="237" t="s">
        <v>268</v>
      </c>
      <c r="D31" s="978">
        <v>14648</v>
      </c>
      <c r="E31" s="978">
        <v>3667</v>
      </c>
      <c r="F31" s="244">
        <f t="shared" si="0"/>
        <v>0.2503413435281267</v>
      </c>
      <c r="G31" s="978">
        <v>3070</v>
      </c>
      <c r="H31" s="222">
        <v>1014</v>
      </c>
      <c r="I31" s="244">
        <f t="shared" si="1"/>
        <v>0.33029315960912053</v>
      </c>
      <c r="J31" s="978">
        <v>2253</v>
      </c>
      <c r="K31" s="222">
        <v>656</v>
      </c>
      <c r="L31" s="244">
        <f t="shared" si="2"/>
        <v>0.29116733244562804</v>
      </c>
    </row>
    <row r="32" spans="1:12" x14ac:dyDescent="0.2">
      <c r="A32" s="222" t="s">
        <v>70</v>
      </c>
      <c r="B32" s="222" t="s">
        <v>71</v>
      </c>
      <c r="C32" s="237" t="s">
        <v>264</v>
      </c>
      <c r="D32" s="978">
        <v>27210</v>
      </c>
      <c r="E32" s="978">
        <v>3370</v>
      </c>
      <c r="F32" s="244">
        <f t="shared" si="0"/>
        <v>0.12385152517456817</v>
      </c>
      <c r="G32" s="978">
        <v>5557</v>
      </c>
      <c r="H32" s="222">
        <v>974</v>
      </c>
      <c r="I32" s="244">
        <f t="shared" si="1"/>
        <v>0.17527442864855139</v>
      </c>
      <c r="J32" s="978">
        <v>4234</v>
      </c>
      <c r="K32" s="222">
        <v>682</v>
      </c>
      <c r="L32" s="244">
        <f t="shared" si="2"/>
        <v>0.16107699574870099</v>
      </c>
    </row>
    <row r="33" spans="1:12" x14ac:dyDescent="0.2">
      <c r="A33" s="222" t="s">
        <v>72</v>
      </c>
      <c r="B33" s="222" t="s">
        <v>73</v>
      </c>
      <c r="C33" s="237" t="s">
        <v>266</v>
      </c>
      <c r="D33" s="978">
        <v>10983</v>
      </c>
      <c r="E33" s="978">
        <v>1704</v>
      </c>
      <c r="F33" s="244">
        <f t="shared" si="0"/>
        <v>0.15514886642993717</v>
      </c>
      <c r="G33" s="978">
        <v>2120</v>
      </c>
      <c r="H33" s="222">
        <v>567</v>
      </c>
      <c r="I33" s="244">
        <f t="shared" si="1"/>
        <v>0.26745283018867927</v>
      </c>
      <c r="J33" s="978">
        <v>1507</v>
      </c>
      <c r="K33" s="222">
        <v>409</v>
      </c>
      <c r="L33" s="244">
        <f t="shared" si="2"/>
        <v>0.27140013271400132</v>
      </c>
    </row>
    <row r="34" spans="1:12" x14ac:dyDescent="0.2">
      <c r="A34" s="222" t="s">
        <v>74</v>
      </c>
      <c r="B34" s="222" t="s">
        <v>296</v>
      </c>
      <c r="C34" s="237" t="s">
        <v>267</v>
      </c>
      <c r="D34" s="978">
        <v>1167538</v>
      </c>
      <c r="E34" s="978">
        <v>72180</v>
      </c>
      <c r="F34" s="244">
        <f t="shared" si="0"/>
        <v>6.1822398928343229E-2</v>
      </c>
      <c r="G34" s="978">
        <v>277227</v>
      </c>
      <c r="H34" s="978">
        <v>20641</v>
      </c>
      <c r="I34" s="244">
        <f t="shared" si="1"/>
        <v>7.4455229829706343E-2</v>
      </c>
      <c r="J34" s="978">
        <v>198946</v>
      </c>
      <c r="K34" s="978">
        <v>13751</v>
      </c>
      <c r="L34" s="244">
        <f t="shared" si="2"/>
        <v>6.9119258492254185E-2</v>
      </c>
    </row>
    <row r="35" spans="1:12" x14ac:dyDescent="0.2">
      <c r="A35" s="222" t="s">
        <v>76</v>
      </c>
      <c r="B35" s="222" t="s">
        <v>77</v>
      </c>
      <c r="C35" s="237" t="s">
        <v>267</v>
      </c>
      <c r="D35" s="978">
        <v>68206</v>
      </c>
      <c r="E35" s="978">
        <v>4646</v>
      </c>
      <c r="F35" s="244">
        <f t="shared" si="0"/>
        <v>6.8117174442131195E-2</v>
      </c>
      <c r="G35" s="978">
        <v>16080</v>
      </c>
      <c r="H35" s="978">
        <v>1338</v>
      </c>
      <c r="I35" s="244">
        <f t="shared" si="1"/>
        <v>8.3208955223880596E-2</v>
      </c>
      <c r="J35" s="978">
        <v>12117</v>
      </c>
      <c r="K35" s="222">
        <v>864</v>
      </c>
      <c r="L35" s="244">
        <f t="shared" si="2"/>
        <v>7.1304778410497649E-2</v>
      </c>
    </row>
    <row r="36" spans="1:12" x14ac:dyDescent="0.2">
      <c r="A36" s="222" t="s">
        <v>78</v>
      </c>
      <c r="B36" s="222" t="s">
        <v>79</v>
      </c>
      <c r="C36" s="237" t="s">
        <v>268</v>
      </c>
      <c r="D36" s="978">
        <v>15522</v>
      </c>
      <c r="E36" s="978">
        <v>1854</v>
      </c>
      <c r="F36" s="244">
        <f t="shared" si="0"/>
        <v>0.11944337069965211</v>
      </c>
      <c r="G36" s="978">
        <v>3165</v>
      </c>
      <c r="H36" s="222">
        <v>576</v>
      </c>
      <c r="I36" s="244">
        <f t="shared" si="1"/>
        <v>0.18199052132701421</v>
      </c>
      <c r="J36" s="978">
        <v>2370</v>
      </c>
      <c r="K36" s="222">
        <v>406</v>
      </c>
      <c r="L36" s="244">
        <f t="shared" si="2"/>
        <v>0.17130801687763714</v>
      </c>
    </row>
    <row r="37" spans="1:12" x14ac:dyDescent="0.2">
      <c r="A37" s="222" t="s">
        <v>80</v>
      </c>
      <c r="B37" s="222" t="s">
        <v>81</v>
      </c>
      <c r="C37" s="237" t="s">
        <v>266</v>
      </c>
      <c r="D37" s="978">
        <v>24874</v>
      </c>
      <c r="E37" s="978">
        <v>1937</v>
      </c>
      <c r="F37" s="244">
        <f t="shared" ref="F37:F68" si="3">E37/D37</f>
        <v>7.7872477285519021E-2</v>
      </c>
      <c r="G37" s="978">
        <v>5402</v>
      </c>
      <c r="H37" s="222">
        <v>560</v>
      </c>
      <c r="I37" s="244">
        <f t="shared" ref="I37:I68" si="4">H37/G37</f>
        <v>0.1036653091447612</v>
      </c>
      <c r="J37" s="978">
        <v>4110</v>
      </c>
      <c r="K37" s="222">
        <v>382</v>
      </c>
      <c r="L37" s="244">
        <f t="shared" ref="L37:L68" si="5">K37/J37</f>
        <v>9.2944038929440392E-2</v>
      </c>
    </row>
    <row r="38" spans="1:12" x14ac:dyDescent="0.2">
      <c r="A38" s="222" t="s">
        <v>84</v>
      </c>
      <c r="B38" s="222" t="s">
        <v>85</v>
      </c>
      <c r="C38" s="237" t="s">
        <v>265</v>
      </c>
      <c r="D38" s="978">
        <v>54754</v>
      </c>
      <c r="E38" s="978">
        <v>7181</v>
      </c>
      <c r="F38" s="244">
        <f t="shared" si="3"/>
        <v>0.13115023559922562</v>
      </c>
      <c r="G38" s="978">
        <v>10702</v>
      </c>
      <c r="H38" s="978">
        <v>2046</v>
      </c>
      <c r="I38" s="244">
        <f t="shared" si="4"/>
        <v>0.19117921883760045</v>
      </c>
      <c r="J38" s="978">
        <v>8157</v>
      </c>
      <c r="K38" s="978">
        <v>1411</v>
      </c>
      <c r="L38" s="244">
        <f t="shared" si="5"/>
        <v>0.17298026235135466</v>
      </c>
    </row>
    <row r="39" spans="1:12" x14ac:dyDescent="0.2">
      <c r="A39" s="222" t="s">
        <v>86</v>
      </c>
      <c r="B39" s="222" t="s">
        <v>87</v>
      </c>
      <c r="C39" s="237" t="s">
        <v>267</v>
      </c>
      <c r="D39" s="978">
        <v>82055</v>
      </c>
      <c r="E39" s="978">
        <v>6342</v>
      </c>
      <c r="F39" s="244">
        <f t="shared" si="3"/>
        <v>7.7289622813966244E-2</v>
      </c>
      <c r="G39" s="978">
        <v>19067</v>
      </c>
      <c r="H39" s="978">
        <v>2035</v>
      </c>
      <c r="I39" s="244">
        <f t="shared" si="4"/>
        <v>0.10672890334085068</v>
      </c>
      <c r="J39" s="978">
        <v>14161</v>
      </c>
      <c r="K39" s="978">
        <v>1340</v>
      </c>
      <c r="L39" s="244">
        <f t="shared" si="5"/>
        <v>9.4626085728409012E-2</v>
      </c>
    </row>
    <row r="40" spans="1:12" x14ac:dyDescent="0.2">
      <c r="A40" s="222" t="s">
        <v>92</v>
      </c>
      <c r="B40" s="222" t="s">
        <v>93</v>
      </c>
      <c r="C40" s="237" t="s">
        <v>268</v>
      </c>
      <c r="D40" s="978">
        <v>16527</v>
      </c>
      <c r="E40" s="978">
        <v>1751</v>
      </c>
      <c r="F40" s="244">
        <f t="shared" si="3"/>
        <v>0.10594784292370062</v>
      </c>
      <c r="G40" s="978">
        <v>3354</v>
      </c>
      <c r="H40" s="222">
        <v>591</v>
      </c>
      <c r="I40" s="244">
        <f t="shared" si="4"/>
        <v>0.17620751341681573</v>
      </c>
      <c r="J40" s="978">
        <v>2539</v>
      </c>
      <c r="K40" s="222">
        <v>412</v>
      </c>
      <c r="L40" s="244">
        <f t="shared" si="5"/>
        <v>0.16226860968885387</v>
      </c>
    </row>
    <row r="41" spans="1:12" x14ac:dyDescent="0.2">
      <c r="A41" s="222" t="s">
        <v>94</v>
      </c>
      <c r="B41" s="222" t="s">
        <v>95</v>
      </c>
      <c r="C41" s="237" t="s">
        <v>264</v>
      </c>
      <c r="D41" s="978">
        <v>36644</v>
      </c>
      <c r="E41" s="978">
        <v>3402</v>
      </c>
      <c r="F41" s="244">
        <f t="shared" si="3"/>
        <v>9.2839209693264924E-2</v>
      </c>
      <c r="G41" s="978">
        <v>7455</v>
      </c>
      <c r="H41" s="978">
        <v>1096</v>
      </c>
      <c r="I41" s="244">
        <f t="shared" si="4"/>
        <v>0.14701542588866531</v>
      </c>
      <c r="J41" s="978">
        <v>5495</v>
      </c>
      <c r="K41" s="222">
        <v>750</v>
      </c>
      <c r="L41" s="244">
        <f t="shared" si="5"/>
        <v>0.13648771610555049</v>
      </c>
    </row>
    <row r="42" spans="1:12" x14ac:dyDescent="0.2">
      <c r="A42" s="222" t="s">
        <v>96</v>
      </c>
      <c r="B42" s="222" t="s">
        <v>842</v>
      </c>
      <c r="C42" s="237" t="s">
        <v>266</v>
      </c>
      <c r="D42" s="978">
        <v>21244</v>
      </c>
      <c r="E42" s="978">
        <v>1580</v>
      </c>
      <c r="F42" s="244">
        <f t="shared" si="3"/>
        <v>7.4373940877424216E-2</v>
      </c>
      <c r="G42" s="978">
        <v>4056</v>
      </c>
      <c r="H42" s="222">
        <v>399</v>
      </c>
      <c r="I42" s="244">
        <f t="shared" si="4"/>
        <v>9.837278106508876E-2</v>
      </c>
      <c r="J42" s="978">
        <v>3180</v>
      </c>
      <c r="K42" s="222">
        <v>275</v>
      </c>
      <c r="L42" s="244">
        <f t="shared" si="5"/>
        <v>8.6477987421383642E-2</v>
      </c>
    </row>
    <row r="43" spans="1:12" x14ac:dyDescent="0.2">
      <c r="A43" s="222" t="s">
        <v>98</v>
      </c>
      <c r="B43" s="222" t="s">
        <v>99</v>
      </c>
      <c r="C43" s="237" t="s">
        <v>268</v>
      </c>
      <c r="D43" s="978">
        <v>14942</v>
      </c>
      <c r="E43" s="978">
        <v>3008</v>
      </c>
      <c r="F43" s="244">
        <f t="shared" si="3"/>
        <v>0.20131173872306252</v>
      </c>
      <c r="G43" s="978">
        <v>2738</v>
      </c>
      <c r="H43" s="222">
        <v>806</v>
      </c>
      <c r="I43" s="244">
        <f t="shared" si="4"/>
        <v>0.29437545653761871</v>
      </c>
      <c r="J43" s="978">
        <v>1960</v>
      </c>
      <c r="K43" s="222">
        <v>551</v>
      </c>
      <c r="L43" s="244">
        <f t="shared" si="5"/>
        <v>0.28112244897959182</v>
      </c>
    </row>
    <row r="44" spans="1:12" x14ac:dyDescent="0.2">
      <c r="A44" s="222" t="s">
        <v>100</v>
      </c>
      <c r="B44" s="222" t="s">
        <v>101</v>
      </c>
      <c r="C44" s="237" t="s">
        <v>267</v>
      </c>
      <c r="D44" s="978">
        <v>18976</v>
      </c>
      <c r="E44" s="978">
        <v>1773</v>
      </c>
      <c r="F44" s="244">
        <f t="shared" si="3"/>
        <v>9.3433811129848235E-2</v>
      </c>
      <c r="G44" s="978">
        <v>4547</v>
      </c>
      <c r="H44" s="222">
        <v>631</v>
      </c>
      <c r="I44" s="244">
        <f t="shared" si="4"/>
        <v>0.13877281724213766</v>
      </c>
      <c r="J44" s="978">
        <v>3396</v>
      </c>
      <c r="K44" s="222">
        <v>448</v>
      </c>
      <c r="L44" s="244">
        <f t="shared" si="5"/>
        <v>0.13191990577149587</v>
      </c>
    </row>
    <row r="45" spans="1:12" x14ac:dyDescent="0.2">
      <c r="A45" s="222" t="s">
        <v>102</v>
      </c>
      <c r="B45" s="222" t="s">
        <v>282</v>
      </c>
      <c r="C45" s="237" t="s">
        <v>264</v>
      </c>
      <c r="D45" s="978">
        <v>13672</v>
      </c>
      <c r="E45" s="978">
        <v>3533</v>
      </c>
      <c r="F45" s="244">
        <f t="shared" si="3"/>
        <v>0.2584113516676419</v>
      </c>
      <c r="G45" s="978">
        <v>3205</v>
      </c>
      <c r="H45" s="222">
        <v>1049</v>
      </c>
      <c r="I45" s="244">
        <f t="shared" si="4"/>
        <v>0.32730109204368174</v>
      </c>
      <c r="J45" s="978">
        <v>2375</v>
      </c>
      <c r="K45" s="222">
        <v>750</v>
      </c>
      <c r="L45" s="244">
        <f t="shared" si="5"/>
        <v>0.31578947368421051</v>
      </c>
    </row>
    <row r="46" spans="1:12" x14ac:dyDescent="0.2">
      <c r="A46" s="222" t="s">
        <v>104</v>
      </c>
      <c r="B46" s="222" t="s">
        <v>105</v>
      </c>
      <c r="C46" s="237" t="s">
        <v>265</v>
      </c>
      <c r="D46" s="978">
        <v>34303</v>
      </c>
      <c r="E46" s="978">
        <v>5791</v>
      </c>
      <c r="F46" s="244">
        <f t="shared" si="3"/>
        <v>0.16881905372707925</v>
      </c>
      <c r="G46" s="978">
        <v>7176</v>
      </c>
      <c r="H46" s="978">
        <v>1838</v>
      </c>
      <c r="I46" s="244">
        <f t="shared" si="4"/>
        <v>0.25613154960981049</v>
      </c>
      <c r="J46" s="978">
        <v>5385</v>
      </c>
      <c r="K46" s="978">
        <v>1268</v>
      </c>
      <c r="L46" s="244">
        <f t="shared" si="5"/>
        <v>0.23546889507892294</v>
      </c>
    </row>
    <row r="47" spans="1:12" x14ac:dyDescent="0.2">
      <c r="A47" s="222" t="s">
        <v>108</v>
      </c>
      <c r="B47" s="222" t="s">
        <v>109</v>
      </c>
      <c r="C47" s="237" t="s">
        <v>266</v>
      </c>
      <c r="D47" s="978">
        <v>101182</v>
      </c>
      <c r="E47" s="978">
        <v>6268</v>
      </c>
      <c r="F47" s="244">
        <f t="shared" si="3"/>
        <v>6.1947777272637429E-2</v>
      </c>
      <c r="G47" s="978">
        <v>22912</v>
      </c>
      <c r="H47" s="978">
        <v>1631</v>
      </c>
      <c r="I47" s="244">
        <f t="shared" si="4"/>
        <v>7.1185405027932955E-2</v>
      </c>
      <c r="J47" s="978">
        <v>18187</v>
      </c>
      <c r="K47" s="978">
        <v>1103</v>
      </c>
      <c r="L47" s="244">
        <f t="shared" si="5"/>
        <v>6.0647715401110684E-2</v>
      </c>
    </row>
    <row r="48" spans="1:12" x14ac:dyDescent="0.2">
      <c r="A48" s="222" t="s">
        <v>110</v>
      </c>
      <c r="B48" s="222" t="s">
        <v>111</v>
      </c>
      <c r="C48" s="237" t="s">
        <v>266</v>
      </c>
      <c r="D48" s="978">
        <v>322195</v>
      </c>
      <c r="E48" s="978">
        <v>30037</v>
      </c>
      <c r="F48" s="244">
        <f t="shared" si="3"/>
        <v>9.3226151864554074E-2</v>
      </c>
      <c r="G48" s="978">
        <v>74587</v>
      </c>
      <c r="H48" s="978">
        <v>9705</v>
      </c>
      <c r="I48" s="244">
        <f t="shared" si="4"/>
        <v>0.13011650823870111</v>
      </c>
      <c r="J48" s="978">
        <v>54332</v>
      </c>
      <c r="K48" s="978">
        <v>6658</v>
      </c>
      <c r="L48" s="244">
        <f t="shared" si="5"/>
        <v>0.1225428844879629</v>
      </c>
    </row>
    <row r="49" spans="1:12" x14ac:dyDescent="0.2">
      <c r="A49" s="222" t="s">
        <v>112</v>
      </c>
      <c r="B49" s="222" t="s">
        <v>300</v>
      </c>
      <c r="C49" s="237" t="s">
        <v>265</v>
      </c>
      <c r="D49" s="978">
        <v>64515</v>
      </c>
      <c r="E49" s="978">
        <v>13207</v>
      </c>
      <c r="F49" s="244">
        <f t="shared" si="3"/>
        <v>0.20471208246144307</v>
      </c>
      <c r="G49" s="978">
        <v>13332</v>
      </c>
      <c r="H49" s="978">
        <v>4268</v>
      </c>
      <c r="I49" s="244">
        <f t="shared" si="4"/>
        <v>0.32013201320132012</v>
      </c>
      <c r="J49" s="978">
        <v>9707</v>
      </c>
      <c r="K49" s="978">
        <v>2801</v>
      </c>
      <c r="L49" s="244">
        <f t="shared" si="5"/>
        <v>0.28855465128257957</v>
      </c>
    </row>
    <row r="50" spans="1:12" x14ac:dyDescent="0.2">
      <c r="A50" s="222" t="s">
        <v>114</v>
      </c>
      <c r="B50" s="222" t="s">
        <v>115</v>
      </c>
      <c r="C50" s="237" t="s">
        <v>265</v>
      </c>
      <c r="D50" s="978">
        <v>2207</v>
      </c>
      <c r="E50" s="222">
        <v>304</v>
      </c>
      <c r="F50" s="244">
        <f t="shared" si="3"/>
        <v>0.13774354327140914</v>
      </c>
      <c r="G50" s="222">
        <v>289</v>
      </c>
      <c r="H50" s="222">
        <v>70</v>
      </c>
      <c r="I50" s="244">
        <f t="shared" si="4"/>
        <v>0.24221453287197231</v>
      </c>
      <c r="J50" s="222">
        <v>211</v>
      </c>
      <c r="K50" s="222">
        <v>48</v>
      </c>
      <c r="L50" s="244">
        <f t="shared" si="5"/>
        <v>0.22748815165876776</v>
      </c>
    </row>
    <row r="51" spans="1:12" x14ac:dyDescent="0.2">
      <c r="A51" s="222" t="s">
        <v>118</v>
      </c>
      <c r="B51" s="222" t="s">
        <v>270</v>
      </c>
      <c r="C51" s="237" t="s">
        <v>264</v>
      </c>
      <c r="D51" s="978">
        <v>36011</v>
      </c>
      <c r="E51" s="978">
        <v>3573</v>
      </c>
      <c r="F51" s="244">
        <f t="shared" si="3"/>
        <v>9.9219682874677181E-2</v>
      </c>
      <c r="G51" s="978">
        <v>7583</v>
      </c>
      <c r="H51" s="978">
        <v>990</v>
      </c>
      <c r="I51" s="244">
        <f t="shared" si="4"/>
        <v>0.13055518923908743</v>
      </c>
      <c r="J51" s="978">
        <v>5899</v>
      </c>
      <c r="K51" s="222">
        <v>673</v>
      </c>
      <c r="L51" s="244">
        <f t="shared" si="5"/>
        <v>0.11408713341244278</v>
      </c>
    </row>
    <row r="52" spans="1:12" x14ac:dyDescent="0.2">
      <c r="A52" s="222" t="s">
        <v>120</v>
      </c>
      <c r="B52" s="222" t="s">
        <v>121</v>
      </c>
      <c r="C52" s="237" t="s">
        <v>264</v>
      </c>
      <c r="D52" s="978">
        <v>72082</v>
      </c>
      <c r="E52" s="978">
        <v>5149</v>
      </c>
      <c r="F52" s="244">
        <f t="shared" si="3"/>
        <v>7.1432535168280575E-2</v>
      </c>
      <c r="G52" s="978">
        <v>14769</v>
      </c>
      <c r="H52" s="978">
        <v>1508</v>
      </c>
      <c r="I52" s="244">
        <f t="shared" si="4"/>
        <v>0.102105762069199</v>
      </c>
      <c r="J52" s="978">
        <v>11263</v>
      </c>
      <c r="K52" s="978">
        <v>1023</v>
      </c>
      <c r="L52" s="244">
        <f t="shared" si="5"/>
        <v>9.082837609873036E-2</v>
      </c>
    </row>
    <row r="53" spans="1:12" x14ac:dyDescent="0.2">
      <c r="A53" s="222" t="s">
        <v>122</v>
      </c>
      <c r="B53" s="222" t="s">
        <v>287</v>
      </c>
      <c r="C53" s="237" t="s">
        <v>266</v>
      </c>
      <c r="D53" s="978">
        <v>7140</v>
      </c>
      <c r="E53" s="222">
        <v>1002</v>
      </c>
      <c r="F53" s="244">
        <f t="shared" si="3"/>
        <v>0.14033613445378151</v>
      </c>
      <c r="G53" s="978">
        <v>1299</v>
      </c>
      <c r="H53" s="222">
        <v>266</v>
      </c>
      <c r="I53" s="244">
        <f t="shared" si="4"/>
        <v>0.20477290223248654</v>
      </c>
      <c r="J53" s="978">
        <v>1031</v>
      </c>
      <c r="K53" s="222">
        <v>186</v>
      </c>
      <c r="L53" s="244">
        <f t="shared" si="5"/>
        <v>0.18040737148399613</v>
      </c>
    </row>
    <row r="54" spans="1:12" x14ac:dyDescent="0.2">
      <c r="A54" s="222" t="s">
        <v>124</v>
      </c>
      <c r="B54" s="222" t="s">
        <v>125</v>
      </c>
      <c r="C54" s="237" t="s">
        <v>267</v>
      </c>
      <c r="D54" s="978">
        <v>25123</v>
      </c>
      <c r="E54" s="978">
        <v>1791</v>
      </c>
      <c r="F54" s="244">
        <f t="shared" si="3"/>
        <v>7.1289256856267164E-2</v>
      </c>
      <c r="G54" s="978">
        <v>6485</v>
      </c>
      <c r="H54" s="222">
        <v>621</v>
      </c>
      <c r="I54" s="244">
        <f t="shared" si="4"/>
        <v>9.5759444872783345E-2</v>
      </c>
      <c r="J54" s="978">
        <v>4807</v>
      </c>
      <c r="K54" s="222">
        <v>430</v>
      </c>
      <c r="L54" s="244">
        <f t="shared" si="5"/>
        <v>8.9452881214894947E-2</v>
      </c>
    </row>
    <row r="55" spans="1:12" x14ac:dyDescent="0.2">
      <c r="A55" s="222" t="s">
        <v>126</v>
      </c>
      <c r="B55" s="222" t="s">
        <v>127</v>
      </c>
      <c r="C55" s="237" t="s">
        <v>266</v>
      </c>
      <c r="D55" s="978">
        <v>16153</v>
      </c>
      <c r="E55" s="978">
        <v>1284</v>
      </c>
      <c r="F55" s="244">
        <f t="shared" si="3"/>
        <v>7.9489878041230727E-2</v>
      </c>
      <c r="G55" s="978">
        <v>3758</v>
      </c>
      <c r="H55" s="222">
        <v>457</v>
      </c>
      <c r="I55" s="244">
        <f t="shared" si="4"/>
        <v>0.12160723789249601</v>
      </c>
      <c r="J55" s="978">
        <v>2771</v>
      </c>
      <c r="K55" s="222">
        <v>314</v>
      </c>
      <c r="L55" s="244">
        <f t="shared" si="5"/>
        <v>0.11331649224106821</v>
      </c>
    </row>
    <row r="56" spans="1:12" x14ac:dyDescent="0.2">
      <c r="A56" s="222" t="s">
        <v>128</v>
      </c>
      <c r="B56" s="222" t="s">
        <v>129</v>
      </c>
      <c r="C56" s="237" t="s">
        <v>266</v>
      </c>
      <c r="D56" s="978">
        <v>10775</v>
      </c>
      <c r="E56" s="978">
        <v>1415</v>
      </c>
      <c r="F56" s="244">
        <f t="shared" si="3"/>
        <v>0.13132250580046403</v>
      </c>
      <c r="G56" s="978">
        <v>1582</v>
      </c>
      <c r="H56" s="222">
        <v>414</v>
      </c>
      <c r="I56" s="244">
        <f t="shared" si="4"/>
        <v>0.26169405815423513</v>
      </c>
      <c r="J56" s="978">
        <v>1183</v>
      </c>
      <c r="K56" s="222">
        <v>297</v>
      </c>
      <c r="L56" s="244">
        <f t="shared" si="5"/>
        <v>0.2510566356720203</v>
      </c>
    </row>
    <row r="57" spans="1:12" x14ac:dyDescent="0.2">
      <c r="A57" s="222" t="s">
        <v>130</v>
      </c>
      <c r="B57" s="222" t="s">
        <v>131</v>
      </c>
      <c r="C57" s="237" t="s">
        <v>268</v>
      </c>
      <c r="D57" s="978">
        <v>22948</v>
      </c>
      <c r="E57" s="978">
        <v>5940</v>
      </c>
      <c r="F57" s="244">
        <f t="shared" si="3"/>
        <v>0.2588460868049503</v>
      </c>
      <c r="G57" s="978">
        <v>4631</v>
      </c>
      <c r="H57" s="978">
        <v>1683</v>
      </c>
      <c r="I57" s="244">
        <f t="shared" si="4"/>
        <v>0.36342042755344417</v>
      </c>
      <c r="J57" s="978">
        <v>3402</v>
      </c>
      <c r="K57" s="978">
        <v>1119</v>
      </c>
      <c r="L57" s="244">
        <f t="shared" si="5"/>
        <v>0.3289241622574956</v>
      </c>
    </row>
    <row r="58" spans="1:12" x14ac:dyDescent="0.2">
      <c r="A58" s="222" t="s">
        <v>132</v>
      </c>
      <c r="B58" s="222" t="s">
        <v>133</v>
      </c>
      <c r="C58" s="237" t="s">
        <v>267</v>
      </c>
      <c r="D58" s="978">
        <v>373815</v>
      </c>
      <c r="E58" s="978">
        <v>13953</v>
      </c>
      <c r="F58" s="244">
        <f t="shared" si="3"/>
        <v>3.7325950002006343E-2</v>
      </c>
      <c r="G58" s="978">
        <v>108267</v>
      </c>
      <c r="H58" s="978">
        <v>4279</v>
      </c>
      <c r="I58" s="244">
        <f t="shared" si="4"/>
        <v>3.9522661568160193E-2</v>
      </c>
      <c r="J58" s="978">
        <v>80404</v>
      </c>
      <c r="K58" s="978">
        <v>2747</v>
      </c>
      <c r="L58" s="244">
        <f t="shared" si="5"/>
        <v>3.4164966917068801E-2</v>
      </c>
    </row>
    <row r="59" spans="1:12" x14ac:dyDescent="0.2">
      <c r="A59" s="222" t="s">
        <v>134</v>
      </c>
      <c r="B59" s="222" t="s">
        <v>135</v>
      </c>
      <c r="C59" s="237" t="s">
        <v>267</v>
      </c>
      <c r="D59" s="978">
        <v>34385</v>
      </c>
      <c r="E59" s="978">
        <v>3636</v>
      </c>
      <c r="F59" s="244">
        <f t="shared" si="3"/>
        <v>0.10574378362658136</v>
      </c>
      <c r="G59" s="978">
        <v>7065</v>
      </c>
      <c r="H59" s="978">
        <v>1181</v>
      </c>
      <c r="I59" s="244">
        <f t="shared" si="4"/>
        <v>0.16716206652512386</v>
      </c>
      <c r="J59" s="978">
        <v>5161</v>
      </c>
      <c r="K59" s="222">
        <v>816</v>
      </c>
      <c r="L59" s="244">
        <f t="shared" si="5"/>
        <v>0.15810889362526642</v>
      </c>
    </row>
    <row r="60" spans="1:12" x14ac:dyDescent="0.2">
      <c r="A60" s="222" t="s">
        <v>136</v>
      </c>
      <c r="B60" s="222" t="s">
        <v>137</v>
      </c>
      <c r="C60" s="237" t="s">
        <v>266</v>
      </c>
      <c r="D60" s="978">
        <v>11320</v>
      </c>
      <c r="E60" s="978">
        <v>2390</v>
      </c>
      <c r="F60" s="244">
        <f t="shared" si="3"/>
        <v>0.21113074204946997</v>
      </c>
      <c r="G60" s="978">
        <v>2258</v>
      </c>
      <c r="H60" s="222">
        <v>655</v>
      </c>
      <c r="I60" s="244">
        <f t="shared" si="4"/>
        <v>0.29007971656333037</v>
      </c>
      <c r="J60" s="978">
        <v>1706</v>
      </c>
      <c r="K60" s="222">
        <v>447</v>
      </c>
      <c r="L60" s="244">
        <f t="shared" si="5"/>
        <v>0.2620164126611958</v>
      </c>
    </row>
    <row r="61" spans="1:12" x14ac:dyDescent="0.2">
      <c r="A61" s="222" t="s">
        <v>140</v>
      </c>
      <c r="B61" s="222" t="s">
        <v>141</v>
      </c>
      <c r="C61" s="237" t="s">
        <v>267</v>
      </c>
      <c r="D61" s="978">
        <v>12983</v>
      </c>
      <c r="E61" s="978">
        <v>1351</v>
      </c>
      <c r="F61" s="244">
        <f t="shared" si="3"/>
        <v>0.10405915427867211</v>
      </c>
      <c r="G61" s="978">
        <v>2685</v>
      </c>
      <c r="H61" s="222">
        <v>490</v>
      </c>
      <c r="I61" s="244">
        <f t="shared" si="4"/>
        <v>0.18249534450651769</v>
      </c>
      <c r="J61" s="978">
        <v>2057</v>
      </c>
      <c r="K61" s="222">
        <v>333</v>
      </c>
      <c r="L61" s="244">
        <f t="shared" si="5"/>
        <v>0.16188624210014585</v>
      </c>
    </row>
    <row r="62" spans="1:12" x14ac:dyDescent="0.2">
      <c r="A62" s="222" t="s">
        <v>146</v>
      </c>
      <c r="B62" s="222" t="s">
        <v>147</v>
      </c>
      <c r="C62" s="237" t="s">
        <v>264</v>
      </c>
      <c r="D62" s="978">
        <v>8776</v>
      </c>
      <c r="E62" s="222">
        <v>895</v>
      </c>
      <c r="F62" s="244">
        <f t="shared" si="3"/>
        <v>0.10198268003646307</v>
      </c>
      <c r="G62" s="978">
        <v>1426</v>
      </c>
      <c r="H62" s="222">
        <v>255</v>
      </c>
      <c r="I62" s="244">
        <f t="shared" si="4"/>
        <v>0.17882187938288921</v>
      </c>
      <c r="J62" s="978">
        <v>1139</v>
      </c>
      <c r="K62" s="222">
        <v>184</v>
      </c>
      <c r="L62" s="244">
        <f t="shared" si="5"/>
        <v>0.16154521510096576</v>
      </c>
    </row>
    <row r="63" spans="1:12" x14ac:dyDescent="0.2">
      <c r="A63" s="222" t="s">
        <v>148</v>
      </c>
      <c r="B63" s="222" t="s">
        <v>149</v>
      </c>
      <c r="C63" s="237" t="s">
        <v>265</v>
      </c>
      <c r="D63" s="978">
        <v>30140</v>
      </c>
      <c r="E63" s="978">
        <v>6140</v>
      </c>
      <c r="F63" s="244">
        <f t="shared" si="3"/>
        <v>0.20371599203715993</v>
      </c>
      <c r="G63" s="978">
        <v>5790</v>
      </c>
      <c r="H63" s="978">
        <v>1590</v>
      </c>
      <c r="I63" s="244">
        <f t="shared" si="4"/>
        <v>0.27461139896373055</v>
      </c>
      <c r="J63" s="978">
        <v>4329</v>
      </c>
      <c r="K63" s="978">
        <v>1082</v>
      </c>
      <c r="L63" s="244">
        <f t="shared" si="5"/>
        <v>0.24994224994224995</v>
      </c>
    </row>
    <row r="64" spans="1:12" x14ac:dyDescent="0.2">
      <c r="A64" s="222" t="s">
        <v>150</v>
      </c>
      <c r="B64" s="222" t="s">
        <v>151</v>
      </c>
      <c r="C64" s="237" t="s">
        <v>266</v>
      </c>
      <c r="D64" s="978">
        <v>10235</v>
      </c>
      <c r="E64" s="978">
        <v>1308</v>
      </c>
      <c r="F64" s="244">
        <f t="shared" si="3"/>
        <v>0.12779677576941867</v>
      </c>
      <c r="G64" s="978">
        <v>1600</v>
      </c>
      <c r="H64" s="222">
        <v>401</v>
      </c>
      <c r="I64" s="244">
        <f t="shared" si="4"/>
        <v>0.25062499999999999</v>
      </c>
      <c r="J64" s="978">
        <v>1195</v>
      </c>
      <c r="K64" s="222">
        <v>278</v>
      </c>
      <c r="L64" s="244">
        <f t="shared" si="5"/>
        <v>0.23263598326359833</v>
      </c>
    </row>
    <row r="65" spans="1:12" x14ac:dyDescent="0.2">
      <c r="A65" s="222" t="s">
        <v>152</v>
      </c>
      <c r="B65" s="222" t="s">
        <v>153</v>
      </c>
      <c r="C65" s="237" t="s">
        <v>268</v>
      </c>
      <c r="D65" s="978">
        <v>88126</v>
      </c>
      <c r="E65" s="978">
        <v>18352</v>
      </c>
      <c r="F65" s="244">
        <f t="shared" si="3"/>
        <v>0.2082472823003427</v>
      </c>
      <c r="G65" s="978">
        <v>15329</v>
      </c>
      <c r="H65" s="978">
        <v>2337</v>
      </c>
      <c r="I65" s="244">
        <f t="shared" si="4"/>
        <v>0.15245612890599516</v>
      </c>
      <c r="J65" s="978">
        <v>10906</v>
      </c>
      <c r="K65" s="978">
        <v>1574</v>
      </c>
      <c r="L65" s="244">
        <f t="shared" si="5"/>
        <v>0.14432422519713919</v>
      </c>
    </row>
    <row r="66" spans="1:12" x14ac:dyDescent="0.2">
      <c r="A66" s="222" t="s">
        <v>154</v>
      </c>
      <c r="B66" s="222" t="s">
        <v>155</v>
      </c>
      <c r="C66" s="237" t="s">
        <v>265</v>
      </c>
      <c r="D66" s="978">
        <v>14684</v>
      </c>
      <c r="E66" s="978">
        <v>2038</v>
      </c>
      <c r="F66" s="244">
        <f t="shared" si="3"/>
        <v>0.13879052029419778</v>
      </c>
      <c r="G66" s="978">
        <v>2725</v>
      </c>
      <c r="H66" s="222">
        <v>633</v>
      </c>
      <c r="I66" s="244">
        <f t="shared" si="4"/>
        <v>0.23229357798165137</v>
      </c>
      <c r="J66" s="978">
        <v>2054</v>
      </c>
      <c r="K66" s="222">
        <v>442</v>
      </c>
      <c r="L66" s="244">
        <f t="shared" si="5"/>
        <v>0.21518987341772153</v>
      </c>
    </row>
    <row r="67" spans="1:12" x14ac:dyDescent="0.2">
      <c r="A67" s="222" t="s">
        <v>156</v>
      </c>
      <c r="B67" s="222" t="s">
        <v>157</v>
      </c>
      <c r="C67" s="237" t="s">
        <v>266</v>
      </c>
      <c r="D67" s="978">
        <v>19802</v>
      </c>
      <c r="E67" s="978">
        <v>1331</v>
      </c>
      <c r="F67" s="244">
        <f t="shared" si="3"/>
        <v>6.7215432784567222E-2</v>
      </c>
      <c r="G67" s="978">
        <v>4073</v>
      </c>
      <c r="H67" s="222">
        <v>416</v>
      </c>
      <c r="I67" s="244">
        <f t="shared" si="4"/>
        <v>0.10213601767738767</v>
      </c>
      <c r="J67" s="978">
        <v>3123</v>
      </c>
      <c r="K67" s="222">
        <v>278</v>
      </c>
      <c r="L67" s="244">
        <f t="shared" si="5"/>
        <v>8.9016970861351269E-2</v>
      </c>
    </row>
    <row r="68" spans="1:12" x14ac:dyDescent="0.2">
      <c r="A68" s="222" t="s">
        <v>162</v>
      </c>
      <c r="B68" s="222" t="s">
        <v>163</v>
      </c>
      <c r="C68" s="237" t="s">
        <v>264</v>
      </c>
      <c r="D68" s="978">
        <v>11924</v>
      </c>
      <c r="E68" s="978">
        <v>2445</v>
      </c>
      <c r="F68" s="244">
        <f t="shared" si="3"/>
        <v>0.20504864139550485</v>
      </c>
      <c r="G68" s="978">
        <v>2424</v>
      </c>
      <c r="H68" s="222">
        <v>816</v>
      </c>
      <c r="I68" s="244">
        <f t="shared" si="4"/>
        <v>0.33663366336633666</v>
      </c>
      <c r="J68" s="978">
        <v>1716</v>
      </c>
      <c r="K68" s="222">
        <v>554</v>
      </c>
      <c r="L68" s="244">
        <f t="shared" si="5"/>
        <v>0.32284382284382285</v>
      </c>
    </row>
    <row r="69" spans="1:12" x14ac:dyDescent="0.2">
      <c r="A69" s="222" t="s">
        <v>164</v>
      </c>
      <c r="B69" s="222" t="s">
        <v>165</v>
      </c>
      <c r="C69" s="237" t="s">
        <v>266</v>
      </c>
      <c r="D69" s="978">
        <v>12198</v>
      </c>
      <c r="E69" s="978">
        <v>1666</v>
      </c>
      <c r="F69" s="244">
        <f t="shared" ref="F69:F100" si="6">E69/D69</f>
        <v>0.13657976717494671</v>
      </c>
      <c r="G69" s="978">
        <v>1865</v>
      </c>
      <c r="H69" s="222">
        <v>541</v>
      </c>
      <c r="I69" s="244">
        <f t="shared" ref="I69:I100" si="7">H69/G69</f>
        <v>0.2900804289544236</v>
      </c>
      <c r="J69" s="978">
        <v>1412</v>
      </c>
      <c r="K69" s="222">
        <v>383</v>
      </c>
      <c r="L69" s="244">
        <f t="shared" ref="L69:L100" si="8">K69/J69</f>
        <v>0.27124645892351273</v>
      </c>
    </row>
    <row r="70" spans="1:12" x14ac:dyDescent="0.2">
      <c r="A70" s="222" t="s">
        <v>168</v>
      </c>
      <c r="B70" s="222" t="s">
        <v>169</v>
      </c>
      <c r="C70" s="237" t="s">
        <v>266</v>
      </c>
      <c r="D70" s="978">
        <v>13434</v>
      </c>
      <c r="E70" s="978">
        <v>3179</v>
      </c>
      <c r="F70" s="244">
        <f t="shared" si="6"/>
        <v>0.23663838022926903</v>
      </c>
      <c r="G70" s="978">
        <v>3084</v>
      </c>
      <c r="H70" s="222">
        <v>886</v>
      </c>
      <c r="I70" s="244">
        <f t="shared" si="7"/>
        <v>0.28728923476005186</v>
      </c>
      <c r="J70" s="978">
        <v>2130</v>
      </c>
      <c r="K70" s="222">
        <v>606</v>
      </c>
      <c r="L70" s="244">
        <f t="shared" si="8"/>
        <v>0.28450704225352114</v>
      </c>
    </row>
    <row r="71" spans="1:12" x14ac:dyDescent="0.2">
      <c r="A71" s="222" t="s">
        <v>170</v>
      </c>
      <c r="B71" s="222" t="s">
        <v>171</v>
      </c>
      <c r="C71" s="237" t="s">
        <v>267</v>
      </c>
      <c r="D71" s="978">
        <v>34721</v>
      </c>
      <c r="E71" s="978">
        <v>3600</v>
      </c>
      <c r="F71" s="244">
        <f t="shared" si="6"/>
        <v>0.10368364966446819</v>
      </c>
      <c r="G71" s="978">
        <v>7579</v>
      </c>
      <c r="H71" s="978">
        <v>1151</v>
      </c>
      <c r="I71" s="244">
        <f t="shared" si="7"/>
        <v>0.15186700092360469</v>
      </c>
      <c r="J71" s="978">
        <v>5606</v>
      </c>
      <c r="K71" s="222">
        <v>774</v>
      </c>
      <c r="L71" s="244">
        <f t="shared" si="8"/>
        <v>0.13806635747413484</v>
      </c>
    </row>
    <row r="72" spans="1:12" x14ac:dyDescent="0.2">
      <c r="A72" s="222" t="s">
        <v>172</v>
      </c>
      <c r="B72" s="222" t="s">
        <v>173</v>
      </c>
      <c r="C72" s="237" t="s">
        <v>267</v>
      </c>
      <c r="D72" s="978">
        <v>23473</v>
      </c>
      <c r="E72" s="978">
        <v>3532</v>
      </c>
      <c r="F72" s="244">
        <f t="shared" si="6"/>
        <v>0.15047075363183232</v>
      </c>
      <c r="G72" s="978">
        <v>4719</v>
      </c>
      <c r="H72" s="978">
        <v>1095</v>
      </c>
      <c r="I72" s="244">
        <f t="shared" si="7"/>
        <v>0.23204068658614113</v>
      </c>
      <c r="J72" s="978">
        <v>3554</v>
      </c>
      <c r="K72" s="222">
        <v>741</v>
      </c>
      <c r="L72" s="244">
        <f t="shared" si="8"/>
        <v>0.20849746764209343</v>
      </c>
    </row>
    <row r="73" spans="1:12" x14ac:dyDescent="0.2">
      <c r="A73" s="222" t="s">
        <v>174</v>
      </c>
      <c r="B73" s="222" t="s">
        <v>175</v>
      </c>
      <c r="C73" s="237" t="s">
        <v>268</v>
      </c>
      <c r="D73" s="978">
        <v>17739</v>
      </c>
      <c r="E73" s="978">
        <v>3010</v>
      </c>
      <c r="F73" s="244">
        <f t="shared" si="6"/>
        <v>0.16968262021534472</v>
      </c>
      <c r="G73" s="978">
        <v>3183</v>
      </c>
      <c r="H73" s="222">
        <v>813</v>
      </c>
      <c r="I73" s="244">
        <f t="shared" si="7"/>
        <v>0.25541941564561732</v>
      </c>
      <c r="J73" s="978">
        <v>2494</v>
      </c>
      <c r="K73" s="222">
        <v>554</v>
      </c>
      <c r="L73" s="244">
        <f t="shared" si="8"/>
        <v>0.22213311948676825</v>
      </c>
    </row>
    <row r="74" spans="1:12" x14ac:dyDescent="0.2">
      <c r="A74" s="222" t="s">
        <v>178</v>
      </c>
      <c r="B74" s="222" t="s">
        <v>179</v>
      </c>
      <c r="C74" s="237" t="s">
        <v>265</v>
      </c>
      <c r="D74" s="978">
        <v>61084</v>
      </c>
      <c r="E74" s="978">
        <v>10471</v>
      </c>
      <c r="F74" s="244">
        <f t="shared" si="6"/>
        <v>0.17141968436906554</v>
      </c>
      <c r="G74" s="978">
        <v>12192</v>
      </c>
      <c r="H74" s="978">
        <v>3116</v>
      </c>
      <c r="I74" s="244">
        <f t="shared" si="7"/>
        <v>0.25557742782152232</v>
      </c>
      <c r="J74" s="978">
        <v>9474</v>
      </c>
      <c r="K74" s="978">
        <v>2214</v>
      </c>
      <c r="L74" s="244">
        <f t="shared" si="8"/>
        <v>0.233692210259658</v>
      </c>
    </row>
    <row r="75" spans="1:12" x14ac:dyDescent="0.2">
      <c r="A75" s="222" t="s">
        <v>182</v>
      </c>
      <c r="B75" s="222" t="s">
        <v>183</v>
      </c>
      <c r="C75" s="237" t="s">
        <v>266</v>
      </c>
      <c r="D75" s="978">
        <v>26581</v>
      </c>
      <c r="E75" s="978">
        <v>1696</v>
      </c>
      <c r="F75" s="244">
        <f t="shared" si="6"/>
        <v>6.3804973477295815E-2</v>
      </c>
      <c r="G75" s="978">
        <v>5177</v>
      </c>
      <c r="H75" s="222">
        <v>439</v>
      </c>
      <c r="I75" s="244">
        <f t="shared" si="7"/>
        <v>8.479814564419548E-2</v>
      </c>
      <c r="J75" s="978">
        <v>4055</v>
      </c>
      <c r="K75" s="222">
        <v>302</v>
      </c>
      <c r="L75" s="244">
        <f t="shared" si="8"/>
        <v>7.447595561035758E-2</v>
      </c>
    </row>
    <row r="76" spans="1:12" x14ac:dyDescent="0.2">
      <c r="A76" s="222" t="s">
        <v>184</v>
      </c>
      <c r="B76" s="222" t="s">
        <v>185</v>
      </c>
      <c r="C76" s="237" t="s">
        <v>266</v>
      </c>
      <c r="D76" s="978">
        <v>18711</v>
      </c>
      <c r="E76" s="978">
        <v>4172</v>
      </c>
      <c r="F76" s="244">
        <f t="shared" si="6"/>
        <v>0.22297044519266743</v>
      </c>
      <c r="G76" s="978">
        <v>3617</v>
      </c>
      <c r="H76" s="978">
        <v>1053</v>
      </c>
      <c r="I76" s="244">
        <f t="shared" si="7"/>
        <v>0.29112524191318773</v>
      </c>
      <c r="J76" s="978">
        <v>2681</v>
      </c>
      <c r="K76" s="222">
        <v>741</v>
      </c>
      <c r="L76" s="244">
        <f t="shared" si="8"/>
        <v>0.2763894069377098</v>
      </c>
    </row>
    <row r="77" spans="1:12" x14ac:dyDescent="0.2">
      <c r="A77" s="222" t="s">
        <v>186</v>
      </c>
      <c r="B77" s="222" t="s">
        <v>187</v>
      </c>
      <c r="C77" s="237" t="s">
        <v>264</v>
      </c>
      <c r="D77" s="978">
        <v>33203</v>
      </c>
      <c r="E77" s="978">
        <v>3298</v>
      </c>
      <c r="F77" s="244">
        <f t="shared" si="6"/>
        <v>9.9328373942113662E-2</v>
      </c>
      <c r="G77" s="978">
        <v>7990</v>
      </c>
      <c r="H77" s="978">
        <v>980</v>
      </c>
      <c r="I77" s="244">
        <f t="shared" si="7"/>
        <v>0.12265331664580725</v>
      </c>
      <c r="J77" s="978">
        <v>5985</v>
      </c>
      <c r="K77" s="222">
        <v>653</v>
      </c>
      <c r="L77" s="244">
        <f t="shared" si="8"/>
        <v>0.10910609857978279</v>
      </c>
    </row>
    <row r="78" spans="1:12" x14ac:dyDescent="0.2">
      <c r="A78" s="222" t="s">
        <v>188</v>
      </c>
      <c r="B78" s="222" t="s">
        <v>189</v>
      </c>
      <c r="C78" s="237" t="s">
        <v>267</v>
      </c>
      <c r="D78" s="978">
        <v>447437</v>
      </c>
      <c r="E78" s="978">
        <v>29925</v>
      </c>
      <c r="F78" s="244">
        <f t="shared" si="6"/>
        <v>6.6880924018353424E-2</v>
      </c>
      <c r="G78" s="978">
        <v>123552</v>
      </c>
      <c r="H78" s="978">
        <v>11110</v>
      </c>
      <c r="I78" s="244">
        <f t="shared" si="7"/>
        <v>8.9921652421652426E-2</v>
      </c>
      <c r="J78" s="978">
        <v>88734</v>
      </c>
      <c r="K78" s="978">
        <v>7297</v>
      </c>
      <c r="L78" s="244">
        <f t="shared" si="8"/>
        <v>8.2234543692383977E-2</v>
      </c>
    </row>
    <row r="79" spans="1:12" x14ac:dyDescent="0.2">
      <c r="A79" s="222" t="s">
        <v>190</v>
      </c>
      <c r="B79" s="222" t="s">
        <v>191</v>
      </c>
      <c r="C79" s="237" t="s">
        <v>268</v>
      </c>
      <c r="D79" s="978">
        <v>33122</v>
      </c>
      <c r="E79" s="978">
        <v>4978</v>
      </c>
      <c r="F79" s="244">
        <f t="shared" si="6"/>
        <v>0.15029285671155124</v>
      </c>
      <c r="G79" s="978">
        <v>6161</v>
      </c>
      <c r="H79" s="978">
        <v>1363</v>
      </c>
      <c r="I79" s="244">
        <f t="shared" si="7"/>
        <v>0.2212303197532868</v>
      </c>
      <c r="J79" s="978">
        <v>4497</v>
      </c>
      <c r="K79" s="222">
        <v>889</v>
      </c>
      <c r="L79" s="244">
        <f t="shared" si="8"/>
        <v>0.19768734712030242</v>
      </c>
    </row>
    <row r="80" spans="1:12" x14ac:dyDescent="0.2">
      <c r="A80" s="222" t="s">
        <v>194</v>
      </c>
      <c r="B80" s="222" t="s">
        <v>195</v>
      </c>
      <c r="C80" s="237" t="s">
        <v>267</v>
      </c>
      <c r="D80" s="978">
        <v>7332</v>
      </c>
      <c r="E80" s="222">
        <v>719</v>
      </c>
      <c r="F80" s="244">
        <f t="shared" si="6"/>
        <v>9.8063284233497E-2</v>
      </c>
      <c r="G80" s="978">
        <v>1273</v>
      </c>
      <c r="H80" s="222">
        <v>198</v>
      </c>
      <c r="I80" s="244">
        <f t="shared" si="7"/>
        <v>0.15553809897879026</v>
      </c>
      <c r="J80" s="978">
        <v>990</v>
      </c>
      <c r="K80" s="222">
        <v>139</v>
      </c>
      <c r="L80" s="244">
        <f t="shared" si="8"/>
        <v>0.14040404040404039</v>
      </c>
    </row>
    <row r="81" spans="1:12" x14ac:dyDescent="0.2">
      <c r="A81" s="222" t="s">
        <v>198</v>
      </c>
      <c r="B81" s="222" t="s">
        <v>272</v>
      </c>
      <c r="C81" s="237" t="s">
        <v>266</v>
      </c>
      <c r="D81" s="978">
        <v>7251</v>
      </c>
      <c r="E81" s="978">
        <v>1281</v>
      </c>
      <c r="F81" s="244">
        <f t="shared" si="6"/>
        <v>0.17666528754654531</v>
      </c>
      <c r="G81" s="978">
        <v>1479</v>
      </c>
      <c r="H81" s="222">
        <v>340</v>
      </c>
      <c r="I81" s="244">
        <f t="shared" si="7"/>
        <v>0.22988505747126436</v>
      </c>
      <c r="J81" s="978">
        <v>1128</v>
      </c>
      <c r="K81" s="222">
        <v>234</v>
      </c>
      <c r="L81" s="244">
        <f t="shared" si="8"/>
        <v>0.20744680851063829</v>
      </c>
    </row>
    <row r="82" spans="1:12" x14ac:dyDescent="0.2">
      <c r="A82" s="222" t="s">
        <v>202</v>
      </c>
      <c r="B82" s="222" t="s">
        <v>301</v>
      </c>
      <c r="C82" s="237" t="s">
        <v>265</v>
      </c>
      <c r="D82" s="978">
        <v>115586</v>
      </c>
      <c r="E82" s="978">
        <v>9135</v>
      </c>
      <c r="F82" s="244">
        <f t="shared" si="6"/>
        <v>7.9032062706556161E-2</v>
      </c>
      <c r="G82" s="978">
        <v>24175</v>
      </c>
      <c r="H82" s="978">
        <v>2482</v>
      </c>
      <c r="I82" s="244">
        <f t="shared" si="7"/>
        <v>0.10266804550155119</v>
      </c>
      <c r="J82" s="978">
        <v>18338</v>
      </c>
      <c r="K82" s="978">
        <v>1717</v>
      </c>
      <c r="L82" s="244">
        <f t="shared" si="8"/>
        <v>9.3630712182353582E-2</v>
      </c>
    </row>
    <row r="83" spans="1:12" x14ac:dyDescent="0.2">
      <c r="A83" s="222" t="s">
        <v>204</v>
      </c>
      <c r="B83" s="222" t="s">
        <v>293</v>
      </c>
      <c r="C83" s="237" t="s">
        <v>265</v>
      </c>
      <c r="D83" s="978">
        <v>32821</v>
      </c>
      <c r="E83" s="978">
        <v>4930</v>
      </c>
      <c r="F83" s="244">
        <f t="shared" si="6"/>
        <v>0.150208707839493</v>
      </c>
      <c r="G83" s="978">
        <v>6049</v>
      </c>
      <c r="H83" s="222">
        <v>1165</v>
      </c>
      <c r="I83" s="244">
        <f t="shared" si="7"/>
        <v>0.19259381715986112</v>
      </c>
      <c r="J83" s="978">
        <v>4501</v>
      </c>
      <c r="K83" s="222">
        <v>799</v>
      </c>
      <c r="L83" s="244">
        <f t="shared" si="8"/>
        <v>0.17751610753165964</v>
      </c>
    </row>
    <row r="84" spans="1:12" x14ac:dyDescent="0.2">
      <c r="A84" s="222" t="s">
        <v>206</v>
      </c>
      <c r="B84" s="222" t="s">
        <v>294</v>
      </c>
      <c r="C84" s="237" t="s">
        <v>267</v>
      </c>
      <c r="D84" s="978">
        <v>121895</v>
      </c>
      <c r="E84" s="978">
        <v>22352</v>
      </c>
      <c r="F84" s="244">
        <f t="shared" si="6"/>
        <v>0.18337093400057428</v>
      </c>
      <c r="G84" s="978">
        <v>25547</v>
      </c>
      <c r="H84" s="978">
        <v>4380</v>
      </c>
      <c r="I84" s="244">
        <f t="shared" si="7"/>
        <v>0.17144870239167026</v>
      </c>
      <c r="J84" s="978">
        <v>18640</v>
      </c>
      <c r="K84" s="978">
        <v>2929</v>
      </c>
      <c r="L84" s="244">
        <f t="shared" si="8"/>
        <v>0.15713519313304722</v>
      </c>
    </row>
    <row r="85" spans="1:12" x14ac:dyDescent="0.2">
      <c r="A85" s="222" t="s">
        <v>208</v>
      </c>
      <c r="B85" s="222" t="s">
        <v>209</v>
      </c>
      <c r="C85" s="237" t="s">
        <v>268</v>
      </c>
      <c r="D85" s="978">
        <v>27610</v>
      </c>
      <c r="E85" s="978">
        <v>5864</v>
      </c>
      <c r="F85" s="244">
        <f t="shared" si="6"/>
        <v>0.21238681637088011</v>
      </c>
      <c r="G85" s="978">
        <v>5470</v>
      </c>
      <c r="H85" s="978">
        <v>1542</v>
      </c>
      <c r="I85" s="244">
        <f t="shared" si="7"/>
        <v>0.28190127970749546</v>
      </c>
      <c r="J85" s="978">
        <v>4014</v>
      </c>
      <c r="K85" s="222">
        <v>1021</v>
      </c>
      <c r="L85" s="244">
        <f t="shared" si="8"/>
        <v>0.25435974090682612</v>
      </c>
    </row>
    <row r="86" spans="1:12" x14ac:dyDescent="0.2">
      <c r="A86" s="222" t="s">
        <v>210</v>
      </c>
      <c r="B86" s="222" t="s">
        <v>211</v>
      </c>
      <c r="C86" s="237" t="s">
        <v>268</v>
      </c>
      <c r="D86" s="978">
        <v>21366</v>
      </c>
      <c r="E86" s="978">
        <v>4096</v>
      </c>
      <c r="F86" s="244">
        <f t="shared" si="6"/>
        <v>0.19170644949920435</v>
      </c>
      <c r="G86" s="978">
        <v>4094</v>
      </c>
      <c r="H86" s="978">
        <v>1002</v>
      </c>
      <c r="I86" s="244">
        <f t="shared" si="7"/>
        <v>0.24474841231069858</v>
      </c>
      <c r="J86" s="978">
        <v>3076</v>
      </c>
      <c r="K86" s="222">
        <v>668</v>
      </c>
      <c r="L86" s="244">
        <f t="shared" si="8"/>
        <v>0.21716514954486346</v>
      </c>
    </row>
    <row r="87" spans="1:12" x14ac:dyDescent="0.2">
      <c r="A87" s="222" t="s">
        <v>212</v>
      </c>
      <c r="B87" s="222" t="s">
        <v>213</v>
      </c>
      <c r="C87" s="237" t="s">
        <v>267</v>
      </c>
      <c r="D87" s="978">
        <v>42682</v>
      </c>
      <c r="E87" s="978">
        <v>4902</v>
      </c>
      <c r="F87" s="244">
        <f t="shared" si="6"/>
        <v>0.11484935101447917</v>
      </c>
      <c r="G87" s="978">
        <v>9063</v>
      </c>
      <c r="H87" s="978">
        <v>1606</v>
      </c>
      <c r="I87" s="244">
        <f t="shared" si="7"/>
        <v>0.17720401633013352</v>
      </c>
      <c r="J87" s="978">
        <v>6696</v>
      </c>
      <c r="K87" s="978">
        <v>1120</v>
      </c>
      <c r="L87" s="244">
        <f t="shared" si="8"/>
        <v>0.16726403823178015</v>
      </c>
    </row>
    <row r="88" spans="1:12" x14ac:dyDescent="0.2">
      <c r="A88" s="222" t="s">
        <v>214</v>
      </c>
      <c r="B88" s="222" t="s">
        <v>215</v>
      </c>
      <c r="C88" s="237" t="s">
        <v>268</v>
      </c>
      <c r="D88" s="978">
        <v>30642</v>
      </c>
      <c r="E88" s="978">
        <v>5549</v>
      </c>
      <c r="F88" s="244">
        <f t="shared" si="6"/>
        <v>0.18109131257750799</v>
      </c>
      <c r="G88" s="978">
        <v>6165</v>
      </c>
      <c r="H88" s="978">
        <v>1702</v>
      </c>
      <c r="I88" s="244">
        <f t="shared" si="7"/>
        <v>0.27607461476074613</v>
      </c>
      <c r="J88" s="978">
        <v>4564</v>
      </c>
      <c r="K88" s="978">
        <v>1128</v>
      </c>
      <c r="L88" s="244">
        <f t="shared" si="8"/>
        <v>0.24715162138475022</v>
      </c>
    </row>
    <row r="89" spans="1:12" x14ac:dyDescent="0.2">
      <c r="A89" s="222" t="s">
        <v>216</v>
      </c>
      <c r="B89" s="222" t="s">
        <v>217</v>
      </c>
      <c r="C89" s="237" t="s">
        <v>264</v>
      </c>
      <c r="D89" s="978">
        <v>16371</v>
      </c>
      <c r="E89" s="978">
        <v>2481</v>
      </c>
      <c r="F89" s="244">
        <f t="shared" si="6"/>
        <v>0.15154846985523182</v>
      </c>
      <c r="G89" s="978">
        <v>3409</v>
      </c>
      <c r="H89" s="222">
        <v>713</v>
      </c>
      <c r="I89" s="244">
        <f t="shared" si="7"/>
        <v>0.20915224405984159</v>
      </c>
      <c r="J89" s="978">
        <v>2553</v>
      </c>
      <c r="K89" s="222">
        <v>479</v>
      </c>
      <c r="L89" s="244">
        <f t="shared" si="8"/>
        <v>0.18762240501370936</v>
      </c>
    </row>
    <row r="90" spans="1:12" x14ac:dyDescent="0.2">
      <c r="A90" s="222" t="s">
        <v>218</v>
      </c>
      <c r="B90" s="222" t="s">
        <v>219</v>
      </c>
      <c r="C90" s="237" t="s">
        <v>267</v>
      </c>
      <c r="D90" s="978">
        <v>129561</v>
      </c>
      <c r="E90" s="978">
        <v>9912</v>
      </c>
      <c r="F90" s="244">
        <f t="shared" si="6"/>
        <v>7.6504503670085905E-2</v>
      </c>
      <c r="G90" s="978">
        <v>32520</v>
      </c>
      <c r="H90" s="978">
        <v>3539</v>
      </c>
      <c r="I90" s="244">
        <f t="shared" si="7"/>
        <v>0.10882533825338253</v>
      </c>
      <c r="J90" s="978">
        <v>24665</v>
      </c>
      <c r="K90" s="978">
        <v>2407</v>
      </c>
      <c r="L90" s="244">
        <f t="shared" si="8"/>
        <v>9.7587674842894795E-2</v>
      </c>
    </row>
    <row r="91" spans="1:12" x14ac:dyDescent="0.2">
      <c r="A91" s="222" t="s">
        <v>220</v>
      </c>
      <c r="B91" s="222" t="s">
        <v>221</v>
      </c>
      <c r="C91" s="237" t="s">
        <v>267</v>
      </c>
      <c r="D91" s="978">
        <v>137862</v>
      </c>
      <c r="E91" s="978">
        <v>7448</v>
      </c>
      <c r="F91" s="244">
        <f t="shared" si="6"/>
        <v>5.4025039532285907E-2</v>
      </c>
      <c r="G91" s="978">
        <v>37236</v>
      </c>
      <c r="H91" s="978">
        <v>2658</v>
      </c>
      <c r="I91" s="244">
        <f t="shared" si="7"/>
        <v>7.1382533032549142E-2</v>
      </c>
      <c r="J91" s="978">
        <v>28198</v>
      </c>
      <c r="K91" s="978">
        <v>1796</v>
      </c>
      <c r="L91" s="244">
        <f t="shared" si="8"/>
        <v>6.3692460458188521E-2</v>
      </c>
    </row>
    <row r="92" spans="1:12" x14ac:dyDescent="0.2">
      <c r="A92" s="222" t="s">
        <v>224</v>
      </c>
      <c r="B92" s="222" t="s">
        <v>225</v>
      </c>
      <c r="C92" s="237" t="s">
        <v>264</v>
      </c>
      <c r="D92" s="978">
        <v>6699</v>
      </c>
      <c r="E92" s="222">
        <v>874</v>
      </c>
      <c r="F92" s="244">
        <f t="shared" si="6"/>
        <v>0.13046723391550977</v>
      </c>
      <c r="G92" s="978">
        <v>1222</v>
      </c>
      <c r="H92" s="222">
        <v>244</v>
      </c>
      <c r="I92" s="244">
        <f t="shared" si="7"/>
        <v>0.19967266775777415</v>
      </c>
      <c r="J92" s="978">
        <v>909</v>
      </c>
      <c r="K92" s="222">
        <v>173</v>
      </c>
      <c r="L92" s="244">
        <f t="shared" si="8"/>
        <v>0.19031903190319033</v>
      </c>
    </row>
    <row r="93" spans="1:12" x14ac:dyDescent="0.2">
      <c r="A93" s="222" t="s">
        <v>226</v>
      </c>
      <c r="B93" s="222" t="s">
        <v>227</v>
      </c>
      <c r="C93" s="237" t="s">
        <v>264</v>
      </c>
      <c r="D93" s="978">
        <v>9100</v>
      </c>
      <c r="E93" s="978">
        <v>2008</v>
      </c>
      <c r="F93" s="244">
        <f t="shared" si="6"/>
        <v>0.22065934065934065</v>
      </c>
      <c r="G93" s="978">
        <v>1871</v>
      </c>
      <c r="H93" s="222">
        <v>542</v>
      </c>
      <c r="I93" s="244">
        <f t="shared" si="7"/>
        <v>0.28968466060929982</v>
      </c>
      <c r="J93" s="978">
        <v>1329</v>
      </c>
      <c r="K93" s="222">
        <v>383</v>
      </c>
      <c r="L93" s="244">
        <f t="shared" si="8"/>
        <v>0.28818660647103084</v>
      </c>
    </row>
    <row r="94" spans="1:12" x14ac:dyDescent="0.2">
      <c r="A94" s="222" t="s">
        <v>228</v>
      </c>
      <c r="B94" s="222" t="s">
        <v>229</v>
      </c>
      <c r="C94" s="237" t="s">
        <v>268</v>
      </c>
      <c r="D94" s="978">
        <v>41086</v>
      </c>
      <c r="E94" s="978">
        <v>7071</v>
      </c>
      <c r="F94" s="244">
        <f t="shared" si="6"/>
        <v>0.17210241931558196</v>
      </c>
      <c r="G94" s="978">
        <v>8237</v>
      </c>
      <c r="H94" s="978">
        <v>1986</v>
      </c>
      <c r="I94" s="244">
        <f t="shared" si="7"/>
        <v>0.2411071992230181</v>
      </c>
      <c r="J94" s="978">
        <v>6128</v>
      </c>
      <c r="K94" s="978">
        <v>1352</v>
      </c>
      <c r="L94" s="244">
        <f t="shared" si="8"/>
        <v>0.22062663185378589</v>
      </c>
    </row>
    <row r="95" spans="1:12" x14ac:dyDescent="0.2">
      <c r="A95" s="222" t="s">
        <v>232</v>
      </c>
      <c r="B95" s="222" t="s">
        <v>233</v>
      </c>
      <c r="C95" s="237" t="s">
        <v>267</v>
      </c>
      <c r="D95" s="978">
        <v>38196</v>
      </c>
      <c r="E95" s="978">
        <v>4143</v>
      </c>
      <c r="F95" s="244">
        <f t="shared" si="6"/>
        <v>0.10846685516808043</v>
      </c>
      <c r="G95" s="978">
        <v>8696</v>
      </c>
      <c r="H95" s="978">
        <v>1313</v>
      </c>
      <c r="I95" s="244">
        <f t="shared" si="7"/>
        <v>0.15098896044158233</v>
      </c>
      <c r="J95" s="978">
        <v>6339</v>
      </c>
      <c r="K95" s="222">
        <v>886</v>
      </c>
      <c r="L95" s="244">
        <f t="shared" si="8"/>
        <v>0.13976967976021454</v>
      </c>
    </row>
    <row r="96" spans="1:12" x14ac:dyDescent="0.2">
      <c r="A96" s="222" t="s">
        <v>234</v>
      </c>
      <c r="B96" s="222" t="s">
        <v>235</v>
      </c>
      <c r="C96" s="237" t="s">
        <v>268</v>
      </c>
      <c r="D96" s="978">
        <v>52994</v>
      </c>
      <c r="E96" s="978">
        <v>8656</v>
      </c>
      <c r="F96" s="244">
        <f t="shared" si="6"/>
        <v>0.16333924595237195</v>
      </c>
      <c r="G96" s="978">
        <v>10186</v>
      </c>
      <c r="H96" s="978">
        <v>2313</v>
      </c>
      <c r="I96" s="244">
        <f t="shared" si="7"/>
        <v>0.22707637934419792</v>
      </c>
      <c r="J96" s="978">
        <v>7507</v>
      </c>
      <c r="K96" s="978">
        <v>1584</v>
      </c>
      <c r="L96" s="244">
        <f t="shared" si="8"/>
        <v>0.21100306380711337</v>
      </c>
    </row>
    <row r="97" spans="1:12" x14ac:dyDescent="0.2">
      <c r="A97" s="222" t="s">
        <v>236</v>
      </c>
      <c r="B97" s="222" t="s">
        <v>237</v>
      </c>
      <c r="C97" s="237" t="s">
        <v>266</v>
      </c>
      <c r="D97" s="978">
        <v>17518</v>
      </c>
      <c r="E97" s="978">
        <v>2462</v>
      </c>
      <c r="F97" s="244">
        <f t="shared" si="6"/>
        <v>0.14054115766640027</v>
      </c>
      <c r="G97" s="978">
        <v>3253</v>
      </c>
      <c r="H97" s="222">
        <v>941</v>
      </c>
      <c r="I97" s="244">
        <f t="shared" si="7"/>
        <v>0.28927144174608055</v>
      </c>
      <c r="J97" s="978">
        <v>2282</v>
      </c>
      <c r="K97" s="222">
        <v>647</v>
      </c>
      <c r="L97" s="244">
        <f t="shared" si="8"/>
        <v>0.28352322524101664</v>
      </c>
    </row>
    <row r="98" spans="1:12" x14ac:dyDescent="0.2">
      <c r="A98" s="222" t="s">
        <v>242</v>
      </c>
      <c r="B98" s="222" t="s">
        <v>243</v>
      </c>
      <c r="C98" s="237" t="s">
        <v>268</v>
      </c>
      <c r="D98" s="978">
        <v>36780</v>
      </c>
      <c r="E98" s="978">
        <v>8342</v>
      </c>
      <c r="F98" s="244">
        <f t="shared" si="6"/>
        <v>0.22680804785209352</v>
      </c>
      <c r="G98" s="978">
        <v>7802</v>
      </c>
      <c r="H98" s="978">
        <v>2411</v>
      </c>
      <c r="I98" s="244">
        <f t="shared" si="7"/>
        <v>0.30902332735196103</v>
      </c>
      <c r="J98" s="978">
        <v>5592</v>
      </c>
      <c r="K98" s="978">
        <v>1580</v>
      </c>
      <c r="L98" s="244">
        <f t="shared" si="8"/>
        <v>0.2825464949928469</v>
      </c>
    </row>
    <row r="99" spans="1:12" x14ac:dyDescent="0.2">
      <c r="A99" s="222" t="s">
        <v>244</v>
      </c>
      <c r="B99" s="222" t="s">
        <v>245</v>
      </c>
      <c r="C99" s="237" t="s">
        <v>268</v>
      </c>
      <c r="D99" s="978">
        <v>28822</v>
      </c>
      <c r="E99" s="978">
        <v>4163</v>
      </c>
      <c r="F99" s="244">
        <f t="shared" si="6"/>
        <v>0.14443827631670253</v>
      </c>
      <c r="G99" s="978">
        <v>5721</v>
      </c>
      <c r="H99" s="978">
        <v>1216</v>
      </c>
      <c r="I99" s="244">
        <f t="shared" si="7"/>
        <v>0.21255025345219367</v>
      </c>
      <c r="J99" s="978">
        <v>4321</v>
      </c>
      <c r="K99" s="222">
        <v>854</v>
      </c>
      <c r="L99" s="244">
        <f t="shared" si="8"/>
        <v>0.19763943531589909</v>
      </c>
    </row>
    <row r="100" spans="1:12" x14ac:dyDescent="0.2">
      <c r="A100" s="222" t="s">
        <v>246</v>
      </c>
      <c r="B100" s="222" t="s">
        <v>247</v>
      </c>
      <c r="C100" s="237" t="s">
        <v>264</v>
      </c>
      <c r="D100" s="978">
        <v>79097</v>
      </c>
      <c r="E100" s="978">
        <v>4222</v>
      </c>
      <c r="F100" s="244">
        <f t="shared" si="6"/>
        <v>5.3377498514482216E-2</v>
      </c>
      <c r="G100" s="978">
        <v>19002</v>
      </c>
      <c r="H100" s="978">
        <v>1280</v>
      </c>
      <c r="I100" s="244">
        <f t="shared" si="7"/>
        <v>6.7361330386275134E-2</v>
      </c>
      <c r="J100" s="978">
        <v>14900</v>
      </c>
      <c r="K100" s="222">
        <v>852</v>
      </c>
      <c r="L100" s="244">
        <f t="shared" si="8"/>
        <v>5.7181208053691278E-2</v>
      </c>
    </row>
    <row r="101" spans="1:12" x14ac:dyDescent="0.2">
      <c r="A101" s="222" t="s">
        <v>14</v>
      </c>
      <c r="B101" s="222" t="s">
        <v>15</v>
      </c>
      <c r="C101" s="237" t="s">
        <v>267</v>
      </c>
      <c r="D101" s="978">
        <v>151652</v>
      </c>
      <c r="E101" s="978">
        <v>13832</v>
      </c>
      <c r="F101" s="244">
        <f t="shared" ref="F101:F125" si="9">E101/D101</f>
        <v>9.1208820193601145E-2</v>
      </c>
      <c r="G101" s="978">
        <v>26760</v>
      </c>
      <c r="H101" s="978">
        <v>3888</v>
      </c>
      <c r="I101" s="244">
        <f t="shared" ref="I101:I125" si="10">H101/G101</f>
        <v>0.14529147982062779</v>
      </c>
      <c r="J101" s="978">
        <v>15330</v>
      </c>
      <c r="K101" s="978">
        <v>2328</v>
      </c>
      <c r="L101" s="244">
        <f t="shared" ref="L101:L125" si="11">K101/J101</f>
        <v>0.15185909980430529</v>
      </c>
    </row>
    <row r="102" spans="1:12" x14ac:dyDescent="0.2">
      <c r="A102" s="222" t="s">
        <v>34</v>
      </c>
      <c r="B102" s="222" t="s">
        <v>35</v>
      </c>
      <c r="C102" s="237" t="s">
        <v>268</v>
      </c>
      <c r="D102" s="978">
        <v>16918</v>
      </c>
      <c r="E102" s="978">
        <v>3260</v>
      </c>
      <c r="F102" s="244">
        <f t="shared" si="9"/>
        <v>0.19269417188793</v>
      </c>
      <c r="G102" s="978">
        <v>3329</v>
      </c>
      <c r="H102" s="978">
        <v>1111</v>
      </c>
      <c r="I102" s="244">
        <f t="shared" si="10"/>
        <v>0.33373385401021327</v>
      </c>
      <c r="J102" s="978">
        <v>2594</v>
      </c>
      <c r="K102" s="222">
        <v>774</v>
      </c>
      <c r="L102" s="244">
        <f t="shared" si="11"/>
        <v>0.29838087895142634</v>
      </c>
    </row>
    <row r="103" spans="1:12" x14ac:dyDescent="0.2">
      <c r="A103" s="222" t="s">
        <v>52</v>
      </c>
      <c r="B103" s="222" t="s">
        <v>53</v>
      </c>
      <c r="C103" s="237" t="s">
        <v>265</v>
      </c>
      <c r="D103" s="978">
        <v>44501</v>
      </c>
      <c r="E103" s="978">
        <v>9229</v>
      </c>
      <c r="F103" s="244">
        <f t="shared" si="9"/>
        <v>0.2073885980090335</v>
      </c>
      <c r="G103" s="978">
        <v>7273</v>
      </c>
      <c r="H103" s="978">
        <v>1644</v>
      </c>
      <c r="I103" s="244">
        <f t="shared" si="10"/>
        <v>0.2260415234428709</v>
      </c>
      <c r="J103" s="978">
        <v>4568</v>
      </c>
      <c r="K103" s="978">
        <v>1107</v>
      </c>
      <c r="L103" s="244">
        <f t="shared" si="11"/>
        <v>0.24233800350262696</v>
      </c>
    </row>
    <row r="104" spans="1:12" x14ac:dyDescent="0.2">
      <c r="A104" s="222" t="s">
        <v>54</v>
      </c>
      <c r="B104" s="222" t="s">
        <v>55</v>
      </c>
      <c r="C104" s="237" t="s">
        <v>264</v>
      </c>
      <c r="D104" s="978">
        <v>230553</v>
      </c>
      <c r="E104" s="978">
        <v>22442</v>
      </c>
      <c r="F104" s="244">
        <f t="shared" si="9"/>
        <v>9.7339874128725287E-2</v>
      </c>
      <c r="G104" s="978">
        <v>56158</v>
      </c>
      <c r="H104" s="978">
        <v>7831</v>
      </c>
      <c r="I104" s="244">
        <f t="shared" si="10"/>
        <v>0.13944584921115424</v>
      </c>
      <c r="J104" s="978">
        <v>41651</v>
      </c>
      <c r="K104" s="978">
        <v>5322</v>
      </c>
      <c r="L104" s="244">
        <f t="shared" si="11"/>
        <v>0.12777604379246596</v>
      </c>
    </row>
    <row r="105" spans="1:12" x14ac:dyDescent="0.2">
      <c r="A105" s="222" t="s">
        <v>66</v>
      </c>
      <c r="B105" s="222" t="s">
        <v>67</v>
      </c>
      <c r="C105" s="237" t="s">
        <v>265</v>
      </c>
      <c r="D105" s="978">
        <v>40534</v>
      </c>
      <c r="E105" s="978">
        <v>9524</v>
      </c>
      <c r="F105" s="244">
        <f t="shared" si="9"/>
        <v>0.23496324073617211</v>
      </c>
      <c r="G105" s="978">
        <v>9117</v>
      </c>
      <c r="H105" s="978">
        <v>3590</v>
      </c>
      <c r="I105" s="244">
        <f t="shared" si="10"/>
        <v>0.39376988044312822</v>
      </c>
      <c r="J105" s="978">
        <v>6376</v>
      </c>
      <c r="K105" s="978">
        <v>2511</v>
      </c>
      <c r="L105" s="244">
        <f t="shared" si="11"/>
        <v>0.39382057716436636</v>
      </c>
    </row>
    <row r="106" spans="1:12" x14ac:dyDescent="0.2">
      <c r="A106" s="222" t="s">
        <v>82</v>
      </c>
      <c r="B106" s="222" t="s">
        <v>83</v>
      </c>
      <c r="C106" s="237" t="s">
        <v>264</v>
      </c>
      <c r="D106" s="978">
        <v>8357</v>
      </c>
      <c r="E106" s="978">
        <v>1622</v>
      </c>
      <c r="F106" s="244">
        <f t="shared" si="9"/>
        <v>0.19408878784252723</v>
      </c>
      <c r="G106" s="978">
        <v>2146</v>
      </c>
      <c r="H106" s="222">
        <v>756</v>
      </c>
      <c r="I106" s="244">
        <f t="shared" si="10"/>
        <v>0.35228331780055916</v>
      </c>
      <c r="J106" s="978">
        <v>1466</v>
      </c>
      <c r="K106" s="222">
        <v>527</v>
      </c>
      <c r="L106" s="244">
        <f t="shared" si="11"/>
        <v>0.35948158253751705</v>
      </c>
    </row>
    <row r="107" spans="1:12" x14ac:dyDescent="0.2">
      <c r="A107" s="222" t="s">
        <v>88</v>
      </c>
      <c r="B107" s="222" t="s">
        <v>89</v>
      </c>
      <c r="C107" s="237" t="s">
        <v>267</v>
      </c>
      <c r="D107" s="978">
        <v>25562</v>
      </c>
      <c r="E107" s="978">
        <v>4066</v>
      </c>
      <c r="F107" s="244">
        <f t="shared" si="9"/>
        <v>0.1590642359752758</v>
      </c>
      <c r="G107" s="978">
        <v>5654</v>
      </c>
      <c r="H107" s="978">
        <v>1289</v>
      </c>
      <c r="I107" s="244">
        <f t="shared" si="10"/>
        <v>0.22798019101521047</v>
      </c>
      <c r="J107" s="978">
        <v>3640</v>
      </c>
      <c r="K107" s="222">
        <v>900</v>
      </c>
      <c r="L107" s="244">
        <f t="shared" si="11"/>
        <v>0.24725274725274726</v>
      </c>
    </row>
    <row r="108" spans="1:12" x14ac:dyDescent="0.2">
      <c r="A108" s="222" t="s">
        <v>90</v>
      </c>
      <c r="B108" s="222" t="s">
        <v>91</v>
      </c>
      <c r="C108" s="237" t="s">
        <v>268</v>
      </c>
      <c r="D108" s="978">
        <v>6610</v>
      </c>
      <c r="E108" s="978">
        <v>1599</v>
      </c>
      <c r="F108" s="244">
        <f t="shared" si="9"/>
        <v>0.24190620272314675</v>
      </c>
      <c r="G108" s="978">
        <v>1612</v>
      </c>
      <c r="H108" s="222">
        <v>589</v>
      </c>
      <c r="I108" s="244">
        <f t="shared" si="10"/>
        <v>0.36538461538461536</v>
      </c>
      <c r="J108" s="978">
        <v>1145</v>
      </c>
      <c r="K108" s="222">
        <v>417</v>
      </c>
      <c r="L108" s="244">
        <f t="shared" si="11"/>
        <v>0.36419213973799125</v>
      </c>
    </row>
    <row r="109" spans="1:12" x14ac:dyDescent="0.2">
      <c r="A109" s="222" t="s">
        <v>106</v>
      </c>
      <c r="B109" s="222" t="s">
        <v>107</v>
      </c>
      <c r="C109" s="237" t="s">
        <v>264</v>
      </c>
      <c r="D109" s="978">
        <v>131786</v>
      </c>
      <c r="E109" s="978">
        <v>20072</v>
      </c>
      <c r="F109" s="244">
        <f t="shared" si="9"/>
        <v>0.15230752887256613</v>
      </c>
      <c r="G109" s="978">
        <v>28916</v>
      </c>
      <c r="H109" s="978">
        <v>6804</v>
      </c>
      <c r="I109" s="244">
        <f t="shared" si="10"/>
        <v>0.23530225480702724</v>
      </c>
      <c r="J109" s="978">
        <v>20363</v>
      </c>
      <c r="K109" s="978">
        <v>4762</v>
      </c>
      <c r="L109" s="244">
        <f t="shared" si="11"/>
        <v>0.23385552227078524</v>
      </c>
    </row>
    <row r="110" spans="1:12" x14ac:dyDescent="0.2">
      <c r="A110" s="222" t="s">
        <v>116</v>
      </c>
      <c r="B110" s="222" t="s">
        <v>117</v>
      </c>
      <c r="C110" s="237" t="s">
        <v>266</v>
      </c>
      <c r="D110" s="978">
        <v>22027</v>
      </c>
      <c r="E110" s="978">
        <v>4531</v>
      </c>
      <c r="F110" s="244">
        <f t="shared" si="9"/>
        <v>0.20570209288600355</v>
      </c>
      <c r="G110" s="978">
        <v>5592</v>
      </c>
      <c r="H110" s="978">
        <v>1883</v>
      </c>
      <c r="I110" s="244">
        <f t="shared" si="10"/>
        <v>0.33673104434907009</v>
      </c>
      <c r="J110" s="978">
        <v>3938</v>
      </c>
      <c r="K110" s="978">
        <v>1310</v>
      </c>
      <c r="L110" s="244">
        <f t="shared" si="11"/>
        <v>0.33265617064499747</v>
      </c>
    </row>
    <row r="111" spans="1:12" x14ac:dyDescent="0.2">
      <c r="A111" s="222" t="s">
        <v>138</v>
      </c>
      <c r="B111" s="222" t="s">
        <v>139</v>
      </c>
      <c r="C111" s="237" t="s">
        <v>265</v>
      </c>
      <c r="D111" s="978">
        <v>69032</v>
      </c>
      <c r="E111" s="978">
        <v>15975</v>
      </c>
      <c r="F111" s="244">
        <f t="shared" si="9"/>
        <v>0.23141441650249159</v>
      </c>
      <c r="G111" s="978">
        <v>15149</v>
      </c>
      <c r="H111" s="978">
        <v>4309</v>
      </c>
      <c r="I111" s="244">
        <f t="shared" si="10"/>
        <v>0.28444121724206217</v>
      </c>
      <c r="J111" s="978">
        <v>10166</v>
      </c>
      <c r="K111" s="978">
        <v>3119</v>
      </c>
      <c r="L111" s="244">
        <f t="shared" si="11"/>
        <v>0.30680700373795006</v>
      </c>
    </row>
    <row r="112" spans="1:12" x14ac:dyDescent="0.2">
      <c r="A112" s="222" t="s">
        <v>142</v>
      </c>
      <c r="B112" s="222" t="s">
        <v>143</v>
      </c>
      <c r="C112" s="237" t="s">
        <v>267</v>
      </c>
      <c r="D112" s="978">
        <v>41457</v>
      </c>
      <c r="E112" s="978">
        <v>3973</v>
      </c>
      <c r="F112" s="244">
        <f t="shared" si="9"/>
        <v>9.5834237885037504E-2</v>
      </c>
      <c r="G112" s="978">
        <v>10867</v>
      </c>
      <c r="H112" s="978">
        <v>1677</v>
      </c>
      <c r="I112" s="244">
        <f t="shared" si="10"/>
        <v>0.15432041961903009</v>
      </c>
      <c r="J112" s="978">
        <v>7441</v>
      </c>
      <c r="K112" s="978">
        <v>1138</v>
      </c>
      <c r="L112" s="244">
        <f t="shared" si="11"/>
        <v>0.15293643327509743</v>
      </c>
    </row>
    <row r="113" spans="1:12" x14ac:dyDescent="0.2">
      <c r="A113" s="222" t="s">
        <v>144</v>
      </c>
      <c r="B113" s="222" t="s">
        <v>145</v>
      </c>
      <c r="C113" s="237" t="s">
        <v>267</v>
      </c>
      <c r="D113" s="978">
        <v>15639</v>
      </c>
      <c r="E113" s="978">
        <v>1197</v>
      </c>
      <c r="F113" s="244">
        <f t="shared" si="9"/>
        <v>7.6539420679071546E-2</v>
      </c>
      <c r="G113" s="978">
        <v>3959</v>
      </c>
      <c r="H113" s="222">
        <v>502</v>
      </c>
      <c r="I113" s="244">
        <f t="shared" si="10"/>
        <v>0.12679969689315485</v>
      </c>
      <c r="J113" s="978">
        <v>3038</v>
      </c>
      <c r="K113" s="222">
        <v>337</v>
      </c>
      <c r="L113" s="244">
        <f t="shared" si="11"/>
        <v>0.1109282422646478</v>
      </c>
    </row>
    <row r="114" spans="1:12" x14ac:dyDescent="0.2">
      <c r="A114" s="222" t="s">
        <v>158</v>
      </c>
      <c r="B114" s="222" t="s">
        <v>159</v>
      </c>
      <c r="C114" s="237" t="s">
        <v>264</v>
      </c>
      <c r="D114" s="978">
        <v>173737</v>
      </c>
      <c r="E114" s="978">
        <v>29248</v>
      </c>
      <c r="F114" s="244">
        <f t="shared" si="9"/>
        <v>0.16834640865215814</v>
      </c>
      <c r="G114" s="978">
        <v>41760</v>
      </c>
      <c r="H114" s="978">
        <v>10750</v>
      </c>
      <c r="I114" s="244">
        <f t="shared" si="10"/>
        <v>0.25742337164750956</v>
      </c>
      <c r="J114" s="978">
        <v>28681</v>
      </c>
      <c r="K114" s="978">
        <v>6978</v>
      </c>
      <c r="L114" s="244">
        <f t="shared" si="11"/>
        <v>0.24329695617307626</v>
      </c>
    </row>
    <row r="115" spans="1:12" x14ac:dyDescent="0.2">
      <c r="A115" s="222" t="s">
        <v>160</v>
      </c>
      <c r="B115" s="222" t="s">
        <v>161</v>
      </c>
      <c r="C115" s="237" t="s">
        <v>264</v>
      </c>
      <c r="D115" s="978">
        <v>212995</v>
      </c>
      <c r="E115" s="978">
        <v>45756</v>
      </c>
      <c r="F115" s="244">
        <f t="shared" si="9"/>
        <v>0.21482194417709335</v>
      </c>
      <c r="G115" s="978">
        <v>48490</v>
      </c>
      <c r="H115" s="978">
        <v>14367</v>
      </c>
      <c r="I115" s="244">
        <f t="shared" si="10"/>
        <v>0.29628789441121883</v>
      </c>
      <c r="J115" s="978">
        <v>31710</v>
      </c>
      <c r="K115" s="978">
        <v>9172</v>
      </c>
      <c r="L115" s="244">
        <f t="shared" si="11"/>
        <v>0.28924629454430778</v>
      </c>
    </row>
    <row r="116" spans="1:12" x14ac:dyDescent="0.2">
      <c r="A116" s="222" t="s">
        <v>166</v>
      </c>
      <c r="B116" s="222" t="s">
        <v>167</v>
      </c>
      <c r="C116" s="237" t="s">
        <v>268</v>
      </c>
      <c r="D116" s="978">
        <v>3877</v>
      </c>
      <c r="E116" s="222">
        <v>920</v>
      </c>
      <c r="F116" s="244">
        <f t="shared" si="9"/>
        <v>0.23729687903017796</v>
      </c>
      <c r="G116" s="222">
        <v>835</v>
      </c>
      <c r="H116" s="222">
        <v>313</v>
      </c>
      <c r="I116" s="244">
        <f t="shared" si="10"/>
        <v>0.37485029940119763</v>
      </c>
      <c r="J116" s="222">
        <v>628</v>
      </c>
      <c r="K116" s="222">
        <v>194</v>
      </c>
      <c r="L116" s="244">
        <f t="shared" si="11"/>
        <v>0.30891719745222929</v>
      </c>
    </row>
    <row r="117" spans="1:12" x14ac:dyDescent="0.2">
      <c r="A117" s="222" t="s">
        <v>176</v>
      </c>
      <c r="B117" s="222" t="s">
        <v>177</v>
      </c>
      <c r="C117" s="237" t="s">
        <v>266</v>
      </c>
      <c r="D117" s="978">
        <v>31766</v>
      </c>
      <c r="E117" s="978">
        <v>9016</v>
      </c>
      <c r="F117" s="244">
        <f t="shared" si="9"/>
        <v>0.2838254737769943</v>
      </c>
      <c r="G117" s="978">
        <v>6884</v>
      </c>
      <c r="H117" s="978">
        <v>2958</v>
      </c>
      <c r="I117" s="244">
        <f t="shared" si="10"/>
        <v>0.42969203951191171</v>
      </c>
      <c r="J117" s="978">
        <v>4318</v>
      </c>
      <c r="K117" s="978">
        <v>1899</v>
      </c>
      <c r="L117" s="244">
        <f t="shared" si="11"/>
        <v>0.43978693839740618</v>
      </c>
    </row>
    <row r="118" spans="1:12" x14ac:dyDescent="0.2">
      <c r="A118" s="222" t="s">
        <v>180</v>
      </c>
      <c r="B118" s="222" t="s">
        <v>181</v>
      </c>
      <c r="C118" s="237" t="s">
        <v>264</v>
      </c>
      <c r="D118" s="978">
        <v>93118</v>
      </c>
      <c r="E118" s="978">
        <v>17340</v>
      </c>
      <c r="F118" s="244">
        <f t="shared" si="9"/>
        <v>0.18621533967653944</v>
      </c>
      <c r="G118" s="978">
        <v>22071</v>
      </c>
      <c r="H118" s="978">
        <v>6738</v>
      </c>
      <c r="I118" s="244">
        <f t="shared" si="10"/>
        <v>0.30528748131031669</v>
      </c>
      <c r="J118" s="978">
        <v>14802</v>
      </c>
      <c r="K118" s="978">
        <v>4395</v>
      </c>
      <c r="L118" s="244">
        <f t="shared" si="11"/>
        <v>0.2969193352249696</v>
      </c>
    </row>
    <row r="119" spans="1:12" x14ac:dyDescent="0.2">
      <c r="A119" s="222" t="s">
        <v>192</v>
      </c>
      <c r="B119" s="222" t="s">
        <v>193</v>
      </c>
      <c r="C119" s="237" t="s">
        <v>268</v>
      </c>
      <c r="D119" s="978">
        <v>14252</v>
      </c>
      <c r="E119" s="978">
        <v>4675</v>
      </c>
      <c r="F119" s="244">
        <f t="shared" si="9"/>
        <v>0.32802413696323324</v>
      </c>
      <c r="G119" s="978">
        <v>2262</v>
      </c>
      <c r="H119" s="222">
        <v>486</v>
      </c>
      <c r="I119" s="244">
        <f t="shared" si="10"/>
        <v>0.21485411140583555</v>
      </c>
      <c r="J119" s="978">
        <v>1608</v>
      </c>
      <c r="K119" s="222">
        <v>326</v>
      </c>
      <c r="L119" s="244">
        <f t="shared" si="11"/>
        <v>0.20273631840796019</v>
      </c>
    </row>
    <row r="120" spans="1:12" x14ac:dyDescent="0.2">
      <c r="A120" s="222" t="s">
        <v>196</v>
      </c>
      <c r="B120" s="222" t="s">
        <v>197</v>
      </c>
      <c r="C120" s="237" t="s">
        <v>266</v>
      </c>
      <c r="D120" s="978">
        <v>207741</v>
      </c>
      <c r="E120" s="978">
        <v>50763</v>
      </c>
      <c r="F120" s="244">
        <f t="shared" si="9"/>
        <v>0.24435715626669746</v>
      </c>
      <c r="G120" s="978">
        <v>39224</v>
      </c>
      <c r="H120" s="978">
        <v>14254</v>
      </c>
      <c r="I120" s="244">
        <f t="shared" si="10"/>
        <v>0.36339995920864776</v>
      </c>
      <c r="J120" s="978">
        <v>25764</v>
      </c>
      <c r="K120" s="978">
        <v>10133</v>
      </c>
      <c r="L120" s="244">
        <f t="shared" si="11"/>
        <v>0.39330072970035707</v>
      </c>
    </row>
    <row r="121" spans="1:12" x14ac:dyDescent="0.2">
      <c r="A121" s="222" t="s">
        <v>200</v>
      </c>
      <c r="B121" s="222" t="s">
        <v>201</v>
      </c>
      <c r="C121" s="237" t="s">
        <v>265</v>
      </c>
      <c r="D121" s="978">
        <v>98272</v>
      </c>
      <c r="E121" s="978">
        <v>20913</v>
      </c>
      <c r="F121" s="244">
        <f t="shared" si="9"/>
        <v>0.21280731032237057</v>
      </c>
      <c r="G121" s="978">
        <v>21722</v>
      </c>
      <c r="H121" s="978">
        <v>7141</v>
      </c>
      <c r="I121" s="244">
        <f t="shared" si="10"/>
        <v>0.32874505110026703</v>
      </c>
      <c r="J121" s="978">
        <v>14654</v>
      </c>
      <c r="K121" s="978">
        <v>5049</v>
      </c>
      <c r="L121" s="244">
        <f t="shared" si="11"/>
        <v>0.34454756380510443</v>
      </c>
    </row>
    <row r="122" spans="1:12" x14ac:dyDescent="0.2">
      <c r="A122" s="222" t="s">
        <v>222</v>
      </c>
      <c r="B122" s="222" t="s">
        <v>223</v>
      </c>
      <c r="C122" s="237" t="s">
        <v>264</v>
      </c>
      <c r="D122" s="978">
        <v>86841</v>
      </c>
      <c r="E122" s="978">
        <v>11370</v>
      </c>
      <c r="F122" s="244">
        <f t="shared" si="9"/>
        <v>0.13092893909558848</v>
      </c>
      <c r="G122" s="978">
        <v>21530</v>
      </c>
      <c r="H122" s="978">
        <v>3875</v>
      </c>
      <c r="I122" s="244">
        <f t="shared" si="10"/>
        <v>0.17998142127264283</v>
      </c>
      <c r="J122" s="978">
        <v>15910</v>
      </c>
      <c r="K122" s="978">
        <v>2586</v>
      </c>
      <c r="L122" s="244">
        <f t="shared" si="11"/>
        <v>0.16253928346951602</v>
      </c>
    </row>
    <row r="123" spans="1:12" x14ac:dyDescent="0.2">
      <c r="A123" s="222" t="s">
        <v>230</v>
      </c>
      <c r="B123" s="222" t="s">
        <v>231</v>
      </c>
      <c r="C123" s="237" t="s">
        <v>264</v>
      </c>
      <c r="D123" s="978">
        <v>442534</v>
      </c>
      <c r="E123" s="978">
        <v>36451</v>
      </c>
      <c r="F123" s="244">
        <f t="shared" si="9"/>
        <v>8.236881233984282E-2</v>
      </c>
      <c r="G123" s="978">
        <v>100731</v>
      </c>
      <c r="H123" s="978">
        <v>12541</v>
      </c>
      <c r="I123" s="244">
        <f t="shared" si="10"/>
        <v>0.12449990568941041</v>
      </c>
      <c r="J123" s="978">
        <v>71014</v>
      </c>
      <c r="K123" s="978">
        <v>8586</v>
      </c>
      <c r="L123" s="244">
        <f t="shared" si="11"/>
        <v>0.1209057368969499</v>
      </c>
    </row>
    <row r="124" spans="1:12" x14ac:dyDescent="0.2">
      <c r="A124" s="222" t="s">
        <v>238</v>
      </c>
      <c r="B124" s="222" t="s">
        <v>239</v>
      </c>
      <c r="C124" s="237" t="s">
        <v>264</v>
      </c>
      <c r="D124" s="978">
        <v>10593</v>
      </c>
      <c r="E124" s="978">
        <v>2331</v>
      </c>
      <c r="F124" s="244">
        <f t="shared" si="9"/>
        <v>0.22005097706032287</v>
      </c>
      <c r="G124" s="978">
        <v>1615</v>
      </c>
      <c r="H124" s="222">
        <v>406</v>
      </c>
      <c r="I124" s="244">
        <f t="shared" si="10"/>
        <v>0.25139318885448919</v>
      </c>
      <c r="J124" s="978">
        <v>1114</v>
      </c>
      <c r="K124" s="222">
        <v>273</v>
      </c>
      <c r="L124" s="244">
        <f t="shared" si="11"/>
        <v>0.24506283662477557</v>
      </c>
    </row>
    <row r="125" spans="1:12" x14ac:dyDescent="0.2">
      <c r="A125" s="222" t="s">
        <v>240</v>
      </c>
      <c r="B125" s="222" t="s">
        <v>241</v>
      </c>
      <c r="C125" s="237" t="s">
        <v>267</v>
      </c>
      <c r="D125" s="978">
        <v>26333</v>
      </c>
      <c r="E125" s="978">
        <v>4698</v>
      </c>
      <c r="F125" s="244">
        <f t="shared" si="9"/>
        <v>0.17840732161166598</v>
      </c>
      <c r="G125" s="978">
        <v>5832</v>
      </c>
      <c r="H125" s="978">
        <v>1495</v>
      </c>
      <c r="I125" s="244">
        <f t="shared" si="10"/>
        <v>0.25634430727023322</v>
      </c>
      <c r="J125" s="978">
        <v>4142</v>
      </c>
      <c r="K125" s="222">
        <v>992</v>
      </c>
      <c r="L125" s="244">
        <f t="shared" si="11"/>
        <v>0.23949782713664897</v>
      </c>
    </row>
    <row r="127" spans="1:12" x14ac:dyDescent="0.2">
      <c r="A127" s="222" t="s">
        <v>266</v>
      </c>
      <c r="D127" s="243">
        <v>1334991</v>
      </c>
      <c r="E127" s="243">
        <v>164485</v>
      </c>
      <c r="F127" s="244">
        <f t="shared" ref="F127:F131" si="12">E127/D127</f>
        <v>0.12321056846076116</v>
      </c>
      <c r="G127" s="1341">
        <v>293954</v>
      </c>
      <c r="H127" s="243">
        <v>50410</v>
      </c>
      <c r="I127" s="244">
        <f t="shared" ref="I127:I131" si="13">H127/G127</f>
        <v>0.17148941671145826</v>
      </c>
      <c r="J127" s="1341">
        <v>214894</v>
      </c>
      <c r="K127" s="243">
        <v>34933</v>
      </c>
      <c r="L127" s="244">
        <f t="shared" ref="L127:L131" si="14">K127/J127</f>
        <v>0.16255921524100253</v>
      </c>
    </row>
    <row r="128" spans="1:12" x14ac:dyDescent="0.2">
      <c r="A128" s="222" t="s">
        <v>264</v>
      </c>
      <c r="D128" s="243">
        <v>1788378</v>
      </c>
      <c r="E128" s="243">
        <v>231733</v>
      </c>
      <c r="F128" s="244">
        <f t="shared" si="12"/>
        <v>0.12957719229379919</v>
      </c>
      <c r="G128" s="1341">
        <v>408862</v>
      </c>
      <c r="H128" s="243">
        <v>77418</v>
      </c>
      <c r="I128" s="244">
        <f t="shared" si="13"/>
        <v>0.18934995181748365</v>
      </c>
      <c r="J128" s="1341">
        <v>291469</v>
      </c>
      <c r="K128" s="243">
        <v>51946</v>
      </c>
      <c r="L128" s="244">
        <f t="shared" si="14"/>
        <v>0.17822135458659411</v>
      </c>
    </row>
    <row r="129" spans="1:12" x14ac:dyDescent="0.2">
      <c r="A129" s="222" t="s">
        <v>267</v>
      </c>
      <c r="D129" s="243">
        <v>3315295</v>
      </c>
      <c r="E129" s="243">
        <v>242082</v>
      </c>
      <c r="F129" s="244">
        <f t="shared" si="12"/>
        <v>7.3019746357413137E-2</v>
      </c>
      <c r="G129" s="1341">
        <v>799326</v>
      </c>
      <c r="H129" s="243">
        <v>72705</v>
      </c>
      <c r="I129" s="244">
        <f t="shared" si="13"/>
        <v>9.0957882015598138E-2</v>
      </c>
      <c r="J129" s="1341">
        <v>574691</v>
      </c>
      <c r="K129" s="243">
        <v>48187</v>
      </c>
      <c r="L129" s="244">
        <f t="shared" si="14"/>
        <v>8.3848537735931136E-2</v>
      </c>
    </row>
    <row r="130" spans="1:12" x14ac:dyDescent="0.2">
      <c r="A130" s="222" t="s">
        <v>265</v>
      </c>
      <c r="D130" s="243">
        <v>1131103</v>
      </c>
      <c r="E130" s="243">
        <v>167710</v>
      </c>
      <c r="F130" s="244">
        <f t="shared" si="12"/>
        <v>0.148271200765978</v>
      </c>
      <c r="G130" s="1341">
        <v>231686</v>
      </c>
      <c r="H130" s="243">
        <v>48535</v>
      </c>
      <c r="I130" s="244">
        <f t="shared" si="13"/>
        <v>0.20948611482782731</v>
      </c>
      <c r="J130" s="1341">
        <v>169736</v>
      </c>
      <c r="K130" s="243">
        <v>33508</v>
      </c>
      <c r="L130" s="244">
        <f t="shared" si="14"/>
        <v>0.197412452278833</v>
      </c>
    </row>
    <row r="131" spans="1:12" x14ac:dyDescent="0.2">
      <c r="A131" s="222" t="s">
        <v>268</v>
      </c>
      <c r="D131" s="243">
        <v>561563</v>
      </c>
      <c r="E131" s="243">
        <v>108216</v>
      </c>
      <c r="F131" s="244">
        <f t="shared" si="12"/>
        <v>0.19270500371285146</v>
      </c>
      <c r="G131" s="1341">
        <v>107772</v>
      </c>
      <c r="H131" s="243">
        <v>26678</v>
      </c>
      <c r="I131" s="244">
        <f t="shared" si="13"/>
        <v>0.24754110529636641</v>
      </c>
      <c r="J131" s="1341">
        <v>79481</v>
      </c>
      <c r="K131" s="243">
        <v>18029</v>
      </c>
      <c r="L131" s="244">
        <f t="shared" si="14"/>
        <v>0.22683408613379299</v>
      </c>
    </row>
    <row r="134" spans="1:12" x14ac:dyDescent="0.2">
      <c r="B134" s="222" t="s">
        <v>1348</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J135"/>
  <sheetViews>
    <sheetView topLeftCell="I1" workbookViewId="0">
      <pane ySplit="4" topLeftCell="A102" activePane="bottomLeft" state="frozen"/>
      <selection pane="bottomLeft" activeCell="S1" sqref="S1"/>
    </sheetView>
  </sheetViews>
  <sheetFormatPr defaultRowHeight="15.75" x14ac:dyDescent="0.25"/>
  <cols>
    <col min="1" max="1" width="8.75" style="392" customWidth="1"/>
    <col min="2" max="2" width="34.625" style="392" customWidth="1"/>
    <col min="3" max="3" width="16.375" style="392" customWidth="1"/>
    <col min="4" max="4" width="5.875" style="392" customWidth="1"/>
    <col min="5" max="14" width="6" style="392" bestFit="1" customWidth="1"/>
    <col min="15" max="16" width="7.5" style="392" customWidth="1"/>
    <col min="17" max="17" width="7.125" style="392" customWidth="1"/>
    <col min="18" max="19" width="7.5" style="392" customWidth="1"/>
    <col min="20" max="20" width="3.625" style="392" customWidth="1"/>
    <col min="21" max="28" width="7.375" style="392" bestFit="1" customWidth="1"/>
    <col min="29" max="31" width="7.875" style="392" bestFit="1" customWidth="1"/>
    <col min="32" max="32" width="7.875" style="392" customWidth="1"/>
    <col min="33" max="33" width="9.375" style="392" customWidth="1"/>
    <col min="34" max="16384" width="9" style="392"/>
  </cols>
  <sheetData>
    <row r="1" spans="1:36" x14ac:dyDescent="0.25">
      <c r="A1" s="193" t="s">
        <v>1349</v>
      </c>
    </row>
    <row r="2" spans="1:36" x14ac:dyDescent="0.25">
      <c r="D2" s="2245"/>
      <c r="E2" s="2245"/>
      <c r="F2" s="2245"/>
      <c r="G2" s="2245"/>
      <c r="H2" s="2245"/>
      <c r="I2" s="2245"/>
      <c r="J2" s="2245"/>
      <c r="K2" s="2245"/>
      <c r="L2" s="2245"/>
      <c r="M2" s="2245"/>
      <c r="N2" s="2245"/>
      <c r="O2" s="315"/>
      <c r="P2" s="315"/>
      <c r="Q2" s="315"/>
      <c r="R2" s="315"/>
      <c r="S2" s="315"/>
      <c r="U2" s="2245"/>
      <c r="V2" s="2245"/>
      <c r="W2" s="2245"/>
      <c r="X2" s="2245"/>
      <c r="Y2" s="2245"/>
      <c r="Z2" s="2245"/>
      <c r="AA2" s="2245"/>
      <c r="AB2" s="2245"/>
      <c r="AC2" s="2245"/>
      <c r="AD2" s="2245"/>
      <c r="AE2" s="2245"/>
      <c r="AF2" s="315"/>
    </row>
    <row r="3" spans="1:36" ht="33" customHeight="1" x14ac:dyDescent="0.25">
      <c r="A3" s="509" t="s">
        <v>4</v>
      </c>
      <c r="B3" s="510" t="s">
        <v>5</v>
      </c>
      <c r="C3" s="1718" t="s">
        <v>251</v>
      </c>
      <c r="D3" s="467">
        <v>2000</v>
      </c>
      <c r="E3" s="467">
        <v>2001</v>
      </c>
      <c r="F3" s="467">
        <v>2002</v>
      </c>
      <c r="G3" s="467">
        <v>2003</v>
      </c>
      <c r="H3" s="467">
        <v>2004</v>
      </c>
      <c r="I3" s="467">
        <v>2005</v>
      </c>
      <c r="J3" s="467">
        <v>2006</v>
      </c>
      <c r="K3" s="467">
        <v>2007</v>
      </c>
      <c r="L3" s="468">
        <v>2008</v>
      </c>
      <c r="M3" s="468">
        <v>2009</v>
      </c>
      <c r="N3" s="469">
        <v>2010</v>
      </c>
      <c r="O3" s="971">
        <v>2011</v>
      </c>
      <c r="P3" s="972">
        <v>2012</v>
      </c>
      <c r="Q3" s="1342">
        <v>2013</v>
      </c>
      <c r="R3" s="469">
        <v>2014</v>
      </c>
      <c r="S3" s="1990">
        <v>2015</v>
      </c>
      <c r="T3" s="463"/>
      <c r="U3" s="467">
        <v>2000</v>
      </c>
      <c r="V3" s="467">
        <v>2001</v>
      </c>
      <c r="W3" s="467">
        <v>2002</v>
      </c>
      <c r="X3" s="467">
        <v>2003</v>
      </c>
      <c r="Y3" s="467">
        <v>2004</v>
      </c>
      <c r="Z3" s="467">
        <v>2005</v>
      </c>
      <c r="AA3" s="467">
        <v>2006</v>
      </c>
      <c r="AB3" s="467">
        <v>2007</v>
      </c>
      <c r="AC3" s="470">
        <v>2008</v>
      </c>
      <c r="AD3" s="470">
        <v>2009</v>
      </c>
      <c r="AE3" s="471">
        <v>2010</v>
      </c>
      <c r="AF3" s="979">
        <v>2011</v>
      </c>
      <c r="AG3" s="1344">
        <v>2012</v>
      </c>
      <c r="AH3" s="1349">
        <v>2013</v>
      </c>
      <c r="AI3" s="1993">
        <v>2014</v>
      </c>
      <c r="AJ3" s="1997">
        <v>2015</v>
      </c>
    </row>
    <row r="4" spans="1:36" x14ac:dyDescent="0.25">
      <c r="A4" s="397" t="s">
        <v>8</v>
      </c>
      <c r="B4" s="398" t="s">
        <v>9</v>
      </c>
      <c r="C4" s="1719"/>
      <c r="D4" s="464">
        <v>8.8499999999999995E-2</v>
      </c>
      <c r="E4" s="464">
        <v>8.77E-2</v>
      </c>
      <c r="F4" s="464">
        <v>9.5899999999999999E-2</v>
      </c>
      <c r="G4" s="464">
        <v>9.9399999999999988E-2</v>
      </c>
      <c r="H4" s="464">
        <v>9.5199999999999993E-2</v>
      </c>
      <c r="I4" s="464">
        <v>9.9600000000000008E-2</v>
      </c>
      <c r="J4" s="464">
        <v>9.6199999999999994E-2</v>
      </c>
      <c r="K4" s="464">
        <v>9.9000000000000005E-2</v>
      </c>
      <c r="L4" s="472">
        <v>0.10210000000000001</v>
      </c>
      <c r="M4" s="472">
        <v>0.1057</v>
      </c>
      <c r="N4" s="473">
        <v>0.11118840014389482</v>
      </c>
      <c r="O4" s="973">
        <v>0.11600000000000001</v>
      </c>
      <c r="P4" s="976">
        <v>0.11799999999999999</v>
      </c>
      <c r="Q4" s="976">
        <v>0.11747751027208382</v>
      </c>
      <c r="R4" s="1987">
        <v>0.1182560438559494</v>
      </c>
      <c r="S4" s="1991">
        <v>0.11243251566072024</v>
      </c>
      <c r="T4" s="465"/>
      <c r="U4" s="466">
        <v>620936</v>
      </c>
      <c r="V4" s="466">
        <v>620238</v>
      </c>
      <c r="W4" s="466">
        <v>692133</v>
      </c>
      <c r="X4" s="466">
        <v>724326</v>
      </c>
      <c r="Y4" s="466">
        <v>705038</v>
      </c>
      <c r="Z4" s="466">
        <v>728860</v>
      </c>
      <c r="AA4" s="466">
        <v>713179</v>
      </c>
      <c r="AB4" s="466">
        <v>739139</v>
      </c>
      <c r="AC4" s="474">
        <v>766854</v>
      </c>
      <c r="AD4" s="474">
        <v>805553</v>
      </c>
      <c r="AE4" s="475">
        <f>SUM(AE5:AE124)</f>
        <v>865746</v>
      </c>
      <c r="AF4" s="980">
        <v>912779</v>
      </c>
      <c r="AG4" s="1345">
        <v>936384</v>
      </c>
      <c r="AH4" s="1352">
        <v>941059</v>
      </c>
      <c r="AI4" s="1994">
        <v>955541</v>
      </c>
      <c r="AJ4" s="1998">
        <v>914226</v>
      </c>
    </row>
    <row r="5" spans="1:36" ht="16.5" customHeight="1" x14ac:dyDescent="0.25">
      <c r="A5" s="402" t="s">
        <v>10</v>
      </c>
      <c r="B5" s="403" t="s">
        <v>450</v>
      </c>
      <c r="C5" s="1720" t="s">
        <v>264</v>
      </c>
      <c r="D5" s="476">
        <v>0.17100000000000001</v>
      </c>
      <c r="E5" s="476">
        <v>0.16300000000000001</v>
      </c>
      <c r="F5" s="476">
        <v>0.17699999999999999</v>
      </c>
      <c r="G5" s="476">
        <v>0.156</v>
      </c>
      <c r="H5" s="476">
        <v>0.14899999999999999</v>
      </c>
      <c r="I5" s="476">
        <v>0.183</v>
      </c>
      <c r="J5" s="476">
        <v>0.154</v>
      </c>
      <c r="K5" s="476">
        <v>0.16800000000000001</v>
      </c>
      <c r="L5" s="476">
        <v>0.20600000000000002</v>
      </c>
      <c r="M5" s="476">
        <v>0.183</v>
      </c>
      <c r="N5" s="477">
        <v>0.20499999999999999</v>
      </c>
      <c r="O5" s="974">
        <v>0.193</v>
      </c>
      <c r="P5" s="974">
        <v>0.19900000000000001</v>
      </c>
      <c r="Q5" s="974">
        <v>0.19252741881281887</v>
      </c>
      <c r="R5" s="1988">
        <v>0.19371551195585529</v>
      </c>
      <c r="S5" s="1714">
        <v>0.20385040530582166</v>
      </c>
      <c r="T5" s="478"/>
      <c r="U5" s="479">
        <v>6549</v>
      </c>
      <c r="V5" s="479">
        <v>6239</v>
      </c>
      <c r="W5" s="479">
        <v>6871</v>
      </c>
      <c r="X5" s="479">
        <v>6072</v>
      </c>
      <c r="Y5" s="479">
        <v>5820</v>
      </c>
      <c r="Z5" s="479">
        <v>7044</v>
      </c>
      <c r="AA5" s="479">
        <v>5956</v>
      </c>
      <c r="AB5" s="479">
        <v>6349</v>
      </c>
      <c r="AC5" s="479">
        <v>7733</v>
      </c>
      <c r="AD5" s="479">
        <v>6906</v>
      </c>
      <c r="AE5" s="480">
        <v>6722</v>
      </c>
      <c r="AF5" s="981">
        <v>6359</v>
      </c>
      <c r="AG5" s="1346">
        <v>6541</v>
      </c>
      <c r="AH5" s="1350">
        <v>6302</v>
      </c>
      <c r="AI5" s="1995">
        <v>6319</v>
      </c>
      <c r="AJ5" s="1713">
        <v>6639</v>
      </c>
    </row>
    <row r="6" spans="1:36" ht="16.5" customHeight="1" x14ac:dyDescent="0.25">
      <c r="A6" s="402" t="s">
        <v>12</v>
      </c>
      <c r="B6" s="403" t="s">
        <v>451</v>
      </c>
      <c r="C6" s="1720" t="s">
        <v>265</v>
      </c>
      <c r="D6" s="476">
        <v>6.0999999999999999E-2</v>
      </c>
      <c r="E6" s="476">
        <v>6.5000000000000002E-2</v>
      </c>
      <c r="F6" s="476">
        <v>7.2000000000000008E-2</v>
      </c>
      <c r="G6" s="476">
        <v>7.5999999999999998E-2</v>
      </c>
      <c r="H6" s="476">
        <v>7.2999999999999995E-2</v>
      </c>
      <c r="I6" s="476">
        <v>7.0000000000000007E-2</v>
      </c>
      <c r="J6" s="476">
        <v>7.0999999999999994E-2</v>
      </c>
      <c r="K6" s="476">
        <v>8.5000000000000006E-2</v>
      </c>
      <c r="L6" s="476">
        <v>6.8000000000000005E-2</v>
      </c>
      <c r="M6" s="476">
        <v>8.8000000000000009E-2</v>
      </c>
      <c r="N6" s="477">
        <v>9.0999999999999998E-2</v>
      </c>
      <c r="O6" s="974">
        <v>9.6999999999999989E-2</v>
      </c>
      <c r="P6" s="974">
        <v>9.4E-2</v>
      </c>
      <c r="Q6" s="974">
        <v>9.5165866996852908E-2</v>
      </c>
      <c r="R6" s="1988">
        <v>9.127121227517529E-2</v>
      </c>
      <c r="S6" s="1714">
        <v>9.5152855993563962E-2</v>
      </c>
      <c r="T6" s="478"/>
      <c r="U6" s="479">
        <v>4843</v>
      </c>
      <c r="V6" s="479">
        <v>5277</v>
      </c>
      <c r="W6" s="479">
        <v>5901</v>
      </c>
      <c r="X6" s="479">
        <v>6312</v>
      </c>
      <c r="Y6" s="479">
        <v>6205</v>
      </c>
      <c r="Z6" s="479">
        <v>5872</v>
      </c>
      <c r="AA6" s="479">
        <v>6107</v>
      </c>
      <c r="AB6" s="479">
        <v>7396</v>
      </c>
      <c r="AC6" s="479">
        <v>6008</v>
      </c>
      <c r="AD6" s="479">
        <v>7774</v>
      </c>
      <c r="AE6" s="480">
        <v>8419</v>
      </c>
      <c r="AF6" s="981">
        <v>9139</v>
      </c>
      <c r="AG6" s="1346">
        <v>9026</v>
      </c>
      <c r="AH6" s="1350">
        <v>9223</v>
      </c>
      <c r="AI6" s="1995">
        <v>8982</v>
      </c>
      <c r="AJ6" s="1713">
        <v>9462</v>
      </c>
    </row>
    <row r="7" spans="1:36" ht="16.5" customHeight="1" x14ac:dyDescent="0.25">
      <c r="A7" s="402" t="s">
        <v>16</v>
      </c>
      <c r="B7" s="403" t="s">
        <v>749</v>
      </c>
      <c r="C7" s="1720" t="s">
        <v>265</v>
      </c>
      <c r="D7" s="476">
        <v>0.1075</v>
      </c>
      <c r="E7" s="476">
        <v>0.10050000000000001</v>
      </c>
      <c r="F7" s="476">
        <v>0.10589999999999999</v>
      </c>
      <c r="G7" s="476">
        <v>0.11539999999999999</v>
      </c>
      <c r="H7" s="476">
        <v>0.1137</v>
      </c>
      <c r="I7" s="476">
        <v>0.12089999999999999</v>
      </c>
      <c r="J7" s="476">
        <v>0.12770000000000001</v>
      </c>
      <c r="K7" s="476">
        <v>0.12619999999999998</v>
      </c>
      <c r="L7" s="476">
        <v>0.13320000000000001</v>
      </c>
      <c r="M7" s="476">
        <v>0.13639999999999999</v>
      </c>
      <c r="N7" s="477">
        <v>0.13851337359792926</v>
      </c>
      <c r="O7" s="974">
        <v>0.14251596013411105</v>
      </c>
      <c r="P7" s="974">
        <v>0.14000000000000001</v>
      </c>
      <c r="Q7" s="974">
        <v>0.1451127471408066</v>
      </c>
      <c r="R7" s="1988">
        <v>0.15934117647058824</v>
      </c>
      <c r="S7" s="1714">
        <v>0.18249916503649982</v>
      </c>
      <c r="T7" s="478"/>
      <c r="U7" s="479">
        <v>2473</v>
      </c>
      <c r="V7" s="479">
        <v>2308</v>
      </c>
      <c r="W7" s="479">
        <v>2422</v>
      </c>
      <c r="X7" s="479">
        <v>2618</v>
      </c>
      <c r="Y7" s="479">
        <v>2574</v>
      </c>
      <c r="Z7" s="479">
        <v>2695</v>
      </c>
      <c r="AA7" s="479">
        <v>2836</v>
      </c>
      <c r="AB7" s="479">
        <v>2783</v>
      </c>
      <c r="AC7" s="479">
        <v>2902</v>
      </c>
      <c r="AD7" s="479">
        <v>2985</v>
      </c>
      <c r="AE7" s="480">
        <v>3029</v>
      </c>
      <c r="AF7" s="981">
        <v>3103</v>
      </c>
      <c r="AG7" s="1346">
        <v>3032</v>
      </c>
      <c r="AH7" s="1350">
        <v>3134</v>
      </c>
      <c r="AI7" s="1995">
        <v>3386</v>
      </c>
      <c r="AJ7" s="1713">
        <v>3825</v>
      </c>
    </row>
    <row r="8" spans="1:36" ht="16.5" customHeight="1" x14ac:dyDescent="0.25">
      <c r="A8" s="402" t="s">
        <v>18</v>
      </c>
      <c r="B8" s="403" t="s">
        <v>452</v>
      </c>
      <c r="C8" s="1720" t="s">
        <v>266</v>
      </c>
      <c r="D8" s="476">
        <v>9.3000000000000013E-2</v>
      </c>
      <c r="E8" s="476">
        <v>8.8000000000000009E-2</v>
      </c>
      <c r="F8" s="476">
        <v>9.0999999999999998E-2</v>
      </c>
      <c r="G8" s="476">
        <v>9.6999999999999989E-2</v>
      </c>
      <c r="H8" s="476">
        <v>9.0999999999999998E-2</v>
      </c>
      <c r="I8" s="476">
        <v>9.9000000000000005E-2</v>
      </c>
      <c r="J8" s="476">
        <v>9.1999999999999998E-2</v>
      </c>
      <c r="K8" s="476">
        <v>9.0999999999999998E-2</v>
      </c>
      <c r="L8" s="476">
        <v>9.6000000000000002E-2</v>
      </c>
      <c r="M8" s="476">
        <v>0.113</v>
      </c>
      <c r="N8" s="477">
        <v>0.114</v>
      </c>
      <c r="O8" s="974">
        <v>0.11900000000000001</v>
      </c>
      <c r="P8" s="974">
        <v>0.125</v>
      </c>
      <c r="Q8" s="974">
        <v>0.12147901293342855</v>
      </c>
      <c r="R8" s="1988">
        <v>0.12864669340253204</v>
      </c>
      <c r="S8" s="1714">
        <v>0.11071932299012693</v>
      </c>
      <c r="T8" s="478"/>
      <c r="U8" s="479">
        <v>1072</v>
      </c>
      <c r="V8" s="479">
        <v>1027</v>
      </c>
      <c r="W8" s="479">
        <v>1068</v>
      </c>
      <c r="X8" s="479">
        <v>1151</v>
      </c>
      <c r="Y8" s="479">
        <v>1110</v>
      </c>
      <c r="Z8" s="479">
        <v>1198</v>
      </c>
      <c r="AA8" s="479">
        <v>1140</v>
      </c>
      <c r="AB8" s="479">
        <v>1145</v>
      </c>
      <c r="AC8" s="479">
        <v>1215</v>
      </c>
      <c r="AD8" s="479">
        <v>1433</v>
      </c>
      <c r="AE8" s="480">
        <v>1432</v>
      </c>
      <c r="AF8" s="981">
        <v>1503</v>
      </c>
      <c r="AG8" s="1346">
        <v>1578</v>
      </c>
      <c r="AH8" s="1350">
        <v>1531</v>
      </c>
      <c r="AI8" s="1995">
        <v>1636</v>
      </c>
      <c r="AJ8" s="1713">
        <v>1413</v>
      </c>
    </row>
    <row r="9" spans="1:36" ht="16.5" customHeight="1" x14ac:dyDescent="0.25">
      <c r="A9" s="402" t="s">
        <v>20</v>
      </c>
      <c r="B9" s="403" t="s">
        <v>453</v>
      </c>
      <c r="C9" s="1720" t="s">
        <v>265</v>
      </c>
      <c r="D9" s="476">
        <v>0.105</v>
      </c>
      <c r="E9" s="476">
        <v>0.10400000000000001</v>
      </c>
      <c r="F9" s="476">
        <v>0.11599999999999999</v>
      </c>
      <c r="G9" s="476">
        <v>0.111</v>
      </c>
      <c r="H9" s="476">
        <v>0.11199999999999999</v>
      </c>
      <c r="I9" s="476">
        <v>0.12</v>
      </c>
      <c r="J9" s="476">
        <v>0.11800000000000001</v>
      </c>
      <c r="K9" s="476">
        <v>0.122</v>
      </c>
      <c r="L9" s="476">
        <v>0.125</v>
      </c>
      <c r="M9" s="476">
        <v>0.13900000000000001</v>
      </c>
      <c r="N9" s="477">
        <v>0.13600000000000001</v>
      </c>
      <c r="O9" s="974">
        <v>0.13400000000000001</v>
      </c>
      <c r="P9" s="974">
        <v>0.14499999999999999</v>
      </c>
      <c r="Q9" s="974">
        <v>0.14199021207177814</v>
      </c>
      <c r="R9" s="1988">
        <v>0.1367115938236064</v>
      </c>
      <c r="S9" s="1714">
        <v>0.14976256754543965</v>
      </c>
      <c r="T9" s="478"/>
      <c r="U9" s="479">
        <v>3204</v>
      </c>
      <c r="V9" s="479">
        <v>3146</v>
      </c>
      <c r="W9" s="479">
        <v>3542</v>
      </c>
      <c r="X9" s="479">
        <v>3391</v>
      </c>
      <c r="Y9" s="479">
        <v>3447</v>
      </c>
      <c r="Z9" s="479">
        <v>3615</v>
      </c>
      <c r="AA9" s="479">
        <v>3631</v>
      </c>
      <c r="AB9" s="479">
        <v>3726</v>
      </c>
      <c r="AC9" s="479">
        <v>3868</v>
      </c>
      <c r="AD9" s="479">
        <v>4269</v>
      </c>
      <c r="AE9" s="480">
        <v>4221</v>
      </c>
      <c r="AF9" s="981">
        <v>4136</v>
      </c>
      <c r="AG9" s="1346">
        <v>4449</v>
      </c>
      <c r="AH9" s="1350">
        <v>4352</v>
      </c>
      <c r="AI9" s="1995">
        <v>4179</v>
      </c>
      <c r="AJ9" s="1713">
        <v>4573</v>
      </c>
    </row>
    <row r="10" spans="1:36" ht="16.5" customHeight="1" x14ac:dyDescent="0.25">
      <c r="A10" s="402" t="s">
        <v>22</v>
      </c>
      <c r="B10" s="403" t="s">
        <v>454</v>
      </c>
      <c r="C10" s="1720" t="s">
        <v>265</v>
      </c>
      <c r="D10" s="476">
        <v>0.111</v>
      </c>
      <c r="E10" s="476">
        <v>0.111</v>
      </c>
      <c r="F10" s="476">
        <v>0.122</v>
      </c>
      <c r="G10" s="476">
        <v>0.124</v>
      </c>
      <c r="H10" s="476">
        <v>0.11800000000000001</v>
      </c>
      <c r="I10" s="476">
        <v>0.121</v>
      </c>
      <c r="J10" s="476">
        <v>0.13300000000000001</v>
      </c>
      <c r="K10" s="476">
        <v>0.126</v>
      </c>
      <c r="L10" s="476">
        <v>0.13</v>
      </c>
      <c r="M10" s="476">
        <v>0.14300000000000002</v>
      </c>
      <c r="N10" s="477">
        <v>0.14100000000000001</v>
      </c>
      <c r="O10" s="974">
        <v>0.14800000000000002</v>
      </c>
      <c r="P10" s="974">
        <v>0.16500000000000001</v>
      </c>
      <c r="Q10" s="974">
        <v>0.16161416022719768</v>
      </c>
      <c r="R10" s="1988">
        <v>0.15095583388266315</v>
      </c>
      <c r="S10" s="1714">
        <v>0.142082216848572</v>
      </c>
      <c r="T10" s="478"/>
      <c r="U10" s="479">
        <v>1526</v>
      </c>
      <c r="V10" s="479">
        <v>1522</v>
      </c>
      <c r="W10" s="479">
        <v>1668</v>
      </c>
      <c r="X10" s="479">
        <v>1716</v>
      </c>
      <c r="Y10" s="479">
        <v>1649</v>
      </c>
      <c r="Z10" s="479">
        <v>1660</v>
      </c>
      <c r="AA10" s="479">
        <v>1859</v>
      </c>
      <c r="AB10" s="479">
        <v>1772</v>
      </c>
      <c r="AC10" s="479">
        <v>1863</v>
      </c>
      <c r="AD10" s="479">
        <v>2055</v>
      </c>
      <c r="AE10" s="480">
        <v>2099</v>
      </c>
      <c r="AF10" s="981">
        <v>2209</v>
      </c>
      <c r="AG10" s="1346">
        <v>2483</v>
      </c>
      <c r="AH10" s="1350">
        <v>2447</v>
      </c>
      <c r="AI10" s="1995">
        <v>2290</v>
      </c>
      <c r="AJ10" s="1713">
        <v>2174</v>
      </c>
    </row>
    <row r="11" spans="1:36" ht="16.5" customHeight="1" x14ac:dyDescent="0.25">
      <c r="A11" s="402" t="s">
        <v>24</v>
      </c>
      <c r="B11" s="403" t="s">
        <v>455</v>
      </c>
      <c r="C11" s="1720" t="s">
        <v>267</v>
      </c>
      <c r="D11" s="476">
        <v>5.7999999999999996E-2</v>
      </c>
      <c r="E11" s="476">
        <v>5.7999999999999996E-2</v>
      </c>
      <c r="F11" s="476">
        <v>6.3E-2</v>
      </c>
      <c r="G11" s="476">
        <v>7.400000000000001E-2</v>
      </c>
      <c r="H11" s="476">
        <v>7.0999999999999994E-2</v>
      </c>
      <c r="I11" s="476">
        <v>7.6999999999999999E-2</v>
      </c>
      <c r="J11" s="476">
        <v>7.0000000000000007E-2</v>
      </c>
      <c r="K11" s="476">
        <v>6.5000000000000002E-2</v>
      </c>
      <c r="L11" s="476">
        <v>6.7000000000000004E-2</v>
      </c>
      <c r="M11" s="476">
        <v>6.6000000000000003E-2</v>
      </c>
      <c r="N11" s="477">
        <v>7.2000000000000008E-2</v>
      </c>
      <c r="O11" s="974">
        <v>7.400000000000001E-2</v>
      </c>
      <c r="P11" s="974">
        <v>0.08</v>
      </c>
      <c r="Q11" s="974">
        <v>8.4502920026836334E-2</v>
      </c>
      <c r="R11" s="1988">
        <v>8.5298435206296652E-2</v>
      </c>
      <c r="S11" s="1714">
        <v>7.0820503531968851E-2</v>
      </c>
      <c r="T11" s="478"/>
      <c r="U11" s="479">
        <v>10907</v>
      </c>
      <c r="V11" s="479">
        <v>10867</v>
      </c>
      <c r="W11" s="479">
        <v>11773</v>
      </c>
      <c r="X11" s="479">
        <v>13587</v>
      </c>
      <c r="Y11" s="479">
        <v>13740</v>
      </c>
      <c r="Z11" s="479">
        <v>14781</v>
      </c>
      <c r="AA11" s="479">
        <v>13726</v>
      </c>
      <c r="AB11" s="479">
        <v>13005</v>
      </c>
      <c r="AC11" s="479">
        <v>13735</v>
      </c>
      <c r="AD11" s="479">
        <v>13988</v>
      </c>
      <c r="AE11" s="480">
        <v>14903</v>
      </c>
      <c r="AF11" s="981">
        <v>15894</v>
      </c>
      <c r="AG11" s="1346">
        <v>17555</v>
      </c>
      <c r="AH11" s="1350">
        <v>18767</v>
      </c>
      <c r="AI11" s="1995">
        <v>19117</v>
      </c>
      <c r="AJ11" s="1713">
        <v>16031</v>
      </c>
    </row>
    <row r="12" spans="1:36" ht="16.5" customHeight="1" x14ac:dyDescent="0.25">
      <c r="A12" s="402" t="s">
        <v>26</v>
      </c>
      <c r="B12" s="481" t="s">
        <v>750</v>
      </c>
      <c r="C12" s="481" t="s">
        <v>265</v>
      </c>
      <c r="D12" s="476">
        <v>9.0800000000000006E-2</v>
      </c>
      <c r="E12" s="476">
        <v>9.1799999999999993E-2</v>
      </c>
      <c r="F12" s="476">
        <v>9.9299999999999999E-2</v>
      </c>
      <c r="G12" s="476">
        <v>9.7299999999999998E-2</v>
      </c>
      <c r="H12" s="476">
        <v>9.2200000000000004E-2</v>
      </c>
      <c r="I12" s="476">
        <v>9.7699999999999995E-2</v>
      </c>
      <c r="J12" s="476">
        <v>0.1012</v>
      </c>
      <c r="K12" s="476">
        <v>0.1026</v>
      </c>
      <c r="L12" s="476">
        <v>0.1016</v>
      </c>
      <c r="M12" s="476">
        <v>0.10949999999999999</v>
      </c>
      <c r="N12" s="477">
        <v>0.12085412542078605</v>
      </c>
      <c r="O12" s="974">
        <v>0.12665573799233823</v>
      </c>
      <c r="P12" s="974">
        <v>0.122</v>
      </c>
      <c r="Q12" s="974">
        <v>0.11686507419660146</v>
      </c>
      <c r="R12" s="1988">
        <v>0.12002390086337539</v>
      </c>
      <c r="S12" s="1714">
        <v>0.11723965646454813</v>
      </c>
      <c r="T12" s="478"/>
      <c r="U12" s="479">
        <v>9607</v>
      </c>
      <c r="V12" s="479">
        <v>9789</v>
      </c>
      <c r="W12" s="479">
        <v>10717</v>
      </c>
      <c r="X12" s="479">
        <v>10642</v>
      </c>
      <c r="Y12" s="479">
        <v>10291</v>
      </c>
      <c r="Z12" s="479">
        <v>10737</v>
      </c>
      <c r="AA12" s="479">
        <v>11283</v>
      </c>
      <c r="AB12" s="479">
        <v>11545</v>
      </c>
      <c r="AC12" s="479">
        <v>11523</v>
      </c>
      <c r="AD12" s="479">
        <v>12447</v>
      </c>
      <c r="AE12" s="480">
        <v>13822</v>
      </c>
      <c r="AF12" s="981">
        <v>14448</v>
      </c>
      <c r="AG12" s="1346">
        <v>14004</v>
      </c>
      <c r="AH12" s="1350">
        <v>13459</v>
      </c>
      <c r="AI12" s="1995">
        <v>13860</v>
      </c>
      <c r="AJ12" s="1713">
        <v>13610</v>
      </c>
    </row>
    <row r="13" spans="1:36" ht="16.5" customHeight="1" x14ac:dyDescent="0.25">
      <c r="A13" s="402" t="s">
        <v>27</v>
      </c>
      <c r="B13" s="403" t="s">
        <v>456</v>
      </c>
      <c r="C13" s="1720" t="s">
        <v>265</v>
      </c>
      <c r="D13" s="476">
        <v>7.4999999999999997E-2</v>
      </c>
      <c r="E13" s="476">
        <v>7.5999999999999998E-2</v>
      </c>
      <c r="F13" s="476">
        <v>7.6999999999999999E-2</v>
      </c>
      <c r="G13" s="476">
        <v>7.9000000000000001E-2</v>
      </c>
      <c r="H13" s="476">
        <v>7.2999999999999995E-2</v>
      </c>
      <c r="I13" s="476">
        <v>7.6999999999999999E-2</v>
      </c>
      <c r="J13" s="476">
        <v>8.4000000000000005E-2</v>
      </c>
      <c r="K13" s="476">
        <v>8.5000000000000006E-2</v>
      </c>
      <c r="L13" s="476">
        <v>9.6000000000000002E-2</v>
      </c>
      <c r="M13" s="476">
        <v>0.11800000000000001</v>
      </c>
      <c r="N13" s="477">
        <v>0.11199999999999999</v>
      </c>
      <c r="O13" s="974">
        <v>0.10800000000000001</v>
      </c>
      <c r="P13" s="974">
        <v>0.115</v>
      </c>
      <c r="Q13" s="974">
        <v>0.11733684904416612</v>
      </c>
      <c r="R13" s="1988">
        <v>0.11533333333333333</v>
      </c>
      <c r="S13" s="1714">
        <v>0.10324483775811209</v>
      </c>
      <c r="T13" s="478"/>
      <c r="U13" s="482">
        <v>374</v>
      </c>
      <c r="V13" s="482">
        <v>381</v>
      </c>
      <c r="W13" s="482">
        <v>385</v>
      </c>
      <c r="X13" s="482">
        <v>392</v>
      </c>
      <c r="Y13" s="482">
        <v>361</v>
      </c>
      <c r="Z13" s="482">
        <v>362</v>
      </c>
      <c r="AA13" s="482">
        <v>397</v>
      </c>
      <c r="AB13" s="482">
        <v>390</v>
      </c>
      <c r="AC13" s="479">
        <v>430</v>
      </c>
      <c r="AD13" s="479">
        <v>522</v>
      </c>
      <c r="AE13" s="480">
        <v>520</v>
      </c>
      <c r="AF13" s="981">
        <v>498</v>
      </c>
      <c r="AG13" s="1346">
        <v>526</v>
      </c>
      <c r="AH13" s="1350">
        <v>534</v>
      </c>
      <c r="AI13" s="1995">
        <v>519</v>
      </c>
      <c r="AJ13" s="1713">
        <v>455</v>
      </c>
    </row>
    <row r="14" spans="1:36" ht="16.5" customHeight="1" x14ac:dyDescent="0.25">
      <c r="A14" s="402" t="s">
        <v>29</v>
      </c>
      <c r="B14" s="403" t="s">
        <v>924</v>
      </c>
      <c r="C14" s="1720" t="s">
        <v>265</v>
      </c>
      <c r="D14" s="476">
        <v>7.4299999999999991E-2</v>
      </c>
      <c r="E14" s="476">
        <v>7.4499999999999997E-2</v>
      </c>
      <c r="F14" s="476">
        <v>0.08</v>
      </c>
      <c r="G14" s="476">
        <v>8.6699999999999999E-2</v>
      </c>
      <c r="H14" s="476">
        <v>8.3000000000000004E-2</v>
      </c>
      <c r="I14" s="476">
        <v>8.7899999999999992E-2</v>
      </c>
      <c r="J14" s="476">
        <v>8.6699999999999999E-2</v>
      </c>
      <c r="K14" s="476">
        <v>9.5600000000000004E-2</v>
      </c>
      <c r="L14" s="476">
        <v>8.5299999999999987E-2</v>
      </c>
      <c r="M14" s="476">
        <v>8.5999999999999993E-2</v>
      </c>
      <c r="N14" s="477">
        <v>0.10419212990455738</v>
      </c>
      <c r="O14" s="974">
        <v>0.10033904639863314</v>
      </c>
      <c r="P14" s="974">
        <v>0.106</v>
      </c>
      <c r="Q14" s="974">
        <v>9.7572970386517091E-2</v>
      </c>
      <c r="R14" s="1988">
        <v>9.4187849951368266E-2</v>
      </c>
      <c r="S14" s="1714">
        <v>9.0945595854922276E-2</v>
      </c>
      <c r="T14" s="478"/>
      <c r="U14" s="479">
        <v>4969</v>
      </c>
      <c r="V14" s="479">
        <v>5012</v>
      </c>
      <c r="W14" s="479">
        <v>5501</v>
      </c>
      <c r="X14" s="479">
        <v>6078</v>
      </c>
      <c r="Y14" s="479">
        <v>5949</v>
      </c>
      <c r="Z14" s="479">
        <v>6174</v>
      </c>
      <c r="AA14" s="479">
        <v>6218</v>
      </c>
      <c r="AB14" s="479">
        <v>6907</v>
      </c>
      <c r="AC14" s="479">
        <v>6202</v>
      </c>
      <c r="AD14" s="479">
        <v>6252</v>
      </c>
      <c r="AE14" s="480">
        <v>7717</v>
      </c>
      <c r="AF14" s="981">
        <v>7517</v>
      </c>
      <c r="AG14" s="1346">
        <v>7938</v>
      </c>
      <c r="AH14" s="1350">
        <v>7341</v>
      </c>
      <c r="AI14" s="1995">
        <v>7166</v>
      </c>
      <c r="AJ14" s="1713">
        <v>7021</v>
      </c>
    </row>
    <row r="15" spans="1:36" ht="16.5" customHeight="1" x14ac:dyDescent="0.25">
      <c r="A15" s="402" t="s">
        <v>30</v>
      </c>
      <c r="B15" s="403" t="s">
        <v>457</v>
      </c>
      <c r="C15" s="1720" t="s">
        <v>268</v>
      </c>
      <c r="D15" s="476">
        <v>0.113</v>
      </c>
      <c r="E15" s="476">
        <v>0.12</v>
      </c>
      <c r="F15" s="476">
        <v>0.125</v>
      </c>
      <c r="G15" s="476">
        <v>0.12300000000000001</v>
      </c>
      <c r="H15" s="476">
        <v>0.11900000000000001</v>
      </c>
      <c r="I15" s="476">
        <v>0.13500000000000001</v>
      </c>
      <c r="J15" s="476">
        <v>0.13</v>
      </c>
      <c r="K15" s="476">
        <v>0.13500000000000001</v>
      </c>
      <c r="L15" s="476">
        <v>0.14599999999999999</v>
      </c>
      <c r="M15" s="476">
        <v>0.15</v>
      </c>
      <c r="N15" s="477">
        <v>0.15</v>
      </c>
      <c r="O15" s="974">
        <v>0.14400000000000002</v>
      </c>
      <c r="P15" s="974">
        <v>0.154</v>
      </c>
      <c r="Q15" s="974">
        <v>0.150066401062417</v>
      </c>
      <c r="R15" s="1988">
        <v>0.14087837837837838</v>
      </c>
      <c r="S15" s="1714">
        <v>0.13565692807107466</v>
      </c>
      <c r="T15" s="478"/>
      <c r="U15" s="482">
        <v>711</v>
      </c>
      <c r="V15" s="482">
        <v>751</v>
      </c>
      <c r="W15" s="482">
        <v>794</v>
      </c>
      <c r="X15" s="482">
        <v>783</v>
      </c>
      <c r="Y15" s="482">
        <v>751</v>
      </c>
      <c r="Z15" s="482">
        <v>846</v>
      </c>
      <c r="AA15" s="482">
        <v>807</v>
      </c>
      <c r="AB15" s="482">
        <v>842</v>
      </c>
      <c r="AC15" s="479">
        <v>908</v>
      </c>
      <c r="AD15" s="479">
        <v>921</v>
      </c>
      <c r="AE15" s="480">
        <v>917</v>
      </c>
      <c r="AF15" s="981">
        <v>879</v>
      </c>
      <c r="AG15" s="1346">
        <v>928</v>
      </c>
      <c r="AH15" s="1350">
        <v>904</v>
      </c>
      <c r="AI15" s="1995">
        <v>834</v>
      </c>
      <c r="AJ15" s="1713">
        <v>794</v>
      </c>
    </row>
    <row r="16" spans="1:36" ht="16.5" customHeight="1" x14ac:dyDescent="0.25">
      <c r="A16" s="402" t="s">
        <v>32</v>
      </c>
      <c r="B16" s="403" t="s">
        <v>458</v>
      </c>
      <c r="C16" s="1720" t="s">
        <v>265</v>
      </c>
      <c r="D16" s="476">
        <v>5.2000000000000005E-2</v>
      </c>
      <c r="E16" s="476">
        <v>5.2999999999999999E-2</v>
      </c>
      <c r="F16" s="476">
        <v>5.7999999999999996E-2</v>
      </c>
      <c r="G16" s="476">
        <v>6.3E-2</v>
      </c>
      <c r="H16" s="476">
        <v>0.06</v>
      </c>
      <c r="I16" s="476">
        <v>6.0999999999999999E-2</v>
      </c>
      <c r="J16" s="476">
        <v>0.06</v>
      </c>
      <c r="K16" s="476">
        <v>6.2E-2</v>
      </c>
      <c r="L16" s="476">
        <v>6.4000000000000001E-2</v>
      </c>
      <c r="M16" s="476">
        <v>7.5999999999999998E-2</v>
      </c>
      <c r="N16" s="477">
        <v>6.5000000000000002E-2</v>
      </c>
      <c r="O16" s="974">
        <v>7.4999999999999997E-2</v>
      </c>
      <c r="P16" s="974">
        <v>7.5999999999999998E-2</v>
      </c>
      <c r="Q16" s="974">
        <v>7.4080876725747702E-2</v>
      </c>
      <c r="R16" s="1988">
        <v>7.7610665365020287E-2</v>
      </c>
      <c r="S16" s="1714">
        <v>7.3959658368162817E-2</v>
      </c>
      <c r="T16" s="478"/>
      <c r="U16" s="479">
        <v>1586</v>
      </c>
      <c r="V16" s="479">
        <v>1615</v>
      </c>
      <c r="W16" s="479">
        <v>1803</v>
      </c>
      <c r="X16" s="479">
        <v>1986</v>
      </c>
      <c r="Y16" s="479">
        <v>1900</v>
      </c>
      <c r="Z16" s="479">
        <v>1925</v>
      </c>
      <c r="AA16" s="479">
        <v>1901</v>
      </c>
      <c r="AB16" s="479">
        <v>1949</v>
      </c>
      <c r="AC16" s="479">
        <v>2018</v>
      </c>
      <c r="AD16" s="479">
        <v>2441</v>
      </c>
      <c r="AE16" s="480">
        <v>2131</v>
      </c>
      <c r="AF16" s="981">
        <v>2432</v>
      </c>
      <c r="AG16" s="1346">
        <v>2503</v>
      </c>
      <c r="AH16" s="1350">
        <v>2420</v>
      </c>
      <c r="AI16" s="1995">
        <v>2544</v>
      </c>
      <c r="AJ16" s="1713">
        <v>2442</v>
      </c>
    </row>
    <row r="17" spans="1:36" ht="16.5" customHeight="1" x14ac:dyDescent="0.25">
      <c r="A17" s="402" t="s">
        <v>36</v>
      </c>
      <c r="B17" s="403" t="s">
        <v>459</v>
      </c>
      <c r="C17" s="1720" t="s">
        <v>264</v>
      </c>
      <c r="D17" s="476">
        <v>0.16899999999999998</v>
      </c>
      <c r="E17" s="476">
        <v>0.17300000000000001</v>
      </c>
      <c r="F17" s="476">
        <v>0.19500000000000001</v>
      </c>
      <c r="G17" s="476">
        <v>0.18</v>
      </c>
      <c r="H17" s="476">
        <v>0.18100000000000002</v>
      </c>
      <c r="I17" s="476">
        <v>0.20100000000000001</v>
      </c>
      <c r="J17" s="476">
        <v>0.19</v>
      </c>
      <c r="K17" s="476">
        <v>0.21299999999999999</v>
      </c>
      <c r="L17" s="476">
        <v>0.222</v>
      </c>
      <c r="M17" s="476">
        <v>0.22</v>
      </c>
      <c r="N17" s="477">
        <v>0.20499999999999999</v>
      </c>
      <c r="O17" s="974">
        <v>0.25600000000000001</v>
      </c>
      <c r="P17" s="974">
        <v>0.248</v>
      </c>
      <c r="Q17" s="974">
        <v>0.21667792032410532</v>
      </c>
      <c r="R17" s="1988">
        <v>0.21902549033007584</v>
      </c>
      <c r="S17" s="1714">
        <v>0.2214103536223892</v>
      </c>
      <c r="T17" s="478"/>
      <c r="U17" s="479">
        <v>2619</v>
      </c>
      <c r="V17" s="479">
        <v>2661</v>
      </c>
      <c r="W17" s="479">
        <v>2973</v>
      </c>
      <c r="X17" s="479">
        <v>2737</v>
      </c>
      <c r="Y17" s="479">
        <v>2729</v>
      </c>
      <c r="Z17" s="479">
        <v>3001</v>
      </c>
      <c r="AA17" s="479">
        <v>2837</v>
      </c>
      <c r="AB17" s="479">
        <v>3125</v>
      </c>
      <c r="AC17" s="479">
        <v>3234</v>
      </c>
      <c r="AD17" s="479">
        <v>3155</v>
      </c>
      <c r="AE17" s="480">
        <v>3120</v>
      </c>
      <c r="AF17" s="981">
        <v>3840</v>
      </c>
      <c r="AG17" s="1346">
        <v>3688</v>
      </c>
      <c r="AH17" s="1350">
        <v>3209</v>
      </c>
      <c r="AI17" s="1995">
        <v>3205</v>
      </c>
      <c r="AJ17" s="1713">
        <v>3212</v>
      </c>
    </row>
    <row r="18" spans="1:36" ht="16.5" customHeight="1" x14ac:dyDescent="0.25">
      <c r="A18" s="402" t="s">
        <v>38</v>
      </c>
      <c r="B18" s="403" t="s">
        <v>460</v>
      </c>
      <c r="C18" s="1720" t="s">
        <v>268</v>
      </c>
      <c r="D18" s="476">
        <v>0.215</v>
      </c>
      <c r="E18" s="476">
        <v>0.20600000000000002</v>
      </c>
      <c r="F18" s="476">
        <v>0.22899999999999998</v>
      </c>
      <c r="G18" s="476">
        <v>0.217</v>
      </c>
      <c r="H18" s="476">
        <v>0.21100000000000002</v>
      </c>
      <c r="I18" s="476">
        <v>0.26600000000000001</v>
      </c>
      <c r="J18" s="476">
        <v>0.22899999999999998</v>
      </c>
      <c r="K18" s="476">
        <v>0.217</v>
      </c>
      <c r="L18" s="476">
        <v>0.23</v>
      </c>
      <c r="M18" s="476">
        <v>0.26500000000000001</v>
      </c>
      <c r="N18" s="477">
        <v>0.248</v>
      </c>
      <c r="O18" s="974">
        <v>0.24299999999999999</v>
      </c>
      <c r="P18" s="974">
        <v>0.23</v>
      </c>
      <c r="Q18" s="974">
        <v>0.2443899174659826</v>
      </c>
      <c r="R18" s="1988">
        <v>0.23180163785259328</v>
      </c>
      <c r="S18" s="1714">
        <v>0.28767186490726215</v>
      </c>
      <c r="T18" s="478"/>
      <c r="U18" s="479">
        <v>5434</v>
      </c>
      <c r="V18" s="479">
        <v>5116</v>
      </c>
      <c r="W18" s="479">
        <v>5610</v>
      </c>
      <c r="X18" s="479">
        <v>5208</v>
      </c>
      <c r="Y18" s="479">
        <v>4990</v>
      </c>
      <c r="Z18" s="479">
        <v>6221</v>
      </c>
      <c r="AA18" s="479">
        <v>5282</v>
      </c>
      <c r="AB18" s="479">
        <v>4913</v>
      </c>
      <c r="AC18" s="479">
        <v>5127</v>
      </c>
      <c r="AD18" s="479">
        <v>5737</v>
      </c>
      <c r="AE18" s="480">
        <v>5676</v>
      </c>
      <c r="AF18" s="981">
        <v>5459</v>
      </c>
      <c r="AG18" s="1346">
        <v>5223</v>
      </c>
      <c r="AH18" s="1350">
        <v>5478</v>
      </c>
      <c r="AI18" s="1995">
        <v>5095</v>
      </c>
      <c r="AJ18" s="1713">
        <v>6235</v>
      </c>
    </row>
    <row r="19" spans="1:36" ht="16.5" customHeight="1" x14ac:dyDescent="0.25">
      <c r="A19" s="402" t="s">
        <v>40</v>
      </c>
      <c r="B19" s="403" t="s">
        <v>461</v>
      </c>
      <c r="C19" s="1720" t="s">
        <v>266</v>
      </c>
      <c r="D19" s="476">
        <v>0.16899999999999998</v>
      </c>
      <c r="E19" s="476">
        <v>0.16600000000000001</v>
      </c>
      <c r="F19" s="476">
        <v>0.18</v>
      </c>
      <c r="G19" s="476">
        <v>0.17300000000000001</v>
      </c>
      <c r="H19" s="476">
        <v>0.17300000000000001</v>
      </c>
      <c r="I19" s="476">
        <v>0.20800000000000002</v>
      </c>
      <c r="J19" s="476">
        <v>0.17600000000000002</v>
      </c>
      <c r="K19" s="476">
        <v>0.193</v>
      </c>
      <c r="L19" s="476">
        <v>0.19399999999999998</v>
      </c>
      <c r="M19" s="476">
        <v>0.21600000000000003</v>
      </c>
      <c r="N19" s="477">
        <v>0.20499999999999999</v>
      </c>
      <c r="O19" s="974">
        <v>0.21299999999999999</v>
      </c>
      <c r="P19" s="974">
        <v>0.23</v>
      </c>
      <c r="Q19" s="974">
        <v>0.22771415176478468</v>
      </c>
      <c r="R19" s="1988">
        <v>0.22807728685312795</v>
      </c>
      <c r="S19" s="1714">
        <v>0.20222446916076844</v>
      </c>
      <c r="T19" s="478"/>
      <c r="U19" s="479">
        <v>2304</v>
      </c>
      <c r="V19" s="479">
        <v>2261</v>
      </c>
      <c r="W19" s="479">
        <v>2471</v>
      </c>
      <c r="X19" s="479">
        <v>2376</v>
      </c>
      <c r="Y19" s="479">
        <v>2401</v>
      </c>
      <c r="Z19" s="479">
        <v>2859</v>
      </c>
      <c r="AA19" s="479">
        <v>2429</v>
      </c>
      <c r="AB19" s="479">
        <v>2631</v>
      </c>
      <c r="AC19" s="479">
        <v>2640</v>
      </c>
      <c r="AD19" s="479">
        <v>2964</v>
      </c>
      <c r="AE19" s="480">
        <v>3042</v>
      </c>
      <c r="AF19" s="981">
        <v>3190</v>
      </c>
      <c r="AG19" s="1346">
        <v>3414</v>
      </c>
      <c r="AH19" s="1350">
        <v>3400</v>
      </c>
      <c r="AI19" s="1995">
        <v>3376</v>
      </c>
      <c r="AJ19" s="1713">
        <v>3000</v>
      </c>
    </row>
    <row r="20" spans="1:36" ht="16.5" customHeight="1" x14ac:dyDescent="0.25">
      <c r="A20" s="402" t="s">
        <v>42</v>
      </c>
      <c r="B20" s="403" t="s">
        <v>462</v>
      </c>
      <c r="C20" s="1720" t="s">
        <v>265</v>
      </c>
      <c r="D20" s="476">
        <v>9.6000000000000002E-2</v>
      </c>
      <c r="E20" s="476">
        <v>9.6000000000000002E-2</v>
      </c>
      <c r="F20" s="476">
        <v>0.10800000000000001</v>
      </c>
      <c r="G20" s="476">
        <v>0.115</v>
      </c>
      <c r="H20" s="476">
        <v>0.111</v>
      </c>
      <c r="I20" s="476">
        <v>0.11199999999999999</v>
      </c>
      <c r="J20" s="476">
        <v>0.11800000000000001</v>
      </c>
      <c r="K20" s="476">
        <v>0.11599999999999999</v>
      </c>
      <c r="L20" s="476">
        <v>0.121</v>
      </c>
      <c r="M20" s="476">
        <v>0.13100000000000001</v>
      </c>
      <c r="N20" s="477">
        <v>0.14300000000000002</v>
      </c>
      <c r="O20" s="974">
        <v>0.152</v>
      </c>
      <c r="P20" s="974">
        <v>0.14399999999999999</v>
      </c>
      <c r="Q20" s="974">
        <v>0.13262599469496023</v>
      </c>
      <c r="R20" s="1988">
        <v>0.14507609915895248</v>
      </c>
      <c r="S20" s="1714">
        <v>0.11703103220600103</v>
      </c>
      <c r="T20" s="478"/>
      <c r="U20" s="479">
        <v>4861</v>
      </c>
      <c r="V20" s="479">
        <v>4873</v>
      </c>
      <c r="W20" s="479">
        <v>5502</v>
      </c>
      <c r="X20" s="479">
        <v>5936</v>
      </c>
      <c r="Y20" s="479">
        <v>5792</v>
      </c>
      <c r="Z20" s="479">
        <v>5770</v>
      </c>
      <c r="AA20" s="479">
        <v>6152</v>
      </c>
      <c r="AB20" s="479">
        <v>6028</v>
      </c>
      <c r="AC20" s="479">
        <v>6334</v>
      </c>
      <c r="AD20" s="479">
        <v>6859</v>
      </c>
      <c r="AE20" s="480">
        <v>7770</v>
      </c>
      <c r="AF20" s="981">
        <v>8303</v>
      </c>
      <c r="AG20" s="1346">
        <v>7899</v>
      </c>
      <c r="AH20" s="1350">
        <v>7250</v>
      </c>
      <c r="AI20" s="1995">
        <v>7883</v>
      </c>
      <c r="AJ20" s="1713">
        <v>6381</v>
      </c>
    </row>
    <row r="21" spans="1:36" ht="16.5" customHeight="1" x14ac:dyDescent="0.25">
      <c r="A21" s="402" t="s">
        <v>44</v>
      </c>
      <c r="B21" s="403" t="s">
        <v>463</v>
      </c>
      <c r="C21" s="1720" t="s">
        <v>266</v>
      </c>
      <c r="D21" s="476">
        <v>0.10400000000000001</v>
      </c>
      <c r="E21" s="476">
        <v>0.1</v>
      </c>
      <c r="F21" s="476">
        <v>0.109</v>
      </c>
      <c r="G21" s="476">
        <v>0.1</v>
      </c>
      <c r="H21" s="476">
        <v>9.5000000000000001E-2</v>
      </c>
      <c r="I21" s="476">
        <v>9.9000000000000005E-2</v>
      </c>
      <c r="J21" s="476">
        <v>9.4E-2</v>
      </c>
      <c r="K21" s="476">
        <v>9.1999999999999998E-2</v>
      </c>
      <c r="L21" s="476">
        <v>9.3000000000000013E-2</v>
      </c>
      <c r="M21" s="476">
        <v>0.105</v>
      </c>
      <c r="N21" s="477">
        <v>0.112</v>
      </c>
      <c r="O21" s="974">
        <v>0.122</v>
      </c>
      <c r="P21" s="974">
        <v>0.121</v>
      </c>
      <c r="Q21" s="974">
        <v>0.14478044016602143</v>
      </c>
      <c r="R21" s="1988">
        <v>0.10994890085393876</v>
      </c>
      <c r="S21" s="1714">
        <v>0.12029434810751882</v>
      </c>
      <c r="T21" s="478"/>
      <c r="U21" s="479">
        <v>2265</v>
      </c>
      <c r="V21" s="479">
        <v>2197</v>
      </c>
      <c r="W21" s="479">
        <v>2470</v>
      </c>
      <c r="X21" s="479">
        <v>2352</v>
      </c>
      <c r="Y21" s="479">
        <v>2396</v>
      </c>
      <c r="Z21" s="479">
        <v>2472</v>
      </c>
      <c r="AA21" s="479">
        <v>2449</v>
      </c>
      <c r="AB21" s="479">
        <v>2446</v>
      </c>
      <c r="AC21" s="479">
        <v>2518</v>
      </c>
      <c r="AD21" s="479">
        <v>2845</v>
      </c>
      <c r="AE21" s="480">
        <v>3150</v>
      </c>
      <c r="AF21" s="981">
        <v>3422</v>
      </c>
      <c r="AG21" s="1346">
        <v>3433</v>
      </c>
      <c r="AH21" s="1350">
        <v>4151</v>
      </c>
      <c r="AI21" s="1995">
        <v>3206</v>
      </c>
      <c r="AJ21" s="1713">
        <v>3531</v>
      </c>
    </row>
    <row r="22" spans="1:36" ht="16.5" customHeight="1" x14ac:dyDescent="0.25">
      <c r="A22" s="402" t="s">
        <v>46</v>
      </c>
      <c r="B22" s="403" t="s">
        <v>464</v>
      </c>
      <c r="C22" s="1720" t="s">
        <v>268</v>
      </c>
      <c r="D22" s="476">
        <v>0.12300000000000001</v>
      </c>
      <c r="E22" s="476">
        <v>0.128</v>
      </c>
      <c r="F22" s="476">
        <v>0.13600000000000001</v>
      </c>
      <c r="G22" s="476">
        <v>0.13900000000000001</v>
      </c>
      <c r="H22" s="476">
        <v>0.13300000000000001</v>
      </c>
      <c r="I22" s="476">
        <v>0.16399999999999998</v>
      </c>
      <c r="J22" s="476">
        <v>0.13900000000000001</v>
      </c>
      <c r="K22" s="476">
        <v>0.13900000000000001</v>
      </c>
      <c r="L22" s="476">
        <v>0.157</v>
      </c>
      <c r="M22" s="476">
        <v>0.16899999999999998</v>
      </c>
      <c r="N22" s="477">
        <v>0.17600000000000002</v>
      </c>
      <c r="O22" s="974">
        <v>0.19899999999999998</v>
      </c>
      <c r="P22" s="974">
        <v>0.19600000000000001</v>
      </c>
      <c r="Q22" s="974">
        <v>0.16512121927369591</v>
      </c>
      <c r="R22" s="1988">
        <v>0.1699537540805223</v>
      </c>
      <c r="S22" s="1714">
        <v>0.15021182850364345</v>
      </c>
      <c r="T22" s="478"/>
      <c r="U22" s="479">
        <v>3612</v>
      </c>
      <c r="V22" s="479">
        <v>3725</v>
      </c>
      <c r="W22" s="479">
        <v>4004</v>
      </c>
      <c r="X22" s="479">
        <v>4090</v>
      </c>
      <c r="Y22" s="479">
        <v>3931</v>
      </c>
      <c r="Z22" s="479">
        <v>4720</v>
      </c>
      <c r="AA22" s="479">
        <v>4070</v>
      </c>
      <c r="AB22" s="479">
        <v>4033</v>
      </c>
      <c r="AC22" s="479">
        <v>4549</v>
      </c>
      <c r="AD22" s="479">
        <v>4886</v>
      </c>
      <c r="AE22" s="480">
        <v>5248</v>
      </c>
      <c r="AF22" s="981">
        <v>5929</v>
      </c>
      <c r="AG22" s="1346">
        <v>5794</v>
      </c>
      <c r="AH22" s="1350">
        <v>4897</v>
      </c>
      <c r="AI22" s="1995">
        <v>4998</v>
      </c>
      <c r="AJ22" s="1713">
        <v>4432</v>
      </c>
    </row>
    <row r="23" spans="1:36" ht="16.5" customHeight="1" x14ac:dyDescent="0.25">
      <c r="A23" s="402" t="s">
        <v>48</v>
      </c>
      <c r="B23" s="403" t="s">
        <v>465</v>
      </c>
      <c r="C23" s="1720" t="s">
        <v>266</v>
      </c>
      <c r="D23" s="476">
        <v>9.5000000000000001E-2</v>
      </c>
      <c r="E23" s="476">
        <v>8.5999999999999993E-2</v>
      </c>
      <c r="F23" s="476">
        <v>9.6000000000000002E-2</v>
      </c>
      <c r="G23" s="476">
        <v>0.10400000000000001</v>
      </c>
      <c r="H23" s="476">
        <v>9.9000000000000005E-2</v>
      </c>
      <c r="I23" s="476">
        <v>0.109</v>
      </c>
      <c r="J23" s="476">
        <v>0.105</v>
      </c>
      <c r="K23" s="476">
        <v>0.106</v>
      </c>
      <c r="L23" s="476">
        <v>0.11199999999999999</v>
      </c>
      <c r="M23" s="476">
        <v>0.10199999999999999</v>
      </c>
      <c r="N23" s="477">
        <v>0.11900000000000001</v>
      </c>
      <c r="O23" s="974">
        <v>0.11699999999999999</v>
      </c>
      <c r="P23" s="974">
        <v>0.13300000000000001</v>
      </c>
      <c r="Q23" s="974">
        <v>0.12169386606640405</v>
      </c>
      <c r="R23" s="1988">
        <v>0.13121073672187322</v>
      </c>
      <c r="S23" s="1714">
        <v>0.11595441595441595</v>
      </c>
      <c r="T23" s="478"/>
      <c r="U23" s="482">
        <v>672</v>
      </c>
      <c r="V23" s="482">
        <v>611</v>
      </c>
      <c r="W23" s="482">
        <v>686</v>
      </c>
      <c r="X23" s="482">
        <v>744</v>
      </c>
      <c r="Y23" s="482">
        <v>712</v>
      </c>
      <c r="Z23" s="482">
        <v>772</v>
      </c>
      <c r="AA23" s="482">
        <v>753</v>
      </c>
      <c r="AB23" s="482">
        <v>755</v>
      </c>
      <c r="AC23" s="479">
        <v>809</v>
      </c>
      <c r="AD23" s="479">
        <v>735</v>
      </c>
      <c r="AE23" s="480">
        <v>864</v>
      </c>
      <c r="AF23" s="981">
        <v>843</v>
      </c>
      <c r="AG23" s="1346">
        <v>946</v>
      </c>
      <c r="AH23" s="1350">
        <v>865</v>
      </c>
      <c r="AI23" s="1995">
        <v>919</v>
      </c>
      <c r="AJ23" s="1713">
        <v>814</v>
      </c>
    </row>
    <row r="24" spans="1:36" ht="16.5" customHeight="1" x14ac:dyDescent="0.25">
      <c r="A24" s="402" t="s">
        <v>50</v>
      </c>
      <c r="B24" s="403" t="s">
        <v>466</v>
      </c>
      <c r="C24" s="1720" t="s">
        <v>265</v>
      </c>
      <c r="D24" s="476">
        <v>0.14699999999999999</v>
      </c>
      <c r="E24" s="476">
        <v>0.14400000000000002</v>
      </c>
      <c r="F24" s="476">
        <v>0.157</v>
      </c>
      <c r="G24" s="476">
        <v>0.161</v>
      </c>
      <c r="H24" s="476">
        <v>0.152</v>
      </c>
      <c r="I24" s="476">
        <v>0.17399999999999999</v>
      </c>
      <c r="J24" s="476">
        <v>0.17300000000000001</v>
      </c>
      <c r="K24" s="476">
        <v>0.18100000000000002</v>
      </c>
      <c r="L24" s="476">
        <v>0.17199999999999999</v>
      </c>
      <c r="M24" s="476">
        <v>0.18899999999999997</v>
      </c>
      <c r="N24" s="477">
        <v>0.18600000000000003</v>
      </c>
      <c r="O24" s="974">
        <v>0.20899999999999999</v>
      </c>
      <c r="P24" s="974">
        <v>0.185</v>
      </c>
      <c r="Q24" s="974">
        <v>0.19663199603764239</v>
      </c>
      <c r="R24" s="1988">
        <v>0.20732618988288065</v>
      </c>
      <c r="S24" s="1714">
        <v>0.19230769230769232</v>
      </c>
      <c r="T24" s="478"/>
      <c r="U24" s="479">
        <v>1779</v>
      </c>
      <c r="V24" s="479">
        <v>1781</v>
      </c>
      <c r="W24" s="479">
        <v>1935</v>
      </c>
      <c r="X24" s="479">
        <v>1974</v>
      </c>
      <c r="Y24" s="479">
        <v>1871</v>
      </c>
      <c r="Z24" s="479">
        <v>2097</v>
      </c>
      <c r="AA24" s="479">
        <v>2118</v>
      </c>
      <c r="AB24" s="479">
        <v>2187</v>
      </c>
      <c r="AC24" s="479">
        <v>2071</v>
      </c>
      <c r="AD24" s="479">
        <v>2237</v>
      </c>
      <c r="AE24" s="480">
        <v>2309</v>
      </c>
      <c r="AF24" s="981">
        <v>2572</v>
      </c>
      <c r="AG24" s="1346">
        <v>2262</v>
      </c>
      <c r="AH24" s="1350">
        <v>2382</v>
      </c>
      <c r="AI24" s="1995">
        <v>2496</v>
      </c>
      <c r="AJ24" s="1713">
        <v>2310</v>
      </c>
    </row>
    <row r="25" spans="1:36" ht="16.5" customHeight="1" x14ac:dyDescent="0.25">
      <c r="A25" s="402" t="s">
        <v>56</v>
      </c>
      <c r="B25" s="403" t="s">
        <v>751</v>
      </c>
      <c r="C25" s="1720" t="s">
        <v>266</v>
      </c>
      <c r="D25" s="476">
        <v>4.8799999999999996E-2</v>
      </c>
      <c r="E25" s="476">
        <v>5.0799999999999998E-2</v>
      </c>
      <c r="F25" s="476">
        <v>5.9500000000000004E-2</v>
      </c>
      <c r="G25" s="476">
        <v>6.7400000000000002E-2</v>
      </c>
      <c r="H25" s="476">
        <v>6.5500000000000003E-2</v>
      </c>
      <c r="I25" s="476">
        <v>6.4500000000000002E-2</v>
      </c>
      <c r="J25" s="476">
        <v>5.5999999999999994E-2</v>
      </c>
      <c r="K25" s="476">
        <v>5.8899999999999994E-2</v>
      </c>
      <c r="L25" s="476">
        <v>5.8799999999999998E-2</v>
      </c>
      <c r="M25" s="476">
        <v>6.2300000000000001E-2</v>
      </c>
      <c r="N25" s="477">
        <v>7.0308637779240374E-2</v>
      </c>
      <c r="O25" s="974">
        <v>7.3295784531991093E-2</v>
      </c>
      <c r="P25" s="974">
        <v>7.4999999999999997E-2</v>
      </c>
      <c r="Q25" s="974">
        <v>8.1271283302108005E-2</v>
      </c>
      <c r="R25" s="1988">
        <v>8.4319663951356497E-2</v>
      </c>
      <c r="S25" s="1714">
        <v>7.1249486644131665E-2</v>
      </c>
      <c r="T25" s="478"/>
      <c r="U25" s="479">
        <v>13693</v>
      </c>
      <c r="V25" s="479">
        <v>14416</v>
      </c>
      <c r="W25" s="479">
        <v>17303</v>
      </c>
      <c r="X25" s="479">
        <v>19974</v>
      </c>
      <c r="Y25" s="479">
        <v>20050</v>
      </c>
      <c r="Z25" s="479">
        <v>19397</v>
      </c>
      <c r="AA25" s="479">
        <v>17221</v>
      </c>
      <c r="AB25" s="479">
        <v>18421</v>
      </c>
      <c r="AC25" s="479">
        <v>18608</v>
      </c>
      <c r="AD25" s="479">
        <v>19992</v>
      </c>
      <c r="AE25" s="480">
        <v>23091</v>
      </c>
      <c r="AF25" s="981">
        <v>24231</v>
      </c>
      <c r="AG25" s="1346">
        <v>25129</v>
      </c>
      <c r="AH25" s="1350">
        <v>27589</v>
      </c>
      <c r="AI25" s="1995">
        <v>29066</v>
      </c>
      <c r="AJ25" s="1713">
        <v>24809</v>
      </c>
    </row>
    <row r="26" spans="1:36" ht="16.5" customHeight="1" x14ac:dyDescent="0.25">
      <c r="A26" s="402" t="s">
        <v>58</v>
      </c>
      <c r="B26" s="403" t="s">
        <v>467</v>
      </c>
      <c r="C26" s="1720" t="s">
        <v>267</v>
      </c>
      <c r="D26" s="476">
        <v>6.5000000000000002E-2</v>
      </c>
      <c r="E26" s="476">
        <v>6.4000000000000001E-2</v>
      </c>
      <c r="F26" s="476">
        <v>6.7000000000000004E-2</v>
      </c>
      <c r="G26" s="476">
        <v>6.7000000000000004E-2</v>
      </c>
      <c r="H26" s="476">
        <v>6.0999999999999999E-2</v>
      </c>
      <c r="I26" s="476">
        <v>6.6000000000000003E-2</v>
      </c>
      <c r="J26" s="476">
        <v>6.4000000000000001E-2</v>
      </c>
      <c r="K26" s="476">
        <v>6.3E-2</v>
      </c>
      <c r="L26" s="476">
        <v>7.5999999999999998E-2</v>
      </c>
      <c r="M26" s="476">
        <v>7.5999999999999998E-2</v>
      </c>
      <c r="N26" s="477">
        <v>8.3000000000000004E-2</v>
      </c>
      <c r="O26" s="974">
        <v>8.199999999999999E-2</v>
      </c>
      <c r="P26" s="974">
        <v>8.5999999999999993E-2</v>
      </c>
      <c r="Q26" s="974">
        <v>7.9048295454545461E-2</v>
      </c>
      <c r="R26" s="1988">
        <v>8.2114338209313825E-2</v>
      </c>
      <c r="S26" s="1714">
        <v>8.3527501235613921E-2</v>
      </c>
      <c r="T26" s="478"/>
      <c r="U26" s="482">
        <v>831</v>
      </c>
      <c r="V26" s="482">
        <v>833</v>
      </c>
      <c r="W26" s="482">
        <v>878</v>
      </c>
      <c r="X26" s="482">
        <v>914</v>
      </c>
      <c r="Y26" s="482">
        <v>857</v>
      </c>
      <c r="Z26" s="482">
        <v>917</v>
      </c>
      <c r="AA26" s="482">
        <v>917</v>
      </c>
      <c r="AB26" s="482">
        <v>892</v>
      </c>
      <c r="AC26" s="479">
        <v>1085</v>
      </c>
      <c r="AD26" s="479">
        <v>1091</v>
      </c>
      <c r="AE26" s="480">
        <v>1147</v>
      </c>
      <c r="AF26" s="981">
        <v>1145</v>
      </c>
      <c r="AG26" s="1346">
        <v>1207</v>
      </c>
      <c r="AH26" s="1350">
        <v>1113</v>
      </c>
      <c r="AI26" s="1995">
        <v>1162</v>
      </c>
      <c r="AJ26" s="1713">
        <v>1183</v>
      </c>
    </row>
    <row r="27" spans="1:36" ht="16.5" customHeight="1" x14ac:dyDescent="0.25">
      <c r="A27" s="402" t="s">
        <v>60</v>
      </c>
      <c r="B27" s="403" t="s">
        <v>468</v>
      </c>
      <c r="C27" s="1720" t="s">
        <v>265</v>
      </c>
      <c r="D27" s="476">
        <v>8.4000000000000005E-2</v>
      </c>
      <c r="E27" s="476">
        <v>0.08</v>
      </c>
      <c r="F27" s="476">
        <v>8.8000000000000009E-2</v>
      </c>
      <c r="G27" s="476">
        <v>9.6000000000000002E-2</v>
      </c>
      <c r="H27" s="476">
        <v>9.0999999999999998E-2</v>
      </c>
      <c r="I27" s="476">
        <v>0.10400000000000001</v>
      </c>
      <c r="J27" s="476">
        <v>0.106</v>
      </c>
      <c r="K27" s="476">
        <v>0.10300000000000001</v>
      </c>
      <c r="L27" s="476">
        <v>0.11199999999999999</v>
      </c>
      <c r="M27" s="476">
        <v>9.8000000000000004E-2</v>
      </c>
      <c r="N27" s="477">
        <v>0.11599999999999999</v>
      </c>
      <c r="O27" s="974">
        <v>0.122</v>
      </c>
      <c r="P27" s="974">
        <v>0.13500000000000001</v>
      </c>
      <c r="Q27" s="974">
        <v>0.12883317261330762</v>
      </c>
      <c r="R27" s="1988">
        <v>0.12358472462099405</v>
      </c>
      <c r="S27" s="1714">
        <v>0.11933680354732987</v>
      </c>
      <c r="T27" s="478"/>
      <c r="U27" s="482">
        <v>428</v>
      </c>
      <c r="V27" s="482">
        <v>407</v>
      </c>
      <c r="W27" s="482">
        <v>457</v>
      </c>
      <c r="X27" s="482">
        <v>493</v>
      </c>
      <c r="Y27" s="482">
        <v>471</v>
      </c>
      <c r="Z27" s="482">
        <v>531</v>
      </c>
      <c r="AA27" s="482">
        <v>544</v>
      </c>
      <c r="AB27" s="482">
        <v>528</v>
      </c>
      <c r="AC27" s="479">
        <v>565</v>
      </c>
      <c r="AD27" s="479">
        <v>486</v>
      </c>
      <c r="AE27" s="480">
        <v>599</v>
      </c>
      <c r="AF27" s="981">
        <v>619</v>
      </c>
      <c r="AG27" s="1346">
        <v>699</v>
      </c>
      <c r="AH27" s="1350">
        <v>668</v>
      </c>
      <c r="AI27" s="1995">
        <v>644</v>
      </c>
      <c r="AJ27" s="1713">
        <v>619</v>
      </c>
    </row>
    <row r="28" spans="1:36" ht="16.5" customHeight="1" x14ac:dyDescent="0.25">
      <c r="A28" s="402" t="s">
        <v>62</v>
      </c>
      <c r="B28" s="403" t="s">
        <v>469</v>
      </c>
      <c r="C28" s="1720" t="s">
        <v>267</v>
      </c>
      <c r="D28" s="476">
        <v>0.09</v>
      </c>
      <c r="E28" s="476">
        <v>8.5999999999999993E-2</v>
      </c>
      <c r="F28" s="476">
        <v>8.8000000000000009E-2</v>
      </c>
      <c r="G28" s="476">
        <v>9.1999999999999998E-2</v>
      </c>
      <c r="H28" s="476">
        <v>8.8000000000000009E-2</v>
      </c>
      <c r="I28" s="476">
        <v>9.0999999999999998E-2</v>
      </c>
      <c r="J28" s="476">
        <v>8.4000000000000005E-2</v>
      </c>
      <c r="K28" s="476">
        <v>8.3000000000000004E-2</v>
      </c>
      <c r="L28" s="476">
        <v>8.1000000000000003E-2</v>
      </c>
      <c r="M28" s="476">
        <v>9.6000000000000002E-2</v>
      </c>
      <c r="N28" s="477">
        <v>0.105</v>
      </c>
      <c r="O28" s="974">
        <v>0.11699999999999999</v>
      </c>
      <c r="P28" s="974">
        <v>0.109</v>
      </c>
      <c r="Q28" s="974">
        <v>0.10147036791301928</v>
      </c>
      <c r="R28" s="1988">
        <v>0.10986674525819422</v>
      </c>
      <c r="S28" s="1714">
        <v>0.10225943869027732</v>
      </c>
      <c r="T28" s="478"/>
      <c r="U28" s="479">
        <v>3050</v>
      </c>
      <c r="V28" s="479">
        <v>3019</v>
      </c>
      <c r="W28" s="479">
        <v>3271</v>
      </c>
      <c r="X28" s="479">
        <v>3571</v>
      </c>
      <c r="Y28" s="479">
        <v>3613</v>
      </c>
      <c r="Z28" s="479">
        <v>3722</v>
      </c>
      <c r="AA28" s="479">
        <v>3620</v>
      </c>
      <c r="AB28" s="479">
        <v>3621</v>
      </c>
      <c r="AC28" s="479">
        <v>3612</v>
      </c>
      <c r="AD28" s="479">
        <v>4296</v>
      </c>
      <c r="AE28" s="480">
        <v>4720</v>
      </c>
      <c r="AF28" s="981">
        <v>5335</v>
      </c>
      <c r="AG28" s="1346">
        <v>5034</v>
      </c>
      <c r="AH28" s="1350">
        <v>4741</v>
      </c>
      <c r="AI28" s="1995">
        <v>5219</v>
      </c>
      <c r="AJ28" s="1713">
        <v>4897</v>
      </c>
    </row>
    <row r="29" spans="1:36" ht="16.5" customHeight="1" x14ac:dyDescent="0.25">
      <c r="A29" s="402" t="s">
        <v>64</v>
      </c>
      <c r="B29" s="403" t="s">
        <v>470</v>
      </c>
      <c r="C29" s="1720" t="s">
        <v>266</v>
      </c>
      <c r="D29" s="476">
        <v>0.13500000000000001</v>
      </c>
      <c r="E29" s="476">
        <v>0.13100000000000001</v>
      </c>
      <c r="F29" s="476">
        <v>0.13699999999999998</v>
      </c>
      <c r="G29" s="476">
        <v>0.14099999999999999</v>
      </c>
      <c r="H29" s="476">
        <v>0.13900000000000001</v>
      </c>
      <c r="I29" s="476">
        <v>0.161</v>
      </c>
      <c r="J29" s="476">
        <v>0.15</v>
      </c>
      <c r="K29" s="476">
        <v>0.14899999999999999</v>
      </c>
      <c r="L29" s="476">
        <v>0.158</v>
      </c>
      <c r="M29" s="476">
        <v>0.155</v>
      </c>
      <c r="N29" s="477">
        <v>0.17199999999999999</v>
      </c>
      <c r="O29" s="974">
        <v>0.17899999999999999</v>
      </c>
      <c r="P29" s="974">
        <v>0.17299999999999999</v>
      </c>
      <c r="Q29" s="974">
        <v>0.18230918169774787</v>
      </c>
      <c r="R29" s="1988">
        <v>0.1898592124056315</v>
      </c>
      <c r="S29" s="1714">
        <v>0.19562525794469665</v>
      </c>
      <c r="T29" s="478"/>
      <c r="U29" s="479">
        <v>1205</v>
      </c>
      <c r="V29" s="479">
        <v>1185</v>
      </c>
      <c r="W29" s="479">
        <v>1261</v>
      </c>
      <c r="X29" s="479">
        <v>1301</v>
      </c>
      <c r="Y29" s="479">
        <v>1306</v>
      </c>
      <c r="Z29" s="479">
        <v>1502</v>
      </c>
      <c r="AA29" s="479">
        <v>1411</v>
      </c>
      <c r="AB29" s="479">
        <v>1432</v>
      </c>
      <c r="AC29" s="479">
        <v>1520</v>
      </c>
      <c r="AD29" s="479">
        <v>1503</v>
      </c>
      <c r="AE29" s="480">
        <v>1721</v>
      </c>
      <c r="AF29" s="981">
        <v>1782</v>
      </c>
      <c r="AG29" s="1346">
        <v>1695</v>
      </c>
      <c r="AH29" s="1350">
        <v>1789</v>
      </c>
      <c r="AI29" s="1995">
        <v>1861</v>
      </c>
      <c r="AJ29" s="1713">
        <v>1896</v>
      </c>
    </row>
    <row r="30" spans="1:36" ht="16.5" customHeight="1" x14ac:dyDescent="0.25">
      <c r="A30" s="402" t="s">
        <v>68</v>
      </c>
      <c r="B30" s="403" t="s">
        <v>471</v>
      </c>
      <c r="C30" s="1720" t="s">
        <v>268</v>
      </c>
      <c r="D30" s="476">
        <v>0.193</v>
      </c>
      <c r="E30" s="476">
        <v>0.183</v>
      </c>
      <c r="F30" s="476">
        <v>0.18899999999999997</v>
      </c>
      <c r="G30" s="476">
        <v>0.185</v>
      </c>
      <c r="H30" s="476">
        <v>0.183</v>
      </c>
      <c r="I30" s="476">
        <v>0.22800000000000001</v>
      </c>
      <c r="J30" s="476">
        <v>0.192</v>
      </c>
      <c r="K30" s="476">
        <v>0.21299999999999999</v>
      </c>
      <c r="L30" s="476">
        <v>0.218</v>
      </c>
      <c r="M30" s="476">
        <v>0.20499999999999999</v>
      </c>
      <c r="N30" s="477">
        <v>0.22999999999999998</v>
      </c>
      <c r="O30" s="974">
        <v>0.218</v>
      </c>
      <c r="P30" s="974">
        <v>0.21299999999999999</v>
      </c>
      <c r="Q30" s="974">
        <v>0.21787783920602144</v>
      </c>
      <c r="R30" s="1988">
        <v>0.21326056195674145</v>
      </c>
      <c r="S30" s="1714">
        <v>0.2503413435281267</v>
      </c>
      <c r="T30" s="478"/>
      <c r="U30" s="479">
        <v>3126</v>
      </c>
      <c r="V30" s="479">
        <v>2945</v>
      </c>
      <c r="W30" s="479">
        <v>3038</v>
      </c>
      <c r="X30" s="479">
        <v>2988</v>
      </c>
      <c r="Y30" s="479">
        <v>2972</v>
      </c>
      <c r="Z30" s="479">
        <v>3664</v>
      </c>
      <c r="AA30" s="479">
        <v>3078</v>
      </c>
      <c r="AB30" s="479">
        <v>3382</v>
      </c>
      <c r="AC30" s="479">
        <v>3508</v>
      </c>
      <c r="AD30" s="479">
        <v>3240</v>
      </c>
      <c r="AE30" s="480">
        <v>3567</v>
      </c>
      <c r="AF30" s="981">
        <v>3357</v>
      </c>
      <c r="AG30" s="1346">
        <v>3243</v>
      </c>
      <c r="AH30" s="1350">
        <v>3271</v>
      </c>
      <c r="AI30" s="1995">
        <v>3165</v>
      </c>
      <c r="AJ30" s="1713">
        <v>3667</v>
      </c>
    </row>
    <row r="31" spans="1:36" ht="16.5" customHeight="1" x14ac:dyDescent="0.25">
      <c r="A31" s="402" t="s">
        <v>70</v>
      </c>
      <c r="B31" s="403" t="s">
        <v>472</v>
      </c>
      <c r="C31" s="1720" t="s">
        <v>264</v>
      </c>
      <c r="D31" s="476">
        <v>9.4E-2</v>
      </c>
      <c r="E31" s="476">
        <v>8.8000000000000009E-2</v>
      </c>
      <c r="F31" s="476">
        <v>9.1999999999999998E-2</v>
      </c>
      <c r="G31" s="476">
        <v>0.10400000000000001</v>
      </c>
      <c r="H31" s="476">
        <v>0.10099999999999999</v>
      </c>
      <c r="I31" s="476">
        <v>0.10199999999999999</v>
      </c>
      <c r="J31" s="476">
        <v>0.111</v>
      </c>
      <c r="K31" s="476">
        <v>0.11</v>
      </c>
      <c r="L31" s="476">
        <v>0.113</v>
      </c>
      <c r="M31" s="476">
        <v>0.11199999999999999</v>
      </c>
      <c r="N31" s="477">
        <v>0.11900000000000001</v>
      </c>
      <c r="O31" s="974">
        <v>0.13300000000000001</v>
      </c>
      <c r="P31" s="974">
        <v>0.13100000000000001</v>
      </c>
      <c r="Q31" s="974">
        <v>0.1451978640918733</v>
      </c>
      <c r="R31" s="1988">
        <v>0.12132743039039919</v>
      </c>
      <c r="S31" s="1714">
        <v>0.12385152517456817</v>
      </c>
      <c r="T31" s="478"/>
      <c r="U31" s="479">
        <v>2223</v>
      </c>
      <c r="V31" s="479">
        <v>2095</v>
      </c>
      <c r="W31" s="479">
        <v>2229</v>
      </c>
      <c r="X31" s="479">
        <v>2547</v>
      </c>
      <c r="Y31" s="479">
        <v>2508</v>
      </c>
      <c r="Z31" s="479">
        <v>2499</v>
      </c>
      <c r="AA31" s="479">
        <v>2768</v>
      </c>
      <c r="AB31" s="479">
        <v>2748</v>
      </c>
      <c r="AC31" s="479">
        <v>2850</v>
      </c>
      <c r="AD31" s="479">
        <v>2839</v>
      </c>
      <c r="AE31" s="480">
        <v>3249</v>
      </c>
      <c r="AF31" s="981">
        <v>3625</v>
      </c>
      <c r="AG31" s="1346">
        <v>3596</v>
      </c>
      <c r="AH31" s="1350">
        <v>3970</v>
      </c>
      <c r="AI31" s="1995">
        <v>3316</v>
      </c>
      <c r="AJ31" s="1713">
        <v>3370</v>
      </c>
    </row>
    <row r="32" spans="1:36" ht="16.5" customHeight="1" x14ac:dyDescent="0.25">
      <c r="A32" s="402" t="s">
        <v>72</v>
      </c>
      <c r="B32" s="403" t="s">
        <v>473</v>
      </c>
      <c r="C32" s="1720" t="s">
        <v>266</v>
      </c>
      <c r="D32" s="476">
        <v>0.122</v>
      </c>
      <c r="E32" s="476">
        <v>0.113</v>
      </c>
      <c r="F32" s="476">
        <v>0.124</v>
      </c>
      <c r="G32" s="476">
        <v>0.126</v>
      </c>
      <c r="H32" s="476">
        <v>0.11699999999999999</v>
      </c>
      <c r="I32" s="476">
        <v>0.126</v>
      </c>
      <c r="J32" s="476">
        <v>0.124</v>
      </c>
      <c r="K32" s="476">
        <v>0.121</v>
      </c>
      <c r="L32" s="476">
        <v>0.13</v>
      </c>
      <c r="M32" s="476">
        <v>0.13300000000000001</v>
      </c>
      <c r="N32" s="477">
        <v>0.14099999999999999</v>
      </c>
      <c r="O32" s="974">
        <v>0.14899999999999999</v>
      </c>
      <c r="P32" s="974">
        <v>0.157</v>
      </c>
      <c r="Q32" s="974">
        <v>0.15535295179635314</v>
      </c>
      <c r="R32" s="1988">
        <v>0.14509947070633328</v>
      </c>
      <c r="S32" s="1714">
        <v>0.15514886642993717</v>
      </c>
      <c r="T32" s="478"/>
      <c r="U32" s="479">
        <v>1195</v>
      </c>
      <c r="V32" s="479">
        <v>1121</v>
      </c>
      <c r="W32" s="479">
        <v>1264</v>
      </c>
      <c r="X32" s="479">
        <v>1286</v>
      </c>
      <c r="Y32" s="479">
        <v>1211</v>
      </c>
      <c r="Z32" s="479">
        <v>1291</v>
      </c>
      <c r="AA32" s="479">
        <v>1294</v>
      </c>
      <c r="AB32" s="479">
        <v>1295</v>
      </c>
      <c r="AC32" s="479">
        <v>1412</v>
      </c>
      <c r="AD32" s="479">
        <v>1459</v>
      </c>
      <c r="AE32" s="480">
        <v>1553</v>
      </c>
      <c r="AF32" s="981">
        <v>1646</v>
      </c>
      <c r="AG32" s="1346">
        <v>1741</v>
      </c>
      <c r="AH32" s="1350">
        <v>1721</v>
      </c>
      <c r="AI32" s="1995">
        <v>1590</v>
      </c>
      <c r="AJ32" s="1713">
        <v>1704</v>
      </c>
    </row>
    <row r="33" spans="1:36" ht="16.5" customHeight="1" x14ac:dyDescent="0.25">
      <c r="A33" s="402" t="s">
        <v>74</v>
      </c>
      <c r="B33" s="403" t="s">
        <v>609</v>
      </c>
      <c r="C33" s="1720" t="s">
        <v>267</v>
      </c>
      <c r="D33" s="476">
        <v>4.0999999999999995E-2</v>
      </c>
      <c r="E33" s="476">
        <v>4.3899999999999995E-2</v>
      </c>
      <c r="F33" s="476">
        <v>0.05</v>
      </c>
      <c r="G33" s="476">
        <v>5.7599999999999998E-2</v>
      </c>
      <c r="H33" s="476">
        <v>5.2699999999999997E-2</v>
      </c>
      <c r="I33" s="476">
        <v>5.0799999999999998E-2</v>
      </c>
      <c r="J33" s="476">
        <v>5.1799999999999999E-2</v>
      </c>
      <c r="K33" s="476">
        <v>4.8899999999999999E-2</v>
      </c>
      <c r="L33" s="476">
        <v>4.8899999999999999E-2</v>
      </c>
      <c r="M33" s="476">
        <v>5.5999999999999994E-2</v>
      </c>
      <c r="N33" s="477">
        <v>5.8925506050903943E-2</v>
      </c>
      <c r="O33" s="974">
        <v>6.7652399342249744E-2</v>
      </c>
      <c r="P33" s="974">
        <v>0.06</v>
      </c>
      <c r="Q33" s="974">
        <v>5.96407525392708E-2</v>
      </c>
      <c r="R33" s="1988">
        <v>6.6558716423477798E-2</v>
      </c>
      <c r="S33" s="1714">
        <v>6.1822398928343229E-2</v>
      </c>
      <c r="T33" s="478"/>
      <c r="U33" s="479">
        <v>42235</v>
      </c>
      <c r="V33" s="479">
        <v>44521</v>
      </c>
      <c r="W33" s="479">
        <v>51470</v>
      </c>
      <c r="X33" s="479">
        <v>59756</v>
      </c>
      <c r="Y33" s="479">
        <v>54921</v>
      </c>
      <c r="Z33" s="479">
        <v>52050</v>
      </c>
      <c r="AA33" s="479">
        <v>53870</v>
      </c>
      <c r="AB33" s="479">
        <v>50909</v>
      </c>
      <c r="AC33" s="479">
        <v>50622</v>
      </c>
      <c r="AD33" s="479">
        <v>59537</v>
      </c>
      <c r="AE33" s="480">
        <v>65890</v>
      </c>
      <c r="AF33" s="981">
        <v>75783</v>
      </c>
      <c r="AG33" s="1346">
        <v>68906</v>
      </c>
      <c r="AH33" s="1350">
        <v>68953</v>
      </c>
      <c r="AI33" s="1995">
        <v>77441</v>
      </c>
      <c r="AJ33" s="1713">
        <v>72180</v>
      </c>
    </row>
    <row r="34" spans="1:36" ht="16.5" customHeight="1" x14ac:dyDescent="0.25">
      <c r="A34" s="402" t="s">
        <v>76</v>
      </c>
      <c r="B34" s="403" t="s">
        <v>474</v>
      </c>
      <c r="C34" s="1720" t="s">
        <v>267</v>
      </c>
      <c r="D34" s="476">
        <v>5.4000000000000006E-2</v>
      </c>
      <c r="E34" s="476">
        <v>0.05</v>
      </c>
      <c r="F34" s="476">
        <v>5.2999999999999999E-2</v>
      </c>
      <c r="G34" s="476">
        <v>5.7999999999999996E-2</v>
      </c>
      <c r="H34" s="476">
        <v>5.7999999999999996E-2</v>
      </c>
      <c r="I34" s="476">
        <v>5.2000000000000005E-2</v>
      </c>
      <c r="J34" s="476">
        <v>5.2999999999999999E-2</v>
      </c>
      <c r="K34" s="476">
        <v>5.7000000000000002E-2</v>
      </c>
      <c r="L34" s="476">
        <v>6.0999999999999999E-2</v>
      </c>
      <c r="M34" s="476">
        <v>5.9000000000000004E-2</v>
      </c>
      <c r="N34" s="477">
        <v>7.4999999999999997E-2</v>
      </c>
      <c r="O34" s="974">
        <v>6.3E-2</v>
      </c>
      <c r="P34" s="974">
        <v>6.9000000000000006E-2</v>
      </c>
      <c r="Q34" s="974">
        <v>7.0431624444711252E-2</v>
      </c>
      <c r="R34" s="1988">
        <v>7.3564169227133061E-2</v>
      </c>
      <c r="S34" s="1714">
        <v>6.8117174442131195E-2</v>
      </c>
      <c r="T34" s="478"/>
      <c r="U34" s="479">
        <v>3072</v>
      </c>
      <c r="V34" s="479">
        <v>2928</v>
      </c>
      <c r="W34" s="479">
        <v>3249</v>
      </c>
      <c r="X34" s="479">
        <v>3642</v>
      </c>
      <c r="Y34" s="479">
        <v>3741</v>
      </c>
      <c r="Z34" s="479">
        <v>3360</v>
      </c>
      <c r="AA34" s="479">
        <v>3484</v>
      </c>
      <c r="AB34" s="479">
        <v>3736</v>
      </c>
      <c r="AC34" s="479">
        <v>4048</v>
      </c>
      <c r="AD34" s="479">
        <v>4003</v>
      </c>
      <c r="AE34" s="480">
        <v>4839</v>
      </c>
      <c r="AF34" s="981">
        <v>4148</v>
      </c>
      <c r="AG34" s="1346">
        <v>4523</v>
      </c>
      <c r="AH34" s="1350">
        <v>4693</v>
      </c>
      <c r="AI34" s="1995">
        <v>4980</v>
      </c>
      <c r="AJ34" s="1713">
        <v>4646</v>
      </c>
    </row>
    <row r="35" spans="1:36" ht="16.5" customHeight="1" x14ac:dyDescent="0.25">
      <c r="A35" s="402" t="s">
        <v>78</v>
      </c>
      <c r="B35" s="403" t="s">
        <v>475</v>
      </c>
      <c r="C35" s="1720" t="s">
        <v>268</v>
      </c>
      <c r="D35" s="476">
        <v>0.106</v>
      </c>
      <c r="E35" s="476">
        <v>0.105</v>
      </c>
      <c r="F35" s="476">
        <v>0.111</v>
      </c>
      <c r="G35" s="476">
        <v>0.114</v>
      </c>
      <c r="H35" s="476">
        <v>0.109</v>
      </c>
      <c r="I35" s="476">
        <v>0.12300000000000001</v>
      </c>
      <c r="J35" s="476">
        <v>0.13400000000000001</v>
      </c>
      <c r="K35" s="476">
        <v>0.129</v>
      </c>
      <c r="L35" s="476">
        <v>0.11900000000000001</v>
      </c>
      <c r="M35" s="476">
        <v>0.15</v>
      </c>
      <c r="N35" s="477">
        <v>0.13599999999999998</v>
      </c>
      <c r="O35" s="974">
        <v>0.13500000000000001</v>
      </c>
      <c r="P35" s="974">
        <v>0.14099999999999999</v>
      </c>
      <c r="Q35" s="974">
        <v>0.14217055270507242</v>
      </c>
      <c r="R35" s="1988">
        <v>0.14094350611531742</v>
      </c>
      <c r="S35" s="1714">
        <v>0.11944337069965211</v>
      </c>
      <c r="T35" s="478"/>
      <c r="U35" s="479">
        <v>1491</v>
      </c>
      <c r="V35" s="479">
        <v>1499</v>
      </c>
      <c r="W35" s="479">
        <v>1593</v>
      </c>
      <c r="X35" s="479">
        <v>1649</v>
      </c>
      <c r="Y35" s="479">
        <v>1598</v>
      </c>
      <c r="Z35" s="479">
        <v>1788</v>
      </c>
      <c r="AA35" s="479">
        <v>1975</v>
      </c>
      <c r="AB35" s="479">
        <v>1883</v>
      </c>
      <c r="AC35" s="479">
        <v>1751</v>
      </c>
      <c r="AD35" s="479">
        <v>2236</v>
      </c>
      <c r="AE35" s="480">
        <v>2066</v>
      </c>
      <c r="AF35" s="981">
        <v>2056</v>
      </c>
      <c r="AG35" s="1346">
        <v>2156</v>
      </c>
      <c r="AH35" s="1350">
        <v>2189</v>
      </c>
      <c r="AI35" s="1995">
        <v>2178</v>
      </c>
      <c r="AJ35" s="1713">
        <v>1854</v>
      </c>
    </row>
    <row r="36" spans="1:36" ht="16.5" customHeight="1" x14ac:dyDescent="0.25">
      <c r="A36" s="402" t="s">
        <v>80</v>
      </c>
      <c r="B36" s="403" t="s">
        <v>476</v>
      </c>
      <c r="C36" s="1720" t="s">
        <v>266</v>
      </c>
      <c r="D36" s="476">
        <v>6.5000000000000002E-2</v>
      </c>
      <c r="E36" s="476">
        <v>6.0999999999999999E-2</v>
      </c>
      <c r="F36" s="476">
        <v>6.8000000000000005E-2</v>
      </c>
      <c r="G36" s="476">
        <v>6.6000000000000003E-2</v>
      </c>
      <c r="H36" s="476">
        <v>6.2E-2</v>
      </c>
      <c r="I36" s="476">
        <v>7.8E-2</v>
      </c>
      <c r="J36" s="476">
        <v>6.7000000000000004E-2</v>
      </c>
      <c r="K36" s="476">
        <v>7.0000000000000007E-2</v>
      </c>
      <c r="L36" s="476">
        <v>6.7000000000000004E-2</v>
      </c>
      <c r="M36" s="476">
        <v>7.2000000000000008E-2</v>
      </c>
      <c r="N36" s="477">
        <v>7.2999999999999995E-2</v>
      </c>
      <c r="O36" s="974">
        <v>7.5999999999999998E-2</v>
      </c>
      <c r="P36" s="974">
        <v>8.7999999999999995E-2</v>
      </c>
      <c r="Q36" s="974">
        <v>8.2229625416429669E-2</v>
      </c>
      <c r="R36" s="1988">
        <v>7.8642149929278649E-2</v>
      </c>
      <c r="S36" s="1714">
        <v>7.7872477285519021E-2</v>
      </c>
      <c r="T36" s="478"/>
      <c r="U36" s="479">
        <v>1307</v>
      </c>
      <c r="V36" s="479">
        <v>1287</v>
      </c>
      <c r="W36" s="479">
        <v>1498</v>
      </c>
      <c r="X36" s="479">
        <v>1499</v>
      </c>
      <c r="Y36" s="479">
        <v>1477</v>
      </c>
      <c r="Z36" s="479">
        <v>1834</v>
      </c>
      <c r="AA36" s="479">
        <v>1597</v>
      </c>
      <c r="AB36" s="479">
        <v>1674</v>
      </c>
      <c r="AC36" s="479">
        <v>1624</v>
      </c>
      <c r="AD36" s="479">
        <v>1747</v>
      </c>
      <c r="AE36" s="480">
        <v>1784</v>
      </c>
      <c r="AF36" s="981">
        <v>1876</v>
      </c>
      <c r="AG36" s="1346">
        <v>2155</v>
      </c>
      <c r="AH36" s="1350">
        <v>2024</v>
      </c>
      <c r="AI36" s="1995">
        <v>1946</v>
      </c>
      <c r="AJ36" s="1713">
        <v>1937</v>
      </c>
    </row>
    <row r="37" spans="1:36" ht="16.5" customHeight="1" x14ac:dyDescent="0.25">
      <c r="A37" s="402" t="s">
        <v>84</v>
      </c>
      <c r="B37" s="403" t="s">
        <v>85</v>
      </c>
      <c r="C37" s="1720" t="s">
        <v>265</v>
      </c>
      <c r="D37" s="476">
        <v>0.1</v>
      </c>
      <c r="E37" s="476">
        <v>0.10099999999999999</v>
      </c>
      <c r="F37" s="476">
        <v>0.113</v>
      </c>
      <c r="G37" s="476">
        <v>0.115</v>
      </c>
      <c r="H37" s="476">
        <v>0.109</v>
      </c>
      <c r="I37" s="476">
        <v>0.105</v>
      </c>
      <c r="J37" s="476">
        <v>0.106</v>
      </c>
      <c r="K37" s="476">
        <v>0.115</v>
      </c>
      <c r="L37" s="476">
        <v>0.13200000000000001</v>
      </c>
      <c r="M37" s="476">
        <v>0.14000000000000001</v>
      </c>
      <c r="N37" s="477">
        <v>0.14400000000000002</v>
      </c>
      <c r="O37" s="974">
        <v>0.13100000000000001</v>
      </c>
      <c r="P37" s="974">
        <v>0.14099999999999999</v>
      </c>
      <c r="Q37" s="974">
        <v>0.14405155260227459</v>
      </c>
      <c r="R37" s="1988">
        <v>0.16289848725388223</v>
      </c>
      <c r="S37" s="1714">
        <v>0.13115023559922562</v>
      </c>
      <c r="T37" s="478"/>
      <c r="U37" s="479">
        <v>4701</v>
      </c>
      <c r="V37" s="479">
        <v>4813</v>
      </c>
      <c r="W37" s="479">
        <v>5464</v>
      </c>
      <c r="X37" s="479">
        <v>5618</v>
      </c>
      <c r="Y37" s="479">
        <v>5402</v>
      </c>
      <c r="Z37" s="479">
        <v>5187</v>
      </c>
      <c r="AA37" s="479">
        <v>5254</v>
      </c>
      <c r="AB37" s="479">
        <v>5704</v>
      </c>
      <c r="AC37" s="479">
        <v>6610</v>
      </c>
      <c r="AD37" s="479">
        <v>7043</v>
      </c>
      <c r="AE37" s="480">
        <v>7844</v>
      </c>
      <c r="AF37" s="981">
        <v>7171</v>
      </c>
      <c r="AG37" s="1346">
        <v>7751</v>
      </c>
      <c r="AH37" s="1350">
        <v>7891</v>
      </c>
      <c r="AI37" s="1995">
        <v>8927</v>
      </c>
      <c r="AJ37" s="1713">
        <v>7181</v>
      </c>
    </row>
    <row r="38" spans="1:36" ht="16.5" customHeight="1" x14ac:dyDescent="0.25">
      <c r="A38" s="402" t="s">
        <v>86</v>
      </c>
      <c r="B38" s="403" t="s">
        <v>477</v>
      </c>
      <c r="C38" s="1720" t="s">
        <v>267</v>
      </c>
      <c r="D38" s="476">
        <v>6.0999999999999999E-2</v>
      </c>
      <c r="E38" s="476">
        <v>0.06</v>
      </c>
      <c r="F38" s="476">
        <v>6.4000000000000001E-2</v>
      </c>
      <c r="G38" s="476">
        <v>6.7000000000000004E-2</v>
      </c>
      <c r="H38" s="476">
        <v>5.7999999999999996E-2</v>
      </c>
      <c r="I38" s="476">
        <v>6.5000000000000002E-2</v>
      </c>
      <c r="J38" s="476">
        <v>7.0999999999999994E-2</v>
      </c>
      <c r="K38" s="476">
        <v>6.6000000000000003E-2</v>
      </c>
      <c r="L38" s="476">
        <v>7.2999999999999995E-2</v>
      </c>
      <c r="M38" s="476">
        <v>9.1999999999999998E-2</v>
      </c>
      <c r="N38" s="477">
        <v>7.3999999999999996E-2</v>
      </c>
      <c r="O38" s="974">
        <v>8.900000000000001E-2</v>
      </c>
      <c r="P38" s="974">
        <v>8.7999999999999995E-2</v>
      </c>
      <c r="Q38" s="974">
        <v>7.8719237629566799E-2</v>
      </c>
      <c r="R38" s="1988">
        <v>7.6704405611617038E-2</v>
      </c>
      <c r="S38" s="1714">
        <v>7.7289622813966244E-2</v>
      </c>
      <c r="T38" s="478"/>
      <c r="U38" s="479">
        <v>3719</v>
      </c>
      <c r="V38" s="479">
        <v>3714</v>
      </c>
      <c r="W38" s="479">
        <v>4114</v>
      </c>
      <c r="X38" s="479">
        <v>4446</v>
      </c>
      <c r="Y38" s="479">
        <v>3989</v>
      </c>
      <c r="Z38" s="479">
        <v>4429</v>
      </c>
      <c r="AA38" s="479">
        <v>5012</v>
      </c>
      <c r="AB38" s="479">
        <v>4736</v>
      </c>
      <c r="AC38" s="479">
        <v>5310</v>
      </c>
      <c r="AD38" s="479">
        <v>6796</v>
      </c>
      <c r="AE38" s="480">
        <v>5756</v>
      </c>
      <c r="AF38" s="981">
        <v>7026</v>
      </c>
      <c r="AG38" s="1346">
        <v>6968</v>
      </c>
      <c r="AH38" s="1350">
        <v>6311</v>
      </c>
      <c r="AI38" s="1995">
        <v>6233</v>
      </c>
      <c r="AJ38" s="1713">
        <v>6342</v>
      </c>
    </row>
    <row r="39" spans="1:36" ht="16.5" customHeight="1" x14ac:dyDescent="0.25">
      <c r="A39" s="402" t="s">
        <v>92</v>
      </c>
      <c r="B39" s="403" t="s">
        <v>478</v>
      </c>
      <c r="C39" s="1720" t="s">
        <v>268</v>
      </c>
      <c r="D39" s="476">
        <v>9.5000000000000001E-2</v>
      </c>
      <c r="E39" s="476">
        <v>9.6000000000000002E-2</v>
      </c>
      <c r="F39" s="476">
        <v>0.10400000000000001</v>
      </c>
      <c r="G39" s="476">
        <v>0.10800000000000001</v>
      </c>
      <c r="H39" s="476">
        <v>0.10300000000000001</v>
      </c>
      <c r="I39" s="476">
        <v>0.122</v>
      </c>
      <c r="J39" s="476">
        <v>0.11</v>
      </c>
      <c r="K39" s="476">
        <v>0.114</v>
      </c>
      <c r="L39" s="476">
        <v>0.125</v>
      </c>
      <c r="M39" s="476">
        <v>0.13100000000000001</v>
      </c>
      <c r="N39" s="477">
        <v>0.13399999999999998</v>
      </c>
      <c r="O39" s="974">
        <v>0.126</v>
      </c>
      <c r="P39" s="974">
        <v>0.127</v>
      </c>
      <c r="Q39" s="974">
        <v>0.13273596176821983</v>
      </c>
      <c r="R39" s="1988">
        <v>0.13548115645849612</v>
      </c>
      <c r="S39" s="1714">
        <v>0.10594784292370062</v>
      </c>
      <c r="T39" s="478"/>
      <c r="U39" s="479">
        <v>1611</v>
      </c>
      <c r="V39" s="479">
        <v>1612</v>
      </c>
      <c r="W39" s="479">
        <v>1771</v>
      </c>
      <c r="X39" s="479">
        <v>1837</v>
      </c>
      <c r="Y39" s="479">
        <v>1770</v>
      </c>
      <c r="Z39" s="479">
        <v>2068</v>
      </c>
      <c r="AA39" s="479">
        <v>1896</v>
      </c>
      <c r="AB39" s="479">
        <v>1953</v>
      </c>
      <c r="AC39" s="479">
        <v>2149</v>
      </c>
      <c r="AD39" s="479">
        <v>2255</v>
      </c>
      <c r="AE39" s="480">
        <v>2292</v>
      </c>
      <c r="AF39" s="981">
        <v>2136</v>
      </c>
      <c r="AG39" s="1346">
        <v>2126</v>
      </c>
      <c r="AH39" s="1350">
        <v>2222</v>
      </c>
      <c r="AI39" s="1995">
        <v>2254</v>
      </c>
      <c r="AJ39" s="1713">
        <v>1751</v>
      </c>
    </row>
    <row r="40" spans="1:36" ht="16.5" customHeight="1" x14ac:dyDescent="0.25">
      <c r="A40" s="402" t="s">
        <v>94</v>
      </c>
      <c r="B40" s="403" t="s">
        <v>479</v>
      </c>
      <c r="C40" s="1720" t="s">
        <v>264</v>
      </c>
      <c r="D40" s="476">
        <v>8.3000000000000004E-2</v>
      </c>
      <c r="E40" s="476">
        <v>7.8E-2</v>
      </c>
      <c r="F40" s="476">
        <v>8.5999999999999993E-2</v>
      </c>
      <c r="G40" s="476">
        <v>0.09</v>
      </c>
      <c r="H40" s="476">
        <v>8.6999999999999994E-2</v>
      </c>
      <c r="I40" s="476">
        <v>8.8000000000000009E-2</v>
      </c>
      <c r="J40" s="476">
        <v>9.6000000000000002E-2</v>
      </c>
      <c r="K40" s="476">
        <v>8.4000000000000005E-2</v>
      </c>
      <c r="L40" s="476">
        <v>9.0999999999999998E-2</v>
      </c>
      <c r="M40" s="476">
        <v>9.5000000000000001E-2</v>
      </c>
      <c r="N40" s="477">
        <v>9.9000000000000005E-2</v>
      </c>
      <c r="O40" s="974">
        <v>0.10199999999999999</v>
      </c>
      <c r="P40" s="974">
        <v>9.7000000000000003E-2</v>
      </c>
      <c r="Q40" s="974">
        <v>0.10574699988990421</v>
      </c>
      <c r="R40" s="1988">
        <v>9.655680453999782E-2</v>
      </c>
      <c r="S40" s="1714">
        <v>9.2839209693264924E-2</v>
      </c>
      <c r="T40" s="478"/>
      <c r="U40" s="479">
        <v>2911</v>
      </c>
      <c r="V40" s="479">
        <v>2787</v>
      </c>
      <c r="W40" s="479">
        <v>3150</v>
      </c>
      <c r="X40" s="479">
        <v>3349</v>
      </c>
      <c r="Y40" s="479">
        <v>3285</v>
      </c>
      <c r="Z40" s="479">
        <v>3292</v>
      </c>
      <c r="AA40" s="479">
        <v>3621</v>
      </c>
      <c r="AB40" s="479">
        <v>3179</v>
      </c>
      <c r="AC40" s="479">
        <v>3487</v>
      </c>
      <c r="AD40" s="479">
        <v>3704</v>
      </c>
      <c r="AE40" s="480">
        <v>3603</v>
      </c>
      <c r="AF40" s="981">
        <v>3721</v>
      </c>
      <c r="AG40" s="1346">
        <v>3540</v>
      </c>
      <c r="AH40" s="1350">
        <v>3842</v>
      </c>
      <c r="AI40" s="1995">
        <v>3539</v>
      </c>
      <c r="AJ40" s="1713">
        <v>3402</v>
      </c>
    </row>
    <row r="41" spans="1:36" ht="16.5" customHeight="1" x14ac:dyDescent="0.25">
      <c r="A41" s="402" t="s">
        <v>96</v>
      </c>
      <c r="B41" s="403" t="s">
        <v>480</v>
      </c>
      <c r="C41" s="1720" t="s">
        <v>266</v>
      </c>
      <c r="D41" s="476">
        <v>6.7000000000000004E-2</v>
      </c>
      <c r="E41" s="476">
        <v>5.7000000000000002E-2</v>
      </c>
      <c r="F41" s="476">
        <v>6.5000000000000002E-2</v>
      </c>
      <c r="G41" s="476">
        <v>7.2000000000000008E-2</v>
      </c>
      <c r="H41" s="476">
        <v>6.9000000000000006E-2</v>
      </c>
      <c r="I41" s="476">
        <v>6.7000000000000004E-2</v>
      </c>
      <c r="J41" s="476">
        <v>6.3E-2</v>
      </c>
      <c r="K41" s="476">
        <v>8.5000000000000006E-2</v>
      </c>
      <c r="L41" s="476">
        <v>6.4000000000000001E-2</v>
      </c>
      <c r="M41" s="476">
        <v>6.6000000000000003E-2</v>
      </c>
      <c r="N41" s="477">
        <v>7.7000000000000013E-2</v>
      </c>
      <c r="O41" s="974">
        <v>8.1000000000000003E-2</v>
      </c>
      <c r="P41" s="974">
        <v>7.3999999999999996E-2</v>
      </c>
      <c r="Q41" s="974">
        <v>7.4595014065379772E-2</v>
      </c>
      <c r="R41" s="1988">
        <v>7.4843578354109944E-2</v>
      </c>
      <c r="S41" s="1714">
        <v>7.4373940877424216E-2</v>
      </c>
      <c r="T41" s="478"/>
      <c r="U41" s="479">
        <v>1071</v>
      </c>
      <c r="V41" s="482">
        <v>925</v>
      </c>
      <c r="W41" s="479">
        <v>1098</v>
      </c>
      <c r="X41" s="479">
        <v>1263</v>
      </c>
      <c r="Y41" s="479">
        <v>1252</v>
      </c>
      <c r="Z41" s="479">
        <v>1192</v>
      </c>
      <c r="AA41" s="479">
        <v>1176</v>
      </c>
      <c r="AB41" s="479">
        <v>1620</v>
      </c>
      <c r="AC41" s="479">
        <v>1240</v>
      </c>
      <c r="AD41" s="479">
        <v>1298</v>
      </c>
      <c r="AE41" s="480">
        <v>1566</v>
      </c>
      <c r="AF41" s="981">
        <v>1661</v>
      </c>
      <c r="AG41" s="1346">
        <v>1515</v>
      </c>
      <c r="AH41" s="1350">
        <v>1538</v>
      </c>
      <c r="AI41" s="1995">
        <v>1567</v>
      </c>
      <c r="AJ41" s="1713">
        <v>1580</v>
      </c>
    </row>
    <row r="42" spans="1:36" ht="16.5" customHeight="1" x14ac:dyDescent="0.25">
      <c r="A42" s="402" t="s">
        <v>98</v>
      </c>
      <c r="B42" s="403" t="s">
        <v>481</v>
      </c>
      <c r="C42" s="1720" t="s">
        <v>268</v>
      </c>
      <c r="D42" s="476">
        <v>0.13500000000000001</v>
      </c>
      <c r="E42" s="476">
        <v>0.13900000000000001</v>
      </c>
      <c r="F42" s="476">
        <v>0.15</v>
      </c>
      <c r="G42" s="476">
        <v>0.14899999999999999</v>
      </c>
      <c r="H42" s="476">
        <v>0.14300000000000002</v>
      </c>
      <c r="I42" s="476">
        <v>0.16699999999999998</v>
      </c>
      <c r="J42" s="476">
        <v>0.159</v>
      </c>
      <c r="K42" s="476">
        <v>0.17600000000000002</v>
      </c>
      <c r="L42" s="476">
        <v>0.17699999999999999</v>
      </c>
      <c r="M42" s="476">
        <v>0.16500000000000001</v>
      </c>
      <c r="N42" s="477">
        <v>0.17100000000000001</v>
      </c>
      <c r="O42" s="974">
        <v>0.18600000000000003</v>
      </c>
      <c r="P42" s="974">
        <v>0.19400000000000001</v>
      </c>
      <c r="Q42" s="974">
        <v>0.18346666666666667</v>
      </c>
      <c r="R42" s="1988">
        <v>0.19875485339402865</v>
      </c>
      <c r="S42" s="1714">
        <v>0.20131173872306252</v>
      </c>
      <c r="T42" s="478"/>
      <c r="U42" s="479">
        <v>2230</v>
      </c>
      <c r="V42" s="479">
        <v>2302</v>
      </c>
      <c r="W42" s="479">
        <v>2478</v>
      </c>
      <c r="X42" s="479">
        <v>2448</v>
      </c>
      <c r="Y42" s="479">
        <v>2339</v>
      </c>
      <c r="Z42" s="479">
        <v>2710</v>
      </c>
      <c r="AA42" s="479">
        <v>2546</v>
      </c>
      <c r="AB42" s="479">
        <v>2801</v>
      </c>
      <c r="AC42" s="479">
        <v>2790</v>
      </c>
      <c r="AD42" s="479">
        <v>2574</v>
      </c>
      <c r="AE42" s="480">
        <v>2617</v>
      </c>
      <c r="AF42" s="981">
        <v>2817</v>
      </c>
      <c r="AG42" s="1346">
        <v>2916</v>
      </c>
      <c r="AH42" s="1350">
        <v>2752</v>
      </c>
      <c r="AI42" s="1995">
        <v>2969</v>
      </c>
      <c r="AJ42" s="1713">
        <v>3008</v>
      </c>
    </row>
    <row r="43" spans="1:36" ht="16.5" customHeight="1" x14ac:dyDescent="0.25">
      <c r="A43" s="402" t="s">
        <v>100</v>
      </c>
      <c r="B43" s="403" t="s">
        <v>482</v>
      </c>
      <c r="C43" s="1720" t="s">
        <v>267</v>
      </c>
      <c r="D43" s="476">
        <v>7.0999999999999994E-2</v>
      </c>
      <c r="E43" s="476">
        <v>6.9000000000000006E-2</v>
      </c>
      <c r="F43" s="476">
        <v>7.400000000000001E-2</v>
      </c>
      <c r="G43" s="476">
        <v>7.9000000000000001E-2</v>
      </c>
      <c r="H43" s="476">
        <v>7.8E-2</v>
      </c>
      <c r="I43" s="476">
        <v>0.08</v>
      </c>
      <c r="J43" s="476">
        <v>7.6999999999999999E-2</v>
      </c>
      <c r="K43" s="476">
        <v>7.400000000000001E-2</v>
      </c>
      <c r="L43" s="476">
        <v>7.2999999999999995E-2</v>
      </c>
      <c r="M43" s="476">
        <v>8.5999999999999993E-2</v>
      </c>
      <c r="N43" s="477">
        <v>9.7000000000000003E-2</v>
      </c>
      <c r="O43" s="974">
        <v>9.1999999999999998E-2</v>
      </c>
      <c r="P43" s="974">
        <v>9.5000000000000001E-2</v>
      </c>
      <c r="Q43" s="974">
        <v>0.11543213192243648</v>
      </c>
      <c r="R43" s="1988">
        <v>9.6339522546419101E-2</v>
      </c>
      <c r="S43" s="1714">
        <v>9.3433811129848235E-2</v>
      </c>
      <c r="T43" s="478"/>
      <c r="U43" s="479">
        <v>1121</v>
      </c>
      <c r="V43" s="479">
        <v>1124</v>
      </c>
      <c r="W43" s="479">
        <v>1244</v>
      </c>
      <c r="X43" s="479">
        <v>1342</v>
      </c>
      <c r="Y43" s="479">
        <v>1355</v>
      </c>
      <c r="Z43" s="479">
        <v>1369</v>
      </c>
      <c r="AA43" s="479">
        <v>1343</v>
      </c>
      <c r="AB43" s="479">
        <v>1309</v>
      </c>
      <c r="AC43" s="479">
        <v>1294</v>
      </c>
      <c r="AD43" s="479">
        <v>1568</v>
      </c>
      <c r="AE43" s="480">
        <v>1774</v>
      </c>
      <c r="AF43" s="981">
        <v>1693</v>
      </c>
      <c r="AG43" s="1346">
        <v>1773</v>
      </c>
      <c r="AH43" s="1350">
        <v>2149</v>
      </c>
      <c r="AI43" s="1995">
        <v>1816</v>
      </c>
      <c r="AJ43" s="1713">
        <v>1773</v>
      </c>
    </row>
    <row r="44" spans="1:36" ht="16.5" customHeight="1" x14ac:dyDescent="0.25">
      <c r="A44" s="402" t="s">
        <v>102</v>
      </c>
      <c r="B44" s="403" t="s">
        <v>752</v>
      </c>
      <c r="C44" s="1720" t="s">
        <v>264</v>
      </c>
      <c r="D44" s="476">
        <v>0.17</v>
      </c>
      <c r="E44" s="476">
        <v>0.18280000000000002</v>
      </c>
      <c r="F44" s="476">
        <v>0.19070000000000001</v>
      </c>
      <c r="G44" s="476">
        <v>0.16339999999999999</v>
      </c>
      <c r="H44" s="476">
        <v>0.16500000000000001</v>
      </c>
      <c r="I44" s="476">
        <v>0.18809999999999999</v>
      </c>
      <c r="J44" s="476">
        <v>0.18760000000000002</v>
      </c>
      <c r="K44" s="476">
        <v>0.1948</v>
      </c>
      <c r="L44" s="476">
        <v>0.22699999999999998</v>
      </c>
      <c r="M44" s="476">
        <v>0.23089999999999999</v>
      </c>
      <c r="N44" s="477">
        <v>0.23464616256133752</v>
      </c>
      <c r="O44" s="974">
        <v>0.23945846848117333</v>
      </c>
      <c r="P44" s="974">
        <v>0.255</v>
      </c>
      <c r="Q44" s="974">
        <v>0.26195737401097724</v>
      </c>
      <c r="R44" s="1988">
        <v>0.25522528386490201</v>
      </c>
      <c r="S44" s="1714">
        <v>0.2584113516676419</v>
      </c>
      <c r="T44" s="478"/>
      <c r="U44" s="479">
        <v>2389</v>
      </c>
      <c r="V44" s="479">
        <v>2561</v>
      </c>
      <c r="W44" s="479">
        <v>2682</v>
      </c>
      <c r="X44" s="479">
        <v>2277</v>
      </c>
      <c r="Y44" s="479">
        <v>2312</v>
      </c>
      <c r="Z44" s="479">
        <v>2595</v>
      </c>
      <c r="AA44" s="479">
        <v>2602</v>
      </c>
      <c r="AB44" s="479">
        <v>2716</v>
      </c>
      <c r="AC44" s="479">
        <v>3193</v>
      </c>
      <c r="AD44" s="479">
        <v>3240</v>
      </c>
      <c r="AE44" s="480">
        <v>3375</v>
      </c>
      <c r="AF44" s="981">
        <v>3396</v>
      </c>
      <c r="AG44" s="1346">
        <v>3608</v>
      </c>
      <c r="AH44" s="1350">
        <v>3675</v>
      </c>
      <c r="AI44" s="1995">
        <v>3529</v>
      </c>
      <c r="AJ44" s="1713">
        <v>3533</v>
      </c>
    </row>
    <row r="45" spans="1:36" ht="16.5" customHeight="1" x14ac:dyDescent="0.25">
      <c r="A45" s="402" t="s">
        <v>104</v>
      </c>
      <c r="B45" s="403" t="s">
        <v>753</v>
      </c>
      <c r="C45" s="1720" t="s">
        <v>265</v>
      </c>
      <c r="D45" s="476">
        <v>0.14599999999999999</v>
      </c>
      <c r="E45" s="476">
        <v>0.14800000000000002</v>
      </c>
      <c r="F45" s="476">
        <v>0.16699999999999998</v>
      </c>
      <c r="G45" s="476">
        <v>0.16399999999999998</v>
      </c>
      <c r="H45" s="476">
        <v>0.16</v>
      </c>
      <c r="I45" s="476">
        <v>0.156</v>
      </c>
      <c r="J45" s="476">
        <v>0.184</v>
      </c>
      <c r="K45" s="476">
        <v>0.18600000000000003</v>
      </c>
      <c r="L45" s="476">
        <v>0.19500000000000001</v>
      </c>
      <c r="M45" s="476">
        <v>0.19800000000000001</v>
      </c>
      <c r="N45" s="477">
        <v>0.193</v>
      </c>
      <c r="O45" s="974">
        <v>0.193</v>
      </c>
      <c r="P45" s="974">
        <v>0.20100000000000001</v>
      </c>
      <c r="Q45" s="974">
        <v>0.22242790616955427</v>
      </c>
      <c r="R45" s="1988">
        <v>0.1797190798848402</v>
      </c>
      <c r="S45" s="1714">
        <v>0.16881905372707925</v>
      </c>
      <c r="T45" s="478"/>
      <c r="U45" s="479">
        <v>5297</v>
      </c>
      <c r="V45" s="479">
        <v>5345</v>
      </c>
      <c r="W45" s="479">
        <v>6015</v>
      </c>
      <c r="X45" s="479">
        <v>5875</v>
      </c>
      <c r="Y45" s="479">
        <v>5715</v>
      </c>
      <c r="Z45" s="479">
        <v>5506</v>
      </c>
      <c r="AA45" s="479">
        <v>6507</v>
      </c>
      <c r="AB45" s="479">
        <v>6462</v>
      </c>
      <c r="AC45" s="479">
        <v>6732</v>
      </c>
      <c r="AD45" s="479">
        <v>6819</v>
      </c>
      <c r="AE45" s="480">
        <v>6833</v>
      </c>
      <c r="AF45" s="981">
        <v>6795</v>
      </c>
      <c r="AG45" s="1346">
        <v>7054</v>
      </c>
      <c r="AH45" s="1350">
        <v>7690</v>
      </c>
      <c r="AI45" s="1995">
        <v>6180</v>
      </c>
      <c r="AJ45" s="1713">
        <v>5791</v>
      </c>
    </row>
    <row r="46" spans="1:36" ht="16.5" customHeight="1" x14ac:dyDescent="0.25">
      <c r="A46" s="402" t="s">
        <v>108</v>
      </c>
      <c r="B46" s="403" t="s">
        <v>483</v>
      </c>
      <c r="C46" s="1720" t="s">
        <v>266</v>
      </c>
      <c r="D46" s="476">
        <v>4.0999999999999995E-2</v>
      </c>
      <c r="E46" s="476">
        <v>0.04</v>
      </c>
      <c r="F46" s="476">
        <v>4.5999999999999999E-2</v>
      </c>
      <c r="G46" s="476">
        <v>5.2999999999999999E-2</v>
      </c>
      <c r="H46" s="476">
        <v>5.0999999999999997E-2</v>
      </c>
      <c r="I46" s="476">
        <v>4.8000000000000001E-2</v>
      </c>
      <c r="J46" s="476">
        <v>4.0999999999999995E-2</v>
      </c>
      <c r="K46" s="476">
        <v>5.0999999999999997E-2</v>
      </c>
      <c r="L46" s="476">
        <v>4.5999999999999999E-2</v>
      </c>
      <c r="M46" s="476">
        <v>4.9000000000000002E-2</v>
      </c>
      <c r="N46" s="477">
        <v>5.2999999999999999E-2</v>
      </c>
      <c r="O46" s="974">
        <v>6.0999999999999999E-2</v>
      </c>
      <c r="P46" s="974">
        <v>6.5000000000000002E-2</v>
      </c>
      <c r="Q46" s="974">
        <v>5.6380867971275769E-2</v>
      </c>
      <c r="R46" s="1988">
        <v>6.1393246742858287E-2</v>
      </c>
      <c r="S46" s="1714">
        <v>6.1947777272637429E-2</v>
      </c>
      <c r="T46" s="478"/>
      <c r="U46" s="479">
        <v>3611</v>
      </c>
      <c r="V46" s="479">
        <v>3637</v>
      </c>
      <c r="W46" s="479">
        <v>4303</v>
      </c>
      <c r="X46" s="479">
        <v>5030</v>
      </c>
      <c r="Y46" s="479">
        <v>4938</v>
      </c>
      <c r="Z46" s="479">
        <v>4542</v>
      </c>
      <c r="AA46" s="479">
        <v>3965</v>
      </c>
      <c r="AB46" s="479">
        <v>4909</v>
      </c>
      <c r="AC46" s="479">
        <v>4518</v>
      </c>
      <c r="AD46" s="479">
        <v>4747</v>
      </c>
      <c r="AE46" s="480">
        <v>5218</v>
      </c>
      <c r="AF46" s="981">
        <v>6001</v>
      </c>
      <c r="AG46" s="1346">
        <v>6372</v>
      </c>
      <c r="AH46" s="1350">
        <v>5598</v>
      </c>
      <c r="AI46" s="1995">
        <v>6140</v>
      </c>
      <c r="AJ46" s="1713">
        <v>6268</v>
      </c>
    </row>
    <row r="47" spans="1:36" ht="16.5" customHeight="1" x14ac:dyDescent="0.25">
      <c r="A47" s="402" t="s">
        <v>110</v>
      </c>
      <c r="B47" s="403" t="s">
        <v>484</v>
      </c>
      <c r="C47" s="1720" t="s">
        <v>266</v>
      </c>
      <c r="D47" s="476">
        <v>6.2E-2</v>
      </c>
      <c r="E47" s="476">
        <v>6.3E-2</v>
      </c>
      <c r="F47" s="476">
        <v>7.0000000000000007E-2</v>
      </c>
      <c r="G47" s="476">
        <v>7.9000000000000001E-2</v>
      </c>
      <c r="H47" s="476">
        <v>7.8E-2</v>
      </c>
      <c r="I47" s="476">
        <v>7.9000000000000001E-2</v>
      </c>
      <c r="J47" s="476">
        <v>7.9000000000000001E-2</v>
      </c>
      <c r="K47" s="476">
        <v>8.5000000000000006E-2</v>
      </c>
      <c r="L47" s="476">
        <v>8.4000000000000005E-2</v>
      </c>
      <c r="M47" s="476">
        <v>0.1</v>
      </c>
      <c r="N47" s="477">
        <v>9.8000000000000004E-2</v>
      </c>
      <c r="O47" s="974">
        <v>0.10800000000000001</v>
      </c>
      <c r="P47" s="974">
        <v>0.10100000000000001</v>
      </c>
      <c r="Q47" s="974">
        <v>0.11338197509195573</v>
      </c>
      <c r="R47" s="1988">
        <v>0.10964919153897507</v>
      </c>
      <c r="S47" s="1714">
        <v>9.3226151864554074E-2</v>
      </c>
      <c r="T47" s="478"/>
      <c r="U47" s="479">
        <v>16209</v>
      </c>
      <c r="V47" s="479">
        <v>16609</v>
      </c>
      <c r="W47" s="479">
        <v>18976</v>
      </c>
      <c r="X47" s="479">
        <v>21631</v>
      </c>
      <c r="Y47" s="479">
        <v>21612</v>
      </c>
      <c r="Z47" s="479">
        <v>21858</v>
      </c>
      <c r="AA47" s="479">
        <v>22038</v>
      </c>
      <c r="AB47" s="479">
        <v>24163</v>
      </c>
      <c r="AC47" s="479">
        <v>24078</v>
      </c>
      <c r="AD47" s="479">
        <v>29165</v>
      </c>
      <c r="AE47" s="480">
        <v>29987</v>
      </c>
      <c r="AF47" s="981">
        <v>33123</v>
      </c>
      <c r="AG47" s="1346">
        <v>31395</v>
      </c>
      <c r="AH47" s="1350">
        <v>35788</v>
      </c>
      <c r="AI47" s="1995">
        <v>34985</v>
      </c>
      <c r="AJ47" s="1713">
        <v>30037</v>
      </c>
    </row>
    <row r="48" spans="1:36" ht="16.5" customHeight="1" x14ac:dyDescent="0.25">
      <c r="A48" s="402" t="s">
        <v>112</v>
      </c>
      <c r="B48" s="403" t="s">
        <v>754</v>
      </c>
      <c r="C48" s="1720" t="s">
        <v>265</v>
      </c>
      <c r="D48" s="476">
        <v>0.12179999999999999</v>
      </c>
      <c r="E48" s="476">
        <v>0.1265</v>
      </c>
      <c r="F48" s="476">
        <v>0.14000000000000001</v>
      </c>
      <c r="G48" s="476">
        <v>0.14419999999999999</v>
      </c>
      <c r="H48" s="476">
        <v>0.1444</v>
      </c>
      <c r="I48" s="476">
        <v>0.16</v>
      </c>
      <c r="J48" s="476">
        <v>0.15590000000000001</v>
      </c>
      <c r="K48" s="476">
        <v>0.16949999999999998</v>
      </c>
      <c r="L48" s="476">
        <v>0.17499999999999999</v>
      </c>
      <c r="M48" s="476">
        <v>0.18659999999999999</v>
      </c>
      <c r="N48" s="477">
        <v>0.18966798312007913</v>
      </c>
      <c r="O48" s="974">
        <v>0.21296101159114858</v>
      </c>
      <c r="P48" s="974">
        <v>0.19600000000000001</v>
      </c>
      <c r="Q48" s="974">
        <v>0.20040392912879831</v>
      </c>
      <c r="R48" s="1988">
        <v>0.21203049288602205</v>
      </c>
      <c r="S48" s="1714">
        <v>0.20471208246144307</v>
      </c>
      <c r="T48" s="478"/>
      <c r="U48" s="479">
        <v>8798</v>
      </c>
      <c r="V48" s="479">
        <v>9061</v>
      </c>
      <c r="W48" s="479">
        <v>10017</v>
      </c>
      <c r="X48" s="479">
        <v>10271</v>
      </c>
      <c r="Y48" s="479">
        <v>10210</v>
      </c>
      <c r="Z48" s="479">
        <v>11198</v>
      </c>
      <c r="AA48" s="479">
        <v>10877</v>
      </c>
      <c r="AB48" s="479">
        <v>11653</v>
      </c>
      <c r="AC48" s="479">
        <v>12089</v>
      </c>
      <c r="AD48" s="479">
        <v>12724</v>
      </c>
      <c r="AE48" s="480">
        <v>12671</v>
      </c>
      <c r="AF48" s="981">
        <v>14147</v>
      </c>
      <c r="AG48" s="1346">
        <v>12855</v>
      </c>
      <c r="AH48" s="1350">
        <v>13098</v>
      </c>
      <c r="AI48" s="1995">
        <v>13740</v>
      </c>
      <c r="AJ48" s="1713">
        <v>13207</v>
      </c>
    </row>
    <row r="49" spans="1:36" ht="16.5" customHeight="1" x14ac:dyDescent="0.25">
      <c r="A49" s="402" t="s">
        <v>114</v>
      </c>
      <c r="B49" s="403" t="s">
        <v>485</v>
      </c>
      <c r="C49" s="1720" t="s">
        <v>265</v>
      </c>
      <c r="D49" s="476">
        <v>0.11900000000000001</v>
      </c>
      <c r="E49" s="476">
        <v>0.12</v>
      </c>
      <c r="F49" s="476">
        <v>0.121</v>
      </c>
      <c r="G49" s="476">
        <v>0.11599999999999999</v>
      </c>
      <c r="H49" s="476">
        <v>0.10800000000000001</v>
      </c>
      <c r="I49" s="476">
        <v>0.128</v>
      </c>
      <c r="J49" s="476">
        <v>0.129</v>
      </c>
      <c r="K49" s="476">
        <v>0.128</v>
      </c>
      <c r="L49" s="476">
        <v>0.128</v>
      </c>
      <c r="M49" s="476">
        <v>0.13800000000000001</v>
      </c>
      <c r="N49" s="477">
        <v>0.14400000000000002</v>
      </c>
      <c r="O49" s="974">
        <v>0.13800000000000001</v>
      </c>
      <c r="P49" s="974">
        <v>0.15</v>
      </c>
      <c r="Q49" s="974">
        <v>0.14628623188405798</v>
      </c>
      <c r="R49" s="1988">
        <v>0.1463632307005801</v>
      </c>
      <c r="S49" s="1714">
        <v>0.13774354327140914</v>
      </c>
      <c r="T49" s="478"/>
      <c r="U49" s="482">
        <v>300</v>
      </c>
      <c r="V49" s="482">
        <v>298</v>
      </c>
      <c r="W49" s="482">
        <v>304</v>
      </c>
      <c r="X49" s="482">
        <v>290</v>
      </c>
      <c r="Y49" s="482">
        <v>270</v>
      </c>
      <c r="Z49" s="482">
        <v>316</v>
      </c>
      <c r="AA49" s="482">
        <v>324</v>
      </c>
      <c r="AB49" s="482">
        <v>313</v>
      </c>
      <c r="AC49" s="479">
        <v>311</v>
      </c>
      <c r="AD49" s="479">
        <v>323</v>
      </c>
      <c r="AE49" s="480">
        <v>330</v>
      </c>
      <c r="AF49" s="981">
        <v>312</v>
      </c>
      <c r="AG49" s="1346">
        <v>336</v>
      </c>
      <c r="AH49" s="1350">
        <v>323</v>
      </c>
      <c r="AI49" s="1995">
        <v>328</v>
      </c>
      <c r="AJ49" s="1713">
        <v>304</v>
      </c>
    </row>
    <row r="50" spans="1:36" ht="16.5" customHeight="1" x14ac:dyDescent="0.25">
      <c r="A50" s="402" t="s">
        <v>118</v>
      </c>
      <c r="B50" s="403" t="s">
        <v>755</v>
      </c>
      <c r="C50" s="1720" t="s">
        <v>264</v>
      </c>
      <c r="D50" s="476">
        <v>8.6999999999999994E-2</v>
      </c>
      <c r="E50" s="476">
        <v>0.08</v>
      </c>
      <c r="F50" s="476">
        <v>8.5000000000000006E-2</v>
      </c>
      <c r="G50" s="476">
        <v>9.3000000000000013E-2</v>
      </c>
      <c r="H50" s="476">
        <v>9.1999999999999998E-2</v>
      </c>
      <c r="I50" s="476">
        <v>8.5999999999999993E-2</v>
      </c>
      <c r="J50" s="476">
        <v>8.199999999999999E-2</v>
      </c>
      <c r="K50" s="476">
        <v>8.3000000000000004E-2</v>
      </c>
      <c r="L50" s="476">
        <v>7.8E-2</v>
      </c>
      <c r="M50" s="476">
        <v>0.10099999999999999</v>
      </c>
      <c r="N50" s="477">
        <v>8.7999999999999995E-2</v>
      </c>
      <c r="O50" s="974">
        <v>0.11199999999999999</v>
      </c>
      <c r="P50" s="974">
        <v>9.2999999999999999E-2</v>
      </c>
      <c r="Q50" s="974">
        <v>0.1055415688382224</v>
      </c>
      <c r="R50" s="1988">
        <v>0.10172196556068878</v>
      </c>
      <c r="S50" s="1714">
        <v>9.9219682874677181E-2</v>
      </c>
      <c r="T50" s="478"/>
      <c r="U50" s="479">
        <v>2640</v>
      </c>
      <c r="V50" s="479">
        <v>2463</v>
      </c>
      <c r="W50" s="479">
        <v>2727</v>
      </c>
      <c r="X50" s="479">
        <v>3052</v>
      </c>
      <c r="Y50" s="479">
        <v>3070</v>
      </c>
      <c r="Z50" s="479">
        <v>2842</v>
      </c>
      <c r="AA50" s="479">
        <v>2829</v>
      </c>
      <c r="AB50" s="479">
        <v>2902</v>
      </c>
      <c r="AC50" s="479">
        <v>2740</v>
      </c>
      <c r="AD50" s="479">
        <v>3612</v>
      </c>
      <c r="AE50" s="480">
        <v>3082</v>
      </c>
      <c r="AF50" s="981">
        <v>3914</v>
      </c>
      <c r="AG50" s="1346">
        <v>3278</v>
      </c>
      <c r="AH50" s="1350">
        <v>3731</v>
      </c>
      <c r="AI50" s="1995">
        <v>3633</v>
      </c>
      <c r="AJ50" s="1713">
        <v>3573</v>
      </c>
    </row>
    <row r="51" spans="1:36" ht="16.5" customHeight="1" x14ac:dyDescent="0.25">
      <c r="A51" s="402" t="s">
        <v>120</v>
      </c>
      <c r="B51" s="403" t="s">
        <v>285</v>
      </c>
      <c r="C51" s="1720" t="s">
        <v>264</v>
      </c>
      <c r="D51" s="476">
        <v>5.7999999999999996E-2</v>
      </c>
      <c r="E51" s="476">
        <v>5.9000000000000004E-2</v>
      </c>
      <c r="F51" s="476">
        <v>6.4000000000000001E-2</v>
      </c>
      <c r="G51" s="476">
        <v>7.2000000000000008E-2</v>
      </c>
      <c r="H51" s="476">
        <v>6.6000000000000003E-2</v>
      </c>
      <c r="I51" s="476">
        <v>6.0999999999999999E-2</v>
      </c>
      <c r="J51" s="476">
        <v>6.4000000000000001E-2</v>
      </c>
      <c r="K51" s="476">
        <v>5.7000000000000002E-2</v>
      </c>
      <c r="L51" s="476">
        <v>0.06</v>
      </c>
      <c r="M51" s="476">
        <v>7.0999999999999994E-2</v>
      </c>
      <c r="N51" s="477">
        <v>7.7000000000000013E-2</v>
      </c>
      <c r="O51" s="974">
        <v>7.400000000000001E-2</v>
      </c>
      <c r="P51" s="974">
        <v>8.4000000000000005E-2</v>
      </c>
      <c r="Q51" s="974">
        <v>7.5441273863341873E-2</v>
      </c>
      <c r="R51" s="1988">
        <v>7.9360643827194988E-2</v>
      </c>
      <c r="S51" s="1714">
        <v>7.1432535168280575E-2</v>
      </c>
      <c r="T51" s="478"/>
      <c r="U51" s="479">
        <v>2805</v>
      </c>
      <c r="V51" s="479">
        <v>2962</v>
      </c>
      <c r="W51" s="479">
        <v>3406</v>
      </c>
      <c r="X51" s="479">
        <v>3922</v>
      </c>
      <c r="Y51" s="479">
        <v>3780</v>
      </c>
      <c r="Z51" s="479">
        <v>3445</v>
      </c>
      <c r="AA51" s="479">
        <v>3771</v>
      </c>
      <c r="AB51" s="479">
        <v>3440</v>
      </c>
      <c r="AC51" s="479">
        <v>3706</v>
      </c>
      <c r="AD51" s="479">
        <v>4449</v>
      </c>
      <c r="AE51" s="480">
        <v>5067</v>
      </c>
      <c r="AF51" s="981">
        <v>4991</v>
      </c>
      <c r="AG51" s="1346">
        <v>5730</v>
      </c>
      <c r="AH51" s="1350">
        <v>5240</v>
      </c>
      <c r="AI51" s="1995">
        <v>5680</v>
      </c>
      <c r="AJ51" s="1713">
        <v>5149</v>
      </c>
    </row>
    <row r="52" spans="1:36" ht="16.5" customHeight="1" x14ac:dyDescent="0.25">
      <c r="A52" s="402" t="s">
        <v>122</v>
      </c>
      <c r="B52" s="403" t="s">
        <v>756</v>
      </c>
      <c r="C52" s="1720" t="s">
        <v>266</v>
      </c>
      <c r="D52" s="476">
        <v>0.11900000000000001</v>
      </c>
      <c r="E52" s="476">
        <v>0.11699999999999999</v>
      </c>
      <c r="F52" s="476">
        <v>0.121</v>
      </c>
      <c r="G52" s="476">
        <v>0.11599999999999999</v>
      </c>
      <c r="H52" s="476">
        <v>0.11199999999999999</v>
      </c>
      <c r="I52" s="476">
        <v>0.13400000000000001</v>
      </c>
      <c r="J52" s="476">
        <v>0.122</v>
      </c>
      <c r="K52" s="476">
        <v>0.121</v>
      </c>
      <c r="L52" s="476">
        <v>0.12300000000000001</v>
      </c>
      <c r="M52" s="476">
        <v>0.13200000000000001</v>
      </c>
      <c r="N52" s="477">
        <v>0.128</v>
      </c>
      <c r="O52" s="974">
        <v>0.13200000000000001</v>
      </c>
      <c r="P52" s="974">
        <v>0.13800000000000001</v>
      </c>
      <c r="Q52" s="974">
        <v>0.13415834622415976</v>
      </c>
      <c r="R52" s="1988">
        <v>0.14806537225869534</v>
      </c>
      <c r="S52" s="1714">
        <v>0.14033613445378151</v>
      </c>
      <c r="T52" s="478"/>
      <c r="U52" s="482">
        <v>786</v>
      </c>
      <c r="V52" s="482">
        <v>771</v>
      </c>
      <c r="W52" s="482">
        <v>798</v>
      </c>
      <c r="X52" s="482">
        <v>787</v>
      </c>
      <c r="Y52" s="482">
        <v>761</v>
      </c>
      <c r="Z52" s="482">
        <v>905</v>
      </c>
      <c r="AA52" s="482">
        <v>839</v>
      </c>
      <c r="AB52" s="482">
        <v>829</v>
      </c>
      <c r="AC52" s="479">
        <v>840</v>
      </c>
      <c r="AD52" s="479">
        <v>895</v>
      </c>
      <c r="AE52" s="480">
        <v>888</v>
      </c>
      <c r="AF52" s="981">
        <v>919</v>
      </c>
      <c r="AG52" s="1346">
        <v>973</v>
      </c>
      <c r="AH52" s="1350">
        <v>954</v>
      </c>
      <c r="AI52" s="1995">
        <v>1060</v>
      </c>
      <c r="AJ52" s="1713">
        <v>1002</v>
      </c>
    </row>
    <row r="53" spans="1:36" ht="16.5" customHeight="1" x14ac:dyDescent="0.25">
      <c r="A53" s="402" t="s">
        <v>124</v>
      </c>
      <c r="B53" s="403" t="s">
        <v>488</v>
      </c>
      <c r="C53" s="1720" t="s">
        <v>267</v>
      </c>
      <c r="D53" s="476">
        <v>7.0000000000000007E-2</v>
      </c>
      <c r="E53" s="476">
        <v>6.3E-2</v>
      </c>
      <c r="F53" s="476">
        <v>6.5000000000000002E-2</v>
      </c>
      <c r="G53" s="476">
        <v>7.0000000000000007E-2</v>
      </c>
      <c r="H53" s="476">
        <v>6.6000000000000003E-2</v>
      </c>
      <c r="I53" s="476">
        <v>6.2E-2</v>
      </c>
      <c r="J53" s="476">
        <v>0.06</v>
      </c>
      <c r="K53" s="476">
        <v>6.2E-2</v>
      </c>
      <c r="L53" s="476">
        <v>6.2E-2</v>
      </c>
      <c r="M53" s="476">
        <v>7.0000000000000007E-2</v>
      </c>
      <c r="N53" s="477">
        <v>6.9000000000000006E-2</v>
      </c>
      <c r="O53" s="974">
        <v>6.9000000000000006E-2</v>
      </c>
      <c r="P53" s="974">
        <v>7.3999999999999996E-2</v>
      </c>
      <c r="Q53" s="974">
        <v>7.9488015653024616E-2</v>
      </c>
      <c r="R53" s="1988">
        <v>7.5159082723015969E-2</v>
      </c>
      <c r="S53" s="1714">
        <v>7.1289256856267164E-2</v>
      </c>
      <c r="T53" s="478"/>
      <c r="U53" s="479">
        <v>1176</v>
      </c>
      <c r="V53" s="479">
        <v>1088</v>
      </c>
      <c r="W53" s="479">
        <v>1157</v>
      </c>
      <c r="X53" s="479">
        <v>1336</v>
      </c>
      <c r="Y53" s="479">
        <v>1338</v>
      </c>
      <c r="Z53" s="479">
        <v>1259</v>
      </c>
      <c r="AA53" s="479">
        <v>1276</v>
      </c>
      <c r="AB53" s="479">
        <v>1384</v>
      </c>
      <c r="AC53" s="479">
        <v>1399</v>
      </c>
      <c r="AD53" s="479">
        <v>1614</v>
      </c>
      <c r="AE53" s="480">
        <v>1609</v>
      </c>
      <c r="AF53" s="981">
        <v>1645</v>
      </c>
      <c r="AG53" s="1346">
        <v>1783</v>
      </c>
      <c r="AH53" s="1350">
        <v>1950</v>
      </c>
      <c r="AI53" s="1995">
        <v>1878</v>
      </c>
      <c r="AJ53" s="1713">
        <v>1791</v>
      </c>
    </row>
    <row r="54" spans="1:36" ht="16.5" customHeight="1" x14ac:dyDescent="0.25">
      <c r="A54" s="402" t="s">
        <v>126</v>
      </c>
      <c r="B54" s="403" t="s">
        <v>489</v>
      </c>
      <c r="C54" s="1720" t="s">
        <v>266</v>
      </c>
      <c r="D54" s="476">
        <v>6.6000000000000003E-2</v>
      </c>
      <c r="E54" s="476">
        <v>6.3E-2</v>
      </c>
      <c r="F54" s="476">
        <v>6.5000000000000002E-2</v>
      </c>
      <c r="G54" s="476">
        <v>7.0999999999999994E-2</v>
      </c>
      <c r="H54" s="476">
        <v>6.8000000000000005E-2</v>
      </c>
      <c r="I54" s="476">
        <v>6.8000000000000005E-2</v>
      </c>
      <c r="J54" s="476">
        <v>6.9000000000000006E-2</v>
      </c>
      <c r="K54" s="476">
        <v>6.3E-2</v>
      </c>
      <c r="L54" s="476">
        <v>6.5000000000000002E-2</v>
      </c>
      <c r="M54" s="476">
        <v>7.2000000000000008E-2</v>
      </c>
      <c r="N54" s="477">
        <v>7.6999999999999999E-2</v>
      </c>
      <c r="O54" s="974">
        <v>8.6999999999999994E-2</v>
      </c>
      <c r="P54" s="974">
        <v>8.4000000000000005E-2</v>
      </c>
      <c r="Q54" s="974">
        <v>9.098873591989988E-2</v>
      </c>
      <c r="R54" s="1988">
        <v>8.7651632970451004E-2</v>
      </c>
      <c r="S54" s="1714">
        <v>7.9489878041230727E-2</v>
      </c>
      <c r="T54" s="478"/>
      <c r="U54" s="482">
        <v>894</v>
      </c>
      <c r="V54" s="482">
        <v>872</v>
      </c>
      <c r="W54" s="482">
        <v>921</v>
      </c>
      <c r="X54" s="479">
        <v>1014</v>
      </c>
      <c r="Y54" s="479">
        <v>1007</v>
      </c>
      <c r="Z54" s="482">
        <v>994</v>
      </c>
      <c r="AA54" s="479">
        <v>1060</v>
      </c>
      <c r="AB54" s="482">
        <v>981</v>
      </c>
      <c r="AC54" s="479">
        <v>1033</v>
      </c>
      <c r="AD54" s="479">
        <v>1158</v>
      </c>
      <c r="AE54" s="480">
        <v>1230</v>
      </c>
      <c r="AF54" s="981">
        <v>1387</v>
      </c>
      <c r="AG54" s="1346">
        <v>1333</v>
      </c>
      <c r="AH54" s="1350">
        <v>1454</v>
      </c>
      <c r="AI54" s="1995">
        <v>1409</v>
      </c>
      <c r="AJ54" s="1713">
        <v>1284</v>
      </c>
    </row>
    <row r="55" spans="1:36" ht="16.5" customHeight="1" x14ac:dyDescent="0.25">
      <c r="A55" s="402" t="s">
        <v>128</v>
      </c>
      <c r="B55" s="403" t="s">
        <v>490</v>
      </c>
      <c r="C55" s="1720" t="s">
        <v>266</v>
      </c>
      <c r="D55" s="476">
        <v>0.129</v>
      </c>
      <c r="E55" s="476">
        <v>0.125</v>
      </c>
      <c r="F55" s="476">
        <v>0.13400000000000001</v>
      </c>
      <c r="G55" s="476">
        <v>0.13300000000000001</v>
      </c>
      <c r="H55" s="476">
        <v>0.12300000000000001</v>
      </c>
      <c r="I55" s="476">
        <v>0.13600000000000001</v>
      </c>
      <c r="J55" s="476">
        <v>0.13500000000000001</v>
      </c>
      <c r="K55" s="476">
        <v>0.129</v>
      </c>
      <c r="L55" s="476">
        <v>0.13200000000000001</v>
      </c>
      <c r="M55" s="476">
        <v>0.127</v>
      </c>
      <c r="N55" s="477">
        <v>0.13900000000000001</v>
      </c>
      <c r="O55" s="974">
        <v>0.157</v>
      </c>
      <c r="P55" s="974">
        <v>0.13600000000000001</v>
      </c>
      <c r="Q55" s="974">
        <v>0.15181668796786563</v>
      </c>
      <c r="R55" s="1988">
        <v>0.13735605711653615</v>
      </c>
      <c r="S55" s="1714">
        <v>0.13132250580046403</v>
      </c>
      <c r="T55" s="478"/>
      <c r="U55" s="479">
        <v>1435</v>
      </c>
      <c r="V55" s="479">
        <v>1399</v>
      </c>
      <c r="W55" s="479">
        <v>1513</v>
      </c>
      <c r="X55" s="479">
        <v>1498</v>
      </c>
      <c r="Y55" s="479">
        <v>1395</v>
      </c>
      <c r="Z55" s="479">
        <v>1518</v>
      </c>
      <c r="AA55" s="479">
        <v>1507</v>
      </c>
      <c r="AB55" s="479">
        <v>1434</v>
      </c>
      <c r="AC55" s="479">
        <v>1463</v>
      </c>
      <c r="AD55" s="479">
        <v>1379</v>
      </c>
      <c r="AE55" s="480">
        <v>1557</v>
      </c>
      <c r="AF55" s="981">
        <v>1741</v>
      </c>
      <c r="AG55" s="1346">
        <v>1504</v>
      </c>
      <c r="AH55" s="1350">
        <v>1663</v>
      </c>
      <c r="AI55" s="1995">
        <v>1491</v>
      </c>
      <c r="AJ55" s="1713">
        <v>1415</v>
      </c>
    </row>
    <row r="56" spans="1:36" ht="16.5" customHeight="1" x14ac:dyDescent="0.25">
      <c r="A56" s="402" t="s">
        <v>130</v>
      </c>
      <c r="B56" s="403" t="s">
        <v>491</v>
      </c>
      <c r="C56" s="1720" t="s">
        <v>268</v>
      </c>
      <c r="D56" s="476">
        <v>0.223</v>
      </c>
      <c r="E56" s="476">
        <v>0.21199999999999999</v>
      </c>
      <c r="F56" s="476">
        <v>0.23300000000000001</v>
      </c>
      <c r="G56" s="476">
        <v>0.21600000000000003</v>
      </c>
      <c r="H56" s="476">
        <v>0.21100000000000002</v>
      </c>
      <c r="I56" s="476">
        <v>0.26400000000000001</v>
      </c>
      <c r="J56" s="476">
        <v>0.22399999999999998</v>
      </c>
      <c r="K56" s="476">
        <v>0.22899999999999998</v>
      </c>
      <c r="L56" s="476">
        <v>0.23300000000000001</v>
      </c>
      <c r="M56" s="476">
        <v>0.26100000000000001</v>
      </c>
      <c r="N56" s="477">
        <v>0.255</v>
      </c>
      <c r="O56" s="974">
        <v>0.27600000000000002</v>
      </c>
      <c r="P56" s="974">
        <v>0.28399999999999997</v>
      </c>
      <c r="Q56" s="974">
        <v>0.2902290271676547</v>
      </c>
      <c r="R56" s="1988">
        <v>0.26576654300750585</v>
      </c>
      <c r="S56" s="1714">
        <v>0.2588460868049503</v>
      </c>
      <c r="T56" s="478"/>
      <c r="U56" s="479">
        <v>5171</v>
      </c>
      <c r="V56" s="479">
        <v>4988</v>
      </c>
      <c r="W56" s="479">
        <v>5547</v>
      </c>
      <c r="X56" s="479">
        <v>5144</v>
      </c>
      <c r="Y56" s="479">
        <v>4987</v>
      </c>
      <c r="Z56" s="479">
        <v>6163</v>
      </c>
      <c r="AA56" s="479">
        <v>5285</v>
      </c>
      <c r="AB56" s="479">
        <v>5343</v>
      </c>
      <c r="AC56" s="479">
        <v>5433</v>
      </c>
      <c r="AD56" s="479">
        <v>6079</v>
      </c>
      <c r="AE56" s="480">
        <v>6087</v>
      </c>
      <c r="AF56" s="981">
        <v>6454</v>
      </c>
      <c r="AG56" s="1346">
        <v>6734</v>
      </c>
      <c r="AH56" s="1350">
        <v>6805</v>
      </c>
      <c r="AI56" s="1995">
        <v>6161</v>
      </c>
      <c r="AJ56" s="1713">
        <v>5940</v>
      </c>
    </row>
    <row r="57" spans="1:36" ht="16.5" customHeight="1" x14ac:dyDescent="0.25">
      <c r="A57" s="402" t="s">
        <v>132</v>
      </c>
      <c r="B57" s="403" t="s">
        <v>492</v>
      </c>
      <c r="C57" s="1720" t="s">
        <v>267</v>
      </c>
      <c r="D57" s="476">
        <v>2.7999999999999997E-2</v>
      </c>
      <c r="E57" s="476">
        <v>2.8999999999999998E-2</v>
      </c>
      <c r="F57" s="476">
        <v>3.2000000000000001E-2</v>
      </c>
      <c r="G57" s="476">
        <v>3.6000000000000004E-2</v>
      </c>
      <c r="H57" s="476">
        <v>3.4000000000000002E-2</v>
      </c>
      <c r="I57" s="476">
        <v>2.7000000000000003E-2</v>
      </c>
      <c r="J57" s="476">
        <v>2.8999999999999998E-2</v>
      </c>
      <c r="K57" s="476">
        <v>0.03</v>
      </c>
      <c r="L57" s="476">
        <v>3.1E-2</v>
      </c>
      <c r="M57" s="476">
        <v>3.4000000000000002E-2</v>
      </c>
      <c r="N57" s="477">
        <v>3.7000000000000005E-2</v>
      </c>
      <c r="O57" s="974">
        <v>0.04</v>
      </c>
      <c r="P57" s="974">
        <v>0.04</v>
      </c>
      <c r="Q57" s="974">
        <v>3.8353526207620114E-2</v>
      </c>
      <c r="R57" s="1988">
        <v>3.8950546060258932E-2</v>
      </c>
      <c r="S57" s="1714">
        <v>3.7325950002006343E-2</v>
      </c>
      <c r="T57" s="478"/>
      <c r="U57" s="479">
        <v>5340</v>
      </c>
      <c r="V57" s="479">
        <v>5869</v>
      </c>
      <c r="W57" s="479">
        <v>7055</v>
      </c>
      <c r="X57" s="479">
        <v>8721</v>
      </c>
      <c r="Y57" s="479">
        <v>8788</v>
      </c>
      <c r="Z57" s="479">
        <v>6966</v>
      </c>
      <c r="AA57" s="479">
        <v>7794</v>
      </c>
      <c r="AB57" s="479">
        <v>8284</v>
      </c>
      <c r="AC57" s="479">
        <v>9033</v>
      </c>
      <c r="AD57" s="479">
        <v>10069</v>
      </c>
      <c r="AE57" s="480">
        <v>11525</v>
      </c>
      <c r="AF57" s="981">
        <v>12996</v>
      </c>
      <c r="AG57" s="1346">
        <v>13489</v>
      </c>
      <c r="AH57" s="1350">
        <v>13343</v>
      </c>
      <c r="AI57" s="1995">
        <v>14077</v>
      </c>
      <c r="AJ57" s="1713">
        <v>13953</v>
      </c>
    </row>
    <row r="58" spans="1:36" ht="16.5" customHeight="1" x14ac:dyDescent="0.25">
      <c r="A58" s="402" t="s">
        <v>134</v>
      </c>
      <c r="B58" s="403" t="s">
        <v>493</v>
      </c>
      <c r="C58" s="1720" t="s">
        <v>267</v>
      </c>
      <c r="D58" s="476">
        <v>9.1999999999999998E-2</v>
      </c>
      <c r="E58" s="476">
        <v>9.0999999999999998E-2</v>
      </c>
      <c r="F58" s="476">
        <v>0.1</v>
      </c>
      <c r="G58" s="476">
        <v>0.10199999999999999</v>
      </c>
      <c r="H58" s="476">
        <v>9.6999999999999989E-2</v>
      </c>
      <c r="I58" s="476">
        <v>0.113</v>
      </c>
      <c r="J58" s="476">
        <v>9.9000000000000005E-2</v>
      </c>
      <c r="K58" s="476">
        <v>9.6999999999999989E-2</v>
      </c>
      <c r="L58" s="476">
        <v>9.6000000000000002E-2</v>
      </c>
      <c r="M58" s="476">
        <v>0.11699999999999999</v>
      </c>
      <c r="N58" s="477">
        <v>9.9000000000000019E-2</v>
      </c>
      <c r="O58" s="974">
        <v>0.10800000000000001</v>
      </c>
      <c r="P58" s="974">
        <v>0.11700000000000001</v>
      </c>
      <c r="Q58" s="974">
        <v>0.11738021821631879</v>
      </c>
      <c r="R58" s="1988">
        <v>0.11482132396016403</v>
      </c>
      <c r="S58" s="1714">
        <v>0.10574378362658136</v>
      </c>
      <c r="T58" s="478"/>
      <c r="U58" s="479">
        <v>2411</v>
      </c>
      <c r="V58" s="479">
        <v>2456</v>
      </c>
      <c r="W58" s="479">
        <v>2793</v>
      </c>
      <c r="X58" s="479">
        <v>2928</v>
      </c>
      <c r="Y58" s="479">
        <v>2911</v>
      </c>
      <c r="Z58" s="479">
        <v>3364</v>
      </c>
      <c r="AA58" s="479">
        <v>3054</v>
      </c>
      <c r="AB58" s="479">
        <v>3080</v>
      </c>
      <c r="AC58" s="479">
        <v>3119</v>
      </c>
      <c r="AD58" s="479">
        <v>3828</v>
      </c>
      <c r="AE58" s="480">
        <v>3259</v>
      </c>
      <c r="AF58" s="981">
        <v>3597</v>
      </c>
      <c r="AG58" s="1346">
        <v>3891</v>
      </c>
      <c r="AH58" s="1350">
        <v>3959</v>
      </c>
      <c r="AI58" s="1995">
        <v>3920</v>
      </c>
      <c r="AJ58" s="1713">
        <v>3636</v>
      </c>
    </row>
    <row r="59" spans="1:36" ht="16.5" customHeight="1" x14ac:dyDescent="0.25">
      <c r="A59" s="402" t="s">
        <v>136</v>
      </c>
      <c r="B59" s="403" t="s">
        <v>494</v>
      </c>
      <c r="C59" s="1720" t="s">
        <v>266</v>
      </c>
      <c r="D59" s="476">
        <v>0.16300000000000001</v>
      </c>
      <c r="E59" s="476">
        <v>0.16600000000000001</v>
      </c>
      <c r="F59" s="476">
        <v>0.18</v>
      </c>
      <c r="G59" s="476">
        <v>0.17300000000000001</v>
      </c>
      <c r="H59" s="476">
        <v>0.17100000000000001</v>
      </c>
      <c r="I59" s="476">
        <v>0.22800000000000001</v>
      </c>
      <c r="J59" s="476">
        <v>0.19800000000000001</v>
      </c>
      <c r="K59" s="476">
        <v>0.193</v>
      </c>
      <c r="L59" s="476">
        <v>0.215</v>
      </c>
      <c r="M59" s="476">
        <v>0.22500000000000001</v>
      </c>
      <c r="N59" s="477">
        <v>0.20499999999999999</v>
      </c>
      <c r="O59" s="974">
        <v>0.22600000000000001</v>
      </c>
      <c r="P59" s="974">
        <v>0.27300000000000002</v>
      </c>
      <c r="Q59" s="974">
        <v>0.21353528278760286</v>
      </c>
      <c r="R59" s="1988">
        <v>0.22378293491537254</v>
      </c>
      <c r="S59" s="1714">
        <v>0.21113074204946997</v>
      </c>
      <c r="T59" s="478"/>
      <c r="U59" s="479">
        <v>1965</v>
      </c>
      <c r="V59" s="479">
        <v>1986</v>
      </c>
      <c r="W59" s="479">
        <v>2164</v>
      </c>
      <c r="X59" s="479">
        <v>2061</v>
      </c>
      <c r="Y59" s="479">
        <v>2055</v>
      </c>
      <c r="Z59" s="479">
        <v>2718</v>
      </c>
      <c r="AA59" s="479">
        <v>2368</v>
      </c>
      <c r="AB59" s="479">
        <v>2276</v>
      </c>
      <c r="AC59" s="479">
        <v>2516</v>
      </c>
      <c r="AD59" s="479">
        <v>2597</v>
      </c>
      <c r="AE59" s="480">
        <v>2396</v>
      </c>
      <c r="AF59" s="981">
        <v>2636</v>
      </c>
      <c r="AG59" s="1346">
        <v>3131</v>
      </c>
      <c r="AH59" s="1350">
        <v>2439</v>
      </c>
      <c r="AI59" s="1995">
        <v>2565</v>
      </c>
      <c r="AJ59" s="1713">
        <v>2390</v>
      </c>
    </row>
    <row r="60" spans="1:36" ht="16.5" customHeight="1" x14ac:dyDescent="0.25">
      <c r="A60" s="402" t="s">
        <v>140</v>
      </c>
      <c r="B60" s="403" t="s">
        <v>495</v>
      </c>
      <c r="C60" s="1720" t="s">
        <v>267</v>
      </c>
      <c r="D60" s="476">
        <v>9.8000000000000004E-2</v>
      </c>
      <c r="E60" s="476">
        <v>8.900000000000001E-2</v>
      </c>
      <c r="F60" s="476">
        <v>9.4E-2</v>
      </c>
      <c r="G60" s="476">
        <v>9.5000000000000001E-2</v>
      </c>
      <c r="H60" s="476">
        <v>9.0999999999999998E-2</v>
      </c>
      <c r="I60" s="476">
        <v>9.8000000000000004E-2</v>
      </c>
      <c r="J60" s="476">
        <v>0.10199999999999999</v>
      </c>
      <c r="K60" s="476">
        <v>9.8000000000000004E-2</v>
      </c>
      <c r="L60" s="476">
        <v>0.107</v>
      </c>
      <c r="M60" s="476">
        <v>0.10800000000000001</v>
      </c>
      <c r="N60" s="477">
        <v>0.11699999999999999</v>
      </c>
      <c r="O60" s="974">
        <v>0.11900000000000001</v>
      </c>
      <c r="P60" s="974">
        <v>0.13</v>
      </c>
      <c r="Q60" s="974">
        <v>0.1266191461638691</v>
      </c>
      <c r="R60" s="1988">
        <v>0.12283803520639557</v>
      </c>
      <c r="S60" s="1714">
        <v>0.10405915427867211</v>
      </c>
      <c r="T60" s="478"/>
      <c r="U60" s="479">
        <v>1235</v>
      </c>
      <c r="V60" s="479">
        <v>1141</v>
      </c>
      <c r="W60" s="479">
        <v>1221</v>
      </c>
      <c r="X60" s="479">
        <v>1231</v>
      </c>
      <c r="Y60" s="479">
        <v>1209</v>
      </c>
      <c r="Z60" s="479">
        <v>1293</v>
      </c>
      <c r="AA60" s="479">
        <v>1369</v>
      </c>
      <c r="AB60" s="479">
        <v>1319</v>
      </c>
      <c r="AC60" s="479">
        <v>1434</v>
      </c>
      <c r="AD60" s="479">
        <v>1456</v>
      </c>
      <c r="AE60" s="480">
        <v>1544</v>
      </c>
      <c r="AF60" s="981">
        <v>1549</v>
      </c>
      <c r="AG60" s="1346">
        <v>1693</v>
      </c>
      <c r="AH60" s="1350">
        <v>1652</v>
      </c>
      <c r="AI60" s="1995">
        <v>1598</v>
      </c>
      <c r="AJ60" s="1713">
        <v>1351</v>
      </c>
    </row>
    <row r="61" spans="1:36" ht="16.5" customHeight="1" x14ac:dyDescent="0.25">
      <c r="A61" s="402" t="s">
        <v>146</v>
      </c>
      <c r="B61" s="403" t="s">
        <v>496</v>
      </c>
      <c r="C61" s="1720" t="s">
        <v>264</v>
      </c>
      <c r="D61" s="476">
        <v>8.6999999999999994E-2</v>
      </c>
      <c r="E61" s="476">
        <v>8.5999999999999993E-2</v>
      </c>
      <c r="F61" s="476">
        <v>8.900000000000001E-2</v>
      </c>
      <c r="G61" s="476">
        <v>8.6999999999999994E-2</v>
      </c>
      <c r="H61" s="476">
        <v>8.3000000000000004E-2</v>
      </c>
      <c r="I61" s="476">
        <v>8.1000000000000003E-2</v>
      </c>
      <c r="J61" s="476">
        <v>8.3000000000000004E-2</v>
      </c>
      <c r="K61" s="476">
        <v>8.1000000000000003E-2</v>
      </c>
      <c r="L61" s="476">
        <v>8.6999999999999994E-2</v>
      </c>
      <c r="M61" s="476">
        <v>9.6999999999999989E-2</v>
      </c>
      <c r="N61" s="477">
        <v>0.10199999999999999</v>
      </c>
      <c r="O61" s="974">
        <v>0.1</v>
      </c>
      <c r="P61" s="974">
        <v>0.104</v>
      </c>
      <c r="Q61" s="974">
        <v>0.10547229791099001</v>
      </c>
      <c r="R61" s="1988">
        <v>0.10593075077134041</v>
      </c>
      <c r="S61" s="1714">
        <v>0.10198268003646307</v>
      </c>
      <c r="T61" s="478"/>
      <c r="U61" s="482">
        <v>799</v>
      </c>
      <c r="V61" s="482">
        <v>785</v>
      </c>
      <c r="W61" s="482">
        <v>819</v>
      </c>
      <c r="X61" s="482">
        <v>800</v>
      </c>
      <c r="Y61" s="482">
        <v>766</v>
      </c>
      <c r="Z61" s="482">
        <v>735</v>
      </c>
      <c r="AA61" s="482">
        <v>756</v>
      </c>
      <c r="AB61" s="482">
        <v>723</v>
      </c>
      <c r="AC61" s="479">
        <v>777</v>
      </c>
      <c r="AD61" s="479">
        <v>860</v>
      </c>
      <c r="AE61" s="480">
        <v>903</v>
      </c>
      <c r="AF61" s="981">
        <v>888</v>
      </c>
      <c r="AG61" s="1346">
        <v>917</v>
      </c>
      <c r="AH61" s="1350">
        <v>929</v>
      </c>
      <c r="AI61" s="1995">
        <v>927</v>
      </c>
      <c r="AJ61" s="1713">
        <v>895</v>
      </c>
    </row>
    <row r="62" spans="1:36" ht="16.5" customHeight="1" x14ac:dyDescent="0.25">
      <c r="A62" s="402" t="s">
        <v>148</v>
      </c>
      <c r="B62" s="403" t="s">
        <v>497</v>
      </c>
      <c r="C62" s="1720" t="s">
        <v>265</v>
      </c>
      <c r="D62" s="476">
        <v>0.13400000000000001</v>
      </c>
      <c r="E62" s="476">
        <v>0.13300000000000001</v>
      </c>
      <c r="F62" s="476">
        <v>0.153</v>
      </c>
      <c r="G62" s="476">
        <v>0.154</v>
      </c>
      <c r="H62" s="476">
        <v>0.14800000000000002</v>
      </c>
      <c r="I62" s="476">
        <v>0.16399999999999998</v>
      </c>
      <c r="J62" s="476">
        <v>0.14800000000000002</v>
      </c>
      <c r="K62" s="476">
        <v>0.16</v>
      </c>
      <c r="L62" s="476">
        <v>0.17399999999999999</v>
      </c>
      <c r="M62" s="476">
        <v>0.188</v>
      </c>
      <c r="N62" s="477">
        <v>0.20199999999999999</v>
      </c>
      <c r="O62" s="974">
        <v>0.19</v>
      </c>
      <c r="P62" s="974">
        <v>0.19900000000000001</v>
      </c>
      <c r="Q62" s="974">
        <v>0.17092054327143888</v>
      </c>
      <c r="R62" s="1988">
        <v>0.21091581868640147</v>
      </c>
      <c r="S62" s="1714">
        <v>0.20371599203715993</v>
      </c>
      <c r="T62" s="478"/>
      <c r="U62" s="479">
        <v>4156</v>
      </c>
      <c r="V62" s="479">
        <v>4113</v>
      </c>
      <c r="W62" s="479">
        <v>4773</v>
      </c>
      <c r="X62" s="479">
        <v>4779</v>
      </c>
      <c r="Y62" s="479">
        <v>4609</v>
      </c>
      <c r="Z62" s="479">
        <v>5062</v>
      </c>
      <c r="AA62" s="479">
        <v>4570</v>
      </c>
      <c r="AB62" s="479">
        <v>4889</v>
      </c>
      <c r="AC62" s="479">
        <v>5331</v>
      </c>
      <c r="AD62" s="479">
        <v>5731</v>
      </c>
      <c r="AE62" s="480">
        <v>6241</v>
      </c>
      <c r="AF62" s="981">
        <v>5870</v>
      </c>
      <c r="AG62" s="1346">
        <v>6119</v>
      </c>
      <c r="AH62" s="1350">
        <v>5210</v>
      </c>
      <c r="AI62" s="1995">
        <v>6384</v>
      </c>
      <c r="AJ62" s="1713">
        <v>6140</v>
      </c>
    </row>
    <row r="63" spans="1:36" ht="16.5" customHeight="1" x14ac:dyDescent="0.25">
      <c r="A63" s="402" t="s">
        <v>150</v>
      </c>
      <c r="B63" s="403" t="s">
        <v>498</v>
      </c>
      <c r="C63" s="1720" t="s">
        <v>266</v>
      </c>
      <c r="D63" s="476">
        <v>0.115</v>
      </c>
      <c r="E63" s="476">
        <v>0.11199999999999999</v>
      </c>
      <c r="F63" s="476">
        <v>0.11800000000000001</v>
      </c>
      <c r="G63" s="476">
        <v>0.11599999999999999</v>
      </c>
      <c r="H63" s="476">
        <v>0.11599999999999999</v>
      </c>
      <c r="I63" s="476">
        <v>0.13300000000000001</v>
      </c>
      <c r="J63" s="476">
        <v>0.127</v>
      </c>
      <c r="K63" s="476">
        <v>0.122</v>
      </c>
      <c r="L63" s="476">
        <v>0.124</v>
      </c>
      <c r="M63" s="476">
        <v>0.13800000000000001</v>
      </c>
      <c r="N63" s="477">
        <v>0.13599999999999998</v>
      </c>
      <c r="O63" s="974">
        <v>0.128</v>
      </c>
      <c r="P63" s="974">
        <v>0.14799999999999999</v>
      </c>
      <c r="Q63" s="974">
        <v>0.15497160458176917</v>
      </c>
      <c r="R63" s="1988">
        <v>0.14419910904512881</v>
      </c>
      <c r="S63" s="1714">
        <v>0.12779677576941867</v>
      </c>
      <c r="T63" s="478"/>
      <c r="U63" s="479">
        <v>1117</v>
      </c>
      <c r="V63" s="479">
        <v>1103</v>
      </c>
      <c r="W63" s="479">
        <v>1189</v>
      </c>
      <c r="X63" s="479">
        <v>1193</v>
      </c>
      <c r="Y63" s="479">
        <v>1190</v>
      </c>
      <c r="Z63" s="479">
        <v>1354</v>
      </c>
      <c r="AA63" s="479">
        <v>1307</v>
      </c>
      <c r="AB63" s="479">
        <v>1259</v>
      </c>
      <c r="AC63" s="479">
        <v>1272</v>
      </c>
      <c r="AD63" s="479">
        <v>1435</v>
      </c>
      <c r="AE63" s="480">
        <v>1442</v>
      </c>
      <c r="AF63" s="981">
        <v>1343</v>
      </c>
      <c r="AG63" s="1346">
        <v>1544</v>
      </c>
      <c r="AH63" s="1350">
        <v>1610</v>
      </c>
      <c r="AI63" s="1995">
        <v>1489</v>
      </c>
      <c r="AJ63" s="1713">
        <v>1308</v>
      </c>
    </row>
    <row r="64" spans="1:36" ht="16.5" customHeight="1" x14ac:dyDescent="0.25">
      <c r="A64" s="402" t="s">
        <v>152</v>
      </c>
      <c r="B64" s="403" t="s">
        <v>499</v>
      </c>
      <c r="C64" s="1720" t="s">
        <v>268</v>
      </c>
      <c r="D64" s="476">
        <v>0.125</v>
      </c>
      <c r="E64" s="476">
        <v>0.128</v>
      </c>
      <c r="F64" s="476">
        <v>0.14000000000000001</v>
      </c>
      <c r="G64" s="476">
        <v>0.152</v>
      </c>
      <c r="H64" s="476">
        <v>0.14899999999999999</v>
      </c>
      <c r="I64" s="476">
        <v>0.20899999999999999</v>
      </c>
      <c r="J64" s="476">
        <v>0.20300000000000001</v>
      </c>
      <c r="K64" s="476">
        <v>0.19899999999999998</v>
      </c>
      <c r="L64" s="476">
        <v>0.20600000000000002</v>
      </c>
      <c r="M64" s="476">
        <v>0.19</v>
      </c>
      <c r="N64" s="477">
        <v>0.20500000000000002</v>
      </c>
      <c r="O64" s="974">
        <v>0.22500000000000001</v>
      </c>
      <c r="P64" s="974">
        <v>0.23300000000000001</v>
      </c>
      <c r="Q64" s="974">
        <v>0.23402582688817211</v>
      </c>
      <c r="R64" s="1988">
        <v>0.24846957969015401</v>
      </c>
      <c r="S64" s="1714">
        <v>0.2082472823003427</v>
      </c>
      <c r="T64" s="478"/>
      <c r="U64" s="479">
        <v>9453</v>
      </c>
      <c r="V64" s="479">
        <v>9761</v>
      </c>
      <c r="W64" s="479">
        <v>10779</v>
      </c>
      <c r="X64" s="479">
        <v>11417</v>
      </c>
      <c r="Y64" s="479">
        <v>11267</v>
      </c>
      <c r="Z64" s="479">
        <v>15671</v>
      </c>
      <c r="AA64" s="479">
        <v>15296</v>
      </c>
      <c r="AB64" s="479">
        <v>15836</v>
      </c>
      <c r="AC64" s="479">
        <v>16498</v>
      </c>
      <c r="AD64" s="479">
        <v>15475</v>
      </c>
      <c r="AE64" s="480">
        <v>17470</v>
      </c>
      <c r="AF64" s="981">
        <v>19169</v>
      </c>
      <c r="AG64" s="1346">
        <v>20087</v>
      </c>
      <c r="AH64" s="1350">
        <v>20243</v>
      </c>
      <c r="AI64" s="1995">
        <v>21796</v>
      </c>
      <c r="AJ64" s="1713">
        <v>18352</v>
      </c>
    </row>
    <row r="65" spans="1:36" ht="16.5" customHeight="1" x14ac:dyDescent="0.25">
      <c r="A65" s="402" t="s">
        <v>154</v>
      </c>
      <c r="B65" s="403" t="s">
        <v>500</v>
      </c>
      <c r="C65" s="1720" t="s">
        <v>265</v>
      </c>
      <c r="D65" s="476">
        <v>0.10300000000000001</v>
      </c>
      <c r="E65" s="476">
        <v>0.10199999999999999</v>
      </c>
      <c r="F65" s="476">
        <v>0.109</v>
      </c>
      <c r="G65" s="476">
        <v>0.11199999999999999</v>
      </c>
      <c r="H65" s="476">
        <v>0.10400000000000001</v>
      </c>
      <c r="I65" s="476">
        <v>0.11900000000000001</v>
      </c>
      <c r="J65" s="476">
        <v>0.113</v>
      </c>
      <c r="K65" s="476">
        <v>0.114</v>
      </c>
      <c r="L65" s="476">
        <v>0.13200000000000001</v>
      </c>
      <c r="M65" s="476">
        <v>0.127</v>
      </c>
      <c r="N65" s="477">
        <v>0.13100000000000001</v>
      </c>
      <c r="O65" s="974">
        <v>0.13600000000000001</v>
      </c>
      <c r="P65" s="974">
        <v>0.14099999999999999</v>
      </c>
      <c r="Q65" s="974">
        <v>0.15804167234100505</v>
      </c>
      <c r="R65" s="1988">
        <v>0.1338801518438178</v>
      </c>
      <c r="S65" s="1714">
        <v>0.13879052029419778</v>
      </c>
      <c r="T65" s="478"/>
      <c r="U65" s="479">
        <v>1493</v>
      </c>
      <c r="V65" s="479">
        <v>1495</v>
      </c>
      <c r="W65" s="479">
        <v>1638</v>
      </c>
      <c r="X65" s="479">
        <v>1674</v>
      </c>
      <c r="Y65" s="479">
        <v>1574</v>
      </c>
      <c r="Z65" s="479">
        <v>1770</v>
      </c>
      <c r="AA65" s="479">
        <v>1704</v>
      </c>
      <c r="AB65" s="479">
        <v>1730</v>
      </c>
      <c r="AC65" s="479">
        <v>2009</v>
      </c>
      <c r="AD65" s="479">
        <v>1960</v>
      </c>
      <c r="AE65" s="480">
        <v>1956</v>
      </c>
      <c r="AF65" s="981">
        <v>2036</v>
      </c>
      <c r="AG65" s="1346">
        <v>2075</v>
      </c>
      <c r="AH65" s="1350">
        <v>2321</v>
      </c>
      <c r="AI65" s="1995">
        <v>1975</v>
      </c>
      <c r="AJ65" s="1713">
        <v>2038</v>
      </c>
    </row>
    <row r="66" spans="1:36" ht="16.5" customHeight="1" x14ac:dyDescent="0.25">
      <c r="A66" s="402" t="s">
        <v>156</v>
      </c>
      <c r="B66" s="403" t="s">
        <v>501</v>
      </c>
      <c r="C66" s="1720" t="s">
        <v>266</v>
      </c>
      <c r="D66" s="476">
        <v>5.0999999999999997E-2</v>
      </c>
      <c r="E66" s="476">
        <v>5.2000000000000005E-2</v>
      </c>
      <c r="F66" s="476">
        <v>5.7000000000000002E-2</v>
      </c>
      <c r="G66" s="476">
        <v>5.5999999999999994E-2</v>
      </c>
      <c r="H66" s="476">
        <v>5.5E-2</v>
      </c>
      <c r="I66" s="476">
        <v>5.2000000000000005E-2</v>
      </c>
      <c r="J66" s="476">
        <v>5.5E-2</v>
      </c>
      <c r="K66" s="476">
        <v>5.2999999999999999E-2</v>
      </c>
      <c r="L66" s="476">
        <v>5.5999999999999994E-2</v>
      </c>
      <c r="M66" s="476">
        <v>5.5999999999999994E-2</v>
      </c>
      <c r="N66" s="477">
        <v>5.7999999999999996E-2</v>
      </c>
      <c r="O66" s="974">
        <v>6.9000000000000006E-2</v>
      </c>
      <c r="P66" s="974">
        <v>6.7000000000000004E-2</v>
      </c>
      <c r="Q66" s="974">
        <v>6.6663142313385493E-2</v>
      </c>
      <c r="R66" s="1988">
        <v>6.1789370787672993E-2</v>
      </c>
      <c r="S66" s="1714">
        <v>6.7215432784567222E-2</v>
      </c>
      <c r="T66" s="478"/>
      <c r="U66" s="482">
        <v>683</v>
      </c>
      <c r="V66" s="482">
        <v>720</v>
      </c>
      <c r="W66" s="482">
        <v>823</v>
      </c>
      <c r="X66" s="482">
        <v>858</v>
      </c>
      <c r="Y66" s="482">
        <v>864</v>
      </c>
      <c r="Z66" s="482">
        <v>821</v>
      </c>
      <c r="AA66" s="482">
        <v>905</v>
      </c>
      <c r="AB66" s="482">
        <v>880</v>
      </c>
      <c r="AC66" s="479">
        <v>959</v>
      </c>
      <c r="AD66" s="479">
        <v>981</v>
      </c>
      <c r="AE66" s="480">
        <v>1037</v>
      </c>
      <c r="AF66" s="981">
        <v>1257</v>
      </c>
      <c r="AG66" s="1346">
        <v>1238</v>
      </c>
      <c r="AH66" s="1350">
        <v>1261</v>
      </c>
      <c r="AI66" s="1995">
        <v>1201</v>
      </c>
      <c r="AJ66" s="1713">
        <v>1331</v>
      </c>
    </row>
    <row r="67" spans="1:36" ht="16.5" customHeight="1" x14ac:dyDescent="0.25">
      <c r="A67" s="402" t="s">
        <v>162</v>
      </c>
      <c r="B67" s="403" t="s">
        <v>502</v>
      </c>
      <c r="C67" s="1720" t="s">
        <v>264</v>
      </c>
      <c r="D67" s="476">
        <v>0.18600000000000003</v>
      </c>
      <c r="E67" s="476">
        <v>0.17600000000000002</v>
      </c>
      <c r="F67" s="476">
        <v>0.184</v>
      </c>
      <c r="G67" s="476">
        <v>0.18100000000000002</v>
      </c>
      <c r="H67" s="476">
        <v>0.17600000000000002</v>
      </c>
      <c r="I67" s="476">
        <v>0.19899999999999998</v>
      </c>
      <c r="J67" s="476">
        <v>0.18899999999999997</v>
      </c>
      <c r="K67" s="476">
        <v>0.20800000000000002</v>
      </c>
      <c r="L67" s="476">
        <v>0.19500000000000001</v>
      </c>
      <c r="M67" s="476">
        <v>0.20600000000000002</v>
      </c>
      <c r="N67" s="477">
        <v>0.18699999999999997</v>
      </c>
      <c r="O67" s="974">
        <v>0.22699999999999998</v>
      </c>
      <c r="P67" s="974">
        <v>0.22500000000000001</v>
      </c>
      <c r="Q67" s="974">
        <v>0.22372624852866993</v>
      </c>
      <c r="R67" s="1988">
        <v>0.21479613282891971</v>
      </c>
      <c r="S67" s="1714">
        <v>0.20504864139550485</v>
      </c>
      <c r="T67" s="478"/>
      <c r="U67" s="479">
        <v>2377</v>
      </c>
      <c r="V67" s="479">
        <v>2271</v>
      </c>
      <c r="W67" s="479">
        <v>2426</v>
      </c>
      <c r="X67" s="479">
        <v>2380</v>
      </c>
      <c r="Y67" s="479">
        <v>2359</v>
      </c>
      <c r="Z67" s="479">
        <v>2614</v>
      </c>
      <c r="AA67" s="479">
        <v>2527</v>
      </c>
      <c r="AB67" s="479">
        <v>2732</v>
      </c>
      <c r="AC67" s="479">
        <v>2560</v>
      </c>
      <c r="AD67" s="479">
        <v>2723</v>
      </c>
      <c r="AE67" s="480">
        <v>2258</v>
      </c>
      <c r="AF67" s="981">
        <v>2744</v>
      </c>
      <c r="AG67" s="1346">
        <v>2705</v>
      </c>
      <c r="AH67" s="1350">
        <v>2661</v>
      </c>
      <c r="AI67" s="1995">
        <v>2555</v>
      </c>
      <c r="AJ67" s="1713">
        <v>2445</v>
      </c>
    </row>
    <row r="68" spans="1:36" ht="16.5" customHeight="1" x14ac:dyDescent="0.25">
      <c r="A68" s="402" t="s">
        <v>164</v>
      </c>
      <c r="B68" s="403" t="s">
        <v>503</v>
      </c>
      <c r="C68" s="1720" t="s">
        <v>266</v>
      </c>
      <c r="D68" s="476">
        <v>0.11800000000000001</v>
      </c>
      <c r="E68" s="476">
        <v>0.11699999999999999</v>
      </c>
      <c r="F68" s="476">
        <v>0.13</v>
      </c>
      <c r="G68" s="476">
        <v>0.12300000000000001</v>
      </c>
      <c r="H68" s="476">
        <v>0.11800000000000001</v>
      </c>
      <c r="I68" s="476">
        <v>0.124</v>
      </c>
      <c r="J68" s="476">
        <v>0.13400000000000001</v>
      </c>
      <c r="K68" s="476">
        <v>0.13600000000000001</v>
      </c>
      <c r="L68" s="476">
        <v>0.13</v>
      </c>
      <c r="M68" s="476">
        <v>0.13600000000000001</v>
      </c>
      <c r="N68" s="477">
        <v>0.14399999999999999</v>
      </c>
      <c r="O68" s="974">
        <v>0.13800000000000001</v>
      </c>
      <c r="P68" s="974">
        <v>0.14699999999999999</v>
      </c>
      <c r="Q68" s="974">
        <v>0.16063794804340678</v>
      </c>
      <c r="R68" s="1988">
        <v>0.14321957607005484</v>
      </c>
      <c r="S68" s="1714">
        <v>0.13657976717494671</v>
      </c>
      <c r="T68" s="478"/>
      <c r="U68" s="479">
        <v>1458</v>
      </c>
      <c r="V68" s="479">
        <v>1477</v>
      </c>
      <c r="W68" s="479">
        <v>1666</v>
      </c>
      <c r="X68" s="479">
        <v>1592</v>
      </c>
      <c r="Y68" s="479">
        <v>1523</v>
      </c>
      <c r="Z68" s="479">
        <v>1591</v>
      </c>
      <c r="AA68" s="479">
        <v>1709</v>
      </c>
      <c r="AB68" s="479">
        <v>1756</v>
      </c>
      <c r="AC68" s="479">
        <v>1679</v>
      </c>
      <c r="AD68" s="479">
        <v>1766</v>
      </c>
      <c r="AE68" s="480">
        <v>1766</v>
      </c>
      <c r="AF68" s="981">
        <v>1719</v>
      </c>
      <c r="AG68" s="1346">
        <v>1816</v>
      </c>
      <c r="AH68" s="1350">
        <v>1954</v>
      </c>
      <c r="AI68" s="1995">
        <v>1750</v>
      </c>
      <c r="AJ68" s="1713">
        <v>1666</v>
      </c>
    </row>
    <row r="69" spans="1:36" ht="16.5" customHeight="1" x14ac:dyDescent="0.25">
      <c r="A69" s="402" t="s">
        <v>168</v>
      </c>
      <c r="B69" s="403" t="s">
        <v>504</v>
      </c>
      <c r="C69" s="1720" t="s">
        <v>266</v>
      </c>
      <c r="D69" s="476">
        <v>0.16399999999999998</v>
      </c>
      <c r="E69" s="476">
        <v>0.156</v>
      </c>
      <c r="F69" s="476">
        <v>0.17</v>
      </c>
      <c r="G69" s="476">
        <v>0.17300000000000001</v>
      </c>
      <c r="H69" s="476">
        <v>0.16800000000000001</v>
      </c>
      <c r="I69" s="476">
        <v>0.19399999999999998</v>
      </c>
      <c r="J69" s="476">
        <v>0.193</v>
      </c>
      <c r="K69" s="476">
        <v>0.19899999999999998</v>
      </c>
      <c r="L69" s="476">
        <v>0.20600000000000002</v>
      </c>
      <c r="M69" s="476">
        <v>0.20300000000000001</v>
      </c>
      <c r="N69" s="477">
        <v>0.20799999999999999</v>
      </c>
      <c r="O69" s="974">
        <v>0.221</v>
      </c>
      <c r="P69" s="974">
        <v>0.23300000000000001</v>
      </c>
      <c r="Q69" s="974">
        <v>0.2353453911527566</v>
      </c>
      <c r="R69" s="1988">
        <v>0.24342873831775702</v>
      </c>
      <c r="S69" s="1714">
        <v>0.23663838022926903</v>
      </c>
      <c r="T69" s="478"/>
      <c r="U69" s="479">
        <v>2331</v>
      </c>
      <c r="V69" s="479">
        <v>2210</v>
      </c>
      <c r="W69" s="479">
        <v>2405</v>
      </c>
      <c r="X69" s="479">
        <v>2444</v>
      </c>
      <c r="Y69" s="479">
        <v>2367</v>
      </c>
      <c r="Z69" s="479">
        <v>2703</v>
      </c>
      <c r="AA69" s="479">
        <v>2702</v>
      </c>
      <c r="AB69" s="479">
        <v>2785</v>
      </c>
      <c r="AC69" s="479">
        <v>2921</v>
      </c>
      <c r="AD69" s="479">
        <v>2880</v>
      </c>
      <c r="AE69" s="480">
        <v>2903</v>
      </c>
      <c r="AF69" s="981">
        <v>3085</v>
      </c>
      <c r="AG69" s="1346">
        <v>3226</v>
      </c>
      <c r="AH69" s="1350">
        <v>3240</v>
      </c>
      <c r="AI69" s="1995">
        <v>3334</v>
      </c>
      <c r="AJ69" s="1713">
        <v>3179</v>
      </c>
    </row>
    <row r="70" spans="1:36" ht="16.5" customHeight="1" x14ac:dyDescent="0.25">
      <c r="A70" s="402" t="s">
        <v>170</v>
      </c>
      <c r="B70" s="403" t="s">
        <v>505</v>
      </c>
      <c r="C70" s="1720" t="s">
        <v>267</v>
      </c>
      <c r="D70" s="476">
        <v>8.900000000000001E-2</v>
      </c>
      <c r="E70" s="476">
        <v>8.6999999999999994E-2</v>
      </c>
      <c r="F70" s="476">
        <v>8.8000000000000009E-2</v>
      </c>
      <c r="G70" s="476">
        <v>8.5999999999999993E-2</v>
      </c>
      <c r="H70" s="476">
        <v>0.08</v>
      </c>
      <c r="I70" s="476">
        <v>8.4000000000000005E-2</v>
      </c>
      <c r="J70" s="476">
        <v>7.8E-2</v>
      </c>
      <c r="K70" s="476">
        <v>8.5999999999999993E-2</v>
      </c>
      <c r="L70" s="476">
        <v>8.199999999999999E-2</v>
      </c>
      <c r="M70" s="476">
        <v>9.5000000000000001E-2</v>
      </c>
      <c r="N70" s="477">
        <v>0.10699999999999998</v>
      </c>
      <c r="O70" s="974">
        <v>0.11900000000000001</v>
      </c>
      <c r="P70" s="974">
        <v>0.1</v>
      </c>
      <c r="Q70" s="974">
        <v>0.10405337879544987</v>
      </c>
      <c r="R70" s="1988">
        <v>0.10683735816118708</v>
      </c>
      <c r="S70" s="1714">
        <v>0.10368364966446819</v>
      </c>
      <c r="T70" s="478"/>
      <c r="U70" s="479">
        <v>2338</v>
      </c>
      <c r="V70" s="479">
        <v>2333</v>
      </c>
      <c r="W70" s="479">
        <v>2447</v>
      </c>
      <c r="X70" s="479">
        <v>2444</v>
      </c>
      <c r="Y70" s="479">
        <v>2375</v>
      </c>
      <c r="Z70" s="479">
        <v>2490</v>
      </c>
      <c r="AA70" s="479">
        <v>2412</v>
      </c>
      <c r="AB70" s="479">
        <v>2728</v>
      </c>
      <c r="AC70" s="479">
        <v>2677</v>
      </c>
      <c r="AD70" s="479">
        <v>3130</v>
      </c>
      <c r="AE70" s="480">
        <v>3517</v>
      </c>
      <c r="AF70" s="981">
        <v>3950</v>
      </c>
      <c r="AG70" s="1346">
        <v>3364</v>
      </c>
      <c r="AH70" s="1350">
        <v>3540</v>
      </c>
      <c r="AI70" s="1995">
        <v>3672</v>
      </c>
      <c r="AJ70" s="1713">
        <v>3600</v>
      </c>
    </row>
    <row r="71" spans="1:36" ht="16.5" customHeight="1" x14ac:dyDescent="0.25">
      <c r="A71" s="402" t="s">
        <v>172</v>
      </c>
      <c r="B71" s="403" t="s">
        <v>506</v>
      </c>
      <c r="C71" s="1720" t="s">
        <v>267</v>
      </c>
      <c r="D71" s="476">
        <v>0.106</v>
      </c>
      <c r="E71" s="476">
        <v>0.10099999999999999</v>
      </c>
      <c r="F71" s="476">
        <v>0.11</v>
      </c>
      <c r="G71" s="476">
        <v>0.12</v>
      </c>
      <c r="H71" s="476">
        <v>0.11599999999999999</v>
      </c>
      <c r="I71" s="476">
        <v>0.13300000000000001</v>
      </c>
      <c r="J71" s="476">
        <v>0.13</v>
      </c>
      <c r="K71" s="476">
        <v>0.122</v>
      </c>
      <c r="L71" s="476">
        <v>0.14199999999999999</v>
      </c>
      <c r="M71" s="476">
        <v>0.125</v>
      </c>
      <c r="N71" s="477">
        <v>0.15699999999999997</v>
      </c>
      <c r="O71" s="974">
        <v>0.17100000000000001</v>
      </c>
      <c r="P71" s="974">
        <v>0.156</v>
      </c>
      <c r="Q71" s="974">
        <v>0.15255675790367071</v>
      </c>
      <c r="R71" s="1988">
        <v>0.16910300410999535</v>
      </c>
      <c r="S71" s="1714">
        <v>0.15047075363183232</v>
      </c>
      <c r="T71" s="478"/>
      <c r="U71" s="479">
        <v>2439</v>
      </c>
      <c r="V71" s="479">
        <v>2339</v>
      </c>
      <c r="W71" s="479">
        <v>2578</v>
      </c>
      <c r="X71" s="479">
        <v>2818</v>
      </c>
      <c r="Y71" s="479">
        <v>2752</v>
      </c>
      <c r="Z71" s="479">
        <v>3116</v>
      </c>
      <c r="AA71" s="479">
        <v>3093</v>
      </c>
      <c r="AB71" s="479">
        <v>2912</v>
      </c>
      <c r="AC71" s="479">
        <v>3370</v>
      </c>
      <c r="AD71" s="479">
        <v>2964</v>
      </c>
      <c r="AE71" s="480">
        <v>3725</v>
      </c>
      <c r="AF71" s="981">
        <v>4055</v>
      </c>
      <c r="AG71" s="1346">
        <v>3683</v>
      </c>
      <c r="AH71" s="1350">
        <v>3595</v>
      </c>
      <c r="AI71" s="1995">
        <v>3991</v>
      </c>
      <c r="AJ71" s="1713">
        <v>3532</v>
      </c>
    </row>
    <row r="72" spans="1:36" ht="16.5" customHeight="1" x14ac:dyDescent="0.25">
      <c r="A72" s="402" t="s">
        <v>174</v>
      </c>
      <c r="B72" s="403" t="s">
        <v>507</v>
      </c>
      <c r="C72" s="1720" t="s">
        <v>268</v>
      </c>
      <c r="D72" s="476">
        <v>0.125</v>
      </c>
      <c r="E72" s="476">
        <v>0.129</v>
      </c>
      <c r="F72" s="476">
        <v>0.13600000000000001</v>
      </c>
      <c r="G72" s="476">
        <v>0.14099999999999999</v>
      </c>
      <c r="H72" s="476">
        <v>0.14000000000000001</v>
      </c>
      <c r="I72" s="476">
        <v>0.161</v>
      </c>
      <c r="J72" s="476">
        <v>0.14099999999999999</v>
      </c>
      <c r="K72" s="476">
        <v>0.15</v>
      </c>
      <c r="L72" s="476">
        <v>0.17100000000000001</v>
      </c>
      <c r="M72" s="476">
        <v>0.17600000000000002</v>
      </c>
      <c r="N72" s="477">
        <v>0.187</v>
      </c>
      <c r="O72" s="974">
        <v>0.18</v>
      </c>
      <c r="P72" s="974">
        <v>0.18099999999999999</v>
      </c>
      <c r="Q72" s="974">
        <v>0.19443982942903029</v>
      </c>
      <c r="R72" s="1988">
        <v>0.21903012081732642</v>
      </c>
      <c r="S72" s="1714">
        <v>0.16968262021534472</v>
      </c>
      <c r="T72" s="478"/>
      <c r="U72" s="479">
        <v>2427</v>
      </c>
      <c r="V72" s="479">
        <v>2471</v>
      </c>
      <c r="W72" s="479">
        <v>2610</v>
      </c>
      <c r="X72" s="479">
        <v>2701</v>
      </c>
      <c r="Y72" s="479">
        <v>2690</v>
      </c>
      <c r="Z72" s="479">
        <v>3039</v>
      </c>
      <c r="AA72" s="479">
        <v>2686</v>
      </c>
      <c r="AB72" s="479">
        <v>2797</v>
      </c>
      <c r="AC72" s="479">
        <v>3185</v>
      </c>
      <c r="AD72" s="479">
        <v>3246</v>
      </c>
      <c r="AE72" s="480">
        <v>3407</v>
      </c>
      <c r="AF72" s="981">
        <v>3260</v>
      </c>
      <c r="AG72" s="1346">
        <v>3280</v>
      </c>
      <c r="AH72" s="1350">
        <v>3511</v>
      </c>
      <c r="AI72" s="1995">
        <v>3934</v>
      </c>
      <c r="AJ72" s="1713">
        <v>3010</v>
      </c>
    </row>
    <row r="73" spans="1:36" ht="16.5" customHeight="1" x14ac:dyDescent="0.25">
      <c r="A73" s="402" t="s">
        <v>178</v>
      </c>
      <c r="B73" s="403" t="s">
        <v>179</v>
      </c>
      <c r="C73" s="1720" t="s">
        <v>265</v>
      </c>
      <c r="D73" s="476">
        <v>0.10099999999999999</v>
      </c>
      <c r="E73" s="476">
        <v>0.10199999999999999</v>
      </c>
      <c r="F73" s="476">
        <v>0.11599999999999999</v>
      </c>
      <c r="G73" s="476">
        <v>0.124</v>
      </c>
      <c r="H73" s="476">
        <v>0.121</v>
      </c>
      <c r="I73" s="476">
        <v>0.14300000000000002</v>
      </c>
      <c r="J73" s="476">
        <v>0.13</v>
      </c>
      <c r="K73" s="476">
        <v>0.121</v>
      </c>
      <c r="L73" s="476">
        <v>0.14400000000000002</v>
      </c>
      <c r="M73" s="476">
        <v>0.156</v>
      </c>
      <c r="N73" s="477">
        <v>0.159</v>
      </c>
      <c r="O73" s="974">
        <v>0.14699999999999999</v>
      </c>
      <c r="P73" s="974">
        <v>0.14499999999999999</v>
      </c>
      <c r="Q73" s="974">
        <v>0.15218242317478958</v>
      </c>
      <c r="R73" s="1988">
        <v>0.14556993001288807</v>
      </c>
      <c r="S73" s="1714">
        <v>0.17141968436906554</v>
      </c>
      <c r="T73" s="478"/>
      <c r="U73" s="479">
        <v>6252</v>
      </c>
      <c r="V73" s="479">
        <v>6276</v>
      </c>
      <c r="W73" s="479">
        <v>7149</v>
      </c>
      <c r="X73" s="479">
        <v>7661</v>
      </c>
      <c r="Y73" s="479">
        <v>7497</v>
      </c>
      <c r="Z73" s="479">
        <v>8779</v>
      </c>
      <c r="AA73" s="479">
        <v>7914</v>
      </c>
      <c r="AB73" s="479">
        <v>7281</v>
      </c>
      <c r="AC73" s="479">
        <v>8732</v>
      </c>
      <c r="AD73" s="479">
        <v>9386</v>
      </c>
      <c r="AE73" s="480">
        <v>9951</v>
      </c>
      <c r="AF73" s="981">
        <v>9113</v>
      </c>
      <c r="AG73" s="1346">
        <v>8965</v>
      </c>
      <c r="AH73" s="1350">
        <v>9330</v>
      </c>
      <c r="AI73" s="1995">
        <v>8923</v>
      </c>
      <c r="AJ73" s="1713">
        <v>10471</v>
      </c>
    </row>
    <row r="74" spans="1:36" ht="16.5" customHeight="1" x14ac:dyDescent="0.25">
      <c r="A74" s="402" t="s">
        <v>182</v>
      </c>
      <c r="B74" s="403" t="s">
        <v>509</v>
      </c>
      <c r="C74" s="1720" t="s">
        <v>266</v>
      </c>
      <c r="D74" s="476">
        <v>5.4000000000000006E-2</v>
      </c>
      <c r="E74" s="476">
        <v>5.2999999999999999E-2</v>
      </c>
      <c r="F74" s="476">
        <v>5.5999999999999994E-2</v>
      </c>
      <c r="G74" s="476">
        <v>5.9000000000000004E-2</v>
      </c>
      <c r="H74" s="476">
        <v>5.7000000000000002E-2</v>
      </c>
      <c r="I74" s="476">
        <v>5.9000000000000004E-2</v>
      </c>
      <c r="J74" s="476">
        <v>5.7999999999999996E-2</v>
      </c>
      <c r="K74" s="476">
        <v>5.7999999999999996E-2</v>
      </c>
      <c r="L74" s="476">
        <v>5.7999999999999996E-2</v>
      </c>
      <c r="M74" s="476">
        <v>6.0999999999999999E-2</v>
      </c>
      <c r="N74" s="477">
        <v>7.1000000000000008E-2</v>
      </c>
      <c r="O74" s="974">
        <v>7.400000000000001E-2</v>
      </c>
      <c r="P74" s="974">
        <v>7.0999999999999994E-2</v>
      </c>
      <c r="Q74" s="974">
        <v>7.7032700381311867E-2</v>
      </c>
      <c r="R74" s="1988">
        <v>7.0709765952580619E-2</v>
      </c>
      <c r="S74" s="1714">
        <v>6.3804973477295815E-2</v>
      </c>
      <c r="T74" s="478"/>
      <c r="U74" s="479">
        <v>1116</v>
      </c>
      <c r="V74" s="479">
        <v>1152</v>
      </c>
      <c r="W74" s="479">
        <v>1271</v>
      </c>
      <c r="X74" s="479">
        <v>1383</v>
      </c>
      <c r="Y74" s="479">
        <v>1375</v>
      </c>
      <c r="Z74" s="479">
        <v>1404</v>
      </c>
      <c r="AA74" s="479">
        <v>1445</v>
      </c>
      <c r="AB74" s="479">
        <v>1451</v>
      </c>
      <c r="AC74" s="479">
        <v>1489</v>
      </c>
      <c r="AD74" s="479">
        <v>1573</v>
      </c>
      <c r="AE74" s="480">
        <v>1821</v>
      </c>
      <c r="AF74" s="981">
        <v>1894</v>
      </c>
      <c r="AG74" s="1346">
        <v>1821</v>
      </c>
      <c r="AH74" s="1350">
        <v>2000</v>
      </c>
      <c r="AI74" s="1995">
        <v>1855</v>
      </c>
      <c r="AJ74" s="1713">
        <v>1696</v>
      </c>
    </row>
    <row r="75" spans="1:36" ht="16.5" customHeight="1" x14ac:dyDescent="0.25">
      <c r="A75" s="402" t="s">
        <v>184</v>
      </c>
      <c r="B75" s="403" t="s">
        <v>510</v>
      </c>
      <c r="C75" s="1720" t="s">
        <v>266</v>
      </c>
      <c r="D75" s="476">
        <v>0.18600000000000003</v>
      </c>
      <c r="E75" s="476">
        <v>0.19699999999999998</v>
      </c>
      <c r="F75" s="476">
        <v>0.221</v>
      </c>
      <c r="G75" s="476">
        <v>0.184</v>
      </c>
      <c r="H75" s="476">
        <v>0.187</v>
      </c>
      <c r="I75" s="476">
        <v>0.222</v>
      </c>
      <c r="J75" s="476">
        <v>0.19600000000000001</v>
      </c>
      <c r="K75" s="476">
        <v>0.20300000000000001</v>
      </c>
      <c r="L75" s="476">
        <v>0.23699999999999999</v>
      </c>
      <c r="M75" s="476">
        <v>0.222</v>
      </c>
      <c r="N75" s="477">
        <v>0.22800000000000001</v>
      </c>
      <c r="O75" s="974">
        <v>0.25</v>
      </c>
      <c r="P75" s="974">
        <v>0.23699999999999999</v>
      </c>
      <c r="Q75" s="974">
        <v>0.23520915801861561</v>
      </c>
      <c r="R75" s="1988">
        <v>0.25497038917089676</v>
      </c>
      <c r="S75" s="1714">
        <v>0.22297044519266743</v>
      </c>
      <c r="T75" s="478"/>
      <c r="U75" s="479">
        <v>2980</v>
      </c>
      <c r="V75" s="479">
        <v>3195</v>
      </c>
      <c r="W75" s="479">
        <v>3635</v>
      </c>
      <c r="X75" s="479">
        <v>3050</v>
      </c>
      <c r="Y75" s="479">
        <v>3136</v>
      </c>
      <c r="Z75" s="479">
        <v>3653</v>
      </c>
      <c r="AA75" s="479">
        <v>3275</v>
      </c>
      <c r="AB75" s="479">
        <v>3449</v>
      </c>
      <c r="AC75" s="479">
        <v>4105</v>
      </c>
      <c r="AD75" s="479">
        <v>3897</v>
      </c>
      <c r="AE75" s="480">
        <v>4338</v>
      </c>
      <c r="AF75" s="981">
        <v>4748</v>
      </c>
      <c r="AG75" s="1346">
        <v>4460</v>
      </c>
      <c r="AH75" s="1350">
        <v>4397</v>
      </c>
      <c r="AI75" s="1995">
        <v>4822</v>
      </c>
      <c r="AJ75" s="1713">
        <v>4172</v>
      </c>
    </row>
    <row r="76" spans="1:36" ht="16.5" customHeight="1" x14ac:dyDescent="0.25">
      <c r="A76" s="402" t="s">
        <v>186</v>
      </c>
      <c r="B76" s="403" t="s">
        <v>511</v>
      </c>
      <c r="C76" s="1720" t="s">
        <v>264</v>
      </c>
      <c r="D76" s="476">
        <v>7.5999999999999998E-2</v>
      </c>
      <c r="E76" s="476">
        <v>7.5999999999999998E-2</v>
      </c>
      <c r="F76" s="476">
        <v>8.1000000000000003E-2</v>
      </c>
      <c r="G76" s="476">
        <v>9.1999999999999998E-2</v>
      </c>
      <c r="H76" s="476">
        <v>8.5999999999999993E-2</v>
      </c>
      <c r="I76" s="476">
        <v>9.1999999999999998E-2</v>
      </c>
      <c r="J76" s="476">
        <v>8.5999999999999993E-2</v>
      </c>
      <c r="K76" s="476">
        <v>9.3000000000000013E-2</v>
      </c>
      <c r="L76" s="476">
        <v>0.105</v>
      </c>
      <c r="M76" s="476">
        <v>0.10199999999999999</v>
      </c>
      <c r="N76" s="477">
        <v>9.6999999999999989E-2</v>
      </c>
      <c r="O76" s="974">
        <v>0.107</v>
      </c>
      <c r="P76" s="974">
        <v>8.6999999999999994E-2</v>
      </c>
      <c r="Q76" s="974">
        <v>0.12900234886883422</v>
      </c>
      <c r="R76" s="1988">
        <v>0.10496949630583402</v>
      </c>
      <c r="S76" s="1714">
        <v>9.9328373942113662E-2</v>
      </c>
      <c r="T76" s="478"/>
      <c r="U76" s="479">
        <v>2206</v>
      </c>
      <c r="V76" s="479">
        <v>2201</v>
      </c>
      <c r="W76" s="479">
        <v>2373</v>
      </c>
      <c r="X76" s="479">
        <v>2716</v>
      </c>
      <c r="Y76" s="479">
        <v>2557</v>
      </c>
      <c r="Z76" s="479">
        <v>2706</v>
      </c>
      <c r="AA76" s="479">
        <v>2498</v>
      </c>
      <c r="AB76" s="479">
        <v>2663</v>
      </c>
      <c r="AC76" s="479">
        <v>3018</v>
      </c>
      <c r="AD76" s="479">
        <v>3025</v>
      </c>
      <c r="AE76" s="480">
        <v>3002</v>
      </c>
      <c r="AF76" s="981">
        <v>3404</v>
      </c>
      <c r="AG76" s="1346">
        <v>2781</v>
      </c>
      <c r="AH76" s="1350">
        <v>4174</v>
      </c>
      <c r="AI76" s="1995">
        <v>3424</v>
      </c>
      <c r="AJ76" s="1713">
        <v>3298</v>
      </c>
    </row>
    <row r="77" spans="1:36" ht="16.5" customHeight="1" x14ac:dyDescent="0.25">
      <c r="A77" s="402" t="s">
        <v>188</v>
      </c>
      <c r="B77" s="403" t="s">
        <v>512</v>
      </c>
      <c r="C77" s="1720" t="s">
        <v>267</v>
      </c>
      <c r="D77" s="476">
        <v>4.8000000000000001E-2</v>
      </c>
      <c r="E77" s="476">
        <v>4.8000000000000001E-2</v>
      </c>
      <c r="F77" s="476">
        <v>5.5E-2</v>
      </c>
      <c r="G77" s="476">
        <v>0.06</v>
      </c>
      <c r="H77" s="476">
        <v>5.5999999999999994E-2</v>
      </c>
      <c r="I77" s="476">
        <v>0.05</v>
      </c>
      <c r="J77" s="476">
        <v>5.0999999999999997E-2</v>
      </c>
      <c r="K77" s="476">
        <v>0.05</v>
      </c>
      <c r="L77" s="476">
        <v>5.2999999999999999E-2</v>
      </c>
      <c r="M77" s="476">
        <v>0.06</v>
      </c>
      <c r="N77" s="477">
        <v>6.0999999999999999E-2</v>
      </c>
      <c r="O77" s="974">
        <v>6.9000000000000006E-2</v>
      </c>
      <c r="P77" s="974">
        <v>6.7000000000000004E-2</v>
      </c>
      <c r="Q77" s="974">
        <v>6.9617601561636766E-2</v>
      </c>
      <c r="R77" s="1988">
        <v>7.2213511440537032E-2</v>
      </c>
      <c r="S77" s="1714">
        <v>6.6880924018353424E-2</v>
      </c>
      <c r="T77" s="478"/>
      <c r="U77" s="479">
        <v>14234</v>
      </c>
      <c r="V77" s="479">
        <v>14982</v>
      </c>
      <c r="W77" s="479">
        <v>17871</v>
      </c>
      <c r="X77" s="479">
        <v>20293</v>
      </c>
      <c r="Y77" s="479">
        <v>19550</v>
      </c>
      <c r="Z77" s="479">
        <v>17235</v>
      </c>
      <c r="AA77" s="479">
        <v>18174</v>
      </c>
      <c r="AB77" s="479">
        <v>17703</v>
      </c>
      <c r="AC77" s="479">
        <v>19016</v>
      </c>
      <c r="AD77" s="479">
        <v>22535</v>
      </c>
      <c r="AE77" s="480">
        <v>24696</v>
      </c>
      <c r="AF77" s="981">
        <v>28639</v>
      </c>
      <c r="AG77" s="1346">
        <v>28559</v>
      </c>
      <c r="AH77" s="1350">
        <v>30243</v>
      </c>
      <c r="AI77" s="1995">
        <v>31917</v>
      </c>
      <c r="AJ77" s="1713">
        <v>29925</v>
      </c>
    </row>
    <row r="78" spans="1:36" ht="16.5" customHeight="1" x14ac:dyDescent="0.25">
      <c r="A78" s="402" t="s">
        <v>190</v>
      </c>
      <c r="B78" s="403" t="s">
        <v>513</v>
      </c>
      <c r="C78" s="1720" t="s">
        <v>268</v>
      </c>
      <c r="D78" s="476">
        <v>0.11199999999999999</v>
      </c>
      <c r="E78" s="476">
        <v>0.113</v>
      </c>
      <c r="F78" s="476">
        <v>0.124</v>
      </c>
      <c r="G78" s="476">
        <v>0.13</v>
      </c>
      <c r="H78" s="476">
        <v>0.13100000000000001</v>
      </c>
      <c r="I78" s="476">
        <v>0.157</v>
      </c>
      <c r="J78" s="476">
        <v>0.14099999999999999</v>
      </c>
      <c r="K78" s="476">
        <v>0.14099999999999999</v>
      </c>
      <c r="L78" s="476">
        <v>0.154</v>
      </c>
      <c r="M78" s="476">
        <v>0.14199999999999999</v>
      </c>
      <c r="N78" s="477">
        <v>0.158</v>
      </c>
      <c r="O78" s="974">
        <v>0.16500000000000001</v>
      </c>
      <c r="P78" s="974">
        <v>0.16600000000000001</v>
      </c>
      <c r="Q78" s="974">
        <v>0.15722911472258103</v>
      </c>
      <c r="R78" s="1988">
        <v>0.14719647332346991</v>
      </c>
      <c r="S78" s="1714">
        <v>0.15029285671155124</v>
      </c>
      <c r="T78" s="478"/>
      <c r="U78" s="479">
        <v>3813</v>
      </c>
      <c r="V78" s="479">
        <v>3825</v>
      </c>
      <c r="W78" s="479">
        <v>4236</v>
      </c>
      <c r="X78" s="479">
        <v>4427</v>
      </c>
      <c r="Y78" s="479">
        <v>4463</v>
      </c>
      <c r="Z78" s="479">
        <v>5295</v>
      </c>
      <c r="AA78" s="479">
        <v>4751</v>
      </c>
      <c r="AB78" s="479">
        <v>4753</v>
      </c>
      <c r="AC78" s="479">
        <v>5193</v>
      </c>
      <c r="AD78" s="479">
        <v>4766</v>
      </c>
      <c r="AE78" s="480">
        <v>5355</v>
      </c>
      <c r="AF78" s="981">
        <v>5533</v>
      </c>
      <c r="AG78" s="1346">
        <v>5563</v>
      </c>
      <c r="AH78" s="1350">
        <v>5234</v>
      </c>
      <c r="AI78" s="1995">
        <v>4875</v>
      </c>
      <c r="AJ78" s="1713">
        <v>4978</v>
      </c>
    </row>
    <row r="79" spans="1:36" ht="16.5" customHeight="1" x14ac:dyDescent="0.25">
      <c r="A79" s="402" t="s">
        <v>194</v>
      </c>
      <c r="B79" s="403" t="s">
        <v>195</v>
      </c>
      <c r="C79" s="1720" t="s">
        <v>267</v>
      </c>
      <c r="D79" s="476">
        <v>7.9000000000000001E-2</v>
      </c>
      <c r="E79" s="476">
        <v>7.5999999999999998E-2</v>
      </c>
      <c r="F79" s="476">
        <v>7.5999999999999998E-2</v>
      </c>
      <c r="G79" s="476">
        <v>7.400000000000001E-2</v>
      </c>
      <c r="H79" s="476">
        <v>6.6000000000000003E-2</v>
      </c>
      <c r="I79" s="476">
        <v>7.0999999999999994E-2</v>
      </c>
      <c r="J79" s="476">
        <v>7.8E-2</v>
      </c>
      <c r="K79" s="476">
        <v>7.8E-2</v>
      </c>
      <c r="L79" s="476">
        <v>8.199999999999999E-2</v>
      </c>
      <c r="M79" s="476">
        <v>9.1999999999999998E-2</v>
      </c>
      <c r="N79" s="477">
        <v>9.8000000000000004E-2</v>
      </c>
      <c r="O79" s="974">
        <v>0.1</v>
      </c>
      <c r="P79" s="974">
        <v>0.106</v>
      </c>
      <c r="Q79" s="974">
        <v>0.10336473755047107</v>
      </c>
      <c r="R79" s="1988">
        <v>9.3493712411153632E-2</v>
      </c>
      <c r="S79" s="1714">
        <v>9.8063284233497E-2</v>
      </c>
      <c r="T79" s="478"/>
      <c r="U79" s="482">
        <v>557</v>
      </c>
      <c r="V79" s="482">
        <v>541</v>
      </c>
      <c r="W79" s="482">
        <v>542</v>
      </c>
      <c r="X79" s="482">
        <v>532</v>
      </c>
      <c r="Y79" s="482">
        <v>482</v>
      </c>
      <c r="Z79" s="482">
        <v>515</v>
      </c>
      <c r="AA79" s="482">
        <v>555</v>
      </c>
      <c r="AB79" s="482">
        <v>561</v>
      </c>
      <c r="AC79" s="479">
        <v>581</v>
      </c>
      <c r="AD79" s="479">
        <v>644</v>
      </c>
      <c r="AE79" s="480">
        <v>720</v>
      </c>
      <c r="AF79" s="981">
        <v>742</v>
      </c>
      <c r="AG79" s="1346">
        <v>783</v>
      </c>
      <c r="AH79" s="1350">
        <v>768</v>
      </c>
      <c r="AI79" s="1995">
        <v>684</v>
      </c>
      <c r="AJ79" s="1713">
        <v>719</v>
      </c>
    </row>
    <row r="80" spans="1:36" ht="16.5" customHeight="1" x14ac:dyDescent="0.25">
      <c r="A80" s="402" t="s">
        <v>198</v>
      </c>
      <c r="B80" s="403" t="s">
        <v>272</v>
      </c>
      <c r="C80" s="1720" t="s">
        <v>266</v>
      </c>
      <c r="D80" s="476">
        <v>0.157</v>
      </c>
      <c r="E80" s="476">
        <v>0.16</v>
      </c>
      <c r="F80" s="476">
        <v>0.16800000000000001</v>
      </c>
      <c r="G80" s="476">
        <v>0.156</v>
      </c>
      <c r="H80" s="476">
        <v>0.158</v>
      </c>
      <c r="I80" s="476">
        <v>0.17</v>
      </c>
      <c r="J80" s="476">
        <v>0.16500000000000001</v>
      </c>
      <c r="K80" s="476">
        <v>0.17699999999999999</v>
      </c>
      <c r="L80" s="476">
        <v>0.184</v>
      </c>
      <c r="M80" s="476">
        <v>0.193</v>
      </c>
      <c r="N80" s="477">
        <v>0.185</v>
      </c>
      <c r="O80" s="974">
        <v>0.20399999999999999</v>
      </c>
      <c r="P80" s="974">
        <v>0.20300000000000001</v>
      </c>
      <c r="Q80" s="974">
        <v>0.20313143798928718</v>
      </c>
      <c r="R80" s="1988">
        <v>0.19712328767123288</v>
      </c>
      <c r="S80" s="1714">
        <v>0.17666528754654531</v>
      </c>
      <c r="T80" s="478"/>
      <c r="U80" s="479">
        <v>1110</v>
      </c>
      <c r="V80" s="479">
        <v>1144</v>
      </c>
      <c r="W80" s="479">
        <v>1216</v>
      </c>
      <c r="X80" s="479">
        <v>1120</v>
      </c>
      <c r="Y80" s="479">
        <v>1141</v>
      </c>
      <c r="Z80" s="479">
        <v>1219</v>
      </c>
      <c r="AA80" s="479">
        <v>1192</v>
      </c>
      <c r="AB80" s="479">
        <v>1272</v>
      </c>
      <c r="AC80" s="479">
        <v>1315</v>
      </c>
      <c r="AD80" s="479">
        <v>1342</v>
      </c>
      <c r="AE80" s="480">
        <v>1377</v>
      </c>
      <c r="AF80" s="981">
        <v>1510</v>
      </c>
      <c r="AG80" s="1346">
        <v>1484</v>
      </c>
      <c r="AH80" s="1350">
        <v>1479</v>
      </c>
      <c r="AI80" s="1995">
        <v>1439</v>
      </c>
      <c r="AJ80" s="1713">
        <v>1281</v>
      </c>
    </row>
    <row r="81" spans="1:36" ht="16.5" customHeight="1" x14ac:dyDescent="0.25">
      <c r="A81" s="402" t="s">
        <v>202</v>
      </c>
      <c r="B81" s="403" t="s">
        <v>611</v>
      </c>
      <c r="C81" s="1720" t="s">
        <v>265</v>
      </c>
      <c r="D81" s="476">
        <v>5.2900000000000003E-2</v>
      </c>
      <c r="E81" s="476">
        <v>5.7000000000000002E-2</v>
      </c>
      <c r="F81" s="476">
        <v>6.5299999999999997E-2</v>
      </c>
      <c r="G81" s="476">
        <v>7.2300000000000003E-2</v>
      </c>
      <c r="H81" s="476">
        <v>6.8699999999999997E-2</v>
      </c>
      <c r="I81" s="476">
        <v>6.3E-2</v>
      </c>
      <c r="J81" s="476">
        <v>6.1500000000000006E-2</v>
      </c>
      <c r="K81" s="476">
        <v>6.480000000000001E-2</v>
      </c>
      <c r="L81" s="476">
        <v>7.0800000000000002E-2</v>
      </c>
      <c r="M81" s="476">
        <v>6.8199999999999997E-2</v>
      </c>
      <c r="N81" s="477">
        <v>7.553320643060675E-2</v>
      </c>
      <c r="O81" s="974">
        <v>0.191</v>
      </c>
      <c r="P81" s="974">
        <v>8.4000000000000005E-2</v>
      </c>
      <c r="Q81" s="974">
        <v>8.2284058881530148E-2</v>
      </c>
      <c r="R81" s="1988">
        <v>8.5998974029022804E-2</v>
      </c>
      <c r="S81" s="1714">
        <v>7.9032062706556161E-2</v>
      </c>
      <c r="T81" s="478"/>
      <c r="U81" s="479">
        <v>5681</v>
      </c>
      <c r="V81" s="479">
        <v>6098</v>
      </c>
      <c r="W81" s="479">
        <v>7107</v>
      </c>
      <c r="X81" s="479">
        <v>7856</v>
      </c>
      <c r="Y81" s="479">
        <v>7558</v>
      </c>
      <c r="Z81" s="479">
        <v>6809</v>
      </c>
      <c r="AA81" s="479">
        <v>6852</v>
      </c>
      <c r="AB81" s="479">
        <v>7238</v>
      </c>
      <c r="AC81" s="479">
        <v>7950</v>
      </c>
      <c r="AD81" s="479">
        <v>7619</v>
      </c>
      <c r="AE81" s="480">
        <v>8538</v>
      </c>
      <c r="AF81" s="981">
        <v>9852</v>
      </c>
      <c r="AG81" s="1346">
        <v>9504</v>
      </c>
      <c r="AH81" s="1350">
        <v>9430</v>
      </c>
      <c r="AI81" s="1995">
        <v>9891</v>
      </c>
      <c r="AJ81" s="1713">
        <v>9135</v>
      </c>
    </row>
    <row r="82" spans="1:36" ht="16.5" customHeight="1" x14ac:dyDescent="0.25">
      <c r="A82" s="402" t="s">
        <v>204</v>
      </c>
      <c r="B82" s="403" t="s">
        <v>757</v>
      </c>
      <c r="C82" s="1720" t="s">
        <v>265</v>
      </c>
      <c r="D82" s="476">
        <v>0.1038</v>
      </c>
      <c r="E82" s="476">
        <v>0.10199999999999999</v>
      </c>
      <c r="F82" s="476">
        <v>0.1124</v>
      </c>
      <c r="G82" s="476">
        <v>0.1109</v>
      </c>
      <c r="H82" s="476">
        <v>0.10630000000000001</v>
      </c>
      <c r="I82" s="476">
        <v>0.12130000000000001</v>
      </c>
      <c r="J82" s="476">
        <v>0.13339999999999999</v>
      </c>
      <c r="K82" s="476">
        <v>0.1273</v>
      </c>
      <c r="L82" s="476">
        <v>0.1346</v>
      </c>
      <c r="M82" s="476">
        <v>0.1338</v>
      </c>
      <c r="N82" s="477">
        <v>0.14077673638184915</v>
      </c>
      <c r="O82" s="974">
        <v>0.14656092725331707</v>
      </c>
      <c r="P82" s="974">
        <v>0.153</v>
      </c>
      <c r="Q82" s="974">
        <v>0.15709268590624523</v>
      </c>
      <c r="R82" s="1988">
        <v>0.15356089850755342</v>
      </c>
      <c r="S82" s="1714">
        <v>0.150208707839493</v>
      </c>
      <c r="T82" s="478"/>
      <c r="U82" s="479">
        <v>3255</v>
      </c>
      <c r="V82" s="479">
        <v>3202</v>
      </c>
      <c r="W82" s="479">
        <v>3574</v>
      </c>
      <c r="X82" s="479">
        <v>3517</v>
      </c>
      <c r="Y82" s="479">
        <v>3365</v>
      </c>
      <c r="Z82" s="479">
        <v>3820</v>
      </c>
      <c r="AA82" s="479">
        <v>4213</v>
      </c>
      <c r="AB82" s="479">
        <v>4049</v>
      </c>
      <c r="AC82" s="479">
        <v>4265</v>
      </c>
      <c r="AD82" s="479">
        <v>4221</v>
      </c>
      <c r="AE82" s="480">
        <v>4625</v>
      </c>
      <c r="AF82" s="981">
        <v>4805</v>
      </c>
      <c r="AG82" s="1346">
        <v>4988</v>
      </c>
      <c r="AH82" s="1350">
        <v>5144</v>
      </c>
      <c r="AI82" s="1995">
        <v>5052</v>
      </c>
      <c r="AJ82" s="1713">
        <v>4930</v>
      </c>
    </row>
    <row r="83" spans="1:36" ht="16.5" customHeight="1" x14ac:dyDescent="0.25">
      <c r="A83" s="402" t="s">
        <v>206</v>
      </c>
      <c r="B83" s="403" t="s">
        <v>758</v>
      </c>
      <c r="C83" s="1720" t="s">
        <v>267</v>
      </c>
      <c r="D83" s="476">
        <v>0.11710000000000001</v>
      </c>
      <c r="E83" s="476">
        <v>0.11119999999999999</v>
      </c>
      <c r="F83" s="476">
        <v>0.1217</v>
      </c>
      <c r="G83" s="476">
        <v>0.1188</v>
      </c>
      <c r="H83" s="476">
        <v>0.11539999999999999</v>
      </c>
      <c r="I83" s="476">
        <v>0.14130000000000001</v>
      </c>
      <c r="J83" s="476">
        <v>0.14990000000000001</v>
      </c>
      <c r="K83" s="476">
        <v>0.1454</v>
      </c>
      <c r="L83" s="476">
        <v>0.158</v>
      </c>
      <c r="M83" s="476">
        <v>0.15340000000000001</v>
      </c>
      <c r="N83" s="477">
        <v>0.17707606256042166</v>
      </c>
      <c r="O83" s="974">
        <v>0.15870237569248546</v>
      </c>
      <c r="P83" s="974">
        <v>0.20499999999999999</v>
      </c>
      <c r="Q83" s="974">
        <v>0.16851109998330829</v>
      </c>
      <c r="R83" s="1988">
        <v>0.17851205662085426</v>
      </c>
      <c r="S83" s="1714">
        <v>0.18337093400057428</v>
      </c>
      <c r="T83" s="478"/>
      <c r="U83" s="479">
        <v>11774</v>
      </c>
      <c r="V83" s="479">
        <v>11332</v>
      </c>
      <c r="W83" s="479">
        <v>12457</v>
      </c>
      <c r="X83" s="479">
        <v>12312</v>
      </c>
      <c r="Y83" s="479">
        <v>12047</v>
      </c>
      <c r="Z83" s="479">
        <v>14559</v>
      </c>
      <c r="AA83" s="479">
        <v>15701</v>
      </c>
      <c r="AB83" s="479">
        <v>15770</v>
      </c>
      <c r="AC83" s="479">
        <v>17273</v>
      </c>
      <c r="AD83" s="479">
        <v>17133</v>
      </c>
      <c r="AE83" s="480">
        <v>20566</v>
      </c>
      <c r="AF83" s="981">
        <v>18678</v>
      </c>
      <c r="AG83" s="1346">
        <v>24402</v>
      </c>
      <c r="AH83" s="1350">
        <v>20191</v>
      </c>
      <c r="AI83" s="1995">
        <v>21691</v>
      </c>
      <c r="AJ83" s="1713">
        <v>22352</v>
      </c>
    </row>
    <row r="84" spans="1:36" ht="16.5" customHeight="1" x14ac:dyDescent="0.25">
      <c r="A84" s="402" t="s">
        <v>208</v>
      </c>
      <c r="B84" s="403" t="s">
        <v>515</v>
      </c>
      <c r="C84" s="1720" t="s">
        <v>268</v>
      </c>
      <c r="D84" s="476">
        <v>0.16699999999999998</v>
      </c>
      <c r="E84" s="476">
        <v>0.159</v>
      </c>
      <c r="F84" s="476">
        <v>0.17600000000000002</v>
      </c>
      <c r="G84" s="476">
        <v>0.16800000000000001</v>
      </c>
      <c r="H84" s="476">
        <v>0.16500000000000001</v>
      </c>
      <c r="I84" s="476">
        <v>0.193</v>
      </c>
      <c r="J84" s="476">
        <v>0.17399999999999999</v>
      </c>
      <c r="K84" s="476">
        <v>0.184</v>
      </c>
      <c r="L84" s="476">
        <v>0.19399999999999998</v>
      </c>
      <c r="M84" s="476">
        <v>0.191</v>
      </c>
      <c r="N84" s="477">
        <v>0.18100000000000002</v>
      </c>
      <c r="O84" s="974">
        <v>0.23499999999999999</v>
      </c>
      <c r="P84" s="974">
        <v>0.183</v>
      </c>
      <c r="Q84" s="974">
        <v>0.18802044244308638</v>
      </c>
      <c r="R84" s="1988">
        <v>0.17881081081081082</v>
      </c>
      <c r="S84" s="1714">
        <v>0.21238681637088011</v>
      </c>
      <c r="T84" s="478"/>
      <c r="U84" s="479">
        <v>4793</v>
      </c>
      <c r="V84" s="479">
        <v>4565</v>
      </c>
      <c r="W84" s="479">
        <v>5059</v>
      </c>
      <c r="X84" s="479">
        <v>4823</v>
      </c>
      <c r="Y84" s="479">
        <v>4762</v>
      </c>
      <c r="Z84" s="479">
        <v>5492</v>
      </c>
      <c r="AA84" s="479">
        <v>4932</v>
      </c>
      <c r="AB84" s="479">
        <v>5243</v>
      </c>
      <c r="AC84" s="479">
        <v>5516</v>
      </c>
      <c r="AD84" s="479">
        <v>5527</v>
      </c>
      <c r="AE84" s="480">
        <v>5173</v>
      </c>
      <c r="AF84" s="981">
        <v>6704</v>
      </c>
      <c r="AG84" s="1346">
        <v>5145</v>
      </c>
      <c r="AH84" s="1350">
        <v>5261</v>
      </c>
      <c r="AI84" s="1995">
        <v>4962</v>
      </c>
      <c r="AJ84" s="1713">
        <v>5864</v>
      </c>
    </row>
    <row r="85" spans="1:36" ht="16.5" customHeight="1" x14ac:dyDescent="0.25">
      <c r="A85" s="402" t="s">
        <v>210</v>
      </c>
      <c r="B85" s="403" t="s">
        <v>516</v>
      </c>
      <c r="C85" s="1720" t="s">
        <v>268</v>
      </c>
      <c r="D85" s="476">
        <v>0.14099999999999999</v>
      </c>
      <c r="E85" s="476">
        <v>0.13900000000000001</v>
      </c>
      <c r="F85" s="476">
        <v>0.14599999999999999</v>
      </c>
      <c r="G85" s="476">
        <v>0.153</v>
      </c>
      <c r="H85" s="476">
        <v>0.14899999999999999</v>
      </c>
      <c r="I85" s="476">
        <v>0.17899999999999999</v>
      </c>
      <c r="J85" s="476">
        <v>0.17699999999999999</v>
      </c>
      <c r="K85" s="476">
        <v>0.18100000000000002</v>
      </c>
      <c r="L85" s="476">
        <v>0.17300000000000001</v>
      </c>
      <c r="M85" s="476">
        <v>0.192</v>
      </c>
      <c r="N85" s="477">
        <v>0.189</v>
      </c>
      <c r="O85" s="974">
        <v>0.187</v>
      </c>
      <c r="P85" s="974">
        <v>0.21299999999999999</v>
      </c>
      <c r="Q85" s="974">
        <v>0.18399158895593345</v>
      </c>
      <c r="R85" s="1988">
        <v>0.20782283045910582</v>
      </c>
      <c r="S85" s="1714">
        <v>0.19170644949920435</v>
      </c>
      <c r="T85" s="478"/>
      <c r="U85" s="479">
        <v>3268</v>
      </c>
      <c r="V85" s="479">
        <v>3183</v>
      </c>
      <c r="W85" s="479">
        <v>3348</v>
      </c>
      <c r="X85" s="479">
        <v>3508</v>
      </c>
      <c r="Y85" s="479">
        <v>3402</v>
      </c>
      <c r="Z85" s="479">
        <v>4040</v>
      </c>
      <c r="AA85" s="479">
        <v>4000</v>
      </c>
      <c r="AB85" s="479">
        <v>4033</v>
      </c>
      <c r="AC85" s="479">
        <v>3856</v>
      </c>
      <c r="AD85" s="479">
        <v>4220</v>
      </c>
      <c r="AE85" s="480">
        <v>4248</v>
      </c>
      <c r="AF85" s="981">
        <v>4193</v>
      </c>
      <c r="AG85" s="1346">
        <v>4699</v>
      </c>
      <c r="AH85" s="1350">
        <v>4025</v>
      </c>
      <c r="AI85" s="1995">
        <v>4495</v>
      </c>
      <c r="AJ85" s="1713">
        <v>4096</v>
      </c>
    </row>
    <row r="86" spans="1:36" ht="16.5" customHeight="1" x14ac:dyDescent="0.25">
      <c r="A86" s="402" t="s">
        <v>212</v>
      </c>
      <c r="B86" s="403" t="s">
        <v>517</v>
      </c>
      <c r="C86" s="1720" t="s">
        <v>267</v>
      </c>
      <c r="D86" s="476">
        <v>0.08</v>
      </c>
      <c r="E86" s="476">
        <v>8.1000000000000003E-2</v>
      </c>
      <c r="F86" s="476">
        <v>8.3000000000000004E-2</v>
      </c>
      <c r="G86" s="476">
        <v>8.900000000000001E-2</v>
      </c>
      <c r="H86" s="476">
        <v>8.5999999999999993E-2</v>
      </c>
      <c r="I86" s="476">
        <v>8.4000000000000005E-2</v>
      </c>
      <c r="J86" s="476">
        <v>8.3000000000000004E-2</v>
      </c>
      <c r="K86" s="476">
        <v>0.09</v>
      </c>
      <c r="L86" s="476">
        <v>9.8000000000000004E-2</v>
      </c>
      <c r="M86" s="476">
        <v>0.10400000000000001</v>
      </c>
      <c r="N86" s="477">
        <v>0.11700000000000001</v>
      </c>
      <c r="O86" s="974">
        <v>0.13400000000000001</v>
      </c>
      <c r="P86" s="974">
        <v>0.114</v>
      </c>
      <c r="Q86" s="974">
        <v>0.11587982832618025</v>
      </c>
      <c r="R86" s="1988">
        <v>0.12025867136978248</v>
      </c>
      <c r="S86" s="1714">
        <v>0.11484935101447917</v>
      </c>
      <c r="T86" s="478"/>
      <c r="U86" s="479">
        <v>2849</v>
      </c>
      <c r="V86" s="479">
        <v>2927</v>
      </c>
      <c r="W86" s="479">
        <v>3072</v>
      </c>
      <c r="X86" s="479">
        <v>3357</v>
      </c>
      <c r="Y86" s="479">
        <v>3349</v>
      </c>
      <c r="Z86" s="479">
        <v>3235</v>
      </c>
      <c r="AA86" s="479">
        <v>3297</v>
      </c>
      <c r="AB86" s="479">
        <v>3602</v>
      </c>
      <c r="AC86" s="479">
        <v>3934</v>
      </c>
      <c r="AD86" s="479">
        <v>4206</v>
      </c>
      <c r="AE86" s="480">
        <v>4862</v>
      </c>
      <c r="AF86" s="981">
        <v>5620</v>
      </c>
      <c r="AG86" s="1346">
        <v>4797</v>
      </c>
      <c r="AH86" s="1350">
        <v>4887</v>
      </c>
      <c r="AI86" s="1995">
        <v>5114</v>
      </c>
      <c r="AJ86" s="1713">
        <v>4902</v>
      </c>
    </row>
    <row r="87" spans="1:36" ht="16.5" customHeight="1" x14ac:dyDescent="0.25">
      <c r="A87" s="402" t="s">
        <v>214</v>
      </c>
      <c r="B87" s="403" t="s">
        <v>518</v>
      </c>
      <c r="C87" s="1720" t="s">
        <v>268</v>
      </c>
      <c r="D87" s="476">
        <v>0.13100000000000001</v>
      </c>
      <c r="E87" s="476">
        <v>0.13300000000000001</v>
      </c>
      <c r="F87" s="476">
        <v>0.14300000000000002</v>
      </c>
      <c r="G87" s="476">
        <v>0.14800000000000002</v>
      </c>
      <c r="H87" s="476">
        <v>0.14000000000000001</v>
      </c>
      <c r="I87" s="476">
        <v>0.13300000000000001</v>
      </c>
      <c r="J87" s="476">
        <v>0.155</v>
      </c>
      <c r="K87" s="476">
        <v>0.17100000000000001</v>
      </c>
      <c r="L87" s="476">
        <v>0.18100000000000002</v>
      </c>
      <c r="M87" s="476">
        <v>0.17800000000000002</v>
      </c>
      <c r="N87" s="477">
        <v>0.187</v>
      </c>
      <c r="O87" s="974">
        <v>0.19399999999999998</v>
      </c>
      <c r="P87" s="974">
        <v>0.19</v>
      </c>
      <c r="Q87" s="974">
        <v>0.17253418679080593</v>
      </c>
      <c r="R87" s="1988">
        <v>0.19735477178423236</v>
      </c>
      <c r="S87" s="1714">
        <v>0.18109131257750799</v>
      </c>
      <c r="T87" s="478"/>
      <c r="U87" s="479">
        <v>4212</v>
      </c>
      <c r="V87" s="479">
        <v>4289</v>
      </c>
      <c r="W87" s="479">
        <v>4596</v>
      </c>
      <c r="X87" s="479">
        <v>4737</v>
      </c>
      <c r="Y87" s="479">
        <v>4505</v>
      </c>
      <c r="Z87" s="479">
        <v>4166</v>
      </c>
      <c r="AA87" s="479">
        <v>4930</v>
      </c>
      <c r="AB87" s="479">
        <v>5338</v>
      </c>
      <c r="AC87" s="479">
        <v>5626</v>
      </c>
      <c r="AD87" s="479">
        <v>5516</v>
      </c>
      <c r="AE87" s="480">
        <v>5874</v>
      </c>
      <c r="AF87" s="981">
        <v>6085</v>
      </c>
      <c r="AG87" s="1346">
        <v>5898</v>
      </c>
      <c r="AH87" s="1350">
        <v>5337</v>
      </c>
      <c r="AI87" s="1995">
        <v>6088</v>
      </c>
      <c r="AJ87" s="1713">
        <v>5549</v>
      </c>
    </row>
    <row r="88" spans="1:36" ht="16.5" customHeight="1" x14ac:dyDescent="0.25">
      <c r="A88" s="402" t="s">
        <v>216</v>
      </c>
      <c r="B88" s="403" t="s">
        <v>519</v>
      </c>
      <c r="C88" s="1720" t="s">
        <v>264</v>
      </c>
      <c r="D88" s="476">
        <v>0.14000000000000001</v>
      </c>
      <c r="E88" s="476">
        <v>0.13100000000000001</v>
      </c>
      <c r="F88" s="476">
        <v>0.13800000000000001</v>
      </c>
      <c r="G88" s="476">
        <v>0.14000000000000001</v>
      </c>
      <c r="H88" s="476">
        <v>0.13500000000000001</v>
      </c>
      <c r="I88" s="476">
        <v>0.151</v>
      </c>
      <c r="J88" s="476">
        <v>0.154</v>
      </c>
      <c r="K88" s="476">
        <v>0.15</v>
      </c>
      <c r="L88" s="476">
        <v>0.17499999999999999</v>
      </c>
      <c r="M88" s="476">
        <v>0.159</v>
      </c>
      <c r="N88" s="477">
        <v>0.16400000000000001</v>
      </c>
      <c r="O88" s="974">
        <v>0.16</v>
      </c>
      <c r="P88" s="974">
        <v>0.16700000000000001</v>
      </c>
      <c r="Q88" s="974">
        <v>0.1668684911600872</v>
      </c>
      <c r="R88" s="1988">
        <v>0.15262388895653234</v>
      </c>
      <c r="S88" s="1714">
        <v>0.15154846985523182</v>
      </c>
      <c r="T88" s="478"/>
      <c r="U88" s="479">
        <v>2211</v>
      </c>
      <c r="V88" s="479">
        <v>2053</v>
      </c>
      <c r="W88" s="479">
        <v>2186</v>
      </c>
      <c r="X88" s="479">
        <v>2240</v>
      </c>
      <c r="Y88" s="479">
        <v>2194</v>
      </c>
      <c r="Z88" s="479">
        <v>2433</v>
      </c>
      <c r="AA88" s="479">
        <v>2504</v>
      </c>
      <c r="AB88" s="479">
        <v>2431</v>
      </c>
      <c r="AC88" s="479">
        <v>2843</v>
      </c>
      <c r="AD88" s="479">
        <v>2561</v>
      </c>
      <c r="AE88" s="480">
        <v>2789</v>
      </c>
      <c r="AF88" s="981">
        <v>2696</v>
      </c>
      <c r="AG88" s="1346">
        <v>2799</v>
      </c>
      <c r="AH88" s="1350">
        <v>2756</v>
      </c>
      <c r="AI88" s="1995">
        <v>2507</v>
      </c>
      <c r="AJ88" s="1713">
        <v>2481</v>
      </c>
    </row>
    <row r="89" spans="1:36" ht="16.5" customHeight="1" x14ac:dyDescent="0.25">
      <c r="A89" s="402" t="s">
        <v>218</v>
      </c>
      <c r="B89" s="403" t="s">
        <v>520</v>
      </c>
      <c r="C89" s="1720" t="s">
        <v>267</v>
      </c>
      <c r="D89" s="476">
        <v>5.2999999999999999E-2</v>
      </c>
      <c r="E89" s="476">
        <v>5.2000000000000005E-2</v>
      </c>
      <c r="F89" s="476">
        <v>5.7000000000000002E-2</v>
      </c>
      <c r="G89" s="476">
        <v>5.9000000000000004E-2</v>
      </c>
      <c r="H89" s="476">
        <v>5.7000000000000002E-2</v>
      </c>
      <c r="I89" s="476">
        <v>5.5E-2</v>
      </c>
      <c r="J89" s="476">
        <v>5.5999999999999994E-2</v>
      </c>
      <c r="K89" s="476">
        <v>0.06</v>
      </c>
      <c r="L89" s="476">
        <v>6.4000000000000001E-2</v>
      </c>
      <c r="M89" s="476">
        <v>7.5999999999999998E-2</v>
      </c>
      <c r="N89" s="477">
        <v>7.9000000000000001E-2</v>
      </c>
      <c r="O89" s="974">
        <v>7.5999999999999998E-2</v>
      </c>
      <c r="P89" s="974">
        <v>8.5000000000000006E-2</v>
      </c>
      <c r="Q89" s="974">
        <v>7.6984528743632735E-2</v>
      </c>
      <c r="R89" s="1988">
        <v>9.1506324082949522E-2</v>
      </c>
      <c r="S89" s="1714">
        <v>7.6504503670085905E-2</v>
      </c>
      <c r="T89" s="478"/>
      <c r="U89" s="479">
        <v>5080</v>
      </c>
      <c r="V89" s="479">
        <v>5342</v>
      </c>
      <c r="W89" s="479">
        <v>6138</v>
      </c>
      <c r="X89" s="479">
        <v>6655</v>
      </c>
      <c r="Y89" s="479">
        <v>6611</v>
      </c>
      <c r="Z89" s="479">
        <v>6346</v>
      </c>
      <c r="AA89" s="479">
        <v>6591</v>
      </c>
      <c r="AB89" s="479">
        <v>7118</v>
      </c>
      <c r="AC89" s="479">
        <v>7586</v>
      </c>
      <c r="AD89" s="479">
        <v>9132</v>
      </c>
      <c r="AE89" s="480">
        <v>9645</v>
      </c>
      <c r="AF89" s="981">
        <v>9356</v>
      </c>
      <c r="AG89" s="1346">
        <v>10558</v>
      </c>
      <c r="AH89" s="1350">
        <v>9733</v>
      </c>
      <c r="AI89" s="1995">
        <v>11742</v>
      </c>
      <c r="AJ89" s="1713">
        <v>9912</v>
      </c>
    </row>
    <row r="90" spans="1:36" ht="16.5" customHeight="1" x14ac:dyDescent="0.25">
      <c r="A90" s="402" t="s">
        <v>220</v>
      </c>
      <c r="B90" s="403" t="s">
        <v>521</v>
      </c>
      <c r="C90" s="1720" t="s">
        <v>267</v>
      </c>
      <c r="D90" s="476">
        <v>4.4000000000000004E-2</v>
      </c>
      <c r="E90" s="476">
        <v>4.2999999999999997E-2</v>
      </c>
      <c r="F90" s="476">
        <v>4.4999999999999998E-2</v>
      </c>
      <c r="G90" s="476">
        <v>0.05</v>
      </c>
      <c r="H90" s="476">
        <v>4.9000000000000002E-2</v>
      </c>
      <c r="I90" s="476">
        <v>4.5999999999999999E-2</v>
      </c>
      <c r="J90" s="476">
        <v>4.4000000000000004E-2</v>
      </c>
      <c r="K90" s="476">
        <v>4.2000000000000003E-2</v>
      </c>
      <c r="L90" s="476">
        <v>4.8000000000000001E-2</v>
      </c>
      <c r="M90" s="476">
        <v>4.7E-2</v>
      </c>
      <c r="N90" s="477">
        <v>5.1999999999999998E-2</v>
      </c>
      <c r="O90" s="974">
        <v>6.3E-2</v>
      </c>
      <c r="P90" s="974">
        <v>5.5E-2</v>
      </c>
      <c r="Q90" s="974">
        <v>6.358634205170724E-2</v>
      </c>
      <c r="R90" s="1988">
        <v>5.8501129266013877E-2</v>
      </c>
      <c r="S90" s="1714">
        <v>5.4025039532285907E-2</v>
      </c>
      <c r="T90" s="478"/>
      <c r="U90" s="479">
        <v>4307</v>
      </c>
      <c r="V90" s="479">
        <v>4394</v>
      </c>
      <c r="W90" s="479">
        <v>4901</v>
      </c>
      <c r="X90" s="479">
        <v>5671</v>
      </c>
      <c r="Y90" s="479">
        <v>5772</v>
      </c>
      <c r="Z90" s="479">
        <v>5366</v>
      </c>
      <c r="AA90" s="479">
        <v>5152</v>
      </c>
      <c r="AB90" s="479">
        <v>4954</v>
      </c>
      <c r="AC90" s="479">
        <v>5713</v>
      </c>
      <c r="AD90" s="479">
        <v>5764</v>
      </c>
      <c r="AE90" s="480">
        <v>6531</v>
      </c>
      <c r="AF90" s="981">
        <v>8070</v>
      </c>
      <c r="AG90" s="1346">
        <v>7231</v>
      </c>
      <c r="AH90" s="1350">
        <v>8436</v>
      </c>
      <c r="AI90" s="1995">
        <v>7952</v>
      </c>
      <c r="AJ90" s="1713">
        <v>7448</v>
      </c>
    </row>
    <row r="91" spans="1:36" ht="16.5" customHeight="1" x14ac:dyDescent="0.25">
      <c r="A91" s="402" t="s">
        <v>224</v>
      </c>
      <c r="B91" s="403" t="s">
        <v>522</v>
      </c>
      <c r="C91" s="1720" t="s">
        <v>264</v>
      </c>
      <c r="D91" s="476">
        <v>0.11599999999999999</v>
      </c>
      <c r="E91" s="476">
        <v>0.10800000000000001</v>
      </c>
      <c r="F91" s="476">
        <v>0.11199999999999999</v>
      </c>
      <c r="G91" s="476">
        <v>0.109</v>
      </c>
      <c r="H91" s="476">
        <v>0.107</v>
      </c>
      <c r="I91" s="476">
        <v>0.11900000000000001</v>
      </c>
      <c r="J91" s="476">
        <v>0.107</v>
      </c>
      <c r="K91" s="476">
        <v>0.11</v>
      </c>
      <c r="L91" s="476">
        <v>0.11599999999999999</v>
      </c>
      <c r="M91" s="476">
        <v>0.11699999999999999</v>
      </c>
      <c r="N91" s="477">
        <v>0.123</v>
      </c>
      <c r="O91" s="974">
        <v>0.128</v>
      </c>
      <c r="P91" s="974">
        <v>0.129</v>
      </c>
      <c r="Q91" s="974">
        <v>0.13636363636363635</v>
      </c>
      <c r="R91" s="1988">
        <v>0.12947942781300692</v>
      </c>
      <c r="S91" s="1714">
        <v>0.13046723391550977</v>
      </c>
      <c r="T91" s="478"/>
      <c r="U91" s="482">
        <v>810</v>
      </c>
      <c r="V91" s="482">
        <v>755</v>
      </c>
      <c r="W91" s="482">
        <v>792</v>
      </c>
      <c r="X91" s="482">
        <v>764</v>
      </c>
      <c r="Y91" s="482">
        <v>753</v>
      </c>
      <c r="Z91" s="482">
        <v>829</v>
      </c>
      <c r="AA91" s="482">
        <v>758</v>
      </c>
      <c r="AB91" s="482">
        <v>775</v>
      </c>
      <c r="AC91" s="479">
        <v>823</v>
      </c>
      <c r="AD91" s="479">
        <v>827</v>
      </c>
      <c r="AE91" s="480">
        <v>871</v>
      </c>
      <c r="AF91" s="981">
        <v>884</v>
      </c>
      <c r="AG91" s="1346">
        <v>881</v>
      </c>
      <c r="AH91" s="1350">
        <v>921</v>
      </c>
      <c r="AI91" s="1995">
        <v>878</v>
      </c>
      <c r="AJ91" s="1713">
        <v>874</v>
      </c>
    </row>
    <row r="92" spans="1:36" ht="16.5" customHeight="1" x14ac:dyDescent="0.25">
      <c r="A92" s="402" t="s">
        <v>226</v>
      </c>
      <c r="B92" s="403" t="s">
        <v>523</v>
      </c>
      <c r="C92" s="1720" t="s">
        <v>264</v>
      </c>
      <c r="D92" s="476">
        <v>0.17199999999999999</v>
      </c>
      <c r="E92" s="476">
        <v>0.16899999999999998</v>
      </c>
      <c r="F92" s="476">
        <v>0.17899999999999999</v>
      </c>
      <c r="G92" s="476">
        <v>0.17199999999999999</v>
      </c>
      <c r="H92" s="476">
        <v>0.17699999999999999</v>
      </c>
      <c r="I92" s="476">
        <v>0.19500000000000001</v>
      </c>
      <c r="J92" s="476">
        <v>0.23499999999999999</v>
      </c>
      <c r="K92" s="476">
        <v>0.20399999999999999</v>
      </c>
      <c r="L92" s="476">
        <v>0.20699999999999999</v>
      </c>
      <c r="M92" s="476">
        <v>0.184</v>
      </c>
      <c r="N92" s="477">
        <v>0.22500000000000001</v>
      </c>
      <c r="O92" s="974">
        <v>0.20699999999999999</v>
      </c>
      <c r="P92" s="974">
        <v>0.23</v>
      </c>
      <c r="Q92" s="974">
        <v>0.2401219113965386</v>
      </c>
      <c r="R92" s="1988">
        <v>0.2390852390852391</v>
      </c>
      <c r="S92" s="1714">
        <v>0.22065934065934065</v>
      </c>
      <c r="T92" s="478"/>
      <c r="U92" s="479">
        <v>1694</v>
      </c>
      <c r="V92" s="479">
        <v>1651</v>
      </c>
      <c r="W92" s="479">
        <v>1728</v>
      </c>
      <c r="X92" s="479">
        <v>1647</v>
      </c>
      <c r="Y92" s="479">
        <v>1678</v>
      </c>
      <c r="Z92" s="479">
        <v>1832</v>
      </c>
      <c r="AA92" s="479">
        <v>2257</v>
      </c>
      <c r="AB92" s="479">
        <v>1947</v>
      </c>
      <c r="AC92" s="479">
        <v>1973</v>
      </c>
      <c r="AD92" s="479">
        <v>1742</v>
      </c>
      <c r="AE92" s="480">
        <v>2132</v>
      </c>
      <c r="AF92" s="981">
        <v>1966</v>
      </c>
      <c r="AG92" s="1346">
        <v>2156</v>
      </c>
      <c r="AH92" s="1350">
        <v>2206</v>
      </c>
      <c r="AI92" s="1995">
        <v>2185</v>
      </c>
      <c r="AJ92" s="1713">
        <v>2008</v>
      </c>
    </row>
    <row r="93" spans="1:36" ht="16.5" customHeight="1" x14ac:dyDescent="0.25">
      <c r="A93" s="402" t="s">
        <v>228</v>
      </c>
      <c r="B93" s="403" t="s">
        <v>524</v>
      </c>
      <c r="C93" s="1720" t="s">
        <v>268</v>
      </c>
      <c r="D93" s="476">
        <v>0.155</v>
      </c>
      <c r="E93" s="476">
        <v>0.15</v>
      </c>
      <c r="F93" s="476">
        <v>0.16600000000000001</v>
      </c>
      <c r="G93" s="476">
        <v>0.156</v>
      </c>
      <c r="H93" s="476">
        <v>0.157</v>
      </c>
      <c r="I93" s="476">
        <v>0.17300000000000001</v>
      </c>
      <c r="J93" s="476">
        <v>0.16500000000000001</v>
      </c>
      <c r="K93" s="476">
        <v>0.17800000000000002</v>
      </c>
      <c r="L93" s="476">
        <v>0.17600000000000002</v>
      </c>
      <c r="M93" s="476">
        <v>0.159</v>
      </c>
      <c r="N93" s="477">
        <v>0.185</v>
      </c>
      <c r="O93" s="974">
        <v>0.17600000000000002</v>
      </c>
      <c r="P93" s="974">
        <v>0.214</v>
      </c>
      <c r="Q93" s="974">
        <v>0.17508154871649412</v>
      </c>
      <c r="R93" s="1988">
        <v>0.19205663546916246</v>
      </c>
      <c r="S93" s="1714">
        <v>0.17210241931558196</v>
      </c>
      <c r="T93" s="478"/>
      <c r="U93" s="479">
        <v>6733</v>
      </c>
      <c r="V93" s="479">
        <v>6533</v>
      </c>
      <c r="W93" s="479">
        <v>7281</v>
      </c>
      <c r="X93" s="479">
        <v>6895</v>
      </c>
      <c r="Y93" s="479">
        <v>6960</v>
      </c>
      <c r="Z93" s="479">
        <v>7559</v>
      </c>
      <c r="AA93" s="479">
        <v>7195</v>
      </c>
      <c r="AB93" s="479">
        <v>7640</v>
      </c>
      <c r="AC93" s="479">
        <v>7561</v>
      </c>
      <c r="AD93" s="479">
        <v>6852</v>
      </c>
      <c r="AE93" s="480">
        <v>8035</v>
      </c>
      <c r="AF93" s="981">
        <v>7580</v>
      </c>
      <c r="AG93" s="1346">
        <v>9089</v>
      </c>
      <c r="AH93" s="1350">
        <v>7407</v>
      </c>
      <c r="AI93" s="1995">
        <v>8003</v>
      </c>
      <c r="AJ93" s="1713">
        <v>7071</v>
      </c>
    </row>
    <row r="94" spans="1:36" ht="16.5" customHeight="1" x14ac:dyDescent="0.25">
      <c r="A94" s="402" t="s">
        <v>232</v>
      </c>
      <c r="B94" s="403" t="s">
        <v>525</v>
      </c>
      <c r="C94" s="1720" t="s">
        <v>267</v>
      </c>
      <c r="D94" s="476">
        <v>8.5999999999999993E-2</v>
      </c>
      <c r="E94" s="476">
        <v>8.3000000000000004E-2</v>
      </c>
      <c r="F94" s="476">
        <v>8.6999999999999994E-2</v>
      </c>
      <c r="G94" s="476">
        <v>9.5000000000000001E-2</v>
      </c>
      <c r="H94" s="476">
        <v>8.900000000000001E-2</v>
      </c>
      <c r="I94" s="476">
        <v>9.8000000000000004E-2</v>
      </c>
      <c r="J94" s="476">
        <v>9.6000000000000002E-2</v>
      </c>
      <c r="K94" s="476">
        <v>0.09</v>
      </c>
      <c r="L94" s="476">
        <v>0.10099999999999999</v>
      </c>
      <c r="M94" s="476">
        <v>9.8000000000000004E-2</v>
      </c>
      <c r="N94" s="477">
        <v>0.10300000000000002</v>
      </c>
      <c r="O94" s="974">
        <v>0.10400000000000001</v>
      </c>
      <c r="P94" s="974">
        <v>0.11</v>
      </c>
      <c r="Q94" s="974">
        <v>0.11989748738407884</v>
      </c>
      <c r="R94" s="1988">
        <v>0.11250131150981009</v>
      </c>
      <c r="S94" s="1714">
        <v>0.10846685516808043</v>
      </c>
      <c r="T94" s="478"/>
      <c r="U94" s="479">
        <v>2737</v>
      </c>
      <c r="V94" s="479">
        <v>2697</v>
      </c>
      <c r="W94" s="479">
        <v>2908</v>
      </c>
      <c r="X94" s="479">
        <v>3236</v>
      </c>
      <c r="Y94" s="479">
        <v>3114</v>
      </c>
      <c r="Z94" s="479">
        <v>3399</v>
      </c>
      <c r="AA94" s="479">
        <v>3382</v>
      </c>
      <c r="AB94" s="479">
        <v>3180</v>
      </c>
      <c r="AC94" s="479">
        <v>3625</v>
      </c>
      <c r="AD94" s="479">
        <v>3519</v>
      </c>
      <c r="AE94" s="480">
        <v>3812</v>
      </c>
      <c r="AF94" s="981">
        <v>3858</v>
      </c>
      <c r="AG94" s="1346">
        <v>4085</v>
      </c>
      <c r="AH94" s="1350">
        <v>4538</v>
      </c>
      <c r="AI94" s="1995">
        <v>4289</v>
      </c>
      <c r="AJ94" s="1713">
        <v>4143</v>
      </c>
    </row>
    <row r="95" spans="1:36" ht="16.5" customHeight="1" x14ac:dyDescent="0.25">
      <c r="A95" s="402" t="s">
        <v>234</v>
      </c>
      <c r="B95" s="403" t="s">
        <v>526</v>
      </c>
      <c r="C95" s="1720" t="s">
        <v>268</v>
      </c>
      <c r="D95" s="476">
        <v>0.114</v>
      </c>
      <c r="E95" s="476">
        <v>0.111</v>
      </c>
      <c r="F95" s="476">
        <v>0.12</v>
      </c>
      <c r="G95" s="476">
        <v>0.122</v>
      </c>
      <c r="H95" s="476">
        <v>0.12300000000000001</v>
      </c>
      <c r="I95" s="476">
        <v>0.11</v>
      </c>
      <c r="J95" s="476">
        <v>0.129</v>
      </c>
      <c r="K95" s="476">
        <v>0.14800000000000002</v>
      </c>
      <c r="L95" s="476">
        <v>0.14199999999999999</v>
      </c>
      <c r="M95" s="476">
        <v>0.13900000000000001</v>
      </c>
      <c r="N95" s="477">
        <v>0.14099999999999999</v>
      </c>
      <c r="O95" s="974">
        <v>0.128</v>
      </c>
      <c r="P95" s="974">
        <v>0.13900000000000001</v>
      </c>
      <c r="Q95" s="974">
        <v>0.14870006935462707</v>
      </c>
      <c r="R95" s="1988">
        <v>0.14543608259054497</v>
      </c>
      <c r="S95" s="1714">
        <v>0.16333924595237195</v>
      </c>
      <c r="T95" s="478"/>
      <c r="U95" s="479">
        <v>5761</v>
      </c>
      <c r="V95" s="479">
        <v>5609</v>
      </c>
      <c r="W95" s="479">
        <v>6108</v>
      </c>
      <c r="X95" s="479">
        <v>6265</v>
      </c>
      <c r="Y95" s="479">
        <v>6344</v>
      </c>
      <c r="Z95" s="479">
        <v>5561</v>
      </c>
      <c r="AA95" s="479">
        <v>6576</v>
      </c>
      <c r="AB95" s="479">
        <v>7589</v>
      </c>
      <c r="AC95" s="479">
        <v>7302</v>
      </c>
      <c r="AD95" s="479">
        <v>7165</v>
      </c>
      <c r="AE95" s="480">
        <v>7500</v>
      </c>
      <c r="AF95" s="981">
        <v>6831</v>
      </c>
      <c r="AG95" s="1346">
        <v>7405</v>
      </c>
      <c r="AH95" s="1350">
        <v>7933</v>
      </c>
      <c r="AI95" s="1995">
        <v>7734</v>
      </c>
      <c r="AJ95" s="1713">
        <v>8656</v>
      </c>
    </row>
    <row r="96" spans="1:36" ht="16.5" customHeight="1" x14ac:dyDescent="0.25">
      <c r="A96" s="402" t="s">
        <v>236</v>
      </c>
      <c r="B96" s="403" t="s">
        <v>527</v>
      </c>
      <c r="C96" s="1720" t="s">
        <v>266</v>
      </c>
      <c r="D96" s="476">
        <v>0.13400000000000001</v>
      </c>
      <c r="E96" s="476">
        <v>0.13</v>
      </c>
      <c r="F96" s="476">
        <v>0.13800000000000001</v>
      </c>
      <c r="G96" s="476">
        <v>0.13800000000000001</v>
      </c>
      <c r="H96" s="476">
        <v>0.13300000000000001</v>
      </c>
      <c r="I96" s="476">
        <v>0.16</v>
      </c>
      <c r="J96" s="476">
        <v>0.14499999999999999</v>
      </c>
      <c r="K96" s="476">
        <v>0.124</v>
      </c>
      <c r="L96" s="476">
        <v>0.14699999999999999</v>
      </c>
      <c r="M96" s="476">
        <v>0.14099999999999999</v>
      </c>
      <c r="N96" s="477">
        <v>0.14699999999999999</v>
      </c>
      <c r="O96" s="974">
        <v>0.17300000000000001</v>
      </c>
      <c r="P96" s="974">
        <v>0.17599999999999999</v>
      </c>
      <c r="Q96" s="974">
        <v>0.15309446254071662</v>
      </c>
      <c r="R96" s="1988">
        <v>0.14984744689424903</v>
      </c>
      <c r="S96" s="1714">
        <v>0.14054115766640027</v>
      </c>
      <c r="T96" s="478"/>
      <c r="U96" s="479">
        <v>2218</v>
      </c>
      <c r="V96" s="479">
        <v>2171</v>
      </c>
      <c r="W96" s="479">
        <v>2347</v>
      </c>
      <c r="X96" s="479">
        <v>2355</v>
      </c>
      <c r="Y96" s="479">
        <v>2293</v>
      </c>
      <c r="Z96" s="479">
        <v>2736</v>
      </c>
      <c r="AA96" s="479">
        <v>2476</v>
      </c>
      <c r="AB96" s="479">
        <v>2118</v>
      </c>
      <c r="AC96" s="479">
        <v>2546</v>
      </c>
      <c r="AD96" s="479">
        <v>2472</v>
      </c>
      <c r="AE96" s="480">
        <v>2555</v>
      </c>
      <c r="AF96" s="981">
        <v>3020</v>
      </c>
      <c r="AG96" s="1346">
        <v>3073</v>
      </c>
      <c r="AH96" s="1350">
        <v>2679</v>
      </c>
      <c r="AI96" s="1995">
        <v>2603</v>
      </c>
      <c r="AJ96" s="1713">
        <v>2462</v>
      </c>
    </row>
    <row r="97" spans="1:36" ht="16.5" customHeight="1" x14ac:dyDescent="0.25">
      <c r="A97" s="402" t="s">
        <v>242</v>
      </c>
      <c r="B97" s="403" t="s">
        <v>528</v>
      </c>
      <c r="C97" s="1720" t="s">
        <v>268</v>
      </c>
      <c r="D97" s="476">
        <v>0.193</v>
      </c>
      <c r="E97" s="476">
        <v>0.183</v>
      </c>
      <c r="F97" s="476">
        <v>0.20199999999999999</v>
      </c>
      <c r="G97" s="476">
        <v>0.19500000000000001</v>
      </c>
      <c r="H97" s="476">
        <v>0.192</v>
      </c>
      <c r="I97" s="476">
        <v>0.23300000000000001</v>
      </c>
      <c r="J97" s="476">
        <v>0.20100000000000001</v>
      </c>
      <c r="K97" s="476">
        <v>0.21600000000000003</v>
      </c>
      <c r="L97" s="476">
        <v>0.215</v>
      </c>
      <c r="M97" s="476">
        <v>0.193</v>
      </c>
      <c r="N97" s="477">
        <v>0.222</v>
      </c>
      <c r="O97" s="974">
        <v>0.22800000000000001</v>
      </c>
      <c r="P97" s="974">
        <v>0.25600000000000001</v>
      </c>
      <c r="Q97" s="974">
        <v>0.19320836873406966</v>
      </c>
      <c r="R97" s="1988">
        <v>0.21919210973079306</v>
      </c>
      <c r="S97" s="1714">
        <v>0.22680804785209352</v>
      </c>
      <c r="T97" s="478"/>
      <c r="U97" s="479">
        <v>7550</v>
      </c>
      <c r="V97" s="479">
        <v>7157</v>
      </c>
      <c r="W97" s="479">
        <v>7942</v>
      </c>
      <c r="X97" s="479">
        <v>7607</v>
      </c>
      <c r="Y97" s="479">
        <v>7545</v>
      </c>
      <c r="Z97" s="479">
        <v>9005</v>
      </c>
      <c r="AA97" s="479">
        <v>7809</v>
      </c>
      <c r="AB97" s="479">
        <v>8333</v>
      </c>
      <c r="AC97" s="479">
        <v>8287</v>
      </c>
      <c r="AD97" s="479">
        <v>7453</v>
      </c>
      <c r="AE97" s="480">
        <v>8524</v>
      </c>
      <c r="AF97" s="981">
        <v>8782</v>
      </c>
      <c r="AG97" s="1346">
        <v>9750</v>
      </c>
      <c r="AH97" s="1350">
        <v>7277</v>
      </c>
      <c r="AI97" s="1995">
        <v>8134</v>
      </c>
      <c r="AJ97" s="1713">
        <v>8342</v>
      </c>
    </row>
    <row r="98" spans="1:36" ht="16.5" customHeight="1" x14ac:dyDescent="0.25">
      <c r="A98" s="402" t="s">
        <v>244</v>
      </c>
      <c r="B98" s="403" t="s">
        <v>529</v>
      </c>
      <c r="C98" s="1720" t="s">
        <v>268</v>
      </c>
      <c r="D98" s="476">
        <v>0.11800000000000001</v>
      </c>
      <c r="E98" s="476">
        <v>0.122</v>
      </c>
      <c r="F98" s="476">
        <v>0.13699999999999998</v>
      </c>
      <c r="G98" s="476">
        <v>0.128</v>
      </c>
      <c r="H98" s="476">
        <v>0.11900000000000001</v>
      </c>
      <c r="I98" s="476">
        <v>0.13699999999999998</v>
      </c>
      <c r="J98" s="476">
        <v>0.14599999999999999</v>
      </c>
      <c r="K98" s="476">
        <v>0.122</v>
      </c>
      <c r="L98" s="476">
        <v>0.14000000000000001</v>
      </c>
      <c r="M98" s="476">
        <v>0.14300000000000002</v>
      </c>
      <c r="N98" s="477">
        <v>0.158</v>
      </c>
      <c r="O98" s="974">
        <v>0.14300000000000002</v>
      </c>
      <c r="P98" s="974">
        <v>0.16900000000000001</v>
      </c>
      <c r="Q98" s="974">
        <v>0.15119482129329936</v>
      </c>
      <c r="R98" s="1988">
        <v>0.15584460631286853</v>
      </c>
      <c r="S98" s="1714">
        <v>0.14443827631670253</v>
      </c>
      <c r="T98" s="478"/>
      <c r="U98" s="479">
        <v>3228</v>
      </c>
      <c r="V98" s="479">
        <v>3351</v>
      </c>
      <c r="W98" s="479">
        <v>3806</v>
      </c>
      <c r="X98" s="479">
        <v>3543</v>
      </c>
      <c r="Y98" s="479">
        <v>3366</v>
      </c>
      <c r="Z98" s="479">
        <v>3825</v>
      </c>
      <c r="AA98" s="479">
        <v>4130</v>
      </c>
      <c r="AB98" s="479">
        <v>3421</v>
      </c>
      <c r="AC98" s="479">
        <v>3967</v>
      </c>
      <c r="AD98" s="479">
        <v>4058</v>
      </c>
      <c r="AE98" s="480">
        <v>4578</v>
      </c>
      <c r="AF98" s="981">
        <v>4148</v>
      </c>
      <c r="AG98" s="1346">
        <v>4889</v>
      </c>
      <c r="AH98" s="1350">
        <v>4391</v>
      </c>
      <c r="AI98" s="1995">
        <v>4493</v>
      </c>
      <c r="AJ98" s="1713">
        <v>4163</v>
      </c>
    </row>
    <row r="99" spans="1:36" ht="16.5" customHeight="1" x14ac:dyDescent="0.25">
      <c r="A99" s="402" t="s">
        <v>246</v>
      </c>
      <c r="B99" s="403" t="s">
        <v>759</v>
      </c>
      <c r="C99" s="1720" t="s">
        <v>264</v>
      </c>
      <c r="D99" s="476">
        <v>4.2800000000000005E-2</v>
      </c>
      <c r="E99" s="476">
        <v>4.2699999999999995E-2</v>
      </c>
      <c r="F99" s="476">
        <v>4.4400000000000002E-2</v>
      </c>
      <c r="G99" s="476">
        <v>4.9699999999999994E-2</v>
      </c>
      <c r="H99" s="476">
        <v>4.7699999999999992E-2</v>
      </c>
      <c r="I99" s="476">
        <v>4.2599999999999999E-2</v>
      </c>
      <c r="J99" s="476">
        <v>4.4000000000000004E-2</v>
      </c>
      <c r="K99" s="476">
        <v>4.2000000000000003E-2</v>
      </c>
      <c r="L99" s="476">
        <v>4.4000000000000004E-2</v>
      </c>
      <c r="M99" s="476">
        <v>4.7300000000000002E-2</v>
      </c>
      <c r="N99" s="477">
        <v>5.3157922199184374E-2</v>
      </c>
      <c r="O99" s="974">
        <v>5.3691962856227987E-2</v>
      </c>
      <c r="P99" s="974">
        <v>6.6000000000000003E-2</v>
      </c>
      <c r="Q99" s="974">
        <v>5.9275493103003736E-2</v>
      </c>
      <c r="R99" s="1988">
        <v>5.5706574251813301E-2</v>
      </c>
      <c r="S99" s="1714">
        <v>5.3377498514482216E-2</v>
      </c>
      <c r="T99" s="478"/>
      <c r="U99" s="479">
        <v>2965</v>
      </c>
      <c r="V99" s="479">
        <v>3035</v>
      </c>
      <c r="W99" s="479">
        <v>3230</v>
      </c>
      <c r="X99" s="479">
        <v>3589</v>
      </c>
      <c r="Y99" s="479">
        <v>3510</v>
      </c>
      <c r="Z99" s="479">
        <v>3102</v>
      </c>
      <c r="AA99" s="479">
        <v>3228</v>
      </c>
      <c r="AB99" s="479">
        <v>3067</v>
      </c>
      <c r="AC99" s="479">
        <v>3172</v>
      </c>
      <c r="AD99" s="479">
        <v>3402</v>
      </c>
      <c r="AE99" s="480">
        <v>4058</v>
      </c>
      <c r="AF99" s="981">
        <v>4192</v>
      </c>
      <c r="AG99" s="1346">
        <v>5134</v>
      </c>
      <c r="AH99" s="1350">
        <v>4598</v>
      </c>
      <c r="AI99" s="1995">
        <v>4324</v>
      </c>
      <c r="AJ99" s="1713">
        <v>4222</v>
      </c>
    </row>
    <row r="100" spans="1:36" ht="16.5" customHeight="1" x14ac:dyDescent="0.25">
      <c r="A100" s="402" t="s">
        <v>14</v>
      </c>
      <c r="B100" s="403" t="s">
        <v>15</v>
      </c>
      <c r="C100" s="1720" t="s">
        <v>267</v>
      </c>
      <c r="D100" s="476">
        <v>7.4999999999999997E-2</v>
      </c>
      <c r="E100" s="476">
        <v>7.2000000000000008E-2</v>
      </c>
      <c r="F100" s="476">
        <v>7.8E-2</v>
      </c>
      <c r="G100" s="476">
        <v>8.8000000000000009E-2</v>
      </c>
      <c r="H100" s="476">
        <v>8.3000000000000004E-2</v>
      </c>
      <c r="I100" s="476">
        <v>7.6999999999999999E-2</v>
      </c>
      <c r="J100" s="476">
        <v>7.2000000000000008E-2</v>
      </c>
      <c r="K100" s="476">
        <v>8.3000000000000004E-2</v>
      </c>
      <c r="L100" s="476">
        <v>0.08</v>
      </c>
      <c r="M100" s="476">
        <v>9.0999999999999998E-2</v>
      </c>
      <c r="N100" s="477">
        <v>9.3000000000000013E-2</v>
      </c>
      <c r="O100" s="974">
        <v>8.1000000000000003E-2</v>
      </c>
      <c r="P100" s="974">
        <v>8.5999999999999993E-2</v>
      </c>
      <c r="Q100" s="974">
        <v>8.7829889090624724E-2</v>
      </c>
      <c r="R100" s="1988">
        <v>9.5899435332078523E-2</v>
      </c>
      <c r="S100" s="1714">
        <v>9.1208820193601145E-2</v>
      </c>
      <c r="T100" s="478"/>
      <c r="U100" s="479">
        <v>9744</v>
      </c>
      <c r="V100" s="479">
        <v>9285</v>
      </c>
      <c r="W100" s="479">
        <v>10067</v>
      </c>
      <c r="X100" s="479">
        <v>11271</v>
      </c>
      <c r="Y100" s="479">
        <v>11165</v>
      </c>
      <c r="Z100" s="479">
        <v>10320</v>
      </c>
      <c r="AA100" s="479">
        <v>9685</v>
      </c>
      <c r="AB100" s="479">
        <v>11450</v>
      </c>
      <c r="AC100" s="479">
        <v>11398</v>
      </c>
      <c r="AD100" s="479">
        <v>13486</v>
      </c>
      <c r="AE100" s="480">
        <v>12898</v>
      </c>
      <c r="AF100" s="981">
        <v>11522</v>
      </c>
      <c r="AG100" s="1346">
        <v>12412</v>
      </c>
      <c r="AH100" s="1350">
        <v>12916</v>
      </c>
      <c r="AI100" s="1995">
        <v>14266</v>
      </c>
      <c r="AJ100" s="1713">
        <v>13832</v>
      </c>
    </row>
    <row r="101" spans="1:36" ht="16.5" customHeight="1" x14ac:dyDescent="0.25">
      <c r="A101" s="402" t="s">
        <v>34</v>
      </c>
      <c r="B101" s="403" t="s">
        <v>35</v>
      </c>
      <c r="C101" s="1720" t="s">
        <v>268</v>
      </c>
      <c r="D101" s="476">
        <v>0.154</v>
      </c>
      <c r="E101" s="476">
        <v>0.156</v>
      </c>
      <c r="F101" s="476">
        <v>0.17100000000000001</v>
      </c>
      <c r="G101" s="476">
        <v>0.16399999999999998</v>
      </c>
      <c r="H101" s="476">
        <v>0.16800000000000001</v>
      </c>
      <c r="I101" s="476">
        <v>0.182</v>
      </c>
      <c r="J101" s="476">
        <v>0.214</v>
      </c>
      <c r="K101" s="476">
        <v>0.183</v>
      </c>
      <c r="L101" s="476">
        <v>0.21299999999999999</v>
      </c>
      <c r="M101" s="476">
        <v>0.20199999999999999</v>
      </c>
      <c r="N101" s="477">
        <v>0.21500000000000002</v>
      </c>
      <c r="O101" s="974">
        <v>0.25800000000000001</v>
      </c>
      <c r="P101" s="974">
        <v>0.21099999999999999</v>
      </c>
      <c r="Q101" s="974">
        <v>0.21624151649894688</v>
      </c>
      <c r="R101" s="1988">
        <v>0.21793737838315938</v>
      </c>
      <c r="S101" s="1714">
        <v>0.19269417188793</v>
      </c>
      <c r="T101" s="478"/>
      <c r="U101" s="479">
        <v>2597</v>
      </c>
      <c r="V101" s="479">
        <v>2577</v>
      </c>
      <c r="W101" s="479">
        <v>2861</v>
      </c>
      <c r="X101" s="479">
        <v>2763</v>
      </c>
      <c r="Y101" s="479">
        <v>2805</v>
      </c>
      <c r="Z101" s="479">
        <v>2999</v>
      </c>
      <c r="AA101" s="479">
        <v>3584</v>
      </c>
      <c r="AB101" s="479">
        <v>3098</v>
      </c>
      <c r="AC101" s="479">
        <v>3605</v>
      </c>
      <c r="AD101" s="479">
        <v>3458</v>
      </c>
      <c r="AE101" s="480">
        <v>3744</v>
      </c>
      <c r="AF101" s="981">
        <v>4466</v>
      </c>
      <c r="AG101" s="1346">
        <v>3624</v>
      </c>
      <c r="AH101" s="1350">
        <v>3696</v>
      </c>
      <c r="AI101" s="1995">
        <v>3696</v>
      </c>
      <c r="AJ101" s="1713">
        <v>3260</v>
      </c>
    </row>
    <row r="102" spans="1:36" ht="16.5" customHeight="1" x14ac:dyDescent="0.25">
      <c r="A102" s="402" t="s">
        <v>52</v>
      </c>
      <c r="B102" s="403" t="s">
        <v>53</v>
      </c>
      <c r="C102" s="1720" t="s">
        <v>265</v>
      </c>
      <c r="D102" s="476">
        <v>0.16800000000000001</v>
      </c>
      <c r="E102" s="476">
        <v>0.14599999999999999</v>
      </c>
      <c r="F102" s="476">
        <v>0.16399999999999998</v>
      </c>
      <c r="G102" s="476">
        <v>0.18</v>
      </c>
      <c r="H102" s="476">
        <v>0.17199999999999999</v>
      </c>
      <c r="I102" s="476">
        <v>0.23699999999999999</v>
      </c>
      <c r="J102" s="476">
        <v>0.24</v>
      </c>
      <c r="K102" s="476">
        <v>0.23600000000000002</v>
      </c>
      <c r="L102" s="476">
        <v>0.218</v>
      </c>
      <c r="M102" s="476">
        <v>0.214</v>
      </c>
      <c r="N102" s="477">
        <v>0.20200000000000001</v>
      </c>
      <c r="O102" s="974">
        <v>0.23</v>
      </c>
      <c r="P102" s="974">
        <v>0.24199999999999999</v>
      </c>
      <c r="Q102" s="974">
        <v>0.22897096751295459</v>
      </c>
      <c r="R102" s="1988">
        <v>0.2591647705072514</v>
      </c>
      <c r="S102" s="1714">
        <v>0.2073885980090335</v>
      </c>
      <c r="T102" s="478"/>
      <c r="U102" s="479">
        <v>6470</v>
      </c>
      <c r="V102" s="479">
        <v>5556</v>
      </c>
      <c r="W102" s="479">
        <v>6184</v>
      </c>
      <c r="X102" s="479">
        <v>6295</v>
      </c>
      <c r="Y102" s="479">
        <v>6720</v>
      </c>
      <c r="Z102" s="479">
        <v>9101</v>
      </c>
      <c r="AA102" s="479">
        <v>9240</v>
      </c>
      <c r="AB102" s="479">
        <v>9299</v>
      </c>
      <c r="AC102" s="479">
        <v>8640</v>
      </c>
      <c r="AD102" s="479">
        <v>8666</v>
      </c>
      <c r="AE102" s="480">
        <v>8387</v>
      </c>
      <c r="AF102" s="981">
        <v>9508</v>
      </c>
      <c r="AG102" s="1346">
        <v>10138</v>
      </c>
      <c r="AH102" s="1350">
        <v>9677</v>
      </c>
      <c r="AI102" s="1995">
        <v>11276</v>
      </c>
      <c r="AJ102" s="1713">
        <v>9229</v>
      </c>
    </row>
    <row r="103" spans="1:36" ht="16.5" customHeight="1" x14ac:dyDescent="0.25">
      <c r="A103" s="402" t="s">
        <v>54</v>
      </c>
      <c r="B103" s="403" t="s">
        <v>55</v>
      </c>
      <c r="C103" s="1720" t="s">
        <v>264</v>
      </c>
      <c r="D103" s="476">
        <v>7.6999999999999999E-2</v>
      </c>
      <c r="E103" s="476">
        <v>7.5999999999999998E-2</v>
      </c>
      <c r="F103" s="476">
        <v>8.3000000000000004E-2</v>
      </c>
      <c r="G103" s="476">
        <v>9.0999999999999998E-2</v>
      </c>
      <c r="H103" s="476">
        <v>8.6999999999999994E-2</v>
      </c>
      <c r="I103" s="476">
        <v>6.8000000000000005E-2</v>
      </c>
      <c r="J103" s="476">
        <v>6.8000000000000005E-2</v>
      </c>
      <c r="K103" s="476">
        <v>0.08</v>
      </c>
      <c r="L103" s="476">
        <v>7.9000000000000001E-2</v>
      </c>
      <c r="M103" s="476">
        <v>7.2999999999999995E-2</v>
      </c>
      <c r="N103" s="477">
        <v>0.08</v>
      </c>
      <c r="O103" s="974">
        <v>9.3000000000000013E-2</v>
      </c>
      <c r="P103" s="974">
        <v>0.104</v>
      </c>
      <c r="Q103" s="974">
        <v>9.568905157362026E-2</v>
      </c>
      <c r="R103" s="1988">
        <v>9.8083057307003993E-2</v>
      </c>
      <c r="S103" s="1714">
        <v>9.7339874128725287E-2</v>
      </c>
      <c r="T103" s="478"/>
      <c r="U103" s="479">
        <v>15364</v>
      </c>
      <c r="V103" s="479">
        <v>15393</v>
      </c>
      <c r="W103" s="479">
        <v>17353</v>
      </c>
      <c r="X103" s="479">
        <v>19330</v>
      </c>
      <c r="Y103" s="479">
        <v>18815</v>
      </c>
      <c r="Z103" s="479">
        <v>14571</v>
      </c>
      <c r="AA103" s="479">
        <v>14811</v>
      </c>
      <c r="AB103" s="479">
        <v>17246</v>
      </c>
      <c r="AC103" s="479">
        <v>17088</v>
      </c>
      <c r="AD103" s="479">
        <v>15859</v>
      </c>
      <c r="AE103" s="480">
        <v>17468</v>
      </c>
      <c r="AF103" s="981">
        <v>20551</v>
      </c>
      <c r="AG103" s="1346">
        <v>23308</v>
      </c>
      <c r="AH103" s="1350">
        <v>21593</v>
      </c>
      <c r="AI103" s="1995">
        <v>22416</v>
      </c>
      <c r="AJ103" s="1713">
        <v>22442</v>
      </c>
    </row>
    <row r="104" spans="1:36" ht="16.5" customHeight="1" x14ac:dyDescent="0.25">
      <c r="A104" s="402" t="s">
        <v>66</v>
      </c>
      <c r="B104" s="403" t="s">
        <v>67</v>
      </c>
      <c r="C104" s="1720" t="s">
        <v>265</v>
      </c>
      <c r="D104" s="476">
        <v>0.17100000000000001</v>
      </c>
      <c r="E104" s="476">
        <v>0.17300000000000001</v>
      </c>
      <c r="F104" s="476">
        <v>0.192</v>
      </c>
      <c r="G104" s="476">
        <v>0.19399999999999998</v>
      </c>
      <c r="H104" s="476">
        <v>0.19399999999999998</v>
      </c>
      <c r="I104" s="476">
        <v>0.24299999999999999</v>
      </c>
      <c r="J104" s="476">
        <v>0.223</v>
      </c>
      <c r="K104" s="476">
        <v>0.22800000000000001</v>
      </c>
      <c r="L104" s="476">
        <v>0.20800000000000002</v>
      </c>
      <c r="M104" s="476">
        <v>0.251</v>
      </c>
      <c r="N104" s="477">
        <v>0.26600000000000001</v>
      </c>
      <c r="O104" s="974">
        <v>0.26500000000000001</v>
      </c>
      <c r="P104" s="974">
        <v>0.25900000000000001</v>
      </c>
      <c r="Q104" s="974">
        <v>0.25023586617316207</v>
      </c>
      <c r="R104" s="1988">
        <v>0.2357767382625946</v>
      </c>
      <c r="S104" s="1714">
        <v>0.23496324073617211</v>
      </c>
      <c r="T104" s="478"/>
      <c r="U104" s="479">
        <v>7972</v>
      </c>
      <c r="V104" s="479">
        <v>7971</v>
      </c>
      <c r="W104" s="479">
        <v>8821</v>
      </c>
      <c r="X104" s="479">
        <v>8796</v>
      </c>
      <c r="Y104" s="479">
        <v>8715</v>
      </c>
      <c r="Z104" s="479">
        <v>10779</v>
      </c>
      <c r="AA104" s="479">
        <v>9838</v>
      </c>
      <c r="AB104" s="479">
        <v>9930</v>
      </c>
      <c r="AC104" s="479">
        <v>8991</v>
      </c>
      <c r="AD104" s="479">
        <v>10764</v>
      </c>
      <c r="AE104" s="480">
        <v>11032</v>
      </c>
      <c r="AF104" s="981">
        <v>10984</v>
      </c>
      <c r="AG104" s="1346">
        <v>10719</v>
      </c>
      <c r="AH104" s="1350">
        <v>10344</v>
      </c>
      <c r="AI104" s="1995">
        <v>9627</v>
      </c>
      <c r="AJ104" s="1713">
        <v>9524</v>
      </c>
    </row>
    <row r="105" spans="1:36" ht="16.5" customHeight="1" x14ac:dyDescent="0.25">
      <c r="A105" s="402" t="s">
        <v>82</v>
      </c>
      <c r="B105" s="403" t="s">
        <v>83</v>
      </c>
      <c r="C105" s="1720" t="s">
        <v>264</v>
      </c>
      <c r="D105" s="476">
        <v>0.17499999999999999</v>
      </c>
      <c r="E105" s="476">
        <v>0.156</v>
      </c>
      <c r="F105" s="476">
        <v>0.17100000000000001</v>
      </c>
      <c r="G105" s="476">
        <v>0.17399999999999999</v>
      </c>
      <c r="H105" s="476">
        <v>0.16600000000000001</v>
      </c>
      <c r="I105" s="476">
        <v>0.20100000000000001</v>
      </c>
      <c r="J105" s="476">
        <v>0.185</v>
      </c>
      <c r="K105" s="476">
        <v>0.184</v>
      </c>
      <c r="L105" s="476">
        <v>0.19399999999999998</v>
      </c>
      <c r="M105" s="476">
        <v>0.17699999999999999</v>
      </c>
      <c r="N105" s="477">
        <v>0.216</v>
      </c>
      <c r="O105" s="974">
        <v>0.218</v>
      </c>
      <c r="P105" s="974">
        <v>0.20799999999999999</v>
      </c>
      <c r="Q105" s="974">
        <v>0.2186030103480715</v>
      </c>
      <c r="R105" s="1988">
        <v>0.22489577129243599</v>
      </c>
      <c r="S105" s="1714">
        <v>0.19408878784252723</v>
      </c>
      <c r="T105" s="478"/>
      <c r="U105" s="479">
        <v>1401</v>
      </c>
      <c r="V105" s="479">
        <v>1237</v>
      </c>
      <c r="W105" s="479">
        <v>1374</v>
      </c>
      <c r="X105" s="479">
        <v>1435</v>
      </c>
      <c r="Y105" s="479">
        <v>1388</v>
      </c>
      <c r="Z105" s="479">
        <v>1668</v>
      </c>
      <c r="AA105" s="479">
        <v>1576</v>
      </c>
      <c r="AB105" s="479">
        <v>1586</v>
      </c>
      <c r="AC105" s="479">
        <v>1663</v>
      </c>
      <c r="AD105" s="479">
        <v>1506</v>
      </c>
      <c r="AE105" s="480">
        <v>1833</v>
      </c>
      <c r="AF105" s="981">
        <v>1843</v>
      </c>
      <c r="AG105" s="1346">
        <v>1750</v>
      </c>
      <c r="AH105" s="1350">
        <v>1859</v>
      </c>
      <c r="AI105" s="1995">
        <v>1888</v>
      </c>
      <c r="AJ105" s="1713">
        <v>1622</v>
      </c>
    </row>
    <row r="106" spans="1:36" ht="16.5" customHeight="1" x14ac:dyDescent="0.25">
      <c r="A106" s="402" t="s">
        <v>88</v>
      </c>
      <c r="B106" s="403" t="s">
        <v>89</v>
      </c>
      <c r="C106" s="1720" t="s">
        <v>267</v>
      </c>
      <c r="D106" s="476">
        <v>0.128</v>
      </c>
      <c r="E106" s="476">
        <v>0.126</v>
      </c>
      <c r="F106" s="476">
        <v>0.13699999999999998</v>
      </c>
      <c r="G106" s="476">
        <v>0.14199999999999999</v>
      </c>
      <c r="H106" s="476">
        <v>0.14400000000000002</v>
      </c>
      <c r="I106" s="476">
        <v>0.17</v>
      </c>
      <c r="J106" s="476">
        <v>0.14899999999999999</v>
      </c>
      <c r="K106" s="476">
        <v>0.13</v>
      </c>
      <c r="L106" s="476">
        <v>0.154</v>
      </c>
      <c r="M106" s="476">
        <v>0.17300000000000001</v>
      </c>
      <c r="N106" s="477">
        <v>0.19800000000000001</v>
      </c>
      <c r="O106" s="974">
        <v>0.159</v>
      </c>
      <c r="P106" s="974">
        <v>0.157</v>
      </c>
      <c r="Q106" s="974">
        <v>0.17524306378942375</v>
      </c>
      <c r="R106" s="1988">
        <v>0.16764338177840299</v>
      </c>
      <c r="S106" s="1714">
        <v>0.1590642359752758</v>
      </c>
      <c r="T106" s="478"/>
      <c r="U106" s="479">
        <v>2267</v>
      </c>
      <c r="V106" s="479">
        <v>2247</v>
      </c>
      <c r="W106" s="479">
        <v>2476</v>
      </c>
      <c r="X106" s="479">
        <v>2594</v>
      </c>
      <c r="Y106" s="479">
        <v>2630</v>
      </c>
      <c r="Z106" s="479">
        <v>3050</v>
      </c>
      <c r="AA106" s="479">
        <v>2783</v>
      </c>
      <c r="AB106" s="479">
        <v>2585</v>
      </c>
      <c r="AC106" s="479">
        <v>3118</v>
      </c>
      <c r="AD106" s="479">
        <v>3581</v>
      </c>
      <c r="AE106" s="480">
        <v>4338</v>
      </c>
      <c r="AF106" s="981">
        <v>3681</v>
      </c>
      <c r="AG106" s="1346">
        <v>3860</v>
      </c>
      <c r="AH106" s="1350">
        <v>4434</v>
      </c>
      <c r="AI106" s="1995">
        <v>4291</v>
      </c>
      <c r="AJ106" s="1713">
        <v>4066</v>
      </c>
    </row>
    <row r="107" spans="1:36" ht="16.5" customHeight="1" x14ac:dyDescent="0.25">
      <c r="A107" s="402" t="s">
        <v>90</v>
      </c>
      <c r="B107" s="403" t="s">
        <v>91</v>
      </c>
      <c r="C107" s="1720" t="s">
        <v>268</v>
      </c>
      <c r="D107" s="476">
        <v>0.184</v>
      </c>
      <c r="E107" s="476">
        <v>0.16899999999999998</v>
      </c>
      <c r="F107" s="476">
        <v>0.17699999999999999</v>
      </c>
      <c r="G107" s="476">
        <v>0.18</v>
      </c>
      <c r="H107" s="476">
        <v>0.17</v>
      </c>
      <c r="I107" s="476">
        <v>0.20699999999999999</v>
      </c>
      <c r="J107" s="476">
        <v>0.23</v>
      </c>
      <c r="K107" s="476">
        <v>0.19</v>
      </c>
      <c r="L107" s="476">
        <v>0.20699999999999999</v>
      </c>
      <c r="M107" s="476">
        <v>0.191</v>
      </c>
      <c r="N107" s="477">
        <v>0.223</v>
      </c>
      <c r="O107" s="974">
        <v>0.22899999999999998</v>
      </c>
      <c r="P107" s="974">
        <v>0.22800000000000001</v>
      </c>
      <c r="Q107" s="974">
        <v>0.22763744427934621</v>
      </c>
      <c r="R107" s="1988">
        <v>0.22738787066011026</v>
      </c>
      <c r="S107" s="1714">
        <v>0.24190620272314675</v>
      </c>
      <c r="T107" s="478"/>
      <c r="U107" s="479">
        <v>1202</v>
      </c>
      <c r="V107" s="479">
        <v>1094</v>
      </c>
      <c r="W107" s="479">
        <v>1163</v>
      </c>
      <c r="X107" s="479">
        <v>1180</v>
      </c>
      <c r="Y107" s="479">
        <v>1118</v>
      </c>
      <c r="Z107" s="479">
        <v>1349</v>
      </c>
      <c r="AA107" s="479">
        <v>1504</v>
      </c>
      <c r="AB107" s="479">
        <v>1267</v>
      </c>
      <c r="AC107" s="479">
        <v>1378</v>
      </c>
      <c r="AD107" s="479">
        <v>1286</v>
      </c>
      <c r="AE107" s="480">
        <v>1512</v>
      </c>
      <c r="AF107" s="981">
        <v>1530</v>
      </c>
      <c r="AG107" s="1346">
        <v>1506</v>
      </c>
      <c r="AH107" s="1350">
        <v>1532</v>
      </c>
      <c r="AI107" s="1995">
        <v>1526</v>
      </c>
      <c r="AJ107" s="1713">
        <v>1599</v>
      </c>
    </row>
    <row r="108" spans="1:36" ht="16.5" customHeight="1" x14ac:dyDescent="0.25">
      <c r="A108" s="402" t="s">
        <v>106</v>
      </c>
      <c r="B108" s="403" t="s">
        <v>107</v>
      </c>
      <c r="C108" s="1720" t="s">
        <v>264</v>
      </c>
      <c r="D108" s="476">
        <v>0.122</v>
      </c>
      <c r="E108" s="476">
        <v>0.121</v>
      </c>
      <c r="F108" s="476">
        <v>0.13</v>
      </c>
      <c r="G108" s="476">
        <v>0.13100000000000001</v>
      </c>
      <c r="H108" s="476">
        <v>0.125</v>
      </c>
      <c r="I108" s="476">
        <v>0.13400000000000001</v>
      </c>
      <c r="J108" s="476">
        <v>0.121</v>
      </c>
      <c r="K108" s="476">
        <v>0.15</v>
      </c>
      <c r="L108" s="476">
        <v>0.14199999999999999</v>
      </c>
      <c r="M108" s="476">
        <v>0.14800000000000002</v>
      </c>
      <c r="N108" s="477">
        <v>0.13099999999999998</v>
      </c>
      <c r="O108" s="974">
        <v>0.153</v>
      </c>
      <c r="P108" s="974">
        <v>0.16500000000000001</v>
      </c>
      <c r="Q108" s="974">
        <v>0.15595928806935214</v>
      </c>
      <c r="R108" s="1988">
        <v>0.15181356519642561</v>
      </c>
      <c r="S108" s="1714">
        <v>0.15230752887256613</v>
      </c>
      <c r="T108" s="478"/>
      <c r="U108" s="479">
        <v>16301</v>
      </c>
      <c r="V108" s="479">
        <v>16154</v>
      </c>
      <c r="W108" s="479">
        <v>17671</v>
      </c>
      <c r="X108" s="479">
        <v>17544</v>
      </c>
      <c r="Y108" s="479">
        <v>16802</v>
      </c>
      <c r="Z108" s="479">
        <v>17885</v>
      </c>
      <c r="AA108" s="479">
        <v>16140</v>
      </c>
      <c r="AB108" s="479">
        <v>20115</v>
      </c>
      <c r="AC108" s="479">
        <v>18827</v>
      </c>
      <c r="AD108" s="479">
        <v>19499</v>
      </c>
      <c r="AE108" s="480">
        <v>17439</v>
      </c>
      <c r="AF108" s="981">
        <v>20153</v>
      </c>
      <c r="AG108" s="1346">
        <v>21855</v>
      </c>
      <c r="AH108" s="1350">
        <v>20671</v>
      </c>
      <c r="AI108" s="1995">
        <v>20149</v>
      </c>
      <c r="AJ108" s="1713">
        <v>20072</v>
      </c>
    </row>
    <row r="109" spans="1:36" ht="16.5" customHeight="1" x14ac:dyDescent="0.25">
      <c r="A109" s="402" t="s">
        <v>116</v>
      </c>
      <c r="B109" s="403" t="s">
        <v>117</v>
      </c>
      <c r="C109" s="1720" t="s">
        <v>266</v>
      </c>
      <c r="D109" s="476">
        <v>0.14499999999999999</v>
      </c>
      <c r="E109" s="476">
        <v>0.14099999999999999</v>
      </c>
      <c r="F109" s="476">
        <v>0.16</v>
      </c>
      <c r="G109" s="476">
        <v>0.16399999999999998</v>
      </c>
      <c r="H109" s="476">
        <v>0.155</v>
      </c>
      <c r="I109" s="476">
        <v>0.16600000000000001</v>
      </c>
      <c r="J109" s="476">
        <v>0.16600000000000001</v>
      </c>
      <c r="K109" s="476">
        <v>0.15</v>
      </c>
      <c r="L109" s="476">
        <v>0.17899999999999999</v>
      </c>
      <c r="M109" s="476">
        <v>0.19699999999999998</v>
      </c>
      <c r="N109" s="477">
        <v>0.17299999999999999</v>
      </c>
      <c r="O109" s="974">
        <v>0.183</v>
      </c>
      <c r="P109" s="974">
        <v>0.189</v>
      </c>
      <c r="Q109" s="974">
        <v>0.22586412395709177</v>
      </c>
      <c r="R109" s="1988">
        <v>0.19529605564198774</v>
      </c>
      <c r="S109" s="1714">
        <v>0.20570209288600355</v>
      </c>
      <c r="T109" s="478"/>
      <c r="U109" s="479">
        <v>3195</v>
      </c>
      <c r="V109" s="479">
        <v>3132</v>
      </c>
      <c r="W109" s="479">
        <v>3571</v>
      </c>
      <c r="X109" s="479">
        <v>3635</v>
      </c>
      <c r="Y109" s="479">
        <v>3497</v>
      </c>
      <c r="Z109" s="479">
        <v>3715</v>
      </c>
      <c r="AA109" s="479">
        <v>3720</v>
      </c>
      <c r="AB109" s="479">
        <v>3402</v>
      </c>
      <c r="AC109" s="479">
        <v>4079</v>
      </c>
      <c r="AD109" s="479">
        <v>4486</v>
      </c>
      <c r="AE109" s="480">
        <v>3859</v>
      </c>
      <c r="AF109" s="981">
        <v>4076</v>
      </c>
      <c r="AG109" s="1346">
        <v>4153</v>
      </c>
      <c r="AH109" s="1350">
        <v>4927</v>
      </c>
      <c r="AI109" s="1995">
        <v>4268</v>
      </c>
      <c r="AJ109" s="1713">
        <v>4531</v>
      </c>
    </row>
    <row r="110" spans="1:36" ht="16.5" customHeight="1" x14ac:dyDescent="0.25">
      <c r="A110" s="402" t="s">
        <v>138</v>
      </c>
      <c r="B110" s="403" t="s">
        <v>139</v>
      </c>
      <c r="C110" s="1720" t="s">
        <v>265</v>
      </c>
      <c r="D110" s="476">
        <v>0.15</v>
      </c>
      <c r="E110" s="476">
        <v>0.157</v>
      </c>
      <c r="F110" s="476">
        <v>0.183</v>
      </c>
      <c r="G110" s="476">
        <v>0.17600000000000002</v>
      </c>
      <c r="H110" s="476">
        <v>0.17800000000000002</v>
      </c>
      <c r="I110" s="476">
        <v>0.192</v>
      </c>
      <c r="J110" s="476">
        <v>0.191</v>
      </c>
      <c r="K110" s="476">
        <v>0.19399999999999998</v>
      </c>
      <c r="L110" s="476">
        <v>0.19800000000000001</v>
      </c>
      <c r="M110" s="476">
        <v>0.20699999999999999</v>
      </c>
      <c r="N110" s="477">
        <v>0.22800000000000001</v>
      </c>
      <c r="O110" s="974">
        <v>0.221</v>
      </c>
      <c r="P110" s="974">
        <v>0.23799999999999999</v>
      </c>
      <c r="Q110" s="974">
        <v>0.22646971935007384</v>
      </c>
      <c r="R110" s="1988">
        <v>0.24981818181818183</v>
      </c>
      <c r="S110" s="1714">
        <v>0.23141441650249159</v>
      </c>
      <c r="T110" s="478"/>
      <c r="U110" s="479">
        <v>8790</v>
      </c>
      <c r="V110" s="479">
        <v>9167</v>
      </c>
      <c r="W110" s="479">
        <v>10764</v>
      </c>
      <c r="X110" s="479">
        <v>10265</v>
      </c>
      <c r="Y110" s="479">
        <v>10524</v>
      </c>
      <c r="Z110" s="479">
        <v>11145</v>
      </c>
      <c r="AA110" s="479">
        <v>11322</v>
      </c>
      <c r="AB110" s="479">
        <v>11980</v>
      </c>
      <c r="AC110" s="479">
        <v>12344</v>
      </c>
      <c r="AD110" s="479">
        <v>13122</v>
      </c>
      <c r="AE110" s="480">
        <v>14921</v>
      </c>
      <c r="AF110" s="981">
        <v>14671</v>
      </c>
      <c r="AG110" s="1346">
        <v>15896</v>
      </c>
      <c r="AH110" s="1350">
        <v>15332</v>
      </c>
      <c r="AI110" s="1995">
        <v>17175</v>
      </c>
      <c r="AJ110" s="1713">
        <v>15975</v>
      </c>
    </row>
    <row r="111" spans="1:36" ht="16.5" customHeight="1" x14ac:dyDescent="0.25">
      <c r="A111" s="402" t="s">
        <v>142</v>
      </c>
      <c r="B111" s="403" t="s">
        <v>143</v>
      </c>
      <c r="C111" s="1720" t="s">
        <v>267</v>
      </c>
      <c r="D111" s="476">
        <v>5.9000000000000004E-2</v>
      </c>
      <c r="E111" s="476">
        <v>5.9000000000000004E-2</v>
      </c>
      <c r="F111" s="476">
        <v>6.4000000000000001E-2</v>
      </c>
      <c r="G111" s="476">
        <v>7.400000000000001E-2</v>
      </c>
      <c r="H111" s="476">
        <v>7.4999999999999997E-2</v>
      </c>
      <c r="I111" s="476">
        <v>6.8000000000000005E-2</v>
      </c>
      <c r="J111" s="476">
        <v>7.400000000000001E-2</v>
      </c>
      <c r="K111" s="476">
        <v>8.900000000000001E-2</v>
      </c>
      <c r="L111" s="476">
        <v>8.6999999999999994E-2</v>
      </c>
      <c r="M111" s="476">
        <v>0.09</v>
      </c>
      <c r="N111" s="477">
        <v>0.11699999999999998</v>
      </c>
      <c r="O111" s="974">
        <v>0.10300000000000001</v>
      </c>
      <c r="P111" s="974">
        <v>0.107</v>
      </c>
      <c r="Q111" s="974">
        <v>0.10119869233563386</v>
      </c>
      <c r="R111" s="1988">
        <v>9.8221764832587419E-2</v>
      </c>
      <c r="S111" s="1714">
        <v>9.5834237885037504E-2</v>
      </c>
      <c r="T111" s="478"/>
      <c r="U111" s="479">
        <v>2076</v>
      </c>
      <c r="V111" s="479">
        <v>2135</v>
      </c>
      <c r="W111" s="479">
        <v>2358</v>
      </c>
      <c r="X111" s="479">
        <v>2747</v>
      </c>
      <c r="Y111" s="479">
        <v>2756</v>
      </c>
      <c r="Z111" s="479">
        <v>2461</v>
      </c>
      <c r="AA111" s="479">
        <v>2642</v>
      </c>
      <c r="AB111" s="479">
        <v>3070</v>
      </c>
      <c r="AC111" s="479">
        <v>2972</v>
      </c>
      <c r="AD111" s="479">
        <v>3234</v>
      </c>
      <c r="AE111" s="480">
        <v>4427</v>
      </c>
      <c r="AF111" s="981">
        <v>4035</v>
      </c>
      <c r="AG111" s="1346">
        <v>4331</v>
      </c>
      <c r="AH111" s="1350">
        <v>4179</v>
      </c>
      <c r="AI111" s="1995">
        <v>4104</v>
      </c>
      <c r="AJ111" s="1713">
        <v>3973</v>
      </c>
    </row>
    <row r="112" spans="1:36" ht="16.5" customHeight="1" x14ac:dyDescent="0.25">
      <c r="A112" s="402" t="s">
        <v>144</v>
      </c>
      <c r="B112" s="403" t="s">
        <v>145</v>
      </c>
      <c r="C112" s="1720" t="s">
        <v>267</v>
      </c>
      <c r="D112" s="476">
        <v>5.9000000000000004E-2</v>
      </c>
      <c r="E112" s="476">
        <v>5.7000000000000002E-2</v>
      </c>
      <c r="F112" s="476">
        <v>6.0999999999999999E-2</v>
      </c>
      <c r="G112" s="476">
        <v>6.5000000000000002E-2</v>
      </c>
      <c r="H112" s="476">
        <v>0.06</v>
      </c>
      <c r="I112" s="476">
        <v>6.0999999999999999E-2</v>
      </c>
      <c r="J112" s="476">
        <v>6.9000000000000006E-2</v>
      </c>
      <c r="K112" s="476">
        <v>6.2E-2</v>
      </c>
      <c r="L112" s="476">
        <v>6.3E-2</v>
      </c>
      <c r="M112" s="476">
        <v>7.5999999999999998E-2</v>
      </c>
      <c r="N112" s="477">
        <v>8.5999999999999993E-2</v>
      </c>
      <c r="O112" s="974">
        <v>0.08</v>
      </c>
      <c r="P112" s="974">
        <v>8.5999999999999993E-2</v>
      </c>
      <c r="Q112" s="974">
        <v>8.4299065420560745E-2</v>
      </c>
      <c r="R112" s="1988">
        <v>8.9398053109065623E-2</v>
      </c>
      <c r="S112" s="1714">
        <v>7.6539420679071546E-2</v>
      </c>
      <c r="T112" s="478"/>
      <c r="U112" s="482">
        <v>641</v>
      </c>
      <c r="V112" s="482">
        <v>619</v>
      </c>
      <c r="W112" s="482">
        <v>671</v>
      </c>
      <c r="X112" s="482">
        <v>750</v>
      </c>
      <c r="Y112" s="482">
        <v>699</v>
      </c>
      <c r="Z112" s="482">
        <v>705</v>
      </c>
      <c r="AA112" s="482">
        <v>794</v>
      </c>
      <c r="AB112" s="482">
        <v>703</v>
      </c>
      <c r="AC112" s="479">
        <v>713</v>
      </c>
      <c r="AD112" s="479">
        <v>906</v>
      </c>
      <c r="AE112" s="480">
        <v>1238</v>
      </c>
      <c r="AF112" s="981">
        <v>1214</v>
      </c>
      <c r="AG112" s="1346">
        <v>1356</v>
      </c>
      <c r="AH112" s="1350">
        <v>1353</v>
      </c>
      <c r="AI112" s="1995">
        <v>1350</v>
      </c>
      <c r="AJ112" s="1713">
        <v>1197</v>
      </c>
    </row>
    <row r="113" spans="1:36" ht="16.5" customHeight="1" x14ac:dyDescent="0.25">
      <c r="A113" s="402" t="s">
        <v>158</v>
      </c>
      <c r="B113" s="403" t="s">
        <v>159</v>
      </c>
      <c r="C113" s="1720" t="s">
        <v>264</v>
      </c>
      <c r="D113" s="476">
        <v>0.124</v>
      </c>
      <c r="E113" s="476">
        <v>0.11900000000000001</v>
      </c>
      <c r="F113" s="476">
        <v>0.13100000000000001</v>
      </c>
      <c r="G113" s="476">
        <v>0.14000000000000001</v>
      </c>
      <c r="H113" s="476">
        <v>0.13400000000000001</v>
      </c>
      <c r="I113" s="476">
        <v>0.14199999999999999</v>
      </c>
      <c r="J113" s="476">
        <v>0.126</v>
      </c>
      <c r="K113" s="476">
        <v>0.14699999999999999</v>
      </c>
      <c r="L113" s="476">
        <v>0.13200000000000001</v>
      </c>
      <c r="M113" s="476">
        <v>0.13500000000000001</v>
      </c>
      <c r="N113" s="477">
        <v>0.151</v>
      </c>
      <c r="O113" s="974">
        <v>0.155</v>
      </c>
      <c r="P113" s="974">
        <v>0.16400000000000001</v>
      </c>
      <c r="Q113" s="974">
        <v>0.17539417654505696</v>
      </c>
      <c r="R113" s="1988">
        <v>0.16662655986799133</v>
      </c>
      <c r="S113" s="1714">
        <v>0.16834640865215814</v>
      </c>
      <c r="T113" s="478"/>
      <c r="U113" s="479">
        <v>21921</v>
      </c>
      <c r="V113" s="479">
        <v>21150</v>
      </c>
      <c r="W113" s="479">
        <v>23577</v>
      </c>
      <c r="X113" s="479">
        <v>25148</v>
      </c>
      <c r="Y113" s="479">
        <v>23864</v>
      </c>
      <c r="Z113" s="479">
        <v>24948</v>
      </c>
      <c r="AA113" s="479">
        <v>22043</v>
      </c>
      <c r="AB113" s="479">
        <v>25758</v>
      </c>
      <c r="AC113" s="479">
        <v>22966</v>
      </c>
      <c r="AD113" s="479">
        <v>25430</v>
      </c>
      <c r="AE113" s="480">
        <v>26088</v>
      </c>
      <c r="AF113" s="981">
        <v>26712</v>
      </c>
      <c r="AG113" s="1346">
        <v>28299</v>
      </c>
      <c r="AH113" s="1350">
        <v>30480</v>
      </c>
      <c r="AI113" s="1995">
        <v>29082</v>
      </c>
      <c r="AJ113" s="1713">
        <v>29248</v>
      </c>
    </row>
    <row r="114" spans="1:36" ht="16.5" customHeight="1" x14ac:dyDescent="0.25">
      <c r="A114" s="402" t="s">
        <v>160</v>
      </c>
      <c r="B114" s="403" t="s">
        <v>161</v>
      </c>
      <c r="C114" s="1720" t="s">
        <v>264</v>
      </c>
      <c r="D114" s="476">
        <v>0.18600000000000003</v>
      </c>
      <c r="E114" s="476">
        <v>0.18600000000000003</v>
      </c>
      <c r="F114" s="476">
        <v>0.20300000000000001</v>
      </c>
      <c r="G114" s="476">
        <v>0.19800000000000001</v>
      </c>
      <c r="H114" s="476">
        <v>0.188</v>
      </c>
      <c r="I114" s="476">
        <v>0.18899999999999997</v>
      </c>
      <c r="J114" s="476">
        <v>0.17499999999999999</v>
      </c>
      <c r="K114" s="476">
        <v>0.17899999999999999</v>
      </c>
      <c r="L114" s="476">
        <v>0.19500000000000001</v>
      </c>
      <c r="M114" s="476">
        <v>0.184</v>
      </c>
      <c r="N114" s="477">
        <v>0.19</v>
      </c>
      <c r="O114" s="974">
        <v>0.20300000000000001</v>
      </c>
      <c r="P114" s="974">
        <v>0.22600000000000001</v>
      </c>
      <c r="Q114" s="974">
        <v>0.23264248217208874</v>
      </c>
      <c r="R114" s="1988">
        <v>0.23356786563084178</v>
      </c>
      <c r="S114" s="1714">
        <v>0.21482194417709335</v>
      </c>
      <c r="T114" s="478"/>
      <c r="U114" s="479">
        <v>39503</v>
      </c>
      <c r="V114" s="479">
        <v>39711</v>
      </c>
      <c r="W114" s="479">
        <v>43514</v>
      </c>
      <c r="X114" s="479">
        <v>41488</v>
      </c>
      <c r="Y114" s="479">
        <v>38960</v>
      </c>
      <c r="Z114" s="479">
        <v>38857</v>
      </c>
      <c r="AA114" s="479">
        <v>35487</v>
      </c>
      <c r="AB114" s="479">
        <v>37343</v>
      </c>
      <c r="AC114" s="479">
        <v>40407</v>
      </c>
      <c r="AD114" s="479">
        <v>37917</v>
      </c>
      <c r="AE114" s="480">
        <v>39903</v>
      </c>
      <c r="AF114" s="981">
        <v>42703</v>
      </c>
      <c r="AG114" s="1346">
        <v>47978</v>
      </c>
      <c r="AH114" s="1350">
        <v>49457</v>
      </c>
      <c r="AI114" s="1995">
        <v>49728</v>
      </c>
      <c r="AJ114" s="1713">
        <v>45756</v>
      </c>
    </row>
    <row r="115" spans="1:36" ht="16.5" customHeight="1" x14ac:dyDescent="0.25">
      <c r="A115" s="402" t="s">
        <v>166</v>
      </c>
      <c r="B115" s="403" t="s">
        <v>167</v>
      </c>
      <c r="C115" s="1720" t="s">
        <v>268</v>
      </c>
      <c r="D115" s="476">
        <v>0.18600000000000003</v>
      </c>
      <c r="E115" s="476">
        <v>0.17600000000000002</v>
      </c>
      <c r="F115" s="476">
        <v>0.16899999999999998</v>
      </c>
      <c r="G115" s="476">
        <v>0.182</v>
      </c>
      <c r="H115" s="476">
        <v>0.18</v>
      </c>
      <c r="I115" s="476">
        <v>0.221</v>
      </c>
      <c r="J115" s="476">
        <v>0.20300000000000001</v>
      </c>
      <c r="K115" s="476">
        <v>0.20600000000000002</v>
      </c>
      <c r="L115" s="476">
        <v>0.20800000000000002</v>
      </c>
      <c r="M115" s="476">
        <v>0.20899999999999999</v>
      </c>
      <c r="N115" s="477">
        <v>0.19500000000000001</v>
      </c>
      <c r="O115" s="974">
        <v>0.20499999999999999</v>
      </c>
      <c r="P115" s="974">
        <v>0.18099999999999999</v>
      </c>
      <c r="Q115" s="974">
        <v>0.22028325746079919</v>
      </c>
      <c r="R115" s="1988">
        <v>0.21567145376669186</v>
      </c>
      <c r="S115" s="1714">
        <v>0.23729687903017796</v>
      </c>
      <c r="T115" s="478"/>
      <c r="U115" s="482">
        <v>717</v>
      </c>
      <c r="V115" s="482">
        <v>686</v>
      </c>
      <c r="W115" s="482">
        <v>659</v>
      </c>
      <c r="X115" s="482">
        <v>678</v>
      </c>
      <c r="Y115" s="482">
        <v>658</v>
      </c>
      <c r="Z115" s="482">
        <v>801</v>
      </c>
      <c r="AA115" s="482">
        <v>730</v>
      </c>
      <c r="AB115" s="482">
        <v>757</v>
      </c>
      <c r="AC115" s="479">
        <v>759</v>
      </c>
      <c r="AD115" s="479">
        <v>763</v>
      </c>
      <c r="AE115" s="480">
        <v>761</v>
      </c>
      <c r="AF115" s="981">
        <v>819</v>
      </c>
      <c r="AG115" s="1346">
        <v>727</v>
      </c>
      <c r="AH115" s="1350">
        <v>871</v>
      </c>
      <c r="AI115" s="1995">
        <v>856</v>
      </c>
      <c r="AJ115" s="1713">
        <v>920</v>
      </c>
    </row>
    <row r="116" spans="1:36" ht="16.5" customHeight="1" x14ac:dyDescent="0.25">
      <c r="A116" s="402" t="s">
        <v>176</v>
      </c>
      <c r="B116" s="403" t="s">
        <v>177</v>
      </c>
      <c r="C116" s="1720" t="s">
        <v>266</v>
      </c>
      <c r="D116" s="476">
        <v>0.17800000000000002</v>
      </c>
      <c r="E116" s="476">
        <v>0.17100000000000001</v>
      </c>
      <c r="F116" s="476">
        <v>0.185</v>
      </c>
      <c r="G116" s="476">
        <v>0.18600000000000003</v>
      </c>
      <c r="H116" s="476">
        <v>0.183</v>
      </c>
      <c r="I116" s="476">
        <v>0.218</v>
      </c>
      <c r="J116" s="476">
        <v>0.193</v>
      </c>
      <c r="K116" s="476">
        <v>0.191</v>
      </c>
      <c r="L116" s="476">
        <v>0.20100000000000001</v>
      </c>
      <c r="M116" s="476">
        <v>0.222</v>
      </c>
      <c r="N116" s="477">
        <v>0.252</v>
      </c>
      <c r="O116" s="974">
        <v>0.24299999999999999</v>
      </c>
      <c r="P116" s="974">
        <v>0.25800000000000001</v>
      </c>
      <c r="Q116" s="974">
        <v>0.28128436331647239</v>
      </c>
      <c r="R116" s="1988">
        <v>0.25802418976779073</v>
      </c>
      <c r="S116" s="1714">
        <v>0.2838254737769943</v>
      </c>
      <c r="T116" s="478"/>
      <c r="U116" s="479">
        <v>5826</v>
      </c>
      <c r="V116" s="479">
        <v>5569</v>
      </c>
      <c r="W116" s="479">
        <v>6046</v>
      </c>
      <c r="X116" s="479">
        <v>5978</v>
      </c>
      <c r="Y116" s="479">
        <v>5874</v>
      </c>
      <c r="Z116" s="479">
        <v>6854</v>
      </c>
      <c r="AA116" s="479">
        <v>6098</v>
      </c>
      <c r="AB116" s="479">
        <v>6131</v>
      </c>
      <c r="AC116" s="479">
        <v>6478</v>
      </c>
      <c r="AD116" s="479">
        <v>7164</v>
      </c>
      <c r="AE116" s="480">
        <v>8015</v>
      </c>
      <c r="AF116" s="981">
        <v>7697</v>
      </c>
      <c r="AG116" s="1346">
        <v>8084</v>
      </c>
      <c r="AH116" s="1350">
        <v>8953</v>
      </c>
      <c r="AI116" s="1995">
        <v>8256</v>
      </c>
      <c r="AJ116" s="1713">
        <v>9016</v>
      </c>
    </row>
    <row r="117" spans="1:36" ht="16.5" customHeight="1" x14ac:dyDescent="0.25">
      <c r="A117" s="402" t="s">
        <v>180</v>
      </c>
      <c r="B117" s="403" t="s">
        <v>181</v>
      </c>
      <c r="C117" s="1720" t="s">
        <v>264</v>
      </c>
      <c r="D117" s="476">
        <v>0.157</v>
      </c>
      <c r="E117" s="476">
        <v>0.153</v>
      </c>
      <c r="F117" s="476">
        <v>0.16399999999999998</v>
      </c>
      <c r="G117" s="476">
        <v>0.16600000000000001</v>
      </c>
      <c r="H117" s="476">
        <v>0.159</v>
      </c>
      <c r="I117" s="476">
        <v>0.17199999999999999</v>
      </c>
      <c r="J117" s="476">
        <v>0.14800000000000002</v>
      </c>
      <c r="K117" s="476">
        <v>0.156</v>
      </c>
      <c r="L117" s="476">
        <v>0.17899999999999999</v>
      </c>
      <c r="M117" s="476">
        <v>0.16699999999999998</v>
      </c>
      <c r="N117" s="477">
        <v>0.183</v>
      </c>
      <c r="O117" s="974">
        <v>0.18</v>
      </c>
      <c r="P117" s="974">
        <v>0.19500000000000001</v>
      </c>
      <c r="Q117" s="974">
        <v>0.20878695712919276</v>
      </c>
      <c r="R117" s="1988">
        <v>0.18325633487330253</v>
      </c>
      <c r="S117" s="1714">
        <v>0.18621533967653944</v>
      </c>
      <c r="T117" s="478"/>
      <c r="U117" s="479">
        <v>15026</v>
      </c>
      <c r="V117" s="479">
        <v>14553</v>
      </c>
      <c r="W117" s="479">
        <v>15656</v>
      </c>
      <c r="X117" s="479">
        <v>15789</v>
      </c>
      <c r="Y117" s="479">
        <v>15226</v>
      </c>
      <c r="Z117" s="479">
        <v>16256</v>
      </c>
      <c r="AA117" s="479">
        <v>14186</v>
      </c>
      <c r="AB117" s="479">
        <v>15038</v>
      </c>
      <c r="AC117" s="479">
        <v>16990</v>
      </c>
      <c r="AD117" s="479">
        <v>15687</v>
      </c>
      <c r="AE117" s="480">
        <v>16884</v>
      </c>
      <c r="AF117" s="981">
        <v>16640</v>
      </c>
      <c r="AG117" s="1346">
        <v>18123</v>
      </c>
      <c r="AH117" s="1350">
        <v>19427</v>
      </c>
      <c r="AI117" s="1995">
        <v>17017</v>
      </c>
      <c r="AJ117" s="1713">
        <v>17340</v>
      </c>
    </row>
    <row r="118" spans="1:36" ht="16.5" customHeight="1" x14ac:dyDescent="0.25">
      <c r="A118" s="402" t="s">
        <v>192</v>
      </c>
      <c r="B118" s="403" t="s">
        <v>193</v>
      </c>
      <c r="C118" s="1720" t="s">
        <v>268</v>
      </c>
      <c r="D118" s="476">
        <v>0.17199999999999999</v>
      </c>
      <c r="E118" s="476">
        <v>0.17300000000000001</v>
      </c>
      <c r="F118" s="476">
        <v>0.19399999999999998</v>
      </c>
      <c r="G118" s="476">
        <v>0.188</v>
      </c>
      <c r="H118" s="476">
        <v>0.191</v>
      </c>
      <c r="I118" s="476">
        <v>0.28199999999999997</v>
      </c>
      <c r="J118" s="476">
        <v>0.24</v>
      </c>
      <c r="K118" s="476">
        <v>0.309</v>
      </c>
      <c r="L118" s="476">
        <v>0.26700000000000002</v>
      </c>
      <c r="M118" s="476">
        <v>0.27699999999999997</v>
      </c>
      <c r="N118" s="477">
        <v>0.25600000000000001</v>
      </c>
      <c r="O118" s="974">
        <v>0.26800000000000002</v>
      </c>
      <c r="P118" s="974">
        <v>0.34200000000000003</v>
      </c>
      <c r="Q118" s="974">
        <v>0.31280630726614106</v>
      </c>
      <c r="R118" s="1988">
        <v>0.32384908272758739</v>
      </c>
      <c r="S118" s="1714">
        <v>0.32802413696323324</v>
      </c>
      <c r="T118" s="478"/>
      <c r="U118" s="479">
        <v>2217</v>
      </c>
      <c r="V118" s="479">
        <v>2194</v>
      </c>
      <c r="W118" s="479">
        <v>2408</v>
      </c>
      <c r="X118" s="479">
        <v>2282</v>
      </c>
      <c r="Y118" s="479">
        <v>2299</v>
      </c>
      <c r="Z118" s="479">
        <v>3357</v>
      </c>
      <c r="AA118" s="479">
        <v>2857</v>
      </c>
      <c r="AB118" s="479">
        <v>4146</v>
      </c>
      <c r="AC118" s="479">
        <v>3573</v>
      </c>
      <c r="AD118" s="479">
        <v>3735</v>
      </c>
      <c r="AE118" s="480">
        <v>3525</v>
      </c>
      <c r="AF118" s="981">
        <v>3685</v>
      </c>
      <c r="AG118" s="1346">
        <v>4643</v>
      </c>
      <c r="AH118" s="1350">
        <v>4404</v>
      </c>
      <c r="AI118" s="1995">
        <v>4678</v>
      </c>
      <c r="AJ118" s="1713">
        <v>4675</v>
      </c>
    </row>
    <row r="119" spans="1:36" ht="16.5" customHeight="1" x14ac:dyDescent="0.25">
      <c r="A119" s="402" t="s">
        <v>196</v>
      </c>
      <c r="B119" s="403" t="s">
        <v>197</v>
      </c>
      <c r="C119" s="1720" t="s">
        <v>266</v>
      </c>
      <c r="D119" s="476">
        <v>0.18100000000000002</v>
      </c>
      <c r="E119" s="476">
        <v>0.17600000000000002</v>
      </c>
      <c r="F119" s="476">
        <v>0.20100000000000001</v>
      </c>
      <c r="G119" s="476">
        <v>0.20300000000000001</v>
      </c>
      <c r="H119" s="476">
        <v>0.19800000000000001</v>
      </c>
      <c r="I119" s="476">
        <v>0.19899999999999998</v>
      </c>
      <c r="J119" s="476">
        <v>0.20699999999999999</v>
      </c>
      <c r="K119" s="476">
        <v>0.22399999999999998</v>
      </c>
      <c r="L119" s="476">
        <v>0.251</v>
      </c>
      <c r="M119" s="476">
        <v>0.23300000000000001</v>
      </c>
      <c r="N119" s="477">
        <v>0.253</v>
      </c>
      <c r="O119" s="974">
        <v>0.26400000000000001</v>
      </c>
      <c r="P119" s="974">
        <v>0.26200000000000001</v>
      </c>
      <c r="Q119" s="974">
        <v>0.25372750388333187</v>
      </c>
      <c r="R119" s="1988">
        <v>0.25015569351731115</v>
      </c>
      <c r="S119" s="1714">
        <v>0.24435715626669746</v>
      </c>
      <c r="T119" s="478"/>
      <c r="U119" s="479">
        <v>34154</v>
      </c>
      <c r="V119" s="479">
        <v>32966</v>
      </c>
      <c r="W119" s="479">
        <v>37577</v>
      </c>
      <c r="X119" s="479">
        <v>37320</v>
      </c>
      <c r="Y119" s="479">
        <v>36402</v>
      </c>
      <c r="Z119" s="479">
        <v>35775</v>
      </c>
      <c r="AA119" s="479">
        <v>37513</v>
      </c>
      <c r="AB119" s="479">
        <v>42273</v>
      </c>
      <c r="AC119" s="479">
        <v>47850</v>
      </c>
      <c r="AD119" s="479">
        <v>44931</v>
      </c>
      <c r="AE119" s="480">
        <v>48830</v>
      </c>
      <c r="AF119" s="981">
        <v>51117</v>
      </c>
      <c r="AG119" s="1346">
        <v>52017</v>
      </c>
      <c r="AH119" s="1350">
        <v>51290</v>
      </c>
      <c r="AI119" s="1995">
        <v>51415</v>
      </c>
      <c r="AJ119" s="1713">
        <v>50763</v>
      </c>
    </row>
    <row r="120" spans="1:36" ht="16.5" customHeight="1" x14ac:dyDescent="0.25">
      <c r="A120" s="402" t="s">
        <v>200</v>
      </c>
      <c r="B120" s="403" t="s">
        <v>201</v>
      </c>
      <c r="C120" s="1720" t="s">
        <v>265</v>
      </c>
      <c r="D120" s="476">
        <v>0.15</v>
      </c>
      <c r="E120" s="476">
        <v>0.151</v>
      </c>
      <c r="F120" s="476">
        <v>0.16600000000000001</v>
      </c>
      <c r="G120" s="476">
        <v>0.16899999999999998</v>
      </c>
      <c r="H120" s="476">
        <v>0.16300000000000001</v>
      </c>
      <c r="I120" s="476">
        <v>0.17199999999999999</v>
      </c>
      <c r="J120" s="476">
        <v>0.16699999999999998</v>
      </c>
      <c r="K120" s="476">
        <v>0.16899999999999998</v>
      </c>
      <c r="L120" s="476">
        <v>0.17800000000000002</v>
      </c>
      <c r="M120" s="476">
        <v>0.2</v>
      </c>
      <c r="N120" s="477">
        <v>0.22399999999999998</v>
      </c>
      <c r="O120" s="974">
        <v>0.19500000000000001</v>
      </c>
      <c r="P120" s="974">
        <v>0.20100000000000001</v>
      </c>
      <c r="Q120" s="974">
        <v>0.23344757107170139</v>
      </c>
      <c r="R120" s="1988">
        <v>0.20376710578760718</v>
      </c>
      <c r="S120" s="1714">
        <v>0.21280731032237057</v>
      </c>
      <c r="T120" s="478"/>
      <c r="U120" s="479">
        <v>13870</v>
      </c>
      <c r="V120" s="479">
        <v>13866</v>
      </c>
      <c r="W120" s="479">
        <v>15210</v>
      </c>
      <c r="X120" s="479">
        <v>15372</v>
      </c>
      <c r="Y120" s="479">
        <v>14874</v>
      </c>
      <c r="Z120" s="479">
        <v>15465</v>
      </c>
      <c r="AA120" s="479">
        <v>14908</v>
      </c>
      <c r="AB120" s="479">
        <v>15233</v>
      </c>
      <c r="AC120" s="479">
        <v>16170</v>
      </c>
      <c r="AD120" s="479">
        <v>18382</v>
      </c>
      <c r="AE120" s="480">
        <v>21414</v>
      </c>
      <c r="AF120" s="981">
        <v>18565</v>
      </c>
      <c r="AG120" s="1346">
        <v>19291</v>
      </c>
      <c r="AH120" s="1350">
        <v>22615</v>
      </c>
      <c r="AI120" s="1995">
        <v>19938</v>
      </c>
      <c r="AJ120" s="1713">
        <v>20913</v>
      </c>
    </row>
    <row r="121" spans="1:36" ht="16.5" customHeight="1" x14ac:dyDescent="0.25">
      <c r="A121" s="402" t="s">
        <v>222</v>
      </c>
      <c r="B121" s="403" t="s">
        <v>223</v>
      </c>
      <c r="C121" s="1720" t="s">
        <v>264</v>
      </c>
      <c r="D121" s="476">
        <v>0.11599999999999999</v>
      </c>
      <c r="E121" s="476">
        <v>0.105</v>
      </c>
      <c r="F121" s="476">
        <v>0.109</v>
      </c>
      <c r="G121" s="476">
        <v>0.114</v>
      </c>
      <c r="H121" s="476">
        <v>0.10800000000000001</v>
      </c>
      <c r="I121" s="476">
        <v>0.11900000000000001</v>
      </c>
      <c r="J121" s="476">
        <v>0.107</v>
      </c>
      <c r="K121" s="476">
        <v>0.109</v>
      </c>
      <c r="L121" s="476">
        <v>0.10800000000000001</v>
      </c>
      <c r="M121" s="476">
        <v>0.12300000000000001</v>
      </c>
      <c r="N121" s="477">
        <v>0.11900000000000001</v>
      </c>
      <c r="O121" s="974">
        <v>0.122</v>
      </c>
      <c r="P121" s="974">
        <v>0.11899999999999999</v>
      </c>
      <c r="Q121" s="974">
        <v>0.11481139228509146</v>
      </c>
      <c r="R121" s="1988">
        <v>0.1364391122336818</v>
      </c>
      <c r="S121" s="1714">
        <v>0.13092893909558848</v>
      </c>
      <c r="T121" s="478"/>
      <c r="U121" s="479">
        <v>7629</v>
      </c>
      <c r="V121" s="479">
        <v>7214</v>
      </c>
      <c r="W121" s="479">
        <v>7948</v>
      </c>
      <c r="X121" s="479">
        <v>8623</v>
      </c>
      <c r="Y121" s="479">
        <v>8441</v>
      </c>
      <c r="Z121" s="479">
        <v>9199</v>
      </c>
      <c r="AA121" s="479">
        <v>8556</v>
      </c>
      <c r="AB121" s="479">
        <v>8698</v>
      </c>
      <c r="AC121" s="479">
        <v>8727</v>
      </c>
      <c r="AD121" s="479">
        <v>10091</v>
      </c>
      <c r="AE121" s="480">
        <v>9956</v>
      </c>
      <c r="AF121" s="981">
        <v>10214</v>
      </c>
      <c r="AG121" s="1346">
        <v>9986</v>
      </c>
      <c r="AH121" s="1350">
        <v>9691</v>
      </c>
      <c r="AI121" s="1995">
        <v>11668</v>
      </c>
      <c r="AJ121" s="1713">
        <v>11370</v>
      </c>
    </row>
    <row r="122" spans="1:36" ht="16.5" customHeight="1" x14ac:dyDescent="0.25">
      <c r="A122" s="402" t="s">
        <v>230</v>
      </c>
      <c r="B122" s="403" t="s">
        <v>231</v>
      </c>
      <c r="C122" s="1720" t="s">
        <v>264</v>
      </c>
      <c r="D122" s="476">
        <v>6.8000000000000005E-2</v>
      </c>
      <c r="E122" s="476">
        <v>6.8000000000000005E-2</v>
      </c>
      <c r="F122" s="476">
        <v>7.400000000000001E-2</v>
      </c>
      <c r="G122" s="476">
        <v>0.08</v>
      </c>
      <c r="H122" s="476">
        <v>7.8E-2</v>
      </c>
      <c r="I122" s="476">
        <v>7.400000000000001E-2</v>
      </c>
      <c r="J122" s="476">
        <v>7.2000000000000008E-2</v>
      </c>
      <c r="K122" s="476">
        <v>6.6000000000000003E-2</v>
      </c>
      <c r="L122" s="476">
        <v>7.0000000000000007E-2</v>
      </c>
      <c r="M122" s="476">
        <v>6.8000000000000005E-2</v>
      </c>
      <c r="N122" s="477">
        <v>0.08</v>
      </c>
      <c r="O122" s="974">
        <v>8.900000000000001E-2</v>
      </c>
      <c r="P122" s="974">
        <v>9.0999999999999998E-2</v>
      </c>
      <c r="Q122" s="974">
        <v>9.0395711980747667E-2</v>
      </c>
      <c r="R122" s="1988">
        <v>8.5917089985486209E-2</v>
      </c>
      <c r="S122" s="1714">
        <v>8.236881233984282E-2</v>
      </c>
      <c r="T122" s="478"/>
      <c r="U122" s="479">
        <v>28643</v>
      </c>
      <c r="V122" s="479">
        <v>28856</v>
      </c>
      <c r="W122" s="479">
        <v>32396</v>
      </c>
      <c r="X122" s="479">
        <v>34892</v>
      </c>
      <c r="Y122" s="479">
        <v>33970</v>
      </c>
      <c r="Z122" s="479">
        <v>31958</v>
      </c>
      <c r="AA122" s="479">
        <v>30762</v>
      </c>
      <c r="AB122" s="479">
        <v>28246</v>
      </c>
      <c r="AC122" s="479">
        <v>29532</v>
      </c>
      <c r="AD122" s="479">
        <v>28889</v>
      </c>
      <c r="AE122" s="480">
        <v>34303</v>
      </c>
      <c r="AF122" s="981">
        <v>38498</v>
      </c>
      <c r="AG122" s="1346">
        <v>39564</v>
      </c>
      <c r="AH122" s="1350">
        <v>39666</v>
      </c>
      <c r="AI122" s="1995">
        <v>37886</v>
      </c>
      <c r="AJ122" s="1713">
        <v>36451</v>
      </c>
    </row>
    <row r="123" spans="1:36" ht="16.5" customHeight="1" x14ac:dyDescent="0.25">
      <c r="A123" s="402" t="s">
        <v>238</v>
      </c>
      <c r="B123" s="403" t="s">
        <v>239</v>
      </c>
      <c r="C123" s="1720" t="s">
        <v>264</v>
      </c>
      <c r="D123" s="476">
        <v>0.17699999999999999</v>
      </c>
      <c r="E123" s="476">
        <v>0.19500000000000001</v>
      </c>
      <c r="F123" s="476">
        <v>0.21299999999999999</v>
      </c>
      <c r="G123" s="476">
        <v>0.17800000000000002</v>
      </c>
      <c r="H123" s="476">
        <v>0.17300000000000001</v>
      </c>
      <c r="I123" s="476">
        <v>0.22699999999999998</v>
      </c>
      <c r="J123" s="476">
        <v>0.20699999999999999</v>
      </c>
      <c r="K123" s="476">
        <v>0.2</v>
      </c>
      <c r="L123" s="476">
        <v>0.187</v>
      </c>
      <c r="M123" s="476">
        <v>0.20300000000000001</v>
      </c>
      <c r="N123" s="477">
        <v>0.185</v>
      </c>
      <c r="O123" s="974">
        <v>0.191</v>
      </c>
      <c r="P123" s="974">
        <v>0.23</v>
      </c>
      <c r="Q123" s="974">
        <v>0.21086817308571951</v>
      </c>
      <c r="R123" s="1988">
        <v>0.20104844189884477</v>
      </c>
      <c r="S123" s="1714">
        <v>0.22005097706032287</v>
      </c>
      <c r="T123" s="478"/>
      <c r="U123" s="479">
        <v>1312</v>
      </c>
      <c r="V123" s="479">
        <v>1402</v>
      </c>
      <c r="W123" s="479">
        <v>1518</v>
      </c>
      <c r="X123" s="479">
        <v>1244</v>
      </c>
      <c r="Y123" s="479">
        <v>1266</v>
      </c>
      <c r="Z123" s="479">
        <v>1643</v>
      </c>
      <c r="AA123" s="479">
        <v>1509</v>
      </c>
      <c r="AB123" s="479">
        <v>1570</v>
      </c>
      <c r="AC123" s="479">
        <v>1474</v>
      </c>
      <c r="AD123" s="479">
        <v>1645</v>
      </c>
      <c r="AE123" s="480">
        <v>1850</v>
      </c>
      <c r="AF123" s="981">
        <v>1962</v>
      </c>
      <c r="AG123" s="1346">
        <v>2500</v>
      </c>
      <c r="AH123" s="1350">
        <v>2305</v>
      </c>
      <c r="AI123" s="1995">
        <v>2071</v>
      </c>
      <c r="AJ123" s="1713">
        <v>2331</v>
      </c>
    </row>
    <row r="124" spans="1:36" ht="16.5" customHeight="1" x14ac:dyDescent="0.25">
      <c r="A124" s="491" t="s">
        <v>240</v>
      </c>
      <c r="B124" s="492" t="s">
        <v>241</v>
      </c>
      <c r="C124" s="1721" t="s">
        <v>267</v>
      </c>
      <c r="D124" s="483">
        <v>0.11</v>
      </c>
      <c r="E124" s="483">
        <v>0.109</v>
      </c>
      <c r="F124" s="483">
        <v>0.115</v>
      </c>
      <c r="G124" s="483">
        <v>0.121</v>
      </c>
      <c r="H124" s="483">
        <v>0.115</v>
      </c>
      <c r="I124" s="483">
        <v>0.124</v>
      </c>
      <c r="J124" s="483">
        <v>0.13900000000000001</v>
      </c>
      <c r="K124" s="483">
        <v>0.12</v>
      </c>
      <c r="L124" s="483">
        <v>0.128</v>
      </c>
      <c r="M124" s="483">
        <v>0.16300000000000001</v>
      </c>
      <c r="N124" s="477">
        <v>0.193</v>
      </c>
      <c r="O124" s="975">
        <v>0.17800000000000002</v>
      </c>
      <c r="P124" s="975">
        <v>0.16400000000000001</v>
      </c>
      <c r="Q124" s="1343">
        <v>0.14078832338743397</v>
      </c>
      <c r="R124" s="1989">
        <v>0.13437100533874727</v>
      </c>
      <c r="S124" s="1715">
        <v>0.17840732161166598</v>
      </c>
      <c r="T124" s="493"/>
      <c r="U124" s="484">
        <v>2584</v>
      </c>
      <c r="V124" s="484">
        <v>2568</v>
      </c>
      <c r="W124" s="484">
        <v>2739</v>
      </c>
      <c r="X124" s="484">
        <v>2912</v>
      </c>
      <c r="Y124" s="484">
        <v>2811</v>
      </c>
      <c r="Z124" s="484">
        <v>3008</v>
      </c>
      <c r="AA124" s="484">
        <v>3394</v>
      </c>
      <c r="AB124" s="484">
        <v>2971</v>
      </c>
      <c r="AC124" s="484">
        <v>3198</v>
      </c>
      <c r="AD124" s="484">
        <v>4126</v>
      </c>
      <c r="AE124" s="485">
        <v>4873</v>
      </c>
      <c r="AF124" s="982">
        <v>4545</v>
      </c>
      <c r="AG124" s="1347">
        <v>4257</v>
      </c>
      <c r="AH124" s="1351">
        <v>3704</v>
      </c>
      <c r="AI124" s="1996">
        <v>3574</v>
      </c>
      <c r="AJ124" s="1713">
        <v>4698</v>
      </c>
    </row>
    <row r="125" spans="1:36" ht="16.5" customHeight="1" x14ac:dyDescent="0.25">
      <c r="A125" s="495" t="s">
        <v>725</v>
      </c>
      <c r="B125" s="496"/>
      <c r="C125" s="1722"/>
      <c r="D125" s="497"/>
      <c r="E125" s="497"/>
      <c r="F125" s="497"/>
      <c r="G125" s="497"/>
      <c r="H125" s="497"/>
      <c r="I125" s="497"/>
      <c r="J125" s="497"/>
      <c r="K125" s="497"/>
      <c r="L125" s="497"/>
      <c r="M125" s="497"/>
      <c r="N125" s="497"/>
      <c r="O125" s="497"/>
      <c r="P125" s="970"/>
      <c r="Q125" s="970"/>
      <c r="R125" s="1712"/>
      <c r="S125" s="970"/>
      <c r="T125" s="497"/>
      <c r="U125" s="498"/>
      <c r="V125" s="498"/>
      <c r="W125" s="498"/>
      <c r="X125" s="498"/>
      <c r="Y125" s="498"/>
      <c r="Z125" s="498"/>
      <c r="AA125" s="498"/>
      <c r="AB125" s="498"/>
      <c r="AC125" s="498"/>
      <c r="AD125" s="498"/>
      <c r="AE125" s="499"/>
      <c r="AF125" s="499"/>
    </row>
    <row r="126" spans="1:36" x14ac:dyDescent="0.25">
      <c r="A126" s="392" t="s">
        <v>266</v>
      </c>
      <c r="D126" s="494">
        <v>9.3237188436489218E-2</v>
      </c>
      <c r="E126" s="489">
        <v>9.1662354335324478E-2</v>
      </c>
      <c r="F126" s="489">
        <v>0.10219205581508556</v>
      </c>
      <c r="G126" s="489">
        <v>0.10581525657938262</v>
      </c>
      <c r="H126" s="489">
        <v>0.10259856552094609</v>
      </c>
      <c r="I126" s="489">
        <v>0.10695106549307283</v>
      </c>
      <c r="J126" s="489">
        <v>0.10257514754789548</v>
      </c>
      <c r="K126" s="489">
        <v>0.10835783455696647</v>
      </c>
      <c r="L126" s="489">
        <v>0.11361696871248311</v>
      </c>
      <c r="M126" s="489">
        <v>0.11740460777833268</v>
      </c>
      <c r="N126" s="490">
        <v>0.1231238887172626</v>
      </c>
      <c r="O126" s="490">
        <v>0.13054553620300066</v>
      </c>
      <c r="P126" s="490">
        <v>0.13100000000000001</v>
      </c>
      <c r="Q126" s="1348">
        <v>0.13459992380300864</v>
      </c>
      <c r="R126" s="1992">
        <v>0.13232941112509713</v>
      </c>
      <c r="S126" s="1716">
        <v>0.12321056846076116</v>
      </c>
      <c r="U126" s="486">
        <v>105872</v>
      </c>
      <c r="V126" s="487">
        <v>105143</v>
      </c>
      <c r="W126" s="487">
        <v>119540</v>
      </c>
      <c r="X126" s="487">
        <v>124895</v>
      </c>
      <c r="Y126" s="487">
        <v>123345</v>
      </c>
      <c r="Z126" s="487">
        <v>126877</v>
      </c>
      <c r="AA126" s="487">
        <v>123589</v>
      </c>
      <c r="AB126" s="487">
        <v>132787</v>
      </c>
      <c r="AC126" s="487">
        <v>140727</v>
      </c>
      <c r="AD126" s="487">
        <v>146844</v>
      </c>
      <c r="AE126" s="983">
        <v>157422</v>
      </c>
      <c r="AF126" s="487">
        <v>167427</v>
      </c>
      <c r="AG126" s="984">
        <v>169230</v>
      </c>
      <c r="AH126" s="662">
        <v>176294</v>
      </c>
      <c r="AI126" s="1999">
        <v>175249</v>
      </c>
      <c r="AJ126" s="1717">
        <v>164485</v>
      </c>
    </row>
    <row r="127" spans="1:36" x14ac:dyDescent="0.25">
      <c r="A127" s="392" t="s">
        <v>264</v>
      </c>
      <c r="D127" s="488">
        <v>0.10860533120908807</v>
      </c>
      <c r="E127" s="489">
        <v>0.10641206375217382</v>
      </c>
      <c r="F127" s="489">
        <v>0.11466279980893911</v>
      </c>
      <c r="G127" s="489">
        <v>0.11758377928142934</v>
      </c>
      <c r="H127" s="489">
        <v>0.11259360124640222</v>
      </c>
      <c r="I127" s="489">
        <v>0.11367927485747498</v>
      </c>
      <c r="J127" s="489">
        <v>0.10639459370059251</v>
      </c>
      <c r="K127" s="489">
        <v>0.11202655946373949</v>
      </c>
      <c r="L127" s="489">
        <v>0.11571808952754851</v>
      </c>
      <c r="M127" s="489">
        <v>0.11429957969100746</v>
      </c>
      <c r="N127" s="490">
        <v>0.12023872863352066</v>
      </c>
      <c r="O127" s="490">
        <v>0.12870004950966066</v>
      </c>
      <c r="P127" s="490">
        <v>0.13600000000000001</v>
      </c>
      <c r="Q127" s="1348">
        <v>0.13722953804582269</v>
      </c>
      <c r="R127" s="1992">
        <v>0.13349245196423984</v>
      </c>
      <c r="S127" s="1716">
        <v>0.12957719229379919</v>
      </c>
      <c r="U127" s="486">
        <v>182298</v>
      </c>
      <c r="V127" s="487">
        <v>180189</v>
      </c>
      <c r="W127" s="487">
        <v>198599</v>
      </c>
      <c r="X127" s="487">
        <v>203585</v>
      </c>
      <c r="Y127" s="487">
        <v>196053</v>
      </c>
      <c r="Z127" s="487">
        <v>195954</v>
      </c>
      <c r="AA127" s="487">
        <v>183982</v>
      </c>
      <c r="AB127" s="487">
        <v>194397</v>
      </c>
      <c r="AC127" s="487">
        <v>199783</v>
      </c>
      <c r="AD127" s="487">
        <v>199568</v>
      </c>
      <c r="AE127" s="983">
        <v>209955</v>
      </c>
      <c r="AF127" s="487">
        <v>225896</v>
      </c>
      <c r="AG127" s="984">
        <v>240717</v>
      </c>
      <c r="AH127" s="662">
        <v>243363</v>
      </c>
      <c r="AI127" s="1999">
        <v>237926</v>
      </c>
      <c r="AJ127" s="1717">
        <v>231733</v>
      </c>
    </row>
    <row r="128" spans="1:36" x14ac:dyDescent="0.25">
      <c r="A128" s="392" t="s">
        <v>267</v>
      </c>
      <c r="D128" s="488">
        <v>5.3819970982672265E-2</v>
      </c>
      <c r="E128" s="489">
        <v>5.4187387148898883E-2</v>
      </c>
      <c r="F128" s="489">
        <v>5.9488325891117154E-2</v>
      </c>
      <c r="G128" s="489">
        <v>6.5356715447867419E-2</v>
      </c>
      <c r="H128" s="489">
        <v>6.1376226711921139E-2</v>
      </c>
      <c r="I128" s="489">
        <v>6.0904658056330392E-2</v>
      </c>
      <c r="J128" s="489">
        <v>6.0991227226495109E-2</v>
      </c>
      <c r="K128" s="489">
        <v>5.9939990840376267E-2</v>
      </c>
      <c r="L128" s="489">
        <v>6.2179277100436824E-2</v>
      </c>
      <c r="M128" s="489">
        <v>6.816119052357604E-2</v>
      </c>
      <c r="N128" s="490">
        <v>7.2466232957629648E-2</v>
      </c>
      <c r="O128" s="490">
        <v>7.6399225436204074E-2</v>
      </c>
      <c r="P128" s="490">
        <v>7.4999999999999997E-2</v>
      </c>
      <c r="Q128" s="1348">
        <v>7.4164709719101329E-2</v>
      </c>
      <c r="R128" s="1992">
        <v>7.802179923184123E-2</v>
      </c>
      <c r="S128" s="1716">
        <v>7.3019746357413137E-2</v>
      </c>
      <c r="U128" s="486">
        <v>138724</v>
      </c>
      <c r="V128" s="487">
        <v>141301</v>
      </c>
      <c r="W128" s="487">
        <v>159450</v>
      </c>
      <c r="X128" s="487">
        <v>179066</v>
      </c>
      <c r="Y128" s="487">
        <v>172575</v>
      </c>
      <c r="Z128" s="487">
        <v>169315</v>
      </c>
      <c r="AA128" s="487">
        <v>173120</v>
      </c>
      <c r="AB128" s="487">
        <v>171582</v>
      </c>
      <c r="AC128" s="487">
        <v>179865</v>
      </c>
      <c r="AD128" s="487">
        <v>202606</v>
      </c>
      <c r="AE128" s="983">
        <v>222814</v>
      </c>
      <c r="AF128" s="487">
        <v>238776</v>
      </c>
      <c r="AG128" s="984">
        <v>240500</v>
      </c>
      <c r="AH128" s="662">
        <v>240148</v>
      </c>
      <c r="AI128" s="1999">
        <v>256078</v>
      </c>
      <c r="AJ128" s="1717">
        <v>242082</v>
      </c>
    </row>
    <row r="129" spans="1:36" x14ac:dyDescent="0.25">
      <c r="A129" s="392" t="s">
        <v>265</v>
      </c>
      <c r="D129" s="488">
        <v>0.1060107079665315</v>
      </c>
      <c r="E129" s="489">
        <v>0.1065999802563027</v>
      </c>
      <c r="F129" s="489">
        <v>0.11841703973751314</v>
      </c>
      <c r="G129" s="489">
        <v>0.12117460527154147</v>
      </c>
      <c r="H129" s="489">
        <v>0.11757933953315472</v>
      </c>
      <c r="I129" s="489">
        <v>0.12749971521740955</v>
      </c>
      <c r="J129" s="489">
        <v>0.12641918305043012</v>
      </c>
      <c r="K129" s="489">
        <v>0.13010546173078325</v>
      </c>
      <c r="L129" s="489">
        <v>0.13219259468761307</v>
      </c>
      <c r="M129" s="489">
        <v>0.142187426757521</v>
      </c>
      <c r="N129" s="490">
        <v>0.15006267141167387</v>
      </c>
      <c r="O129" s="490">
        <v>0.15103930395133242</v>
      </c>
      <c r="P129" s="490">
        <v>0.152</v>
      </c>
      <c r="Q129" s="1348">
        <v>0.15284502014599163</v>
      </c>
      <c r="R129" s="1992">
        <v>0.1537987260694452</v>
      </c>
      <c r="S129" s="1716">
        <v>0.148271200765978</v>
      </c>
      <c r="U129" s="486">
        <v>112685</v>
      </c>
      <c r="V129" s="487">
        <v>113372</v>
      </c>
      <c r="W129" s="487">
        <v>126853</v>
      </c>
      <c r="X129" s="487">
        <v>129807</v>
      </c>
      <c r="Y129" s="487">
        <v>127543</v>
      </c>
      <c r="Z129" s="487">
        <v>136375</v>
      </c>
      <c r="AA129" s="487">
        <v>136569</v>
      </c>
      <c r="AB129" s="487">
        <v>140972</v>
      </c>
      <c r="AC129" s="487">
        <v>143958</v>
      </c>
      <c r="AD129" s="487">
        <v>155087</v>
      </c>
      <c r="AE129" s="983">
        <v>167379</v>
      </c>
      <c r="AF129" s="487">
        <v>168805</v>
      </c>
      <c r="AG129" s="984">
        <v>170512</v>
      </c>
      <c r="AH129" s="662">
        <v>171615</v>
      </c>
      <c r="AI129" s="1999">
        <v>173365</v>
      </c>
      <c r="AJ129" s="1717">
        <v>167710</v>
      </c>
    </row>
    <row r="130" spans="1:36" x14ac:dyDescent="0.25">
      <c r="A130" s="392" t="s">
        <v>268</v>
      </c>
      <c r="D130" s="488">
        <v>0.14487555201488991</v>
      </c>
      <c r="E130" s="489">
        <v>0.14306900004758574</v>
      </c>
      <c r="F130" s="489">
        <v>0.15556163257278338</v>
      </c>
      <c r="G130" s="489">
        <v>0.15499536649748308</v>
      </c>
      <c r="H130" s="489">
        <v>0.15195219671506743</v>
      </c>
      <c r="I130" s="489">
        <v>0.18084455028541141</v>
      </c>
      <c r="J130" s="489">
        <v>0.17204522870846353</v>
      </c>
      <c r="K130" s="489">
        <v>0.17744474990181727</v>
      </c>
      <c r="L130" s="489">
        <v>0.18285150683367846</v>
      </c>
      <c r="M130" s="489">
        <v>0.18067404001948281</v>
      </c>
      <c r="N130" s="490">
        <v>0.18929818575976814</v>
      </c>
      <c r="O130" s="490">
        <v>0.19649936328107848</v>
      </c>
      <c r="P130" s="490">
        <v>0.20300000000000001</v>
      </c>
      <c r="Q130" s="1348">
        <v>0.19352424524838319</v>
      </c>
      <c r="R130" s="1992">
        <v>0.20012831009928084</v>
      </c>
      <c r="S130" s="1716">
        <v>0.19270500371285146</v>
      </c>
      <c r="U130" s="486">
        <v>81357</v>
      </c>
      <c r="V130" s="487">
        <v>80233</v>
      </c>
      <c r="W130" s="487">
        <v>87691</v>
      </c>
      <c r="X130" s="487">
        <v>86973</v>
      </c>
      <c r="Y130" s="487">
        <v>85522</v>
      </c>
      <c r="Z130" s="487">
        <v>100339</v>
      </c>
      <c r="AA130" s="487">
        <v>95919</v>
      </c>
      <c r="AB130" s="487">
        <v>99401</v>
      </c>
      <c r="AC130" s="487">
        <v>102521</v>
      </c>
      <c r="AD130" s="487">
        <v>101448</v>
      </c>
      <c r="AE130" s="983">
        <v>108176</v>
      </c>
      <c r="AF130" s="487">
        <v>111872</v>
      </c>
      <c r="AG130" s="984">
        <v>115425</v>
      </c>
      <c r="AH130" s="662">
        <v>109640</v>
      </c>
      <c r="AI130" s="1999">
        <v>112924</v>
      </c>
      <c r="AJ130" s="1717">
        <v>108216</v>
      </c>
    </row>
    <row r="132" spans="1:36" x14ac:dyDescent="0.25">
      <c r="A132" s="986" t="s">
        <v>1351</v>
      </c>
    </row>
    <row r="134" spans="1:36" s="412" customFormat="1" x14ac:dyDescent="0.25">
      <c r="A134" s="412" t="s">
        <v>248</v>
      </c>
    </row>
    <row r="135" spans="1:36" s="412" customFormat="1" x14ac:dyDescent="0.25">
      <c r="A135" s="413" t="s">
        <v>249</v>
      </c>
      <c r="B135" s="414" t="s">
        <v>250</v>
      </c>
      <c r="C135" s="414"/>
    </row>
  </sheetData>
  <autoFilter ref="A3:C3"/>
  <mergeCells count="2">
    <mergeCell ref="D2:N2"/>
    <mergeCell ref="U2:AE2"/>
  </mergeCells>
  <hyperlinks>
    <hyperlink ref="B135"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A137"/>
  <sheetViews>
    <sheetView topLeftCell="N1" workbookViewId="0">
      <pane ySplit="5" topLeftCell="A103" activePane="bottomLeft" state="frozen"/>
      <selection pane="bottomLeft" activeCell="A4" sqref="A4:AJ132"/>
    </sheetView>
  </sheetViews>
  <sheetFormatPr defaultRowHeight="15.75" x14ac:dyDescent="0.25"/>
  <cols>
    <col min="1" max="1" width="11.125" style="392" customWidth="1"/>
    <col min="2" max="2" width="33.125" style="392" customWidth="1"/>
    <col min="3" max="3" width="16.75" style="392" customWidth="1"/>
    <col min="4" max="19" width="9.875" style="392" customWidth="1"/>
    <col min="20" max="20" width="4.25" style="392" customWidth="1"/>
    <col min="21" max="36" width="9.875" style="270" customWidth="1"/>
    <col min="37" max="37" width="2.75" style="270" customWidth="1"/>
    <col min="38" max="52" width="9" style="270"/>
    <col min="53" max="53" width="4.5" style="270" customWidth="1"/>
    <col min="54" max="16384" width="9" style="270"/>
  </cols>
  <sheetData>
    <row r="1" spans="1:53" x14ac:dyDescent="0.25">
      <c r="A1" s="193" t="s">
        <v>1350</v>
      </c>
    </row>
    <row r="2" spans="1:53" x14ac:dyDescent="0.25">
      <c r="A2" s="193"/>
    </row>
    <row r="3" spans="1:53" x14ac:dyDescent="0.25">
      <c r="D3" s="2246" t="s">
        <v>761</v>
      </c>
      <c r="E3" s="2246"/>
      <c r="F3" s="2246"/>
      <c r="G3" s="2246"/>
      <c r="H3" s="2246"/>
      <c r="I3" s="2246"/>
      <c r="J3" s="2246"/>
      <c r="K3" s="2246"/>
      <c r="L3" s="2246"/>
      <c r="M3" s="2246"/>
      <c r="N3" s="2246"/>
      <c r="O3" s="2246"/>
      <c r="P3" s="2246"/>
      <c r="Q3" s="2246"/>
      <c r="R3" s="2246"/>
      <c r="S3" s="1983"/>
      <c r="T3" s="1710"/>
      <c r="U3" s="2246" t="s">
        <v>760</v>
      </c>
      <c r="V3" s="2246"/>
      <c r="W3" s="2246"/>
      <c r="X3" s="2246"/>
      <c r="Y3" s="2246"/>
      <c r="Z3" s="2246"/>
      <c r="AA3" s="2246"/>
      <c r="AB3" s="2246"/>
      <c r="AC3" s="2246"/>
      <c r="AD3" s="2246"/>
      <c r="AE3" s="2246"/>
      <c r="AF3" s="2246"/>
      <c r="AG3" s="2246"/>
      <c r="AH3" s="2246"/>
      <c r="AI3" s="2246"/>
      <c r="AJ3" s="1983"/>
      <c r="BA3" s="310"/>
    </row>
    <row r="4" spans="1:53" x14ac:dyDescent="0.25">
      <c r="A4" s="509" t="s">
        <v>4</v>
      </c>
      <c r="B4" s="510" t="s">
        <v>5</v>
      </c>
      <c r="C4" s="1723" t="s">
        <v>251</v>
      </c>
      <c r="D4" s="393">
        <v>2000</v>
      </c>
      <c r="E4" s="394">
        <v>2001</v>
      </c>
      <c r="F4" s="394">
        <v>2002</v>
      </c>
      <c r="G4" s="394">
        <v>2003</v>
      </c>
      <c r="H4" s="394">
        <v>2004</v>
      </c>
      <c r="I4" s="394">
        <v>2005</v>
      </c>
      <c r="J4" s="394">
        <v>2006</v>
      </c>
      <c r="K4" s="394">
        <v>2007</v>
      </c>
      <c r="L4" s="394">
        <v>2008</v>
      </c>
      <c r="M4" s="394">
        <v>2009</v>
      </c>
      <c r="N4" s="395">
        <v>2010</v>
      </c>
      <c r="O4" s="395">
        <v>2011</v>
      </c>
      <c r="P4" s="1355">
        <v>2012</v>
      </c>
      <c r="Q4" s="1729">
        <v>2013</v>
      </c>
      <c r="R4" s="2001">
        <v>2014</v>
      </c>
      <c r="S4" s="2006">
        <v>2015</v>
      </c>
      <c r="T4" s="2003"/>
      <c r="U4" s="394">
        <v>2000</v>
      </c>
      <c r="V4" s="394">
        <v>2001</v>
      </c>
      <c r="W4" s="394">
        <v>2002</v>
      </c>
      <c r="X4" s="394">
        <v>2003</v>
      </c>
      <c r="Y4" s="394">
        <v>2004</v>
      </c>
      <c r="Z4" s="394">
        <v>2005</v>
      </c>
      <c r="AA4" s="394">
        <v>2006</v>
      </c>
      <c r="AB4" s="394">
        <v>2007</v>
      </c>
      <c r="AC4" s="394">
        <v>2008</v>
      </c>
      <c r="AD4" s="394">
        <v>2009</v>
      </c>
      <c r="AE4" s="394">
        <v>2010</v>
      </c>
      <c r="AF4" s="394">
        <v>2011</v>
      </c>
      <c r="AG4" s="394">
        <v>2012</v>
      </c>
      <c r="AH4" s="394">
        <v>2013</v>
      </c>
      <c r="AI4" s="2008">
        <v>2014</v>
      </c>
      <c r="AJ4" s="2012">
        <v>2015</v>
      </c>
      <c r="BA4" s="64"/>
    </row>
    <row r="5" spans="1:53" x14ac:dyDescent="0.25">
      <c r="A5" s="397" t="s">
        <v>8</v>
      </c>
      <c r="B5" s="398" t="s">
        <v>9</v>
      </c>
      <c r="C5" s="1719"/>
      <c r="D5" s="399">
        <v>0.12155565230837527</v>
      </c>
      <c r="E5" s="400">
        <v>0.112</v>
      </c>
      <c r="F5" s="400">
        <v>0.12495566815144066</v>
      </c>
      <c r="G5" s="400">
        <v>0.13600000000000001</v>
      </c>
      <c r="H5" s="400">
        <v>0.12190485917712804</v>
      </c>
      <c r="I5" s="400">
        <v>0.13300000000000001</v>
      </c>
      <c r="J5" s="400">
        <v>0.12322064717116948</v>
      </c>
      <c r="K5" s="400">
        <v>0.12930216566469369</v>
      </c>
      <c r="L5" s="400">
        <v>0.13580226821250407</v>
      </c>
      <c r="M5" s="400">
        <v>0.14000000000000001</v>
      </c>
      <c r="N5" s="401">
        <v>0.14555376556266278</v>
      </c>
      <c r="O5" s="985">
        <v>0.156</v>
      </c>
      <c r="P5" s="1356">
        <v>0.155</v>
      </c>
      <c r="Q5" s="1356">
        <v>0.15745553871615489</v>
      </c>
      <c r="R5" s="2002">
        <v>0.15872305329925826</v>
      </c>
      <c r="S5" s="2007">
        <v>0.14973262322463776</v>
      </c>
      <c r="T5" s="2004"/>
      <c r="U5" s="1725">
        <v>211862</v>
      </c>
      <c r="V5" s="1725">
        <v>195437</v>
      </c>
      <c r="W5" s="1725">
        <v>224014</v>
      </c>
      <c r="X5" s="1725">
        <v>243635</v>
      </c>
      <c r="Y5" s="1725">
        <v>221675</v>
      </c>
      <c r="Z5" s="1725">
        <v>237858</v>
      </c>
      <c r="AA5" s="1725">
        <v>219261</v>
      </c>
      <c r="AB5" s="1725">
        <v>232569</v>
      </c>
      <c r="AC5" s="1725">
        <v>244210</v>
      </c>
      <c r="AD5" s="1725">
        <v>255156</v>
      </c>
      <c r="AE5" s="1725">
        <v>266606</v>
      </c>
      <c r="AF5" s="1726">
        <v>284561</v>
      </c>
      <c r="AG5" s="1725">
        <v>283035</v>
      </c>
      <c r="AH5" s="1727">
        <v>289032</v>
      </c>
      <c r="AI5" s="2009">
        <v>292525</v>
      </c>
      <c r="AJ5" s="2013">
        <v>275747</v>
      </c>
    </row>
    <row r="6" spans="1:53" x14ac:dyDescent="0.25">
      <c r="A6" s="402" t="s">
        <v>10</v>
      </c>
      <c r="B6" s="403" t="s">
        <v>450</v>
      </c>
      <c r="C6" s="410" t="s">
        <v>264</v>
      </c>
      <c r="D6" s="407">
        <v>0.255</v>
      </c>
      <c r="E6" s="408">
        <v>0.22199999999999998</v>
      </c>
      <c r="F6" s="408">
        <v>0.23600000000000002</v>
      </c>
      <c r="G6" s="408">
        <v>0.24399999999999999</v>
      </c>
      <c r="H6" s="408">
        <v>0.2</v>
      </c>
      <c r="I6" s="408">
        <v>0.26399999999999996</v>
      </c>
      <c r="J6" s="408">
        <v>0.23199999999999998</v>
      </c>
      <c r="K6" s="408">
        <v>0.25100000000000006</v>
      </c>
      <c r="L6" s="408">
        <v>0.29699999999999999</v>
      </c>
      <c r="M6" s="408">
        <v>0.27400000000000002</v>
      </c>
      <c r="N6" s="409">
        <v>0.28699999999999998</v>
      </c>
      <c r="O6" s="409">
        <v>0.30499999999999999</v>
      </c>
      <c r="P6" s="409">
        <v>0.314</v>
      </c>
      <c r="Q6" s="1730">
        <v>0.29439930354033661</v>
      </c>
      <c r="R6" s="2000">
        <v>0.30916311222238563</v>
      </c>
      <c r="S6" s="2005">
        <v>0.3097292472478429</v>
      </c>
      <c r="T6" s="1354"/>
      <c r="U6" s="1728">
        <v>2334</v>
      </c>
      <c r="V6" s="1728">
        <v>2014</v>
      </c>
      <c r="W6" s="1728">
        <v>2153</v>
      </c>
      <c r="X6" s="1728">
        <v>2232</v>
      </c>
      <c r="Y6" s="1728">
        <v>1811</v>
      </c>
      <c r="Z6" s="1728">
        <v>2347</v>
      </c>
      <c r="AA6" s="1728">
        <v>2041</v>
      </c>
      <c r="AB6" s="1728">
        <v>2156</v>
      </c>
      <c r="AC6" s="1728">
        <v>2507</v>
      </c>
      <c r="AD6" s="1728">
        <v>2272</v>
      </c>
      <c r="AE6" s="1728">
        <v>1956</v>
      </c>
      <c r="AF6" s="1728">
        <v>2111</v>
      </c>
      <c r="AG6" s="1570">
        <v>2184</v>
      </c>
      <c r="AH6" s="1570">
        <v>2029</v>
      </c>
      <c r="AI6" s="2010">
        <v>2102</v>
      </c>
      <c r="AJ6" s="2011">
        <v>2082</v>
      </c>
    </row>
    <row r="7" spans="1:53" x14ac:dyDescent="0.25">
      <c r="A7" s="402" t="s">
        <v>12</v>
      </c>
      <c r="B7" s="403" t="s">
        <v>451</v>
      </c>
      <c r="C7" s="410" t="s">
        <v>265</v>
      </c>
      <c r="D7" s="407">
        <v>0.08</v>
      </c>
      <c r="E7" s="408">
        <v>7.3000000000000009E-2</v>
      </c>
      <c r="F7" s="408">
        <v>0.08</v>
      </c>
      <c r="G7" s="408">
        <v>9.0999999999999984E-2</v>
      </c>
      <c r="H7" s="408">
        <v>8.199999999999999E-2</v>
      </c>
      <c r="I7" s="408">
        <v>7.9000000000000001E-2</v>
      </c>
      <c r="J7" s="408">
        <v>7.3999999999999996E-2</v>
      </c>
      <c r="K7" s="408">
        <v>9.1999999999999998E-2</v>
      </c>
      <c r="L7" s="408">
        <v>8.3000000000000004E-2</v>
      </c>
      <c r="M7" s="408">
        <v>9.0999999999999984E-2</v>
      </c>
      <c r="N7" s="409">
        <v>0.1</v>
      </c>
      <c r="O7" s="409">
        <v>0.106</v>
      </c>
      <c r="P7" s="409">
        <v>0.11</v>
      </c>
      <c r="Q7" s="1731">
        <v>0.11561847296356463</v>
      </c>
      <c r="R7" s="2000">
        <v>0.10301495972382048</v>
      </c>
      <c r="S7" s="2005">
        <v>9.6280188766540209E-2</v>
      </c>
      <c r="T7" s="1354"/>
      <c r="U7" s="1728">
        <v>1584</v>
      </c>
      <c r="V7" s="1728">
        <v>1444</v>
      </c>
      <c r="W7" s="1728">
        <v>1613</v>
      </c>
      <c r="X7" s="1728">
        <v>1812</v>
      </c>
      <c r="Y7" s="1728">
        <v>1646</v>
      </c>
      <c r="Z7" s="1728">
        <v>1561</v>
      </c>
      <c r="AA7" s="1728">
        <v>1446</v>
      </c>
      <c r="AB7" s="1728">
        <v>1831</v>
      </c>
      <c r="AC7" s="1728">
        <v>1642</v>
      </c>
      <c r="AD7" s="1728">
        <v>1836</v>
      </c>
      <c r="AE7" s="1728">
        <v>2107</v>
      </c>
      <c r="AF7" s="1728">
        <v>2249</v>
      </c>
      <c r="AG7" s="1570">
        <v>2350</v>
      </c>
      <c r="AH7" s="1570">
        <v>2491</v>
      </c>
      <c r="AI7" s="2010">
        <v>2238</v>
      </c>
      <c r="AJ7" s="2011">
        <v>2081</v>
      </c>
    </row>
    <row r="8" spans="1:53" x14ac:dyDescent="0.25">
      <c r="A8" s="402" t="s">
        <v>16</v>
      </c>
      <c r="B8" s="403" t="s">
        <v>749</v>
      </c>
      <c r="C8" s="410" t="s">
        <v>265</v>
      </c>
      <c r="D8" s="407">
        <v>0.15374659685863876</v>
      </c>
      <c r="E8" s="408">
        <v>0.13747924528301886</v>
      </c>
      <c r="F8" s="408">
        <v>0.15099499374217773</v>
      </c>
      <c r="G8" s="408">
        <v>0.18230162900683131</v>
      </c>
      <c r="H8" s="408">
        <v>0.16216525696558184</v>
      </c>
      <c r="I8" s="408">
        <v>0.18170718813046882</v>
      </c>
      <c r="J8" s="408">
        <v>0.17695105515380732</v>
      </c>
      <c r="K8" s="408">
        <v>0.18159462861938733</v>
      </c>
      <c r="L8" s="408">
        <v>0.1933776793706129</v>
      </c>
      <c r="M8" s="408">
        <v>0.20131421510384487</v>
      </c>
      <c r="N8" s="409">
        <v>0.21467522545308657</v>
      </c>
      <c r="O8" s="409">
        <v>0.21782397169394074</v>
      </c>
      <c r="P8" s="409">
        <v>0.216</v>
      </c>
      <c r="Q8" s="1731">
        <v>0.22026128810451523</v>
      </c>
      <c r="R8" s="2000">
        <v>0.23280548333727252</v>
      </c>
      <c r="S8" s="2005">
        <v>0.25324834518264283</v>
      </c>
      <c r="T8" s="1354"/>
      <c r="U8" s="1728">
        <v>781</v>
      </c>
      <c r="V8" s="1728">
        <v>690</v>
      </c>
      <c r="W8" s="1728">
        <v>766</v>
      </c>
      <c r="X8" s="1728">
        <v>890</v>
      </c>
      <c r="Y8" s="1728">
        <v>790</v>
      </c>
      <c r="Z8" s="1728">
        <v>875</v>
      </c>
      <c r="AA8" s="1728">
        <v>832</v>
      </c>
      <c r="AB8" s="1728">
        <v>843</v>
      </c>
      <c r="AC8" s="1728">
        <v>882</v>
      </c>
      <c r="AD8" s="1728">
        <v>922</v>
      </c>
      <c r="AE8" s="1728">
        <v>989</v>
      </c>
      <c r="AF8" s="1728">
        <v>985</v>
      </c>
      <c r="AG8" s="1570">
        <v>962</v>
      </c>
      <c r="AH8" s="1570">
        <v>961</v>
      </c>
      <c r="AI8" s="2010">
        <v>985</v>
      </c>
      <c r="AJ8" s="2011">
        <v>1033</v>
      </c>
    </row>
    <row r="9" spans="1:53" x14ac:dyDescent="0.25">
      <c r="A9" s="402" t="s">
        <v>18</v>
      </c>
      <c r="B9" s="403" t="s">
        <v>452</v>
      </c>
      <c r="C9" s="410" t="s">
        <v>266</v>
      </c>
      <c r="D9" s="407">
        <v>0.12400000000000001</v>
      </c>
      <c r="E9" s="408">
        <v>0.113</v>
      </c>
      <c r="F9" s="408">
        <v>0.129</v>
      </c>
      <c r="G9" s="408">
        <v>0.14199999999999999</v>
      </c>
      <c r="H9" s="408">
        <v>0.124</v>
      </c>
      <c r="I9" s="408">
        <v>0.13400000000000001</v>
      </c>
      <c r="J9" s="408">
        <v>0.125</v>
      </c>
      <c r="K9" s="408">
        <v>0.125</v>
      </c>
      <c r="L9" s="408">
        <v>0.13100000000000001</v>
      </c>
      <c r="M9" s="408">
        <v>0.16499999999999998</v>
      </c>
      <c r="N9" s="409">
        <v>0.16800000000000001</v>
      </c>
      <c r="O9" s="409">
        <v>0.184</v>
      </c>
      <c r="P9" s="409">
        <v>0.19</v>
      </c>
      <c r="Q9" s="1731">
        <v>0.18205904617713853</v>
      </c>
      <c r="R9" s="2000">
        <v>0.18928035982008995</v>
      </c>
      <c r="S9" s="2005">
        <v>0.16991017964071856</v>
      </c>
      <c r="T9" s="1354"/>
      <c r="U9" s="1728">
        <v>352</v>
      </c>
      <c r="V9" s="1728">
        <v>315</v>
      </c>
      <c r="W9" s="1728">
        <v>356</v>
      </c>
      <c r="X9" s="1728">
        <v>394</v>
      </c>
      <c r="Y9" s="1728">
        <v>349</v>
      </c>
      <c r="Z9" s="1728">
        <v>372</v>
      </c>
      <c r="AA9" s="1728">
        <v>352</v>
      </c>
      <c r="AB9" s="1728">
        <v>358</v>
      </c>
      <c r="AC9" s="1728">
        <v>373</v>
      </c>
      <c r="AD9" s="1728">
        <v>475</v>
      </c>
      <c r="AE9" s="1728">
        <v>467</v>
      </c>
      <c r="AF9" s="1728">
        <v>505</v>
      </c>
      <c r="AG9" s="1570">
        <v>516</v>
      </c>
      <c r="AH9" s="1570">
        <v>481</v>
      </c>
      <c r="AI9" s="2010">
        <v>505</v>
      </c>
      <c r="AJ9" s="2011">
        <v>454</v>
      </c>
    </row>
    <row r="10" spans="1:53" x14ac:dyDescent="0.25">
      <c r="A10" s="402" t="s">
        <v>20</v>
      </c>
      <c r="B10" s="403" t="s">
        <v>453</v>
      </c>
      <c r="C10" s="410" t="s">
        <v>265</v>
      </c>
      <c r="D10" s="407">
        <v>0.14300000000000002</v>
      </c>
      <c r="E10" s="408">
        <v>0.129</v>
      </c>
      <c r="F10" s="408">
        <v>0.152</v>
      </c>
      <c r="G10" s="408">
        <v>0.17199999999999999</v>
      </c>
      <c r="H10" s="408">
        <v>0.155</v>
      </c>
      <c r="I10" s="408">
        <v>0.16300000000000001</v>
      </c>
      <c r="J10" s="408">
        <v>0.16</v>
      </c>
      <c r="K10" s="408">
        <v>0.161</v>
      </c>
      <c r="L10" s="408">
        <v>0.17399999999999999</v>
      </c>
      <c r="M10" s="408">
        <v>0.17699999999999999</v>
      </c>
      <c r="N10" s="409">
        <v>0.18899999999999997</v>
      </c>
      <c r="O10" s="409">
        <v>0.20199999999999999</v>
      </c>
      <c r="P10" s="409">
        <v>0.20300000000000001</v>
      </c>
      <c r="Q10" s="1731">
        <v>0.20759453946336107</v>
      </c>
      <c r="R10" s="2000">
        <v>0.2047923322683706</v>
      </c>
      <c r="S10" s="2005">
        <v>0.20623193061355605</v>
      </c>
      <c r="T10" s="1354"/>
      <c r="U10" s="1728">
        <v>1046</v>
      </c>
      <c r="V10" s="1728">
        <v>930</v>
      </c>
      <c r="W10" s="1728">
        <v>1101</v>
      </c>
      <c r="X10" s="1728">
        <v>1219</v>
      </c>
      <c r="Y10" s="1728">
        <v>1086</v>
      </c>
      <c r="Z10" s="1728">
        <v>1104</v>
      </c>
      <c r="AA10" s="1728">
        <v>1068</v>
      </c>
      <c r="AB10" s="1728">
        <v>1072</v>
      </c>
      <c r="AC10" s="1728">
        <v>1131</v>
      </c>
      <c r="AD10" s="1728">
        <v>1184</v>
      </c>
      <c r="AE10" s="1728">
        <v>1291</v>
      </c>
      <c r="AF10" s="1728">
        <v>1333</v>
      </c>
      <c r="AG10" s="1570">
        <v>1333</v>
      </c>
      <c r="AH10" s="1570">
        <v>1323</v>
      </c>
      <c r="AI10" s="2010">
        <v>1282</v>
      </c>
      <c r="AJ10" s="2011">
        <v>1284</v>
      </c>
    </row>
    <row r="11" spans="1:53" x14ac:dyDescent="0.25">
      <c r="A11" s="402" t="s">
        <v>22</v>
      </c>
      <c r="B11" s="403" t="s">
        <v>454</v>
      </c>
      <c r="C11" s="410" t="s">
        <v>265</v>
      </c>
      <c r="D11" s="407">
        <v>0.157</v>
      </c>
      <c r="E11" s="408">
        <v>0.15</v>
      </c>
      <c r="F11" s="408">
        <v>0.17100000000000001</v>
      </c>
      <c r="G11" s="408">
        <v>0.189</v>
      </c>
      <c r="H11" s="408">
        <v>0.161</v>
      </c>
      <c r="I11" s="408">
        <v>0.17599999999999999</v>
      </c>
      <c r="J11" s="408">
        <v>0.17899999999999999</v>
      </c>
      <c r="K11" s="408">
        <v>0.18</v>
      </c>
      <c r="L11" s="408">
        <v>0.2</v>
      </c>
      <c r="M11" s="408">
        <v>0.219</v>
      </c>
      <c r="N11" s="409">
        <v>0.21800000000000003</v>
      </c>
      <c r="O11" s="409">
        <v>0.223</v>
      </c>
      <c r="P11" s="409">
        <v>0.24</v>
      </c>
      <c r="Q11" s="1731">
        <v>0.24047546479731788</v>
      </c>
      <c r="R11" s="2000">
        <v>0.21868365180467092</v>
      </c>
      <c r="S11" s="2005">
        <v>0.20921770770163736</v>
      </c>
      <c r="T11" s="1354"/>
      <c r="U11" s="1728">
        <v>520</v>
      </c>
      <c r="V11" s="1728">
        <v>482</v>
      </c>
      <c r="W11" s="1728">
        <v>548</v>
      </c>
      <c r="X11" s="1728">
        <v>598</v>
      </c>
      <c r="Y11" s="1728">
        <v>510</v>
      </c>
      <c r="Z11" s="1728">
        <v>553</v>
      </c>
      <c r="AA11" s="1728">
        <v>551</v>
      </c>
      <c r="AB11" s="1728">
        <v>557</v>
      </c>
      <c r="AC11" s="1728">
        <v>629</v>
      </c>
      <c r="AD11" s="1728">
        <v>689</v>
      </c>
      <c r="AE11" s="1728">
        <v>717</v>
      </c>
      <c r="AF11" s="1728">
        <v>725</v>
      </c>
      <c r="AG11" s="1570">
        <v>783</v>
      </c>
      <c r="AH11" s="1570">
        <v>789</v>
      </c>
      <c r="AI11" s="2010">
        <v>721</v>
      </c>
      <c r="AJ11" s="2011">
        <v>690</v>
      </c>
    </row>
    <row r="12" spans="1:53" x14ac:dyDescent="0.25">
      <c r="A12" s="402" t="s">
        <v>24</v>
      </c>
      <c r="B12" s="403" t="s">
        <v>455</v>
      </c>
      <c r="C12" s="410" t="s">
        <v>267</v>
      </c>
      <c r="D12" s="407">
        <v>0.1</v>
      </c>
      <c r="E12" s="408">
        <v>8.8999999999999996E-2</v>
      </c>
      <c r="F12" s="408">
        <v>9.5000000000000001E-2</v>
      </c>
      <c r="G12" s="408">
        <v>9.5000000000000001E-2</v>
      </c>
      <c r="H12" s="408">
        <v>9.0999999999999984E-2</v>
      </c>
      <c r="I12" s="408">
        <v>9.5999999999999988E-2</v>
      </c>
      <c r="J12" s="408">
        <v>8.4999999999999992E-2</v>
      </c>
      <c r="K12" s="408">
        <v>8.3999999999999991E-2</v>
      </c>
      <c r="L12" s="408">
        <v>8.8000000000000009E-2</v>
      </c>
      <c r="M12" s="408">
        <v>9.2999999999999999E-2</v>
      </c>
      <c r="N12" s="409">
        <v>0.10400000000000001</v>
      </c>
      <c r="O12" s="409">
        <v>0.10099999999999999</v>
      </c>
      <c r="P12" s="409">
        <v>9.1999999999999998E-2</v>
      </c>
      <c r="Q12" s="1731">
        <v>0.11150041775597661</v>
      </c>
      <c r="R12" s="2000">
        <v>0.11036771951662258</v>
      </c>
      <c r="S12" s="2005">
        <v>8.7848766680145574E-2</v>
      </c>
      <c r="T12" s="1354"/>
      <c r="U12" s="1728">
        <v>3124</v>
      </c>
      <c r="V12" s="1728">
        <v>2830</v>
      </c>
      <c r="W12" s="1728">
        <v>3092</v>
      </c>
      <c r="X12" s="1728">
        <v>3195</v>
      </c>
      <c r="Y12" s="1728">
        <v>3170</v>
      </c>
      <c r="Z12" s="1728">
        <v>3308</v>
      </c>
      <c r="AA12" s="1728">
        <v>2955</v>
      </c>
      <c r="AB12" s="1728">
        <v>3004</v>
      </c>
      <c r="AC12" s="1728">
        <v>3348</v>
      </c>
      <c r="AD12" s="1728">
        <v>3284</v>
      </c>
      <c r="AE12" s="1728">
        <v>3392</v>
      </c>
      <c r="AF12" s="1728">
        <v>3451</v>
      </c>
      <c r="AG12" s="1570">
        <v>3261</v>
      </c>
      <c r="AH12" s="1570">
        <v>4137</v>
      </c>
      <c r="AI12" s="2010">
        <v>4256</v>
      </c>
      <c r="AJ12" s="2011">
        <v>3476</v>
      </c>
    </row>
    <row r="13" spans="1:53" x14ac:dyDescent="0.25">
      <c r="A13" s="402" t="s">
        <v>26</v>
      </c>
      <c r="B13" s="481" t="s">
        <v>750</v>
      </c>
      <c r="C13" s="481" t="s">
        <v>265</v>
      </c>
      <c r="D13" s="407">
        <v>0.13087876336093662</v>
      </c>
      <c r="E13" s="408">
        <v>0.12328640660095588</v>
      </c>
      <c r="F13" s="408">
        <v>0.1346739708466082</v>
      </c>
      <c r="G13" s="408">
        <v>0.14416955964817399</v>
      </c>
      <c r="H13" s="408">
        <v>0.13188270816880912</v>
      </c>
      <c r="I13" s="408">
        <v>0.14273149548278821</v>
      </c>
      <c r="J13" s="408">
        <v>0.14512539405354707</v>
      </c>
      <c r="K13" s="408">
        <v>0.14915355306345557</v>
      </c>
      <c r="L13" s="408">
        <v>0.15178195639792957</v>
      </c>
      <c r="M13" s="408">
        <v>0.16398952402216457</v>
      </c>
      <c r="N13" s="409">
        <v>0.17830952995295352</v>
      </c>
      <c r="O13" s="409">
        <v>0.18582548136009833</v>
      </c>
      <c r="P13" s="409">
        <v>0.17899999999999999</v>
      </c>
      <c r="Q13" s="1731">
        <v>0.17762635341331884</v>
      </c>
      <c r="R13" s="2000">
        <v>0.18326239939319877</v>
      </c>
      <c r="S13" s="2005">
        <v>0.17564988762139011</v>
      </c>
      <c r="T13" s="1354"/>
      <c r="U13" s="1728">
        <v>3191</v>
      </c>
      <c r="V13" s="1728">
        <v>2991</v>
      </c>
      <c r="W13" s="1728">
        <v>3298</v>
      </c>
      <c r="X13" s="1728">
        <v>3529</v>
      </c>
      <c r="Y13" s="1728">
        <v>3272</v>
      </c>
      <c r="Z13" s="1728">
        <v>3505</v>
      </c>
      <c r="AA13" s="1728">
        <v>3505</v>
      </c>
      <c r="AB13" s="1728">
        <v>3697</v>
      </c>
      <c r="AC13" s="1728">
        <v>3724</v>
      </c>
      <c r="AD13" s="1728">
        <v>4096</v>
      </c>
      <c r="AE13" s="1728">
        <v>4400</v>
      </c>
      <c r="AF13" s="1728">
        <v>4536</v>
      </c>
      <c r="AG13" s="1570">
        <v>4306</v>
      </c>
      <c r="AH13" s="1570">
        <v>4249</v>
      </c>
      <c r="AI13" s="2010">
        <v>4349</v>
      </c>
      <c r="AJ13" s="2011">
        <v>4142</v>
      </c>
    </row>
    <row r="14" spans="1:53" x14ac:dyDescent="0.25">
      <c r="A14" s="402" t="s">
        <v>27</v>
      </c>
      <c r="B14" s="403" t="s">
        <v>456</v>
      </c>
      <c r="C14" s="410" t="s">
        <v>265</v>
      </c>
      <c r="D14" s="407">
        <v>0.10099999999999999</v>
      </c>
      <c r="E14" s="408">
        <v>9.8000000000000004E-2</v>
      </c>
      <c r="F14" s="408">
        <v>9.9000000000000005E-2</v>
      </c>
      <c r="G14" s="408">
        <v>0.106</v>
      </c>
      <c r="H14" s="408">
        <v>9.1999999999999985E-2</v>
      </c>
      <c r="I14" s="408">
        <v>0.1</v>
      </c>
      <c r="J14" s="408">
        <v>0.106</v>
      </c>
      <c r="K14" s="408">
        <v>0.10300000000000001</v>
      </c>
      <c r="L14" s="408">
        <v>0.12300000000000001</v>
      </c>
      <c r="M14" s="408">
        <v>0.14799999999999999</v>
      </c>
      <c r="N14" s="409">
        <v>0.157</v>
      </c>
      <c r="O14" s="409">
        <v>0.159</v>
      </c>
      <c r="P14" s="409">
        <v>0.16400000000000001</v>
      </c>
      <c r="Q14" s="1731">
        <v>0.17886178861788618</v>
      </c>
      <c r="R14" s="2000">
        <v>0.15642458100558659</v>
      </c>
      <c r="S14" s="2005">
        <v>0.14595375722543352</v>
      </c>
      <c r="T14" s="1354"/>
      <c r="U14" s="1728">
        <v>102</v>
      </c>
      <c r="V14" s="1728">
        <v>97</v>
      </c>
      <c r="W14" s="1728">
        <v>95</v>
      </c>
      <c r="X14" s="1728">
        <v>99</v>
      </c>
      <c r="Y14" s="1728">
        <v>83</v>
      </c>
      <c r="Z14" s="1728">
        <v>89</v>
      </c>
      <c r="AA14" s="1728">
        <v>88</v>
      </c>
      <c r="AB14" s="1728">
        <v>80</v>
      </c>
      <c r="AC14" s="1728">
        <v>89</v>
      </c>
      <c r="AD14" s="1728">
        <v>117</v>
      </c>
      <c r="AE14" s="1728">
        <v>123</v>
      </c>
      <c r="AF14" s="1728">
        <v>122</v>
      </c>
      <c r="AG14" s="1570">
        <v>124</v>
      </c>
      <c r="AH14" s="1570">
        <v>132</v>
      </c>
      <c r="AI14" s="2010">
        <v>112</v>
      </c>
      <c r="AJ14" s="2011">
        <v>101</v>
      </c>
    </row>
    <row r="15" spans="1:53" x14ac:dyDescent="0.25">
      <c r="A15" s="402" t="s">
        <v>29</v>
      </c>
      <c r="B15" s="403" t="s">
        <v>924</v>
      </c>
      <c r="C15" s="410" t="s">
        <v>265</v>
      </c>
      <c r="D15" s="407">
        <v>0.10357569534845344</v>
      </c>
      <c r="E15" s="408">
        <v>9.7851076521047547E-2</v>
      </c>
      <c r="F15" s="408">
        <v>0.10470836582956378</v>
      </c>
      <c r="G15" s="408">
        <v>0.11985001266072082</v>
      </c>
      <c r="H15" s="408">
        <v>0.11006986120613819</v>
      </c>
      <c r="I15" s="408">
        <v>0.11585807105652593</v>
      </c>
      <c r="J15" s="408">
        <v>0.10915386192773553</v>
      </c>
      <c r="K15" s="408">
        <v>0.11852155883037152</v>
      </c>
      <c r="L15" s="408">
        <v>0.11587898985228509</v>
      </c>
      <c r="M15" s="408">
        <v>0.12334881658541039</v>
      </c>
      <c r="N15" s="409">
        <v>0.14051075101595445</v>
      </c>
      <c r="O15" s="409">
        <v>0.14869402985074626</v>
      </c>
      <c r="P15" s="409">
        <v>0.14499999999999999</v>
      </c>
      <c r="Q15" s="1731">
        <v>0.13675599072404018</v>
      </c>
      <c r="R15" s="2000">
        <v>0.13628123786093488</v>
      </c>
      <c r="S15" s="2005">
        <v>0.12843393460386257</v>
      </c>
      <c r="T15" s="1354"/>
      <c r="U15" s="1728">
        <v>1623</v>
      </c>
      <c r="V15" s="1728">
        <v>1526</v>
      </c>
      <c r="W15" s="1728">
        <v>1664</v>
      </c>
      <c r="X15" s="1728">
        <v>1861</v>
      </c>
      <c r="Y15" s="1728">
        <v>1732</v>
      </c>
      <c r="Z15" s="1728">
        <v>1803</v>
      </c>
      <c r="AA15" s="1728">
        <v>1685</v>
      </c>
      <c r="AB15" s="1728">
        <v>1839</v>
      </c>
      <c r="AC15" s="1728">
        <v>1773</v>
      </c>
      <c r="AD15" s="1728">
        <v>1987</v>
      </c>
      <c r="AE15" s="1728">
        <v>2297</v>
      </c>
      <c r="AF15" s="1728">
        <v>2391</v>
      </c>
      <c r="AG15" s="1570">
        <v>2277</v>
      </c>
      <c r="AH15" s="1570">
        <v>2123</v>
      </c>
      <c r="AI15" s="2010">
        <v>2105</v>
      </c>
      <c r="AJ15" s="2011">
        <v>2015</v>
      </c>
    </row>
    <row r="16" spans="1:53" x14ac:dyDescent="0.25">
      <c r="A16" s="402" t="s">
        <v>30</v>
      </c>
      <c r="B16" s="403" t="s">
        <v>457</v>
      </c>
      <c r="C16" s="410" t="s">
        <v>268</v>
      </c>
      <c r="D16" s="407">
        <v>0.14099999999999999</v>
      </c>
      <c r="E16" s="408">
        <v>0.13499999999999998</v>
      </c>
      <c r="F16" s="408">
        <v>0.14399999999999999</v>
      </c>
      <c r="G16" s="408">
        <v>0.16800000000000001</v>
      </c>
      <c r="H16" s="408">
        <v>0.14500000000000002</v>
      </c>
      <c r="I16" s="408">
        <v>0.16899999999999998</v>
      </c>
      <c r="J16" s="408">
        <v>0.16500000000000001</v>
      </c>
      <c r="K16" s="408">
        <v>0.17500000000000002</v>
      </c>
      <c r="L16" s="408">
        <v>0.18000000000000002</v>
      </c>
      <c r="M16" s="408">
        <v>0.17800000000000002</v>
      </c>
      <c r="N16" s="409">
        <v>0.18</v>
      </c>
      <c r="O16" s="409">
        <v>0.187</v>
      </c>
      <c r="P16" s="409">
        <v>0.187</v>
      </c>
      <c r="Q16" s="1731">
        <v>0.2017467248908297</v>
      </c>
      <c r="R16" s="2000">
        <v>0.17387304507819687</v>
      </c>
      <c r="S16" s="2005">
        <v>0.17784256559766765</v>
      </c>
      <c r="T16" s="1354"/>
      <c r="U16" s="1728">
        <v>186</v>
      </c>
      <c r="V16" s="1728">
        <v>172</v>
      </c>
      <c r="W16" s="1728">
        <v>184</v>
      </c>
      <c r="X16" s="1728">
        <v>209</v>
      </c>
      <c r="Y16" s="1728">
        <v>177</v>
      </c>
      <c r="Z16" s="1728">
        <v>204</v>
      </c>
      <c r="AA16" s="1728">
        <v>191</v>
      </c>
      <c r="AB16" s="1728">
        <v>202</v>
      </c>
      <c r="AC16" s="1728">
        <v>204</v>
      </c>
      <c r="AD16" s="1728">
        <v>214</v>
      </c>
      <c r="AE16" s="1728">
        <v>214</v>
      </c>
      <c r="AF16" s="1728">
        <v>221</v>
      </c>
      <c r="AG16" s="1570">
        <v>215</v>
      </c>
      <c r="AH16" s="1570">
        <v>231</v>
      </c>
      <c r="AI16" s="2010">
        <v>189</v>
      </c>
      <c r="AJ16" s="2011">
        <v>183</v>
      </c>
    </row>
    <row r="17" spans="1:36" x14ac:dyDescent="0.25">
      <c r="A17" s="402" t="s">
        <v>32</v>
      </c>
      <c r="B17" s="403" t="s">
        <v>458</v>
      </c>
      <c r="C17" s="410" t="s">
        <v>265</v>
      </c>
      <c r="D17" s="407">
        <v>6.8000000000000005E-2</v>
      </c>
      <c r="E17" s="408">
        <v>6.6000000000000003E-2</v>
      </c>
      <c r="F17" s="408">
        <v>7.2999999999999995E-2</v>
      </c>
      <c r="G17" s="408">
        <v>8.199999999999999E-2</v>
      </c>
      <c r="H17" s="408">
        <v>7.3999999999999996E-2</v>
      </c>
      <c r="I17" s="408">
        <v>7.400000000000001E-2</v>
      </c>
      <c r="J17" s="408">
        <v>6.9000000000000006E-2</v>
      </c>
      <c r="K17" s="408">
        <v>7.3999999999999996E-2</v>
      </c>
      <c r="L17" s="408">
        <v>0.08</v>
      </c>
      <c r="M17" s="408">
        <v>8.5000000000000006E-2</v>
      </c>
      <c r="N17" s="409">
        <v>8.8000000000000009E-2</v>
      </c>
      <c r="O17" s="409">
        <v>0.10099999999999999</v>
      </c>
      <c r="P17" s="409">
        <v>0.10100000000000001</v>
      </c>
      <c r="Q17" s="1731">
        <v>0.10003003905076599</v>
      </c>
      <c r="R17" s="2000">
        <v>0.10581039755351682</v>
      </c>
      <c r="S17" s="2005">
        <v>9.3436293436293436E-2</v>
      </c>
      <c r="T17" s="1354"/>
      <c r="U17" s="1728">
        <v>473</v>
      </c>
      <c r="V17" s="1728">
        <v>453</v>
      </c>
      <c r="W17" s="1728">
        <v>497</v>
      </c>
      <c r="X17" s="1728">
        <v>556</v>
      </c>
      <c r="Y17" s="1728">
        <v>501</v>
      </c>
      <c r="Z17" s="1728">
        <v>493</v>
      </c>
      <c r="AA17" s="1728">
        <v>440</v>
      </c>
      <c r="AB17" s="1728">
        <v>476</v>
      </c>
      <c r="AC17" s="1728">
        <v>501</v>
      </c>
      <c r="AD17" s="1728">
        <v>578</v>
      </c>
      <c r="AE17" s="1728">
        <v>646</v>
      </c>
      <c r="AF17" s="1728">
        <v>715</v>
      </c>
      <c r="AG17" s="1570">
        <v>700</v>
      </c>
      <c r="AH17" s="1570">
        <v>666</v>
      </c>
      <c r="AI17" s="2010">
        <v>692</v>
      </c>
      <c r="AJ17" s="2011">
        <v>605</v>
      </c>
    </row>
    <row r="18" spans="1:36" x14ac:dyDescent="0.25">
      <c r="A18" s="402" t="s">
        <v>36</v>
      </c>
      <c r="B18" s="403" t="s">
        <v>459</v>
      </c>
      <c r="C18" s="410" t="s">
        <v>264</v>
      </c>
      <c r="D18" s="407">
        <v>0.20200000000000001</v>
      </c>
      <c r="E18" s="408">
        <v>0.18600000000000003</v>
      </c>
      <c r="F18" s="408">
        <v>0.22199999999999998</v>
      </c>
      <c r="G18" s="408">
        <v>0.24199999999999999</v>
      </c>
      <c r="H18" s="408">
        <v>0.217</v>
      </c>
      <c r="I18" s="408">
        <v>0.245</v>
      </c>
      <c r="J18" s="408">
        <v>0.24199999999999999</v>
      </c>
      <c r="K18" s="408">
        <v>0.26300000000000001</v>
      </c>
      <c r="L18" s="408">
        <v>0.248</v>
      </c>
      <c r="M18" s="408">
        <v>0.26300000000000001</v>
      </c>
      <c r="N18" s="409">
        <v>0.26899999999999996</v>
      </c>
      <c r="O18" s="409">
        <v>0.31</v>
      </c>
      <c r="P18" s="409">
        <v>0.30499999999999999</v>
      </c>
      <c r="Q18" s="1731">
        <v>0.28860172299536119</v>
      </c>
      <c r="R18" s="2000">
        <v>0.31456378171706639</v>
      </c>
      <c r="S18" s="2005">
        <v>0.2921708185053381</v>
      </c>
      <c r="T18" s="1354"/>
      <c r="U18" s="1728">
        <v>737</v>
      </c>
      <c r="V18" s="1728">
        <v>665</v>
      </c>
      <c r="W18" s="1728">
        <v>787</v>
      </c>
      <c r="X18" s="1728">
        <v>847</v>
      </c>
      <c r="Y18" s="1728">
        <v>742</v>
      </c>
      <c r="Z18" s="1728">
        <v>828</v>
      </c>
      <c r="AA18" s="1728">
        <v>792</v>
      </c>
      <c r="AB18" s="1728">
        <v>834</v>
      </c>
      <c r="AC18" s="1728">
        <v>761</v>
      </c>
      <c r="AD18" s="1728">
        <v>816</v>
      </c>
      <c r="AE18" s="1728">
        <v>888</v>
      </c>
      <c r="AF18" s="1728">
        <v>979</v>
      </c>
      <c r="AG18" s="1570">
        <v>931</v>
      </c>
      <c r="AH18" s="1570">
        <v>871</v>
      </c>
      <c r="AI18" s="2010">
        <v>905</v>
      </c>
      <c r="AJ18" s="2011">
        <v>821</v>
      </c>
    </row>
    <row r="19" spans="1:36" x14ac:dyDescent="0.25">
      <c r="A19" s="402" t="s">
        <v>38</v>
      </c>
      <c r="B19" s="403" t="s">
        <v>460</v>
      </c>
      <c r="C19" s="410" t="s">
        <v>268</v>
      </c>
      <c r="D19" s="407">
        <v>0.28999999999999998</v>
      </c>
      <c r="E19" s="408">
        <v>0.25600000000000001</v>
      </c>
      <c r="F19" s="408">
        <v>0.29600000000000004</v>
      </c>
      <c r="G19" s="408">
        <v>0.318</v>
      </c>
      <c r="H19" s="408">
        <v>0.28100000000000003</v>
      </c>
      <c r="I19" s="408">
        <v>0.34500000000000003</v>
      </c>
      <c r="J19" s="408">
        <v>0.30899999999999994</v>
      </c>
      <c r="K19" s="408">
        <v>0.3</v>
      </c>
      <c r="L19" s="408">
        <v>0.33100000000000002</v>
      </c>
      <c r="M19" s="408">
        <v>0.34299999999999997</v>
      </c>
      <c r="N19" s="409">
        <v>0.34900000000000003</v>
      </c>
      <c r="O19" s="409">
        <v>0.308</v>
      </c>
      <c r="P19" s="409">
        <v>0.29099999999999998</v>
      </c>
      <c r="Q19" s="1731">
        <v>0.32803180914512925</v>
      </c>
      <c r="R19" s="2000">
        <v>0.31325611325611324</v>
      </c>
      <c r="S19" s="2005">
        <v>0.33645102624058199</v>
      </c>
      <c r="T19" s="1354"/>
      <c r="U19" s="1728">
        <v>1507</v>
      </c>
      <c r="V19" s="1728">
        <v>1287</v>
      </c>
      <c r="W19" s="1728">
        <v>1473</v>
      </c>
      <c r="X19" s="1728">
        <v>1531</v>
      </c>
      <c r="Y19" s="1728">
        <v>1333</v>
      </c>
      <c r="Z19" s="1728">
        <v>1593</v>
      </c>
      <c r="AA19" s="1728">
        <v>1402</v>
      </c>
      <c r="AB19" s="1728">
        <v>1284</v>
      </c>
      <c r="AC19" s="1728">
        <v>1365</v>
      </c>
      <c r="AD19" s="1728">
        <v>1464</v>
      </c>
      <c r="AE19" s="1728">
        <v>1497</v>
      </c>
      <c r="AF19" s="1728">
        <v>1268</v>
      </c>
      <c r="AG19" s="1570">
        <v>1200</v>
      </c>
      <c r="AH19" s="1570">
        <v>1320</v>
      </c>
      <c r="AI19" s="2010">
        <v>1217</v>
      </c>
      <c r="AJ19" s="2011">
        <v>1295</v>
      </c>
    </row>
    <row r="20" spans="1:36" x14ac:dyDescent="0.25">
      <c r="A20" s="402" t="s">
        <v>40</v>
      </c>
      <c r="B20" s="403" t="s">
        <v>461</v>
      </c>
      <c r="C20" s="410" t="s">
        <v>266</v>
      </c>
      <c r="D20" s="407">
        <v>0.20299999999999999</v>
      </c>
      <c r="E20" s="408">
        <v>0.182</v>
      </c>
      <c r="F20" s="408">
        <v>0.19700000000000001</v>
      </c>
      <c r="G20" s="408">
        <v>0.21999999999999997</v>
      </c>
      <c r="H20" s="408">
        <v>0.20600000000000002</v>
      </c>
      <c r="I20" s="408">
        <v>0.24500000000000002</v>
      </c>
      <c r="J20" s="408">
        <v>0.21899999999999997</v>
      </c>
      <c r="K20" s="408">
        <v>0.24199999999999999</v>
      </c>
      <c r="L20" s="408">
        <v>0.248</v>
      </c>
      <c r="M20" s="408">
        <v>0.26300000000000001</v>
      </c>
      <c r="N20" s="409">
        <v>0.252</v>
      </c>
      <c r="O20" s="409">
        <v>0.26300000000000001</v>
      </c>
      <c r="P20" s="409">
        <v>0.28299999999999997</v>
      </c>
      <c r="Q20" s="1731">
        <v>0.28427355814686417</v>
      </c>
      <c r="R20" s="2000">
        <v>0.27098014093529788</v>
      </c>
      <c r="S20" s="2005">
        <v>0.27459807073954984</v>
      </c>
      <c r="T20" s="1354"/>
      <c r="U20" s="1728">
        <v>682</v>
      </c>
      <c r="V20" s="1728">
        <v>594</v>
      </c>
      <c r="W20" s="1728">
        <v>641</v>
      </c>
      <c r="X20" s="1728">
        <v>710</v>
      </c>
      <c r="Y20" s="1728">
        <v>658</v>
      </c>
      <c r="Z20" s="1728">
        <v>771</v>
      </c>
      <c r="AA20" s="1728">
        <v>667</v>
      </c>
      <c r="AB20" s="1728">
        <v>717</v>
      </c>
      <c r="AC20" s="1728">
        <v>713</v>
      </c>
      <c r="AD20" s="1728">
        <v>775</v>
      </c>
      <c r="AE20" s="1728">
        <v>814</v>
      </c>
      <c r="AF20" s="1728">
        <v>843</v>
      </c>
      <c r="AG20" s="1570">
        <v>899</v>
      </c>
      <c r="AH20" s="1570">
        <v>902</v>
      </c>
      <c r="AI20" s="2010">
        <v>846</v>
      </c>
      <c r="AJ20" s="2011">
        <v>854</v>
      </c>
    </row>
    <row r="21" spans="1:36" x14ac:dyDescent="0.25">
      <c r="A21" s="402" t="s">
        <v>42</v>
      </c>
      <c r="B21" s="403" t="s">
        <v>462</v>
      </c>
      <c r="C21" s="410" t="s">
        <v>265</v>
      </c>
      <c r="D21" s="407">
        <v>0.14099999999999999</v>
      </c>
      <c r="E21" s="408">
        <v>0.129</v>
      </c>
      <c r="F21" s="408">
        <v>0.15</v>
      </c>
      <c r="G21" s="408">
        <v>0.16800000000000001</v>
      </c>
      <c r="H21" s="408">
        <v>0.15</v>
      </c>
      <c r="I21" s="408">
        <v>0.154</v>
      </c>
      <c r="J21" s="408">
        <v>0.153</v>
      </c>
      <c r="K21" s="408">
        <v>0.153</v>
      </c>
      <c r="L21" s="408">
        <v>0.16200000000000001</v>
      </c>
      <c r="M21" s="408">
        <v>0.17799999999999999</v>
      </c>
      <c r="N21" s="409">
        <v>0.18600000000000003</v>
      </c>
      <c r="O21" s="409">
        <v>0.23</v>
      </c>
      <c r="P21" s="409">
        <v>0.192</v>
      </c>
      <c r="Q21" s="1731">
        <v>0.18702392687516803</v>
      </c>
      <c r="R21" s="2000">
        <v>0.19370194068106922</v>
      </c>
      <c r="S21" s="2005">
        <v>0.16260612772240679</v>
      </c>
      <c r="T21" s="1354"/>
      <c r="U21" s="1728">
        <v>1693</v>
      </c>
      <c r="V21" s="1728">
        <v>1540</v>
      </c>
      <c r="W21" s="1728">
        <v>1797</v>
      </c>
      <c r="X21" s="1728">
        <v>2001</v>
      </c>
      <c r="Y21" s="1728">
        <v>1800</v>
      </c>
      <c r="Z21" s="1728">
        <v>1823</v>
      </c>
      <c r="AA21" s="1728">
        <v>1756</v>
      </c>
      <c r="AB21" s="1728">
        <v>1759</v>
      </c>
      <c r="AC21" s="1728">
        <v>1816</v>
      </c>
      <c r="AD21" s="1728">
        <v>1996</v>
      </c>
      <c r="AE21" s="1728">
        <v>2211</v>
      </c>
      <c r="AF21" s="1728">
        <v>2674</v>
      </c>
      <c r="AG21" s="1570">
        <v>2199</v>
      </c>
      <c r="AH21" s="1570">
        <v>2087</v>
      </c>
      <c r="AI21" s="2010">
        <v>2116</v>
      </c>
      <c r="AJ21" s="2011">
        <v>1762</v>
      </c>
    </row>
    <row r="22" spans="1:36" x14ac:dyDescent="0.25">
      <c r="A22" s="402" t="s">
        <v>44</v>
      </c>
      <c r="B22" s="403" t="s">
        <v>463</v>
      </c>
      <c r="C22" s="410" t="s">
        <v>266</v>
      </c>
      <c r="D22" s="407">
        <v>0.14099999999999999</v>
      </c>
      <c r="E22" s="408">
        <v>0.13</v>
      </c>
      <c r="F22" s="408">
        <v>0.15</v>
      </c>
      <c r="G22" s="408">
        <v>0.14699999999999999</v>
      </c>
      <c r="H22" s="408">
        <v>0.13300000000000001</v>
      </c>
      <c r="I22" s="408">
        <v>0.14599999999999999</v>
      </c>
      <c r="J22" s="408">
        <v>0.126</v>
      </c>
      <c r="K22" s="408">
        <v>0.13300000000000001</v>
      </c>
      <c r="L22" s="408">
        <v>0.14199999999999999</v>
      </c>
      <c r="M22" s="408">
        <v>0.16500000000000001</v>
      </c>
      <c r="N22" s="409">
        <v>0.16600000000000001</v>
      </c>
      <c r="O22" s="409">
        <v>0.18899999999999997</v>
      </c>
      <c r="P22" s="409">
        <v>0.182</v>
      </c>
      <c r="Q22" s="1731">
        <v>0.21008778455586966</v>
      </c>
      <c r="R22" s="2000">
        <v>0.17336829836829837</v>
      </c>
      <c r="S22" s="2005">
        <v>0.17193534544414246</v>
      </c>
      <c r="T22" s="1354"/>
      <c r="U22" s="1728">
        <v>750</v>
      </c>
      <c r="V22" s="1728">
        <v>699</v>
      </c>
      <c r="W22" s="1728">
        <v>823</v>
      </c>
      <c r="X22" s="1728">
        <v>827</v>
      </c>
      <c r="Y22" s="1728">
        <v>797</v>
      </c>
      <c r="Z22" s="1728">
        <v>862</v>
      </c>
      <c r="AA22" s="1728">
        <v>753</v>
      </c>
      <c r="AB22" s="1728">
        <v>864</v>
      </c>
      <c r="AC22" s="1728">
        <v>927</v>
      </c>
      <c r="AD22" s="1728">
        <v>1058</v>
      </c>
      <c r="AE22" s="1728">
        <v>1116</v>
      </c>
      <c r="AF22" s="1728">
        <v>1252</v>
      </c>
      <c r="AG22" s="1570">
        <v>1225</v>
      </c>
      <c r="AH22" s="1570">
        <v>1412</v>
      </c>
      <c r="AI22" s="2010">
        <v>1190</v>
      </c>
      <c r="AJ22" s="2011">
        <v>1202</v>
      </c>
    </row>
    <row r="23" spans="1:36" x14ac:dyDescent="0.25">
      <c r="A23" s="402" t="s">
        <v>46</v>
      </c>
      <c r="B23" s="403" t="s">
        <v>464</v>
      </c>
      <c r="C23" s="410" t="s">
        <v>268</v>
      </c>
      <c r="D23" s="407">
        <v>0.186</v>
      </c>
      <c r="E23" s="408">
        <v>0.18300000000000002</v>
      </c>
      <c r="F23" s="408">
        <v>0.20600000000000002</v>
      </c>
      <c r="G23" s="408">
        <v>0.22600000000000001</v>
      </c>
      <c r="H23" s="408">
        <v>0.18899999999999997</v>
      </c>
      <c r="I23" s="408">
        <v>0.23100000000000004</v>
      </c>
      <c r="J23" s="408">
        <v>0.20500000000000002</v>
      </c>
      <c r="K23" s="408">
        <v>0.20300000000000001</v>
      </c>
      <c r="L23" s="408">
        <v>0.22500000000000001</v>
      </c>
      <c r="M23" s="408">
        <v>0.26100000000000001</v>
      </c>
      <c r="N23" s="409">
        <v>0.249</v>
      </c>
      <c r="O23" s="409">
        <v>0.29399999999999998</v>
      </c>
      <c r="P23" s="409">
        <v>0.26400000000000001</v>
      </c>
      <c r="Q23" s="1731">
        <v>0.25639241607236041</v>
      </c>
      <c r="R23" s="2000">
        <v>0.24964336661911554</v>
      </c>
      <c r="S23" s="2005">
        <v>0.24252252252252252</v>
      </c>
      <c r="T23" s="1354"/>
      <c r="U23" s="1728">
        <v>1114</v>
      </c>
      <c r="V23" s="1728">
        <v>1082</v>
      </c>
      <c r="W23" s="1728">
        <v>1233</v>
      </c>
      <c r="X23" s="1728">
        <v>1354</v>
      </c>
      <c r="Y23" s="1728">
        <v>1122</v>
      </c>
      <c r="Z23" s="1728">
        <v>1357</v>
      </c>
      <c r="AA23" s="1728">
        <v>1186</v>
      </c>
      <c r="AB23" s="1728">
        <v>1154</v>
      </c>
      <c r="AC23" s="1728">
        <v>1262</v>
      </c>
      <c r="AD23" s="1728">
        <v>1467</v>
      </c>
      <c r="AE23" s="1728">
        <v>1518</v>
      </c>
      <c r="AF23" s="1728">
        <v>1755</v>
      </c>
      <c r="AG23" s="1570">
        <v>1541</v>
      </c>
      <c r="AH23" s="1570">
        <v>1474</v>
      </c>
      <c r="AI23" s="2010">
        <v>1400</v>
      </c>
      <c r="AJ23" s="2011">
        <v>1346</v>
      </c>
    </row>
    <row r="24" spans="1:36" x14ac:dyDescent="0.25">
      <c r="A24" s="402" t="s">
        <v>48</v>
      </c>
      <c r="B24" s="403" t="s">
        <v>465</v>
      </c>
      <c r="C24" s="410" t="s">
        <v>266</v>
      </c>
      <c r="D24" s="407">
        <v>0.14100000000000001</v>
      </c>
      <c r="E24" s="408">
        <v>0.126</v>
      </c>
      <c r="F24" s="408">
        <v>0.14699999999999999</v>
      </c>
      <c r="G24" s="408">
        <v>0.15699999999999997</v>
      </c>
      <c r="H24" s="408">
        <v>0.13099999999999998</v>
      </c>
      <c r="I24" s="408">
        <v>0.14900000000000002</v>
      </c>
      <c r="J24" s="408">
        <v>0.152</v>
      </c>
      <c r="K24" s="408">
        <v>0.15000000000000002</v>
      </c>
      <c r="L24" s="408">
        <v>0.16699999999999998</v>
      </c>
      <c r="M24" s="408">
        <v>0.17200000000000001</v>
      </c>
      <c r="N24" s="409">
        <v>0.184</v>
      </c>
      <c r="O24" s="409">
        <v>0.18100000000000002</v>
      </c>
      <c r="P24" s="409">
        <v>0.20100000000000001</v>
      </c>
      <c r="Q24" s="1731">
        <v>0.19565217391304349</v>
      </c>
      <c r="R24" s="2000">
        <v>0.19121683440073192</v>
      </c>
      <c r="S24" s="2005">
        <v>0.19537037037037036</v>
      </c>
      <c r="T24" s="1354"/>
      <c r="U24" s="1728">
        <v>207</v>
      </c>
      <c r="V24" s="1728">
        <v>182</v>
      </c>
      <c r="W24" s="1728">
        <v>213</v>
      </c>
      <c r="X24" s="1728">
        <v>223</v>
      </c>
      <c r="Y24" s="1728">
        <v>179</v>
      </c>
      <c r="Z24" s="1728">
        <v>201</v>
      </c>
      <c r="AA24" s="1728">
        <v>204</v>
      </c>
      <c r="AB24" s="1728">
        <v>200</v>
      </c>
      <c r="AC24" s="1728">
        <v>227</v>
      </c>
      <c r="AD24" s="1728">
        <v>225</v>
      </c>
      <c r="AE24" s="1728">
        <v>238</v>
      </c>
      <c r="AF24" s="1728">
        <v>223</v>
      </c>
      <c r="AG24" s="1570">
        <v>234</v>
      </c>
      <c r="AH24" s="1570">
        <v>225</v>
      </c>
      <c r="AI24" s="2010">
        <v>209</v>
      </c>
      <c r="AJ24" s="2011">
        <v>211</v>
      </c>
    </row>
    <row r="25" spans="1:36" x14ac:dyDescent="0.25">
      <c r="A25" s="402" t="s">
        <v>50</v>
      </c>
      <c r="B25" s="403" t="s">
        <v>466</v>
      </c>
      <c r="C25" s="410" t="s">
        <v>265</v>
      </c>
      <c r="D25" s="407">
        <v>0.21100000000000002</v>
      </c>
      <c r="E25" s="408">
        <v>0.2</v>
      </c>
      <c r="F25" s="408">
        <v>0.22</v>
      </c>
      <c r="G25" s="408">
        <v>0.23799999999999999</v>
      </c>
      <c r="H25" s="408">
        <v>0.20300000000000001</v>
      </c>
      <c r="I25" s="408">
        <v>0.23499999999999999</v>
      </c>
      <c r="J25" s="408">
        <v>0.23500000000000001</v>
      </c>
      <c r="K25" s="408">
        <v>0.26100000000000001</v>
      </c>
      <c r="L25" s="408">
        <v>0.25900000000000001</v>
      </c>
      <c r="M25" s="408">
        <v>0.27199999999999996</v>
      </c>
      <c r="N25" s="409">
        <v>0.28100000000000003</v>
      </c>
      <c r="O25" s="409">
        <v>0.30499999999999999</v>
      </c>
      <c r="P25" s="409">
        <v>0.28399999999999997</v>
      </c>
      <c r="Q25" s="1731">
        <v>0.27573253193087904</v>
      </c>
      <c r="R25" s="2000">
        <v>0.30421337456513337</v>
      </c>
      <c r="S25" s="2005">
        <v>0.28385826771653544</v>
      </c>
      <c r="T25" s="1354"/>
      <c r="U25" s="1728">
        <v>618</v>
      </c>
      <c r="V25" s="1728">
        <v>581</v>
      </c>
      <c r="W25" s="1728">
        <v>638</v>
      </c>
      <c r="X25" s="1728">
        <v>682</v>
      </c>
      <c r="Y25" s="1728">
        <v>580</v>
      </c>
      <c r="Z25" s="1728">
        <v>662</v>
      </c>
      <c r="AA25" s="1728">
        <v>646</v>
      </c>
      <c r="AB25" s="1728">
        <v>691</v>
      </c>
      <c r="AC25" s="1728">
        <v>674</v>
      </c>
      <c r="AD25" s="1728">
        <v>724</v>
      </c>
      <c r="AE25" s="1728">
        <v>796</v>
      </c>
      <c r="AF25" s="1728">
        <v>830</v>
      </c>
      <c r="AG25" s="1570">
        <v>756</v>
      </c>
      <c r="AH25" s="1570">
        <v>734</v>
      </c>
      <c r="AI25" s="2010">
        <v>787</v>
      </c>
      <c r="AJ25" s="2011">
        <v>721</v>
      </c>
    </row>
    <row r="26" spans="1:36" x14ac:dyDescent="0.25">
      <c r="A26" s="402" t="s">
        <v>56</v>
      </c>
      <c r="B26" s="403" t="s">
        <v>751</v>
      </c>
      <c r="C26" s="410" t="s">
        <v>266</v>
      </c>
      <c r="D26" s="407">
        <v>6.6162592847827204E-2</v>
      </c>
      <c r="E26" s="408">
        <v>6.1985132760176691E-2</v>
      </c>
      <c r="F26" s="408">
        <v>7.6745253964520699E-2</v>
      </c>
      <c r="G26" s="408">
        <v>8.9098295969368371E-2</v>
      </c>
      <c r="H26" s="408">
        <v>8.4639475052664961E-2</v>
      </c>
      <c r="I26" s="408">
        <v>8.5835080186892287E-2</v>
      </c>
      <c r="J26" s="408">
        <v>7.5312499027605631E-2</v>
      </c>
      <c r="K26" s="408">
        <v>7.7429640998764648E-2</v>
      </c>
      <c r="L26" s="408">
        <v>8.2993030907240153E-2</v>
      </c>
      <c r="M26" s="408">
        <v>8.8543304157549227E-2</v>
      </c>
      <c r="N26" s="409">
        <v>9.271632452521289E-2</v>
      </c>
      <c r="O26" s="409">
        <v>0.10659729250258962</v>
      </c>
      <c r="P26" s="409">
        <v>0.1</v>
      </c>
      <c r="Q26" s="1731">
        <v>0.11103941881444838</v>
      </c>
      <c r="R26" s="2000">
        <v>0.11519602008997644</v>
      </c>
      <c r="S26" s="2005">
        <v>9.8614439251227787E-2</v>
      </c>
      <c r="T26" s="1354"/>
      <c r="U26" s="1728">
        <v>5095</v>
      </c>
      <c r="V26" s="1728">
        <v>4754</v>
      </c>
      <c r="W26" s="1728">
        <v>5992</v>
      </c>
      <c r="X26" s="1728">
        <v>6928</v>
      </c>
      <c r="Y26" s="1728">
        <v>6652</v>
      </c>
      <c r="Z26" s="1728">
        <v>6664</v>
      </c>
      <c r="AA26" s="1728">
        <v>5829</v>
      </c>
      <c r="AB26" s="1728">
        <v>6162</v>
      </c>
      <c r="AC26" s="1728">
        <v>6555</v>
      </c>
      <c r="AD26" s="1728">
        <v>7447</v>
      </c>
      <c r="AE26" s="1728">
        <v>7901</v>
      </c>
      <c r="AF26" s="1728">
        <v>8953</v>
      </c>
      <c r="AG26" s="1570">
        <v>8309</v>
      </c>
      <c r="AH26" s="1570">
        <v>9293</v>
      </c>
      <c r="AI26" s="2010">
        <v>9679</v>
      </c>
      <c r="AJ26" s="2011">
        <v>8313</v>
      </c>
    </row>
    <row r="27" spans="1:36" x14ac:dyDescent="0.25">
      <c r="A27" s="402" t="s">
        <v>58</v>
      </c>
      <c r="B27" s="403" t="s">
        <v>467</v>
      </c>
      <c r="C27" s="410" t="s">
        <v>267</v>
      </c>
      <c r="D27" s="407">
        <v>0.09</v>
      </c>
      <c r="E27" s="408">
        <v>7.4999999999999997E-2</v>
      </c>
      <c r="F27" s="408">
        <v>7.1999999999999995E-2</v>
      </c>
      <c r="G27" s="408">
        <v>8.4000000000000005E-2</v>
      </c>
      <c r="H27" s="408">
        <v>7.2999999999999995E-2</v>
      </c>
      <c r="I27" s="408">
        <v>7.9000000000000001E-2</v>
      </c>
      <c r="J27" s="408">
        <v>7.3000000000000009E-2</v>
      </c>
      <c r="K27" s="408">
        <v>7.3999999999999996E-2</v>
      </c>
      <c r="L27" s="408">
        <v>9.4E-2</v>
      </c>
      <c r="M27" s="408">
        <v>9.4E-2</v>
      </c>
      <c r="N27" s="409">
        <v>0.10099999999999999</v>
      </c>
      <c r="O27" s="409">
        <v>0.10300000000000001</v>
      </c>
      <c r="P27" s="409">
        <v>0.105</v>
      </c>
      <c r="Q27" s="1731">
        <v>9.8662207357859535E-2</v>
      </c>
      <c r="R27" s="2000">
        <v>0.10641835716661124</v>
      </c>
      <c r="S27" s="2005">
        <v>0.10434197239986537</v>
      </c>
      <c r="T27" s="1354"/>
      <c r="U27" s="1728">
        <v>264</v>
      </c>
      <c r="V27" s="1728">
        <v>221</v>
      </c>
      <c r="W27" s="1728">
        <v>216</v>
      </c>
      <c r="X27" s="1728">
        <v>250</v>
      </c>
      <c r="Y27" s="1728">
        <v>223</v>
      </c>
      <c r="Z27" s="1728">
        <v>238</v>
      </c>
      <c r="AA27" s="1728">
        <v>217</v>
      </c>
      <c r="AB27" s="1728">
        <v>222</v>
      </c>
      <c r="AC27" s="1728">
        <v>278</v>
      </c>
      <c r="AD27" s="1728">
        <v>286</v>
      </c>
      <c r="AE27" s="1728">
        <v>316</v>
      </c>
      <c r="AF27" s="1728">
        <v>318</v>
      </c>
      <c r="AG27" s="1570">
        <v>323</v>
      </c>
      <c r="AH27" s="1570">
        <v>295</v>
      </c>
      <c r="AI27" s="2010">
        <v>320</v>
      </c>
      <c r="AJ27" s="2011">
        <v>310</v>
      </c>
    </row>
    <row r="28" spans="1:36" x14ac:dyDescent="0.25">
      <c r="A28" s="402" t="s">
        <v>60</v>
      </c>
      <c r="B28" s="403" t="s">
        <v>468</v>
      </c>
      <c r="C28" s="410" t="s">
        <v>265</v>
      </c>
      <c r="D28" s="407">
        <v>0.127</v>
      </c>
      <c r="E28" s="408">
        <v>0.10900000000000001</v>
      </c>
      <c r="F28" s="408">
        <v>0.11800000000000001</v>
      </c>
      <c r="G28" s="408">
        <v>0.14800000000000002</v>
      </c>
      <c r="H28" s="408">
        <v>0.127</v>
      </c>
      <c r="I28" s="408">
        <v>0.15300000000000002</v>
      </c>
      <c r="J28" s="408">
        <v>0.15</v>
      </c>
      <c r="K28" s="408">
        <v>0.14900000000000002</v>
      </c>
      <c r="L28" s="408">
        <v>0.17100000000000001</v>
      </c>
      <c r="M28" s="408">
        <v>0.185</v>
      </c>
      <c r="N28" s="409">
        <v>0.17899999999999999</v>
      </c>
      <c r="O28" s="409">
        <v>0.19899999999999998</v>
      </c>
      <c r="P28" s="409">
        <v>0.221</v>
      </c>
      <c r="Q28" s="1731">
        <v>0.21725888324873097</v>
      </c>
      <c r="R28" s="2000">
        <v>0.21031344792719919</v>
      </c>
      <c r="S28" s="2005">
        <v>0.21658031088082902</v>
      </c>
      <c r="T28" s="1354"/>
      <c r="U28" s="1728">
        <v>146</v>
      </c>
      <c r="V28" s="1728">
        <v>126</v>
      </c>
      <c r="W28" s="1728">
        <v>138</v>
      </c>
      <c r="X28" s="1728">
        <v>170</v>
      </c>
      <c r="Y28" s="1728">
        <v>146</v>
      </c>
      <c r="Z28" s="1728">
        <v>173</v>
      </c>
      <c r="AA28" s="1728">
        <v>162</v>
      </c>
      <c r="AB28" s="1728">
        <v>159</v>
      </c>
      <c r="AC28" s="1728">
        <v>172</v>
      </c>
      <c r="AD28" s="1728">
        <v>183</v>
      </c>
      <c r="AE28" s="1728">
        <v>197</v>
      </c>
      <c r="AF28" s="1728">
        <v>214</v>
      </c>
      <c r="AG28" s="1570">
        <v>234</v>
      </c>
      <c r="AH28" s="1570">
        <v>214</v>
      </c>
      <c r="AI28" s="2010">
        <v>208</v>
      </c>
      <c r="AJ28" s="2011">
        <v>209</v>
      </c>
    </row>
    <row r="29" spans="1:36" x14ac:dyDescent="0.25">
      <c r="A29" s="402" t="s">
        <v>62</v>
      </c>
      <c r="B29" s="403" t="s">
        <v>469</v>
      </c>
      <c r="C29" s="410" t="s">
        <v>267</v>
      </c>
      <c r="D29" s="407">
        <v>0.122</v>
      </c>
      <c r="E29" s="408">
        <v>0.11</v>
      </c>
      <c r="F29" s="408">
        <v>0.114</v>
      </c>
      <c r="G29" s="408">
        <v>0.121</v>
      </c>
      <c r="H29" s="408">
        <v>0.10400000000000001</v>
      </c>
      <c r="I29" s="408">
        <v>0.111</v>
      </c>
      <c r="J29" s="408">
        <v>0.10100000000000001</v>
      </c>
      <c r="K29" s="408">
        <v>0.10800000000000001</v>
      </c>
      <c r="L29" s="408">
        <v>0.11099999999999999</v>
      </c>
      <c r="M29" s="408">
        <v>0.14000000000000001</v>
      </c>
      <c r="N29" s="409">
        <v>0.14800000000000002</v>
      </c>
      <c r="O29" s="409">
        <v>0.16399999999999998</v>
      </c>
      <c r="P29" s="409">
        <v>0.155</v>
      </c>
      <c r="Q29" s="1731">
        <v>0.15169243627246135</v>
      </c>
      <c r="R29" s="2000">
        <v>0.15268304708686006</v>
      </c>
      <c r="S29" s="2005">
        <v>0.14883951433055256</v>
      </c>
      <c r="T29" s="1354"/>
      <c r="U29" s="1728">
        <v>1068</v>
      </c>
      <c r="V29" s="1728">
        <v>979</v>
      </c>
      <c r="W29" s="1728">
        <v>1066</v>
      </c>
      <c r="X29" s="1728">
        <v>1169</v>
      </c>
      <c r="Y29" s="1728">
        <v>1059</v>
      </c>
      <c r="Z29" s="1728">
        <v>1114</v>
      </c>
      <c r="AA29" s="1728">
        <v>1025</v>
      </c>
      <c r="AB29" s="1728">
        <v>1194</v>
      </c>
      <c r="AC29" s="1728">
        <v>1230</v>
      </c>
      <c r="AD29" s="1728">
        <v>1639</v>
      </c>
      <c r="AE29" s="1728">
        <v>1746</v>
      </c>
      <c r="AF29" s="1728">
        <v>1926</v>
      </c>
      <c r="AG29" s="1570">
        <v>1830</v>
      </c>
      <c r="AH29" s="1570">
        <v>1815</v>
      </c>
      <c r="AI29" s="2010">
        <v>1858</v>
      </c>
      <c r="AJ29" s="2011">
        <v>1802</v>
      </c>
    </row>
    <row r="30" spans="1:36" x14ac:dyDescent="0.25">
      <c r="A30" s="402" t="s">
        <v>64</v>
      </c>
      <c r="B30" s="403" t="s">
        <v>470</v>
      </c>
      <c r="C30" s="410" t="s">
        <v>266</v>
      </c>
      <c r="D30" s="407">
        <v>0.19899999999999995</v>
      </c>
      <c r="E30" s="408">
        <v>0.18500000000000003</v>
      </c>
      <c r="F30" s="408">
        <v>0.20199999999999999</v>
      </c>
      <c r="G30" s="408">
        <v>0.222</v>
      </c>
      <c r="H30" s="408">
        <v>0.19800000000000001</v>
      </c>
      <c r="I30" s="408">
        <v>0.24600000000000002</v>
      </c>
      <c r="J30" s="408">
        <v>0.22399999999999998</v>
      </c>
      <c r="K30" s="408">
        <v>0.217</v>
      </c>
      <c r="L30" s="408">
        <v>0.22899999999999995</v>
      </c>
      <c r="M30" s="408">
        <v>0.24899999999999997</v>
      </c>
      <c r="N30" s="409">
        <v>0.26</v>
      </c>
      <c r="O30" s="409">
        <v>0.27100000000000002</v>
      </c>
      <c r="P30" s="409">
        <v>0.25800000000000001</v>
      </c>
      <c r="Q30" s="1731">
        <v>0.27826941986234022</v>
      </c>
      <c r="R30" s="2000">
        <v>0.29348358647721706</v>
      </c>
      <c r="S30" s="2005">
        <v>0.30792529025744575</v>
      </c>
      <c r="T30" s="1354"/>
      <c r="U30" s="1728">
        <v>422</v>
      </c>
      <c r="V30" s="1728">
        <v>395</v>
      </c>
      <c r="W30" s="1728">
        <v>445</v>
      </c>
      <c r="X30" s="1728">
        <v>479</v>
      </c>
      <c r="Y30" s="1728">
        <v>434</v>
      </c>
      <c r="Z30" s="1728">
        <v>532</v>
      </c>
      <c r="AA30" s="1728">
        <v>466</v>
      </c>
      <c r="AB30" s="1728">
        <v>473</v>
      </c>
      <c r="AC30" s="1728">
        <v>493</v>
      </c>
      <c r="AD30" s="1728">
        <v>529</v>
      </c>
      <c r="AE30" s="1728">
        <v>588</v>
      </c>
      <c r="AF30" s="1728">
        <v>598</v>
      </c>
      <c r="AG30" s="1570">
        <v>550</v>
      </c>
      <c r="AH30" s="1570">
        <v>566</v>
      </c>
      <c r="AI30" s="2010">
        <v>599</v>
      </c>
      <c r="AJ30" s="2011">
        <v>610</v>
      </c>
    </row>
    <row r="31" spans="1:36" x14ac:dyDescent="0.25">
      <c r="A31" s="402" t="s">
        <v>68</v>
      </c>
      <c r="B31" s="403" t="s">
        <v>471</v>
      </c>
      <c r="C31" s="410" t="s">
        <v>268</v>
      </c>
      <c r="D31" s="407">
        <v>0.26</v>
      </c>
      <c r="E31" s="408">
        <v>0.22699999999999998</v>
      </c>
      <c r="F31" s="408">
        <v>0.246</v>
      </c>
      <c r="G31" s="408">
        <v>0.27300000000000002</v>
      </c>
      <c r="H31" s="408">
        <v>0.24199999999999997</v>
      </c>
      <c r="I31" s="408">
        <v>0.3</v>
      </c>
      <c r="J31" s="408">
        <v>0.25600000000000001</v>
      </c>
      <c r="K31" s="408">
        <v>0.27899999999999997</v>
      </c>
      <c r="L31" s="408">
        <v>0.28999999999999998</v>
      </c>
      <c r="M31" s="408">
        <v>0.27</v>
      </c>
      <c r="N31" s="409">
        <v>0.26600000000000001</v>
      </c>
      <c r="O31" s="409">
        <v>0.26899999999999996</v>
      </c>
      <c r="P31" s="409">
        <v>0.26900000000000002</v>
      </c>
      <c r="Q31" s="1731">
        <v>0.27476340694006307</v>
      </c>
      <c r="R31" s="2000">
        <v>0.27092016672010261</v>
      </c>
      <c r="S31" s="2005">
        <v>0.33029315960912053</v>
      </c>
      <c r="T31" s="1354"/>
      <c r="U31" s="1728">
        <v>889</v>
      </c>
      <c r="V31" s="1728">
        <v>759</v>
      </c>
      <c r="W31" s="1728">
        <v>816</v>
      </c>
      <c r="X31" s="1728">
        <v>903</v>
      </c>
      <c r="Y31" s="1728">
        <v>803</v>
      </c>
      <c r="Z31" s="1728">
        <v>982</v>
      </c>
      <c r="AA31" s="1728">
        <v>808</v>
      </c>
      <c r="AB31" s="1728">
        <v>866</v>
      </c>
      <c r="AC31" s="1728">
        <v>901</v>
      </c>
      <c r="AD31" s="1728">
        <v>874</v>
      </c>
      <c r="AE31" s="1728">
        <v>874</v>
      </c>
      <c r="AF31" s="1728">
        <v>859</v>
      </c>
      <c r="AG31" s="1570">
        <v>860</v>
      </c>
      <c r="AH31" s="1570">
        <v>871</v>
      </c>
      <c r="AI31" s="2010">
        <v>845</v>
      </c>
      <c r="AJ31" s="2011">
        <v>1014</v>
      </c>
    </row>
    <row r="32" spans="1:36" x14ac:dyDescent="0.25">
      <c r="A32" s="402" t="s">
        <v>70</v>
      </c>
      <c r="B32" s="403" t="s">
        <v>472</v>
      </c>
      <c r="C32" s="410" t="s">
        <v>264</v>
      </c>
      <c r="D32" s="407">
        <v>0.129</v>
      </c>
      <c r="E32" s="408">
        <v>0.11199999999999999</v>
      </c>
      <c r="F32" s="408">
        <v>0.127</v>
      </c>
      <c r="G32" s="408">
        <v>0.151</v>
      </c>
      <c r="H32" s="408">
        <v>0.13499999999999998</v>
      </c>
      <c r="I32" s="408">
        <v>0.13900000000000001</v>
      </c>
      <c r="J32" s="408">
        <v>0.152</v>
      </c>
      <c r="K32" s="408">
        <v>0.14199999999999999</v>
      </c>
      <c r="L32" s="408">
        <v>0.14900000000000002</v>
      </c>
      <c r="M32" s="408">
        <v>0.151</v>
      </c>
      <c r="N32" s="409">
        <v>0.16600000000000001</v>
      </c>
      <c r="O32" s="409">
        <v>0.18899999999999997</v>
      </c>
      <c r="P32" s="409">
        <v>0.17199999999999999</v>
      </c>
      <c r="Q32" s="1731">
        <v>0.20202378838984555</v>
      </c>
      <c r="R32" s="2000">
        <v>0.17710389377355104</v>
      </c>
      <c r="S32" s="2005">
        <v>0.17527442864855139</v>
      </c>
      <c r="T32" s="1354"/>
      <c r="U32" s="1728">
        <v>739</v>
      </c>
      <c r="V32" s="1728">
        <v>635</v>
      </c>
      <c r="W32" s="1728">
        <v>727</v>
      </c>
      <c r="X32" s="1728">
        <v>863</v>
      </c>
      <c r="Y32" s="1728">
        <v>763</v>
      </c>
      <c r="Z32" s="1728">
        <v>779</v>
      </c>
      <c r="AA32" s="1728">
        <v>847</v>
      </c>
      <c r="AB32" s="1728">
        <v>805</v>
      </c>
      <c r="AC32" s="1728">
        <v>842</v>
      </c>
      <c r="AD32" s="1728">
        <v>871</v>
      </c>
      <c r="AE32" s="1728">
        <v>1043</v>
      </c>
      <c r="AF32" s="1728">
        <v>1141</v>
      </c>
      <c r="AG32" s="1570">
        <v>991</v>
      </c>
      <c r="AH32" s="1570">
        <v>1138</v>
      </c>
      <c r="AI32" s="2010">
        <v>987</v>
      </c>
      <c r="AJ32" s="2011">
        <v>974</v>
      </c>
    </row>
    <row r="33" spans="1:36" x14ac:dyDescent="0.25">
      <c r="A33" s="402" t="s">
        <v>72</v>
      </c>
      <c r="B33" s="403" t="s">
        <v>473</v>
      </c>
      <c r="C33" s="410" t="s">
        <v>266</v>
      </c>
      <c r="D33" s="407">
        <v>0.18300000000000002</v>
      </c>
      <c r="E33" s="408">
        <v>0.153</v>
      </c>
      <c r="F33" s="408">
        <v>0.188</v>
      </c>
      <c r="G33" s="408">
        <v>0.20599999999999999</v>
      </c>
      <c r="H33" s="408">
        <v>0.17799999999999999</v>
      </c>
      <c r="I33" s="408">
        <v>0.20799999999999999</v>
      </c>
      <c r="J33" s="408">
        <v>0.19299999999999998</v>
      </c>
      <c r="K33" s="408">
        <v>0.18500000000000003</v>
      </c>
      <c r="L33" s="408">
        <v>0.20499999999999999</v>
      </c>
      <c r="M33" s="408">
        <v>0.217</v>
      </c>
      <c r="N33" s="409">
        <v>0.23600000000000002</v>
      </c>
      <c r="O33" s="409">
        <v>0.247</v>
      </c>
      <c r="P33" s="409">
        <v>0.26</v>
      </c>
      <c r="Q33" s="1731">
        <v>0.26057906458797325</v>
      </c>
      <c r="R33" s="2000">
        <v>0.24559777571825764</v>
      </c>
      <c r="S33" s="2005">
        <v>0.26745283018867927</v>
      </c>
      <c r="T33" s="1354"/>
      <c r="U33" s="1728">
        <v>412</v>
      </c>
      <c r="V33" s="1728">
        <v>344</v>
      </c>
      <c r="W33" s="1728">
        <v>429</v>
      </c>
      <c r="X33" s="1728">
        <v>475</v>
      </c>
      <c r="Y33" s="1728">
        <v>401</v>
      </c>
      <c r="Z33" s="1728">
        <v>463</v>
      </c>
      <c r="AA33" s="1728">
        <v>431</v>
      </c>
      <c r="AB33" s="1728">
        <v>430</v>
      </c>
      <c r="AC33" s="1728">
        <v>472</v>
      </c>
      <c r="AD33" s="1728">
        <v>511</v>
      </c>
      <c r="AE33" s="1728">
        <v>562</v>
      </c>
      <c r="AF33" s="1728">
        <v>581</v>
      </c>
      <c r="AG33" s="1570">
        <v>608</v>
      </c>
      <c r="AH33" s="1570">
        <v>585</v>
      </c>
      <c r="AI33" s="2010">
        <v>530</v>
      </c>
      <c r="AJ33" s="2011">
        <v>567</v>
      </c>
    </row>
    <row r="34" spans="1:36" x14ac:dyDescent="0.25">
      <c r="A34" s="402" t="s">
        <v>74</v>
      </c>
      <c r="B34" s="403" t="s">
        <v>609</v>
      </c>
      <c r="C34" s="410" t="s">
        <v>267</v>
      </c>
      <c r="D34" s="407">
        <v>5.6980692580757518E-2</v>
      </c>
      <c r="E34" s="408">
        <v>5.4791857402856935E-2</v>
      </c>
      <c r="F34" s="408">
        <v>6.0754586948858096E-2</v>
      </c>
      <c r="G34" s="408">
        <v>6.8447406952050621E-2</v>
      </c>
      <c r="H34" s="408">
        <v>6.3557765840483643E-2</v>
      </c>
      <c r="I34" s="408">
        <v>6.3590983205997847E-2</v>
      </c>
      <c r="J34" s="408">
        <v>5.775728967223534E-2</v>
      </c>
      <c r="K34" s="408">
        <v>6.1628252698446059E-2</v>
      </c>
      <c r="L34" s="408">
        <v>6.3773625796764905E-2</v>
      </c>
      <c r="M34" s="408">
        <v>6.8738335644825926E-2</v>
      </c>
      <c r="N34" s="409">
        <v>7.2617408043070833E-2</v>
      </c>
      <c r="O34" s="409">
        <v>8.9207187298385601E-2</v>
      </c>
      <c r="P34" s="409">
        <v>7.8E-2</v>
      </c>
      <c r="Q34" s="1731">
        <v>7.6301450489454428E-2</v>
      </c>
      <c r="R34" s="2000">
        <v>8.5946163927815303E-2</v>
      </c>
      <c r="S34" s="2005">
        <v>7.4455229829706343E-2</v>
      </c>
      <c r="T34" s="1354"/>
      <c r="U34" s="1728">
        <v>14781</v>
      </c>
      <c r="V34" s="1728">
        <v>14104</v>
      </c>
      <c r="W34" s="1728">
        <v>15917</v>
      </c>
      <c r="X34" s="1728">
        <v>18019</v>
      </c>
      <c r="Y34" s="1728">
        <v>16697</v>
      </c>
      <c r="Z34" s="1728">
        <v>16645</v>
      </c>
      <c r="AA34" s="1728">
        <v>14925</v>
      </c>
      <c r="AB34" s="1728">
        <v>15368</v>
      </c>
      <c r="AC34" s="1728">
        <v>16089</v>
      </c>
      <c r="AD34" s="1728">
        <v>17979</v>
      </c>
      <c r="AE34" s="1728">
        <v>19599</v>
      </c>
      <c r="AF34" s="1728">
        <v>24059</v>
      </c>
      <c r="AG34" s="1570">
        <v>21279</v>
      </c>
      <c r="AH34" s="1570">
        <v>21131</v>
      </c>
      <c r="AI34" s="2010">
        <v>23870</v>
      </c>
      <c r="AJ34" s="2011">
        <v>20641</v>
      </c>
    </row>
    <row r="35" spans="1:36" x14ac:dyDescent="0.25">
      <c r="A35" s="402" t="s">
        <v>76</v>
      </c>
      <c r="B35" s="403" t="s">
        <v>474</v>
      </c>
      <c r="C35" s="410" t="s">
        <v>267</v>
      </c>
      <c r="D35" s="407">
        <v>6.5000000000000002E-2</v>
      </c>
      <c r="E35" s="408">
        <v>5.4000000000000006E-2</v>
      </c>
      <c r="F35" s="408">
        <v>6.0999999999999999E-2</v>
      </c>
      <c r="G35" s="408">
        <v>6.9999999999999993E-2</v>
      </c>
      <c r="H35" s="408">
        <v>6.4000000000000001E-2</v>
      </c>
      <c r="I35" s="408">
        <v>0.06</v>
      </c>
      <c r="J35" s="408">
        <v>5.9000000000000004E-2</v>
      </c>
      <c r="K35" s="408">
        <v>0.06</v>
      </c>
      <c r="L35" s="408">
        <v>7.2999999999999995E-2</v>
      </c>
      <c r="M35" s="408">
        <v>0.08</v>
      </c>
      <c r="N35" s="409">
        <v>9.0999999999999998E-2</v>
      </c>
      <c r="O35" s="409">
        <v>8.8000000000000009E-2</v>
      </c>
      <c r="P35" s="409">
        <v>8.5999999999999993E-2</v>
      </c>
      <c r="Q35" s="1731">
        <v>8.8117573483427136E-2</v>
      </c>
      <c r="R35" s="2000">
        <v>9.4386487829110785E-2</v>
      </c>
      <c r="S35" s="2005">
        <v>8.3208955223880596E-2</v>
      </c>
      <c r="T35" s="1354"/>
      <c r="U35" s="1728">
        <v>975</v>
      </c>
      <c r="V35" s="1728">
        <v>814</v>
      </c>
      <c r="W35" s="1728">
        <v>945</v>
      </c>
      <c r="X35" s="1728">
        <v>1101</v>
      </c>
      <c r="Y35" s="1728">
        <v>1017</v>
      </c>
      <c r="Z35" s="1728">
        <v>948</v>
      </c>
      <c r="AA35" s="1728">
        <v>917</v>
      </c>
      <c r="AB35" s="1728">
        <v>966</v>
      </c>
      <c r="AC35" s="1728">
        <v>1162</v>
      </c>
      <c r="AD35" s="1728">
        <v>1350</v>
      </c>
      <c r="AE35" s="1728">
        <v>1480</v>
      </c>
      <c r="AF35" s="1728">
        <v>1421</v>
      </c>
      <c r="AG35" s="1570">
        <v>1364</v>
      </c>
      <c r="AH35" s="1570">
        <v>1409</v>
      </c>
      <c r="AI35" s="2010">
        <v>1520</v>
      </c>
      <c r="AJ35" s="2011">
        <v>1338</v>
      </c>
    </row>
    <row r="36" spans="1:36" x14ac:dyDescent="0.25">
      <c r="A36" s="402" t="s">
        <v>78</v>
      </c>
      <c r="B36" s="403" t="s">
        <v>475</v>
      </c>
      <c r="C36" s="410" t="s">
        <v>268</v>
      </c>
      <c r="D36" s="407">
        <v>0.14499999999999999</v>
      </c>
      <c r="E36" s="408">
        <v>0.13</v>
      </c>
      <c r="F36" s="408">
        <v>0.14800000000000002</v>
      </c>
      <c r="G36" s="408">
        <v>0.16</v>
      </c>
      <c r="H36" s="408">
        <v>0.14199999999999999</v>
      </c>
      <c r="I36" s="408">
        <v>0.16</v>
      </c>
      <c r="J36" s="408">
        <v>0.187</v>
      </c>
      <c r="K36" s="408">
        <v>0.16</v>
      </c>
      <c r="L36" s="408">
        <v>0.16699999999999998</v>
      </c>
      <c r="M36" s="408">
        <v>0.192</v>
      </c>
      <c r="N36" s="409">
        <v>0.19600000000000001</v>
      </c>
      <c r="O36" s="409">
        <v>0.20899999999999999</v>
      </c>
      <c r="P36" s="409">
        <v>0.20100000000000001</v>
      </c>
      <c r="Q36" s="1731">
        <v>0.21148989898989898</v>
      </c>
      <c r="R36" s="2000">
        <v>0.19955513187162377</v>
      </c>
      <c r="S36" s="2005">
        <v>0.18199052132701421</v>
      </c>
      <c r="T36" s="1354"/>
      <c r="U36" s="1728">
        <v>442</v>
      </c>
      <c r="V36" s="1728">
        <v>397</v>
      </c>
      <c r="W36" s="1728">
        <v>451</v>
      </c>
      <c r="X36" s="1728">
        <v>493</v>
      </c>
      <c r="Y36" s="1728">
        <v>443</v>
      </c>
      <c r="Z36" s="1728">
        <v>492</v>
      </c>
      <c r="AA36" s="1728">
        <v>568</v>
      </c>
      <c r="AB36" s="1728">
        <v>487</v>
      </c>
      <c r="AC36" s="1728">
        <v>511</v>
      </c>
      <c r="AD36" s="1728">
        <v>591</v>
      </c>
      <c r="AE36" s="1728">
        <v>650</v>
      </c>
      <c r="AF36" s="1728">
        <v>682</v>
      </c>
      <c r="AG36" s="1570">
        <v>643</v>
      </c>
      <c r="AH36" s="1570">
        <v>670</v>
      </c>
      <c r="AI36" s="2010">
        <v>628</v>
      </c>
      <c r="AJ36" s="2011">
        <v>576</v>
      </c>
    </row>
    <row r="37" spans="1:36" x14ac:dyDescent="0.25">
      <c r="A37" s="402" t="s">
        <v>80</v>
      </c>
      <c r="B37" s="403" t="s">
        <v>476</v>
      </c>
      <c r="C37" s="410" t="s">
        <v>266</v>
      </c>
      <c r="D37" s="407">
        <v>0.09</v>
      </c>
      <c r="E37" s="408">
        <v>7.0000000000000007E-2</v>
      </c>
      <c r="F37" s="408">
        <v>7.8E-2</v>
      </c>
      <c r="G37" s="408">
        <v>8.4000000000000005E-2</v>
      </c>
      <c r="H37" s="408">
        <v>7.4999999999999997E-2</v>
      </c>
      <c r="I37" s="408">
        <v>0.109</v>
      </c>
      <c r="J37" s="408">
        <v>7.6999999999999999E-2</v>
      </c>
      <c r="K37" s="408">
        <v>7.9000000000000001E-2</v>
      </c>
      <c r="L37" s="408">
        <v>8.3000000000000004E-2</v>
      </c>
      <c r="M37" s="408">
        <v>9.0999999999999998E-2</v>
      </c>
      <c r="N37" s="409">
        <v>9.1999999999999985E-2</v>
      </c>
      <c r="O37" s="409">
        <v>0.10199999999999999</v>
      </c>
      <c r="P37" s="409">
        <v>0.108</v>
      </c>
      <c r="Q37" s="1731">
        <v>0.10471392587261605</v>
      </c>
      <c r="R37" s="2000">
        <v>0.10674465362822153</v>
      </c>
      <c r="S37" s="2005">
        <v>0.1036653091447612</v>
      </c>
      <c r="T37" s="1354"/>
      <c r="U37" s="1728">
        <v>438</v>
      </c>
      <c r="V37" s="1728">
        <v>356</v>
      </c>
      <c r="W37" s="1728">
        <v>412</v>
      </c>
      <c r="X37" s="1728">
        <v>465</v>
      </c>
      <c r="Y37" s="1728">
        <v>427</v>
      </c>
      <c r="Z37" s="1728">
        <v>615</v>
      </c>
      <c r="AA37" s="1728">
        <v>435</v>
      </c>
      <c r="AB37" s="1728">
        <v>468</v>
      </c>
      <c r="AC37" s="1728">
        <v>491</v>
      </c>
      <c r="AD37" s="1728">
        <v>525</v>
      </c>
      <c r="AE37" s="1728">
        <v>540</v>
      </c>
      <c r="AF37" s="1728">
        <v>589</v>
      </c>
      <c r="AG37" s="1570">
        <v>614</v>
      </c>
      <c r="AH37" s="1570">
        <v>582</v>
      </c>
      <c r="AI37" s="2010">
        <v>584</v>
      </c>
      <c r="AJ37" s="2011">
        <v>560</v>
      </c>
    </row>
    <row r="38" spans="1:36" x14ac:dyDescent="0.25">
      <c r="A38" s="402" t="s">
        <v>84</v>
      </c>
      <c r="B38" s="403" t="s">
        <v>85</v>
      </c>
      <c r="C38" s="410" t="s">
        <v>265</v>
      </c>
      <c r="D38" s="407">
        <v>0.14800000000000002</v>
      </c>
      <c r="E38" s="408">
        <v>0.14300000000000002</v>
      </c>
      <c r="F38" s="408">
        <v>0.16999999999999998</v>
      </c>
      <c r="G38" s="408">
        <v>0.18</v>
      </c>
      <c r="H38" s="408">
        <v>0.154</v>
      </c>
      <c r="I38" s="408">
        <v>0.161</v>
      </c>
      <c r="J38" s="408">
        <v>0.159</v>
      </c>
      <c r="K38" s="408">
        <v>0.17300000000000001</v>
      </c>
      <c r="L38" s="408">
        <v>0.18699999999999997</v>
      </c>
      <c r="M38" s="408">
        <v>0.21699999999999997</v>
      </c>
      <c r="N38" s="409">
        <v>0.21600000000000003</v>
      </c>
      <c r="O38" s="409">
        <v>0.217</v>
      </c>
      <c r="P38" s="409">
        <v>0.21</v>
      </c>
      <c r="Q38" s="1731">
        <v>0.22638749199963426</v>
      </c>
      <c r="R38" s="2000">
        <v>0.23911452616172704</v>
      </c>
      <c r="S38" s="2005">
        <v>0.19117921883760045</v>
      </c>
      <c r="T38" s="1354"/>
      <c r="U38" s="1728">
        <v>1545</v>
      </c>
      <c r="V38" s="1728">
        <v>1497</v>
      </c>
      <c r="W38" s="1728">
        <v>1809</v>
      </c>
      <c r="X38" s="1728">
        <v>1906</v>
      </c>
      <c r="Y38" s="1728">
        <v>1633</v>
      </c>
      <c r="Z38" s="1728">
        <v>1690</v>
      </c>
      <c r="AA38" s="1728">
        <v>1647</v>
      </c>
      <c r="AB38" s="1728">
        <v>1818</v>
      </c>
      <c r="AC38" s="1728">
        <v>1945</v>
      </c>
      <c r="AD38" s="1728">
        <v>2267</v>
      </c>
      <c r="AE38" s="1728">
        <v>2478</v>
      </c>
      <c r="AF38" s="1728">
        <v>2460</v>
      </c>
      <c r="AG38" s="1570">
        <v>2332</v>
      </c>
      <c r="AH38" s="1570">
        <v>2476</v>
      </c>
      <c r="AI38" s="2010">
        <v>2614</v>
      </c>
      <c r="AJ38" s="2011">
        <v>2046</v>
      </c>
    </row>
    <row r="39" spans="1:36" x14ac:dyDescent="0.25">
      <c r="A39" s="402" t="s">
        <v>86</v>
      </c>
      <c r="B39" s="403" t="s">
        <v>477</v>
      </c>
      <c r="C39" s="410" t="s">
        <v>267</v>
      </c>
      <c r="D39" s="407">
        <v>8.4000000000000005E-2</v>
      </c>
      <c r="E39" s="408">
        <v>7.4999999999999997E-2</v>
      </c>
      <c r="F39" s="408">
        <v>8.1000000000000003E-2</v>
      </c>
      <c r="G39" s="408">
        <v>9.1999999999999998E-2</v>
      </c>
      <c r="H39" s="408">
        <v>0.08</v>
      </c>
      <c r="I39" s="408">
        <v>7.9000000000000015E-2</v>
      </c>
      <c r="J39" s="408">
        <v>8.3000000000000004E-2</v>
      </c>
      <c r="K39" s="408">
        <v>8.8000000000000009E-2</v>
      </c>
      <c r="L39" s="408">
        <v>9.8000000000000004E-2</v>
      </c>
      <c r="M39" s="408">
        <v>0.11800000000000001</v>
      </c>
      <c r="N39" s="409">
        <v>0.10999999999999999</v>
      </c>
      <c r="O39" s="409">
        <v>0.124</v>
      </c>
      <c r="P39" s="409">
        <v>0.12</v>
      </c>
      <c r="Q39" s="1731">
        <v>0.11627662371811727</v>
      </c>
      <c r="R39" s="2000">
        <v>0.11542899097965177</v>
      </c>
      <c r="S39" s="2005">
        <v>0.10672890334085068</v>
      </c>
      <c r="T39" s="1354"/>
      <c r="U39" s="1728">
        <v>1306</v>
      </c>
      <c r="V39" s="1728">
        <v>1168</v>
      </c>
      <c r="W39" s="1728">
        <v>1295</v>
      </c>
      <c r="X39" s="1728">
        <v>1490</v>
      </c>
      <c r="Y39" s="1728">
        <v>1347</v>
      </c>
      <c r="Z39" s="1728">
        <v>1314</v>
      </c>
      <c r="AA39" s="1728">
        <v>1385</v>
      </c>
      <c r="AB39" s="1728">
        <v>1559</v>
      </c>
      <c r="AC39" s="1728">
        <v>1733</v>
      </c>
      <c r="AD39" s="1728">
        <v>2218</v>
      </c>
      <c r="AE39" s="1728">
        <v>2140</v>
      </c>
      <c r="AF39" s="1728">
        <v>2396</v>
      </c>
      <c r="AG39" s="1570">
        <v>2303</v>
      </c>
      <c r="AH39" s="1570">
        <v>2211</v>
      </c>
      <c r="AI39" s="2010">
        <v>2201</v>
      </c>
      <c r="AJ39" s="2011">
        <v>2035</v>
      </c>
    </row>
    <row r="40" spans="1:36" x14ac:dyDescent="0.25">
      <c r="A40" s="402" t="s">
        <v>92</v>
      </c>
      <c r="B40" s="403" t="s">
        <v>478</v>
      </c>
      <c r="C40" s="410" t="s">
        <v>268</v>
      </c>
      <c r="D40" s="407">
        <v>0.13300000000000001</v>
      </c>
      <c r="E40" s="408">
        <v>0.125</v>
      </c>
      <c r="F40" s="408">
        <v>0.14799999999999999</v>
      </c>
      <c r="G40" s="408">
        <v>0.16499999999999998</v>
      </c>
      <c r="H40" s="408">
        <v>0.14000000000000001</v>
      </c>
      <c r="I40" s="408">
        <v>0.16300000000000001</v>
      </c>
      <c r="J40" s="408">
        <v>0.153</v>
      </c>
      <c r="K40" s="408">
        <v>0.14400000000000002</v>
      </c>
      <c r="L40" s="408">
        <v>0.16699999999999998</v>
      </c>
      <c r="M40" s="408">
        <v>0.18300000000000002</v>
      </c>
      <c r="N40" s="409">
        <v>0.18899999999999997</v>
      </c>
      <c r="O40" s="409">
        <v>0.191</v>
      </c>
      <c r="P40" s="409">
        <v>0.17699999999999999</v>
      </c>
      <c r="Q40" s="1731">
        <v>0.17842799770510614</v>
      </c>
      <c r="R40" s="2000">
        <v>0.18221574344023322</v>
      </c>
      <c r="S40" s="2005">
        <v>0.17620751341681573</v>
      </c>
      <c r="T40" s="1354"/>
      <c r="U40" s="1728">
        <v>492</v>
      </c>
      <c r="V40" s="1728">
        <v>455</v>
      </c>
      <c r="W40" s="1728">
        <v>550</v>
      </c>
      <c r="X40" s="1728">
        <v>615</v>
      </c>
      <c r="Y40" s="1728">
        <v>525</v>
      </c>
      <c r="Z40" s="1728">
        <v>600</v>
      </c>
      <c r="AA40" s="1728">
        <v>561</v>
      </c>
      <c r="AB40" s="1728">
        <v>524</v>
      </c>
      <c r="AC40" s="1728">
        <v>597</v>
      </c>
      <c r="AD40" s="1728">
        <v>675</v>
      </c>
      <c r="AE40" s="1728">
        <v>696</v>
      </c>
      <c r="AF40" s="1728">
        <v>677</v>
      </c>
      <c r="AG40" s="1570">
        <v>613</v>
      </c>
      <c r="AH40" s="1570">
        <v>622</v>
      </c>
      <c r="AI40" s="2010">
        <v>625</v>
      </c>
      <c r="AJ40" s="2011">
        <v>591</v>
      </c>
    </row>
    <row r="41" spans="1:36" x14ac:dyDescent="0.25">
      <c r="A41" s="402" t="s">
        <v>94</v>
      </c>
      <c r="B41" s="403" t="s">
        <v>479</v>
      </c>
      <c r="C41" s="410" t="s">
        <v>264</v>
      </c>
      <c r="D41" s="407">
        <v>0.11900000000000001</v>
      </c>
      <c r="E41" s="408">
        <v>0.10400000000000001</v>
      </c>
      <c r="F41" s="408">
        <v>0.11899999999999999</v>
      </c>
      <c r="G41" s="408">
        <v>0.129</v>
      </c>
      <c r="H41" s="408">
        <v>0.11700000000000001</v>
      </c>
      <c r="I41" s="408">
        <v>0.126</v>
      </c>
      <c r="J41" s="408">
        <v>0.125</v>
      </c>
      <c r="K41" s="408">
        <v>0.12000000000000001</v>
      </c>
      <c r="L41" s="408">
        <v>0.13300000000000001</v>
      </c>
      <c r="M41" s="408">
        <v>0.13499999999999998</v>
      </c>
      <c r="N41" s="409">
        <v>0.14099999999999999</v>
      </c>
      <c r="O41" s="409">
        <v>0.151</v>
      </c>
      <c r="P41" s="409">
        <v>0.151</v>
      </c>
      <c r="Q41" s="1731">
        <v>0.16014570966001079</v>
      </c>
      <c r="R41" s="2000">
        <v>0.15231345279486494</v>
      </c>
      <c r="S41" s="2005">
        <v>0.14701542588866531</v>
      </c>
      <c r="T41" s="1354"/>
      <c r="U41" s="1728">
        <v>1069</v>
      </c>
      <c r="V41" s="1728">
        <v>919</v>
      </c>
      <c r="W41" s="1728">
        <v>1073</v>
      </c>
      <c r="X41" s="1728">
        <v>1136</v>
      </c>
      <c r="Y41" s="1728">
        <v>1032</v>
      </c>
      <c r="Z41" s="1728">
        <v>1093</v>
      </c>
      <c r="AA41" s="1728">
        <v>1066</v>
      </c>
      <c r="AB41" s="1728">
        <v>1028</v>
      </c>
      <c r="AC41" s="1728">
        <v>1118</v>
      </c>
      <c r="AD41" s="1728">
        <v>1156</v>
      </c>
      <c r="AE41" s="1728">
        <v>1134</v>
      </c>
      <c r="AF41" s="1728">
        <v>1175</v>
      </c>
      <c r="AG41" s="1570">
        <v>1154</v>
      </c>
      <c r="AH41" s="1570">
        <v>1187</v>
      </c>
      <c r="AI41" s="2010">
        <v>1139</v>
      </c>
      <c r="AJ41" s="2011">
        <v>1096</v>
      </c>
    </row>
    <row r="42" spans="1:36" x14ac:dyDescent="0.25">
      <c r="A42" s="402" t="s">
        <v>96</v>
      </c>
      <c r="B42" s="403" t="s">
        <v>480</v>
      </c>
      <c r="C42" s="410" t="s">
        <v>266</v>
      </c>
      <c r="D42" s="407">
        <v>8.6999999999999994E-2</v>
      </c>
      <c r="E42" s="408">
        <v>6.8000000000000005E-2</v>
      </c>
      <c r="F42" s="408">
        <v>7.8E-2</v>
      </c>
      <c r="G42" s="408">
        <v>9.0999999999999998E-2</v>
      </c>
      <c r="H42" s="408">
        <v>0.08</v>
      </c>
      <c r="I42" s="408">
        <v>7.9000000000000001E-2</v>
      </c>
      <c r="J42" s="408">
        <v>7.4999999999999997E-2</v>
      </c>
      <c r="K42" s="408">
        <v>6.9999999999999993E-2</v>
      </c>
      <c r="L42" s="408">
        <v>7.4999999999999997E-2</v>
      </c>
      <c r="M42" s="408">
        <v>8.8000000000000009E-2</v>
      </c>
      <c r="N42" s="409">
        <v>9.8000000000000004E-2</v>
      </c>
      <c r="O42" s="409">
        <v>0.10400000000000001</v>
      </c>
      <c r="P42" s="409">
        <v>9.2999999999999999E-2</v>
      </c>
      <c r="Q42" s="1731">
        <v>9.4548133595284869E-2</v>
      </c>
      <c r="R42" s="2000">
        <v>0.10357403355215171</v>
      </c>
      <c r="S42" s="2005">
        <v>9.837278106508876E-2</v>
      </c>
      <c r="T42" s="1354"/>
      <c r="U42" s="1728">
        <v>304</v>
      </c>
      <c r="V42" s="1728">
        <v>243</v>
      </c>
      <c r="W42" s="1728">
        <v>293</v>
      </c>
      <c r="X42" s="1728">
        <v>349</v>
      </c>
      <c r="Y42" s="1728">
        <v>309</v>
      </c>
      <c r="Z42" s="1728">
        <v>301</v>
      </c>
      <c r="AA42" s="1728">
        <v>291</v>
      </c>
      <c r="AB42" s="1728">
        <v>292</v>
      </c>
      <c r="AC42" s="1728">
        <v>314</v>
      </c>
      <c r="AD42" s="1728">
        <v>361</v>
      </c>
      <c r="AE42" s="1728">
        <v>423</v>
      </c>
      <c r="AF42" s="1728">
        <v>437</v>
      </c>
      <c r="AG42" s="1570">
        <v>382</v>
      </c>
      <c r="AH42" s="1570">
        <v>385</v>
      </c>
      <c r="AI42" s="2010">
        <v>426</v>
      </c>
      <c r="AJ42" s="2011">
        <v>399</v>
      </c>
    </row>
    <row r="43" spans="1:36" x14ac:dyDescent="0.25">
      <c r="A43" s="402" t="s">
        <v>98</v>
      </c>
      <c r="B43" s="403" t="s">
        <v>481</v>
      </c>
      <c r="C43" s="410" t="s">
        <v>268</v>
      </c>
      <c r="D43" s="407">
        <v>0.19900000000000001</v>
      </c>
      <c r="E43" s="408">
        <v>0.19</v>
      </c>
      <c r="F43" s="408">
        <v>0.217</v>
      </c>
      <c r="G43" s="408">
        <v>0.24100000000000002</v>
      </c>
      <c r="H43" s="408">
        <v>0.20699999999999999</v>
      </c>
      <c r="I43" s="408">
        <v>0.255</v>
      </c>
      <c r="J43" s="408">
        <v>0.23299999999999998</v>
      </c>
      <c r="K43" s="408">
        <v>0.23199999999999998</v>
      </c>
      <c r="L43" s="408">
        <v>0.25700000000000001</v>
      </c>
      <c r="M43" s="408">
        <v>0.25600000000000001</v>
      </c>
      <c r="N43" s="409">
        <v>0.27400000000000002</v>
      </c>
      <c r="O43" s="409">
        <v>0.28999999999999998</v>
      </c>
      <c r="P43" s="409">
        <v>0.27</v>
      </c>
      <c r="Q43" s="1731">
        <v>0.29069767441860467</v>
      </c>
      <c r="R43" s="2000">
        <v>0.29037092544023979</v>
      </c>
      <c r="S43" s="2005">
        <v>0.29437545653761871</v>
      </c>
      <c r="T43" s="1354"/>
      <c r="U43" s="1728">
        <v>672</v>
      </c>
      <c r="V43" s="1728">
        <v>629</v>
      </c>
      <c r="W43" s="1728">
        <v>718</v>
      </c>
      <c r="X43" s="1728">
        <v>794</v>
      </c>
      <c r="Y43" s="1728">
        <v>668</v>
      </c>
      <c r="Z43" s="1728">
        <v>812</v>
      </c>
      <c r="AA43" s="1728">
        <v>716</v>
      </c>
      <c r="AB43" s="1728">
        <v>694</v>
      </c>
      <c r="AC43" s="1728">
        <v>752</v>
      </c>
      <c r="AD43" s="1728">
        <v>739</v>
      </c>
      <c r="AE43" s="1728">
        <v>796</v>
      </c>
      <c r="AF43" s="1728">
        <v>816</v>
      </c>
      <c r="AG43" s="1570">
        <v>735</v>
      </c>
      <c r="AH43" s="1570">
        <v>775</v>
      </c>
      <c r="AI43" s="2010">
        <v>775</v>
      </c>
      <c r="AJ43" s="2011">
        <v>806</v>
      </c>
    </row>
    <row r="44" spans="1:36" x14ac:dyDescent="0.25">
      <c r="A44" s="402" t="s">
        <v>100</v>
      </c>
      <c r="B44" s="403" t="s">
        <v>482</v>
      </c>
      <c r="C44" s="410" t="s">
        <v>267</v>
      </c>
      <c r="D44" s="407">
        <v>9.5999999999999988E-2</v>
      </c>
      <c r="E44" s="408">
        <v>8.7000000000000008E-2</v>
      </c>
      <c r="F44" s="408">
        <v>9.9000000000000005E-2</v>
      </c>
      <c r="G44" s="408">
        <v>0.10900000000000001</v>
      </c>
      <c r="H44" s="408">
        <v>0.10099999999999999</v>
      </c>
      <c r="I44" s="408">
        <v>0.11099999999999999</v>
      </c>
      <c r="J44" s="408">
        <v>0.10300000000000001</v>
      </c>
      <c r="K44" s="408">
        <v>0.10100000000000001</v>
      </c>
      <c r="L44" s="408">
        <v>0.109</v>
      </c>
      <c r="M44" s="408">
        <v>0.12099999999999998</v>
      </c>
      <c r="N44" s="409">
        <v>0.13300000000000001</v>
      </c>
      <c r="O44" s="409">
        <v>0.13900000000000001</v>
      </c>
      <c r="P44" s="409">
        <v>0.13600000000000001</v>
      </c>
      <c r="Q44" s="1731">
        <v>0.1660746003552398</v>
      </c>
      <c r="R44" s="2000">
        <v>0.13803680981595093</v>
      </c>
      <c r="S44" s="2005">
        <v>0.13877281724213766</v>
      </c>
      <c r="T44" s="1354"/>
      <c r="U44" s="1728">
        <v>409</v>
      </c>
      <c r="V44" s="1728">
        <v>383</v>
      </c>
      <c r="W44" s="1728">
        <v>454</v>
      </c>
      <c r="X44" s="1728">
        <v>505</v>
      </c>
      <c r="Y44" s="1728">
        <v>475</v>
      </c>
      <c r="Z44" s="1728">
        <v>518</v>
      </c>
      <c r="AA44" s="1728">
        <v>476</v>
      </c>
      <c r="AB44" s="1728">
        <v>473</v>
      </c>
      <c r="AC44" s="1728">
        <v>507</v>
      </c>
      <c r="AD44" s="1728">
        <v>559</v>
      </c>
      <c r="AE44" s="1728">
        <v>607</v>
      </c>
      <c r="AF44" s="1728">
        <v>639</v>
      </c>
      <c r="AG44" s="1570">
        <v>616</v>
      </c>
      <c r="AH44" s="1570">
        <v>748</v>
      </c>
      <c r="AI44" s="2010">
        <v>630</v>
      </c>
      <c r="AJ44" s="2011">
        <v>631</v>
      </c>
    </row>
    <row r="45" spans="1:36" x14ac:dyDescent="0.25">
      <c r="A45" s="402" t="s">
        <v>102</v>
      </c>
      <c r="B45" s="403" t="s">
        <v>752</v>
      </c>
      <c r="C45" s="410" t="s">
        <v>264</v>
      </c>
      <c r="D45" s="407">
        <v>0.20724231754161332</v>
      </c>
      <c r="E45" s="408">
        <v>0.19890120481927712</v>
      </c>
      <c r="F45" s="408">
        <v>0.20426443081771778</v>
      </c>
      <c r="G45" s="408">
        <v>0.21502171135061685</v>
      </c>
      <c r="H45" s="408">
        <v>0.19648156474820144</v>
      </c>
      <c r="I45" s="408">
        <v>0.23248045054375974</v>
      </c>
      <c r="J45" s="408">
        <v>0.23066181801881558</v>
      </c>
      <c r="K45" s="408">
        <v>0.22627145085803432</v>
      </c>
      <c r="L45" s="408">
        <v>0.25454693004130152</v>
      </c>
      <c r="M45" s="408">
        <v>0.27317842460121688</v>
      </c>
      <c r="N45" s="409">
        <v>0.28265350547965773</v>
      </c>
      <c r="O45" s="409">
        <v>0.29271916790490343</v>
      </c>
      <c r="P45" s="409">
        <v>0.29899999999999999</v>
      </c>
      <c r="Q45" s="1731">
        <v>0.33878292461398729</v>
      </c>
      <c r="R45" s="2000">
        <v>0.3291526460691343</v>
      </c>
      <c r="S45" s="2005">
        <v>0.32730109204368174</v>
      </c>
      <c r="T45" s="1354"/>
      <c r="U45" s="1728">
        <v>705</v>
      </c>
      <c r="V45" s="1728">
        <v>670</v>
      </c>
      <c r="W45" s="1728">
        <v>695</v>
      </c>
      <c r="X45" s="1728">
        <v>731</v>
      </c>
      <c r="Y45" s="1728">
        <v>660</v>
      </c>
      <c r="Z45" s="1728">
        <v>773</v>
      </c>
      <c r="AA45" s="1728">
        <v>752</v>
      </c>
      <c r="AB45" s="1728">
        <v>740</v>
      </c>
      <c r="AC45" s="1728">
        <v>830</v>
      </c>
      <c r="AD45" s="1728">
        <v>938</v>
      </c>
      <c r="AE45" s="1728">
        <v>973</v>
      </c>
      <c r="AF45" s="1728">
        <v>985</v>
      </c>
      <c r="AG45" s="1570">
        <v>992</v>
      </c>
      <c r="AH45" s="1570">
        <v>1119</v>
      </c>
      <c r="AI45" s="2010">
        <v>1076</v>
      </c>
      <c r="AJ45" s="2011">
        <v>1049</v>
      </c>
    </row>
    <row r="46" spans="1:36" x14ac:dyDescent="0.25">
      <c r="A46" s="402" t="s">
        <v>104</v>
      </c>
      <c r="B46" s="403" t="s">
        <v>753</v>
      </c>
      <c r="C46" s="410" t="s">
        <v>265</v>
      </c>
      <c r="D46" s="407">
        <v>0.19500000000000001</v>
      </c>
      <c r="E46" s="408">
        <v>0.191</v>
      </c>
      <c r="F46" s="408">
        <v>0.22399999999999998</v>
      </c>
      <c r="G46" s="408">
        <v>0.24000000000000002</v>
      </c>
      <c r="H46" s="408">
        <v>0.21000000000000002</v>
      </c>
      <c r="I46" s="408">
        <v>0.21100000000000002</v>
      </c>
      <c r="J46" s="408">
        <v>0.24299999999999999</v>
      </c>
      <c r="K46" s="408">
        <v>0.22100000000000003</v>
      </c>
      <c r="L46" s="408">
        <v>0.23399999999999999</v>
      </c>
      <c r="M46" s="408">
        <v>0.27800000000000002</v>
      </c>
      <c r="N46" s="409">
        <v>0.28299999999999997</v>
      </c>
      <c r="O46" s="409">
        <v>0.26200000000000001</v>
      </c>
      <c r="P46" s="409">
        <v>0.28699999999999998</v>
      </c>
      <c r="Q46" s="1731">
        <v>0.28868518265152554</v>
      </c>
      <c r="R46" s="2000">
        <v>0.25322245322245324</v>
      </c>
      <c r="S46" s="2005">
        <v>0.25613154960981049</v>
      </c>
      <c r="T46" s="1354"/>
      <c r="U46" s="1728">
        <v>1650</v>
      </c>
      <c r="V46" s="1728">
        <v>1584</v>
      </c>
      <c r="W46" s="1728">
        <v>1864</v>
      </c>
      <c r="X46" s="1728">
        <v>1972</v>
      </c>
      <c r="Y46" s="1728">
        <v>1734</v>
      </c>
      <c r="Z46" s="1728">
        <v>1721</v>
      </c>
      <c r="AA46" s="1728">
        <v>1915</v>
      </c>
      <c r="AB46" s="1728">
        <v>1706</v>
      </c>
      <c r="AC46" s="1728">
        <v>1764</v>
      </c>
      <c r="AD46" s="1728">
        <v>2128</v>
      </c>
      <c r="AE46" s="1728">
        <v>2225</v>
      </c>
      <c r="AF46" s="1728">
        <v>2028</v>
      </c>
      <c r="AG46" s="1570">
        <v>2170</v>
      </c>
      <c r="AH46" s="1570">
        <v>2110</v>
      </c>
      <c r="AI46" s="2010">
        <v>1827</v>
      </c>
      <c r="AJ46" s="2011">
        <v>1838</v>
      </c>
    </row>
    <row r="47" spans="1:36" x14ac:dyDescent="0.25">
      <c r="A47" s="402" t="s">
        <v>108</v>
      </c>
      <c r="B47" s="403" t="s">
        <v>483</v>
      </c>
      <c r="C47" s="410" t="s">
        <v>266</v>
      </c>
      <c r="D47" s="407">
        <v>4.5999999999999999E-2</v>
      </c>
      <c r="E47" s="408">
        <v>0.04</v>
      </c>
      <c r="F47" s="408">
        <v>0.05</v>
      </c>
      <c r="G47" s="408">
        <v>5.9000000000000004E-2</v>
      </c>
      <c r="H47" s="408">
        <v>5.5999999999999994E-2</v>
      </c>
      <c r="I47" s="408">
        <v>5.5000000000000007E-2</v>
      </c>
      <c r="J47" s="408">
        <v>5.0999999999999997E-2</v>
      </c>
      <c r="K47" s="408">
        <v>5.5999999999999994E-2</v>
      </c>
      <c r="L47" s="408">
        <v>5.5E-2</v>
      </c>
      <c r="M47" s="408">
        <v>6.0999999999999992E-2</v>
      </c>
      <c r="N47" s="409">
        <v>6.4000000000000001E-2</v>
      </c>
      <c r="O47" s="409">
        <v>7.2999999999999995E-2</v>
      </c>
      <c r="P47" s="409">
        <v>7.4999999999999997E-2</v>
      </c>
      <c r="Q47" s="1731">
        <v>6.7997075394606685E-2</v>
      </c>
      <c r="R47" s="2000">
        <v>7.851149850019562E-2</v>
      </c>
      <c r="S47" s="2005">
        <v>7.1185405027932955E-2</v>
      </c>
      <c r="T47" s="1354"/>
      <c r="U47" s="1728">
        <v>1074</v>
      </c>
      <c r="V47" s="1728">
        <v>943</v>
      </c>
      <c r="W47" s="1728">
        <v>1198</v>
      </c>
      <c r="X47" s="1728">
        <v>1391</v>
      </c>
      <c r="Y47" s="1728">
        <v>1329</v>
      </c>
      <c r="Z47" s="1728">
        <v>1286</v>
      </c>
      <c r="AA47" s="1728">
        <v>1196</v>
      </c>
      <c r="AB47" s="1728">
        <v>1308</v>
      </c>
      <c r="AC47" s="1728">
        <v>1274</v>
      </c>
      <c r="AD47" s="1728">
        <v>1494</v>
      </c>
      <c r="AE47" s="1728">
        <v>1582</v>
      </c>
      <c r="AF47" s="1728">
        <v>1764</v>
      </c>
      <c r="AG47" s="1570">
        <v>1746</v>
      </c>
      <c r="AH47" s="1570">
        <v>1581</v>
      </c>
      <c r="AI47" s="2010">
        <v>1806</v>
      </c>
      <c r="AJ47" s="2011">
        <v>1631</v>
      </c>
    </row>
    <row r="48" spans="1:36" x14ac:dyDescent="0.25">
      <c r="A48" s="402" t="s">
        <v>110</v>
      </c>
      <c r="B48" s="403" t="s">
        <v>484</v>
      </c>
      <c r="C48" s="410" t="s">
        <v>266</v>
      </c>
      <c r="D48" s="407">
        <v>8.5000000000000006E-2</v>
      </c>
      <c r="E48" s="408">
        <v>0.08</v>
      </c>
      <c r="F48" s="408">
        <v>9.0999999999999998E-2</v>
      </c>
      <c r="G48" s="408">
        <v>0.10400000000000001</v>
      </c>
      <c r="H48" s="408">
        <v>9.5999999999999988E-2</v>
      </c>
      <c r="I48" s="408">
        <v>0.10299999999999999</v>
      </c>
      <c r="J48" s="408">
        <v>0.10200000000000001</v>
      </c>
      <c r="K48" s="408">
        <v>0.11800000000000001</v>
      </c>
      <c r="L48" s="408">
        <v>0.115</v>
      </c>
      <c r="M48" s="408">
        <v>0.12699999999999997</v>
      </c>
      <c r="N48" s="409">
        <v>0.13400000000000001</v>
      </c>
      <c r="O48" s="409">
        <v>0.14899999999999999</v>
      </c>
      <c r="P48" s="409">
        <v>0.13600000000000001</v>
      </c>
      <c r="Q48" s="1731">
        <v>0.14602973657275226</v>
      </c>
      <c r="R48" s="2000">
        <v>0.17245258759241403</v>
      </c>
      <c r="S48" s="2005">
        <v>0.13011650823870111</v>
      </c>
      <c r="T48" s="1354"/>
      <c r="U48" s="1728">
        <v>5536</v>
      </c>
      <c r="V48" s="1728">
        <v>5204</v>
      </c>
      <c r="W48" s="1728">
        <v>6080</v>
      </c>
      <c r="X48" s="1728">
        <v>7045</v>
      </c>
      <c r="Y48" s="1728">
        <v>6637</v>
      </c>
      <c r="Z48" s="1728">
        <v>7048</v>
      </c>
      <c r="AA48" s="1728">
        <v>6972</v>
      </c>
      <c r="AB48" s="1728">
        <v>8246</v>
      </c>
      <c r="AC48" s="1728">
        <v>8042</v>
      </c>
      <c r="AD48" s="1728">
        <v>8813</v>
      </c>
      <c r="AE48" s="1728">
        <v>9849</v>
      </c>
      <c r="AF48" s="1728">
        <v>10914</v>
      </c>
      <c r="AG48" s="1570">
        <v>10016</v>
      </c>
      <c r="AH48" s="1570">
        <v>10843</v>
      </c>
      <c r="AI48" s="2010">
        <v>12876</v>
      </c>
      <c r="AJ48" s="2011">
        <v>9705</v>
      </c>
    </row>
    <row r="49" spans="1:36" x14ac:dyDescent="0.25">
      <c r="A49" s="402" t="s">
        <v>112</v>
      </c>
      <c r="B49" s="403" t="s">
        <v>754</v>
      </c>
      <c r="C49" s="410" t="s">
        <v>265</v>
      </c>
      <c r="D49" s="407">
        <v>0.18630603454114458</v>
      </c>
      <c r="E49" s="408">
        <v>0.18404195178590124</v>
      </c>
      <c r="F49" s="408">
        <v>0.20421486172728284</v>
      </c>
      <c r="G49" s="408">
        <v>0.22610694318889932</v>
      </c>
      <c r="H49" s="408">
        <v>0.20544691510861401</v>
      </c>
      <c r="I49" s="408">
        <v>0.23930468656616982</v>
      </c>
      <c r="J49" s="408">
        <v>0.23114323370386328</v>
      </c>
      <c r="K49" s="408">
        <v>0.27677925198745235</v>
      </c>
      <c r="L49" s="408">
        <v>0.26291531358477926</v>
      </c>
      <c r="M49" s="408">
        <v>0.29257510477431536</v>
      </c>
      <c r="N49" s="409">
        <v>0.29068673718230797</v>
      </c>
      <c r="O49" s="409">
        <v>0.34396022228721856</v>
      </c>
      <c r="P49" s="409">
        <v>0.30599999999999999</v>
      </c>
      <c r="Q49" s="1731">
        <v>0.31474459067588667</v>
      </c>
      <c r="R49" s="2000">
        <v>0.32255892255892255</v>
      </c>
      <c r="S49" s="2005">
        <v>0.32013201320132012</v>
      </c>
      <c r="T49" s="1354"/>
      <c r="U49" s="1728">
        <v>2979</v>
      </c>
      <c r="V49" s="1728">
        <v>2892</v>
      </c>
      <c r="W49" s="1728">
        <v>3231</v>
      </c>
      <c r="X49" s="1728">
        <v>3497</v>
      </c>
      <c r="Y49" s="1728">
        <v>3140</v>
      </c>
      <c r="Z49" s="1728">
        <v>3600</v>
      </c>
      <c r="AA49" s="1728">
        <v>3363</v>
      </c>
      <c r="AB49" s="1728">
        <v>3904</v>
      </c>
      <c r="AC49" s="1728">
        <v>3649</v>
      </c>
      <c r="AD49" s="1728">
        <v>4171</v>
      </c>
      <c r="AE49" s="1728">
        <v>4023</v>
      </c>
      <c r="AF49" s="1728">
        <v>4704</v>
      </c>
      <c r="AG49" s="1570">
        <v>4158</v>
      </c>
      <c r="AH49" s="1570">
        <v>4233</v>
      </c>
      <c r="AI49" s="2010">
        <v>4311</v>
      </c>
      <c r="AJ49" s="2011">
        <v>4268</v>
      </c>
    </row>
    <row r="50" spans="1:36" x14ac:dyDescent="0.25">
      <c r="A50" s="402" t="s">
        <v>114</v>
      </c>
      <c r="B50" s="403" t="s">
        <v>485</v>
      </c>
      <c r="C50" s="410" t="s">
        <v>265</v>
      </c>
      <c r="D50" s="407">
        <v>0.18600000000000003</v>
      </c>
      <c r="E50" s="408">
        <v>0.14699999999999999</v>
      </c>
      <c r="F50" s="408">
        <v>0.158</v>
      </c>
      <c r="G50" s="408">
        <v>0.16500000000000001</v>
      </c>
      <c r="H50" s="408">
        <v>0.13900000000000001</v>
      </c>
      <c r="I50" s="408">
        <v>0.17300000000000001</v>
      </c>
      <c r="J50" s="408">
        <v>0.16899999999999998</v>
      </c>
      <c r="K50" s="408">
        <v>0.17800000000000002</v>
      </c>
      <c r="L50" s="408">
        <v>0.187</v>
      </c>
      <c r="M50" s="408">
        <v>0.221</v>
      </c>
      <c r="N50" s="409">
        <v>0.22800000000000001</v>
      </c>
      <c r="O50" s="409">
        <v>0.22899999999999998</v>
      </c>
      <c r="P50" s="409">
        <v>0.21199999999999999</v>
      </c>
      <c r="Q50" s="1731">
        <v>0.24275362318840579</v>
      </c>
      <c r="R50" s="2000">
        <v>0.21843003412969283</v>
      </c>
      <c r="S50" s="2005">
        <v>0.24221453287197231</v>
      </c>
      <c r="T50" s="1354"/>
      <c r="U50" s="1728">
        <v>91</v>
      </c>
      <c r="V50" s="1728">
        <v>68</v>
      </c>
      <c r="W50" s="1728">
        <v>74</v>
      </c>
      <c r="X50" s="1728">
        <v>74</v>
      </c>
      <c r="Y50" s="1728">
        <v>59</v>
      </c>
      <c r="Z50" s="1728">
        <v>73</v>
      </c>
      <c r="AA50" s="1728">
        <v>67</v>
      </c>
      <c r="AB50" s="1728">
        <v>67</v>
      </c>
      <c r="AC50" s="1728">
        <v>67</v>
      </c>
      <c r="AD50" s="1728">
        <v>83</v>
      </c>
      <c r="AE50" s="1728">
        <v>78</v>
      </c>
      <c r="AF50" s="1728">
        <v>72</v>
      </c>
      <c r="AG50" s="1570">
        <v>62</v>
      </c>
      <c r="AH50" s="1570">
        <v>67</v>
      </c>
      <c r="AI50" s="2010">
        <v>64</v>
      </c>
      <c r="AJ50" s="2011">
        <v>70</v>
      </c>
    </row>
    <row r="51" spans="1:36" x14ac:dyDescent="0.25">
      <c r="A51" s="402" t="s">
        <v>118</v>
      </c>
      <c r="B51" s="403" t="s">
        <v>755</v>
      </c>
      <c r="C51" s="410" t="s">
        <v>264</v>
      </c>
      <c r="D51" s="407">
        <v>0.115</v>
      </c>
      <c r="E51" s="408">
        <v>0.10099999999999999</v>
      </c>
      <c r="F51" s="408">
        <v>0.121</v>
      </c>
      <c r="G51" s="408">
        <v>0.13500000000000001</v>
      </c>
      <c r="H51" s="408">
        <v>0.115</v>
      </c>
      <c r="I51" s="408">
        <v>0.114</v>
      </c>
      <c r="J51" s="408">
        <v>0.11</v>
      </c>
      <c r="K51" s="408">
        <v>0.10699999999999998</v>
      </c>
      <c r="L51" s="408">
        <v>0.106</v>
      </c>
      <c r="M51" s="408">
        <v>0.14699999999999999</v>
      </c>
      <c r="N51" s="409">
        <v>0.12300000000000001</v>
      </c>
      <c r="O51" s="409">
        <v>0.156</v>
      </c>
      <c r="P51" s="409">
        <v>0.13300000000000001</v>
      </c>
      <c r="Q51" s="1731">
        <v>0.1397286040575037</v>
      </c>
      <c r="R51" s="2000">
        <v>0.13696084936960851</v>
      </c>
      <c r="S51" s="2005">
        <v>0.13055518923908743</v>
      </c>
      <c r="T51" s="1354"/>
      <c r="U51" s="1728">
        <v>859</v>
      </c>
      <c r="V51" s="1728">
        <v>747</v>
      </c>
      <c r="W51" s="1728">
        <v>929</v>
      </c>
      <c r="X51" s="1728">
        <v>1034</v>
      </c>
      <c r="Y51" s="1728">
        <v>880</v>
      </c>
      <c r="Z51" s="1728">
        <v>862</v>
      </c>
      <c r="AA51" s="1728">
        <v>837</v>
      </c>
      <c r="AB51" s="1728">
        <v>851</v>
      </c>
      <c r="AC51" s="1728">
        <v>830</v>
      </c>
      <c r="AD51" s="1728">
        <v>1179</v>
      </c>
      <c r="AE51" s="1728">
        <v>975</v>
      </c>
      <c r="AF51" s="1728">
        <v>1213</v>
      </c>
      <c r="AG51" s="1570">
        <v>1016</v>
      </c>
      <c r="AH51" s="1570">
        <v>1040</v>
      </c>
      <c r="AI51" s="2010">
        <v>1032</v>
      </c>
      <c r="AJ51" s="2011">
        <v>990</v>
      </c>
    </row>
    <row r="52" spans="1:36" x14ac:dyDescent="0.25">
      <c r="A52" s="402" t="s">
        <v>120</v>
      </c>
      <c r="B52" s="403" t="s">
        <v>285</v>
      </c>
      <c r="C52" s="410" t="s">
        <v>264</v>
      </c>
      <c r="D52" s="407">
        <v>8.4999999999999992E-2</v>
      </c>
      <c r="E52" s="408">
        <v>7.6999999999999999E-2</v>
      </c>
      <c r="F52" s="408">
        <v>8.8000000000000009E-2</v>
      </c>
      <c r="G52" s="408">
        <v>9.5999999999999988E-2</v>
      </c>
      <c r="H52" s="408">
        <v>8.3000000000000004E-2</v>
      </c>
      <c r="I52" s="408">
        <v>8.0999999999999989E-2</v>
      </c>
      <c r="J52" s="408">
        <v>8.199999999999999E-2</v>
      </c>
      <c r="K52" s="408">
        <v>7.9000000000000001E-2</v>
      </c>
      <c r="L52" s="408">
        <v>0.09</v>
      </c>
      <c r="M52" s="408">
        <v>0.10300000000000001</v>
      </c>
      <c r="N52" s="409">
        <v>0.10300000000000001</v>
      </c>
      <c r="O52" s="409">
        <v>0.11199999999999999</v>
      </c>
      <c r="P52" s="409">
        <v>0.114</v>
      </c>
      <c r="Q52" s="1731">
        <v>0.1123213070115725</v>
      </c>
      <c r="R52" s="2000">
        <v>0.11459437963944857</v>
      </c>
      <c r="S52" s="2005">
        <v>0.102105762069199</v>
      </c>
      <c r="T52" s="1354"/>
      <c r="U52" s="1728">
        <v>946</v>
      </c>
      <c r="V52" s="1728">
        <v>872</v>
      </c>
      <c r="W52" s="1728">
        <v>1030</v>
      </c>
      <c r="X52" s="1728">
        <v>1108</v>
      </c>
      <c r="Y52" s="1728">
        <v>989</v>
      </c>
      <c r="Z52" s="1728">
        <v>947</v>
      </c>
      <c r="AA52" s="1728">
        <v>947</v>
      </c>
      <c r="AB52" s="1728">
        <v>986</v>
      </c>
      <c r="AC52" s="1728">
        <v>1120</v>
      </c>
      <c r="AD52" s="1728">
        <v>1354</v>
      </c>
      <c r="AE52" s="1728">
        <v>1475</v>
      </c>
      <c r="AF52" s="1728">
        <v>1595</v>
      </c>
      <c r="AG52" s="1570">
        <v>1611</v>
      </c>
      <c r="AH52" s="1570">
        <v>1650</v>
      </c>
      <c r="AI52" s="2010">
        <v>1729</v>
      </c>
      <c r="AJ52" s="2011">
        <v>1508</v>
      </c>
    </row>
    <row r="53" spans="1:36" x14ac:dyDescent="0.25">
      <c r="A53" s="402" t="s">
        <v>122</v>
      </c>
      <c r="B53" s="403" t="s">
        <v>756</v>
      </c>
      <c r="C53" s="410" t="s">
        <v>266</v>
      </c>
      <c r="D53" s="407">
        <v>0.151</v>
      </c>
      <c r="E53" s="408">
        <v>0.13300000000000001</v>
      </c>
      <c r="F53" s="408">
        <v>0.15300000000000002</v>
      </c>
      <c r="G53" s="408">
        <v>0.16200000000000001</v>
      </c>
      <c r="H53" s="408">
        <v>0.13700000000000001</v>
      </c>
      <c r="I53" s="408">
        <v>0.17600000000000002</v>
      </c>
      <c r="J53" s="408">
        <v>0.16</v>
      </c>
      <c r="K53" s="408">
        <v>0.16300000000000001</v>
      </c>
      <c r="L53" s="408">
        <v>0.16600000000000001</v>
      </c>
      <c r="M53" s="408">
        <v>0.2</v>
      </c>
      <c r="N53" s="409">
        <v>0.19400000000000001</v>
      </c>
      <c r="O53" s="409">
        <v>0.20300000000000001</v>
      </c>
      <c r="P53" s="409">
        <v>0.20899999999999999</v>
      </c>
      <c r="Q53" s="1731">
        <v>0.21143717080511662</v>
      </c>
      <c r="R53" s="2000">
        <v>0.22874341610233259</v>
      </c>
      <c r="S53" s="2005">
        <v>0.20477290223248654</v>
      </c>
      <c r="T53" s="1354"/>
      <c r="U53" s="1728">
        <v>216</v>
      </c>
      <c r="V53" s="1728">
        <v>190</v>
      </c>
      <c r="W53" s="1728">
        <v>217</v>
      </c>
      <c r="X53" s="1728">
        <v>233</v>
      </c>
      <c r="Y53" s="1728">
        <v>199</v>
      </c>
      <c r="Z53" s="1728">
        <v>251</v>
      </c>
      <c r="AA53" s="1728">
        <v>221</v>
      </c>
      <c r="AB53" s="1728">
        <v>228</v>
      </c>
      <c r="AC53" s="1728">
        <v>226</v>
      </c>
      <c r="AD53" s="1728">
        <v>258</v>
      </c>
      <c r="AE53" s="1728">
        <v>276</v>
      </c>
      <c r="AF53" s="1728">
        <v>278</v>
      </c>
      <c r="AG53" s="1570">
        <v>278</v>
      </c>
      <c r="AH53" s="1570">
        <v>281</v>
      </c>
      <c r="AI53" s="2010">
        <v>304</v>
      </c>
      <c r="AJ53" s="2011">
        <v>266</v>
      </c>
    </row>
    <row r="54" spans="1:36" x14ac:dyDescent="0.25">
      <c r="A54" s="402" t="s">
        <v>124</v>
      </c>
      <c r="B54" s="403" t="s">
        <v>488</v>
      </c>
      <c r="C54" s="410" t="s">
        <v>267</v>
      </c>
      <c r="D54" s="407">
        <v>9.0000000000000011E-2</v>
      </c>
      <c r="E54" s="408">
        <v>7.5999999999999984E-2</v>
      </c>
      <c r="F54" s="408">
        <v>8.5999999999999993E-2</v>
      </c>
      <c r="G54" s="408">
        <v>9.5000000000000001E-2</v>
      </c>
      <c r="H54" s="408">
        <v>0.08</v>
      </c>
      <c r="I54" s="408">
        <v>8.3000000000000004E-2</v>
      </c>
      <c r="J54" s="408">
        <v>7.6999999999999999E-2</v>
      </c>
      <c r="K54" s="408">
        <v>7.5999999999999998E-2</v>
      </c>
      <c r="L54" s="408">
        <v>0.08</v>
      </c>
      <c r="M54" s="408">
        <v>9.2999999999999999E-2</v>
      </c>
      <c r="N54" s="409">
        <v>9.0000000000000011E-2</v>
      </c>
      <c r="O54" s="409">
        <v>9.6999999999999989E-2</v>
      </c>
      <c r="P54" s="409">
        <v>0.10299999999999999</v>
      </c>
      <c r="Q54" s="1731">
        <v>0.10768522779567419</v>
      </c>
      <c r="R54" s="2000">
        <v>0.10508681084374048</v>
      </c>
      <c r="S54" s="2005">
        <v>9.5759444872783345E-2</v>
      </c>
      <c r="T54" s="1354"/>
      <c r="U54" s="1728">
        <v>417</v>
      </c>
      <c r="V54" s="1728">
        <v>354</v>
      </c>
      <c r="W54" s="1728">
        <v>413</v>
      </c>
      <c r="X54" s="1728">
        <v>476</v>
      </c>
      <c r="Y54" s="1728">
        <v>425</v>
      </c>
      <c r="Z54" s="1728">
        <v>438</v>
      </c>
      <c r="AA54" s="1728">
        <v>415</v>
      </c>
      <c r="AB54" s="1728">
        <v>450</v>
      </c>
      <c r="AC54" s="1728">
        <v>484</v>
      </c>
      <c r="AD54" s="1728">
        <v>577</v>
      </c>
      <c r="AE54" s="1728">
        <v>583</v>
      </c>
      <c r="AF54" s="1728">
        <v>627</v>
      </c>
      <c r="AG54" s="1570">
        <v>659</v>
      </c>
      <c r="AH54" s="1570">
        <v>702</v>
      </c>
      <c r="AI54" s="2010">
        <v>690</v>
      </c>
      <c r="AJ54" s="2011">
        <v>621</v>
      </c>
    </row>
    <row r="55" spans="1:36" x14ac:dyDescent="0.25">
      <c r="A55" s="402" t="s">
        <v>126</v>
      </c>
      <c r="B55" s="403" t="s">
        <v>489</v>
      </c>
      <c r="C55" s="410" t="s">
        <v>266</v>
      </c>
      <c r="D55" s="407">
        <v>9.4E-2</v>
      </c>
      <c r="E55" s="408">
        <v>7.8E-2</v>
      </c>
      <c r="F55" s="408">
        <v>8.6999999999999994E-2</v>
      </c>
      <c r="G55" s="408">
        <v>0.1</v>
      </c>
      <c r="H55" s="408">
        <v>9.0999999999999998E-2</v>
      </c>
      <c r="I55" s="408">
        <v>9.5000000000000001E-2</v>
      </c>
      <c r="J55" s="408">
        <v>9.4E-2</v>
      </c>
      <c r="K55" s="408">
        <v>8.5999999999999993E-2</v>
      </c>
      <c r="L55" s="408">
        <v>8.199999999999999E-2</v>
      </c>
      <c r="M55" s="408">
        <v>9.9000000000000005E-2</v>
      </c>
      <c r="N55" s="409">
        <v>0.11</v>
      </c>
      <c r="O55" s="409">
        <v>0.129</v>
      </c>
      <c r="P55" s="409">
        <v>0.125</v>
      </c>
      <c r="Q55" s="1731">
        <v>0.13313922710428799</v>
      </c>
      <c r="R55" s="2000">
        <v>0.13370547581073897</v>
      </c>
      <c r="S55" s="2005">
        <v>0.12160723789249601</v>
      </c>
      <c r="T55" s="1354"/>
      <c r="U55" s="1728">
        <v>321</v>
      </c>
      <c r="V55" s="1728">
        <v>270</v>
      </c>
      <c r="W55" s="1728">
        <v>309</v>
      </c>
      <c r="X55" s="1728">
        <v>361</v>
      </c>
      <c r="Y55" s="1728">
        <v>331</v>
      </c>
      <c r="Z55" s="1728">
        <v>341</v>
      </c>
      <c r="AA55" s="1728">
        <v>342</v>
      </c>
      <c r="AB55" s="1728">
        <v>328</v>
      </c>
      <c r="AC55" s="1728">
        <v>318</v>
      </c>
      <c r="AD55" s="1728">
        <v>403</v>
      </c>
      <c r="AE55" s="1728">
        <v>429</v>
      </c>
      <c r="AF55" s="1728">
        <v>495</v>
      </c>
      <c r="AG55" s="1570">
        <v>477</v>
      </c>
      <c r="AH55" s="1570">
        <v>503</v>
      </c>
      <c r="AI55" s="2010">
        <v>503</v>
      </c>
      <c r="AJ55" s="2011">
        <v>457</v>
      </c>
    </row>
    <row r="56" spans="1:36" x14ac:dyDescent="0.25">
      <c r="A56" s="402" t="s">
        <v>128</v>
      </c>
      <c r="B56" s="403" t="s">
        <v>490</v>
      </c>
      <c r="C56" s="410" t="s">
        <v>266</v>
      </c>
      <c r="D56" s="407">
        <v>0.21500000000000002</v>
      </c>
      <c r="E56" s="408">
        <v>0.18800000000000003</v>
      </c>
      <c r="F56" s="408">
        <v>0.214</v>
      </c>
      <c r="G56" s="408">
        <v>0.22100000000000003</v>
      </c>
      <c r="H56" s="408">
        <v>0.19299999999999998</v>
      </c>
      <c r="I56" s="408">
        <v>0.22399999999999998</v>
      </c>
      <c r="J56" s="408">
        <v>0.223</v>
      </c>
      <c r="K56" s="408">
        <v>0.215</v>
      </c>
      <c r="L56" s="408">
        <v>0.224</v>
      </c>
      <c r="M56" s="408">
        <v>0.23</v>
      </c>
      <c r="N56" s="409">
        <v>0.26100000000000001</v>
      </c>
      <c r="O56" s="409">
        <v>0.27399999999999997</v>
      </c>
      <c r="P56" s="409">
        <v>0.27600000000000002</v>
      </c>
      <c r="Q56" s="1731">
        <v>0.28352941176470586</v>
      </c>
      <c r="R56" s="2000">
        <v>0.26364193746167996</v>
      </c>
      <c r="S56" s="2005">
        <v>0.26169405815423513</v>
      </c>
      <c r="T56" s="1354"/>
      <c r="U56" s="1728">
        <v>462</v>
      </c>
      <c r="V56" s="1728">
        <v>394</v>
      </c>
      <c r="W56" s="1728">
        <v>454</v>
      </c>
      <c r="X56" s="1728">
        <v>461</v>
      </c>
      <c r="Y56" s="1728">
        <v>396</v>
      </c>
      <c r="Z56" s="1728">
        <v>454</v>
      </c>
      <c r="AA56" s="1728">
        <v>435</v>
      </c>
      <c r="AB56" s="1728">
        <v>426</v>
      </c>
      <c r="AC56" s="1728">
        <v>428</v>
      </c>
      <c r="AD56" s="1728">
        <v>427</v>
      </c>
      <c r="AE56" s="1728">
        <v>470</v>
      </c>
      <c r="AF56" s="1728">
        <v>483</v>
      </c>
      <c r="AG56" s="1570">
        <v>470</v>
      </c>
      <c r="AH56" s="1570">
        <v>482</v>
      </c>
      <c r="AI56" s="2010">
        <v>430</v>
      </c>
      <c r="AJ56" s="2011">
        <v>414</v>
      </c>
    </row>
    <row r="57" spans="1:36" x14ac:dyDescent="0.25">
      <c r="A57" s="402" t="s">
        <v>130</v>
      </c>
      <c r="B57" s="403" t="s">
        <v>491</v>
      </c>
      <c r="C57" s="410" t="s">
        <v>268</v>
      </c>
      <c r="D57" s="407">
        <v>0.29699999999999999</v>
      </c>
      <c r="E57" s="408">
        <v>0.25800000000000001</v>
      </c>
      <c r="F57" s="408">
        <v>0.308</v>
      </c>
      <c r="G57" s="408">
        <v>0.33099999999999996</v>
      </c>
      <c r="H57" s="408">
        <v>0.28499999999999998</v>
      </c>
      <c r="I57" s="408">
        <v>0.35299999999999998</v>
      </c>
      <c r="J57" s="408">
        <v>0.309</v>
      </c>
      <c r="K57" s="408">
        <v>0.31900000000000001</v>
      </c>
      <c r="L57" s="408">
        <v>0.33799999999999997</v>
      </c>
      <c r="M57" s="408">
        <v>0.33599999999999997</v>
      </c>
      <c r="N57" s="409">
        <v>0.33100000000000002</v>
      </c>
      <c r="O57" s="409">
        <v>0.35600000000000004</v>
      </c>
      <c r="P57" s="409">
        <v>0.372</v>
      </c>
      <c r="Q57" s="1731">
        <v>0.38628382565585623</v>
      </c>
      <c r="R57" s="2000">
        <v>0.31877362452750946</v>
      </c>
      <c r="S57" s="2005">
        <v>0.36342042755344417</v>
      </c>
      <c r="T57" s="1354"/>
      <c r="U57" s="1728">
        <v>1523</v>
      </c>
      <c r="V57" s="1728">
        <v>1328</v>
      </c>
      <c r="W57" s="1728">
        <v>1602</v>
      </c>
      <c r="X57" s="1728">
        <v>1708</v>
      </c>
      <c r="Y57" s="1728">
        <v>1460</v>
      </c>
      <c r="Z57" s="1728">
        <v>1785</v>
      </c>
      <c r="AA57" s="1728">
        <v>1521</v>
      </c>
      <c r="AB57" s="1728">
        <v>1556</v>
      </c>
      <c r="AC57" s="1728">
        <v>1605</v>
      </c>
      <c r="AD57" s="1728">
        <v>1649</v>
      </c>
      <c r="AE57" s="1728">
        <v>1689</v>
      </c>
      <c r="AF57" s="1728">
        <v>1794</v>
      </c>
      <c r="AG57" s="1570">
        <v>1848</v>
      </c>
      <c r="AH57" s="1570">
        <v>1870</v>
      </c>
      <c r="AI57" s="2010">
        <v>1518</v>
      </c>
      <c r="AJ57" s="2011">
        <v>1683</v>
      </c>
    </row>
    <row r="58" spans="1:36" x14ac:dyDescent="0.25">
      <c r="A58" s="402" t="s">
        <v>132</v>
      </c>
      <c r="B58" s="403" t="s">
        <v>492</v>
      </c>
      <c r="C58" s="410" t="s">
        <v>267</v>
      </c>
      <c r="D58" s="407">
        <v>3.1000000000000003E-2</v>
      </c>
      <c r="E58" s="408">
        <v>2.8000000000000001E-2</v>
      </c>
      <c r="F58" s="408">
        <v>3.3000000000000002E-2</v>
      </c>
      <c r="G58" s="408">
        <v>4.0999999999999995E-2</v>
      </c>
      <c r="H58" s="408">
        <v>3.6999999999999998E-2</v>
      </c>
      <c r="I58" s="408">
        <v>2.8000000000000001E-2</v>
      </c>
      <c r="J58" s="408">
        <v>2.8999999999999998E-2</v>
      </c>
      <c r="K58" s="408">
        <v>2.8999999999999998E-2</v>
      </c>
      <c r="L58" s="408">
        <v>3.5000000000000003E-2</v>
      </c>
      <c r="M58" s="408">
        <v>3.9E-2</v>
      </c>
      <c r="N58" s="409">
        <v>4.2000000000000003E-2</v>
      </c>
      <c r="O58" s="409">
        <v>4.4999999999999998E-2</v>
      </c>
      <c r="P58" s="409">
        <v>4.2999999999999997E-2</v>
      </c>
      <c r="Q58" s="1731">
        <v>4.1029470233996952E-2</v>
      </c>
      <c r="R58" s="2000">
        <v>4.3724420835735689E-2</v>
      </c>
      <c r="S58" s="2005">
        <v>3.9522661568160193E-2</v>
      </c>
      <c r="T58" s="1354"/>
      <c r="U58" s="1728">
        <v>1752</v>
      </c>
      <c r="V58" s="1728">
        <v>1696</v>
      </c>
      <c r="W58" s="1728">
        <v>2145</v>
      </c>
      <c r="X58" s="1728">
        <v>2838</v>
      </c>
      <c r="Y58" s="1728">
        <v>2771</v>
      </c>
      <c r="Z58" s="1728">
        <v>2090</v>
      </c>
      <c r="AA58" s="1728">
        <v>2202</v>
      </c>
      <c r="AB58" s="1728">
        <v>2454</v>
      </c>
      <c r="AC58" s="1728">
        <v>3049</v>
      </c>
      <c r="AD58" s="1728">
        <v>3426</v>
      </c>
      <c r="AE58" s="1728">
        <v>4026</v>
      </c>
      <c r="AF58" s="1728">
        <v>4359</v>
      </c>
      <c r="AG58" s="1570">
        <v>4315</v>
      </c>
      <c r="AH58" s="1570">
        <v>4231</v>
      </c>
      <c r="AI58" s="2010">
        <v>4626</v>
      </c>
      <c r="AJ58" s="2011">
        <v>4279</v>
      </c>
    </row>
    <row r="59" spans="1:36" x14ac:dyDescent="0.25">
      <c r="A59" s="402" t="s">
        <v>134</v>
      </c>
      <c r="B59" s="403" t="s">
        <v>493</v>
      </c>
      <c r="C59" s="410" t="s">
        <v>267</v>
      </c>
      <c r="D59" s="407">
        <v>0.13699999999999998</v>
      </c>
      <c r="E59" s="408">
        <v>0.123</v>
      </c>
      <c r="F59" s="408">
        <v>0.14000000000000001</v>
      </c>
      <c r="G59" s="408">
        <v>0.14400000000000002</v>
      </c>
      <c r="H59" s="408">
        <v>0.129</v>
      </c>
      <c r="I59" s="408">
        <v>0.155</v>
      </c>
      <c r="J59" s="408">
        <v>0.13500000000000001</v>
      </c>
      <c r="K59" s="408">
        <v>0.13500000000000001</v>
      </c>
      <c r="L59" s="408">
        <v>0.13899999999999998</v>
      </c>
      <c r="M59" s="408">
        <v>0.16200000000000001</v>
      </c>
      <c r="N59" s="409">
        <v>0.156</v>
      </c>
      <c r="O59" s="409">
        <v>0.17</v>
      </c>
      <c r="P59" s="409">
        <v>0.17399999999999999</v>
      </c>
      <c r="Q59" s="1731">
        <v>0.17671607425528854</v>
      </c>
      <c r="R59" s="2000">
        <v>0.1732127719694829</v>
      </c>
      <c r="S59" s="2005">
        <v>0.16716206652512386</v>
      </c>
      <c r="T59" s="1354"/>
      <c r="U59" s="1728">
        <v>856</v>
      </c>
      <c r="V59" s="1728">
        <v>777</v>
      </c>
      <c r="W59" s="1728">
        <v>911</v>
      </c>
      <c r="X59" s="1728">
        <v>948</v>
      </c>
      <c r="Y59" s="1728">
        <v>864</v>
      </c>
      <c r="Z59" s="1728">
        <v>1022</v>
      </c>
      <c r="AA59" s="1728">
        <v>908</v>
      </c>
      <c r="AB59" s="1728">
        <v>962</v>
      </c>
      <c r="AC59" s="1728">
        <v>998</v>
      </c>
      <c r="AD59" s="1728">
        <v>1152</v>
      </c>
      <c r="AE59" s="1728">
        <v>1128</v>
      </c>
      <c r="AF59" s="1728">
        <v>1214</v>
      </c>
      <c r="AG59" s="1570">
        <v>1217</v>
      </c>
      <c r="AH59" s="1570">
        <v>1228</v>
      </c>
      <c r="AI59" s="2010">
        <v>1226</v>
      </c>
      <c r="AJ59" s="2011">
        <v>1181</v>
      </c>
    </row>
    <row r="60" spans="1:36" x14ac:dyDescent="0.25">
      <c r="A60" s="402" t="s">
        <v>136</v>
      </c>
      <c r="B60" s="403" t="s">
        <v>494</v>
      </c>
      <c r="C60" s="410" t="s">
        <v>266</v>
      </c>
      <c r="D60" s="407">
        <v>0.218</v>
      </c>
      <c r="E60" s="408">
        <v>0.20600000000000002</v>
      </c>
      <c r="F60" s="408">
        <v>0.214</v>
      </c>
      <c r="G60" s="408">
        <v>0.24300000000000002</v>
      </c>
      <c r="H60" s="408">
        <v>0.21800000000000003</v>
      </c>
      <c r="I60" s="408">
        <v>0.30100000000000005</v>
      </c>
      <c r="J60" s="408">
        <v>0.23899999999999999</v>
      </c>
      <c r="K60" s="408">
        <v>0.255</v>
      </c>
      <c r="L60" s="408">
        <v>0.27399999999999997</v>
      </c>
      <c r="M60" s="408">
        <v>0.28800000000000003</v>
      </c>
      <c r="N60" s="409">
        <v>0.28399999999999997</v>
      </c>
      <c r="O60" s="409">
        <v>0.29399999999999998</v>
      </c>
      <c r="P60" s="409">
        <v>0.316</v>
      </c>
      <c r="Q60" s="1731">
        <v>0.29540481400437635</v>
      </c>
      <c r="R60" s="2000">
        <v>0.28677433435181143</v>
      </c>
      <c r="S60" s="2005">
        <v>0.29007971656333037</v>
      </c>
      <c r="T60" s="1354"/>
      <c r="U60" s="1728">
        <v>582</v>
      </c>
      <c r="V60" s="1728">
        <v>542</v>
      </c>
      <c r="W60" s="1728">
        <v>563</v>
      </c>
      <c r="X60" s="1728">
        <v>614</v>
      </c>
      <c r="Y60" s="1728">
        <v>557</v>
      </c>
      <c r="Z60" s="1728">
        <v>760</v>
      </c>
      <c r="AA60" s="1728">
        <v>571</v>
      </c>
      <c r="AB60" s="1728">
        <v>595</v>
      </c>
      <c r="AC60" s="1728">
        <v>618</v>
      </c>
      <c r="AD60" s="1728">
        <v>696</v>
      </c>
      <c r="AE60" s="1728">
        <v>693</v>
      </c>
      <c r="AF60" s="1728">
        <v>715</v>
      </c>
      <c r="AG60" s="1570">
        <v>754</v>
      </c>
      <c r="AH60" s="1570">
        <v>675</v>
      </c>
      <c r="AI60" s="2010">
        <v>657</v>
      </c>
      <c r="AJ60" s="2011">
        <v>655</v>
      </c>
    </row>
    <row r="61" spans="1:36" x14ac:dyDescent="0.25">
      <c r="A61" s="402" t="s">
        <v>140</v>
      </c>
      <c r="B61" s="403" t="s">
        <v>495</v>
      </c>
      <c r="C61" s="410" t="s">
        <v>267</v>
      </c>
      <c r="D61" s="407">
        <v>0.152</v>
      </c>
      <c r="E61" s="408">
        <v>0.125</v>
      </c>
      <c r="F61" s="408">
        <v>0.12199999999999998</v>
      </c>
      <c r="G61" s="408">
        <v>0.13699999999999998</v>
      </c>
      <c r="H61" s="408">
        <v>0.124</v>
      </c>
      <c r="I61" s="408">
        <v>0.14400000000000002</v>
      </c>
      <c r="J61" s="408">
        <v>0.13699999999999998</v>
      </c>
      <c r="K61" s="408">
        <v>0.13699999999999998</v>
      </c>
      <c r="L61" s="408">
        <v>0.151</v>
      </c>
      <c r="M61" s="408">
        <v>0.16199999999999998</v>
      </c>
      <c r="N61" s="409">
        <v>0.17399999999999999</v>
      </c>
      <c r="O61" s="409">
        <v>0.17699999999999999</v>
      </c>
      <c r="P61" s="409">
        <v>0.193</v>
      </c>
      <c r="Q61" s="1731">
        <v>0.18481012658227849</v>
      </c>
      <c r="R61" s="2000">
        <v>0.18315018315018314</v>
      </c>
      <c r="S61" s="2005">
        <v>0.18249534450651769</v>
      </c>
      <c r="T61" s="1354"/>
      <c r="U61" s="1728">
        <v>452</v>
      </c>
      <c r="V61" s="1728">
        <v>368</v>
      </c>
      <c r="W61" s="1728">
        <v>361</v>
      </c>
      <c r="X61" s="1728">
        <v>406</v>
      </c>
      <c r="Y61" s="1728">
        <v>370</v>
      </c>
      <c r="Z61" s="1728">
        <v>424</v>
      </c>
      <c r="AA61" s="1728">
        <v>386</v>
      </c>
      <c r="AB61" s="1728">
        <v>403</v>
      </c>
      <c r="AC61" s="1728">
        <v>435</v>
      </c>
      <c r="AD61" s="1728">
        <v>472</v>
      </c>
      <c r="AE61" s="1728">
        <v>508</v>
      </c>
      <c r="AF61" s="1728">
        <v>497</v>
      </c>
      <c r="AG61" s="1570">
        <v>545</v>
      </c>
      <c r="AH61" s="1570">
        <v>511</v>
      </c>
      <c r="AI61" s="2010">
        <v>500</v>
      </c>
      <c r="AJ61" s="2011">
        <v>490</v>
      </c>
    </row>
    <row r="62" spans="1:36" x14ac:dyDescent="0.25">
      <c r="A62" s="402" t="s">
        <v>146</v>
      </c>
      <c r="B62" s="403" t="s">
        <v>496</v>
      </c>
      <c r="C62" s="410" t="s">
        <v>264</v>
      </c>
      <c r="D62" s="407">
        <v>0.125</v>
      </c>
      <c r="E62" s="408">
        <v>0.115</v>
      </c>
      <c r="F62" s="408">
        <v>0.127</v>
      </c>
      <c r="G62" s="408">
        <v>0.14199999999999999</v>
      </c>
      <c r="H62" s="408">
        <v>0.12</v>
      </c>
      <c r="I62" s="408">
        <v>0.13400000000000001</v>
      </c>
      <c r="J62" s="408">
        <v>0.13300000000000001</v>
      </c>
      <c r="K62" s="408">
        <v>0.125</v>
      </c>
      <c r="L62" s="408">
        <v>0.13800000000000001</v>
      </c>
      <c r="M62" s="408">
        <v>0.158</v>
      </c>
      <c r="N62" s="409">
        <v>0.17100000000000001</v>
      </c>
      <c r="O62" s="409">
        <v>0.18100000000000002</v>
      </c>
      <c r="P62" s="409">
        <v>0.17699999999999999</v>
      </c>
      <c r="Q62" s="1731">
        <v>0.182</v>
      </c>
      <c r="R62" s="2000">
        <v>0.18002717391304349</v>
      </c>
      <c r="S62" s="2005">
        <v>0.17882187938288921</v>
      </c>
      <c r="T62" s="1354"/>
      <c r="U62" s="1728">
        <v>222</v>
      </c>
      <c r="V62" s="1728">
        <v>198</v>
      </c>
      <c r="W62" s="1728">
        <v>216</v>
      </c>
      <c r="X62" s="1728">
        <v>243</v>
      </c>
      <c r="Y62" s="1728">
        <v>201</v>
      </c>
      <c r="Z62" s="1728">
        <v>221</v>
      </c>
      <c r="AA62" s="1728">
        <v>210</v>
      </c>
      <c r="AB62" s="1728">
        <v>190</v>
      </c>
      <c r="AC62" s="1728">
        <v>211</v>
      </c>
      <c r="AD62" s="1728">
        <v>252</v>
      </c>
      <c r="AE62" s="1728">
        <v>274</v>
      </c>
      <c r="AF62" s="1728">
        <v>287</v>
      </c>
      <c r="AG62" s="1570">
        <v>266</v>
      </c>
      <c r="AH62" s="1570">
        <v>273</v>
      </c>
      <c r="AI62" s="2010">
        <v>265</v>
      </c>
      <c r="AJ62" s="2011">
        <v>255</v>
      </c>
    </row>
    <row r="63" spans="1:36" x14ac:dyDescent="0.25">
      <c r="A63" s="402" t="s">
        <v>148</v>
      </c>
      <c r="B63" s="403" t="s">
        <v>497</v>
      </c>
      <c r="C63" s="410" t="s">
        <v>265</v>
      </c>
      <c r="D63" s="407">
        <v>0.20799999999999999</v>
      </c>
      <c r="E63" s="408">
        <v>0.188</v>
      </c>
      <c r="F63" s="408">
        <v>0.21300000000000002</v>
      </c>
      <c r="G63" s="408">
        <v>0.23799999999999999</v>
      </c>
      <c r="H63" s="408">
        <v>0.20699999999999999</v>
      </c>
      <c r="I63" s="408">
        <v>0.24399999999999997</v>
      </c>
      <c r="J63" s="408">
        <v>0.22</v>
      </c>
      <c r="K63" s="408">
        <v>0.23</v>
      </c>
      <c r="L63" s="408">
        <v>0.245</v>
      </c>
      <c r="M63" s="408">
        <v>0.26700000000000002</v>
      </c>
      <c r="N63" s="409">
        <v>0.28399999999999997</v>
      </c>
      <c r="O63" s="409">
        <v>0.28699999999999998</v>
      </c>
      <c r="P63" s="409">
        <v>0.28299999999999997</v>
      </c>
      <c r="Q63" s="1731">
        <v>0.28433494256700514</v>
      </c>
      <c r="R63" s="2000">
        <v>0.3060220525869381</v>
      </c>
      <c r="S63" s="2005">
        <v>0.27461139896373055</v>
      </c>
      <c r="T63" s="1354"/>
      <c r="U63" s="1728">
        <v>1402</v>
      </c>
      <c r="V63" s="1728">
        <v>1255</v>
      </c>
      <c r="W63" s="1728">
        <v>1446</v>
      </c>
      <c r="X63" s="1728">
        <v>1585</v>
      </c>
      <c r="Y63" s="1728">
        <v>1399</v>
      </c>
      <c r="Z63" s="1728">
        <v>1630</v>
      </c>
      <c r="AA63" s="1728">
        <v>1395</v>
      </c>
      <c r="AB63" s="1728">
        <v>1453</v>
      </c>
      <c r="AC63" s="1728">
        <v>1524</v>
      </c>
      <c r="AD63" s="1728">
        <v>1650</v>
      </c>
      <c r="AE63" s="1728">
        <v>1780</v>
      </c>
      <c r="AF63" s="1728">
        <v>1779</v>
      </c>
      <c r="AG63" s="1570">
        <v>1732</v>
      </c>
      <c r="AH63" s="1570">
        <v>1708</v>
      </c>
      <c r="AI63" s="2010">
        <v>1804</v>
      </c>
      <c r="AJ63" s="2011">
        <v>1590</v>
      </c>
    </row>
    <row r="64" spans="1:36" x14ac:dyDescent="0.25">
      <c r="A64" s="402" t="s">
        <v>150</v>
      </c>
      <c r="B64" s="403" t="s">
        <v>498</v>
      </c>
      <c r="C64" s="410" t="s">
        <v>266</v>
      </c>
      <c r="D64" s="407">
        <v>0.19</v>
      </c>
      <c r="E64" s="408">
        <v>0.17199999999999999</v>
      </c>
      <c r="F64" s="408">
        <v>0.18300000000000002</v>
      </c>
      <c r="G64" s="408">
        <v>0.19600000000000001</v>
      </c>
      <c r="H64" s="408">
        <v>0.185</v>
      </c>
      <c r="I64" s="408">
        <v>0.21899999999999997</v>
      </c>
      <c r="J64" s="408">
        <v>0.19699999999999998</v>
      </c>
      <c r="K64" s="408">
        <v>0.20199999999999999</v>
      </c>
      <c r="L64" s="408">
        <v>0.20399999999999999</v>
      </c>
      <c r="M64" s="408">
        <v>0.23</v>
      </c>
      <c r="N64" s="409">
        <v>0.22300000000000003</v>
      </c>
      <c r="O64" s="409">
        <v>0.23899999999999999</v>
      </c>
      <c r="P64" s="409">
        <v>0.25700000000000001</v>
      </c>
      <c r="Q64" s="1731">
        <v>0.26638349514563109</v>
      </c>
      <c r="R64" s="2000">
        <v>0.2598904443091905</v>
      </c>
      <c r="S64" s="2005">
        <v>0.25062499999999999</v>
      </c>
      <c r="T64" s="1354"/>
      <c r="U64" s="1728">
        <v>357</v>
      </c>
      <c r="V64" s="1728">
        <v>318</v>
      </c>
      <c r="W64" s="1728">
        <v>344</v>
      </c>
      <c r="X64" s="1728">
        <v>367</v>
      </c>
      <c r="Y64" s="1728">
        <v>335</v>
      </c>
      <c r="Z64" s="1728">
        <v>392</v>
      </c>
      <c r="AA64" s="1728">
        <v>352</v>
      </c>
      <c r="AB64" s="1728">
        <v>359</v>
      </c>
      <c r="AC64" s="1728">
        <v>351</v>
      </c>
      <c r="AD64" s="1728">
        <v>383</v>
      </c>
      <c r="AE64" s="1728">
        <v>387</v>
      </c>
      <c r="AF64" s="1728">
        <v>397</v>
      </c>
      <c r="AG64" s="1570">
        <v>426</v>
      </c>
      <c r="AH64" s="1570">
        <v>439</v>
      </c>
      <c r="AI64" s="2010">
        <v>427</v>
      </c>
      <c r="AJ64" s="2011">
        <v>401</v>
      </c>
    </row>
    <row r="65" spans="1:36" x14ac:dyDescent="0.25">
      <c r="A65" s="402" t="s">
        <v>152</v>
      </c>
      <c r="B65" s="403" t="s">
        <v>499</v>
      </c>
      <c r="C65" s="410" t="s">
        <v>268</v>
      </c>
      <c r="D65" s="407">
        <v>0.129</v>
      </c>
      <c r="E65" s="408">
        <v>0.12</v>
      </c>
      <c r="F65" s="408">
        <v>0.129</v>
      </c>
      <c r="G65" s="408">
        <v>0.153</v>
      </c>
      <c r="H65" s="408">
        <v>0.14300000000000002</v>
      </c>
      <c r="I65" s="408">
        <v>0.14699999999999999</v>
      </c>
      <c r="J65" s="408">
        <v>0.13499999999999998</v>
      </c>
      <c r="K65" s="408">
        <v>0.13599999999999998</v>
      </c>
      <c r="L65" s="408">
        <v>0.155</v>
      </c>
      <c r="M65" s="408">
        <v>0.154</v>
      </c>
      <c r="N65" s="409">
        <v>0.17199999999999999</v>
      </c>
      <c r="O65" s="409">
        <v>0.17</v>
      </c>
      <c r="P65" s="409">
        <v>0.18099999999999999</v>
      </c>
      <c r="Q65" s="1731">
        <v>0.18324501978670601</v>
      </c>
      <c r="R65" s="2000">
        <v>0.16029585024217829</v>
      </c>
      <c r="S65" s="2005">
        <v>0.15245612890599516</v>
      </c>
      <c r="T65" s="1354"/>
      <c r="U65" s="1728">
        <v>1802</v>
      </c>
      <c r="V65" s="1728">
        <v>1671</v>
      </c>
      <c r="W65" s="1728">
        <v>1797</v>
      </c>
      <c r="X65" s="1728">
        <v>2120</v>
      </c>
      <c r="Y65" s="1728">
        <v>1912</v>
      </c>
      <c r="Z65" s="1728">
        <v>1934</v>
      </c>
      <c r="AA65" s="1728">
        <v>1842</v>
      </c>
      <c r="AB65" s="1728">
        <v>1925</v>
      </c>
      <c r="AC65" s="1728">
        <v>2238</v>
      </c>
      <c r="AD65" s="1728">
        <v>2246</v>
      </c>
      <c r="AE65" s="1728">
        <v>2557</v>
      </c>
      <c r="AF65" s="1728">
        <v>2411</v>
      </c>
      <c r="AG65" s="1570">
        <v>2682</v>
      </c>
      <c r="AH65" s="1570">
        <v>2732</v>
      </c>
      <c r="AI65" s="2010">
        <v>2449</v>
      </c>
      <c r="AJ65" s="2011">
        <v>2337</v>
      </c>
    </row>
    <row r="66" spans="1:36" x14ac:dyDescent="0.25">
      <c r="A66" s="402" t="s">
        <v>154</v>
      </c>
      <c r="B66" s="403" t="s">
        <v>500</v>
      </c>
      <c r="C66" s="410" t="s">
        <v>265</v>
      </c>
      <c r="D66" s="407">
        <v>0.14599999999999999</v>
      </c>
      <c r="E66" s="408">
        <v>0.13700000000000001</v>
      </c>
      <c r="F66" s="408">
        <v>0.151</v>
      </c>
      <c r="G66" s="408">
        <v>0.16700000000000001</v>
      </c>
      <c r="H66" s="408">
        <v>0.14199999999999999</v>
      </c>
      <c r="I66" s="408">
        <v>0.16699999999999998</v>
      </c>
      <c r="J66" s="408">
        <v>0.158</v>
      </c>
      <c r="K66" s="408">
        <v>0.16199999999999998</v>
      </c>
      <c r="L66" s="408">
        <v>0.18100000000000002</v>
      </c>
      <c r="M66" s="408">
        <v>0.18399999999999997</v>
      </c>
      <c r="N66" s="409">
        <v>0.20899999999999999</v>
      </c>
      <c r="O66" s="409">
        <v>0.21</v>
      </c>
      <c r="P66" s="409">
        <v>0.23</v>
      </c>
      <c r="Q66" s="1731">
        <v>0.230741146403797</v>
      </c>
      <c r="R66" s="2000">
        <v>0.21454545454545454</v>
      </c>
      <c r="S66" s="2005">
        <v>0.23229357798165137</v>
      </c>
      <c r="T66" s="1354"/>
      <c r="U66" s="1728">
        <v>454</v>
      </c>
      <c r="V66" s="1728">
        <v>424</v>
      </c>
      <c r="W66" s="1728">
        <v>472</v>
      </c>
      <c r="X66" s="1728">
        <v>512</v>
      </c>
      <c r="Y66" s="1728">
        <v>434</v>
      </c>
      <c r="Z66" s="1728">
        <v>504</v>
      </c>
      <c r="AA66" s="1728">
        <v>463</v>
      </c>
      <c r="AB66" s="1728">
        <v>479</v>
      </c>
      <c r="AC66" s="1728">
        <v>532</v>
      </c>
      <c r="AD66" s="1728">
        <v>536</v>
      </c>
      <c r="AE66" s="1728">
        <v>592</v>
      </c>
      <c r="AF66" s="1728">
        <v>599</v>
      </c>
      <c r="AG66" s="1570">
        <v>635</v>
      </c>
      <c r="AH66" s="1570">
        <v>632</v>
      </c>
      <c r="AI66" s="2010">
        <v>590</v>
      </c>
      <c r="AJ66" s="2011">
        <v>633</v>
      </c>
    </row>
    <row r="67" spans="1:36" x14ac:dyDescent="0.25">
      <c r="A67" s="402" t="s">
        <v>156</v>
      </c>
      <c r="B67" s="403" t="s">
        <v>501</v>
      </c>
      <c r="C67" s="410" t="s">
        <v>266</v>
      </c>
      <c r="D67" s="407">
        <v>7.8E-2</v>
      </c>
      <c r="E67" s="408">
        <v>7.0999999999999994E-2</v>
      </c>
      <c r="F67" s="408">
        <v>0.08</v>
      </c>
      <c r="G67" s="408">
        <v>8.4000000000000005E-2</v>
      </c>
      <c r="H67" s="408">
        <v>7.6999999999999999E-2</v>
      </c>
      <c r="I67" s="408">
        <v>8.1000000000000003E-2</v>
      </c>
      <c r="J67" s="408">
        <v>8.1000000000000003E-2</v>
      </c>
      <c r="K67" s="408">
        <v>7.5999999999999998E-2</v>
      </c>
      <c r="L67" s="408">
        <v>8.0999999999999989E-2</v>
      </c>
      <c r="M67" s="408">
        <v>8.8999999999999996E-2</v>
      </c>
      <c r="N67" s="409">
        <v>8.4000000000000005E-2</v>
      </c>
      <c r="O67" s="409">
        <v>0.10800000000000001</v>
      </c>
      <c r="P67" s="409">
        <v>0.104</v>
      </c>
      <c r="Q67" s="1731">
        <v>9.8985399653551104E-2</v>
      </c>
      <c r="R67" s="2000">
        <v>9.7235932872655473E-2</v>
      </c>
      <c r="S67" s="2005">
        <v>0.10213601767738767</v>
      </c>
      <c r="T67" s="1354"/>
      <c r="U67" s="1728">
        <v>257</v>
      </c>
      <c r="V67" s="1728">
        <v>233</v>
      </c>
      <c r="W67" s="1728">
        <v>270</v>
      </c>
      <c r="X67" s="1728">
        <v>291</v>
      </c>
      <c r="Y67" s="1728">
        <v>268</v>
      </c>
      <c r="Z67" s="1728">
        <v>280</v>
      </c>
      <c r="AA67" s="1728">
        <v>285</v>
      </c>
      <c r="AB67" s="1728">
        <v>285</v>
      </c>
      <c r="AC67" s="1728">
        <v>307</v>
      </c>
      <c r="AD67" s="1728">
        <v>341</v>
      </c>
      <c r="AE67" s="1728">
        <v>334</v>
      </c>
      <c r="AF67" s="1728">
        <v>428</v>
      </c>
      <c r="AG67" s="1570">
        <v>413</v>
      </c>
      <c r="AH67" s="1570">
        <v>400</v>
      </c>
      <c r="AI67" s="2010">
        <v>394</v>
      </c>
      <c r="AJ67" s="2011">
        <v>416</v>
      </c>
    </row>
    <row r="68" spans="1:36" x14ac:dyDescent="0.25">
      <c r="A68" s="402" t="s">
        <v>162</v>
      </c>
      <c r="B68" s="403" t="s">
        <v>502</v>
      </c>
      <c r="C68" s="410" t="s">
        <v>264</v>
      </c>
      <c r="D68" s="407">
        <v>0.27100000000000002</v>
      </c>
      <c r="E68" s="408">
        <v>0.24300000000000002</v>
      </c>
      <c r="F68" s="408">
        <v>0.252</v>
      </c>
      <c r="G68" s="408">
        <v>0.28400000000000003</v>
      </c>
      <c r="H68" s="408">
        <v>0.24399999999999997</v>
      </c>
      <c r="I68" s="408">
        <v>0.28500000000000003</v>
      </c>
      <c r="J68" s="408">
        <v>0.28299999999999997</v>
      </c>
      <c r="K68" s="408">
        <v>0.315</v>
      </c>
      <c r="L68" s="408">
        <v>0.30599999999999999</v>
      </c>
      <c r="M68" s="408">
        <v>0.32200000000000006</v>
      </c>
      <c r="N68" s="409">
        <v>0.316</v>
      </c>
      <c r="O68" s="409">
        <v>0.35100000000000003</v>
      </c>
      <c r="P68" s="409">
        <v>0.34599999999999997</v>
      </c>
      <c r="Q68" s="1731">
        <v>0.34269902085994042</v>
      </c>
      <c r="R68" s="2000">
        <v>0.3340283569641368</v>
      </c>
      <c r="S68" s="2005">
        <v>0.33663366336633666</v>
      </c>
      <c r="T68" s="1354"/>
      <c r="U68" s="1728">
        <v>794</v>
      </c>
      <c r="V68" s="1728">
        <v>719</v>
      </c>
      <c r="W68" s="1728">
        <v>775</v>
      </c>
      <c r="X68" s="1728">
        <v>838</v>
      </c>
      <c r="Y68" s="1728">
        <v>743</v>
      </c>
      <c r="Z68" s="1728">
        <v>853</v>
      </c>
      <c r="AA68" s="1728">
        <v>838</v>
      </c>
      <c r="AB68" s="1728">
        <v>922</v>
      </c>
      <c r="AC68" s="1728">
        <v>877</v>
      </c>
      <c r="AD68" s="1728">
        <v>933</v>
      </c>
      <c r="AE68" s="1728">
        <v>760</v>
      </c>
      <c r="AF68" s="1728">
        <v>843</v>
      </c>
      <c r="AG68" s="1570">
        <v>821</v>
      </c>
      <c r="AH68" s="1570">
        <v>805</v>
      </c>
      <c r="AI68" s="2010">
        <v>801</v>
      </c>
      <c r="AJ68" s="2011">
        <v>816</v>
      </c>
    </row>
    <row r="69" spans="1:36" x14ac:dyDescent="0.25">
      <c r="A69" s="402" t="s">
        <v>164</v>
      </c>
      <c r="B69" s="403" t="s">
        <v>503</v>
      </c>
      <c r="C69" s="410" t="s">
        <v>266</v>
      </c>
      <c r="D69" s="407">
        <v>0.20199999999999999</v>
      </c>
      <c r="E69" s="408">
        <v>0.18399999999999997</v>
      </c>
      <c r="F69" s="408">
        <v>0.20199999999999999</v>
      </c>
      <c r="G69" s="408">
        <v>0.218</v>
      </c>
      <c r="H69" s="408">
        <v>0.19</v>
      </c>
      <c r="I69" s="408">
        <v>0.22900000000000001</v>
      </c>
      <c r="J69" s="408">
        <v>0.23700000000000002</v>
      </c>
      <c r="K69" s="408">
        <v>0.23199999999999998</v>
      </c>
      <c r="L69" s="408">
        <v>0.247</v>
      </c>
      <c r="M69" s="408">
        <v>0.26600000000000001</v>
      </c>
      <c r="N69" s="409">
        <v>0.28200000000000003</v>
      </c>
      <c r="O69" s="409">
        <v>0.28300000000000003</v>
      </c>
      <c r="P69" s="409">
        <v>0.28699999999999998</v>
      </c>
      <c r="Q69" s="1731">
        <v>0.31003201707577377</v>
      </c>
      <c r="R69" s="2000">
        <v>0.30355276907001044</v>
      </c>
      <c r="S69" s="2005">
        <v>0.2900804289544236</v>
      </c>
      <c r="T69" s="1354"/>
      <c r="U69" s="1728">
        <v>445</v>
      </c>
      <c r="V69" s="1728">
        <v>422</v>
      </c>
      <c r="W69" s="1728">
        <v>472</v>
      </c>
      <c r="X69" s="1728">
        <v>502</v>
      </c>
      <c r="Y69" s="1728">
        <v>426</v>
      </c>
      <c r="Z69" s="1728">
        <v>506</v>
      </c>
      <c r="AA69" s="1728">
        <v>518</v>
      </c>
      <c r="AB69" s="1728">
        <v>526</v>
      </c>
      <c r="AC69" s="1728">
        <v>555</v>
      </c>
      <c r="AD69" s="1728">
        <v>549</v>
      </c>
      <c r="AE69" s="1728">
        <v>558</v>
      </c>
      <c r="AF69" s="1728">
        <v>559</v>
      </c>
      <c r="AG69" s="1570">
        <v>558</v>
      </c>
      <c r="AH69" s="1570">
        <v>581</v>
      </c>
      <c r="AI69" s="2010">
        <v>581</v>
      </c>
      <c r="AJ69" s="2011">
        <v>541</v>
      </c>
    </row>
    <row r="70" spans="1:36" x14ac:dyDescent="0.25">
      <c r="A70" s="402" t="s">
        <v>168</v>
      </c>
      <c r="B70" s="403" t="s">
        <v>504</v>
      </c>
      <c r="C70" s="410" t="s">
        <v>266</v>
      </c>
      <c r="D70" s="407">
        <v>0.224</v>
      </c>
      <c r="E70" s="408">
        <v>0.20200000000000001</v>
      </c>
      <c r="F70" s="408">
        <v>0.21699999999999997</v>
      </c>
      <c r="G70" s="408">
        <v>0.23899999999999999</v>
      </c>
      <c r="H70" s="408">
        <v>0.218</v>
      </c>
      <c r="I70" s="408">
        <v>0.26300000000000001</v>
      </c>
      <c r="J70" s="408">
        <v>0.25</v>
      </c>
      <c r="K70" s="408">
        <v>0.24899999999999997</v>
      </c>
      <c r="L70" s="408">
        <v>0.27200000000000002</v>
      </c>
      <c r="M70" s="408">
        <v>0.27499999999999997</v>
      </c>
      <c r="N70" s="409">
        <v>0.27900000000000003</v>
      </c>
      <c r="O70" s="409">
        <v>0.29100000000000004</v>
      </c>
      <c r="P70" s="409">
        <v>0.29899999999999999</v>
      </c>
      <c r="Q70" s="1731">
        <v>0.29323797139141744</v>
      </c>
      <c r="R70" s="2000">
        <v>0.30859872611464967</v>
      </c>
      <c r="S70" s="2005">
        <v>0.28728923476005186</v>
      </c>
      <c r="T70" s="1354"/>
      <c r="U70" s="1728">
        <v>799</v>
      </c>
      <c r="V70" s="1728">
        <v>698</v>
      </c>
      <c r="W70" s="1728">
        <v>748</v>
      </c>
      <c r="X70" s="1728">
        <v>826</v>
      </c>
      <c r="Y70" s="1728">
        <v>733</v>
      </c>
      <c r="Z70" s="1728">
        <v>873</v>
      </c>
      <c r="AA70" s="1728">
        <v>811</v>
      </c>
      <c r="AB70" s="1728">
        <v>798</v>
      </c>
      <c r="AC70" s="1728">
        <v>862</v>
      </c>
      <c r="AD70" s="1728">
        <v>901</v>
      </c>
      <c r="AE70" s="1728">
        <v>895</v>
      </c>
      <c r="AF70" s="1728">
        <v>940</v>
      </c>
      <c r="AG70" s="1570">
        <v>950</v>
      </c>
      <c r="AH70" s="1570">
        <v>902</v>
      </c>
      <c r="AI70" s="2010">
        <v>969</v>
      </c>
      <c r="AJ70" s="2011">
        <v>886</v>
      </c>
    </row>
    <row r="71" spans="1:36" x14ac:dyDescent="0.25">
      <c r="A71" s="402" t="s">
        <v>170</v>
      </c>
      <c r="B71" s="403" t="s">
        <v>505</v>
      </c>
      <c r="C71" s="410" t="s">
        <v>267</v>
      </c>
      <c r="D71" s="407">
        <v>0.128</v>
      </c>
      <c r="E71" s="408">
        <v>0.115</v>
      </c>
      <c r="F71" s="408">
        <v>0.11699999999999999</v>
      </c>
      <c r="G71" s="408">
        <v>0.123</v>
      </c>
      <c r="H71" s="408">
        <v>0.112</v>
      </c>
      <c r="I71" s="408">
        <v>0.129</v>
      </c>
      <c r="J71" s="408">
        <v>0.10800000000000001</v>
      </c>
      <c r="K71" s="408">
        <v>0.10800000000000001</v>
      </c>
      <c r="L71" s="408">
        <v>0.11699999999999999</v>
      </c>
      <c r="M71" s="408">
        <v>0.13899999999999998</v>
      </c>
      <c r="N71" s="409">
        <v>0.14799999999999999</v>
      </c>
      <c r="O71" s="409">
        <v>0.17199999999999999</v>
      </c>
      <c r="P71" s="409">
        <v>0.14299999999999999</v>
      </c>
      <c r="Q71" s="1731">
        <v>0.15467720685111991</v>
      </c>
      <c r="R71" s="2000">
        <v>0.15748550342646284</v>
      </c>
      <c r="S71" s="2005">
        <v>0.15186700092360469</v>
      </c>
      <c r="T71" s="1354"/>
      <c r="U71" s="1728">
        <v>767</v>
      </c>
      <c r="V71" s="1728">
        <v>694</v>
      </c>
      <c r="W71" s="1728">
        <v>724</v>
      </c>
      <c r="X71" s="1728">
        <v>778</v>
      </c>
      <c r="Y71" s="1728">
        <v>722</v>
      </c>
      <c r="Z71" s="1728">
        <v>825</v>
      </c>
      <c r="AA71" s="1728">
        <v>706</v>
      </c>
      <c r="AB71" s="1728">
        <v>774</v>
      </c>
      <c r="AC71" s="1728">
        <v>845</v>
      </c>
      <c r="AD71" s="1728">
        <v>1051</v>
      </c>
      <c r="AE71" s="1728">
        <v>1120</v>
      </c>
      <c r="AF71" s="1728">
        <v>1292</v>
      </c>
      <c r="AG71" s="1570">
        <v>1081</v>
      </c>
      <c r="AH71" s="1570">
        <v>1174</v>
      </c>
      <c r="AI71" s="2010">
        <v>1195</v>
      </c>
      <c r="AJ71" s="2011">
        <v>1151</v>
      </c>
    </row>
    <row r="72" spans="1:36" x14ac:dyDescent="0.25">
      <c r="A72" s="402" t="s">
        <v>172</v>
      </c>
      <c r="B72" s="403" t="s">
        <v>506</v>
      </c>
      <c r="C72" s="410" t="s">
        <v>267</v>
      </c>
      <c r="D72" s="407">
        <v>0.157</v>
      </c>
      <c r="E72" s="408">
        <v>0.14300000000000002</v>
      </c>
      <c r="F72" s="408">
        <v>0.153</v>
      </c>
      <c r="G72" s="408">
        <v>0.17300000000000001</v>
      </c>
      <c r="H72" s="408">
        <v>0.158</v>
      </c>
      <c r="I72" s="408">
        <v>0.19500000000000001</v>
      </c>
      <c r="J72" s="408">
        <v>0.18300000000000002</v>
      </c>
      <c r="K72" s="408">
        <v>0.17899999999999999</v>
      </c>
      <c r="L72" s="408">
        <v>0.20800000000000002</v>
      </c>
      <c r="M72" s="408">
        <v>0.20700000000000002</v>
      </c>
      <c r="N72" s="409">
        <v>0.22700000000000001</v>
      </c>
      <c r="O72" s="409">
        <v>0.23499999999999999</v>
      </c>
      <c r="P72" s="409">
        <v>0.215</v>
      </c>
      <c r="Q72" s="1731">
        <v>0.22322364284217144</v>
      </c>
      <c r="R72" s="2000">
        <v>0.23797574236721036</v>
      </c>
      <c r="S72" s="2005">
        <v>0.23204068658614113</v>
      </c>
      <c r="T72" s="1354"/>
      <c r="U72" s="1728">
        <v>816</v>
      </c>
      <c r="V72" s="1728">
        <v>734</v>
      </c>
      <c r="W72" s="1728">
        <v>796</v>
      </c>
      <c r="X72" s="1728">
        <v>895</v>
      </c>
      <c r="Y72" s="1728">
        <v>819</v>
      </c>
      <c r="Z72" s="1728">
        <v>997</v>
      </c>
      <c r="AA72" s="1728">
        <v>926</v>
      </c>
      <c r="AB72" s="1728">
        <v>899</v>
      </c>
      <c r="AC72" s="1728">
        <v>1035</v>
      </c>
      <c r="AD72" s="1728">
        <v>1031</v>
      </c>
      <c r="AE72" s="1728">
        <v>1159</v>
      </c>
      <c r="AF72" s="1728">
        <v>1172</v>
      </c>
      <c r="AG72" s="1570">
        <v>1049</v>
      </c>
      <c r="AH72" s="1570">
        <v>1065</v>
      </c>
      <c r="AI72" s="2010">
        <v>1138</v>
      </c>
      <c r="AJ72" s="2011">
        <v>1095</v>
      </c>
    </row>
    <row r="73" spans="1:36" x14ac:dyDescent="0.25">
      <c r="A73" s="402" t="s">
        <v>174</v>
      </c>
      <c r="B73" s="403" t="s">
        <v>507</v>
      </c>
      <c r="C73" s="410" t="s">
        <v>268</v>
      </c>
      <c r="D73" s="407">
        <v>0.18000000000000002</v>
      </c>
      <c r="E73" s="408">
        <v>0.16899999999999998</v>
      </c>
      <c r="F73" s="408">
        <v>0.18399999999999997</v>
      </c>
      <c r="G73" s="408">
        <v>0.218</v>
      </c>
      <c r="H73" s="408">
        <v>0.19500000000000001</v>
      </c>
      <c r="I73" s="408">
        <v>0.22700000000000001</v>
      </c>
      <c r="J73" s="408">
        <v>0.20799999999999999</v>
      </c>
      <c r="K73" s="408">
        <v>0.221</v>
      </c>
      <c r="L73" s="408">
        <v>0.24399999999999999</v>
      </c>
      <c r="M73" s="408">
        <v>0.26699999999999996</v>
      </c>
      <c r="N73" s="409">
        <v>0.28100000000000003</v>
      </c>
      <c r="O73" s="409">
        <v>0.27</v>
      </c>
      <c r="P73" s="409">
        <v>0.27200000000000002</v>
      </c>
      <c r="Q73" s="1731">
        <v>0.28174123337363965</v>
      </c>
      <c r="R73" s="2000">
        <v>0.31790312691600248</v>
      </c>
      <c r="S73" s="2005">
        <v>0.25541941564561732</v>
      </c>
      <c r="T73" s="1354"/>
      <c r="U73" s="1728">
        <v>736</v>
      </c>
      <c r="V73" s="1728">
        <v>671</v>
      </c>
      <c r="W73" s="1728">
        <v>723</v>
      </c>
      <c r="X73" s="1728">
        <v>848</v>
      </c>
      <c r="Y73" s="1728">
        <v>748</v>
      </c>
      <c r="Z73" s="1728">
        <v>859</v>
      </c>
      <c r="AA73" s="1728">
        <v>767</v>
      </c>
      <c r="AB73" s="1728">
        <v>803</v>
      </c>
      <c r="AC73" s="1728">
        <v>863</v>
      </c>
      <c r="AD73" s="1728">
        <v>928</v>
      </c>
      <c r="AE73" s="1728">
        <v>978</v>
      </c>
      <c r="AF73" s="1728">
        <v>919</v>
      </c>
      <c r="AG73" s="1570">
        <v>900</v>
      </c>
      <c r="AH73" s="1570">
        <v>932</v>
      </c>
      <c r="AI73" s="2010">
        <v>1037</v>
      </c>
      <c r="AJ73" s="2011">
        <v>813</v>
      </c>
    </row>
    <row r="74" spans="1:36" x14ac:dyDescent="0.25">
      <c r="A74" s="402" t="s">
        <v>178</v>
      </c>
      <c r="B74" s="403" t="s">
        <v>179</v>
      </c>
      <c r="C74" s="410" t="s">
        <v>265</v>
      </c>
      <c r="D74" s="407">
        <v>0.14599999999999999</v>
      </c>
      <c r="E74" s="408">
        <v>0.14100000000000001</v>
      </c>
      <c r="F74" s="408">
        <v>0.16500000000000001</v>
      </c>
      <c r="G74" s="408">
        <v>0.182</v>
      </c>
      <c r="H74" s="408">
        <v>0.16300000000000001</v>
      </c>
      <c r="I74" s="408">
        <v>0.19</v>
      </c>
      <c r="J74" s="408">
        <v>0.17599999999999999</v>
      </c>
      <c r="K74" s="408">
        <v>0.17199999999999999</v>
      </c>
      <c r="L74" s="408">
        <v>0.18300000000000002</v>
      </c>
      <c r="M74" s="408">
        <v>0.20499999999999999</v>
      </c>
      <c r="N74" s="409">
        <v>0.224</v>
      </c>
      <c r="O74" s="409">
        <v>0.20800000000000002</v>
      </c>
      <c r="P74" s="409">
        <v>0.21099999999999999</v>
      </c>
      <c r="Q74" s="1731">
        <v>0.21290637985822539</v>
      </c>
      <c r="R74" s="2000">
        <v>0.20068694798822376</v>
      </c>
      <c r="S74" s="2005">
        <v>0.25557742782152232</v>
      </c>
      <c r="T74" s="1354"/>
      <c r="U74" s="1728">
        <v>2045</v>
      </c>
      <c r="V74" s="1728">
        <v>1937</v>
      </c>
      <c r="W74" s="1728">
        <v>2274</v>
      </c>
      <c r="X74" s="1728">
        <v>2478</v>
      </c>
      <c r="Y74" s="1728">
        <v>2214</v>
      </c>
      <c r="Z74" s="1728">
        <v>2542</v>
      </c>
      <c r="AA74" s="1728">
        <v>2278</v>
      </c>
      <c r="AB74" s="1728">
        <v>2198</v>
      </c>
      <c r="AC74" s="1728">
        <v>2305</v>
      </c>
      <c r="AD74" s="1728">
        <v>2664</v>
      </c>
      <c r="AE74" s="1728">
        <v>2968</v>
      </c>
      <c r="AF74" s="1728">
        <v>2694</v>
      </c>
      <c r="AG74" s="1570">
        <v>2639</v>
      </c>
      <c r="AH74" s="1570">
        <v>2613</v>
      </c>
      <c r="AI74" s="2010">
        <v>2454</v>
      </c>
      <c r="AJ74" s="2011">
        <v>3116</v>
      </c>
    </row>
    <row r="75" spans="1:36" x14ac:dyDescent="0.25">
      <c r="A75" s="402" t="s">
        <v>182</v>
      </c>
      <c r="B75" s="403" t="s">
        <v>509</v>
      </c>
      <c r="C75" s="410" t="s">
        <v>266</v>
      </c>
      <c r="D75" s="407">
        <v>7.0000000000000007E-2</v>
      </c>
      <c r="E75" s="408">
        <v>0.06</v>
      </c>
      <c r="F75" s="408">
        <v>6.3E-2</v>
      </c>
      <c r="G75" s="408">
        <v>7.0999999999999994E-2</v>
      </c>
      <c r="H75" s="408">
        <v>6.7000000000000004E-2</v>
      </c>
      <c r="I75" s="408">
        <v>6.9000000000000006E-2</v>
      </c>
      <c r="J75" s="408">
        <v>6.5000000000000002E-2</v>
      </c>
      <c r="K75" s="408">
        <v>6.4000000000000001E-2</v>
      </c>
      <c r="L75" s="408">
        <v>7.400000000000001E-2</v>
      </c>
      <c r="M75" s="408">
        <v>7.6999999999999999E-2</v>
      </c>
      <c r="N75" s="409">
        <v>9.1999999999999985E-2</v>
      </c>
      <c r="O75" s="409">
        <v>9.6999999999999989E-2</v>
      </c>
      <c r="P75" s="409">
        <v>9.2999999999999999E-2</v>
      </c>
      <c r="Q75" s="1731">
        <v>9.1792858478220232E-2</v>
      </c>
      <c r="R75" s="2000">
        <v>9.1012514220705346E-2</v>
      </c>
      <c r="S75" s="2005">
        <v>8.479814564419548E-2</v>
      </c>
      <c r="T75" s="1354"/>
      <c r="U75" s="1728">
        <v>373</v>
      </c>
      <c r="V75" s="1728">
        <v>324</v>
      </c>
      <c r="W75" s="1728">
        <v>346</v>
      </c>
      <c r="X75" s="1728">
        <v>403</v>
      </c>
      <c r="Y75" s="1728">
        <v>386</v>
      </c>
      <c r="Z75" s="1728">
        <v>392</v>
      </c>
      <c r="AA75" s="1728">
        <v>373</v>
      </c>
      <c r="AB75" s="1728">
        <v>382</v>
      </c>
      <c r="AC75" s="1728">
        <v>433</v>
      </c>
      <c r="AD75" s="1728">
        <v>472</v>
      </c>
      <c r="AE75" s="1728">
        <v>569</v>
      </c>
      <c r="AF75" s="1728">
        <v>576</v>
      </c>
      <c r="AG75" s="1570">
        <v>537</v>
      </c>
      <c r="AH75" s="1570">
        <v>491</v>
      </c>
      <c r="AI75" s="2010">
        <v>480</v>
      </c>
      <c r="AJ75" s="2011">
        <v>439</v>
      </c>
    </row>
    <row r="76" spans="1:36" x14ac:dyDescent="0.25">
      <c r="A76" s="402" t="s">
        <v>184</v>
      </c>
      <c r="B76" s="403" t="s">
        <v>510</v>
      </c>
      <c r="C76" s="410" t="s">
        <v>266</v>
      </c>
      <c r="D76" s="407">
        <v>0.22399999999999998</v>
      </c>
      <c r="E76" s="408">
        <v>0.20199999999999999</v>
      </c>
      <c r="F76" s="408">
        <v>0.218</v>
      </c>
      <c r="G76" s="408">
        <v>0.23399999999999999</v>
      </c>
      <c r="H76" s="408">
        <v>0.21800000000000003</v>
      </c>
      <c r="I76" s="408">
        <v>0.26</v>
      </c>
      <c r="J76" s="408">
        <v>0.249</v>
      </c>
      <c r="K76" s="408">
        <v>0.23899999999999999</v>
      </c>
      <c r="L76" s="408">
        <v>0.26600000000000001</v>
      </c>
      <c r="M76" s="408">
        <v>0.25600000000000001</v>
      </c>
      <c r="N76" s="409">
        <v>0.27</v>
      </c>
      <c r="O76" s="409">
        <v>0.27300000000000002</v>
      </c>
      <c r="P76" s="409">
        <v>0.28699999999999998</v>
      </c>
      <c r="Q76" s="1731">
        <v>0.29288025889967639</v>
      </c>
      <c r="R76" s="2000">
        <v>0.30136986301369861</v>
      </c>
      <c r="S76" s="2005">
        <v>0.29112524191318773</v>
      </c>
      <c r="T76" s="1354"/>
      <c r="U76" s="1728">
        <v>864</v>
      </c>
      <c r="V76" s="1728">
        <v>791</v>
      </c>
      <c r="W76" s="1728">
        <v>876</v>
      </c>
      <c r="X76" s="1728">
        <v>918</v>
      </c>
      <c r="Y76" s="1728">
        <v>850</v>
      </c>
      <c r="Z76" s="1728">
        <v>1000</v>
      </c>
      <c r="AA76" s="1728">
        <v>935</v>
      </c>
      <c r="AB76" s="1728">
        <v>919</v>
      </c>
      <c r="AC76" s="1728">
        <v>1023</v>
      </c>
      <c r="AD76" s="1728">
        <v>990</v>
      </c>
      <c r="AE76" s="1728">
        <v>1071</v>
      </c>
      <c r="AF76" s="1728">
        <v>1069</v>
      </c>
      <c r="AG76" s="1570">
        <v>1123</v>
      </c>
      <c r="AH76" s="1570">
        <v>1086</v>
      </c>
      <c r="AI76" s="2010">
        <v>1122</v>
      </c>
      <c r="AJ76" s="2011">
        <v>1053</v>
      </c>
    </row>
    <row r="77" spans="1:36" x14ac:dyDescent="0.25">
      <c r="A77" s="402" t="s">
        <v>186</v>
      </c>
      <c r="B77" s="403" t="s">
        <v>511</v>
      </c>
      <c r="C77" s="410" t="s">
        <v>264</v>
      </c>
      <c r="D77" s="407">
        <v>9.6000000000000002E-2</v>
      </c>
      <c r="E77" s="408">
        <v>8.6000000000000007E-2</v>
      </c>
      <c r="F77" s="408">
        <v>8.5000000000000006E-2</v>
      </c>
      <c r="G77" s="408">
        <v>0.115</v>
      </c>
      <c r="H77" s="408">
        <v>9.6999999999999989E-2</v>
      </c>
      <c r="I77" s="408">
        <v>0.10300000000000001</v>
      </c>
      <c r="J77" s="408">
        <v>0.10400000000000001</v>
      </c>
      <c r="K77" s="408">
        <v>0.111</v>
      </c>
      <c r="L77" s="408">
        <v>0.128</v>
      </c>
      <c r="M77" s="408">
        <v>0.11599999999999999</v>
      </c>
      <c r="N77" s="409">
        <v>0.127</v>
      </c>
      <c r="O77" s="409">
        <v>0.13600000000000001</v>
      </c>
      <c r="P77" s="409">
        <v>0.126</v>
      </c>
      <c r="Q77" s="1731">
        <v>0.14816237674478167</v>
      </c>
      <c r="R77" s="2000">
        <v>0.13015710818750797</v>
      </c>
      <c r="S77" s="2005">
        <v>0.12265331664580725</v>
      </c>
      <c r="T77" s="1354"/>
      <c r="U77" s="1728">
        <v>795</v>
      </c>
      <c r="V77" s="1728">
        <v>708</v>
      </c>
      <c r="W77" s="1728">
        <v>695</v>
      </c>
      <c r="X77" s="1728">
        <v>924</v>
      </c>
      <c r="Y77" s="1728">
        <v>778</v>
      </c>
      <c r="Z77" s="1728">
        <v>816</v>
      </c>
      <c r="AA77" s="1728">
        <v>785</v>
      </c>
      <c r="AB77" s="1728">
        <v>819</v>
      </c>
      <c r="AC77" s="1728">
        <v>931</v>
      </c>
      <c r="AD77" s="1728">
        <v>941</v>
      </c>
      <c r="AE77" s="1728">
        <v>1006</v>
      </c>
      <c r="AF77" s="1728">
        <v>1111</v>
      </c>
      <c r="AG77" s="1570">
        <v>1011</v>
      </c>
      <c r="AH77" s="1570">
        <v>1157</v>
      </c>
      <c r="AI77" s="2010">
        <v>1019</v>
      </c>
      <c r="AJ77" s="2011">
        <v>980</v>
      </c>
    </row>
    <row r="78" spans="1:36" x14ac:dyDescent="0.25">
      <c r="A78" s="402" t="s">
        <v>188</v>
      </c>
      <c r="B78" s="403" t="s">
        <v>512</v>
      </c>
      <c r="C78" s="410" t="s">
        <v>267</v>
      </c>
      <c r="D78" s="407">
        <v>6.4000000000000001E-2</v>
      </c>
      <c r="E78" s="408">
        <v>0.06</v>
      </c>
      <c r="F78" s="408">
        <v>7.2999999999999995E-2</v>
      </c>
      <c r="G78" s="408">
        <v>8.1000000000000003E-2</v>
      </c>
      <c r="H78" s="408">
        <v>7.2000000000000008E-2</v>
      </c>
      <c r="I78" s="408">
        <v>7.0000000000000007E-2</v>
      </c>
      <c r="J78" s="408">
        <v>7.0000000000000007E-2</v>
      </c>
      <c r="K78" s="408">
        <v>6.7999999999999991E-2</v>
      </c>
      <c r="L78" s="408">
        <v>7.4999999999999997E-2</v>
      </c>
      <c r="M78" s="408">
        <v>8.2000000000000003E-2</v>
      </c>
      <c r="N78" s="409">
        <v>8.4999999999999992E-2</v>
      </c>
      <c r="O78" s="409">
        <v>9.6999999999999989E-2</v>
      </c>
      <c r="P78" s="409">
        <v>9.6000000000000002E-2</v>
      </c>
      <c r="Q78" s="1731">
        <v>0.10001145231745824</v>
      </c>
      <c r="R78" s="2000">
        <v>0.10445084594473973</v>
      </c>
      <c r="S78" s="2005">
        <v>8.9921652421652426E-2</v>
      </c>
      <c r="T78" s="1354"/>
      <c r="U78" s="1728">
        <v>5688</v>
      </c>
      <c r="V78" s="1728">
        <v>5592</v>
      </c>
      <c r="W78" s="1728">
        <v>7107</v>
      </c>
      <c r="X78" s="1728">
        <v>8029</v>
      </c>
      <c r="Y78" s="1728">
        <v>7411</v>
      </c>
      <c r="Z78" s="1728">
        <v>7148</v>
      </c>
      <c r="AA78" s="1728">
        <v>7105</v>
      </c>
      <c r="AB78" s="1728">
        <v>7135</v>
      </c>
      <c r="AC78" s="1728">
        <v>7921</v>
      </c>
      <c r="AD78" s="1728">
        <v>9006</v>
      </c>
      <c r="AE78" s="1728">
        <v>9782</v>
      </c>
      <c r="AF78" s="1728">
        <v>11468</v>
      </c>
      <c r="AG78" s="1570">
        <v>11471</v>
      </c>
      <c r="AH78" s="1570">
        <v>12226</v>
      </c>
      <c r="AI78" s="2010">
        <v>12872</v>
      </c>
      <c r="AJ78" s="2011">
        <v>11110</v>
      </c>
    </row>
    <row r="79" spans="1:36" x14ac:dyDescent="0.25">
      <c r="A79" s="402" t="s">
        <v>190</v>
      </c>
      <c r="B79" s="403" t="s">
        <v>513</v>
      </c>
      <c r="C79" s="410" t="s">
        <v>268</v>
      </c>
      <c r="D79" s="407">
        <v>0.16499999999999998</v>
      </c>
      <c r="E79" s="408">
        <v>0.156</v>
      </c>
      <c r="F79" s="408">
        <v>0.17399999999999999</v>
      </c>
      <c r="G79" s="408">
        <v>0.193</v>
      </c>
      <c r="H79" s="408">
        <v>0.18100000000000002</v>
      </c>
      <c r="I79" s="408">
        <v>0.21299999999999999</v>
      </c>
      <c r="J79" s="408">
        <v>0.19</v>
      </c>
      <c r="K79" s="408">
        <v>0.19800000000000001</v>
      </c>
      <c r="L79" s="408">
        <v>0.20799999999999999</v>
      </c>
      <c r="M79" s="408">
        <v>0.20600000000000002</v>
      </c>
      <c r="N79" s="409">
        <v>0.23399999999999999</v>
      </c>
      <c r="O79" s="409">
        <v>0.23899999999999999</v>
      </c>
      <c r="P79" s="409">
        <v>0.23100000000000001</v>
      </c>
      <c r="Q79" s="1731">
        <v>0.22259669394960679</v>
      </c>
      <c r="R79" s="2000">
        <v>0.22134578235672892</v>
      </c>
      <c r="S79" s="2005">
        <v>0.2212303197532868</v>
      </c>
      <c r="T79" s="1354"/>
      <c r="U79" s="1728">
        <v>1182</v>
      </c>
      <c r="V79" s="1728">
        <v>1105</v>
      </c>
      <c r="W79" s="1728">
        <v>1244</v>
      </c>
      <c r="X79" s="1728">
        <v>1354</v>
      </c>
      <c r="Y79" s="1728">
        <v>1250</v>
      </c>
      <c r="Z79" s="1728">
        <v>1456</v>
      </c>
      <c r="AA79" s="1728">
        <v>1284</v>
      </c>
      <c r="AB79" s="1728">
        <v>1334</v>
      </c>
      <c r="AC79" s="1728">
        <v>1377</v>
      </c>
      <c r="AD79" s="1728">
        <v>1352</v>
      </c>
      <c r="AE79" s="1728">
        <v>1557</v>
      </c>
      <c r="AF79" s="1728">
        <v>1564</v>
      </c>
      <c r="AG79" s="1570">
        <v>1472</v>
      </c>
      <c r="AH79" s="1570">
        <v>1387</v>
      </c>
      <c r="AI79" s="2010">
        <v>1375</v>
      </c>
      <c r="AJ79" s="2011">
        <v>1363</v>
      </c>
    </row>
    <row r="80" spans="1:36" x14ac:dyDescent="0.25">
      <c r="A80" s="402" t="s">
        <v>194</v>
      </c>
      <c r="B80" s="403" t="s">
        <v>195</v>
      </c>
      <c r="C80" s="410" t="s">
        <v>267</v>
      </c>
      <c r="D80" s="407">
        <v>0.122</v>
      </c>
      <c r="E80" s="408">
        <v>0.11399999999999999</v>
      </c>
      <c r="F80" s="408">
        <v>0.10500000000000001</v>
      </c>
      <c r="G80" s="408">
        <v>0.109</v>
      </c>
      <c r="H80" s="408">
        <v>0.09</v>
      </c>
      <c r="I80" s="408">
        <v>0.10199999999999998</v>
      </c>
      <c r="J80" s="408">
        <v>0.10300000000000001</v>
      </c>
      <c r="K80" s="408">
        <v>0.11499999999999999</v>
      </c>
      <c r="L80" s="408">
        <v>0.13300000000000001</v>
      </c>
      <c r="M80" s="408">
        <v>0.14199999999999999</v>
      </c>
      <c r="N80" s="409">
        <v>0.155</v>
      </c>
      <c r="O80" s="409">
        <v>0.16200000000000001</v>
      </c>
      <c r="P80" s="409">
        <v>0.17100000000000001</v>
      </c>
      <c r="Q80" s="1731">
        <v>0.17655571635311143</v>
      </c>
      <c r="R80" s="2000">
        <v>0.16562499999999999</v>
      </c>
      <c r="S80" s="2005">
        <v>0.15553809897879026</v>
      </c>
      <c r="T80" s="1354"/>
      <c r="U80" s="1728">
        <v>190</v>
      </c>
      <c r="V80" s="1728">
        <v>178</v>
      </c>
      <c r="W80" s="1728">
        <v>161</v>
      </c>
      <c r="X80" s="1728">
        <v>165</v>
      </c>
      <c r="Y80" s="1728">
        <v>134</v>
      </c>
      <c r="Z80" s="1728">
        <v>149</v>
      </c>
      <c r="AA80" s="1728">
        <v>149</v>
      </c>
      <c r="AB80" s="1728">
        <v>165</v>
      </c>
      <c r="AC80" s="1728">
        <v>186</v>
      </c>
      <c r="AD80" s="1728">
        <v>199</v>
      </c>
      <c r="AE80" s="1728">
        <v>222</v>
      </c>
      <c r="AF80" s="1728">
        <v>231</v>
      </c>
      <c r="AG80" s="1570">
        <v>235</v>
      </c>
      <c r="AH80" s="1570">
        <v>244</v>
      </c>
      <c r="AI80" s="2010">
        <v>212</v>
      </c>
      <c r="AJ80" s="2011">
        <v>198</v>
      </c>
    </row>
    <row r="81" spans="1:36" x14ac:dyDescent="0.25">
      <c r="A81" s="402" t="s">
        <v>198</v>
      </c>
      <c r="B81" s="403" t="s">
        <v>272</v>
      </c>
      <c r="C81" s="410" t="s">
        <v>266</v>
      </c>
      <c r="D81" s="407">
        <v>0.189</v>
      </c>
      <c r="E81" s="408">
        <v>0.17600000000000002</v>
      </c>
      <c r="F81" s="408">
        <v>0.185</v>
      </c>
      <c r="G81" s="408">
        <v>0.20100000000000001</v>
      </c>
      <c r="H81" s="408">
        <v>0.187</v>
      </c>
      <c r="I81" s="408">
        <v>0.21299999999999999</v>
      </c>
      <c r="J81" s="408">
        <v>0.19900000000000001</v>
      </c>
      <c r="K81" s="408">
        <v>0.21500000000000002</v>
      </c>
      <c r="L81" s="408">
        <v>0.20899999999999999</v>
      </c>
      <c r="M81" s="408">
        <v>0.21899999999999997</v>
      </c>
      <c r="N81" s="409">
        <v>0.23799999999999999</v>
      </c>
      <c r="O81" s="409">
        <v>0.25900000000000001</v>
      </c>
      <c r="P81" s="409">
        <v>0.24099999999999999</v>
      </c>
      <c r="Q81" s="1731">
        <v>0.25810810810810808</v>
      </c>
      <c r="R81" s="2000">
        <v>0.23908663532572197</v>
      </c>
      <c r="S81" s="2005">
        <v>0.22988505747126436</v>
      </c>
      <c r="T81" s="1354"/>
      <c r="U81" s="1728">
        <v>293</v>
      </c>
      <c r="V81" s="1728">
        <v>262</v>
      </c>
      <c r="W81" s="1728">
        <v>278</v>
      </c>
      <c r="X81" s="1728">
        <v>304</v>
      </c>
      <c r="Y81" s="1728">
        <v>269</v>
      </c>
      <c r="Z81" s="1728">
        <v>305</v>
      </c>
      <c r="AA81" s="1728">
        <v>284</v>
      </c>
      <c r="AB81" s="1728">
        <v>317</v>
      </c>
      <c r="AC81" s="1728">
        <v>308</v>
      </c>
      <c r="AD81" s="1728">
        <v>325</v>
      </c>
      <c r="AE81" s="1728">
        <v>365</v>
      </c>
      <c r="AF81" s="1728">
        <v>394</v>
      </c>
      <c r="AG81" s="1570">
        <v>366</v>
      </c>
      <c r="AH81" s="1570">
        <v>382</v>
      </c>
      <c r="AI81" s="2010">
        <v>356</v>
      </c>
      <c r="AJ81" s="2011">
        <v>340</v>
      </c>
    </row>
    <row r="82" spans="1:36" x14ac:dyDescent="0.25">
      <c r="A82" s="402" t="s">
        <v>202</v>
      </c>
      <c r="B82" s="403" t="s">
        <v>611</v>
      </c>
      <c r="C82" s="410" t="s">
        <v>265</v>
      </c>
      <c r="D82" s="407">
        <v>6.8193940308644313E-2</v>
      </c>
      <c r="E82" s="408">
        <v>6.5974551764025446E-2</v>
      </c>
      <c r="F82" s="408">
        <v>7.944924009010175E-2</v>
      </c>
      <c r="G82" s="408">
        <v>9.4153362380463512E-2</v>
      </c>
      <c r="H82" s="408">
        <v>8.4813546374689658E-2</v>
      </c>
      <c r="I82" s="408">
        <v>8.02463426937952E-2</v>
      </c>
      <c r="J82" s="408">
        <v>7.7264923917284428E-2</v>
      </c>
      <c r="K82" s="408">
        <v>8.1615503397158728E-2</v>
      </c>
      <c r="L82" s="408">
        <v>8.5679896462467639E-2</v>
      </c>
      <c r="M82" s="408">
        <v>9.3418944062637801E-2</v>
      </c>
      <c r="N82" s="409">
        <v>0.10149676712900199</v>
      </c>
      <c r="O82" s="409">
        <v>0.252</v>
      </c>
      <c r="P82" s="409">
        <v>0.105</v>
      </c>
      <c r="Q82" s="1731">
        <v>0.10698493285293155</v>
      </c>
      <c r="R82" s="2000">
        <v>0.11178384612216319</v>
      </c>
      <c r="S82" s="2005">
        <v>0.10266804550155119</v>
      </c>
      <c r="T82" s="1354"/>
      <c r="U82" s="1728">
        <v>1630</v>
      </c>
      <c r="V82" s="1728">
        <v>1584</v>
      </c>
      <c r="W82" s="1728">
        <v>1955</v>
      </c>
      <c r="X82" s="1728">
        <v>2276</v>
      </c>
      <c r="Y82" s="1728">
        <v>2031</v>
      </c>
      <c r="Z82" s="1728">
        <v>1890</v>
      </c>
      <c r="AA82" s="1728">
        <v>1886</v>
      </c>
      <c r="AB82" s="1728">
        <v>1987</v>
      </c>
      <c r="AC82" s="1728">
        <v>2095</v>
      </c>
      <c r="AD82" s="1728">
        <v>2424</v>
      </c>
      <c r="AE82" s="1728">
        <v>2510</v>
      </c>
      <c r="AF82" s="1728">
        <v>2734</v>
      </c>
      <c r="AG82" s="1570">
        <v>2531</v>
      </c>
      <c r="AH82" s="1570">
        <v>2613</v>
      </c>
      <c r="AI82" s="2010">
        <v>2714</v>
      </c>
      <c r="AJ82" s="2011">
        <v>2482</v>
      </c>
    </row>
    <row r="83" spans="1:36" x14ac:dyDescent="0.25">
      <c r="A83" s="402" t="s">
        <v>204</v>
      </c>
      <c r="B83" s="403" t="s">
        <v>757</v>
      </c>
      <c r="C83" s="410" t="s">
        <v>265</v>
      </c>
      <c r="D83" s="407">
        <v>0.12251567942620668</v>
      </c>
      <c r="E83" s="408">
        <v>0.11493050403158708</v>
      </c>
      <c r="F83" s="408">
        <v>0.13090330456689325</v>
      </c>
      <c r="G83" s="408">
        <v>0.14345094670059147</v>
      </c>
      <c r="H83" s="408">
        <v>0.12311181521666978</v>
      </c>
      <c r="I83" s="408">
        <v>0.13926536034540019</v>
      </c>
      <c r="J83" s="408">
        <v>0.14667017682672617</v>
      </c>
      <c r="K83" s="408">
        <v>0.13979679129953718</v>
      </c>
      <c r="L83" s="408">
        <v>0.15096898355924435</v>
      </c>
      <c r="M83" s="408">
        <v>0.16557930071263913</v>
      </c>
      <c r="N83" s="409">
        <v>0.18075532332328353</v>
      </c>
      <c r="O83" s="409">
        <v>0.18936066373840899</v>
      </c>
      <c r="P83" s="409">
        <v>0.189</v>
      </c>
      <c r="Q83" s="1731">
        <v>0.19196062346185397</v>
      </c>
      <c r="R83" s="2000">
        <v>0.19739837398373983</v>
      </c>
      <c r="S83" s="2005">
        <v>0.19259381715986112</v>
      </c>
      <c r="T83" s="1354"/>
      <c r="U83" s="1728">
        <v>815</v>
      </c>
      <c r="V83" s="1728">
        <v>749</v>
      </c>
      <c r="W83" s="1728">
        <v>865</v>
      </c>
      <c r="X83" s="1728">
        <v>932</v>
      </c>
      <c r="Y83" s="1728">
        <v>785</v>
      </c>
      <c r="Z83" s="1728">
        <v>876</v>
      </c>
      <c r="AA83" s="1728">
        <v>924</v>
      </c>
      <c r="AB83" s="1728">
        <v>879</v>
      </c>
      <c r="AC83" s="1728">
        <v>938</v>
      </c>
      <c r="AD83" s="1728">
        <v>1017</v>
      </c>
      <c r="AE83" s="1728">
        <v>1130</v>
      </c>
      <c r="AF83" s="1728">
        <v>1164</v>
      </c>
      <c r="AG83" s="1570">
        <v>1164</v>
      </c>
      <c r="AH83" s="1570">
        <v>1170</v>
      </c>
      <c r="AI83" s="2010">
        <v>1214</v>
      </c>
      <c r="AJ83" s="2011">
        <v>1165</v>
      </c>
    </row>
    <row r="84" spans="1:36" x14ac:dyDescent="0.25">
      <c r="A84" s="402" t="s">
        <v>206</v>
      </c>
      <c r="B84" s="403" t="s">
        <v>758</v>
      </c>
      <c r="C84" s="410" t="s">
        <v>267</v>
      </c>
      <c r="D84" s="407">
        <v>0.12778413353338336</v>
      </c>
      <c r="E84" s="408">
        <v>0.11888582454334963</v>
      </c>
      <c r="F84" s="408">
        <v>0.13148748332417798</v>
      </c>
      <c r="G84" s="408">
        <v>0.1414905487181094</v>
      </c>
      <c r="H84" s="408">
        <v>0.12762551060745816</v>
      </c>
      <c r="I84" s="408">
        <v>0.13042314334320348</v>
      </c>
      <c r="J84" s="408">
        <v>0.12657400610789404</v>
      </c>
      <c r="K84" s="408">
        <v>0.13915740575977523</v>
      </c>
      <c r="L84" s="408">
        <v>0.1465355207875364</v>
      </c>
      <c r="M84" s="408">
        <v>0.15607638752568281</v>
      </c>
      <c r="N84" s="409">
        <v>0.17198822367149413</v>
      </c>
      <c r="O84" s="409">
        <v>0.16272639846129183</v>
      </c>
      <c r="P84" s="409">
        <v>0.183</v>
      </c>
      <c r="Q84" s="1731">
        <v>0.17264150943396225</v>
      </c>
      <c r="R84" s="2000">
        <v>0.1867582760774516</v>
      </c>
      <c r="S84" s="2005">
        <v>0.17144870239167026</v>
      </c>
      <c r="T84" s="1354"/>
      <c r="U84" s="1728">
        <v>2884</v>
      </c>
      <c r="V84" s="1728">
        <v>2710</v>
      </c>
      <c r="W84" s="1728">
        <v>3019</v>
      </c>
      <c r="X84" s="1728">
        <v>3287</v>
      </c>
      <c r="Y84" s="1728">
        <v>2935</v>
      </c>
      <c r="Z84" s="1728">
        <v>2963</v>
      </c>
      <c r="AA84" s="1728">
        <v>2932</v>
      </c>
      <c r="AB84" s="1728">
        <v>3342</v>
      </c>
      <c r="AC84" s="1728">
        <v>3535</v>
      </c>
      <c r="AD84" s="1728">
        <v>3765</v>
      </c>
      <c r="AE84" s="1728">
        <v>4302</v>
      </c>
      <c r="AF84" s="1728">
        <v>4061</v>
      </c>
      <c r="AG84" s="1570">
        <v>4669</v>
      </c>
      <c r="AH84" s="1570">
        <v>4392</v>
      </c>
      <c r="AI84" s="2010">
        <v>4784</v>
      </c>
      <c r="AJ84" s="2011">
        <v>4380</v>
      </c>
    </row>
    <row r="85" spans="1:36" x14ac:dyDescent="0.25">
      <c r="A85" s="402" t="s">
        <v>208</v>
      </c>
      <c r="B85" s="403" t="s">
        <v>515</v>
      </c>
      <c r="C85" s="410" t="s">
        <v>268</v>
      </c>
      <c r="D85" s="407">
        <v>0.22100000000000003</v>
      </c>
      <c r="E85" s="408">
        <v>0.19499999999999998</v>
      </c>
      <c r="F85" s="408">
        <v>0.23</v>
      </c>
      <c r="G85" s="408">
        <v>0.249</v>
      </c>
      <c r="H85" s="408">
        <v>0.218</v>
      </c>
      <c r="I85" s="408">
        <v>0.26699999999999996</v>
      </c>
      <c r="J85" s="408">
        <v>0.22500000000000001</v>
      </c>
      <c r="K85" s="408">
        <v>0.255</v>
      </c>
      <c r="L85" s="408">
        <v>0.251</v>
      </c>
      <c r="M85" s="408">
        <v>0.25600000000000001</v>
      </c>
      <c r="N85" s="409">
        <v>0.252</v>
      </c>
      <c r="O85" s="409">
        <v>0.27200000000000002</v>
      </c>
      <c r="P85" s="409">
        <v>0.23899999999999999</v>
      </c>
      <c r="Q85" s="1731">
        <v>0.26217843459222767</v>
      </c>
      <c r="R85" s="2000">
        <v>0.24550458715596329</v>
      </c>
      <c r="S85" s="2005">
        <v>0.28190127970749546</v>
      </c>
      <c r="T85" s="1354"/>
      <c r="U85" s="1728">
        <v>1360</v>
      </c>
      <c r="V85" s="1728">
        <v>1181</v>
      </c>
      <c r="W85" s="1728">
        <v>1396</v>
      </c>
      <c r="X85" s="1728">
        <v>1499</v>
      </c>
      <c r="Y85" s="1728">
        <v>1321</v>
      </c>
      <c r="Z85" s="1728">
        <v>1596</v>
      </c>
      <c r="AA85" s="1728">
        <v>1295</v>
      </c>
      <c r="AB85" s="1728">
        <v>1476</v>
      </c>
      <c r="AC85" s="1728">
        <v>1428</v>
      </c>
      <c r="AD85" s="1728">
        <v>1500</v>
      </c>
      <c r="AE85" s="1728">
        <v>1464</v>
      </c>
      <c r="AF85" s="1728">
        <v>1546</v>
      </c>
      <c r="AG85" s="1570">
        <v>1332</v>
      </c>
      <c r="AH85" s="1570">
        <v>1437</v>
      </c>
      <c r="AI85" s="2010">
        <v>1338</v>
      </c>
      <c r="AJ85" s="2011">
        <v>1542</v>
      </c>
    </row>
    <row r="86" spans="1:36" x14ac:dyDescent="0.25">
      <c r="A86" s="402" t="s">
        <v>210</v>
      </c>
      <c r="B86" s="403" t="s">
        <v>516</v>
      </c>
      <c r="C86" s="410" t="s">
        <v>268</v>
      </c>
      <c r="D86" s="407">
        <v>0.192</v>
      </c>
      <c r="E86" s="408">
        <v>0.18</v>
      </c>
      <c r="F86" s="408">
        <v>0.191</v>
      </c>
      <c r="G86" s="408">
        <v>0.22100000000000003</v>
      </c>
      <c r="H86" s="408">
        <v>0.19699999999999998</v>
      </c>
      <c r="I86" s="408">
        <v>0.24300000000000002</v>
      </c>
      <c r="J86" s="408">
        <v>0.24000000000000002</v>
      </c>
      <c r="K86" s="408">
        <v>0.221</v>
      </c>
      <c r="L86" s="408">
        <v>0.221</v>
      </c>
      <c r="M86" s="408">
        <v>0.24100000000000002</v>
      </c>
      <c r="N86" s="409">
        <v>0.25</v>
      </c>
      <c r="O86" s="409">
        <v>0.249</v>
      </c>
      <c r="P86" s="409">
        <v>0.28199999999999997</v>
      </c>
      <c r="Q86" s="1731">
        <v>0.26485972420351878</v>
      </c>
      <c r="R86" s="2000">
        <v>0.26053455333493858</v>
      </c>
      <c r="S86" s="2005">
        <v>0.24474841231069858</v>
      </c>
      <c r="T86" s="1354"/>
      <c r="U86" s="1728">
        <v>900</v>
      </c>
      <c r="V86" s="1728">
        <v>828</v>
      </c>
      <c r="W86" s="1728">
        <v>877</v>
      </c>
      <c r="X86" s="1728">
        <v>1004</v>
      </c>
      <c r="Y86" s="1728">
        <v>884</v>
      </c>
      <c r="Z86" s="1728">
        <v>1075</v>
      </c>
      <c r="AA86" s="1728">
        <v>1046</v>
      </c>
      <c r="AB86" s="1728">
        <v>942</v>
      </c>
      <c r="AC86" s="1728">
        <v>936</v>
      </c>
      <c r="AD86" s="1728">
        <v>1035</v>
      </c>
      <c r="AE86" s="1728">
        <v>1094</v>
      </c>
      <c r="AF86" s="1728">
        <v>1076</v>
      </c>
      <c r="AG86" s="1570">
        <v>1195</v>
      </c>
      <c r="AH86" s="1570">
        <v>1114</v>
      </c>
      <c r="AI86" s="2010">
        <v>1082</v>
      </c>
      <c r="AJ86" s="2011">
        <v>1002</v>
      </c>
    </row>
    <row r="87" spans="1:36" x14ac:dyDescent="0.25">
      <c r="A87" s="402" t="s">
        <v>212</v>
      </c>
      <c r="B87" s="403" t="s">
        <v>517</v>
      </c>
      <c r="C87" s="410" t="s">
        <v>267</v>
      </c>
      <c r="D87" s="407">
        <v>0.12300000000000001</v>
      </c>
      <c r="E87" s="408">
        <v>0.11499999999999999</v>
      </c>
      <c r="F87" s="408">
        <v>0.115</v>
      </c>
      <c r="G87" s="408">
        <v>0.13100000000000001</v>
      </c>
      <c r="H87" s="408">
        <v>0.12300000000000001</v>
      </c>
      <c r="I87" s="408">
        <v>0.13100000000000001</v>
      </c>
      <c r="J87" s="408">
        <v>0.12699999999999997</v>
      </c>
      <c r="K87" s="408">
        <v>0.124</v>
      </c>
      <c r="L87" s="408">
        <v>0.14599999999999999</v>
      </c>
      <c r="M87" s="408">
        <v>0.15500000000000003</v>
      </c>
      <c r="N87" s="409">
        <v>0.17199999999999999</v>
      </c>
      <c r="O87" s="409">
        <v>0.20300000000000001</v>
      </c>
      <c r="P87" s="409">
        <v>0.17599999999999999</v>
      </c>
      <c r="Q87" s="1731">
        <v>0.18003783242461333</v>
      </c>
      <c r="R87" s="2000">
        <v>0.17639942813152976</v>
      </c>
      <c r="S87" s="2005">
        <v>0.17720401633013352</v>
      </c>
      <c r="T87" s="1354"/>
      <c r="U87" s="1728">
        <v>952</v>
      </c>
      <c r="V87" s="1728">
        <v>910</v>
      </c>
      <c r="W87" s="1728">
        <v>942</v>
      </c>
      <c r="X87" s="1728">
        <v>1070</v>
      </c>
      <c r="Y87" s="1728">
        <v>1038</v>
      </c>
      <c r="Z87" s="1728">
        <v>1094</v>
      </c>
      <c r="AA87" s="1728">
        <v>1059</v>
      </c>
      <c r="AB87" s="1728">
        <v>1086</v>
      </c>
      <c r="AC87" s="1728">
        <v>1281</v>
      </c>
      <c r="AD87" s="1728">
        <v>1375</v>
      </c>
      <c r="AE87" s="1728">
        <v>1556</v>
      </c>
      <c r="AF87" s="1728">
        <v>1838</v>
      </c>
      <c r="AG87" s="1570">
        <v>1583</v>
      </c>
      <c r="AH87" s="1570">
        <v>1618</v>
      </c>
      <c r="AI87" s="2010">
        <v>1604</v>
      </c>
      <c r="AJ87" s="2011">
        <v>1606</v>
      </c>
    </row>
    <row r="88" spans="1:36" x14ac:dyDescent="0.25">
      <c r="A88" s="402" t="s">
        <v>214</v>
      </c>
      <c r="B88" s="403" t="s">
        <v>518</v>
      </c>
      <c r="C88" s="410" t="s">
        <v>268</v>
      </c>
      <c r="D88" s="407">
        <v>0.18</v>
      </c>
      <c r="E88" s="408">
        <v>0.17500000000000002</v>
      </c>
      <c r="F88" s="408">
        <v>0.19500000000000001</v>
      </c>
      <c r="G88" s="408">
        <v>0.22399999999999998</v>
      </c>
      <c r="H88" s="408">
        <v>0.18600000000000003</v>
      </c>
      <c r="I88" s="408">
        <v>0.19</v>
      </c>
      <c r="J88" s="408">
        <v>0.214</v>
      </c>
      <c r="K88" s="408">
        <v>0.218</v>
      </c>
      <c r="L88" s="408">
        <v>0.24299999999999999</v>
      </c>
      <c r="M88" s="408">
        <v>0.247</v>
      </c>
      <c r="N88" s="409">
        <v>0.28000000000000003</v>
      </c>
      <c r="O88" s="409">
        <v>0.27899999999999997</v>
      </c>
      <c r="P88" s="409">
        <v>0.28000000000000003</v>
      </c>
      <c r="Q88" s="1731">
        <v>0.25925332478769431</v>
      </c>
      <c r="R88" s="2000">
        <v>0.26875502008032126</v>
      </c>
      <c r="S88" s="2005">
        <v>0.27607461476074613</v>
      </c>
      <c r="T88" s="1354"/>
      <c r="U88" s="1728">
        <v>1245</v>
      </c>
      <c r="V88" s="1728">
        <v>1207</v>
      </c>
      <c r="W88" s="1728">
        <v>1367</v>
      </c>
      <c r="X88" s="1728">
        <v>1524</v>
      </c>
      <c r="Y88" s="1728">
        <v>1291</v>
      </c>
      <c r="Z88" s="1728">
        <v>1295</v>
      </c>
      <c r="AA88" s="1728">
        <v>1401</v>
      </c>
      <c r="AB88" s="1728">
        <v>1410</v>
      </c>
      <c r="AC88" s="1728">
        <v>1545</v>
      </c>
      <c r="AD88" s="1728">
        <v>1593</v>
      </c>
      <c r="AE88" s="1728">
        <v>1843</v>
      </c>
      <c r="AF88" s="1728">
        <v>1786</v>
      </c>
      <c r="AG88" s="1570">
        <v>1764</v>
      </c>
      <c r="AH88" s="1570">
        <v>1618</v>
      </c>
      <c r="AI88" s="2010">
        <v>1673</v>
      </c>
      <c r="AJ88" s="2011">
        <v>1702</v>
      </c>
    </row>
    <row r="89" spans="1:36" x14ac:dyDescent="0.25">
      <c r="A89" s="402" t="s">
        <v>216</v>
      </c>
      <c r="B89" s="403" t="s">
        <v>519</v>
      </c>
      <c r="C89" s="410" t="s">
        <v>264</v>
      </c>
      <c r="D89" s="407">
        <v>0.18899999999999997</v>
      </c>
      <c r="E89" s="408">
        <v>0.16399999999999998</v>
      </c>
      <c r="F89" s="408">
        <v>0.17399999999999999</v>
      </c>
      <c r="G89" s="408">
        <v>0.19600000000000001</v>
      </c>
      <c r="H89" s="408">
        <v>0.17499999999999999</v>
      </c>
      <c r="I89" s="408">
        <v>0.19399999999999998</v>
      </c>
      <c r="J89" s="408">
        <v>0.20199999999999999</v>
      </c>
      <c r="K89" s="408">
        <v>0.188</v>
      </c>
      <c r="L89" s="408">
        <v>0.218</v>
      </c>
      <c r="M89" s="408">
        <v>0.19500000000000001</v>
      </c>
      <c r="N89" s="409">
        <v>0.2</v>
      </c>
      <c r="O89" s="409">
        <v>0.221</v>
      </c>
      <c r="P89" s="409">
        <v>0.22500000000000001</v>
      </c>
      <c r="Q89" s="1731">
        <v>0.2248639358350043</v>
      </c>
      <c r="R89" s="2000">
        <v>0.22421921037124337</v>
      </c>
      <c r="S89" s="2005">
        <v>0.20915224405984159</v>
      </c>
      <c r="T89" s="1354"/>
      <c r="U89" s="1728">
        <v>714</v>
      </c>
      <c r="V89" s="1728">
        <v>607</v>
      </c>
      <c r="W89" s="1728">
        <v>656</v>
      </c>
      <c r="X89" s="1728">
        <v>707</v>
      </c>
      <c r="Y89" s="1728">
        <v>640</v>
      </c>
      <c r="Z89" s="1728">
        <v>701</v>
      </c>
      <c r="AA89" s="1728">
        <v>717</v>
      </c>
      <c r="AB89" s="1728">
        <v>662</v>
      </c>
      <c r="AC89" s="1728">
        <v>747</v>
      </c>
      <c r="AD89" s="1728">
        <v>704</v>
      </c>
      <c r="AE89" s="1728">
        <v>768</v>
      </c>
      <c r="AF89" s="1728">
        <v>831</v>
      </c>
      <c r="AG89" s="1570">
        <v>826</v>
      </c>
      <c r="AH89" s="1570">
        <v>785</v>
      </c>
      <c r="AI89" s="2010">
        <v>761</v>
      </c>
      <c r="AJ89" s="2011">
        <v>713</v>
      </c>
    </row>
    <row r="90" spans="1:36" x14ac:dyDescent="0.25">
      <c r="A90" s="402" t="s">
        <v>218</v>
      </c>
      <c r="B90" s="403" t="s">
        <v>520</v>
      </c>
      <c r="C90" s="410" t="s">
        <v>267</v>
      </c>
      <c r="D90" s="407">
        <v>7.2000000000000008E-2</v>
      </c>
      <c r="E90" s="408">
        <v>6.4000000000000001E-2</v>
      </c>
      <c r="F90" s="408">
        <v>7.0999999999999994E-2</v>
      </c>
      <c r="G90" s="408">
        <v>7.8E-2</v>
      </c>
      <c r="H90" s="408">
        <v>7.2999999999999995E-2</v>
      </c>
      <c r="I90" s="408">
        <v>7.4999999999999997E-2</v>
      </c>
      <c r="J90" s="408">
        <v>7.0999999999999994E-2</v>
      </c>
      <c r="K90" s="408">
        <v>7.6999999999999999E-2</v>
      </c>
      <c r="L90" s="408">
        <v>8.6999999999999994E-2</v>
      </c>
      <c r="M90" s="408">
        <v>0.10400000000000001</v>
      </c>
      <c r="N90" s="409">
        <v>0.10500000000000001</v>
      </c>
      <c r="O90" s="409">
        <v>0.11599999999999999</v>
      </c>
      <c r="P90" s="409">
        <v>0.11600000000000001</v>
      </c>
      <c r="Q90" s="1731">
        <v>0.10372299678259538</v>
      </c>
      <c r="R90" s="2000">
        <v>0.12804560360415582</v>
      </c>
      <c r="S90" s="2005">
        <v>0.10882533825338253</v>
      </c>
      <c r="T90" s="1354"/>
      <c r="U90" s="1728">
        <v>2013</v>
      </c>
      <c r="V90" s="1728">
        <v>1875</v>
      </c>
      <c r="W90" s="1728">
        <v>2164</v>
      </c>
      <c r="X90" s="1728">
        <v>2418</v>
      </c>
      <c r="Y90" s="1728">
        <v>2320</v>
      </c>
      <c r="Z90" s="1728">
        <v>2365</v>
      </c>
      <c r="AA90" s="1728">
        <v>2241</v>
      </c>
      <c r="AB90" s="1728">
        <v>2473</v>
      </c>
      <c r="AC90" s="1728">
        <v>2790</v>
      </c>
      <c r="AD90" s="1728">
        <v>3473</v>
      </c>
      <c r="AE90" s="1728">
        <v>3532</v>
      </c>
      <c r="AF90" s="1728">
        <v>3814</v>
      </c>
      <c r="AG90" s="1570">
        <v>3803</v>
      </c>
      <c r="AH90" s="1570">
        <v>3385</v>
      </c>
      <c r="AI90" s="2010">
        <v>4178</v>
      </c>
      <c r="AJ90" s="2011">
        <v>3539</v>
      </c>
    </row>
    <row r="91" spans="1:36" x14ac:dyDescent="0.25">
      <c r="A91" s="402" t="s">
        <v>220</v>
      </c>
      <c r="B91" s="403" t="s">
        <v>521</v>
      </c>
      <c r="C91" s="410" t="s">
        <v>267</v>
      </c>
      <c r="D91" s="407">
        <v>5.2999999999999999E-2</v>
      </c>
      <c r="E91" s="408">
        <v>4.4999999999999998E-2</v>
      </c>
      <c r="F91" s="408">
        <v>5.2999999999999999E-2</v>
      </c>
      <c r="G91" s="408">
        <v>6.2E-2</v>
      </c>
      <c r="H91" s="408">
        <v>5.7999999999999996E-2</v>
      </c>
      <c r="I91" s="408">
        <v>5.2999999999999992E-2</v>
      </c>
      <c r="J91" s="408">
        <v>4.5999999999999999E-2</v>
      </c>
      <c r="K91" s="408">
        <v>5.099999999999999E-2</v>
      </c>
      <c r="L91" s="408">
        <v>5.9000000000000004E-2</v>
      </c>
      <c r="M91" s="408">
        <v>6.2000000000000006E-2</v>
      </c>
      <c r="N91" s="409">
        <v>6.8000000000000005E-2</v>
      </c>
      <c r="O91" s="409">
        <v>7.9000000000000001E-2</v>
      </c>
      <c r="P91" s="409">
        <v>7.0000000000000007E-2</v>
      </c>
      <c r="Q91" s="1731">
        <v>8.0715281765236652E-2</v>
      </c>
      <c r="R91" s="2000">
        <v>7.570247043293192E-2</v>
      </c>
      <c r="S91" s="2005">
        <v>7.1382533032549142E-2</v>
      </c>
      <c r="T91" s="1354"/>
      <c r="U91" s="1728">
        <v>1608</v>
      </c>
      <c r="V91" s="1728">
        <v>1416</v>
      </c>
      <c r="W91" s="1728">
        <v>1718</v>
      </c>
      <c r="X91" s="1728">
        <v>2023</v>
      </c>
      <c r="Y91" s="1728">
        <v>1944</v>
      </c>
      <c r="Z91" s="1728">
        <v>1758</v>
      </c>
      <c r="AA91" s="1728">
        <v>1493</v>
      </c>
      <c r="AB91" s="1728">
        <v>1706</v>
      </c>
      <c r="AC91" s="1728">
        <v>1930</v>
      </c>
      <c r="AD91" s="1728">
        <v>2223</v>
      </c>
      <c r="AE91" s="1728">
        <v>2504</v>
      </c>
      <c r="AF91" s="1728">
        <v>2894</v>
      </c>
      <c r="AG91" s="1570">
        <v>2549</v>
      </c>
      <c r="AH91" s="1570">
        <v>2952</v>
      </c>
      <c r="AI91" s="2010">
        <v>2810</v>
      </c>
      <c r="AJ91" s="2011">
        <v>2658</v>
      </c>
    </row>
    <row r="92" spans="1:36" x14ac:dyDescent="0.25">
      <c r="A92" s="402" t="s">
        <v>224</v>
      </c>
      <c r="B92" s="403" t="s">
        <v>522</v>
      </c>
      <c r="C92" s="410" t="s">
        <v>264</v>
      </c>
      <c r="D92" s="407">
        <v>0.16600000000000001</v>
      </c>
      <c r="E92" s="408">
        <v>0.14199999999999999</v>
      </c>
      <c r="F92" s="408">
        <v>0.15</v>
      </c>
      <c r="G92" s="408">
        <v>0.16200000000000001</v>
      </c>
      <c r="H92" s="408">
        <v>0.14499999999999999</v>
      </c>
      <c r="I92" s="408">
        <v>0.16699999999999998</v>
      </c>
      <c r="J92" s="408">
        <v>0.151</v>
      </c>
      <c r="K92" s="408">
        <v>0.157</v>
      </c>
      <c r="L92" s="408">
        <v>0.16499999999999998</v>
      </c>
      <c r="M92" s="408">
        <v>0.17199999999999999</v>
      </c>
      <c r="N92" s="409">
        <v>0.19700000000000001</v>
      </c>
      <c r="O92" s="409">
        <v>0.20300000000000001</v>
      </c>
      <c r="P92" s="409">
        <v>0.19700000000000001</v>
      </c>
      <c r="Q92" s="1731">
        <v>0.20173364854215919</v>
      </c>
      <c r="R92" s="2000">
        <v>0.20081300813008129</v>
      </c>
      <c r="S92" s="2005">
        <v>0.19967266775777415</v>
      </c>
      <c r="T92" s="1354"/>
      <c r="U92" s="1728">
        <v>279</v>
      </c>
      <c r="V92" s="1728">
        <v>240</v>
      </c>
      <c r="W92" s="1728">
        <v>256</v>
      </c>
      <c r="X92" s="1728">
        <v>265</v>
      </c>
      <c r="Y92" s="1728">
        <v>231</v>
      </c>
      <c r="Z92" s="1728">
        <v>262</v>
      </c>
      <c r="AA92" s="1728">
        <v>232</v>
      </c>
      <c r="AB92" s="1728">
        <v>236</v>
      </c>
      <c r="AC92" s="1728">
        <v>246</v>
      </c>
      <c r="AD92" s="1728">
        <v>240</v>
      </c>
      <c r="AE92" s="1728">
        <v>288</v>
      </c>
      <c r="AF92" s="1728">
        <v>282</v>
      </c>
      <c r="AG92" s="1570">
        <v>264</v>
      </c>
      <c r="AH92" s="1570">
        <v>256</v>
      </c>
      <c r="AI92" s="2010">
        <v>247</v>
      </c>
      <c r="AJ92" s="2011">
        <v>244</v>
      </c>
    </row>
    <row r="93" spans="1:36" x14ac:dyDescent="0.25">
      <c r="A93" s="402" t="s">
        <v>226</v>
      </c>
      <c r="B93" s="403" t="s">
        <v>523</v>
      </c>
      <c r="C93" s="410" t="s">
        <v>264</v>
      </c>
      <c r="D93" s="407">
        <v>0.21100000000000002</v>
      </c>
      <c r="E93" s="408">
        <v>0.188</v>
      </c>
      <c r="F93" s="408">
        <v>0.19399999999999998</v>
      </c>
      <c r="G93" s="408">
        <v>0.22600000000000001</v>
      </c>
      <c r="H93" s="408">
        <v>0.21</v>
      </c>
      <c r="I93" s="408">
        <v>0.245</v>
      </c>
      <c r="J93" s="408">
        <v>0.28000000000000003</v>
      </c>
      <c r="K93" s="408">
        <v>0.24</v>
      </c>
      <c r="L93" s="408">
        <v>0.22800000000000004</v>
      </c>
      <c r="M93" s="408">
        <v>0.23600000000000002</v>
      </c>
      <c r="N93" s="409">
        <v>0.24000000000000002</v>
      </c>
      <c r="O93" s="409">
        <v>0.23199999999999998</v>
      </c>
      <c r="P93" s="409">
        <v>0.27</v>
      </c>
      <c r="Q93" s="1731">
        <v>0.30353319057815847</v>
      </c>
      <c r="R93" s="2000">
        <v>0.30479267635971996</v>
      </c>
      <c r="S93" s="2005">
        <v>0.28968466060929982</v>
      </c>
      <c r="T93" s="1354"/>
      <c r="U93" s="1728">
        <v>504</v>
      </c>
      <c r="V93" s="1728">
        <v>437</v>
      </c>
      <c r="W93" s="1728">
        <v>446</v>
      </c>
      <c r="X93" s="1728">
        <v>513</v>
      </c>
      <c r="Y93" s="1728">
        <v>464</v>
      </c>
      <c r="Z93" s="1728">
        <v>534</v>
      </c>
      <c r="AA93" s="1728">
        <v>610</v>
      </c>
      <c r="AB93" s="1728">
        <v>510</v>
      </c>
      <c r="AC93" s="1728">
        <v>472</v>
      </c>
      <c r="AD93" s="1728">
        <v>481</v>
      </c>
      <c r="AE93" s="1728">
        <v>473</v>
      </c>
      <c r="AF93" s="1728">
        <v>465</v>
      </c>
      <c r="AG93" s="1570">
        <v>529</v>
      </c>
      <c r="AH93" s="1570">
        <v>567</v>
      </c>
      <c r="AI93" s="2010">
        <v>566</v>
      </c>
      <c r="AJ93" s="2011">
        <v>542</v>
      </c>
    </row>
    <row r="94" spans="1:36" x14ac:dyDescent="0.25">
      <c r="A94" s="402" t="s">
        <v>228</v>
      </c>
      <c r="B94" s="403" t="s">
        <v>524</v>
      </c>
      <c r="C94" s="410" t="s">
        <v>268</v>
      </c>
      <c r="D94" s="407">
        <v>0.20699999999999999</v>
      </c>
      <c r="E94" s="408">
        <v>0.18399999999999997</v>
      </c>
      <c r="F94" s="408">
        <v>0.22000000000000003</v>
      </c>
      <c r="G94" s="408">
        <v>0.24</v>
      </c>
      <c r="H94" s="408">
        <v>0.21600000000000003</v>
      </c>
      <c r="I94" s="408">
        <v>0.23700000000000002</v>
      </c>
      <c r="J94" s="408">
        <v>0.21199999999999999</v>
      </c>
      <c r="K94" s="408">
        <v>0.23500000000000001</v>
      </c>
      <c r="L94" s="408">
        <v>0.24199999999999999</v>
      </c>
      <c r="M94" s="408">
        <v>0.21600000000000003</v>
      </c>
      <c r="N94" s="409">
        <v>0.23500000000000001</v>
      </c>
      <c r="O94" s="409">
        <v>0.23100000000000001</v>
      </c>
      <c r="P94" s="409">
        <v>0.26100000000000001</v>
      </c>
      <c r="Q94" s="1731">
        <v>0.22899871480313122</v>
      </c>
      <c r="R94" s="2000">
        <v>0.24681357951161406</v>
      </c>
      <c r="S94" s="2005">
        <v>0.2411071992230181</v>
      </c>
      <c r="T94" s="1354"/>
      <c r="U94" s="1728">
        <v>1886</v>
      </c>
      <c r="V94" s="1728">
        <v>1666</v>
      </c>
      <c r="W94" s="1728">
        <v>2007</v>
      </c>
      <c r="X94" s="1728">
        <v>2172</v>
      </c>
      <c r="Y94" s="1728">
        <v>1979</v>
      </c>
      <c r="Z94" s="1728">
        <v>2139</v>
      </c>
      <c r="AA94" s="1728">
        <v>1865</v>
      </c>
      <c r="AB94" s="1728">
        <v>2038</v>
      </c>
      <c r="AC94" s="1728">
        <v>2088</v>
      </c>
      <c r="AD94" s="1728">
        <v>1961</v>
      </c>
      <c r="AE94" s="1728">
        <v>2127</v>
      </c>
      <c r="AF94" s="1728">
        <v>2038</v>
      </c>
      <c r="AG94" s="1570">
        <v>2254</v>
      </c>
      <c r="AH94" s="1570">
        <v>1960</v>
      </c>
      <c r="AI94" s="2010">
        <v>2072</v>
      </c>
      <c r="AJ94" s="2011">
        <v>1986</v>
      </c>
    </row>
    <row r="95" spans="1:36" x14ac:dyDescent="0.25">
      <c r="A95" s="402" t="s">
        <v>232</v>
      </c>
      <c r="B95" s="403" t="s">
        <v>525</v>
      </c>
      <c r="C95" s="410" t="s">
        <v>267</v>
      </c>
      <c r="D95" s="407">
        <v>0.11599999999999999</v>
      </c>
      <c r="E95" s="408">
        <v>0.105</v>
      </c>
      <c r="F95" s="408">
        <v>0.11699999999999998</v>
      </c>
      <c r="G95" s="408">
        <v>0.13099999999999998</v>
      </c>
      <c r="H95" s="408">
        <v>0.112</v>
      </c>
      <c r="I95" s="408">
        <v>0.127</v>
      </c>
      <c r="J95" s="408">
        <v>0.11800000000000001</v>
      </c>
      <c r="K95" s="408">
        <v>0.114</v>
      </c>
      <c r="L95" s="408">
        <v>0.13100000000000001</v>
      </c>
      <c r="M95" s="408">
        <v>0.13700000000000001</v>
      </c>
      <c r="N95" s="409">
        <v>0.14399999999999999</v>
      </c>
      <c r="O95" s="409">
        <v>0.158</v>
      </c>
      <c r="P95" s="409">
        <v>0.154</v>
      </c>
      <c r="Q95" s="1731">
        <v>0.17012257990606025</v>
      </c>
      <c r="R95" s="2000">
        <v>0.15757296112585073</v>
      </c>
      <c r="S95" s="2005">
        <v>0.15098896044158233</v>
      </c>
      <c r="T95" s="1354"/>
      <c r="U95" s="1728">
        <v>939</v>
      </c>
      <c r="V95" s="1728">
        <v>861</v>
      </c>
      <c r="W95" s="1728">
        <v>993</v>
      </c>
      <c r="X95" s="1728">
        <v>1111</v>
      </c>
      <c r="Y95" s="1728">
        <v>982</v>
      </c>
      <c r="Z95" s="1728">
        <v>1095</v>
      </c>
      <c r="AA95" s="1728">
        <v>1011</v>
      </c>
      <c r="AB95" s="1728">
        <v>1000</v>
      </c>
      <c r="AC95" s="1728">
        <v>1161</v>
      </c>
      <c r="AD95" s="1728">
        <v>1179</v>
      </c>
      <c r="AE95" s="1728">
        <v>1290</v>
      </c>
      <c r="AF95" s="1728">
        <v>1390</v>
      </c>
      <c r="AG95" s="1570">
        <v>1342</v>
      </c>
      <c r="AH95" s="1570">
        <v>1485</v>
      </c>
      <c r="AI95" s="2010">
        <v>1366</v>
      </c>
      <c r="AJ95" s="2011">
        <v>1313</v>
      </c>
    </row>
    <row r="96" spans="1:36" x14ac:dyDescent="0.25">
      <c r="A96" s="402" t="s">
        <v>234</v>
      </c>
      <c r="B96" s="403" t="s">
        <v>526</v>
      </c>
      <c r="C96" s="410" t="s">
        <v>268</v>
      </c>
      <c r="D96" s="407">
        <v>0.157</v>
      </c>
      <c r="E96" s="408">
        <v>0.14499999999999999</v>
      </c>
      <c r="F96" s="408">
        <v>0.16300000000000001</v>
      </c>
      <c r="G96" s="408">
        <v>0.18099999999999999</v>
      </c>
      <c r="H96" s="408">
        <v>0.16499999999999998</v>
      </c>
      <c r="I96" s="408">
        <v>0.16500000000000001</v>
      </c>
      <c r="J96" s="408">
        <v>0.17800000000000002</v>
      </c>
      <c r="K96" s="408">
        <v>0.19100000000000003</v>
      </c>
      <c r="L96" s="408">
        <v>0.19</v>
      </c>
      <c r="M96" s="408">
        <v>0.19600000000000004</v>
      </c>
      <c r="N96" s="409">
        <v>0.193</v>
      </c>
      <c r="O96" s="409">
        <v>0.19800000000000001</v>
      </c>
      <c r="P96" s="409">
        <v>0.19500000000000001</v>
      </c>
      <c r="Q96" s="1731">
        <v>0.212205138000191</v>
      </c>
      <c r="R96" s="2000">
        <v>0.20700048614487118</v>
      </c>
      <c r="S96" s="2005">
        <v>0.22707637934419792</v>
      </c>
      <c r="T96" s="1354"/>
      <c r="U96" s="1728">
        <v>1611</v>
      </c>
      <c r="V96" s="1728">
        <v>1484</v>
      </c>
      <c r="W96" s="1728">
        <v>1695</v>
      </c>
      <c r="X96" s="1728">
        <v>1885</v>
      </c>
      <c r="Y96" s="1728">
        <v>1709</v>
      </c>
      <c r="Z96" s="1728">
        <v>1690</v>
      </c>
      <c r="AA96" s="1728">
        <v>1764</v>
      </c>
      <c r="AB96" s="1728">
        <v>1927</v>
      </c>
      <c r="AC96" s="1728">
        <v>1908</v>
      </c>
      <c r="AD96" s="1728">
        <v>2024</v>
      </c>
      <c r="AE96" s="1728">
        <v>2037</v>
      </c>
      <c r="AF96" s="1728">
        <v>2060</v>
      </c>
      <c r="AG96" s="1570">
        <v>2038</v>
      </c>
      <c r="AH96" s="1570">
        <v>2222</v>
      </c>
      <c r="AI96" s="2010">
        <v>2129</v>
      </c>
      <c r="AJ96" s="2011">
        <v>2313</v>
      </c>
    </row>
    <row r="97" spans="1:36" x14ac:dyDescent="0.25">
      <c r="A97" s="402" t="s">
        <v>236</v>
      </c>
      <c r="B97" s="403" t="s">
        <v>527</v>
      </c>
      <c r="C97" s="410" t="s">
        <v>266</v>
      </c>
      <c r="D97" s="407">
        <v>0.21199999999999999</v>
      </c>
      <c r="E97" s="408">
        <v>0.192</v>
      </c>
      <c r="F97" s="408">
        <v>0.20199999999999999</v>
      </c>
      <c r="G97" s="408">
        <v>0.221</v>
      </c>
      <c r="H97" s="408">
        <v>0.19899999999999998</v>
      </c>
      <c r="I97" s="408">
        <v>0.24500000000000002</v>
      </c>
      <c r="J97" s="408">
        <v>0.22399999999999998</v>
      </c>
      <c r="K97" s="408">
        <v>0.214</v>
      </c>
      <c r="L97" s="408">
        <v>0.24300000000000002</v>
      </c>
      <c r="M97" s="408">
        <v>0.249</v>
      </c>
      <c r="N97" s="409">
        <v>0.26200000000000001</v>
      </c>
      <c r="O97" s="409">
        <v>0.28499999999999998</v>
      </c>
      <c r="P97" s="409">
        <v>0.29399999999999998</v>
      </c>
      <c r="Q97" s="1731">
        <v>0.28540772532188841</v>
      </c>
      <c r="R97" s="2000">
        <v>0.27452209338765277</v>
      </c>
      <c r="S97" s="2005">
        <v>0.28927144174608055</v>
      </c>
      <c r="T97" s="1354"/>
      <c r="U97" s="1728">
        <v>788</v>
      </c>
      <c r="V97" s="1728">
        <v>711</v>
      </c>
      <c r="W97" s="1728">
        <v>758</v>
      </c>
      <c r="X97" s="1728">
        <v>833</v>
      </c>
      <c r="Y97" s="1728">
        <v>733</v>
      </c>
      <c r="Z97" s="1728">
        <v>891</v>
      </c>
      <c r="AA97" s="1728">
        <v>795</v>
      </c>
      <c r="AB97" s="1728">
        <v>765</v>
      </c>
      <c r="AC97" s="1728">
        <v>870</v>
      </c>
      <c r="AD97" s="1728">
        <v>879</v>
      </c>
      <c r="AE97" s="1728">
        <v>897</v>
      </c>
      <c r="AF97" s="1728">
        <v>979</v>
      </c>
      <c r="AG97" s="1570">
        <v>973</v>
      </c>
      <c r="AH97" s="1570">
        <v>931</v>
      </c>
      <c r="AI97" s="2010">
        <v>876</v>
      </c>
      <c r="AJ97" s="2011">
        <v>941</v>
      </c>
    </row>
    <row r="98" spans="1:36" x14ac:dyDescent="0.25">
      <c r="A98" s="402" t="s">
        <v>242</v>
      </c>
      <c r="B98" s="403" t="s">
        <v>528</v>
      </c>
      <c r="C98" s="410" t="s">
        <v>268</v>
      </c>
      <c r="D98" s="407">
        <v>0.24600000000000002</v>
      </c>
      <c r="E98" s="408">
        <v>0.217</v>
      </c>
      <c r="F98" s="408">
        <v>0.25600000000000001</v>
      </c>
      <c r="G98" s="408">
        <v>0.27800000000000002</v>
      </c>
      <c r="H98" s="408">
        <v>0.24399999999999999</v>
      </c>
      <c r="I98" s="408">
        <v>0.30600000000000005</v>
      </c>
      <c r="J98" s="408">
        <v>0.25900000000000001</v>
      </c>
      <c r="K98" s="408">
        <v>0.27800000000000002</v>
      </c>
      <c r="L98" s="408">
        <v>0.29299999999999998</v>
      </c>
      <c r="M98" s="408">
        <v>0.27100000000000002</v>
      </c>
      <c r="N98" s="409">
        <v>0.27500000000000002</v>
      </c>
      <c r="O98" s="409">
        <v>0.27800000000000002</v>
      </c>
      <c r="P98" s="409">
        <v>0.29299999999999998</v>
      </c>
      <c r="Q98" s="1731">
        <v>0.27801294820717132</v>
      </c>
      <c r="R98" s="2000">
        <v>0.28934655479277904</v>
      </c>
      <c r="S98" s="2005">
        <v>0.30902332735196103</v>
      </c>
      <c r="T98" s="1354"/>
      <c r="U98" s="1728">
        <v>2192</v>
      </c>
      <c r="V98" s="1728">
        <v>1920</v>
      </c>
      <c r="W98" s="1728">
        <v>2292</v>
      </c>
      <c r="X98" s="1728">
        <v>2477</v>
      </c>
      <c r="Y98" s="1728">
        <v>2202</v>
      </c>
      <c r="Z98" s="1728">
        <v>2706</v>
      </c>
      <c r="AA98" s="1728">
        <v>2260</v>
      </c>
      <c r="AB98" s="1728">
        <v>2386</v>
      </c>
      <c r="AC98" s="1728">
        <v>2501</v>
      </c>
      <c r="AD98" s="1728">
        <v>2396</v>
      </c>
      <c r="AE98" s="1728">
        <v>2327</v>
      </c>
      <c r="AF98" s="1728">
        <v>2353</v>
      </c>
      <c r="AG98" s="1570">
        <v>2429</v>
      </c>
      <c r="AH98" s="1570">
        <v>2233</v>
      </c>
      <c r="AI98" s="2010">
        <v>2276</v>
      </c>
      <c r="AJ98" s="2011">
        <v>2411</v>
      </c>
    </row>
    <row r="99" spans="1:36" x14ac:dyDescent="0.25">
      <c r="A99" s="402" t="s">
        <v>244</v>
      </c>
      <c r="B99" s="403" t="s">
        <v>529</v>
      </c>
      <c r="C99" s="410" t="s">
        <v>268</v>
      </c>
      <c r="D99" s="407">
        <v>0.16</v>
      </c>
      <c r="E99" s="408">
        <v>0.151</v>
      </c>
      <c r="F99" s="408">
        <v>0.19399999999999998</v>
      </c>
      <c r="G99" s="408">
        <v>0.19500000000000001</v>
      </c>
      <c r="H99" s="408">
        <v>0.16300000000000001</v>
      </c>
      <c r="I99" s="408">
        <v>0.19700000000000001</v>
      </c>
      <c r="J99" s="408">
        <v>0.20199999999999999</v>
      </c>
      <c r="K99" s="408">
        <v>0.17699999999999999</v>
      </c>
      <c r="L99" s="408">
        <v>0.2</v>
      </c>
      <c r="M99" s="408">
        <v>0.21199999999999999</v>
      </c>
      <c r="N99" s="409">
        <v>0.22899999999999998</v>
      </c>
      <c r="O99" s="409">
        <v>0.222</v>
      </c>
      <c r="P99" s="409">
        <v>0.23400000000000001</v>
      </c>
      <c r="Q99" s="1731">
        <v>0.21612349914236706</v>
      </c>
      <c r="R99" s="2000">
        <v>0.2163336229365769</v>
      </c>
      <c r="S99" s="2005">
        <v>0.21255025345219367</v>
      </c>
      <c r="T99" s="1354"/>
      <c r="U99" s="1728">
        <v>945</v>
      </c>
      <c r="V99" s="1728">
        <v>888</v>
      </c>
      <c r="W99" s="1728">
        <v>1159</v>
      </c>
      <c r="X99" s="1728">
        <v>1153</v>
      </c>
      <c r="Y99" s="1728">
        <v>976</v>
      </c>
      <c r="Z99" s="1728">
        <v>1167</v>
      </c>
      <c r="AA99" s="1728">
        <v>1186</v>
      </c>
      <c r="AB99" s="1728">
        <v>1038</v>
      </c>
      <c r="AC99" s="1728">
        <v>1164</v>
      </c>
      <c r="AD99" s="1728">
        <v>1242</v>
      </c>
      <c r="AE99" s="1728">
        <v>1364</v>
      </c>
      <c r="AF99" s="1728">
        <v>1303</v>
      </c>
      <c r="AG99" s="1570">
        <v>1365</v>
      </c>
      <c r="AH99" s="1570">
        <v>1260</v>
      </c>
      <c r="AI99" s="2010">
        <v>1245</v>
      </c>
      <c r="AJ99" s="2011">
        <v>1216</v>
      </c>
    </row>
    <row r="100" spans="1:36" x14ac:dyDescent="0.25">
      <c r="A100" s="402" t="s">
        <v>246</v>
      </c>
      <c r="B100" s="403" t="s">
        <v>759</v>
      </c>
      <c r="C100" s="410" t="s">
        <v>264</v>
      </c>
      <c r="D100" s="407">
        <v>5.6401280791515608E-2</v>
      </c>
      <c r="E100" s="408">
        <v>5.0256129333956845E-2</v>
      </c>
      <c r="F100" s="408">
        <v>5.2533947265540157E-2</v>
      </c>
      <c r="G100" s="408">
        <v>6.0559770540340487E-2</v>
      </c>
      <c r="H100" s="408">
        <v>5.685748279964823E-2</v>
      </c>
      <c r="I100" s="408">
        <v>4.9573310510692706E-2</v>
      </c>
      <c r="J100" s="408">
        <v>5.1145672342404185E-2</v>
      </c>
      <c r="K100" s="408">
        <v>5.3281178762382392E-2</v>
      </c>
      <c r="L100" s="408">
        <v>5.6580193560167996E-2</v>
      </c>
      <c r="M100" s="408">
        <v>6.1533224839921533E-2</v>
      </c>
      <c r="N100" s="409">
        <v>6.7706896551724141E-2</v>
      </c>
      <c r="O100" s="409">
        <v>7.4018979225442427E-2</v>
      </c>
      <c r="P100" s="409">
        <v>8.1000000000000003E-2</v>
      </c>
      <c r="Q100" s="1731">
        <v>7.2314933675652546E-2</v>
      </c>
      <c r="R100" s="2000">
        <v>6.9487221051494033E-2</v>
      </c>
      <c r="S100" s="2005">
        <v>6.7361330386275134E-2</v>
      </c>
      <c r="T100" s="1354"/>
      <c r="U100" s="1728">
        <v>1102</v>
      </c>
      <c r="V100" s="1728">
        <v>962</v>
      </c>
      <c r="W100" s="1728">
        <v>1018</v>
      </c>
      <c r="X100" s="1728">
        <v>1110</v>
      </c>
      <c r="Y100" s="1728">
        <v>1033</v>
      </c>
      <c r="Z100" s="1728">
        <v>881</v>
      </c>
      <c r="AA100" s="1728">
        <v>871</v>
      </c>
      <c r="AB100" s="1728">
        <v>882</v>
      </c>
      <c r="AC100" s="1728">
        <v>906</v>
      </c>
      <c r="AD100" s="1728">
        <v>1106</v>
      </c>
      <c r="AE100" s="1728">
        <v>1351</v>
      </c>
      <c r="AF100" s="1728">
        <v>1443</v>
      </c>
      <c r="AG100" s="1570">
        <v>1530</v>
      </c>
      <c r="AH100" s="1570">
        <v>1352</v>
      </c>
      <c r="AI100" s="2010">
        <v>1286</v>
      </c>
      <c r="AJ100" s="2011">
        <v>1280</v>
      </c>
    </row>
    <row r="101" spans="1:36" x14ac:dyDescent="0.25">
      <c r="A101" s="402" t="s">
        <v>14</v>
      </c>
      <c r="B101" s="403" t="s">
        <v>15</v>
      </c>
      <c r="C101" s="410" t="s">
        <v>267</v>
      </c>
      <c r="D101" s="407">
        <v>0.14199999999999999</v>
      </c>
      <c r="E101" s="408">
        <v>0.126</v>
      </c>
      <c r="F101" s="408">
        <v>0.13599999999999998</v>
      </c>
      <c r="G101" s="408">
        <v>0.13900000000000001</v>
      </c>
      <c r="H101" s="408">
        <v>0.121</v>
      </c>
      <c r="I101" s="408">
        <v>0.13599999999999998</v>
      </c>
      <c r="J101" s="408">
        <v>0.11900000000000001</v>
      </c>
      <c r="K101" s="408">
        <v>0.129</v>
      </c>
      <c r="L101" s="408">
        <v>0.13700000000000001</v>
      </c>
      <c r="M101" s="408">
        <v>0.14800000000000002</v>
      </c>
      <c r="N101" s="409">
        <v>0.14199999999999999</v>
      </c>
      <c r="O101" s="409">
        <v>0.14699999999999999</v>
      </c>
      <c r="P101" s="409">
        <v>0.14199999999999999</v>
      </c>
      <c r="Q101" s="1731">
        <v>0.1532119412316349</v>
      </c>
      <c r="R101" s="2000">
        <v>0.15755664115090204</v>
      </c>
      <c r="S101" s="2005">
        <v>0.14529147982062779</v>
      </c>
      <c r="T101" s="1354"/>
      <c r="U101" s="1728">
        <v>3146</v>
      </c>
      <c r="V101" s="1728">
        <v>2860</v>
      </c>
      <c r="W101" s="1728">
        <v>3202</v>
      </c>
      <c r="X101" s="1728">
        <v>3504</v>
      </c>
      <c r="Y101" s="1728">
        <v>3196</v>
      </c>
      <c r="Z101" s="1728">
        <v>3557</v>
      </c>
      <c r="AA101" s="1728">
        <v>3098</v>
      </c>
      <c r="AB101" s="1728">
        <v>3511</v>
      </c>
      <c r="AC101" s="1728">
        <v>4030</v>
      </c>
      <c r="AD101" s="1728">
        <v>3990</v>
      </c>
      <c r="AE101" s="1728">
        <v>3332</v>
      </c>
      <c r="AF101" s="1728">
        <v>3614</v>
      </c>
      <c r="AG101" s="1570">
        <v>3578</v>
      </c>
      <c r="AH101" s="1570">
        <v>3921</v>
      </c>
      <c r="AI101" s="2010">
        <v>4096</v>
      </c>
      <c r="AJ101" s="2011">
        <v>3888</v>
      </c>
    </row>
    <row r="102" spans="1:36" x14ac:dyDescent="0.25">
      <c r="A102" s="402" t="s">
        <v>34</v>
      </c>
      <c r="B102" s="403" t="s">
        <v>35</v>
      </c>
      <c r="C102" s="410" t="s">
        <v>268</v>
      </c>
      <c r="D102" s="407">
        <v>0.23699999999999999</v>
      </c>
      <c r="E102" s="408">
        <v>0.22</v>
      </c>
      <c r="F102" s="408">
        <v>0.25700000000000001</v>
      </c>
      <c r="G102" s="408">
        <v>0.26899999999999996</v>
      </c>
      <c r="H102" s="408">
        <v>0.245</v>
      </c>
      <c r="I102" s="408">
        <v>0.28800000000000003</v>
      </c>
      <c r="J102" s="408">
        <v>0.317</v>
      </c>
      <c r="K102" s="408">
        <v>0.29100000000000004</v>
      </c>
      <c r="L102" s="408">
        <v>0.36200000000000004</v>
      </c>
      <c r="M102" s="408">
        <v>0.33100000000000002</v>
      </c>
      <c r="N102" s="409">
        <v>0.33899999999999997</v>
      </c>
      <c r="O102" s="409">
        <v>0.35200000000000004</v>
      </c>
      <c r="P102" s="409">
        <v>0.33200000000000002</v>
      </c>
      <c r="Q102" s="1731">
        <v>0.36403897254207263</v>
      </c>
      <c r="R102" s="2000">
        <v>0.34943351222420987</v>
      </c>
      <c r="S102" s="2005">
        <v>0.33373385401021327</v>
      </c>
      <c r="T102" s="1354"/>
      <c r="U102" s="1728">
        <v>817</v>
      </c>
      <c r="V102" s="1728">
        <v>756</v>
      </c>
      <c r="W102" s="1728">
        <v>900</v>
      </c>
      <c r="X102" s="1728">
        <v>929</v>
      </c>
      <c r="Y102" s="1728">
        <v>835</v>
      </c>
      <c r="Z102" s="1728">
        <v>968</v>
      </c>
      <c r="AA102" s="1728">
        <v>1070</v>
      </c>
      <c r="AB102" s="1728">
        <v>1000</v>
      </c>
      <c r="AC102" s="1728">
        <v>1215</v>
      </c>
      <c r="AD102" s="1728">
        <v>1136</v>
      </c>
      <c r="AE102" s="1728">
        <v>1222</v>
      </c>
      <c r="AF102" s="1728">
        <v>1239</v>
      </c>
      <c r="AG102" s="1570">
        <v>1140</v>
      </c>
      <c r="AH102" s="1570">
        <v>1233</v>
      </c>
      <c r="AI102" s="2010">
        <v>1172</v>
      </c>
      <c r="AJ102" s="2011">
        <v>1111</v>
      </c>
    </row>
    <row r="103" spans="1:36" x14ac:dyDescent="0.25">
      <c r="A103" s="402" t="s">
        <v>52</v>
      </c>
      <c r="B103" s="403" t="s">
        <v>53</v>
      </c>
      <c r="C103" s="410" t="s">
        <v>265</v>
      </c>
      <c r="D103" s="407">
        <v>0.20100000000000001</v>
      </c>
      <c r="E103" s="408">
        <v>0.17199999999999999</v>
      </c>
      <c r="F103" s="408">
        <v>0.20499999999999999</v>
      </c>
      <c r="G103" s="408">
        <v>0.22700000000000001</v>
      </c>
      <c r="H103" s="408">
        <v>0.20300000000000001</v>
      </c>
      <c r="I103" s="408">
        <v>0.24</v>
      </c>
      <c r="J103" s="408">
        <v>0.20300000000000001</v>
      </c>
      <c r="K103" s="408">
        <v>0.219</v>
      </c>
      <c r="L103" s="408">
        <v>0.20899999999999999</v>
      </c>
      <c r="M103" s="408">
        <v>0.214</v>
      </c>
      <c r="N103" s="409">
        <v>0.22699999999999998</v>
      </c>
      <c r="O103" s="409">
        <v>0.222</v>
      </c>
      <c r="P103" s="409">
        <v>0.23200000000000001</v>
      </c>
      <c r="Q103" s="1731">
        <v>0.23748125937031483</v>
      </c>
      <c r="R103" s="2000">
        <v>0.24379811804961504</v>
      </c>
      <c r="S103" s="2005">
        <v>0.2260415234428709</v>
      </c>
      <c r="T103" s="1354"/>
      <c r="U103" s="1728">
        <v>1357</v>
      </c>
      <c r="V103" s="1728">
        <v>1141</v>
      </c>
      <c r="W103" s="1728">
        <v>1363</v>
      </c>
      <c r="X103" s="1728">
        <v>1436</v>
      </c>
      <c r="Y103" s="1728">
        <v>1378</v>
      </c>
      <c r="Z103" s="1728">
        <v>1605</v>
      </c>
      <c r="AA103" s="1728">
        <v>1367</v>
      </c>
      <c r="AB103" s="1728">
        <v>1497</v>
      </c>
      <c r="AC103" s="1728">
        <v>1442</v>
      </c>
      <c r="AD103" s="1728">
        <v>1406</v>
      </c>
      <c r="AE103" s="1728">
        <v>1439</v>
      </c>
      <c r="AF103" s="1728">
        <v>1387</v>
      </c>
      <c r="AG103" s="1570">
        <v>1570</v>
      </c>
      <c r="AH103" s="1570">
        <v>1584</v>
      </c>
      <c r="AI103" s="2010">
        <v>1710</v>
      </c>
      <c r="AJ103" s="2011">
        <v>1644</v>
      </c>
    </row>
    <row r="104" spans="1:36" x14ac:dyDescent="0.25">
      <c r="A104" s="402" t="s">
        <v>54</v>
      </c>
      <c r="B104" s="403" t="s">
        <v>55</v>
      </c>
      <c r="C104" s="410" t="s">
        <v>264</v>
      </c>
      <c r="D104" s="407">
        <v>0.10400000000000001</v>
      </c>
      <c r="E104" s="408">
        <v>9.7000000000000003E-2</v>
      </c>
      <c r="F104" s="408">
        <v>0.111</v>
      </c>
      <c r="G104" s="408">
        <v>0.124</v>
      </c>
      <c r="H104" s="408">
        <v>0.11199999999999999</v>
      </c>
      <c r="I104" s="408">
        <v>9.2999999999999999E-2</v>
      </c>
      <c r="J104" s="408">
        <v>9.2999999999999999E-2</v>
      </c>
      <c r="K104" s="408">
        <v>0.109</v>
      </c>
      <c r="L104" s="408">
        <v>0.10999999999999999</v>
      </c>
      <c r="M104" s="408">
        <v>0.104</v>
      </c>
      <c r="N104" s="409">
        <v>0.114</v>
      </c>
      <c r="O104" s="409">
        <v>0.13500000000000001</v>
      </c>
      <c r="P104" s="409">
        <v>0.14399999999999999</v>
      </c>
      <c r="Q104" s="1731">
        <v>0.12580857850562219</v>
      </c>
      <c r="R104" s="2000">
        <v>0.14035429929246537</v>
      </c>
      <c r="S104" s="2005">
        <v>0.13944584921115424</v>
      </c>
      <c r="T104" s="1354"/>
      <c r="U104" s="1728">
        <v>5930</v>
      </c>
      <c r="V104" s="1728">
        <v>5513</v>
      </c>
      <c r="W104" s="1728">
        <v>6438</v>
      </c>
      <c r="X104" s="1728">
        <v>7178</v>
      </c>
      <c r="Y104" s="1728">
        <v>6550</v>
      </c>
      <c r="Z104" s="1728">
        <v>5357</v>
      </c>
      <c r="AA104" s="1728">
        <v>5276</v>
      </c>
      <c r="AB104" s="1728">
        <v>6136</v>
      </c>
      <c r="AC104" s="1728">
        <v>6087</v>
      </c>
      <c r="AD104" s="1728">
        <v>5937</v>
      </c>
      <c r="AE104" s="1728">
        <v>6512</v>
      </c>
      <c r="AF104" s="1728">
        <v>7653</v>
      </c>
      <c r="AG104" s="1570">
        <v>8034</v>
      </c>
      <c r="AH104" s="1570">
        <v>7060</v>
      </c>
      <c r="AI104" s="2010">
        <v>7915</v>
      </c>
      <c r="AJ104" s="2011">
        <v>7831</v>
      </c>
    </row>
    <row r="105" spans="1:36" x14ac:dyDescent="0.25">
      <c r="A105" s="402" t="s">
        <v>66</v>
      </c>
      <c r="B105" s="403" t="s">
        <v>67</v>
      </c>
      <c r="C105" s="410" t="s">
        <v>265</v>
      </c>
      <c r="D105" s="407">
        <v>0.26300000000000001</v>
      </c>
      <c r="E105" s="408">
        <v>0.251</v>
      </c>
      <c r="F105" s="408">
        <v>0.27800000000000002</v>
      </c>
      <c r="G105" s="408">
        <v>0.307</v>
      </c>
      <c r="H105" s="408">
        <v>0.28100000000000003</v>
      </c>
      <c r="I105" s="408">
        <v>0.35100000000000003</v>
      </c>
      <c r="J105" s="408">
        <v>0.35700000000000004</v>
      </c>
      <c r="K105" s="408">
        <v>0.37000000000000005</v>
      </c>
      <c r="L105" s="408">
        <v>0.32400000000000001</v>
      </c>
      <c r="M105" s="408">
        <v>0.37600000000000006</v>
      </c>
      <c r="N105" s="409">
        <v>0.41700000000000004</v>
      </c>
      <c r="O105" s="409">
        <v>0.41299999999999998</v>
      </c>
      <c r="P105" s="409">
        <v>0.40600000000000003</v>
      </c>
      <c r="Q105" s="1731">
        <v>0.39083789292994314</v>
      </c>
      <c r="R105" s="2000">
        <v>0.36625161013310431</v>
      </c>
      <c r="S105" s="2005">
        <v>0.39376988044312822</v>
      </c>
      <c r="T105" s="1354"/>
      <c r="U105" s="1728">
        <v>2860</v>
      </c>
      <c r="V105" s="1728">
        <v>2683</v>
      </c>
      <c r="W105" s="1728">
        <v>2994</v>
      </c>
      <c r="X105" s="1728">
        <v>3217</v>
      </c>
      <c r="Y105" s="1728">
        <v>2948</v>
      </c>
      <c r="Z105" s="1728">
        <v>3628</v>
      </c>
      <c r="AA105" s="1728">
        <v>3560</v>
      </c>
      <c r="AB105" s="1728">
        <v>3593</v>
      </c>
      <c r="AC105" s="1728">
        <v>3075</v>
      </c>
      <c r="AD105" s="1728">
        <v>3443</v>
      </c>
      <c r="AE105" s="1728">
        <v>3778</v>
      </c>
      <c r="AF105" s="1728">
        <v>3791</v>
      </c>
      <c r="AG105" s="1570">
        <v>3798</v>
      </c>
      <c r="AH105" s="1570">
        <v>3643</v>
      </c>
      <c r="AI105" s="2010">
        <v>3412</v>
      </c>
      <c r="AJ105" s="2011">
        <v>3590</v>
      </c>
    </row>
    <row r="106" spans="1:36" x14ac:dyDescent="0.25">
      <c r="A106" s="402" t="s">
        <v>82</v>
      </c>
      <c r="B106" s="403" t="s">
        <v>83</v>
      </c>
      <c r="C106" s="410" t="s">
        <v>264</v>
      </c>
      <c r="D106" s="407">
        <v>0.27700000000000002</v>
      </c>
      <c r="E106" s="408">
        <v>0.23399999999999999</v>
      </c>
      <c r="F106" s="408">
        <v>0.26400000000000001</v>
      </c>
      <c r="G106" s="408">
        <v>0.27199999999999996</v>
      </c>
      <c r="H106" s="408">
        <v>0.23600000000000002</v>
      </c>
      <c r="I106" s="408">
        <v>0.30299999999999999</v>
      </c>
      <c r="J106" s="408">
        <v>0.26900000000000002</v>
      </c>
      <c r="K106" s="408">
        <v>0.28999999999999998</v>
      </c>
      <c r="L106" s="408">
        <v>0.28200000000000003</v>
      </c>
      <c r="M106" s="408">
        <v>0.28600000000000003</v>
      </c>
      <c r="N106" s="409">
        <v>0.33200000000000002</v>
      </c>
      <c r="O106" s="409">
        <v>0.33700000000000002</v>
      </c>
      <c r="P106" s="409">
        <v>0.33100000000000002</v>
      </c>
      <c r="Q106" s="1731">
        <v>0.36555199267063676</v>
      </c>
      <c r="R106" s="2000">
        <v>0.34682860998650472</v>
      </c>
      <c r="S106" s="2005">
        <v>0.35228331780055916</v>
      </c>
      <c r="T106" s="1354"/>
      <c r="U106" s="1728">
        <v>569</v>
      </c>
      <c r="V106" s="1728">
        <v>472</v>
      </c>
      <c r="W106" s="1728">
        <v>542</v>
      </c>
      <c r="X106" s="1728">
        <v>583</v>
      </c>
      <c r="Y106" s="1728">
        <v>517</v>
      </c>
      <c r="Z106" s="1728">
        <v>654</v>
      </c>
      <c r="AA106" s="1728">
        <v>586</v>
      </c>
      <c r="AB106" s="1728">
        <v>652</v>
      </c>
      <c r="AC106" s="1728">
        <v>621</v>
      </c>
      <c r="AD106" s="1728">
        <v>635</v>
      </c>
      <c r="AE106" s="1728">
        <v>671</v>
      </c>
      <c r="AF106" s="1728">
        <v>688</v>
      </c>
      <c r="AG106" s="1570">
        <v>689</v>
      </c>
      <c r="AH106" s="1570">
        <v>798</v>
      </c>
      <c r="AI106" s="2010">
        <v>771</v>
      </c>
      <c r="AJ106" s="2011">
        <v>756</v>
      </c>
    </row>
    <row r="107" spans="1:36" x14ac:dyDescent="0.25">
      <c r="A107" s="402" t="s">
        <v>88</v>
      </c>
      <c r="B107" s="403" t="s">
        <v>89</v>
      </c>
      <c r="C107" s="410" t="s">
        <v>267</v>
      </c>
      <c r="D107" s="407">
        <v>0.17899999999999999</v>
      </c>
      <c r="E107" s="408">
        <v>0.156</v>
      </c>
      <c r="F107" s="408">
        <v>0.18</v>
      </c>
      <c r="G107" s="408">
        <v>0.19699999999999998</v>
      </c>
      <c r="H107" s="408">
        <v>0.18100000000000002</v>
      </c>
      <c r="I107" s="408">
        <v>0.20799999999999999</v>
      </c>
      <c r="J107" s="408">
        <v>0.20200000000000001</v>
      </c>
      <c r="K107" s="408">
        <v>0.193</v>
      </c>
      <c r="L107" s="408">
        <v>0.20300000000000001</v>
      </c>
      <c r="M107" s="408">
        <v>0.23199999999999998</v>
      </c>
      <c r="N107" s="409">
        <v>0.23399999999999999</v>
      </c>
      <c r="O107" s="409">
        <v>0.22899999999999998</v>
      </c>
      <c r="P107" s="409">
        <v>0.21199999999999999</v>
      </c>
      <c r="Q107" s="1731">
        <v>0.23028334235697528</v>
      </c>
      <c r="R107" s="2000">
        <v>0.23432755849258796</v>
      </c>
      <c r="S107" s="2005">
        <v>0.22798019101521047</v>
      </c>
      <c r="T107" s="1354"/>
      <c r="U107" s="1728">
        <v>646</v>
      </c>
      <c r="V107" s="1728">
        <v>583</v>
      </c>
      <c r="W107" s="1728">
        <v>715</v>
      </c>
      <c r="X107" s="1728">
        <v>830</v>
      </c>
      <c r="Y107" s="1728">
        <v>765</v>
      </c>
      <c r="Z107" s="1728">
        <v>871</v>
      </c>
      <c r="AA107" s="1728">
        <v>868</v>
      </c>
      <c r="AB107" s="1728">
        <v>911</v>
      </c>
      <c r="AC107" s="1728">
        <v>995</v>
      </c>
      <c r="AD107" s="1728">
        <v>1060</v>
      </c>
      <c r="AE107" s="1728">
        <v>1092</v>
      </c>
      <c r="AF107" s="1728">
        <v>1183</v>
      </c>
      <c r="AG107" s="1570">
        <v>1181</v>
      </c>
      <c r="AH107" s="1570">
        <v>1276</v>
      </c>
      <c r="AI107" s="2010">
        <v>1312</v>
      </c>
      <c r="AJ107" s="2011">
        <v>1289</v>
      </c>
    </row>
    <row r="108" spans="1:36" x14ac:dyDescent="0.25">
      <c r="A108" s="402" t="s">
        <v>90</v>
      </c>
      <c r="B108" s="403" t="s">
        <v>91</v>
      </c>
      <c r="C108" s="410" t="s">
        <v>268</v>
      </c>
      <c r="D108" s="407">
        <v>0.26899999999999996</v>
      </c>
      <c r="E108" s="408">
        <v>0.24399999999999997</v>
      </c>
      <c r="F108" s="408">
        <v>0.26</v>
      </c>
      <c r="G108" s="408">
        <v>0.29600000000000004</v>
      </c>
      <c r="H108" s="408">
        <v>0.24899999999999997</v>
      </c>
      <c r="I108" s="408">
        <v>0.29499999999999998</v>
      </c>
      <c r="J108" s="408">
        <v>0.29799999999999999</v>
      </c>
      <c r="K108" s="408">
        <v>0.29399999999999998</v>
      </c>
      <c r="L108" s="408">
        <v>0.32400000000000001</v>
      </c>
      <c r="M108" s="408">
        <v>0.34299999999999997</v>
      </c>
      <c r="N108" s="409">
        <v>0.35899999999999999</v>
      </c>
      <c r="O108" s="409">
        <v>0.373</v>
      </c>
      <c r="P108" s="409">
        <v>0.36399999999999999</v>
      </c>
      <c r="Q108" s="1731">
        <v>0.36742192284139619</v>
      </c>
      <c r="R108" s="2000">
        <v>0.34785238959467635</v>
      </c>
      <c r="S108" s="2005">
        <v>0.36538461538461536</v>
      </c>
      <c r="T108" s="1354"/>
      <c r="U108" s="1728">
        <v>412</v>
      </c>
      <c r="V108" s="1728">
        <v>376</v>
      </c>
      <c r="W108" s="1728">
        <v>408</v>
      </c>
      <c r="X108" s="1728">
        <v>464</v>
      </c>
      <c r="Y108" s="1728">
        <v>390</v>
      </c>
      <c r="Z108" s="1728">
        <v>456</v>
      </c>
      <c r="AA108" s="1728">
        <v>459</v>
      </c>
      <c r="AB108" s="1728">
        <v>453</v>
      </c>
      <c r="AC108" s="1728">
        <v>502</v>
      </c>
      <c r="AD108" s="1728">
        <v>533</v>
      </c>
      <c r="AE108" s="1728">
        <v>541</v>
      </c>
      <c r="AF108" s="1728">
        <v>565</v>
      </c>
      <c r="AG108" s="1570">
        <v>562</v>
      </c>
      <c r="AH108" s="1570">
        <v>600</v>
      </c>
      <c r="AI108" s="2010">
        <v>575</v>
      </c>
      <c r="AJ108" s="2011">
        <v>589</v>
      </c>
    </row>
    <row r="109" spans="1:36" x14ac:dyDescent="0.25">
      <c r="A109" s="402" t="s">
        <v>106</v>
      </c>
      <c r="B109" s="403" t="s">
        <v>107</v>
      </c>
      <c r="C109" s="410" t="s">
        <v>264</v>
      </c>
      <c r="D109" s="407">
        <v>0.17500000000000002</v>
      </c>
      <c r="E109" s="408">
        <v>0.16300000000000001</v>
      </c>
      <c r="F109" s="408">
        <v>0.18</v>
      </c>
      <c r="G109" s="408">
        <v>0.18699999999999997</v>
      </c>
      <c r="H109" s="408">
        <v>0.17399999999999999</v>
      </c>
      <c r="I109" s="408">
        <v>0.20300000000000001</v>
      </c>
      <c r="J109" s="408">
        <v>0.16899999999999998</v>
      </c>
      <c r="K109" s="408">
        <v>0.19800000000000001</v>
      </c>
      <c r="L109" s="408">
        <v>0.19899999999999998</v>
      </c>
      <c r="M109" s="408">
        <v>0.20699999999999999</v>
      </c>
      <c r="N109" s="409">
        <v>0.20300000000000001</v>
      </c>
      <c r="O109" s="409">
        <v>0.23699999999999999</v>
      </c>
      <c r="P109" s="409">
        <v>0.253</v>
      </c>
      <c r="Q109" s="1731">
        <v>0.22343621961212784</v>
      </c>
      <c r="R109" s="2000">
        <v>0.2159420784809262</v>
      </c>
      <c r="S109" s="2005">
        <v>0.23530225480702724</v>
      </c>
      <c r="T109" s="1354"/>
      <c r="U109" s="1728">
        <v>6095</v>
      </c>
      <c r="V109" s="1728">
        <v>5622</v>
      </c>
      <c r="W109" s="1728">
        <v>6355</v>
      </c>
      <c r="X109" s="1728">
        <v>6489</v>
      </c>
      <c r="Y109" s="1728">
        <v>5995</v>
      </c>
      <c r="Z109" s="1728">
        <v>6926</v>
      </c>
      <c r="AA109" s="1728">
        <v>5650</v>
      </c>
      <c r="AB109" s="1728">
        <v>6578</v>
      </c>
      <c r="AC109" s="1728">
        <v>6452</v>
      </c>
      <c r="AD109" s="1728">
        <v>6526</v>
      </c>
      <c r="AE109" s="1728">
        <v>6225</v>
      </c>
      <c r="AF109" s="1728">
        <v>7163</v>
      </c>
      <c r="AG109" s="1570">
        <v>7560</v>
      </c>
      <c r="AH109" s="1570">
        <v>6544</v>
      </c>
      <c r="AI109" s="2010">
        <v>6323</v>
      </c>
      <c r="AJ109" s="2011">
        <v>6804</v>
      </c>
    </row>
    <row r="110" spans="1:36" x14ac:dyDescent="0.25">
      <c r="A110" s="402" t="s">
        <v>116</v>
      </c>
      <c r="B110" s="403" t="s">
        <v>117</v>
      </c>
      <c r="C110" s="410" t="s">
        <v>266</v>
      </c>
      <c r="D110" s="407">
        <v>0.22800000000000001</v>
      </c>
      <c r="E110" s="408">
        <v>0.20200000000000001</v>
      </c>
      <c r="F110" s="408">
        <v>0.24200000000000002</v>
      </c>
      <c r="G110" s="408">
        <v>0.26</v>
      </c>
      <c r="H110" s="408">
        <v>0.219</v>
      </c>
      <c r="I110" s="408">
        <v>0.26600000000000001</v>
      </c>
      <c r="J110" s="408">
        <v>0.26100000000000001</v>
      </c>
      <c r="K110" s="408">
        <v>0.24500000000000002</v>
      </c>
      <c r="L110" s="408">
        <v>0.27</v>
      </c>
      <c r="M110" s="408">
        <v>0.29500000000000004</v>
      </c>
      <c r="N110" s="409">
        <v>0.27499999999999997</v>
      </c>
      <c r="O110" s="409">
        <v>0.30199999999999999</v>
      </c>
      <c r="P110" s="409">
        <v>0.29799999999999999</v>
      </c>
      <c r="Q110" s="1731">
        <v>0.34282544378698226</v>
      </c>
      <c r="R110" s="2000">
        <v>0.31276093664911964</v>
      </c>
      <c r="S110" s="2005">
        <v>0.33673104434907009</v>
      </c>
      <c r="T110" s="1354"/>
      <c r="U110" s="1728">
        <v>1348</v>
      </c>
      <c r="V110" s="1728">
        <v>1213</v>
      </c>
      <c r="W110" s="1728">
        <v>1480</v>
      </c>
      <c r="X110" s="1728">
        <v>1567</v>
      </c>
      <c r="Y110" s="1728">
        <v>1342</v>
      </c>
      <c r="Z110" s="1728">
        <v>1611</v>
      </c>
      <c r="AA110" s="1728">
        <v>1546</v>
      </c>
      <c r="AB110" s="1728">
        <v>1488</v>
      </c>
      <c r="AC110" s="1728">
        <v>1655</v>
      </c>
      <c r="AD110" s="1728">
        <v>1758</v>
      </c>
      <c r="AE110" s="1728">
        <v>1535</v>
      </c>
      <c r="AF110" s="1728">
        <v>1664</v>
      </c>
      <c r="AG110" s="1570">
        <v>1647</v>
      </c>
      <c r="AH110" s="1570">
        <v>1854</v>
      </c>
      <c r="AI110" s="2010">
        <v>1723</v>
      </c>
      <c r="AJ110" s="2011">
        <v>1883</v>
      </c>
    </row>
    <row r="111" spans="1:36" x14ac:dyDescent="0.25">
      <c r="A111" s="402" t="s">
        <v>138</v>
      </c>
      <c r="B111" s="403" t="s">
        <v>139</v>
      </c>
      <c r="C111" s="410" t="s">
        <v>265</v>
      </c>
      <c r="D111" s="407">
        <v>0.2</v>
      </c>
      <c r="E111" s="408">
        <v>0.19699999999999998</v>
      </c>
      <c r="F111" s="408">
        <v>0.23500000000000001</v>
      </c>
      <c r="G111" s="408">
        <v>0.253</v>
      </c>
      <c r="H111" s="408">
        <v>0.23100000000000001</v>
      </c>
      <c r="I111" s="408">
        <v>0.25399999999999995</v>
      </c>
      <c r="J111" s="408">
        <v>0.252</v>
      </c>
      <c r="K111" s="408">
        <v>0.27699999999999997</v>
      </c>
      <c r="L111" s="408">
        <v>0.24</v>
      </c>
      <c r="M111" s="408">
        <v>0.26600000000000001</v>
      </c>
      <c r="N111" s="409">
        <v>0.29599999999999999</v>
      </c>
      <c r="O111" s="409">
        <v>0.252</v>
      </c>
      <c r="P111" s="409">
        <v>0.29299999999999998</v>
      </c>
      <c r="Q111" s="1731">
        <v>0.29990634198554988</v>
      </c>
      <c r="R111" s="2000">
        <v>0.31687536495166418</v>
      </c>
      <c r="S111" s="2005">
        <v>0.28444121724206217</v>
      </c>
      <c r="T111" s="1354"/>
      <c r="U111" s="1728">
        <v>2811</v>
      </c>
      <c r="V111" s="1728">
        <v>2742</v>
      </c>
      <c r="W111" s="1728">
        <v>3339</v>
      </c>
      <c r="X111" s="1728">
        <v>3579</v>
      </c>
      <c r="Y111" s="1728">
        <v>3266</v>
      </c>
      <c r="Z111" s="1728">
        <v>3540</v>
      </c>
      <c r="AA111" s="1728">
        <v>3488</v>
      </c>
      <c r="AB111" s="1728">
        <v>4018</v>
      </c>
      <c r="AC111" s="1728">
        <v>3522</v>
      </c>
      <c r="AD111" s="1728">
        <v>3857</v>
      </c>
      <c r="AE111" s="1728">
        <v>4267</v>
      </c>
      <c r="AF111" s="1728">
        <v>3687</v>
      </c>
      <c r="AG111" s="1570">
        <v>4341</v>
      </c>
      <c r="AH111" s="1570">
        <v>4483</v>
      </c>
      <c r="AI111" s="2010">
        <v>4884</v>
      </c>
      <c r="AJ111" s="2011">
        <v>4309</v>
      </c>
    </row>
    <row r="112" spans="1:36" x14ac:dyDescent="0.25">
      <c r="A112" s="402" t="s">
        <v>142</v>
      </c>
      <c r="B112" s="403" t="s">
        <v>143</v>
      </c>
      <c r="C112" s="410" t="s">
        <v>267</v>
      </c>
      <c r="D112" s="407">
        <v>8.1000000000000003E-2</v>
      </c>
      <c r="E112" s="408">
        <v>7.5000000000000011E-2</v>
      </c>
      <c r="F112" s="408">
        <v>8.3999999999999991E-2</v>
      </c>
      <c r="G112" s="408">
        <v>9.5000000000000001E-2</v>
      </c>
      <c r="H112" s="408">
        <v>9.3000000000000013E-2</v>
      </c>
      <c r="I112" s="408">
        <v>9.1999999999999985E-2</v>
      </c>
      <c r="J112" s="408">
        <v>9.8000000000000004E-2</v>
      </c>
      <c r="K112" s="408">
        <v>0.13099999999999998</v>
      </c>
      <c r="L112" s="408">
        <v>0.13100000000000001</v>
      </c>
      <c r="M112" s="408">
        <v>0.14599999999999999</v>
      </c>
      <c r="N112" s="409">
        <v>0.17899999999999999</v>
      </c>
      <c r="O112" s="409">
        <v>0.16699999999999998</v>
      </c>
      <c r="P112" s="409">
        <v>0.17299999999999999</v>
      </c>
      <c r="Q112" s="1731">
        <v>0.167420814479638</v>
      </c>
      <c r="R112" s="2000">
        <v>0.1635738209468634</v>
      </c>
      <c r="S112" s="2005">
        <v>0.15432041961903009</v>
      </c>
      <c r="T112" s="1354"/>
      <c r="U112" s="1728">
        <v>862</v>
      </c>
      <c r="V112" s="1728">
        <v>803</v>
      </c>
      <c r="W112" s="1728">
        <v>919</v>
      </c>
      <c r="X112" s="1728">
        <v>1055</v>
      </c>
      <c r="Y112" s="1728">
        <v>1038</v>
      </c>
      <c r="Z112" s="1728">
        <v>1017</v>
      </c>
      <c r="AA112" s="1728">
        <v>1022</v>
      </c>
      <c r="AB112" s="1728">
        <v>1324</v>
      </c>
      <c r="AC112" s="1728">
        <v>1308</v>
      </c>
      <c r="AD112" s="1728">
        <v>1504</v>
      </c>
      <c r="AE112" s="1728">
        <v>1888</v>
      </c>
      <c r="AF112" s="1728">
        <v>1790</v>
      </c>
      <c r="AG112" s="1570">
        <v>1882</v>
      </c>
      <c r="AH112" s="1570">
        <v>1850</v>
      </c>
      <c r="AI112" s="2010">
        <v>1807</v>
      </c>
      <c r="AJ112" s="2011">
        <v>1677</v>
      </c>
    </row>
    <row r="113" spans="1:37" x14ac:dyDescent="0.25">
      <c r="A113" s="402" t="s">
        <v>144</v>
      </c>
      <c r="B113" s="403" t="s">
        <v>145</v>
      </c>
      <c r="C113" s="410" t="s">
        <v>267</v>
      </c>
      <c r="D113" s="407">
        <v>8.3000000000000004E-2</v>
      </c>
      <c r="E113" s="408">
        <v>7.2999999999999995E-2</v>
      </c>
      <c r="F113" s="408">
        <v>8.4000000000000005E-2</v>
      </c>
      <c r="G113" s="408">
        <v>9.1999999999999998E-2</v>
      </c>
      <c r="H113" s="408">
        <v>7.6999999999999999E-2</v>
      </c>
      <c r="I113" s="408">
        <v>8.6999999999999994E-2</v>
      </c>
      <c r="J113" s="408">
        <v>9.2999999999999999E-2</v>
      </c>
      <c r="K113" s="408">
        <v>0.1</v>
      </c>
      <c r="L113" s="408">
        <v>0.113</v>
      </c>
      <c r="M113" s="408">
        <v>0.126</v>
      </c>
      <c r="N113" s="409">
        <v>0.13599999999999998</v>
      </c>
      <c r="O113" s="409">
        <v>0.14199999999999999</v>
      </c>
      <c r="P113" s="409">
        <v>0.14199999999999999</v>
      </c>
      <c r="Q113" s="1731">
        <v>0.13747954173486088</v>
      </c>
      <c r="R113" s="2000">
        <v>0.14706677480400107</v>
      </c>
      <c r="S113" s="2005">
        <v>0.12679969689315485</v>
      </c>
      <c r="T113" s="1354"/>
      <c r="U113" s="1728">
        <v>275</v>
      </c>
      <c r="V113" s="1728">
        <v>250</v>
      </c>
      <c r="W113" s="1728">
        <v>293</v>
      </c>
      <c r="X113" s="1728">
        <v>339</v>
      </c>
      <c r="Y113" s="1728">
        <v>286</v>
      </c>
      <c r="Z113" s="1728">
        <v>319</v>
      </c>
      <c r="AA113" s="1728">
        <v>349</v>
      </c>
      <c r="AB113" s="1728">
        <v>363</v>
      </c>
      <c r="AC113" s="1728">
        <v>409</v>
      </c>
      <c r="AD113" s="1728">
        <v>452</v>
      </c>
      <c r="AE113" s="1728">
        <v>546</v>
      </c>
      <c r="AF113" s="1728">
        <v>615</v>
      </c>
      <c r="AG113" s="1570">
        <v>618</v>
      </c>
      <c r="AH113" s="1570">
        <v>588</v>
      </c>
      <c r="AI113" s="2010">
        <v>544</v>
      </c>
      <c r="AJ113" s="2011">
        <v>502</v>
      </c>
    </row>
    <row r="114" spans="1:37" x14ac:dyDescent="0.25">
      <c r="A114" s="402" t="s">
        <v>158</v>
      </c>
      <c r="B114" s="403" t="s">
        <v>159</v>
      </c>
      <c r="C114" s="410" t="s">
        <v>264</v>
      </c>
      <c r="D114" s="407">
        <v>0.188</v>
      </c>
      <c r="E114" s="408">
        <v>0.17100000000000001</v>
      </c>
      <c r="F114" s="408">
        <v>0.192</v>
      </c>
      <c r="G114" s="408">
        <v>0.19899999999999998</v>
      </c>
      <c r="H114" s="408">
        <v>0.18399999999999997</v>
      </c>
      <c r="I114" s="408">
        <v>0.21199999999999999</v>
      </c>
      <c r="J114" s="408">
        <v>0.189</v>
      </c>
      <c r="K114" s="408">
        <v>0.20799999999999999</v>
      </c>
      <c r="L114" s="408">
        <v>0.19399999999999998</v>
      </c>
      <c r="M114" s="408">
        <v>0.20600000000000002</v>
      </c>
      <c r="N114" s="409">
        <v>0.23300000000000001</v>
      </c>
      <c r="O114" s="409">
        <v>0.22699999999999998</v>
      </c>
      <c r="P114" s="409">
        <v>0.253</v>
      </c>
      <c r="Q114" s="1731">
        <v>0.27058684335068622</v>
      </c>
      <c r="R114" s="2000">
        <v>0.25797903802020489</v>
      </c>
      <c r="S114" s="2005">
        <v>0.25742337164750956</v>
      </c>
      <c r="T114" s="1354"/>
      <c r="U114" s="1728">
        <v>9366</v>
      </c>
      <c r="V114" s="1728">
        <v>8608</v>
      </c>
      <c r="W114" s="1728">
        <v>10012</v>
      </c>
      <c r="X114" s="1728">
        <v>10363</v>
      </c>
      <c r="Y114" s="1728">
        <v>9610</v>
      </c>
      <c r="Z114" s="1728">
        <v>10934</v>
      </c>
      <c r="AA114" s="1728">
        <v>9486</v>
      </c>
      <c r="AB114" s="1728">
        <v>10346</v>
      </c>
      <c r="AC114" s="1728">
        <v>9552</v>
      </c>
      <c r="AD114" s="1728">
        <v>9976</v>
      </c>
      <c r="AE114" s="1728">
        <v>10038</v>
      </c>
      <c r="AF114" s="1728">
        <v>9700</v>
      </c>
      <c r="AG114" s="1570">
        <v>10744</v>
      </c>
      <c r="AH114" s="1570">
        <v>11435</v>
      </c>
      <c r="AI114" s="2010">
        <v>10904</v>
      </c>
      <c r="AJ114" s="2011">
        <v>10750</v>
      </c>
    </row>
    <row r="115" spans="1:37" x14ac:dyDescent="0.25">
      <c r="A115" s="402" t="s">
        <v>160</v>
      </c>
      <c r="B115" s="403" t="s">
        <v>161</v>
      </c>
      <c r="C115" s="410" t="s">
        <v>264</v>
      </c>
      <c r="D115" s="407">
        <v>0.26399999999999996</v>
      </c>
      <c r="E115" s="408">
        <v>0.24100000000000002</v>
      </c>
      <c r="F115" s="408">
        <v>0.26200000000000001</v>
      </c>
      <c r="G115" s="408">
        <v>0.27100000000000002</v>
      </c>
      <c r="H115" s="408">
        <v>0.24000000000000002</v>
      </c>
      <c r="I115" s="408">
        <v>0.27499999999999997</v>
      </c>
      <c r="J115" s="408">
        <v>0.24000000000000002</v>
      </c>
      <c r="K115" s="408">
        <v>0.24299999999999999</v>
      </c>
      <c r="L115" s="408">
        <v>0.27899999999999997</v>
      </c>
      <c r="M115" s="408">
        <v>0.26700000000000002</v>
      </c>
      <c r="N115" s="409">
        <v>0.255</v>
      </c>
      <c r="O115" s="409">
        <v>0.28000000000000003</v>
      </c>
      <c r="P115" s="409">
        <v>0.27600000000000002</v>
      </c>
      <c r="Q115" s="1731">
        <v>0.33011058193487725</v>
      </c>
      <c r="R115" s="2000">
        <v>0.31745934586113322</v>
      </c>
      <c r="S115" s="2005">
        <v>0.29628789441121883</v>
      </c>
      <c r="T115" s="1354"/>
      <c r="U115" s="1728">
        <v>14823</v>
      </c>
      <c r="V115" s="1728">
        <v>13868</v>
      </c>
      <c r="W115" s="1728">
        <v>15592</v>
      </c>
      <c r="X115" s="1728">
        <v>16014</v>
      </c>
      <c r="Y115" s="1728">
        <v>14146</v>
      </c>
      <c r="Z115" s="1728">
        <v>16042</v>
      </c>
      <c r="AA115" s="1728">
        <v>13864</v>
      </c>
      <c r="AB115" s="1728">
        <v>14375</v>
      </c>
      <c r="AC115" s="1728">
        <v>16416</v>
      </c>
      <c r="AD115" s="1728">
        <v>14190</v>
      </c>
      <c r="AE115" s="1728">
        <v>12663</v>
      </c>
      <c r="AF115" s="1728">
        <v>13951</v>
      </c>
      <c r="AG115" s="1570">
        <v>13799</v>
      </c>
      <c r="AH115" s="1570">
        <v>16150</v>
      </c>
      <c r="AI115" s="2010">
        <v>15559</v>
      </c>
      <c r="AJ115" s="2011">
        <v>14367</v>
      </c>
    </row>
    <row r="116" spans="1:37" x14ac:dyDescent="0.25">
      <c r="A116" s="402" t="s">
        <v>166</v>
      </c>
      <c r="B116" s="403" t="s">
        <v>167</v>
      </c>
      <c r="C116" s="410" t="s">
        <v>268</v>
      </c>
      <c r="D116" s="407">
        <v>0.27100000000000002</v>
      </c>
      <c r="E116" s="408">
        <v>0.25900000000000001</v>
      </c>
      <c r="F116" s="408">
        <v>0.254</v>
      </c>
      <c r="G116" s="408">
        <v>0.28899999999999998</v>
      </c>
      <c r="H116" s="408">
        <v>0.26499999999999996</v>
      </c>
      <c r="I116" s="408">
        <v>0.32600000000000001</v>
      </c>
      <c r="J116" s="408">
        <v>0.28999999999999998</v>
      </c>
      <c r="K116" s="408">
        <v>0.31</v>
      </c>
      <c r="L116" s="408">
        <v>0.32200000000000001</v>
      </c>
      <c r="M116" s="408">
        <v>0.314</v>
      </c>
      <c r="N116" s="409">
        <v>0.316</v>
      </c>
      <c r="O116" s="409">
        <v>0.32100000000000001</v>
      </c>
      <c r="P116" s="409">
        <v>0.312</v>
      </c>
      <c r="Q116" s="1731">
        <v>0.36500579374275782</v>
      </c>
      <c r="R116" s="2000">
        <v>0.32852386237513875</v>
      </c>
      <c r="S116" s="2005">
        <v>0.37485029940119763</v>
      </c>
      <c r="T116" s="1354"/>
      <c r="U116" s="1728">
        <v>231</v>
      </c>
      <c r="V116" s="1728">
        <v>219</v>
      </c>
      <c r="W116" s="1728">
        <v>210</v>
      </c>
      <c r="X116" s="1728">
        <v>221</v>
      </c>
      <c r="Y116" s="1728">
        <v>207</v>
      </c>
      <c r="Z116" s="1728">
        <v>252</v>
      </c>
      <c r="AA116" s="1728">
        <v>211</v>
      </c>
      <c r="AB116" s="1728">
        <v>227</v>
      </c>
      <c r="AC116" s="1728">
        <v>237</v>
      </c>
      <c r="AD116" s="1728">
        <v>232</v>
      </c>
      <c r="AE116" s="1728">
        <v>268</v>
      </c>
      <c r="AF116" s="1728">
        <v>279</v>
      </c>
      <c r="AG116" s="1570">
        <v>259</v>
      </c>
      <c r="AH116" s="1570">
        <v>315</v>
      </c>
      <c r="AI116" s="2010">
        <v>296</v>
      </c>
      <c r="AJ116" s="2011">
        <v>313</v>
      </c>
    </row>
    <row r="117" spans="1:37" x14ac:dyDescent="0.25">
      <c r="A117" s="402" t="s">
        <v>176</v>
      </c>
      <c r="B117" s="403" t="s">
        <v>177</v>
      </c>
      <c r="C117" s="410" t="s">
        <v>266</v>
      </c>
      <c r="D117" s="407">
        <v>0.26600000000000001</v>
      </c>
      <c r="E117" s="408">
        <v>0.247</v>
      </c>
      <c r="F117" s="408">
        <v>0.27100000000000002</v>
      </c>
      <c r="G117" s="408">
        <v>0.28299999999999997</v>
      </c>
      <c r="H117" s="408">
        <v>0.255</v>
      </c>
      <c r="I117" s="408">
        <v>0.308</v>
      </c>
      <c r="J117" s="408">
        <v>0.28499999999999998</v>
      </c>
      <c r="K117" s="408">
        <v>0.28299999999999997</v>
      </c>
      <c r="L117" s="408">
        <v>0.307</v>
      </c>
      <c r="M117" s="408">
        <v>0.34200000000000003</v>
      </c>
      <c r="N117" s="409">
        <v>0.41400000000000003</v>
      </c>
      <c r="O117" s="409">
        <v>0.377</v>
      </c>
      <c r="P117" s="409">
        <v>0.38200000000000001</v>
      </c>
      <c r="Q117" s="1731">
        <v>0.46943295924394568</v>
      </c>
      <c r="R117" s="2000">
        <v>0.37489276522733772</v>
      </c>
      <c r="S117" s="2005">
        <v>0.42969203951191171</v>
      </c>
      <c r="T117" s="1354"/>
      <c r="U117" s="1728">
        <v>2149</v>
      </c>
      <c r="V117" s="1728">
        <v>2018</v>
      </c>
      <c r="W117" s="1728">
        <v>2272</v>
      </c>
      <c r="X117" s="1728">
        <v>2337</v>
      </c>
      <c r="Y117" s="1728">
        <v>2112</v>
      </c>
      <c r="Z117" s="1728">
        <v>2519</v>
      </c>
      <c r="AA117" s="1728">
        <v>2266</v>
      </c>
      <c r="AB117" s="1728">
        <v>2293</v>
      </c>
      <c r="AC117" s="1728">
        <v>2473</v>
      </c>
      <c r="AD117" s="1728">
        <v>2646</v>
      </c>
      <c r="AE117" s="1728">
        <v>2694</v>
      </c>
      <c r="AF117" s="1728">
        <v>2540</v>
      </c>
      <c r="AG117" s="1570">
        <v>2615</v>
      </c>
      <c r="AH117" s="1570">
        <v>3179</v>
      </c>
      <c r="AI117" s="2010">
        <v>2622</v>
      </c>
      <c r="AJ117" s="2011">
        <v>2958</v>
      </c>
    </row>
    <row r="118" spans="1:37" x14ac:dyDescent="0.25">
      <c r="A118" s="402" t="s">
        <v>180</v>
      </c>
      <c r="B118" s="403" t="s">
        <v>181</v>
      </c>
      <c r="C118" s="410" t="s">
        <v>264</v>
      </c>
      <c r="D118" s="407">
        <v>0.23300000000000001</v>
      </c>
      <c r="E118" s="408">
        <v>0.21899999999999997</v>
      </c>
      <c r="F118" s="408">
        <v>0.24100000000000002</v>
      </c>
      <c r="G118" s="408">
        <v>0.251</v>
      </c>
      <c r="H118" s="408">
        <v>0.21600000000000003</v>
      </c>
      <c r="I118" s="408">
        <v>0.27299999999999996</v>
      </c>
      <c r="J118" s="408">
        <v>0.23800000000000002</v>
      </c>
      <c r="K118" s="408">
        <v>0.23500000000000001</v>
      </c>
      <c r="L118" s="408">
        <v>0.28800000000000003</v>
      </c>
      <c r="M118" s="408">
        <v>0.25100000000000006</v>
      </c>
      <c r="N118" s="409">
        <v>0.28500000000000003</v>
      </c>
      <c r="O118" s="409">
        <v>0.28100000000000003</v>
      </c>
      <c r="P118" s="409">
        <v>0.30399999999999999</v>
      </c>
      <c r="Q118" s="1731">
        <v>0.33206280061711591</v>
      </c>
      <c r="R118" s="2000">
        <v>0.28340782632491107</v>
      </c>
      <c r="S118" s="2005">
        <v>0.30528748131031669</v>
      </c>
      <c r="T118" s="1354"/>
      <c r="U118" s="1728">
        <v>5804</v>
      </c>
      <c r="V118" s="1728">
        <v>5510</v>
      </c>
      <c r="W118" s="1728">
        <v>6185</v>
      </c>
      <c r="X118" s="1728">
        <v>6463</v>
      </c>
      <c r="Y118" s="1728">
        <v>5669</v>
      </c>
      <c r="Z118" s="1728">
        <v>7067</v>
      </c>
      <c r="AA118" s="1728">
        <v>6160</v>
      </c>
      <c r="AB118" s="1728">
        <v>6087</v>
      </c>
      <c r="AC118" s="1728">
        <v>7321</v>
      </c>
      <c r="AD118" s="1728">
        <v>5829</v>
      </c>
      <c r="AE118" s="1728">
        <v>6280</v>
      </c>
      <c r="AF118" s="1728">
        <v>6231</v>
      </c>
      <c r="AG118" s="1570">
        <v>6818</v>
      </c>
      <c r="AH118" s="1570">
        <v>7318</v>
      </c>
      <c r="AI118" s="2010">
        <v>6214</v>
      </c>
      <c r="AJ118" s="2011">
        <v>6738</v>
      </c>
    </row>
    <row r="119" spans="1:37" x14ac:dyDescent="0.25">
      <c r="A119" s="402" t="s">
        <v>192</v>
      </c>
      <c r="B119" s="403" t="s">
        <v>193</v>
      </c>
      <c r="C119" s="410" t="s">
        <v>268</v>
      </c>
      <c r="D119" s="407">
        <v>0.13100000000000001</v>
      </c>
      <c r="E119" s="408">
        <v>0.126</v>
      </c>
      <c r="F119" s="408">
        <v>0.158</v>
      </c>
      <c r="G119" s="408">
        <v>0.16</v>
      </c>
      <c r="H119" s="408">
        <v>0.14800000000000002</v>
      </c>
      <c r="I119" s="408">
        <v>0.155</v>
      </c>
      <c r="J119" s="408">
        <v>0.16300000000000001</v>
      </c>
      <c r="K119" s="408">
        <v>0.16699999999999998</v>
      </c>
      <c r="L119" s="408">
        <v>0.16600000000000001</v>
      </c>
      <c r="M119" s="408">
        <v>0.183</v>
      </c>
      <c r="N119" s="409">
        <v>0.193</v>
      </c>
      <c r="O119" s="409">
        <v>0.19399999999999998</v>
      </c>
      <c r="P119" s="409">
        <v>0.20100000000000001</v>
      </c>
      <c r="Q119" s="1731">
        <v>0.20504731861198738</v>
      </c>
      <c r="R119" s="2000">
        <v>0.20581849761181067</v>
      </c>
      <c r="S119" s="2005">
        <v>0.21485411140583555</v>
      </c>
      <c r="T119" s="1354"/>
      <c r="U119" s="1728">
        <v>255</v>
      </c>
      <c r="V119" s="1728">
        <v>236</v>
      </c>
      <c r="W119" s="1728">
        <v>285</v>
      </c>
      <c r="X119" s="1728">
        <v>291</v>
      </c>
      <c r="Y119" s="1728">
        <v>237</v>
      </c>
      <c r="Z119" s="1728">
        <v>245</v>
      </c>
      <c r="AA119" s="1728">
        <v>267</v>
      </c>
      <c r="AB119" s="1728">
        <v>323</v>
      </c>
      <c r="AC119" s="1728">
        <v>331</v>
      </c>
      <c r="AD119" s="1728">
        <v>346</v>
      </c>
      <c r="AE119" s="1728">
        <v>408</v>
      </c>
      <c r="AF119" s="1728">
        <v>391</v>
      </c>
      <c r="AG119" s="1570">
        <v>489</v>
      </c>
      <c r="AH119" s="1570">
        <v>455</v>
      </c>
      <c r="AI119" s="2010">
        <v>474</v>
      </c>
      <c r="AJ119" s="2011">
        <v>486</v>
      </c>
    </row>
    <row r="120" spans="1:37" x14ac:dyDescent="0.25">
      <c r="A120" s="402" t="s">
        <v>196</v>
      </c>
      <c r="B120" s="403" t="s">
        <v>197</v>
      </c>
      <c r="C120" s="410" t="s">
        <v>266</v>
      </c>
      <c r="D120" s="407">
        <v>0.28200000000000003</v>
      </c>
      <c r="E120" s="408">
        <v>0.25700000000000001</v>
      </c>
      <c r="F120" s="408">
        <v>0.29499999999999998</v>
      </c>
      <c r="G120" s="408">
        <v>0.30599999999999999</v>
      </c>
      <c r="H120" s="408">
        <v>0.27499999999999997</v>
      </c>
      <c r="I120" s="408">
        <v>0.29700000000000004</v>
      </c>
      <c r="J120" s="408">
        <v>0.29300000000000004</v>
      </c>
      <c r="K120" s="408">
        <v>0.32299999999999995</v>
      </c>
      <c r="L120" s="408">
        <v>0.35600000000000004</v>
      </c>
      <c r="M120" s="408">
        <v>0.34700000000000003</v>
      </c>
      <c r="N120" s="409">
        <v>0.35000000000000003</v>
      </c>
      <c r="O120" s="409">
        <v>0.36200000000000004</v>
      </c>
      <c r="P120" s="409">
        <v>0.36499999999999999</v>
      </c>
      <c r="Q120" s="1731">
        <v>0.37791192632149212</v>
      </c>
      <c r="R120" s="2000">
        <v>0.38944379658266998</v>
      </c>
      <c r="S120" s="2005">
        <v>0.36339995920864776</v>
      </c>
      <c r="T120" s="1354"/>
      <c r="U120" s="1728">
        <v>11931</v>
      </c>
      <c r="V120" s="1728">
        <v>10957</v>
      </c>
      <c r="W120" s="1728">
        <v>12863</v>
      </c>
      <c r="X120" s="1728">
        <v>13332</v>
      </c>
      <c r="Y120" s="1728">
        <v>12062</v>
      </c>
      <c r="Z120" s="1728">
        <v>12857</v>
      </c>
      <c r="AA120" s="1728">
        <v>12459</v>
      </c>
      <c r="AB120" s="1728">
        <v>14145</v>
      </c>
      <c r="AC120" s="1728">
        <v>15714</v>
      </c>
      <c r="AD120" s="1728">
        <v>13912</v>
      </c>
      <c r="AE120" s="1728">
        <v>13051</v>
      </c>
      <c r="AF120" s="1728">
        <v>14013</v>
      </c>
      <c r="AG120" s="1570">
        <v>14574</v>
      </c>
      <c r="AH120" s="1570">
        <v>14649</v>
      </c>
      <c r="AI120" s="2010">
        <v>15362</v>
      </c>
      <c r="AJ120" s="2011">
        <v>14254</v>
      </c>
    </row>
    <row r="121" spans="1:37" x14ac:dyDescent="0.25">
      <c r="A121" s="402" t="s">
        <v>200</v>
      </c>
      <c r="B121" s="403" t="s">
        <v>201</v>
      </c>
      <c r="C121" s="410" t="s">
        <v>265</v>
      </c>
      <c r="D121" s="407">
        <v>0.23899999999999999</v>
      </c>
      <c r="E121" s="408">
        <v>0.22699999999999998</v>
      </c>
      <c r="F121" s="408">
        <v>0.255</v>
      </c>
      <c r="G121" s="408">
        <v>0.27600000000000002</v>
      </c>
      <c r="H121" s="408">
        <v>0.24300000000000002</v>
      </c>
      <c r="I121" s="408">
        <v>0.25700000000000001</v>
      </c>
      <c r="J121" s="408">
        <v>0.24199999999999999</v>
      </c>
      <c r="K121" s="408">
        <v>0.27600000000000002</v>
      </c>
      <c r="L121" s="408">
        <v>0.27300000000000002</v>
      </c>
      <c r="M121" s="408">
        <v>0.3</v>
      </c>
      <c r="N121" s="409">
        <v>0.33899999999999997</v>
      </c>
      <c r="O121" s="409">
        <v>0.29600000000000004</v>
      </c>
      <c r="P121" s="409">
        <v>0.30299999999999999</v>
      </c>
      <c r="Q121" s="1731">
        <v>0.36543104672631727</v>
      </c>
      <c r="R121" s="2000">
        <v>0.33049744304974432</v>
      </c>
      <c r="S121" s="2005">
        <v>0.32874505110026703</v>
      </c>
      <c r="T121" s="1354"/>
      <c r="U121" s="1728">
        <v>5094</v>
      </c>
      <c r="V121" s="1728">
        <v>4846</v>
      </c>
      <c r="W121" s="1728">
        <v>5503</v>
      </c>
      <c r="X121" s="1728">
        <v>5900</v>
      </c>
      <c r="Y121" s="1728">
        <v>5325</v>
      </c>
      <c r="Z121" s="1728">
        <v>5575</v>
      </c>
      <c r="AA121" s="1728">
        <v>4915</v>
      </c>
      <c r="AB121" s="1728">
        <v>5669</v>
      </c>
      <c r="AC121" s="1728">
        <v>5608</v>
      </c>
      <c r="AD121" s="1728">
        <v>5862</v>
      </c>
      <c r="AE121" s="1728">
        <v>6981</v>
      </c>
      <c r="AF121" s="1728">
        <v>6126</v>
      </c>
      <c r="AG121" s="1570">
        <v>6335</v>
      </c>
      <c r="AH121" s="1570">
        <v>7719</v>
      </c>
      <c r="AI121" s="2010">
        <v>7109</v>
      </c>
      <c r="AJ121" s="2011">
        <v>7141</v>
      </c>
    </row>
    <row r="122" spans="1:37" x14ac:dyDescent="0.25">
      <c r="A122" s="402" t="s">
        <v>222</v>
      </c>
      <c r="B122" s="403" t="s">
        <v>223</v>
      </c>
      <c r="C122" s="410" t="s">
        <v>264</v>
      </c>
      <c r="D122" s="407">
        <v>0.16500000000000001</v>
      </c>
      <c r="E122" s="408">
        <v>0.14200000000000002</v>
      </c>
      <c r="F122" s="408">
        <v>0.15400000000000003</v>
      </c>
      <c r="G122" s="408">
        <v>0.16800000000000001</v>
      </c>
      <c r="H122" s="408">
        <v>0.151</v>
      </c>
      <c r="I122" s="408">
        <v>0.16300000000000001</v>
      </c>
      <c r="J122" s="408">
        <v>0.14599999999999999</v>
      </c>
      <c r="K122" s="408">
        <v>0.151</v>
      </c>
      <c r="L122" s="408">
        <v>0.14499999999999999</v>
      </c>
      <c r="M122" s="408">
        <v>0.17799999999999999</v>
      </c>
      <c r="N122" s="409">
        <v>0.17200000000000001</v>
      </c>
      <c r="O122" s="409">
        <v>0.18100000000000002</v>
      </c>
      <c r="P122" s="409">
        <v>0.182</v>
      </c>
      <c r="Q122" s="1731">
        <v>0.17326569912169462</v>
      </c>
      <c r="R122" s="2000">
        <v>0.20198520460717295</v>
      </c>
      <c r="S122" s="2005">
        <v>0.17998142127264283</v>
      </c>
      <c r="T122" s="1354"/>
      <c r="U122" s="1728">
        <v>2997</v>
      </c>
      <c r="V122" s="1728">
        <v>2660</v>
      </c>
      <c r="W122" s="1728">
        <v>3031</v>
      </c>
      <c r="X122" s="1728">
        <v>3412</v>
      </c>
      <c r="Y122" s="1728">
        <v>3136</v>
      </c>
      <c r="Z122" s="1728">
        <v>3335</v>
      </c>
      <c r="AA122" s="1728">
        <v>3012</v>
      </c>
      <c r="AB122" s="1728">
        <v>3249</v>
      </c>
      <c r="AC122" s="1728">
        <v>3100</v>
      </c>
      <c r="AD122" s="1728">
        <v>3779</v>
      </c>
      <c r="AE122" s="1728">
        <v>3764</v>
      </c>
      <c r="AF122" s="1728">
        <v>3897</v>
      </c>
      <c r="AG122" s="1570">
        <v>3872</v>
      </c>
      <c r="AH122" s="1570">
        <v>3689</v>
      </c>
      <c r="AI122" s="2010">
        <v>4314</v>
      </c>
      <c r="AJ122" s="2011">
        <v>3875</v>
      </c>
    </row>
    <row r="123" spans="1:37" x14ac:dyDescent="0.25">
      <c r="A123" s="402" t="s">
        <v>230</v>
      </c>
      <c r="B123" s="403" t="s">
        <v>231</v>
      </c>
      <c r="C123" s="410" t="s">
        <v>264</v>
      </c>
      <c r="D123" s="407">
        <v>0.10099999999999999</v>
      </c>
      <c r="E123" s="408">
        <v>9.0999999999999998E-2</v>
      </c>
      <c r="F123" s="408">
        <v>0.1</v>
      </c>
      <c r="G123" s="408">
        <v>0.106</v>
      </c>
      <c r="H123" s="408">
        <v>0.10099999999999999</v>
      </c>
      <c r="I123" s="408">
        <v>0.10800000000000001</v>
      </c>
      <c r="J123" s="408">
        <v>9.6000000000000002E-2</v>
      </c>
      <c r="K123" s="408">
        <v>9.9000000000000005E-2</v>
      </c>
      <c r="L123" s="408">
        <v>0.10300000000000001</v>
      </c>
      <c r="M123" s="408">
        <v>0.10400000000000001</v>
      </c>
      <c r="N123" s="409">
        <v>0.11</v>
      </c>
      <c r="O123" s="409">
        <v>0.126</v>
      </c>
      <c r="P123" s="409">
        <v>0.14299999999999999</v>
      </c>
      <c r="Q123" s="1731">
        <v>0.13225130685044148</v>
      </c>
      <c r="R123" s="2000">
        <v>0.123565902142176</v>
      </c>
      <c r="S123" s="2005">
        <v>0.12449990568941041</v>
      </c>
      <c r="T123" s="1354"/>
      <c r="U123" s="1728">
        <v>11838</v>
      </c>
      <c r="V123" s="1728">
        <v>10658</v>
      </c>
      <c r="W123" s="1728">
        <v>11881</v>
      </c>
      <c r="X123" s="1728">
        <v>12534</v>
      </c>
      <c r="Y123" s="1728">
        <v>11858</v>
      </c>
      <c r="Z123" s="1728">
        <v>12423</v>
      </c>
      <c r="AA123" s="1728">
        <v>10822</v>
      </c>
      <c r="AB123" s="1728">
        <v>10830</v>
      </c>
      <c r="AC123" s="1728">
        <v>11069</v>
      </c>
      <c r="AD123" s="1728">
        <v>10958</v>
      </c>
      <c r="AE123" s="1728">
        <v>11472</v>
      </c>
      <c r="AF123" s="1728">
        <v>13019</v>
      </c>
      <c r="AG123" s="1570">
        <v>14601</v>
      </c>
      <c r="AH123" s="1570">
        <v>13510</v>
      </c>
      <c r="AI123" s="2010">
        <v>12569</v>
      </c>
      <c r="AJ123" s="2011">
        <v>12541</v>
      </c>
    </row>
    <row r="124" spans="1:37" x14ac:dyDescent="0.25">
      <c r="A124" s="402" t="s">
        <v>238</v>
      </c>
      <c r="B124" s="403" t="s">
        <v>239</v>
      </c>
      <c r="C124" s="410" t="s">
        <v>264</v>
      </c>
      <c r="D124" s="407">
        <v>0.21199999999999999</v>
      </c>
      <c r="E124" s="408">
        <v>0.20199999999999999</v>
      </c>
      <c r="F124" s="408">
        <v>0.19699999999999998</v>
      </c>
      <c r="G124" s="408">
        <v>0.19800000000000001</v>
      </c>
      <c r="H124" s="408">
        <v>0.182</v>
      </c>
      <c r="I124" s="408">
        <v>0.24500000000000002</v>
      </c>
      <c r="J124" s="408">
        <v>0.19500000000000001</v>
      </c>
      <c r="K124" s="408">
        <v>0.20499999999999999</v>
      </c>
      <c r="L124" s="408">
        <v>0.222</v>
      </c>
      <c r="M124" s="408">
        <v>0.224</v>
      </c>
      <c r="N124" s="409">
        <v>0.22700000000000001</v>
      </c>
      <c r="O124" s="409">
        <v>0.23399999999999999</v>
      </c>
      <c r="P124" s="409">
        <v>0.23499999999999999</v>
      </c>
      <c r="Q124" s="1731">
        <v>0.25660377358490566</v>
      </c>
      <c r="R124" s="2000">
        <v>0.24410994764397906</v>
      </c>
      <c r="S124" s="2005">
        <v>0.25139318885448919</v>
      </c>
      <c r="T124" s="1354"/>
      <c r="U124" s="1728">
        <v>229</v>
      </c>
      <c r="V124" s="1728">
        <v>210</v>
      </c>
      <c r="W124" s="1728">
        <v>208</v>
      </c>
      <c r="X124" s="1728">
        <v>229</v>
      </c>
      <c r="Y124" s="1728">
        <v>241</v>
      </c>
      <c r="Z124" s="1728">
        <v>322</v>
      </c>
      <c r="AA124" s="1728">
        <v>263</v>
      </c>
      <c r="AB124" s="1728">
        <v>324</v>
      </c>
      <c r="AC124" s="1728">
        <v>372</v>
      </c>
      <c r="AD124" s="1728">
        <v>400</v>
      </c>
      <c r="AE124" s="1728">
        <v>319</v>
      </c>
      <c r="AF124" s="1728">
        <v>350</v>
      </c>
      <c r="AG124" s="1570">
        <v>411</v>
      </c>
      <c r="AH124" s="1570">
        <v>408</v>
      </c>
      <c r="AI124" s="2010">
        <v>373</v>
      </c>
      <c r="AJ124" s="2011">
        <v>406</v>
      </c>
    </row>
    <row r="125" spans="1:37" x14ac:dyDescent="0.25">
      <c r="A125" s="402" t="s">
        <v>240</v>
      </c>
      <c r="B125" s="403" t="s">
        <v>241</v>
      </c>
      <c r="C125" s="410" t="s">
        <v>267</v>
      </c>
      <c r="D125" s="407">
        <v>0.16600000000000001</v>
      </c>
      <c r="E125" s="408">
        <v>0.15400000000000003</v>
      </c>
      <c r="F125" s="408">
        <v>0.16399999999999998</v>
      </c>
      <c r="G125" s="408">
        <v>0.17300000000000001</v>
      </c>
      <c r="H125" s="408">
        <v>0.15</v>
      </c>
      <c r="I125" s="408">
        <v>0.17300000000000001</v>
      </c>
      <c r="J125" s="408">
        <v>0.16800000000000001</v>
      </c>
      <c r="K125" s="408">
        <v>0.16600000000000001</v>
      </c>
      <c r="L125" s="408">
        <v>0.18100000000000002</v>
      </c>
      <c r="M125" s="408">
        <v>0.222</v>
      </c>
      <c r="N125" s="409">
        <v>0.247</v>
      </c>
      <c r="O125" s="409">
        <v>0.23600000000000002</v>
      </c>
      <c r="P125" s="409">
        <v>0.22500000000000001</v>
      </c>
      <c r="Q125" s="1731">
        <v>0.23867367038739332</v>
      </c>
      <c r="R125" s="2000">
        <v>0.21692333167743003</v>
      </c>
      <c r="S125" s="2005">
        <v>0.25634430727023322</v>
      </c>
      <c r="T125" s="1354"/>
      <c r="U125" s="1728">
        <v>850</v>
      </c>
      <c r="V125" s="1728">
        <v>806</v>
      </c>
      <c r="W125" s="1728">
        <v>887</v>
      </c>
      <c r="X125" s="1728">
        <v>948</v>
      </c>
      <c r="Y125" s="1728">
        <v>847</v>
      </c>
      <c r="Z125" s="1728">
        <v>963</v>
      </c>
      <c r="AA125" s="1728">
        <v>921</v>
      </c>
      <c r="AB125" s="1728">
        <v>938</v>
      </c>
      <c r="AC125" s="1728">
        <v>1032</v>
      </c>
      <c r="AD125" s="1728">
        <v>1262</v>
      </c>
      <c r="AE125" s="1728">
        <v>1403</v>
      </c>
      <c r="AF125" s="1728">
        <v>1384</v>
      </c>
      <c r="AG125" s="1570">
        <v>1343</v>
      </c>
      <c r="AH125" s="1570">
        <v>1454</v>
      </c>
      <c r="AI125" s="2010">
        <v>1310</v>
      </c>
      <c r="AJ125" s="2011">
        <v>1495</v>
      </c>
    </row>
    <row r="126" spans="1:37" x14ac:dyDescent="0.25">
      <c r="A126" s="410"/>
      <c r="B126" s="410"/>
      <c r="C126" s="410"/>
      <c r="D126" s="1354"/>
      <c r="E126" s="1354"/>
      <c r="F126" s="1354"/>
      <c r="G126" s="1354"/>
      <c r="H126" s="1354"/>
      <c r="I126" s="1354"/>
      <c r="J126" s="1354"/>
      <c r="K126" s="1354"/>
      <c r="L126" s="1354"/>
      <c r="M126" s="1354"/>
      <c r="N126" s="1354"/>
      <c r="O126" s="1354"/>
      <c r="P126" s="1354"/>
      <c r="Q126" s="1354"/>
      <c r="R126" s="1354"/>
      <c r="S126" s="1354"/>
      <c r="T126" s="1354"/>
      <c r="U126" s="1353"/>
      <c r="V126" s="1353"/>
      <c r="W126" s="1353"/>
      <c r="X126" s="1353"/>
      <c r="Y126" s="1353"/>
      <c r="Z126" s="1353"/>
      <c r="AA126" s="1353"/>
      <c r="AB126" s="1353"/>
      <c r="AC126" s="1353"/>
      <c r="AD126" s="1353"/>
      <c r="AE126" s="1353"/>
      <c r="AF126" s="1353"/>
      <c r="AG126" s="1353"/>
      <c r="AH126" s="1353"/>
      <c r="AI126" s="1353"/>
      <c r="AJ126" s="1353"/>
      <c r="AK126" s="481"/>
    </row>
    <row r="127" spans="1:37" x14ac:dyDescent="0.25">
      <c r="A127" s="411" t="s">
        <v>725</v>
      </c>
      <c r="B127" s="410"/>
      <c r="C127" s="410"/>
      <c r="D127" s="1354"/>
      <c r="E127" s="1354"/>
      <c r="F127" s="1354"/>
      <c r="G127" s="1354"/>
      <c r="H127" s="1354"/>
      <c r="I127" s="1354"/>
      <c r="J127" s="1354"/>
      <c r="K127" s="1354"/>
      <c r="L127" s="1354"/>
      <c r="M127" s="1354"/>
      <c r="N127" s="1354"/>
      <c r="O127" s="1354"/>
      <c r="P127" s="1354"/>
      <c r="Q127" s="1354"/>
      <c r="R127" s="1354"/>
      <c r="S127" s="1354"/>
      <c r="T127" s="1354"/>
      <c r="U127" s="1353"/>
      <c r="V127" s="1353"/>
      <c r="W127" s="1353"/>
      <c r="X127" s="1353"/>
      <c r="Y127" s="1353"/>
      <c r="Z127" s="1353"/>
      <c r="AA127" s="1353"/>
      <c r="AB127" s="1353"/>
      <c r="AC127" s="1353"/>
      <c r="AD127" s="1353"/>
      <c r="AE127" s="1353"/>
      <c r="AF127" s="1353"/>
      <c r="AG127" s="1353"/>
      <c r="AH127" s="1353"/>
      <c r="AI127" s="1353"/>
      <c r="AJ127" s="1353"/>
      <c r="AK127" s="481"/>
    </row>
    <row r="128" spans="1:37" x14ac:dyDescent="0.25">
      <c r="A128" s="627" t="s">
        <v>266</v>
      </c>
      <c r="B128" s="1724"/>
      <c r="C128" s="1732"/>
      <c r="D128" s="1733">
        <v>0.12777045687129379</v>
      </c>
      <c r="E128" s="1734">
        <v>0.11654920477484336</v>
      </c>
      <c r="F128" s="1734">
        <v>0.1354493691697963</v>
      </c>
      <c r="G128" s="1734">
        <v>0.1470167344250537</v>
      </c>
      <c r="H128" s="1734">
        <v>0.13365566375727633</v>
      </c>
      <c r="I128" s="1734">
        <v>0.14388618155624469</v>
      </c>
      <c r="J128" s="1734">
        <v>0.13311676363234895</v>
      </c>
      <c r="K128" s="1734">
        <v>0.14410690731000661</v>
      </c>
      <c r="L128" s="1734">
        <v>0.15284216958699204</v>
      </c>
      <c r="M128" s="1734">
        <v>0.15668623873941231</v>
      </c>
      <c r="N128" s="1731">
        <v>0.15997456515691444</v>
      </c>
      <c r="O128" s="1731">
        <v>0.17401205670921191</v>
      </c>
      <c r="P128" s="1731">
        <v>0.17363851617995266</v>
      </c>
      <c r="Q128" s="1731">
        <v>0.18307861229889996</v>
      </c>
      <c r="R128" s="2000">
        <v>0.19027382241426713</v>
      </c>
      <c r="S128" s="2005">
        <v>0.17148941671145826</v>
      </c>
      <c r="T128" s="1354"/>
      <c r="U128" s="1735">
        <v>36457</v>
      </c>
      <c r="V128" s="1728">
        <v>33372</v>
      </c>
      <c r="W128" s="1728">
        <v>39132</v>
      </c>
      <c r="X128" s="1728">
        <v>42635</v>
      </c>
      <c r="Y128" s="1728">
        <v>39171</v>
      </c>
      <c r="Z128" s="1728">
        <v>42547</v>
      </c>
      <c r="AA128" s="1728">
        <v>39789</v>
      </c>
      <c r="AB128" s="1728">
        <v>43372</v>
      </c>
      <c r="AC128" s="1728">
        <v>46022</v>
      </c>
      <c r="AD128" s="1728">
        <v>47153</v>
      </c>
      <c r="AE128" s="1736">
        <v>48304</v>
      </c>
      <c r="AF128" s="1736">
        <v>52189</v>
      </c>
      <c r="AG128" s="1736">
        <v>51260</v>
      </c>
      <c r="AH128" s="1736">
        <v>53690</v>
      </c>
      <c r="AI128" s="2014">
        <v>56056</v>
      </c>
      <c r="AJ128" s="2015">
        <v>50410</v>
      </c>
      <c r="AK128" s="64"/>
    </row>
    <row r="129" spans="1:37" x14ac:dyDescent="0.25">
      <c r="A129" s="392" t="s">
        <v>264</v>
      </c>
      <c r="D129" s="407">
        <v>0.15304435972586439</v>
      </c>
      <c r="E129" s="408">
        <v>0.14033358889775141</v>
      </c>
      <c r="F129" s="408">
        <v>0.15771795103044595</v>
      </c>
      <c r="G129" s="408">
        <v>0.16505708289428997</v>
      </c>
      <c r="H129" s="408">
        <v>0.14922302530245857</v>
      </c>
      <c r="I129" s="408">
        <v>0.16352767930188164</v>
      </c>
      <c r="J129" s="408">
        <v>0.14641453075926292</v>
      </c>
      <c r="K129" s="408">
        <v>0.15611975749596346</v>
      </c>
      <c r="L129" s="408">
        <v>0.16549851613310601</v>
      </c>
      <c r="M129" s="408">
        <v>0.16261973561466178</v>
      </c>
      <c r="N129" s="409">
        <v>0.16684839324070738</v>
      </c>
      <c r="O129" s="409">
        <v>0.18344688787599084</v>
      </c>
      <c r="P129" s="409">
        <v>0.19465468306527908</v>
      </c>
      <c r="Q129" s="1731">
        <v>0.19731917697955095</v>
      </c>
      <c r="R129" s="2000">
        <v>0.1918605782799529</v>
      </c>
      <c r="S129" s="2005">
        <v>0.18934995181748365</v>
      </c>
      <c r="T129" s="1354"/>
      <c r="U129" s="404">
        <v>69450</v>
      </c>
      <c r="V129" s="405">
        <v>63514</v>
      </c>
      <c r="W129" s="405">
        <v>71700</v>
      </c>
      <c r="X129" s="405">
        <v>75816</v>
      </c>
      <c r="Y129" s="405">
        <v>68689</v>
      </c>
      <c r="Z129" s="405">
        <v>74957</v>
      </c>
      <c r="AA129" s="405">
        <v>66664</v>
      </c>
      <c r="AB129" s="405">
        <v>70198</v>
      </c>
      <c r="AC129" s="405">
        <v>73388</v>
      </c>
      <c r="AD129" s="405">
        <v>71473</v>
      </c>
      <c r="AE129" s="406">
        <v>71308</v>
      </c>
      <c r="AF129" s="406">
        <v>77113</v>
      </c>
      <c r="AG129" s="406">
        <v>80654</v>
      </c>
      <c r="AH129" s="1736">
        <v>81141</v>
      </c>
      <c r="AI129" s="2014">
        <v>78857</v>
      </c>
      <c r="AJ129" s="2015">
        <v>77418</v>
      </c>
      <c r="AK129" s="64"/>
    </row>
    <row r="130" spans="1:37" x14ac:dyDescent="0.25">
      <c r="A130" s="392" t="s">
        <v>267</v>
      </c>
      <c r="D130" s="407">
        <v>7.3972848316347151E-2</v>
      </c>
      <c r="E130" s="408">
        <v>6.7403569019439502E-2</v>
      </c>
      <c r="F130" s="408">
        <v>7.5487365161058667E-2</v>
      </c>
      <c r="G130" s="408">
        <v>8.3378188703486691E-2</v>
      </c>
      <c r="H130" s="408">
        <v>7.5877860403686589E-2</v>
      </c>
      <c r="I130" s="408">
        <v>7.4756843456245878E-2</v>
      </c>
      <c r="J130" s="408">
        <v>6.9055752121382249E-2</v>
      </c>
      <c r="K130" s="408">
        <v>7.2126218829321451E-2</v>
      </c>
      <c r="L130" s="408">
        <v>7.8048984786318096E-2</v>
      </c>
      <c r="M130" s="408">
        <v>8.5547995432984622E-2</v>
      </c>
      <c r="N130" s="409">
        <v>9.0402479205067013E-2</v>
      </c>
      <c r="O130" s="409">
        <v>9.8850753222550089E-2</v>
      </c>
      <c r="P130" s="409">
        <v>9.5595160378892069E-2</v>
      </c>
      <c r="Q130" s="1731">
        <v>9.6413769845848013E-2</v>
      </c>
      <c r="R130" s="2000">
        <v>0.10170149715160404</v>
      </c>
      <c r="S130" s="2005">
        <v>9.0957882015598138E-2</v>
      </c>
      <c r="T130" s="1354"/>
      <c r="U130" s="404">
        <v>47040</v>
      </c>
      <c r="V130" s="405">
        <v>43966</v>
      </c>
      <c r="W130" s="405">
        <v>50455</v>
      </c>
      <c r="X130" s="405">
        <v>56849</v>
      </c>
      <c r="Y130" s="405">
        <v>52855</v>
      </c>
      <c r="Z130" s="405">
        <v>53180</v>
      </c>
      <c r="AA130" s="405">
        <v>49691</v>
      </c>
      <c r="AB130" s="405">
        <v>52682</v>
      </c>
      <c r="AC130" s="405">
        <v>57771</v>
      </c>
      <c r="AD130" s="405">
        <v>64512</v>
      </c>
      <c r="AE130" s="406">
        <v>69253</v>
      </c>
      <c r="AF130" s="406">
        <v>77653</v>
      </c>
      <c r="AG130" s="406">
        <v>74096</v>
      </c>
      <c r="AH130" s="1736">
        <v>76048</v>
      </c>
      <c r="AI130" s="2014">
        <v>80925</v>
      </c>
      <c r="AJ130" s="2015">
        <v>72705</v>
      </c>
      <c r="AK130" s="64"/>
    </row>
    <row r="131" spans="1:37" x14ac:dyDescent="0.25">
      <c r="A131" s="392" t="s">
        <v>265</v>
      </c>
      <c r="D131" s="407">
        <v>0.14798451654743328</v>
      </c>
      <c r="E131" s="408">
        <v>0.13950212131823031</v>
      </c>
      <c r="F131" s="408">
        <v>0.16081026399794002</v>
      </c>
      <c r="G131" s="408">
        <v>0.17657450171906408</v>
      </c>
      <c r="H131" s="408">
        <v>0.1593198731798578</v>
      </c>
      <c r="I131" s="408">
        <v>0.17241307706364103</v>
      </c>
      <c r="J131" s="408">
        <v>0.16388858883063143</v>
      </c>
      <c r="K131" s="408">
        <v>0.17567876453011166</v>
      </c>
      <c r="L131" s="408">
        <v>0.17290313441355259</v>
      </c>
      <c r="M131" s="408">
        <v>0.19168981558954451</v>
      </c>
      <c r="N131" s="409">
        <v>0.20643619721274198</v>
      </c>
      <c r="O131" s="409">
        <v>0.20991666141864518</v>
      </c>
      <c r="P131" s="409">
        <v>0.21105894093113109</v>
      </c>
      <c r="Q131" s="1731">
        <v>0.21831772489045451</v>
      </c>
      <c r="R131" s="2000">
        <v>0.21606831439052257</v>
      </c>
      <c r="S131" s="2005">
        <v>0.20948611482782731</v>
      </c>
      <c r="T131" s="1354"/>
      <c r="U131" s="404">
        <v>36510</v>
      </c>
      <c r="V131" s="405">
        <v>34262</v>
      </c>
      <c r="W131" s="405">
        <v>39344</v>
      </c>
      <c r="X131" s="405">
        <v>42781</v>
      </c>
      <c r="Y131" s="405">
        <v>38492</v>
      </c>
      <c r="Z131" s="405">
        <v>41515</v>
      </c>
      <c r="AA131" s="405">
        <v>39447</v>
      </c>
      <c r="AB131" s="405">
        <v>42272</v>
      </c>
      <c r="AC131" s="405">
        <v>41499</v>
      </c>
      <c r="AD131" s="405">
        <v>45820</v>
      </c>
      <c r="AE131" s="406">
        <v>50023</v>
      </c>
      <c r="AF131" s="406">
        <v>49999</v>
      </c>
      <c r="AG131" s="406">
        <v>49491</v>
      </c>
      <c r="AH131" s="1736">
        <v>50820</v>
      </c>
      <c r="AI131" s="2014">
        <v>50302</v>
      </c>
      <c r="AJ131" s="2015">
        <v>48535</v>
      </c>
      <c r="AK131" s="64"/>
    </row>
    <row r="132" spans="1:37" x14ac:dyDescent="0.25">
      <c r="A132" s="392" t="s">
        <v>268</v>
      </c>
      <c r="D132" s="407">
        <v>0.18734683294440402</v>
      </c>
      <c r="E132" s="408">
        <v>0.17247175273134746</v>
      </c>
      <c r="F132" s="408">
        <v>0.20006672597864769</v>
      </c>
      <c r="G132" s="408">
        <v>0.22071896949433689</v>
      </c>
      <c r="H132" s="408">
        <v>0.19469087884668701</v>
      </c>
      <c r="I132" s="408">
        <v>0.22345575814569074</v>
      </c>
      <c r="J132" s="408">
        <v>0.20651927338719528</v>
      </c>
      <c r="K132" s="408">
        <v>0.20957003677431724</v>
      </c>
      <c r="L132" s="408">
        <v>0.22360411648784762</v>
      </c>
      <c r="M132" s="408">
        <v>0.23061145442701456</v>
      </c>
      <c r="N132" s="409">
        <v>0.2390194692096777</v>
      </c>
      <c r="O132" s="409">
        <v>0.24486790511169071</v>
      </c>
      <c r="P132" s="409">
        <v>0.24867022477490902</v>
      </c>
      <c r="Q132" s="1731">
        <v>0.24932721517255221</v>
      </c>
      <c r="R132" s="2000">
        <v>0.24255737644647468</v>
      </c>
      <c r="S132" s="2005">
        <v>0.24754110529636641</v>
      </c>
      <c r="T132" s="1354"/>
      <c r="U132" s="404">
        <v>22399</v>
      </c>
      <c r="V132" s="405">
        <v>20317</v>
      </c>
      <c r="W132" s="405">
        <v>23387</v>
      </c>
      <c r="X132" s="405">
        <v>25548</v>
      </c>
      <c r="Y132" s="405">
        <v>22472</v>
      </c>
      <c r="Z132" s="405">
        <v>25663</v>
      </c>
      <c r="AA132" s="405">
        <v>23670</v>
      </c>
      <c r="AB132" s="405">
        <v>24049</v>
      </c>
      <c r="AC132" s="405">
        <v>25530</v>
      </c>
      <c r="AD132" s="405">
        <v>26197</v>
      </c>
      <c r="AE132" s="406">
        <v>27721</v>
      </c>
      <c r="AF132" s="406">
        <v>27602</v>
      </c>
      <c r="AG132" s="406">
        <v>27536</v>
      </c>
      <c r="AH132" s="1736">
        <v>27331</v>
      </c>
      <c r="AI132" s="2014">
        <v>26390</v>
      </c>
      <c r="AJ132" s="2015">
        <v>26678</v>
      </c>
      <c r="AK132" s="64"/>
    </row>
    <row r="134" spans="1:37" x14ac:dyDescent="0.25">
      <c r="A134" s="986" t="s">
        <v>1351</v>
      </c>
    </row>
    <row r="136" spans="1:37" x14ac:dyDescent="0.25">
      <c r="A136" s="412" t="s">
        <v>248</v>
      </c>
      <c r="B136" s="412"/>
      <c r="C136" s="412"/>
      <c r="D136" s="412"/>
      <c r="E136" s="412"/>
      <c r="F136" s="412"/>
      <c r="G136" s="412"/>
      <c r="H136" s="412"/>
      <c r="I136" s="412"/>
      <c r="J136" s="412"/>
      <c r="K136" s="412"/>
      <c r="L136" s="412"/>
      <c r="M136" s="412"/>
      <c r="N136" s="412"/>
      <c r="O136" s="412"/>
      <c r="P136" s="412"/>
      <c r="Q136" s="412"/>
      <c r="R136" s="412"/>
      <c r="S136" s="412"/>
      <c r="T136" s="412"/>
    </row>
    <row r="137" spans="1:37" x14ac:dyDescent="0.25">
      <c r="A137" s="413" t="s">
        <v>249</v>
      </c>
      <c r="B137" s="414" t="s">
        <v>250</v>
      </c>
      <c r="C137" s="414"/>
      <c r="D137" s="414"/>
      <c r="E137" s="414"/>
      <c r="F137" s="414"/>
      <c r="G137" s="414"/>
      <c r="H137" s="414"/>
      <c r="I137" s="414"/>
      <c r="J137" s="414"/>
      <c r="K137" s="414"/>
      <c r="L137" s="414"/>
      <c r="M137" s="414"/>
      <c r="N137" s="414"/>
      <c r="O137" s="414"/>
      <c r="P137" s="414"/>
      <c r="Q137" s="414"/>
      <c r="R137" s="414"/>
      <c r="S137" s="414"/>
      <c r="T137" s="414"/>
    </row>
  </sheetData>
  <autoFilter ref="A4:C4"/>
  <mergeCells count="2">
    <mergeCell ref="D3:R3"/>
    <mergeCell ref="U3:AI3"/>
  </mergeCells>
  <hyperlinks>
    <hyperlink ref="B13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77</vt:i4>
      </vt:variant>
    </vt:vector>
  </HeadingPairs>
  <TitlesOfParts>
    <vt:vector size="145" baseType="lpstr">
      <vt:lpstr>Profile</vt:lpstr>
      <vt:lpstr>Data for Graphs</vt:lpstr>
      <vt:lpstr>Spending By Region</vt:lpstr>
      <vt:lpstr>Agency Level &amp; HR Policy</vt:lpstr>
      <vt:lpstr>IT Support</vt:lpstr>
      <vt:lpstr>2015 Population</vt:lpstr>
      <vt:lpstr>Poverty Estimates</vt:lpstr>
      <vt:lpstr>Poverty_All ages</vt:lpstr>
      <vt:lpstr>Poverty_Child</vt:lpstr>
      <vt:lpstr>Income to Poverty Ratio</vt:lpstr>
      <vt:lpstr>Unemployment</vt:lpstr>
      <vt:lpstr>Non-marital births</vt:lpstr>
      <vt:lpstr>Teen births</vt:lpstr>
      <vt:lpstr>NM Births_Trend</vt:lpstr>
      <vt:lpstr>Teen Births_Trend</vt:lpstr>
      <vt:lpstr>Children in Single Parent Homes</vt:lpstr>
      <vt:lpstr>SNAP Clients by SFY-2005-2015</vt:lpstr>
      <vt:lpstr>SNAP Clients_Annual</vt:lpstr>
      <vt:lpstr>TANF Clients by SFY</vt:lpstr>
      <vt:lpstr>TANF Clients_Annual</vt:lpstr>
      <vt:lpstr>Medicaid Clients by SFY</vt:lpstr>
      <vt:lpstr>Medicaid Clients_Annual</vt:lpstr>
      <vt:lpstr>EA Clients by FFY</vt:lpstr>
      <vt:lpstr>Benefit Clients by SFY</vt:lpstr>
      <vt:lpstr>ChildCareClients by SFY</vt:lpstr>
      <vt:lpstr>TANF Cases by SFY</vt:lpstr>
      <vt:lpstr>SNAP Cases by SFY</vt:lpstr>
      <vt:lpstr>Medicaid Cases by SFY</vt:lpstr>
      <vt:lpstr>EA Cases by FFY</vt:lpstr>
      <vt:lpstr>Child Care Cases</vt:lpstr>
      <vt:lpstr>SNAP Client Demographics</vt:lpstr>
      <vt:lpstr>TANF Client Demographics</vt:lpstr>
      <vt:lpstr>MA Client Demographics</vt:lpstr>
      <vt:lpstr>Hispanic Adjustment</vt:lpstr>
      <vt:lpstr>Benefit Client Demographics</vt:lpstr>
      <vt:lpstr>Children in Foster Care</vt:lpstr>
      <vt:lpstr>Adoption Child by Race</vt:lpstr>
      <vt:lpstr>Adopted Children</vt:lpstr>
      <vt:lpstr>Adoption Services</vt:lpstr>
      <vt:lpstr>APS Reports</vt:lpstr>
      <vt:lpstr>CPS Referrals</vt:lpstr>
      <vt:lpstr>Compare Recipients Census Med</vt:lpstr>
      <vt:lpstr>Compare Recipients Census SNAP</vt:lpstr>
      <vt:lpstr>Compare Recipients Census TANF</vt:lpstr>
      <vt:lpstr>Adoption Counts Summed SFY 2010</vt:lpstr>
      <vt:lpstr>CPS Ref Child Demo 2010 (2)</vt:lpstr>
      <vt:lpstr>Administration LASER</vt:lpstr>
      <vt:lpstr>Other Oper Exp. LASER</vt:lpstr>
      <vt:lpstr>Client Services LASER</vt:lpstr>
      <vt:lpstr>Medicaid &amp; FAMIS - LASER</vt:lpstr>
      <vt:lpstr>SNAP LASER</vt:lpstr>
      <vt:lpstr>TANF LASER</vt:lpstr>
      <vt:lpstr>Energy Assistance LASER</vt:lpstr>
      <vt:lpstr>FC &amp; Adoptions LASER</vt:lpstr>
      <vt:lpstr>CSA LASER</vt:lpstr>
      <vt:lpstr>ChildCare LASER</vt:lpstr>
      <vt:lpstr>Other Benefits LASER</vt:lpstr>
      <vt:lpstr>Benefits Spending LASER</vt:lpstr>
      <vt:lpstr>Social Svcs Spending Summary</vt:lpstr>
      <vt:lpstr>Medicaid Clients</vt:lpstr>
      <vt:lpstr>Staffing</vt:lpstr>
      <vt:lpstr>Children in Single-Parent Homes</vt:lpstr>
      <vt:lpstr>Married Parent Households</vt:lpstr>
      <vt:lpstr>SNAP Participation Rate</vt:lpstr>
      <vt:lpstr>AuxGrant</vt:lpstr>
      <vt:lpstr>Locality Name</vt:lpstr>
      <vt:lpstr>Password</vt:lpstr>
      <vt:lpstr>Region Name</vt:lpstr>
      <vt:lpstr>'Compare Recipients Census Med'!ADOP_AVG</vt:lpstr>
      <vt:lpstr>'Compare Recipients Census SNAP'!ADOP_AVG</vt:lpstr>
      <vt:lpstr>'Compare Recipients Census TANF'!ADOP_AVG</vt:lpstr>
      <vt:lpstr>ADOP_AVG</vt:lpstr>
      <vt:lpstr>Adoption_Child_Demo</vt:lpstr>
      <vt:lpstr>adoption_race</vt:lpstr>
      <vt:lpstr>AdoptionServices</vt:lpstr>
      <vt:lpstr>Agency_Level</vt:lpstr>
      <vt:lpstr>APS_Reports</vt:lpstr>
      <vt:lpstr>AuxGrant</vt:lpstr>
      <vt:lpstr>BenefitClient_Demo</vt:lpstr>
      <vt:lpstr>BenefitClients</vt:lpstr>
      <vt:lpstr>Child_SingleParentHH</vt:lpstr>
      <vt:lpstr>ChildCareClients</vt:lpstr>
      <vt:lpstr>ChildCareFamilies</vt:lpstr>
      <vt:lpstr>ChildCareLASER</vt:lpstr>
      <vt:lpstr>Children_CPS_Referrals</vt:lpstr>
      <vt:lpstr>Client_Svcs_LASER</vt:lpstr>
      <vt:lpstr>CPSReferrals</vt:lpstr>
      <vt:lpstr>CSA_LASER</vt:lpstr>
      <vt:lpstr>EA_LASER</vt:lpstr>
      <vt:lpstr>EACases_FFY</vt:lpstr>
      <vt:lpstr>EAClients_FFY</vt:lpstr>
      <vt:lpstr>Eligibility_2013</vt:lpstr>
      <vt:lpstr>Employment</vt:lpstr>
      <vt:lpstr>FC_Adop_LASER</vt:lpstr>
      <vt:lpstr>FC_DEMO</vt:lpstr>
      <vt:lpstr>FCMAP</vt:lpstr>
      <vt:lpstr>FIPS</vt:lpstr>
      <vt:lpstr>FIPS_NUM</vt:lpstr>
      <vt:lpstr>FIPSN</vt:lpstr>
      <vt:lpstr>IT_Support</vt:lpstr>
      <vt:lpstr>Loc_Name</vt:lpstr>
      <vt:lpstr>Locality</vt:lpstr>
      <vt:lpstr>MAClnts_Annual</vt:lpstr>
      <vt:lpstr>marriedcouples</vt:lpstr>
      <vt:lpstr>MarriedParentHouseholds</vt:lpstr>
      <vt:lpstr>Medicaid_FAMIS_LASER</vt:lpstr>
      <vt:lpstr>MedicaidCases_SFY</vt:lpstr>
      <vt:lpstr>MedicaidClient_Demographics</vt:lpstr>
      <vt:lpstr>MedicaidClients</vt:lpstr>
      <vt:lpstr>NMBirths_Trend</vt:lpstr>
      <vt:lpstr>NonMaritalBirths</vt:lpstr>
      <vt:lpstr>OT_BENE_LASER</vt:lpstr>
      <vt:lpstr>OT_EXP_LASER_2013</vt:lpstr>
      <vt:lpstr>Other_Oper_Exp_LASER</vt:lpstr>
      <vt:lpstr>Pop_2013</vt:lpstr>
      <vt:lpstr>Poverty</vt:lpstr>
      <vt:lpstr>Poverty_AllAges</vt:lpstr>
      <vt:lpstr>Poverty_Child</vt:lpstr>
      <vt:lpstr>'Children in Foster Care'!Print_Area</vt:lpstr>
      <vt:lpstr>'Locality Name'!Print_Area</vt:lpstr>
      <vt:lpstr>Profile!Print_Area</vt:lpstr>
      <vt:lpstr>'SNAP Participation Rate'!Print_Area</vt:lpstr>
      <vt:lpstr>'Spending By Region'!Print_Area</vt:lpstr>
      <vt:lpstr>Unemployment!Print_Area</vt:lpstr>
      <vt:lpstr>'Children in Foster Care'!Print_Titles</vt:lpstr>
      <vt:lpstr>Profile!Print_Titles</vt:lpstr>
      <vt:lpstr>'SNAP Participation Rate'!Print_Titles</vt:lpstr>
      <vt:lpstr>Unemployment!Print_Titles</vt:lpstr>
      <vt:lpstr>Region</vt:lpstr>
      <vt:lpstr>SingleParentHomes</vt:lpstr>
      <vt:lpstr>SNAP_LASER</vt:lpstr>
      <vt:lpstr>SNAP_RACE</vt:lpstr>
      <vt:lpstr>SNAPCases_SFY</vt:lpstr>
      <vt:lpstr>SNAPClient_Demo</vt:lpstr>
      <vt:lpstr>SNAPClients</vt:lpstr>
      <vt:lpstr>SNAPClnts_Yearly</vt:lpstr>
      <vt:lpstr>Staffing</vt:lpstr>
      <vt:lpstr>Staffing_LASER</vt:lpstr>
      <vt:lpstr>TANF_LASER</vt:lpstr>
      <vt:lpstr>TANFCases_SFY</vt:lpstr>
      <vt:lpstr>TANFClient_Demo</vt:lpstr>
      <vt:lpstr>TANFClients</vt:lpstr>
      <vt:lpstr>TANFClnts_Yearly</vt:lpstr>
      <vt:lpstr>TeenBirths</vt:lpstr>
      <vt:lpstr>TeenBirths_Trend</vt:lpstr>
    </vt:vector>
  </TitlesOfParts>
  <Company>Virginia IT Infrastructure Partnership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Jennings, Gail (VDSS)</cp:lastModifiedBy>
  <cp:lastPrinted>2016-12-19T19:32:17Z</cp:lastPrinted>
  <dcterms:created xsi:type="dcterms:W3CDTF">2011-04-04T18:14:50Z</dcterms:created>
  <dcterms:modified xsi:type="dcterms:W3CDTF">2017-11-13T13:55:40Z</dcterms:modified>
</cp:coreProperties>
</file>